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drawings/drawing2.xml" ContentType="application/vnd.openxmlformats-officedocument.drawing+xml"/>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4.xml" ContentType="application/vnd.openxmlformats-officedocument.drawing+xml"/>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xl/activeX/activeX61.xml" ContentType="application/vnd.ms-office.activeX+xml"/>
  <Override PartName="/xl/activeX/activeX61.bin" ContentType="application/vnd.ms-office.activeX"/>
  <Override PartName="/xl/activeX/activeX62.xml" ContentType="application/vnd.ms-office.activeX+xml"/>
  <Override PartName="/xl/activeX/activeX62.bin" ContentType="application/vnd.ms-office.activeX"/>
  <Override PartName="/xl/activeX/activeX63.xml" ContentType="application/vnd.ms-office.activeX+xml"/>
  <Override PartName="/xl/activeX/activeX63.bin" ContentType="application/vnd.ms-office.activeX"/>
  <Override PartName="/xl/activeX/activeX64.xml" ContentType="application/vnd.ms-office.activeX+xml"/>
  <Override PartName="/xl/activeX/activeX64.bin" ContentType="application/vnd.ms-office.activeX"/>
  <Override PartName="/xl/activeX/activeX65.xml" ContentType="application/vnd.ms-office.activeX+xml"/>
  <Override PartName="/xl/activeX/activeX65.bin" ContentType="application/vnd.ms-office.activeX"/>
  <Override PartName="/xl/activeX/activeX66.xml" ContentType="application/vnd.ms-office.activeX+xml"/>
  <Override PartName="/xl/activeX/activeX66.bin" ContentType="application/vnd.ms-office.activeX"/>
  <Override PartName="/xl/activeX/activeX67.xml" ContentType="application/vnd.ms-office.activeX+xml"/>
  <Override PartName="/xl/activeX/activeX67.bin" ContentType="application/vnd.ms-office.activeX"/>
  <Override PartName="/xl/activeX/activeX68.xml" ContentType="application/vnd.ms-office.activeX+xml"/>
  <Override PartName="/xl/activeX/activeX68.bin" ContentType="application/vnd.ms-office.activeX"/>
  <Override PartName="/xl/activeX/activeX69.xml" ContentType="application/vnd.ms-office.activeX+xml"/>
  <Override PartName="/xl/activeX/activeX69.bin" ContentType="application/vnd.ms-office.activeX"/>
  <Override PartName="/xl/activeX/activeX70.xml" ContentType="application/vnd.ms-office.activeX+xml"/>
  <Override PartName="/xl/activeX/activeX70.bin" ContentType="application/vnd.ms-office.activeX"/>
  <Override PartName="/xl/activeX/activeX71.xml" ContentType="application/vnd.ms-office.activeX+xml"/>
  <Override PartName="/xl/activeX/activeX71.bin" ContentType="application/vnd.ms-office.activeX"/>
  <Override PartName="/xl/activeX/activeX72.xml" ContentType="application/vnd.ms-office.activeX+xml"/>
  <Override PartName="/xl/activeX/activeX72.bin" ContentType="application/vnd.ms-office.activeX"/>
  <Override PartName="/xl/activeX/activeX73.xml" ContentType="application/vnd.ms-office.activeX+xml"/>
  <Override PartName="/xl/activeX/activeX73.bin" ContentType="application/vnd.ms-office.activeX"/>
  <Override PartName="/xl/activeX/activeX74.xml" ContentType="application/vnd.ms-office.activeX+xml"/>
  <Override PartName="/xl/activeX/activeX74.bin" ContentType="application/vnd.ms-office.activeX"/>
  <Override PartName="/xl/activeX/activeX75.xml" ContentType="application/vnd.ms-office.activeX+xml"/>
  <Override PartName="/xl/activeX/activeX75.bin" ContentType="application/vnd.ms-office.activeX"/>
  <Override PartName="/xl/activeX/activeX76.xml" ContentType="application/vnd.ms-office.activeX+xml"/>
  <Override PartName="/xl/activeX/activeX76.bin" ContentType="application/vnd.ms-office.activeX"/>
  <Override PartName="/xl/activeX/activeX77.xml" ContentType="application/vnd.ms-office.activeX+xml"/>
  <Override PartName="/xl/activeX/activeX77.bin" ContentType="application/vnd.ms-office.activeX"/>
  <Override PartName="/xl/activeX/activeX78.xml" ContentType="application/vnd.ms-office.activeX+xml"/>
  <Override PartName="/xl/activeX/activeX78.bin" ContentType="application/vnd.ms-office.activeX"/>
  <Override PartName="/xl/activeX/activeX79.xml" ContentType="application/vnd.ms-office.activeX+xml"/>
  <Override PartName="/xl/activeX/activeX79.bin" ContentType="application/vnd.ms-office.activeX"/>
  <Override PartName="/xl/activeX/activeX80.xml" ContentType="application/vnd.ms-office.activeX+xml"/>
  <Override PartName="/xl/activeX/activeX80.bin" ContentType="application/vnd.ms-office.activeX"/>
  <Override PartName="/xl/activeX/activeX81.xml" ContentType="application/vnd.ms-office.activeX+xml"/>
  <Override PartName="/xl/activeX/activeX81.bin" ContentType="application/vnd.ms-office.activeX"/>
  <Override PartName="/xl/activeX/activeX82.xml" ContentType="application/vnd.ms-office.activeX+xml"/>
  <Override PartName="/xl/activeX/activeX82.bin" ContentType="application/vnd.ms-office.activeX"/>
  <Override PartName="/xl/activeX/activeX83.xml" ContentType="application/vnd.ms-office.activeX+xml"/>
  <Override PartName="/xl/activeX/activeX83.bin" ContentType="application/vnd.ms-office.activeX"/>
  <Override PartName="/xl/activeX/activeX84.xml" ContentType="application/vnd.ms-office.activeX+xml"/>
  <Override PartName="/xl/activeX/activeX84.bin" ContentType="application/vnd.ms-office.activeX"/>
  <Override PartName="/xl/activeX/activeX85.xml" ContentType="application/vnd.ms-office.activeX+xml"/>
  <Override PartName="/xl/activeX/activeX85.bin" ContentType="application/vnd.ms-office.activeX"/>
  <Override PartName="/xl/activeX/activeX86.xml" ContentType="application/vnd.ms-office.activeX+xml"/>
  <Override PartName="/xl/activeX/activeX86.bin" ContentType="application/vnd.ms-office.activeX"/>
  <Override PartName="/xl/activeX/activeX87.xml" ContentType="application/vnd.ms-office.activeX+xml"/>
  <Override PartName="/xl/activeX/activeX87.bin" ContentType="application/vnd.ms-office.activeX"/>
  <Override PartName="/xl/activeX/activeX88.xml" ContentType="application/vnd.ms-office.activeX+xml"/>
  <Override PartName="/xl/activeX/activeX88.bin" ContentType="application/vnd.ms-office.activeX"/>
  <Override PartName="/xl/activeX/activeX89.xml" ContentType="application/vnd.ms-office.activeX+xml"/>
  <Override PartName="/xl/activeX/activeX89.bin" ContentType="application/vnd.ms-office.activeX"/>
  <Override PartName="/xl/activeX/activeX90.xml" ContentType="application/vnd.ms-office.activeX+xml"/>
  <Override PartName="/xl/activeX/activeX90.bin" ContentType="application/vnd.ms-office.activeX"/>
  <Override PartName="/xl/activeX/activeX91.xml" ContentType="application/vnd.ms-office.activeX+xml"/>
  <Override PartName="/xl/activeX/activeX91.bin" ContentType="application/vnd.ms-office.activeX"/>
  <Override PartName="/xl/activeX/activeX92.xml" ContentType="application/vnd.ms-office.activeX+xml"/>
  <Override PartName="/xl/activeX/activeX92.bin" ContentType="application/vnd.ms-office.activeX"/>
  <Override PartName="/xl/activeX/activeX93.xml" ContentType="application/vnd.ms-office.activeX+xml"/>
  <Override PartName="/xl/activeX/activeX93.bin" ContentType="application/vnd.ms-office.activeX"/>
  <Override PartName="/xl/activeX/activeX94.xml" ContentType="application/vnd.ms-office.activeX+xml"/>
  <Override PartName="/xl/activeX/activeX94.bin" ContentType="application/vnd.ms-office.activeX"/>
  <Override PartName="/xl/activeX/activeX95.xml" ContentType="application/vnd.ms-office.activeX+xml"/>
  <Override PartName="/xl/activeX/activeX95.bin" ContentType="application/vnd.ms-office.activeX"/>
  <Override PartName="/xl/activeX/activeX96.xml" ContentType="application/vnd.ms-office.activeX+xml"/>
  <Override PartName="/xl/activeX/activeX96.bin" ContentType="application/vnd.ms-office.activeX"/>
  <Override PartName="/xl/activeX/activeX97.xml" ContentType="application/vnd.ms-office.activeX+xml"/>
  <Override PartName="/xl/activeX/activeX97.bin" ContentType="application/vnd.ms-office.activeX"/>
  <Override PartName="/xl/activeX/activeX98.xml" ContentType="application/vnd.ms-office.activeX+xml"/>
  <Override PartName="/xl/activeX/activeX98.bin" ContentType="application/vnd.ms-office.activeX"/>
  <Override PartName="/xl/activeX/activeX99.xml" ContentType="application/vnd.ms-office.activeX+xml"/>
  <Override PartName="/xl/activeX/activeX99.bin" ContentType="application/vnd.ms-office.activeX"/>
  <Override PartName="/xl/activeX/activeX100.xml" ContentType="application/vnd.ms-office.activeX+xml"/>
  <Override PartName="/xl/activeX/activeX100.bin" ContentType="application/vnd.ms-office.activeX"/>
  <Override PartName="/xl/activeX/activeX101.xml" ContentType="application/vnd.ms-office.activeX+xml"/>
  <Override PartName="/xl/activeX/activeX101.bin" ContentType="application/vnd.ms-office.activeX"/>
  <Override PartName="/xl/activeX/activeX102.xml" ContentType="application/vnd.ms-office.activeX+xml"/>
  <Override PartName="/xl/activeX/activeX102.bin" ContentType="application/vnd.ms-office.activeX"/>
  <Override PartName="/xl/activeX/activeX103.xml" ContentType="application/vnd.ms-office.activeX+xml"/>
  <Override PartName="/xl/activeX/activeX103.bin" ContentType="application/vnd.ms-office.activeX"/>
  <Override PartName="/xl/activeX/activeX104.xml" ContentType="application/vnd.ms-office.activeX+xml"/>
  <Override PartName="/xl/activeX/activeX104.bin" ContentType="application/vnd.ms-office.activeX"/>
  <Override PartName="/xl/activeX/activeX105.xml" ContentType="application/vnd.ms-office.activeX+xml"/>
  <Override PartName="/xl/activeX/activeX105.bin" ContentType="application/vnd.ms-office.activeX"/>
  <Override PartName="/xl/activeX/activeX106.xml" ContentType="application/vnd.ms-office.activeX+xml"/>
  <Override PartName="/xl/activeX/activeX106.bin" ContentType="application/vnd.ms-office.activeX"/>
  <Override PartName="/xl/activeX/activeX107.xml" ContentType="application/vnd.ms-office.activeX+xml"/>
  <Override PartName="/xl/activeX/activeX107.bin" ContentType="application/vnd.ms-office.activeX"/>
  <Override PartName="/xl/activeX/activeX108.xml" ContentType="application/vnd.ms-office.activeX+xml"/>
  <Override PartName="/xl/activeX/activeX108.bin" ContentType="application/vnd.ms-office.activeX"/>
  <Override PartName="/xl/activeX/activeX109.xml" ContentType="application/vnd.ms-office.activeX+xml"/>
  <Override PartName="/xl/activeX/activeX109.bin" ContentType="application/vnd.ms-office.activeX"/>
  <Override PartName="/xl/activeX/activeX110.xml" ContentType="application/vnd.ms-office.activeX+xml"/>
  <Override PartName="/xl/activeX/activeX110.bin" ContentType="application/vnd.ms-office.activeX"/>
  <Override PartName="/xl/activeX/activeX111.xml" ContentType="application/vnd.ms-office.activeX+xml"/>
  <Override PartName="/xl/activeX/activeX111.bin" ContentType="application/vnd.ms-office.activeX"/>
  <Override PartName="/xl/activeX/activeX112.xml" ContentType="application/vnd.ms-office.activeX+xml"/>
  <Override PartName="/xl/activeX/activeX112.bin" ContentType="application/vnd.ms-office.activeX"/>
  <Override PartName="/xl/activeX/activeX113.xml" ContentType="application/vnd.ms-office.activeX+xml"/>
  <Override PartName="/xl/activeX/activeX113.bin" ContentType="application/vnd.ms-office.activeX"/>
  <Override PartName="/xl/activeX/activeX114.xml" ContentType="application/vnd.ms-office.activeX+xml"/>
  <Override PartName="/xl/activeX/activeX114.bin" ContentType="application/vnd.ms-office.activeX"/>
  <Override PartName="/xl/activeX/activeX115.xml" ContentType="application/vnd.ms-office.activeX+xml"/>
  <Override PartName="/xl/activeX/activeX115.bin" ContentType="application/vnd.ms-office.activeX"/>
  <Override PartName="/xl/activeX/activeX116.xml" ContentType="application/vnd.ms-office.activeX+xml"/>
  <Override PartName="/xl/activeX/activeX116.bin" ContentType="application/vnd.ms-office.activeX"/>
  <Override PartName="/xl/activeX/activeX117.xml" ContentType="application/vnd.ms-office.activeX+xml"/>
  <Override PartName="/xl/activeX/activeX117.bin" ContentType="application/vnd.ms-office.activeX"/>
  <Override PartName="/xl/activeX/activeX118.xml" ContentType="application/vnd.ms-office.activeX+xml"/>
  <Override PartName="/xl/activeX/activeX118.bin" ContentType="application/vnd.ms-office.activeX"/>
  <Override PartName="/xl/activeX/activeX119.xml" ContentType="application/vnd.ms-office.activeX+xml"/>
  <Override PartName="/xl/activeX/activeX119.bin" ContentType="application/vnd.ms-office.activeX"/>
  <Override PartName="/xl/activeX/activeX120.xml" ContentType="application/vnd.ms-office.activeX+xml"/>
  <Override PartName="/xl/activeX/activeX120.bin" ContentType="application/vnd.ms-office.activeX"/>
  <Override PartName="/xl/activeX/activeX121.xml" ContentType="application/vnd.ms-office.activeX+xml"/>
  <Override PartName="/xl/activeX/activeX121.bin" ContentType="application/vnd.ms-office.activeX"/>
  <Override PartName="/xl/activeX/activeX122.xml" ContentType="application/vnd.ms-office.activeX+xml"/>
  <Override PartName="/xl/activeX/activeX122.bin" ContentType="application/vnd.ms-office.activeX"/>
  <Override PartName="/xl/activeX/activeX123.xml" ContentType="application/vnd.ms-office.activeX+xml"/>
  <Override PartName="/xl/activeX/activeX123.bin" ContentType="application/vnd.ms-office.activeX"/>
  <Override PartName="/xl/activeX/activeX124.xml" ContentType="application/vnd.ms-office.activeX+xml"/>
  <Override PartName="/xl/activeX/activeX124.bin" ContentType="application/vnd.ms-office.activeX"/>
  <Override PartName="/xl/charts/chart3.xml" ContentType="application/vnd.openxmlformats-officedocument.drawingml.chart+xml"/>
  <Override PartName="/xl/drawings/drawing5.xml" ContentType="application/vnd.openxmlformats-officedocument.drawing+xml"/>
  <Override PartName="/xl/activeX/activeX125.xml" ContentType="application/vnd.ms-office.activeX+xml"/>
  <Override PartName="/xl/activeX/activeX125.bin" ContentType="application/vnd.ms-office.activeX"/>
  <Override PartName="/xl/activeX/activeX126.xml" ContentType="application/vnd.ms-office.activeX+xml"/>
  <Override PartName="/xl/activeX/activeX126.bin" ContentType="application/vnd.ms-office.activeX"/>
  <Override PartName="/xl/activeX/activeX127.xml" ContentType="application/vnd.ms-office.activeX+xml"/>
  <Override PartName="/xl/activeX/activeX127.bin" ContentType="application/vnd.ms-office.activeX"/>
  <Override PartName="/xl/activeX/activeX128.xml" ContentType="application/vnd.ms-office.activeX+xml"/>
  <Override PartName="/xl/activeX/activeX128.bin" ContentType="application/vnd.ms-office.activeX"/>
  <Override PartName="/xl/activeX/activeX129.xml" ContentType="application/vnd.ms-office.activeX+xml"/>
  <Override PartName="/xl/activeX/activeX129.bin" ContentType="application/vnd.ms-office.activeX"/>
  <Override PartName="/xl/activeX/activeX130.xml" ContentType="application/vnd.ms-office.activeX+xml"/>
  <Override PartName="/xl/activeX/activeX130.bin" ContentType="application/vnd.ms-office.activeX"/>
  <Override PartName="/xl/activeX/activeX131.xml" ContentType="application/vnd.ms-office.activeX+xml"/>
  <Override PartName="/xl/activeX/activeX131.bin" ContentType="application/vnd.ms-office.activeX"/>
  <Override PartName="/xl/activeX/activeX132.xml" ContentType="application/vnd.ms-office.activeX+xml"/>
  <Override PartName="/xl/activeX/activeX132.bin" ContentType="application/vnd.ms-office.activeX"/>
  <Override PartName="/xl/activeX/activeX133.xml" ContentType="application/vnd.ms-office.activeX+xml"/>
  <Override PartName="/xl/activeX/activeX133.bin" ContentType="application/vnd.ms-office.activeX"/>
  <Override PartName="/xl/activeX/activeX134.xml" ContentType="application/vnd.ms-office.activeX+xml"/>
  <Override PartName="/xl/activeX/activeX134.bin" ContentType="application/vnd.ms-office.activeX"/>
  <Override PartName="/xl/activeX/activeX135.xml" ContentType="application/vnd.ms-office.activeX+xml"/>
  <Override PartName="/xl/activeX/activeX135.bin" ContentType="application/vnd.ms-office.activeX"/>
  <Override PartName="/xl/activeX/activeX136.xml" ContentType="application/vnd.ms-office.activeX+xml"/>
  <Override PartName="/xl/activeX/activeX136.bin" ContentType="application/vnd.ms-office.activeX"/>
  <Override PartName="/xl/activeX/activeX137.xml" ContentType="application/vnd.ms-office.activeX+xml"/>
  <Override PartName="/xl/activeX/activeX137.bin" ContentType="application/vnd.ms-office.activeX"/>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6.xml" ContentType="application/vnd.openxmlformats-officedocument.drawing+xml"/>
  <Override PartName="/xl/activeX/activeX138.xml" ContentType="application/vnd.ms-office.activeX+xml"/>
  <Override PartName="/xl/activeX/activeX138.bin" ContentType="application/vnd.ms-office.activeX"/>
  <Override PartName="/xl/activeX/activeX139.xml" ContentType="application/vnd.ms-office.activeX+xml"/>
  <Override PartName="/xl/activeX/activeX139.bin" ContentType="application/vnd.ms-office.activeX"/>
  <Override PartName="/xl/activeX/activeX140.xml" ContentType="application/vnd.ms-office.activeX+xml"/>
  <Override PartName="/xl/activeX/activeX140.bin" ContentType="application/vnd.ms-office.activeX"/>
  <Override PartName="/xl/activeX/activeX141.xml" ContentType="application/vnd.ms-office.activeX+xml"/>
  <Override PartName="/xl/activeX/activeX141.bin" ContentType="application/vnd.ms-office.activeX"/>
  <Override PartName="/xl/activeX/activeX142.xml" ContentType="application/vnd.ms-office.activeX+xml"/>
  <Override PartName="/xl/activeX/activeX142.bin" ContentType="application/vnd.ms-office.activeX"/>
  <Override PartName="/xl/drawings/drawing7.xml" ContentType="application/vnd.openxmlformats-officedocument.drawing+xml"/>
  <Override PartName="/xl/activeX/activeX143.xml" ContentType="application/vnd.ms-office.activeX+xml"/>
  <Override PartName="/xl/activeX/activeX143.bin" ContentType="application/vnd.ms-office.activeX"/>
  <Override PartName="/xl/activeX/activeX144.xml" ContentType="application/vnd.ms-office.activeX+xml"/>
  <Override PartName="/xl/activeX/activeX144.bin" ContentType="application/vnd.ms-office.activeX"/>
  <Override PartName="/xl/activeX/activeX145.xml" ContentType="application/vnd.ms-office.activeX+xml"/>
  <Override PartName="/xl/activeX/activeX145.bin" ContentType="application/vnd.ms-office.activeX"/>
  <Override PartName="/xl/activeX/activeX146.xml" ContentType="application/vnd.ms-office.activeX+xml"/>
  <Override PartName="/xl/activeX/activeX146.bin" ContentType="application/vnd.ms-office.activeX"/>
  <Override PartName="/xl/activeX/activeX147.xml" ContentType="application/vnd.ms-office.activeX+xml"/>
  <Override PartName="/xl/activeX/activeX147.bin" ContentType="application/vnd.ms-office.activeX"/>
  <Override PartName="/xl/drawings/drawing8.xml" ContentType="application/vnd.openxmlformats-officedocument.drawing+xml"/>
  <Override PartName="/xl/activeX/activeX148.xml" ContentType="application/vnd.ms-office.activeX+xml"/>
  <Override PartName="/xl/activeX/activeX148.bin" ContentType="application/vnd.ms-office.activeX"/>
  <Override PartName="/xl/activeX/activeX149.xml" ContentType="application/vnd.ms-office.activeX+xml"/>
  <Override PartName="/xl/activeX/activeX149.bin" ContentType="application/vnd.ms-office.activeX"/>
  <Override PartName="/xl/activeX/activeX150.xml" ContentType="application/vnd.ms-office.activeX+xml"/>
  <Override PartName="/xl/activeX/activeX150.bin" ContentType="application/vnd.ms-office.activeX"/>
  <Override PartName="/xl/activeX/activeX151.xml" ContentType="application/vnd.ms-office.activeX+xml"/>
  <Override PartName="/xl/activeX/activeX151.bin" ContentType="application/vnd.ms-office.activeX"/>
  <Override PartName="/xl/activeX/activeX152.xml" ContentType="application/vnd.ms-office.activeX+xml"/>
  <Override PartName="/xl/activeX/activeX152.bin" ContentType="application/vnd.ms-office.activeX"/>
  <Override PartName="/xl/charts/chart8.xml" ContentType="application/vnd.openxmlformats-officedocument.drawingml.chart+xml"/>
  <Override PartName="/xl/drawings/drawing9.xml" ContentType="application/vnd.openxmlformats-officedocument.drawing+xml"/>
  <Override PartName="/xl/activeX/activeX153.xml" ContentType="application/vnd.ms-office.activeX+xml"/>
  <Override PartName="/xl/activeX/activeX153.bin" ContentType="application/vnd.ms-office.activeX"/>
  <Override PartName="/xl/activeX/activeX154.xml" ContentType="application/vnd.ms-office.activeX+xml"/>
  <Override PartName="/xl/activeX/activeX154.bin" ContentType="application/vnd.ms-office.activeX"/>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10.xml" ContentType="application/vnd.openxmlformats-officedocument.drawing+xml"/>
  <Override PartName="/xl/activeX/activeX155.xml" ContentType="application/vnd.ms-office.activeX+xml"/>
  <Override PartName="/xl/activeX/activeX155.bin" ContentType="application/vnd.ms-office.activeX"/>
  <Override PartName="/xl/activeX/activeX156.xml" ContentType="application/vnd.ms-office.activeX+xml"/>
  <Override PartName="/xl/activeX/activeX156.bin" ContentType="application/vnd.ms-office.activeX"/>
  <Override PartName="/xl/activeX/activeX157.xml" ContentType="application/vnd.ms-office.activeX+xml"/>
  <Override PartName="/xl/activeX/activeX157.bin" ContentType="application/vnd.ms-office.activeX"/>
  <Override PartName="/xl/activeX/activeX158.xml" ContentType="application/vnd.ms-office.activeX+xml"/>
  <Override PartName="/xl/activeX/activeX158.bin" ContentType="application/vnd.ms-office.activeX"/>
  <Override PartName="/xl/activeX/activeX159.xml" ContentType="application/vnd.ms-office.activeX+xml"/>
  <Override PartName="/xl/activeX/activeX159.bin" ContentType="application/vnd.ms-office.activeX"/>
  <Override PartName="/xl/activeX/activeX160.xml" ContentType="application/vnd.ms-office.activeX+xml"/>
  <Override PartName="/xl/activeX/activeX160.bin" ContentType="application/vnd.ms-office.activeX"/>
  <Override PartName="/xl/activeX/activeX161.xml" ContentType="application/vnd.ms-office.activeX+xml"/>
  <Override PartName="/xl/activeX/activeX161.bin" ContentType="application/vnd.ms-office.activeX"/>
  <Override PartName="/xl/activeX/activeX162.xml" ContentType="application/vnd.ms-office.activeX+xml"/>
  <Override PartName="/xl/activeX/activeX162.bin" ContentType="application/vnd.ms-office.activeX"/>
  <Override PartName="/xl/activeX/activeX163.xml" ContentType="application/vnd.ms-office.activeX+xml"/>
  <Override PartName="/xl/activeX/activeX163.bin" ContentType="application/vnd.ms-office.activeX"/>
  <Override PartName="/xl/activeX/activeX164.xml" ContentType="application/vnd.ms-office.activeX+xml"/>
  <Override PartName="/xl/activeX/activeX164.bin" ContentType="application/vnd.ms-office.activeX"/>
  <Override PartName="/xl/activeX/activeX165.xml" ContentType="application/vnd.ms-office.activeX+xml"/>
  <Override PartName="/xl/activeX/activeX165.bin" ContentType="application/vnd.ms-office.activeX"/>
  <Override PartName="/xl/activeX/activeX166.xml" ContentType="application/vnd.ms-office.activeX+xml"/>
  <Override PartName="/xl/activeX/activeX166.bin" ContentType="application/vnd.ms-office.activeX"/>
  <Override PartName="/xl/activeX/activeX167.xml" ContentType="application/vnd.ms-office.activeX+xml"/>
  <Override PartName="/xl/activeX/activeX167.bin" ContentType="application/vnd.ms-office.activeX"/>
  <Override PartName="/xl/activeX/activeX168.xml" ContentType="application/vnd.ms-office.activeX+xml"/>
  <Override PartName="/xl/activeX/activeX168.bin" ContentType="application/vnd.ms-office.activeX"/>
  <Override PartName="/xl/activeX/activeX169.xml" ContentType="application/vnd.ms-office.activeX+xml"/>
  <Override PartName="/xl/activeX/activeX169.bin" ContentType="application/vnd.ms-office.activeX"/>
  <Override PartName="/xl/activeX/activeX170.xml" ContentType="application/vnd.ms-office.activeX+xml"/>
  <Override PartName="/xl/activeX/activeX170.bin" ContentType="application/vnd.ms-office.activeX"/>
  <Override PartName="/xl/activeX/activeX171.xml" ContentType="application/vnd.ms-office.activeX+xml"/>
  <Override PartName="/xl/activeX/activeX171.bin" ContentType="application/vnd.ms-office.activeX"/>
  <Override PartName="/xl/activeX/activeX172.xml" ContentType="application/vnd.ms-office.activeX+xml"/>
  <Override PartName="/xl/activeX/activeX172.bin" ContentType="application/vnd.ms-office.activeX"/>
  <Override PartName="/xl/activeX/activeX173.xml" ContentType="application/vnd.ms-office.activeX+xml"/>
  <Override PartName="/xl/activeX/activeX173.bin" ContentType="application/vnd.ms-office.activeX"/>
  <Override PartName="/xl/activeX/activeX174.xml" ContentType="application/vnd.ms-office.activeX+xml"/>
  <Override PartName="/xl/activeX/activeX174.bin" ContentType="application/vnd.ms-office.activeX"/>
  <Override PartName="/xl/activeX/activeX175.xml" ContentType="application/vnd.ms-office.activeX+xml"/>
  <Override PartName="/xl/activeX/activeX175.bin" ContentType="application/vnd.ms-office.activeX"/>
  <Override PartName="/xl/activeX/activeX176.xml" ContentType="application/vnd.ms-office.activeX+xml"/>
  <Override PartName="/xl/activeX/activeX176.bin" ContentType="application/vnd.ms-office.activeX"/>
  <Override PartName="/xl/activeX/activeX177.xml" ContentType="application/vnd.ms-office.activeX+xml"/>
  <Override PartName="/xl/activeX/activeX177.bin" ContentType="application/vnd.ms-office.activeX"/>
  <Override PartName="/xl/activeX/activeX178.xml" ContentType="application/vnd.ms-office.activeX+xml"/>
  <Override PartName="/xl/activeX/activeX178.bin" ContentType="application/vnd.ms-office.activeX"/>
  <Override PartName="/xl/activeX/activeX179.xml" ContentType="application/vnd.ms-office.activeX+xml"/>
  <Override PartName="/xl/activeX/activeX179.bin" ContentType="application/vnd.ms-office.activeX"/>
  <Override PartName="/xl/activeX/activeX180.xml" ContentType="application/vnd.ms-office.activeX+xml"/>
  <Override PartName="/xl/activeX/activeX180.bin" ContentType="application/vnd.ms-office.activeX"/>
  <Override PartName="/xl/activeX/activeX181.xml" ContentType="application/vnd.ms-office.activeX+xml"/>
  <Override PartName="/xl/activeX/activeX181.bin" ContentType="application/vnd.ms-office.activeX"/>
  <Override PartName="/xl/activeX/activeX182.xml" ContentType="application/vnd.ms-office.activeX+xml"/>
  <Override PartName="/xl/activeX/activeX182.bin" ContentType="application/vnd.ms-office.activeX"/>
  <Override PartName="/xl/activeX/activeX183.xml" ContentType="application/vnd.ms-office.activeX+xml"/>
  <Override PartName="/xl/activeX/activeX183.bin" ContentType="application/vnd.ms-office.activeX"/>
  <Override PartName="/xl/activeX/activeX184.xml" ContentType="application/vnd.ms-office.activeX+xml"/>
  <Override PartName="/xl/activeX/activeX184.bin" ContentType="application/vnd.ms-office.activeX"/>
  <Override PartName="/xl/activeX/activeX185.xml" ContentType="application/vnd.ms-office.activeX+xml"/>
  <Override PartName="/xl/activeX/activeX185.bin" ContentType="application/vnd.ms-office.activeX"/>
  <Override PartName="/xl/activeX/activeX186.xml" ContentType="application/vnd.ms-office.activeX+xml"/>
  <Override PartName="/xl/activeX/activeX186.bin" ContentType="application/vnd.ms-office.activeX"/>
  <Override PartName="/xl/activeX/activeX187.xml" ContentType="application/vnd.ms-office.activeX+xml"/>
  <Override PartName="/xl/activeX/activeX187.bin" ContentType="application/vnd.ms-office.activeX"/>
  <Override PartName="/xl/activeX/activeX188.xml" ContentType="application/vnd.ms-office.activeX+xml"/>
  <Override PartName="/xl/activeX/activeX188.bin" ContentType="application/vnd.ms-office.activeX"/>
  <Override PartName="/xl/activeX/activeX189.xml" ContentType="application/vnd.ms-office.activeX+xml"/>
  <Override PartName="/xl/activeX/activeX189.bin" ContentType="application/vnd.ms-office.activeX"/>
  <Override PartName="/xl/charts/chart14.xml" ContentType="application/vnd.openxmlformats-officedocument.drawingml.chart+xml"/>
  <Override PartName="/xl/drawings/drawing1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niversity\2 ano\2 Semestre\Comp. Transf. 2\Energias Renováveis\Aula 3.1 (Solar Fotovoltaico)\"/>
    </mc:Choice>
  </mc:AlternateContent>
  <xr:revisionPtr revIDLastSave="0" documentId="8_{B39AA53C-40D5-4A2D-91B4-3A7B948B561E}" xr6:coauthVersionLast="47" xr6:coauthVersionMax="47" xr10:uidLastSave="{00000000-0000-0000-0000-000000000000}"/>
  <bookViews>
    <workbookView xWindow="-108" yWindow="-108" windowWidth="23256" windowHeight="12456" tabRatio="753" firstSheet="1" activeTab="7" xr2:uid="{A626CDF6-F7CA-499F-AC29-89383C9672F7}"/>
  </bookViews>
  <sheets>
    <sheet name="Parameter" sheetId="18" state="veryHidden" r:id="rId1"/>
    <sheet name="Iniciar" sheetId="11" r:id="rId2"/>
    <sheet name="Carga e Rede" sheetId="10" state="hidden" r:id="rId3"/>
    <sheet name="Modelo Energético " sheetId="1" state="hidden" r:id="rId4"/>
    <sheet name="Modelo Energético" sheetId="2" r:id="rId5"/>
    <sheet name="Análise de Custos" sheetId="4" r:id="rId6"/>
    <sheet name="Análise de Emissões" sheetId="12" r:id="rId7"/>
    <sheet name="Análise Financeira" sheetId="3" r:id="rId8"/>
    <sheet name="Análise de Risco" sheetId="9" r:id="rId9"/>
    <sheet name="Ferramentas" sheetId="8" r:id="rId10"/>
    <sheet name="Janela" sheetId="21" state="veryHidden" r:id="rId11"/>
    <sheet name="EET2" sheetId="15" state="veryHidden" r:id="rId12"/>
    <sheet name="EET" sheetId="14" state="veryHidden" r:id="rId13"/>
    <sheet name="Charts" sheetId="25" state="veryHidden" r:id="rId14"/>
    <sheet name="Language" sheetId="13" state="veryHidden" r:id="rId15"/>
  </sheets>
  <externalReferences>
    <externalReference r:id="rId16"/>
  </externalReferences>
  <definedNames>
    <definedName name="Addr_Country">Iniciar!$Q$48</definedName>
    <definedName name="Addr_Mail">'Modelo Energético'!$G$1307</definedName>
    <definedName name="Addr_Manufacturer">'Modelo Energético'!$E$1307</definedName>
    <definedName name="Addr_Model">'Modelo Energético'!$F$1307</definedName>
    <definedName name="Addr_ProductType">'Modelo Energético'!$C$1307</definedName>
    <definedName name="Addr_Province">Iniciar!$R$48</definedName>
    <definedName name="Addr_PVManufacturer">'Modelo Energético'!$Z$1329</definedName>
    <definedName name="Addr_PVModel">'Modelo Energético'!$AA$1329</definedName>
    <definedName name="Addr_PVType">'Modelo Energético'!$AD$1329</definedName>
    <definedName name="Addr_Region">'Modelo Energético'!$AB$1329</definedName>
    <definedName name="Addr_Station">Iniciar!$S$48</definedName>
    <definedName name="Addr_type">'Modelo Energético'!$S$474</definedName>
    <definedName name="Addr_Web">'Modelo Energético'!$H$1307</definedName>
    <definedName name="AfterIRR">'Análise Financeira'!$AA$63</definedName>
    <definedName name="AnalType">Iniciar!$D$28</definedName>
    <definedName name="Ann_costs" localSheetId="7">'Análise Financeira'!$K$22</definedName>
    <definedName name="Ann_heat_deg_days">'Carga e Rede'!$AI$5</definedName>
    <definedName name="Ann_sav" localSheetId="7">'Análise Financeira'!$K$36</definedName>
    <definedName name="AnnEarthTempAmp">Iniciar!$D$54</definedName>
    <definedName name="AnnEarthTempAmpUnit">Iniciar!$V$52</definedName>
    <definedName name="_xlnm.Print_Area" localSheetId="5">'Análise de Custos'!$A$1:$M$256</definedName>
    <definedName name="_xlnm.Print_Area" localSheetId="6">'Análise de Emissões'!$A$1:$L$195</definedName>
    <definedName name="_xlnm.Print_Area" localSheetId="8">'Análise de Risco'!$A$1:$I$101</definedName>
    <definedName name="_xlnm.Print_Area" localSheetId="7">'Análise Financeira'!$A$1:$P$87</definedName>
    <definedName name="_xlnm.Print_Area" localSheetId="2">'Carga e Rede'!$A$4:$T$107,'Carga e Rede'!$A$109:$T$212,'Carga e Rede'!$A$214:$T$255</definedName>
    <definedName name="_xlnm.Print_Area" localSheetId="9">Ferramentas!$A$1:$J$619</definedName>
    <definedName name="_xlnm.Print_Area" localSheetId="1">Iniciar!$A$1:$M$81</definedName>
    <definedName name="_xlnm.Print_Area" localSheetId="10">Janela!$A$1:$P$72</definedName>
    <definedName name="_xlnm.Print_Area" localSheetId="4">'Modelo Energético'!$A$1:$L$1029</definedName>
    <definedName name="_xlnm.Print_Area" localSheetId="3">'Modelo Energético '!$A$1:$L$952,'Modelo Energético '!$A$954:$L$1016</definedName>
    <definedName name="AtmosPressure_Jan">Iniciar!$G$58</definedName>
    <definedName name="AvgAtmosPressUnit">Iniciar!$T$54</definedName>
    <definedName name="AvgDailyRadiation_Jan">Iniciar!$F$58</definedName>
    <definedName name="AvgDailyRadUnit">Iniciar!$T$55</definedName>
    <definedName name="AvgTemp_Jan">Iniciar!$D$58</definedName>
    <definedName name="avgTempUnit">Iniciar!$R$50</definedName>
    <definedName name="AvgWindSpeed_Jan">Iniciar!$H$58</definedName>
    <definedName name="AvgWindSpeedUnit">Iniciar!$T$53</definedName>
    <definedName name="BatMismatch">'Modelo Energético '!$D$266</definedName>
    <definedName name="BatTemp">'Modelo Energético '!$R$264:$R$266</definedName>
    <definedName name="BatTempCtrl">'Modelo Energético '!$D$263</definedName>
    <definedName name="BatTempIndex">'Modelo Energético '!$M$264</definedName>
    <definedName name="Bench_area">'Modelo Energético '!$A$183:$A$188</definedName>
    <definedName name="Bench_ref">'Modelo Energético '!$C$181</definedName>
    <definedName name="Bench_ref2">'Modelo Energético '!$J$1173</definedName>
    <definedName name="CA_all">'Análise de Custos'!$I$1:$M$1</definedName>
    <definedName name="CA_Balance">'Análise de Custos'!$D$100</definedName>
    <definedName name="CA_BPlist_sort">'Análise de Custos'!$H$261</definedName>
    <definedName name="CA_BPlist1">'Análise de Custos'!$F$261:$F$272</definedName>
    <definedName name="CA_BPlist2">'Análise de Custos'!$H$261:$H$272</definedName>
    <definedName name="CA_Canada">'Análise de Custos'!$K$1:$L$1</definedName>
    <definedName name="CA_CapacityUnit">'Análise de Custos'!$E$46,'Análise de Custos'!$D$74:$D$78,'Análise de Custos'!$D$87:$D$89</definedName>
    <definedName name="CA_CoolingHelp">'Análise de Custos'!$L$87</definedName>
    <definedName name="CA_Costcells">'Análise de Custos'!$F$11:$G$20,'Análise de Custos'!$F$23:$G$213,'Análise de Custos'!$G$215:$G$227,'Análise de Custos'!$F$254:$G$256</definedName>
    <definedName name="CA_Costcells2">'Análise de Custos'!$G$229:$G$251</definedName>
    <definedName name="CA_Costcells3">'Análise de Custos'!$F$215:$F$224</definedName>
    <definedName name="CA_Costcells31">'Análise de Custos'!$F$229:$F$250</definedName>
    <definedName name="CA_country1">'Análise de Emissões'!$D$341:$D$589</definedName>
    <definedName name="CA_country2">'Análise de Emissões'!$C$341:$C$589</definedName>
    <definedName name="CA_country2sort">'Análise de Emissões'!$C$341</definedName>
    <definedName name="CA_CS">'Análise de Custos'!$O$14</definedName>
    <definedName name="CA_fuelBC">'Análise de Custos'!$O$227</definedName>
    <definedName name="CA_fuelPC">'Análise de Custos'!$O$214</definedName>
    <definedName name="CA_Heatinghelp">'Análise de Custos'!$L$74</definedName>
    <definedName name="CA_HS">'Análise de Custos'!$O$12</definedName>
    <definedName name="CA_IC">'Análise de Custos'!$O$15</definedName>
    <definedName name="CA_link">'Análise de Custos'!$D$258</definedName>
    <definedName name="CA_Month">'Análise de Custos'!$E$197</definedName>
    <definedName name="CA_new1">'Análise de Custos'!$M$1:$M$1</definedName>
    <definedName name="CA_OMS">'Análise de Custos'!$O$203</definedName>
    <definedName name="CA_Powerhelp">'Análise de Custos'!$L$61</definedName>
    <definedName name="CA_PS">'Análise de Custos'!$O$11</definedName>
    <definedName name="CA_SC">'Análise de Custos'!$I$1:$J$1</definedName>
    <definedName name="Capa_Cooling1">'Modelo Energético'!$D$10</definedName>
    <definedName name="Capa_Cooling2">'Modelo Energético'!$D$21</definedName>
    <definedName name="Capa_Heat1">'Modelo Energético'!$D$79</definedName>
    <definedName name="Capa_Heat2">'Modelo Energético'!$D$595</definedName>
    <definedName name="Capa_Heat3">'Modelo Energético'!$D$72</definedName>
    <definedName name="Capa_Heat4">'Modelo Energético'!$D$587</definedName>
    <definedName name="Capa_Power1">'Modelo Energético'!$D$92</definedName>
    <definedName name="Capa_Power10">'Modelo Energético'!$D$633</definedName>
    <definedName name="Capa_Power11">'Modelo Energético'!$D$725</definedName>
    <definedName name="Capa_Power12">'Modelo Energético'!$D$730</definedName>
    <definedName name="Capa_Power13">'Modelo Energético'!$D$767</definedName>
    <definedName name="Capa_Power14">'Modelo Energético'!$D$742</definedName>
    <definedName name="Capa_Power15">'Modelo Energético'!$D$750</definedName>
    <definedName name="Capa_Power16">'Modelo Energético'!$D$758</definedName>
    <definedName name="Capa_Power17">'Modelo Energético'!$D$306</definedName>
    <definedName name="Capa_Power18">'Modelo Energético'!$D$439</definedName>
    <definedName name="Capa_Power19">'Modelo Energético'!$D$496</definedName>
    <definedName name="Capa_Power2">'Modelo Energético'!$D$104</definedName>
    <definedName name="Capa_Power21">'Modelo Energético'!$D$517</definedName>
    <definedName name="Capa_Power22">'Modelo Energético'!$D$525</definedName>
    <definedName name="Capa_Power23">'Modelo Energético'!$D$533</definedName>
    <definedName name="Capa_Power24">'Modelo Energético'!$D$541</definedName>
    <definedName name="Capa_Power25">'Modelo Energético'!$D$779</definedName>
    <definedName name="Capa_Power26">'Modelo Energético'!$D$787</definedName>
    <definedName name="Capa_Power27">'Modelo Energético'!$D$795</definedName>
    <definedName name="Capa_Power28">'Modelo Energético'!$D$803</definedName>
    <definedName name="Capa_Power3">'Modelo Energético'!$D$116</definedName>
    <definedName name="Capa_Power4">'Modelo Energético'!$D$161</definedName>
    <definedName name="Capa_Power5">'Modelo Energético'!$D$208</definedName>
    <definedName name="Capa_Power6">'Modelo Energético'!$D$213</definedName>
    <definedName name="Capa_Power7">'Modelo Energético'!$D$505</definedName>
    <definedName name="Capa_Power8">'Modelo Energético'!$D$609</definedName>
    <definedName name="Capa_Power9">'Modelo Energético'!$D$621</definedName>
    <definedName name="Capacity">Language!$C$202</definedName>
    <definedName name="CapaPower1">'Modelo Energético'!$D$92</definedName>
    <definedName name="CapaUnit_Cooling1">'Modelo Energético'!$C$10</definedName>
    <definedName name="CapaUnit_Cooling2">'Modelo Energético'!$C$21</definedName>
    <definedName name="CapaUnit_Heat1">'Modelo Energético'!$C$79</definedName>
    <definedName name="CapaUnit_Heat2">'Modelo Energético'!$C$595</definedName>
    <definedName name="CapaUnit_Heat3">'Modelo Energético'!$C$72</definedName>
    <definedName name="CapaUnit_Heat4">'Modelo Energético'!$C$587</definedName>
    <definedName name="CapaUnit_Power1">'Modelo Energético'!$C$92</definedName>
    <definedName name="CapaUnit_Power10">'Modelo Energético'!$C$633</definedName>
    <definedName name="CapaUnit_Power12">'Modelo Energético'!$C$730</definedName>
    <definedName name="CapaUnit_Power13">'Modelo Energético'!$C$767</definedName>
    <definedName name="CapaUnit_Power14">'Modelo Energético'!$C$742</definedName>
    <definedName name="CapaUnit_Power15">'Modelo Energético'!$C$750</definedName>
    <definedName name="CapaUnit_Power16">'Modelo Energético'!$C$758</definedName>
    <definedName name="CapaUnit_Power17">'Modelo Energético'!$C$306</definedName>
    <definedName name="CapaUnit_Power18">'Modelo Energético'!$C$439</definedName>
    <definedName name="CapaUnit_Power19">'Modelo Energético'!$C$496</definedName>
    <definedName name="CapaUnit_Power2">'Modelo Energético'!$C$104</definedName>
    <definedName name="CapaUnit_Power21">'Modelo Energético'!$C$517</definedName>
    <definedName name="CapaUnit_Power22">'Modelo Energético'!$C$525</definedName>
    <definedName name="CapaUnit_Power23">'Modelo Energético'!$C$533</definedName>
    <definedName name="CapaUnit_Power24">'Modelo Energético'!$C$541</definedName>
    <definedName name="CapaUnit_Power25">'Modelo Energético'!$C$779</definedName>
    <definedName name="CapaUnit_Power26">'Modelo Energético'!$C$787</definedName>
    <definedName name="CapaUnit_Power27">'Modelo Energético'!$C$795</definedName>
    <definedName name="CapaUnit_Power28">'Modelo Energético'!$C$803</definedName>
    <definedName name="CapaUnit_Power3">'Modelo Energético'!$C$116</definedName>
    <definedName name="CapaUnit_Power6">'Modelo Energético'!$C$213</definedName>
    <definedName name="CapaUnit_Power7">'Modelo Energético'!$C$505</definedName>
    <definedName name="CapaUnit_Power8">'Modelo Energético'!$C$609</definedName>
    <definedName name="CapaUnit_Power9">'Modelo Energético'!$C$621</definedName>
    <definedName name="CDD_designTemp">Iniciar!$D$53</definedName>
    <definedName name="CDD_Jan">Iniciar!$K$58</definedName>
    <definedName name="CDD_NearestLocation">Iniciar!$D$42:$F$42</definedName>
    <definedName name="Cdgh">Language!$C$22</definedName>
    <definedName name="CHP_ScreenMsg">Iniciar!$N$33</definedName>
    <definedName name="CHPCAName">Language!$C$23</definedName>
    <definedName name="CHPEMName">Language!$C$20</definedName>
    <definedName name="CHPESName">Language!$C$22</definedName>
    <definedName name="CHPFinName">Language!$C$25</definedName>
    <definedName name="CHPGHGName">Language!$C$24</definedName>
    <definedName name="CHPIntroName">Language!$C$19</definedName>
    <definedName name="CHPLNName">Language!$C$21</definedName>
    <definedName name="CHPModelName">Language!$C$27</definedName>
    <definedName name="CHPSensName">Language!$C$26</definedName>
    <definedName name="CHPToolsName">Language!$C$28</definedName>
    <definedName name="ClimateUnits">Iniciar!$C$51:$C$54,Iniciar!$D$57,Iniciar!$F$57,Iniciar!$G$57,Iniciar!$H$57,Iniciar!$I$57,Iniciar!$J$57,Iniciar!$K$57,Iniciar!$C$71</definedName>
    <definedName name="ClimateUnitsTemp">Iniciar!$F$114:$F$125</definedName>
    <definedName name="ConversionRt">'Carga e Rede'!$E$271</definedName>
    <definedName name="ConversionValueBTU">'Modelo Energético'!$AB$1098</definedName>
    <definedName name="cool_list">Iniciar!$E$129</definedName>
    <definedName name="CoolDesTempUnit">Iniciar!$T$50</definedName>
    <definedName name="CostReference">'Análise de Custos'!$G$6</definedName>
    <definedName name="country">'Análise de Custos'!$Q$17:$Q$18</definedName>
    <definedName name="CpAir" localSheetId="3">'Modelo Energético '!$R$656</definedName>
    <definedName name="_xlnm.Criteria" localSheetId="6">'Análise de Emissões'!$C$43</definedName>
    <definedName name="Cumul">'Análise Financeira'!$P$6:$P$56</definedName>
    <definedName name="Currency">'Análise de Custos'!$D$273</definedName>
    <definedName name="Currency_index">Iniciar!$N$35</definedName>
    <definedName name="currency_list">'Análise de Custos'!$V$4:$V$247</definedName>
    <definedName name="Currency_name">Iniciar!$D$35</definedName>
    <definedName name="Currency_range">'Análise de Custos'!$V$4:$W$247</definedName>
    <definedName name="Currency_sort">'Análise de Custos'!$V$12:$W$247</definedName>
    <definedName name="Currency_user">Iniciar!$D$36</definedName>
    <definedName name="Currency2">'Análise de Custos'!$E$273</definedName>
    <definedName name="Currency2_index">'Análise de Custos'!$O$5</definedName>
    <definedName name="Currency2_name">'Análise de Custos'!$I$5</definedName>
    <definedName name="Currency2_Range2">'Análise de Custos'!$J$11:$J$199,'Análise de Custos'!$J$203:$J$227,'Análise de Custos'!$J$254:$J$255</definedName>
    <definedName name="Currency2_user">'Análise de Custos'!$J$6</definedName>
    <definedName name="CurrencyHide">'Análise de Custos'!$I$5,'Análise de Custos'!$Q$9</definedName>
    <definedName name="Day_of_Autonomy">'Modelo Energético '!$K$258</definedName>
    <definedName name="DD_Jan">Iniciar!$J$58</definedName>
    <definedName name="Debt_con" localSheetId="7">'Análise Financeira'!$D$13</definedName>
    <definedName name="Debt_IR" localSheetId="7">'Análise Financeira'!$AA$67</definedName>
    <definedName name="Debt_pay" localSheetId="7">'Análise Financeira'!$D$17</definedName>
    <definedName name="Debt_ratio" localSheetId="7">'Análise Financeira'!$AA$66</definedName>
    <definedName name="Debt_term" localSheetId="7">'Análise Financeira'!$AA$68</definedName>
    <definedName name="Delta_temp">'Carga e Rede'!$X$61</definedName>
    <definedName name="Design_temp">Iniciar!$D$52</definedName>
    <definedName name="Disc_R" localSheetId="7">'Análise Financeira'!$U$63</definedName>
    <definedName name="Earthheight">Iniciar!$I$71</definedName>
    <definedName name="ecoEnergyBuildings">'Modelo Energético '!$R$993</definedName>
    <definedName name="EE_1">'Modelo Energético '!$A$5:$A$189</definedName>
    <definedName name="EE_1_FCS">'Modelo Energético '!$M$155</definedName>
    <definedName name="EE_1_Method">'Modelo Energético '!$M$8</definedName>
    <definedName name="EE_10_M" localSheetId="3">'Modelo Energético '!$Q$561</definedName>
    <definedName name="EE_11_M" localSheetId="3">'Modelo Energético '!$Q$591</definedName>
    <definedName name="EE_12">'Modelo Energético '!$A$189:$A$190</definedName>
    <definedName name="EE_13">'Modelo Energético '!$A$191:$A$540</definedName>
    <definedName name="EE_13_DLC">'Modelo Energético '!$A$228:$A$248</definedName>
    <definedName name="EE_13_DLC2">'Modelo Energético '!$A$228:$A$228</definedName>
    <definedName name="EE_13_genset">'Modelo Energético '!$A$252:$A$256</definedName>
    <definedName name="EE_13_Hydro">'Modelo Energético '!$A$395:$A$501</definedName>
    <definedName name="EE_13_M" localSheetId="3">'Modelo Energético '!$Q$228</definedName>
    <definedName name="EE_13_Mall">'Modelo Energético '!$A$230:$A$243</definedName>
    <definedName name="EE_13_other">'Modelo Energético '!$A$515:$A$524,'Modelo Energético '!$A$526,'Modelo Energético '!$A$528</definedName>
    <definedName name="EE_13_peak">'Modelo Energético '!$A$531:$A$539</definedName>
    <definedName name="EE_13_PV">'Modelo Energético '!$A$272:$A$314</definedName>
    <definedName name="EE_13_Recip">'Modelo Energético '!$A$502:$A$510,'Modelo Energético '!$A$512,'Modelo Energético '!$A$514</definedName>
    <definedName name="EE_13_tech">'Modelo Energético '!$A$272:$A$528</definedName>
    <definedName name="EE_13_type">'Modelo Energético '!$M$193</definedName>
    <definedName name="EE_13_water">'Modelo Energético '!$A$203:$A$227</definedName>
    <definedName name="EE_13_Wind">'Modelo Energético '!$A$315:$A$392</definedName>
    <definedName name="EE_13_WP1">'Modelo Energético '!$A$206:$A$220,'Modelo Energético '!$A$222:$A$223</definedName>
    <definedName name="EE_13_WP2">'Modelo Energético '!$A$224:$A$226</definedName>
    <definedName name="EE_13WP_AL">'Modelo Energético '!$M$204</definedName>
    <definedName name="EE_14">'Modelo Energético '!$A$541:$A$662</definedName>
    <definedName name="EE_14_BV">'Modelo Energético '!$A$546:$A$579</definedName>
    <definedName name="EE_14_BVFT">'Modelo Energético '!$M$547</definedName>
    <definedName name="EE_14_BVFT1">'Modelo Energético '!$A$549,'Modelo Energético '!$A$551:$A$553</definedName>
    <definedName name="EE_14_L">'Modelo Energético '!$A$542:$A$544</definedName>
    <definedName name="EE_14_M1all">'Modelo Energético '!$A$563:$A$574</definedName>
    <definedName name="EE_14_M2all">'Modelo Energético '!$A$593:$A$604</definedName>
    <definedName name="EE_14_PA">'Modelo Energético '!$A$580:$A$608</definedName>
    <definedName name="EE_15">'Modelo Energético '!$A$663:$A$789</definedName>
    <definedName name="EE_15_HX">'Modelo Energético '!$M$779</definedName>
    <definedName name="EE_15_L">'Modelo Energético '!$A$664:$A$666</definedName>
    <definedName name="EE_15_M1all">'Modelo Energético '!$A$679:$A$690</definedName>
    <definedName name="EE_15_M2all">'Modelo Energético '!$A$712:$A$723</definedName>
    <definedName name="EE_15_SP">'Modelo Energético '!$A$669:$A$699</definedName>
    <definedName name="EE_15_SP_BP">'Modelo Energético '!$A$775:$A$777</definedName>
    <definedName name="EE_15_SP_Type">'Modelo Energético '!$M$670</definedName>
    <definedName name="EE_15_SP_Type1">'Modelo Energético '!$A$675:$A$676</definedName>
    <definedName name="EE_15_storage">'Modelo Energético '!$M$775</definedName>
    <definedName name="EE_15_storage1">'Modelo Energético '!$A$776:$A$777</definedName>
    <definedName name="EE_15_SWHtype">'Modelo Energético '!$M$759</definedName>
    <definedName name="EE_15_WH">'Modelo Energético '!$A$701:$A$733</definedName>
    <definedName name="EE_15_WH_type">'Modelo Energético '!$M$703</definedName>
    <definedName name="EE_15_WH_type1">'Modelo Energético '!$A$704:$A$706</definedName>
    <definedName name="EE_15_WT">'Modelo Energético '!$M$725</definedName>
    <definedName name="EE_15_WT1">'Modelo Energético '!$A$726:$A$727</definedName>
    <definedName name="EE_15_WT2">'Modelo Energético '!$A$728:$A$729</definedName>
    <definedName name="EE_15_WTSP">'Modelo Energético '!$M$692</definedName>
    <definedName name="EE_15_WTSP1">'Modelo Energético '!$A$693:$A$694</definedName>
    <definedName name="EE_15_WTSP2">'Modelo Energético '!$A$695:$A$696</definedName>
    <definedName name="EE_8_M" localSheetId="3">'Modelo Energético '!$Q$675</definedName>
    <definedName name="EE_9_M" localSheetId="3">'Modelo Energético '!$Q$710</definedName>
    <definedName name="EE_all">'Modelo Energético '!$A$4:$A$952</definedName>
    <definedName name="EE_battery">'Modelo Energético '!$M$258</definedName>
    <definedName name="EE_battery1">'Modelo Energético '!$A$259:$A$268</definedName>
    <definedName name="EE_Bio">'Modelo Energético '!$A$905:$A$932</definedName>
    <definedName name="EE_CB1">'Modelo Energético '!$C$1119</definedName>
    <definedName name="EE_CB10">'Modelo Energético '!$C$1128</definedName>
    <definedName name="EE_CB11">'Modelo Energético '!$C$1129</definedName>
    <definedName name="EE_CB12">'Modelo Energético '!$C$1130</definedName>
    <definedName name="EE_CB13">'Modelo Energético '!$C$1131</definedName>
    <definedName name="EE_CB14">'Modelo Energético '!$C$1132</definedName>
    <definedName name="EE_CB14_1" localSheetId="3">'Modelo Energético '!$Q$542</definedName>
    <definedName name="EE_CB14_2">'Modelo Energético '!$Q$543</definedName>
    <definedName name="EE_CB15">'Modelo Energético '!$C$1133</definedName>
    <definedName name="EE_CB15_1" localSheetId="3">'Modelo Energético '!$Q$664</definedName>
    <definedName name="EE_CB15_2">'Modelo Energético '!$Q$665</definedName>
    <definedName name="EE_CB16">'Modelo Energético '!$C$1134</definedName>
    <definedName name="EE_CB17">'Modelo Energético '!$C$1135</definedName>
    <definedName name="EE_CB18">'Modelo Energético '!$C$1136</definedName>
    <definedName name="EE_CB19">'Modelo Energético '!$C$1137</definedName>
    <definedName name="EE_CB2">'Modelo Energético '!$C$1120</definedName>
    <definedName name="EE_CB20">'Modelo Energético '!$C$1138</definedName>
    <definedName name="EE_CB21">'Modelo Energético '!$C$1139</definedName>
    <definedName name="EE_CB22">'Modelo Energético '!$C$1140</definedName>
    <definedName name="EE_CB23">'Modelo Energético '!$C$1141</definedName>
    <definedName name="EE_CB24">'Modelo Energético '!$C$1142</definedName>
    <definedName name="EE_CB25">'Modelo Energético '!$C$1143</definedName>
    <definedName name="EE_CB26">'Modelo Energético '!$C$1144</definedName>
    <definedName name="EE_CB27">'Modelo Energético '!$C$1145</definedName>
    <definedName name="EE_CB3">'Modelo Energético '!$C$1121</definedName>
    <definedName name="EE_CB4">'Modelo Energético '!$C$1122</definedName>
    <definedName name="EE_CB5">'Modelo Energético '!$C$1123</definedName>
    <definedName name="EE_CB6">'Modelo Energético '!$C$1124</definedName>
    <definedName name="EE_CB7">'Modelo Energético '!$C$1125</definedName>
    <definedName name="EE_CB8">'Modelo Energético '!$C$1126</definedName>
    <definedName name="EE_CB9">'Modelo Energético '!$C$1127</definedName>
    <definedName name="EE_CHP">'Modelo Energético '!$A$877:$A$904</definedName>
    <definedName name="EE_CS">'Modelo Energético '!$A$808:$A$825</definedName>
    <definedName name="EE_CS_1">'Modelo Energético '!$A$811:$A$815</definedName>
    <definedName name="EE_CS_CB" localSheetId="3">'Modelo Energético '!$D$1084</definedName>
    <definedName name="EE_CS_CB1">'Modelo Energético '!$Q$809</definedName>
    <definedName name="EE_Eff">'Modelo Energético '!$A$5:$A$189</definedName>
    <definedName name="EE_EM">'Modelo Energético '!$A$790:$A$850</definedName>
    <definedName name="EE_FA">'Modelo Energético '!$M$981</definedName>
    <definedName name="EE_GHG">'Modelo Energético '!$A$955:$A$973</definedName>
    <definedName name="EE_GHG_CB" localSheetId="3">'Modelo Energético '!$Q$953</definedName>
    <definedName name="EE_GHG_CR">'Modelo Energético '!$D$970</definedName>
    <definedName name="EE_GHG_CR1">'Modelo Energético '!$A$971:$A$972,'Modelo Energético '!$A$1006</definedName>
    <definedName name="EE_GHG_grid">'Modelo Energético '!$M$960</definedName>
    <definedName name="EE_GHG_P">'Modelo Energético '!$J$1092</definedName>
    <definedName name="EE_GHG_P_old">'Modelo Energético '!$K$1092</definedName>
    <definedName name="EE_GHG_P1">'Modelo Energético '!$A$956:$A$961</definedName>
    <definedName name="EE_GHG1">'Modelo Energético '!$A$953:$A$954</definedName>
    <definedName name="EE_HS">'Modelo Energético '!$A$790:$A$807</definedName>
    <definedName name="EE_HS_CB" localSheetId="3">'Modelo Energético '!$D$1083</definedName>
    <definedName name="EE_HS_CB2" localSheetId="3">'Modelo Energético '!$Q$792</definedName>
    <definedName name="EE_HS_SE1">'Modelo Energético '!$A$802:$A$802</definedName>
    <definedName name="EE_HS2">'Modelo Energético '!$A$794:$A$800</definedName>
    <definedName name="EE_HS3">'Modelo Energético '!$A$790:$A$791,'Modelo Energético '!$A$806</definedName>
    <definedName name="EE_Hydro">'Modelo Energético '!$A$869:$A$876</definedName>
    <definedName name="EE_Hydro_FAF">'Modelo Energético '!$Q$474</definedName>
    <definedName name="EE_Hydro_FAF1">'Modelo Energético '!$A$475:$A$489</definedName>
    <definedName name="EE_Hydro_HT">'Modelo Energético '!$M$414</definedName>
    <definedName name="EE_Hydro_MFM">'Modelo Energético '!$M$402</definedName>
    <definedName name="EE_Hydro_MFM_all">'Modelo Energético '!$A$403:$A$406</definedName>
    <definedName name="EE_Hydro_offgrid">'Modelo Energético '!$M$396</definedName>
    <definedName name="EE_Hydro_offgrid1">'Modelo Energético '!$A$426:$A$449</definedName>
    <definedName name="EE_Hydro_offgrid2">'Modelo Energético '!$A$450:$A$472</definedName>
    <definedName name="EE_Hydro_offgrid3">'Modelo Energético '!$A$397:$A$399</definedName>
    <definedName name="EE_Hydro_offgrid4">'Modelo Energético '!$A$402:$A$405,'Modelo Energético '!$A$408</definedName>
    <definedName name="EE_Hydro_PL">'Modelo Energético '!$M$530</definedName>
    <definedName name="EE_Hydro_PL1">'Modelo Energético '!$M$531:$M$539</definedName>
    <definedName name="EE_Hydro_PL2">'Modelo Energético '!$M$537:$M$539</definedName>
    <definedName name="EE_inverter">'Modelo Energético '!$M$253</definedName>
    <definedName name="EE_inverter1">'Modelo Energético '!$A$254:$A$255</definedName>
    <definedName name="EE_L3">'Modelo Energético '!$A$953:$A$1016</definedName>
    <definedName name="EE_L3_x">'Modelo Energético '!$A$790:'Modelo Energético '!$A$932</definedName>
    <definedName name="EE_lastrows">'Modelo Energético '!$A$1017:$A$1019</definedName>
    <definedName name="EE_Level">'Modelo Energético '!$R$1</definedName>
    <definedName name="EE_Level_old">'Modelo Energético '!$S$1</definedName>
    <definedName name="EE_PS">'Modelo Energético '!$A$826:$A$850</definedName>
    <definedName name="EE_PS_1">'Modelo Energético '!$A$828:$A$843,'Modelo Energético '!$A$845</definedName>
    <definedName name="EE_PS_2">'Modelo Energético '!$A$846</definedName>
    <definedName name="EE_PS_CB" localSheetId="3">'Modelo Energético '!$D$1085</definedName>
    <definedName name="EE_PS_CB2" localSheetId="3">'Modelo Energético '!$S$826</definedName>
    <definedName name="EE_PV">'Modelo Energético '!$A$851:$A$859</definedName>
    <definedName name="EE_PV_show">'Modelo Energético '!$M$277</definedName>
    <definedName name="EE_PV_show1">'Modelo Energético '!$A$278:$A$296</definedName>
    <definedName name="EE_PV_Track">'Modelo Energético '!$M$273</definedName>
    <definedName name="EE_PV_type">'Modelo Energético '!$M$298</definedName>
    <definedName name="EE_PV_type1">'Modelo Energético '!$A$303:$A$304</definedName>
    <definedName name="EE_PV_type2">'Modelo Energético '!$A$305:$A$306</definedName>
    <definedName name="EE_SAH_hide">'Modelo Energético '!$M$633</definedName>
    <definedName name="EE_SAH_show">'Modelo Energético '!$Q$614</definedName>
    <definedName name="EE_SAH_show1">'Modelo Energético '!$A$615:$A$632</definedName>
    <definedName name="EE_SAH_type">'Modelo Energético '!$M$634</definedName>
    <definedName name="EE_SAH1">'Modelo Energético '!$A$639:$A$640,'Modelo Energético '!$A$651,'Modelo Energético '!$A$635</definedName>
    <definedName name="EE_SAH2">'Modelo Energético '!$A$652:$A$653</definedName>
    <definedName name="EE_SAH3">'Modelo Energético '!$A$652</definedName>
    <definedName name="EE_SAH4">'Modelo Energético '!$A$638,'Modelo Energético '!$A$651</definedName>
    <definedName name="EE_SAH5">'Modelo Energético '!$A$641:$A$648</definedName>
    <definedName name="EE_SAH6">'Modelo Energético '!$A$649</definedName>
    <definedName name="EE_Settings">'Modelo Energético '!$C$1119:$C$1146</definedName>
    <definedName name="EE_Settings1">'Modelo Energético '!$D$1119:$D$1146</definedName>
    <definedName name="EE_Settings2">'Modelo Energético '!$E$1119:$E$1146</definedName>
    <definedName name="EE_Settings3">'Modelo Energético '!$F$1119:$F$1146</definedName>
    <definedName name="EE_SettingsOld">'Modelo Energético '!$G$1119:$G$1146</definedName>
    <definedName name="EE_SWH">'Modelo Energético '!$Q$739</definedName>
    <definedName name="EE_SWH1">'Modelo Energético '!$A$740:$A$757</definedName>
    <definedName name="EE_Table">'Modelo Energético '!$M$40</definedName>
    <definedName name="EE_Type" localSheetId="3">'Modelo Energético '!$R$2</definedName>
    <definedName name="EE_Type_old">'Modelo Energético '!$S$2</definedName>
    <definedName name="EE_UD_list">'Modelo Energético '!$K$1150:$K$1156</definedName>
    <definedName name="EE_UD_list1">'Modelo Energético '!$H$1150:$H$1156</definedName>
    <definedName name="EE_UD_listSort">'Modelo Energético '!$K$1150</definedName>
    <definedName name="EE_User">'Modelo Energético '!$A$933:$A$952</definedName>
    <definedName name="EE_UserCode">'Modelo Energético '!$M$933</definedName>
    <definedName name="EE_UserDef">'Modelo Energético '!$A$938:$A$942</definedName>
    <definedName name="EE_UserDef1">'Modelo Energético '!$A$938:$A$942</definedName>
    <definedName name="EE_UserDef2">'Modelo Energético '!$A$943:$A$949</definedName>
    <definedName name="EE_UserDef3">'Modelo Energético '!$A$950:$A$951</definedName>
    <definedName name="EE_Wind">'Modelo Energético '!$A$860:$A$868</definedName>
    <definedName name="EE_WindCurve">'Modelo Energético '!$M$353</definedName>
    <definedName name="EE_WindCurve1">'Modelo Energético '!$A$355:$A$382</definedName>
    <definedName name="EE_windECD">'Modelo Energético '!$M$349</definedName>
    <definedName name="EE_WindSP">'Modelo Energético '!$M$318</definedName>
    <definedName name="EE1_Show1">'Modelo Energético '!$M$4</definedName>
    <definedName name="EE1_Show11">'Modelo Energético '!$A$5:$A$35</definedName>
    <definedName name="EE1_Show2">'Modelo Energético '!$M$37</definedName>
    <definedName name="EE1_Show20">'Modelo Energético '!$A$36:$A$37</definedName>
    <definedName name="EE1_Show21">'Modelo Energético '!$A$38:$A$149</definedName>
    <definedName name="EE1_Show3">'Modelo Energético '!$M$151</definedName>
    <definedName name="EE1_Show30">'Modelo Energético '!$A$149:$A$151</definedName>
    <definedName name="EE1_Show31">'Modelo Energético '!$A$152:$A$189</definedName>
    <definedName name="EEM_Cap_Wind2">'Modelo Energético '!$D$862</definedName>
    <definedName name="EEM_Capa_PV">'Modelo Energético '!$D$299</definedName>
    <definedName name="EEM_Checkbox">'Modelo Energético '!$AP$2:$AU$113</definedName>
    <definedName name="EEM_FD">'Modelo Energético '!$Q$39</definedName>
    <definedName name="EEM_FD1">'Modelo Energético '!$Q$41:$Q$147</definedName>
    <definedName name="EEM_FD2">'Modelo Energético '!$V$41:$V$147</definedName>
    <definedName name="EEM_FD3">'Modelo Energético '!$W$41:$W$147</definedName>
    <definedName name="EEM_GrossHead_Unit">'Modelo Energético '!$C$400</definedName>
    <definedName name="EEM_HydroGaugeID">'Modelo Energético '!$D$408</definedName>
    <definedName name="EEM_HydroNormFlow">'Modelo Energético '!$D$452:$D$472</definedName>
    <definedName name="EEM_HydroType">'Modelo Energético '!$D$414</definedName>
    <definedName name="EEM_LC1">'Modelo Energético '!$K$1021</definedName>
    <definedName name="EEM_LC2">'Modelo Energético '!$K$1022</definedName>
    <definedName name="EEM_LC3">'Modelo Energético '!$K$1023</definedName>
    <definedName name="EEM_Link">'Modelo Energético '!$C$1018</definedName>
    <definedName name="EEM_Manu_Hydro2">'Modelo Energético '!$C$871</definedName>
    <definedName name="EEM_Manu_Other">'Modelo Energético '!$C$522</definedName>
    <definedName name="EEM_Manu_PV2">'Modelo Energético '!$C$854</definedName>
    <definedName name="EEM_Manu_ReciEngine">'Modelo Energético '!$C$508</definedName>
    <definedName name="EEM_Manu_Wind2">'Modelo Energético '!$C$863</definedName>
    <definedName name="EEM_ManuHeating1">'Modelo Energético '!$C$636</definedName>
    <definedName name="EEM_ManuHeating2">'Modelo Energético '!$C$760</definedName>
    <definedName name="EEM_ManuHydro">'Modelo Energético '!$C$537</definedName>
    <definedName name="EEM_NbUnits">'Modelo Energético '!$I$1192</definedName>
    <definedName name="EEM_RadioButtons">'Modelo Energético '!$AA$2:$AK$12</definedName>
    <definedName name="EEM_select">'Modelo Energético '!$B$40</definedName>
    <definedName name="EEM_T1">'Modelo Energético '!$K$1024</definedName>
    <definedName name="EEM_T2">'Modelo Energético '!$K$1025</definedName>
    <definedName name="EEM_T3">'Modelo Energético '!$K$1026</definedName>
    <definedName name="EEM_T4">'Modelo Energético '!$K$1027</definedName>
    <definedName name="EEM_T5">'Modelo Energético '!$K$1028</definedName>
    <definedName name="EEM_T6">'Modelo Energético '!$K$1029</definedName>
    <definedName name="EEM_T7">'Modelo Energético '!$K$1030</definedName>
    <definedName name="EEM_T7_all">'Modelo Energético '!$A$5:$A$161</definedName>
    <definedName name="EEM_Wind_Power_Capacity">'Modelo Energético '!$D$341</definedName>
    <definedName name="EET_save">EET!$CQ$2:$CR$19</definedName>
    <definedName name="Elevation">Iniciar!$D$51</definedName>
    <definedName name="ElevationUnit">Iniciar!$R$54</definedName>
    <definedName name="EM_857">'Modelo Energético'!$A$864</definedName>
    <definedName name="EM_859">'Modelo Energético'!$A$859</definedName>
    <definedName name="EM_861">'Modelo Energético'!$A$861</definedName>
    <definedName name="EM_BI">'Modelo Energético'!$G$1074</definedName>
    <definedName name="EM_CapaUnitHeat1">'Modelo Energético'!$C$905</definedName>
    <definedName name="EM_CapaUnitHeat2">'Modelo Energético'!$C$915</definedName>
    <definedName name="EM_CapaUnitPower1">'Modelo Energético'!$C$884</definedName>
    <definedName name="EM_CapaValueHeat1">'Modelo Energético'!$D$905</definedName>
    <definedName name="EM_CapaValueHeat2">'Modelo Energético'!$D$915</definedName>
    <definedName name="EM_CapaValuePower1">'Modelo Energético'!$D$884</definedName>
    <definedName name="EM_Charts">'Modelo Energético'!$A$1033:$A$1058</definedName>
    <definedName name="EM_Cost1">'Modelo Energético'!$H$10,'Modelo Energético'!$H$21,'Modelo Energético'!$H$72,'Modelo Energético'!$H$79,'Modelo Energético'!$H$92</definedName>
    <definedName name="EM_Cost2">'Modelo Energético'!$H$104,'Modelo Energético'!$H$116,'Modelo Energético'!$H$161,'Modelo Energético'!$H$198,'Modelo Energético'!$H$213</definedName>
    <definedName name="EM_Cost3">'Modelo Energético'!$H$257,'Modelo Energético'!$H$306,'Modelo Energético'!$H$367,'Modelo Energético'!$H$439,'Modelo Energético'!$H$475,'Modelo Energético'!$H$496</definedName>
    <definedName name="EM_Cost4">'Modelo Energético'!$H$505,'Modelo Energético'!$H$517,'Modelo Energético'!$H$525,'Modelo Energético'!$H$533,'Modelo Energético'!$H$587,'Modelo Energético'!$H$541</definedName>
    <definedName name="EM_Cost5">'Modelo Energético'!$H$595,'Modelo Energético'!$H$609,'Modelo Energético'!$H$621,'Modelo Energético'!$H$633,'Modelo Energético'!$H$678</definedName>
    <definedName name="EM_Cost6">'Modelo Energético'!$H$715,'Modelo Energético'!$H$730,'Modelo Energético'!$H$742,'Modelo Energético'!$H$750,'Modelo Energético'!$H$758,'Modelo Energético'!$H$767</definedName>
    <definedName name="EM_Cost7">'Modelo Energético'!$H$779,'Modelo Energético'!$H$787,'Modelo Energético'!$H$795,'Modelo Energético'!$H$803,'Modelo Energético'!$F$884</definedName>
    <definedName name="EM_Cost8">'Modelo Energético'!$F$891,'Modelo Energético'!$F$905,'Modelo Energético'!$F$915,'Modelo Energético'!$F$922,'Modelo Energético'!$F$936</definedName>
    <definedName name="EM_Curr2">Iniciar!$O$35</definedName>
    <definedName name="EM_Currency">Iniciar!$E$35</definedName>
    <definedName name="EM_FA">'Modelo Energético'!$M$994</definedName>
    <definedName name="EM_FuelH1">'Modelo Energético'!$D$903</definedName>
    <definedName name="EM_FuelH2">'Modelo Energético'!$D$912</definedName>
    <definedName name="EM_FuelH2_I">Iniciar!$L$92</definedName>
    <definedName name="EM_FuelP">'Modelo Energético'!$D$881</definedName>
    <definedName name="EM_FuelType">Language!$C$1170:$C$1184</definedName>
    <definedName name="EM_FuelTypeH">'Modelo Energético'!$B$1062:$B$1081</definedName>
    <definedName name="EM_GHG">'Modelo Energético'!$A$968:$A$986</definedName>
    <definedName name="EM_GHG_CB">'Modelo Energético'!$P$967</definedName>
    <definedName name="EM_GHG_CR">'Modelo Energético'!$D$983</definedName>
    <definedName name="EM_GHG_CR1">'Modelo Energético'!$A$984:$A$985</definedName>
    <definedName name="EM_GHG_P">'Modelo Energético'!$M$969</definedName>
    <definedName name="EM_GHG_P1">'Modelo Energético'!$A$969:$A$974</definedName>
    <definedName name="EM_GHG2">'Modelo Energético'!$B$971</definedName>
    <definedName name="EM_GHG3">'Modelo Energético'!$P$971</definedName>
    <definedName name="EM_gridtype">Iniciar!$N$26</definedName>
    <definedName name="EM_gridtype_power">'Modelo Energético'!$A$812,'Modelo Energético'!$A$815,'Modelo Energético'!$A$823:$A$857,'Modelo Energético'!$A$866:$A$936,'Modelo Energético'!$A$946</definedName>
    <definedName name="EM_Gridtype_power1">'Modelo Energético'!$A$863:$A$865</definedName>
    <definedName name="EM_GrossHead_Unit">'Modelo Energético'!$C$320</definedName>
    <definedName name="EM_headers">'Modelo Energético'!$A$862:$A$865,'Modelo Energético'!$A$937:$A$938,'Modelo Energético'!$A$963:$A$964</definedName>
    <definedName name="EM_Heatingvalue">Language!$C$82:$C$83</definedName>
    <definedName name="EM_Heatingvalue_I">Iniciar!$U$25</definedName>
    <definedName name="EM_Heatingvalue_V">Iniciar!$S$15</definedName>
    <definedName name="EM_HeatManufac1">'Modelo Energético'!$D$907</definedName>
    <definedName name="EM_HeatManufac2">'Modelo Energético'!$D$917</definedName>
    <definedName name="EM_HeatModel1">'Modelo Energético'!$D$908</definedName>
    <definedName name="EM_HeatModel2">'Modelo Energético'!$D$918</definedName>
    <definedName name="EM_HeatType1">'Modelo Energético'!$D$902</definedName>
    <definedName name="EM_HeatType2">'Modelo Energético'!$D$911</definedName>
    <definedName name="EM_HydrologyMethod">'Modelo Energético'!$Q$316:$Q$317</definedName>
    <definedName name="EM_HydroTurbines">'Modelo Energético'!$S$316:$S$322</definedName>
    <definedName name="EM_level">'Modelo Energético'!$P$4</definedName>
    <definedName name="EM_Link">'Modelo Energético'!$C$1031:$E$1031</definedName>
    <definedName name="EM_Links">Iniciar!$R$2:$R$5</definedName>
    <definedName name="EM_MeanFlowMethod">'Modelo Energético'!$R$316:$R$317</definedName>
    <definedName name="EM_Method1">'Modelo Energético'!$A$966:$A$1029</definedName>
    <definedName name="EM_OCP1_L1">'Modelo Energético'!$A$520</definedName>
    <definedName name="EM_Opstrat">'Modelo Energético'!$A$810</definedName>
    <definedName name="EM_PDHeatLink1">'Modelo Energético'!$E$907</definedName>
    <definedName name="EM_PDHeatLink2">'Modelo Energético'!$E$917</definedName>
    <definedName name="EM_PDPowerLink1">'Modelo Energético'!$E$886</definedName>
    <definedName name="EM_PowerManufac1">'Modelo Energético'!$D$886</definedName>
    <definedName name="EM_PowerModel1">'Modelo Energético'!$D$887</definedName>
    <definedName name="EM_Powerpeak">'Modelo Energético'!$E$1088:$E$1092</definedName>
    <definedName name="EM_Powerpeak1">'Modelo Energético'!$E$1088:$E$1091</definedName>
    <definedName name="EM_Powerrate">'Modelo Energético'!$A$813:$A$816</definedName>
    <definedName name="EM_ProjType">Language!$C$84:$C$90</definedName>
    <definedName name="EM_Projtype_I">Iniciar!$U$26</definedName>
    <definedName name="EM_Projtype_V">Iniciar!$D$20</definedName>
    <definedName name="EM_PV_track">'Modelo Energético'!$N$449</definedName>
    <definedName name="EM_saveC">'Modelo Energético'!$W$962:$X$962</definedName>
    <definedName name="EM_saveH">'Modelo Energético'!$W$958:$X$958</definedName>
    <definedName name="EM_saveP">'Modelo Energético'!$W$948:$X$948</definedName>
    <definedName name="EM_Tidal1_L1">'Modelo Energético'!$A$528</definedName>
    <definedName name="EM_TurbineEfficiency">'Modelo Energético'!$R$318:$R$319</definedName>
    <definedName name="EM_TypeHydro">'Modelo Energético'!$Q$313:$Q$314</definedName>
    <definedName name="EM_TypeValuePower1">'Modelo Energético'!$D$880</definedName>
    <definedName name="EM_Unit_Demand">Iniciar!$V$18:$V$19</definedName>
    <definedName name="EM_Unit_load">'Modelo Energético'!$U$866:$U$871</definedName>
    <definedName name="EM_UnitHeat1">'Modelo Energético'!$E$908</definedName>
    <definedName name="EM_UnitHeat2">'Modelo Energético'!$E$918</definedName>
    <definedName name="EM_UnitPower1">'Modelo Energético'!$E$887</definedName>
    <definedName name="EM_Units">Language!$C$80:$C$81</definedName>
    <definedName name="EM_Units_I">Iniciar!$U$24</definedName>
    <definedName name="EM_Units_V">Iniciar!$S$14</definedName>
    <definedName name="EM_Val1">Iniciar!$K$88:$K$98</definedName>
    <definedName name="EM_Val2">Iniciar!$L$87:$L$98</definedName>
    <definedName name="EM_Wave1_L1">'Modelo Energético'!$A$536</definedName>
    <definedName name="EMHV">Iniciar!$N$38</definedName>
    <definedName name="Eq_full_load_hours">'Carga e Rede'!$AI$7</definedName>
    <definedName name="EQ_SS">'Modelo Energético'!$X$5</definedName>
    <definedName name="EQ_SystemSelection">'Modelo Energético'!$C$30</definedName>
    <definedName name="Equi_inv" localSheetId="7">'Análise Financeira'!$D$14</definedName>
    <definedName name="Equip_Checkbox">'Modelo Energético'!$BD$3:$BI$7</definedName>
    <definedName name="Equip_CoolType">'Modelo Energético'!$C$6</definedName>
    <definedName name="Equip_CoolType2">'Modelo Energético'!$C$16</definedName>
    <definedName name="Equip_HeatingType">'Modelo Energético'!$C$32</definedName>
    <definedName name="Equip_HydroNbTurb">'Modelo Energético'!$D$371</definedName>
    <definedName name="Equip_HydroNormFlow">'Modelo Energético'!$D$406:$D$426</definedName>
    <definedName name="Equip_HydroType">'Modelo Energético'!$D$368</definedName>
    <definedName name="Equip_NbUnits">'Modelo Energético'!$J$1062</definedName>
    <definedName name="Equip_PowerType">'Modelo Energético'!$C$33</definedName>
    <definedName name="Equip_PowerType2">'Modelo Energético'!$A$34</definedName>
    <definedName name="Equip_PowerTypeInter">'Modelo Energético'!$C$550</definedName>
    <definedName name="Equip_RadioButtons">'Modelo Energético'!$AQ$3:$BA$9</definedName>
    <definedName name="EquipHeatingType2">'Modelo Energético'!$C$549</definedName>
    <definedName name="ErrIRR">'Análise de Risco'!$AB$110</definedName>
    <definedName name="ErrYear">'Análise de Risco'!$AB$111</definedName>
    <definedName name="ES_BoilerT">Language!$C$149:$C$150</definedName>
    <definedName name="ES_CapacityUnit1">'Modelo Energético'!$C$10,'Modelo Energético'!$C$21,'Modelo Energético'!$C$72,'Modelo Energético'!$C$79,'Modelo Energético'!$C$125,'Modelo Energético'!$C$587,'Modelo Energético'!$C$595</definedName>
    <definedName name="ES_CapacityUnit2">'Modelo Energético'!$C$642</definedName>
    <definedName name="ES_CapacityUnitTab">'Modelo Energético'!$R$1320:$T$1322</definedName>
    <definedName name="ES_CoolingCoHe1">'Modelo Energético'!$U$1319</definedName>
    <definedName name="ES_CoolingCoHe2">'Modelo Energético'!$U$1322</definedName>
    <definedName name="ES_CoolingTab">'Modelo Energético'!$B$1320:$E$1331</definedName>
    <definedName name="ES_CoolingtypeB">'Modelo Energético'!$G$1076:$G$1080</definedName>
    <definedName name="ES_CoolingtypeB_2">'Modelo Energético'!$I$1076:$I$1080</definedName>
    <definedName name="ES_CoolingtypeP">'Modelo Energético'!$G$1076:$G$1081</definedName>
    <definedName name="ES_CoolingtypeP_2">'Modelo Energético'!$I$1069:$I$1074</definedName>
    <definedName name="ES_coolingtypesort_B">'Modelo Energético'!$I$1076</definedName>
    <definedName name="ES_coolingtypesort_P">'Modelo Energético'!$I$1069</definedName>
    <definedName name="ES_Costcells">'Modelo Energético'!$J$43:$J$46,'Modelo Energético'!$J$65:$J$68,'Modelo Energético'!$J$559:$J$562,'Modelo Energético'!$J$581:$J$584</definedName>
    <definedName name="ES_Fuel">'Modelo Energético'!$B$1175:$B$1300</definedName>
    <definedName name="ES_Fuel_All">'Modelo Energético'!$B$1175:$I$1288</definedName>
    <definedName name="ES_Fuel_C1">'Modelo Energético'!$B$1175:$B$1195</definedName>
    <definedName name="ES_Fuel_list">'Modelo Energético'!$B$1175:$B$1288</definedName>
    <definedName name="ES_Fuel_list1">'Modelo Energético'!$R$1175:$R$1195</definedName>
    <definedName name="ES_Fuel_list1sort">'Modelo Energético'!$R$1175</definedName>
    <definedName name="ES_Fuel_list2">'Modelo Energético'!$R$1196:$R$1288</definedName>
    <definedName name="ES_Fuel_list2Sort">'Modelo Energético'!$R$1196</definedName>
    <definedName name="ES_Fuel2">'Modelo Energético'!$R$1175:$R$1288</definedName>
    <definedName name="ES_fuel3">'Modelo Energético'!$S$1175:$S$1195</definedName>
    <definedName name="ES_fuel31">'Modelo Energético'!$K$1175:$K$1195</definedName>
    <definedName name="ES_fuel3sort">'Modelo Energético'!$S$1175</definedName>
    <definedName name="ES_FuelC1">'Modelo Energético'!$C$8</definedName>
    <definedName name="ES_FuelC1_I">'Modelo Energético'!$W$5</definedName>
    <definedName name="ES_FuelC2">'Modelo Energético'!$C$18</definedName>
    <definedName name="ES_FuelMethod">Language!$C$143:$C$145</definedName>
    <definedName name="ES_Fuelselect">Language!$C$146:$C$148</definedName>
    <definedName name="ES_FueltypeN">'Modelo Energético'!$S$43:$S$45</definedName>
    <definedName name="ES_HeatingHeatpump1">'Modelo Energético'!$V$1319</definedName>
    <definedName name="ES_HeatingHeatpump2">'Modelo Energético'!$V$1322</definedName>
    <definedName name="ES_HeatingHeatpump3">'Modelo Energético'!$V$1325</definedName>
    <definedName name="ES_HeatingHeatpump4">'Modelo Energético'!$V$1328</definedName>
    <definedName name="ES_HeatingTab">'Modelo Energético'!$J$1334:$M$1340</definedName>
    <definedName name="ES_HeatingType">'Modelo Energético'!$E$1079:$E$1084</definedName>
    <definedName name="ES_HeatingType2">'Modelo Energético'!$D$1079:$D$1084</definedName>
    <definedName name="ES_HeatingTypeP">'Modelo Energético'!$E$1072:$E$1077</definedName>
    <definedName name="ES_HeatingTypeP2">'Modelo Energético'!$D$1072:$D$1077</definedName>
    <definedName name="ES_HeatingTypeSort">'Modelo Energético'!$D$1079</definedName>
    <definedName name="ES_HeatingTypeSortP">'Modelo Energético'!$D$1072</definedName>
    <definedName name="ES_Hyd_res">'Modelo Energético'!$A$317,'Modelo Energético'!$A$322:$A$325,'Modelo Energético'!$A$328</definedName>
    <definedName name="ES_Hydro_HM">'Modelo Energético'!$M$317</definedName>
    <definedName name="ES_Hydro_HMUD">'Modelo Energético'!$A$322:$A$325,'Modelo Energético'!$A$328</definedName>
    <definedName name="ES_Hydro_HT1">'Modelo Energético'!$M$370</definedName>
    <definedName name="ES_Hydro_HT2">'Modelo Energético'!$M$374</definedName>
    <definedName name="ES_Hydro_HT3">'Modelo Energético'!$A$376:$A$377</definedName>
    <definedName name="ES_Hydro_LC">'Modelo Energético'!$A$332:$A$365</definedName>
    <definedName name="ES_Hydro_MFM">'Modelo Energético'!$M$322</definedName>
    <definedName name="ES_Hydro_MFMUD">'Modelo Energético'!$A$323:$A$324,'Modelo Energético'!$A$326</definedName>
    <definedName name="ES_Hydro_PT">'Modelo Energético'!$M$316</definedName>
    <definedName name="ES_Hydro_runr">'Modelo Energético'!$A$404:$A$427</definedName>
    <definedName name="ES_Hydro_TECDS">'Modelo Energético'!$M$369</definedName>
    <definedName name="ES_Hydro_TECDS_S">'Modelo Energético'!$A$377:$A$378</definedName>
    <definedName name="ES_Hydro_UD">'Modelo Energético'!$A$380:$A$403</definedName>
    <definedName name="ES_Lang_click1">Language!$C$491</definedName>
    <definedName name="ES_PowerTab">'Modelo Energético'!$J$1320:$M$1329</definedName>
    <definedName name="ES_PowerType">'Modelo Energético'!$K$1063:$K$1076</definedName>
    <definedName name="ES_PowerType_sort">'Modelo Energético'!$M$1063:$M$1076</definedName>
    <definedName name="ES_PowerType_sortF">'Modelo Energético'!$M$1063</definedName>
    <definedName name="ES_PowerTypeGasTurbine">Language!$C$134</definedName>
    <definedName name="ES_PV_Type1">'Modelo Energético'!$A$479:$A$480</definedName>
    <definedName name="ES_PV_Type2">'Modelo Energético'!$A$481:$A$482</definedName>
    <definedName name="ES_SystemTab">'Modelo Energético'!$O$1320:$Q$1322</definedName>
    <definedName name="ES_TypeBI">Language!$C$131:$C$132</definedName>
    <definedName name="ES_value1">'Modelo Energético'!$V$4:$V$93</definedName>
    <definedName name="ES_value2">'Modelo Energético'!$W$4:$W$93</definedName>
    <definedName name="ES_valueSum1">'Modelo Energético'!$V$94</definedName>
    <definedName name="ES_valueSum2">'Modelo Energético'!$W$94</definedName>
    <definedName name="ES_Wind1">'Modelo Energético'!$M$266</definedName>
    <definedName name="ES_WindR1">'Modelo Energético'!$A$267:$A$294</definedName>
    <definedName name="facility_type_list">Iniciar!$G$107:$G$111</definedName>
    <definedName name="fBat">'Modelo Energético '!$W$343:$AE$347</definedName>
    <definedName name="Fin_Checkbox">'Análise Financeira'!$BN$2:$BS$6</definedName>
    <definedName name="Fin_save">'Análise Financeira'!$S$5:$S$14</definedName>
    <definedName name="Fin_save1">'Análise Financeira'!$S$16</definedName>
    <definedName name="Fin_save2">'Análise Financeira'!$S$19:$S$22</definedName>
    <definedName name="Fin_save3">'Análise Financeira'!$S$25:$S$27</definedName>
    <definedName name="Fin_save4">'Análise Financeira'!$S$30:$S$36</definedName>
    <definedName name="Fin_save5">'Análise Financeira'!$S$41:$S$56</definedName>
    <definedName name="fPV">'Modelo Energético '!$W$284:$AE$318</definedName>
    <definedName name="FrTA" localSheetId="3">'Modelo Energético '!$D$764</definedName>
    <definedName name="FrTA_wind" localSheetId="3">'Modelo Energético '!$R$765</definedName>
    <definedName name="FrUL" localSheetId="3">'Modelo Energético '!$R$766</definedName>
    <definedName name="FrUL_wind" localSheetId="3">'Modelo Energético '!$R$767</definedName>
    <definedName name="FS_all">'Análise Financeira'!$X$87:$AA$87</definedName>
    <definedName name="FS_GHGUnit">'Análise Financeira'!$C$39:$C$46</definedName>
    <definedName name="FS_HeatingSalesRebate">'Análise Financeira'!$D$51</definedName>
    <definedName name="Fuel_ER" localSheetId="7">'Análise Financeira'!$U$61</definedName>
    <definedName name="FuelEC">'Modelo Energético'!$B$1176:$B$1291,'Modelo Energético'!$G$1176:$H$1291</definedName>
    <definedName name="FuelLN">'Carga e Rede'!$E$340:$E$360,'Carga e Rede'!$P$340:$P$360</definedName>
    <definedName name="FuelLN_1">'Carga e Rede'!$B$340</definedName>
    <definedName name="FuelLN_2">'Carga e Rede'!$C$340</definedName>
    <definedName name="FuelLN_Sort">'Carga e Rede'!$B$340:$C$360</definedName>
    <definedName name="FuelLN_ST">'Carga e Rede'!$B$340:$B$360</definedName>
    <definedName name="FuelLN_SV">'Carga e Rede'!$C$340:$C$360</definedName>
    <definedName name="FuelLN_type">'Carga e Rede'!$E$340:$E$360</definedName>
    <definedName name="FuelLN_value">'Carga e Rede'!$P$340:$P$360</definedName>
    <definedName name="GHG">'Análise de Emissões'!$N$5</definedName>
    <definedName name="GHG_BaseCaseElec">'Análise de Emissões'!$D$341:$H$589</definedName>
    <definedName name="GHG_Baseline">'Análise de Emissões'!$N$45</definedName>
    <definedName name="GHG_Baseline2">'Análise de Emissões'!$N$28</definedName>
    <definedName name="GHG_Baseline3">'Análise de Emissões'!$N$17</definedName>
    <definedName name="GHG_BC">'Análise de Emissões'!$N$51:$N$86</definedName>
    <definedName name="GHG_BC_C">'Análise de Emissões'!$A$51:$A$53,'Análise de Emissões'!$A$75</definedName>
    <definedName name="GHG_BC_S">'Análise de Emissões'!$A$51:$A$53,'Análise de Emissões'!$A$64</definedName>
    <definedName name="GHG_BC_U">'Análise de Emissões'!$A$51:$A$53,'Análise de Emissões'!$A$86</definedName>
    <definedName name="GHG_BC1">'Análise de Emissões'!$N$54</definedName>
    <definedName name="GHG_BCE">'Análise de Emissões'!$N$15</definedName>
    <definedName name="GHG_BCE_mem">'Análise de Emissões'!$O$15</definedName>
    <definedName name="GHG_CBC1">'Análise de Emissões'!$A$65</definedName>
    <definedName name="GHG_CDMProject">'Análise de Emissões'!$T$2</definedName>
    <definedName name="GHG_CH4">'Análise de Emissões'!$P$7</definedName>
    <definedName name="GHG_change_BL">'Análise de Emissões'!$E$45</definedName>
    <definedName name="GHG_Checkbox">'Análise de Emissões'!$AL$2:$AQ$2</definedName>
    <definedName name="GHG_conv">'Análise de Emissões'!$V$223:$V$230</definedName>
    <definedName name="GHG_convT">'Análise de Emissões'!$V$223:$W$230</definedName>
    <definedName name="GHG_Countries">'Análise de Emissões'!$D$341:$D$589</definedName>
    <definedName name="GHG_Country">'Análise de Emissões'!$C$43</definedName>
    <definedName name="GHG_CPC1">'Análise de Emissões'!$A$131</definedName>
    <definedName name="GHG_Data">'Análise de Emissões'!$C$207:$G$221</definedName>
    <definedName name="GHG_EmisFactor">'Análise de Emissões'!$F$43</definedName>
    <definedName name="GHG_EnergyModelUse">'Análise de Emissões'!$T$4</definedName>
    <definedName name="GHG_Etype">'Análise de Emissões'!$N$200:$N$204</definedName>
    <definedName name="GHG_Fuel">'Análise de Emissões'!$J$341:$J$355</definedName>
    <definedName name="GHG_Fuel01">'Análise de Emissões'!$B$15</definedName>
    <definedName name="GHG_Fuel01_paste">'Análise de Emissões'!$E$15:$I$15</definedName>
    <definedName name="GHG_Fuel02">'Análise de Emissões'!$B$16</definedName>
    <definedName name="GHG_Fuel02_paste">'Análise de Emissões'!$E$16:$I$16</definedName>
    <definedName name="GHG_Fuel03">'Análise de Emissões'!$B$17</definedName>
    <definedName name="GHG_Fuel03_paste">'Análise de Emissões'!$E$17:$I$17</definedName>
    <definedName name="GHG_Fuel04">'Análise de Emissões'!$B$18</definedName>
    <definedName name="GHG_Fuel04_paste">'Análise de Emissões'!$E$18:$I$18</definedName>
    <definedName name="GHG_Fuel05">'Análise de Emissões'!$B$19</definedName>
    <definedName name="GHG_Fuel05_paste">'Análise de Emissões'!$E$19:$I$19</definedName>
    <definedName name="GHG_Fuel06">'Análise de Emissões'!$B$20</definedName>
    <definedName name="GHG_Fuel06_paste">'Análise de Emissões'!$E$20:$I$20</definedName>
    <definedName name="GHG_Fuel07">'Análise de Emissões'!$B$21</definedName>
    <definedName name="GHG_Fuel07_paste">'Análise de Emissões'!$E$21:$I$21</definedName>
    <definedName name="GHG_Fuel08">'Análise de Emissões'!$B$22</definedName>
    <definedName name="GHG_Fuel08_I">'Análise de Emissões'!$Y$9</definedName>
    <definedName name="GHG_Fuel08_paste">'Análise de Emissões'!$E$22:$I$22</definedName>
    <definedName name="GHG_Fuel09">'Análise de Emissões'!$B$23</definedName>
    <definedName name="GHG_Fuel09_I">'Análise de Emissões'!$Y$10</definedName>
    <definedName name="GHG_Fuel09_paste">'Análise de Emissões'!$E$23:$I$23</definedName>
    <definedName name="GHG_Fuel1">'Análise de Emissões'!$C$207:$C$221</definedName>
    <definedName name="GHG_Fuel10">'Análise de Emissões'!$B$24</definedName>
    <definedName name="GHG_Fuel10_I">'Análise de Emissões'!$Y$11</definedName>
    <definedName name="GHG_Fuel10_paste">'Análise de Emissões'!$E$24:$I$24</definedName>
    <definedName name="GHG_Fuel11">'Análise de Emissões'!$B$27</definedName>
    <definedName name="GHG_Fuel11_I">'Análise de Emissões'!$Y$12</definedName>
    <definedName name="GHG_Fuel12">'Análise de Emissões'!$B$28</definedName>
    <definedName name="GHG_Fuel12_I">'Análise de Emissões'!$Y$13</definedName>
    <definedName name="GHG_Fuel13">'Análise de Emissões'!$B$29</definedName>
    <definedName name="GHG_Fuel14">'Análise de Emissões'!$B$30</definedName>
    <definedName name="GHG_Fuel15">'Análise de Emissões'!$B$31</definedName>
    <definedName name="GHG_Fuel16">'Análise de Emissões'!$B$32</definedName>
    <definedName name="GHG_Fuel17">'Análise de Emissões'!$B$33</definedName>
    <definedName name="GHG_Fuel18">'Análise de Emissões'!$B$34</definedName>
    <definedName name="GHG_Fuel18_I">'Análise de Emissões'!$Y$19</definedName>
    <definedName name="GHG_Fuel19">'Análise de Emissões'!$B$35</definedName>
    <definedName name="GHG_Fuel19_I">'Análise de Emissões'!$Y$20</definedName>
    <definedName name="GHG_Fuel2">'Análise de Emissões'!$C$208:$C$221</definedName>
    <definedName name="GHG_Fuel20">'Análise de Emissões'!$B$36</definedName>
    <definedName name="GHG_Fuel20_I">'Análise de Emissões'!$Y$21</definedName>
    <definedName name="GHG_FuelA">'Análise de Emissões'!$C$206:$C$221</definedName>
    <definedName name="GHG_FuelS1">'Análise de Emissões'!$H$27</definedName>
    <definedName name="GHG_FuelS10">'Análise de Emissões'!$H$36</definedName>
    <definedName name="GHG_FuelS2">'Análise de Emissões'!$H$28</definedName>
    <definedName name="GHG_FuelS3">'Análise de Emissões'!$H$29</definedName>
    <definedName name="GHG_FuelS4">'Análise de Emissões'!$H$30</definedName>
    <definedName name="GHG_FuelS5">'Análise de Emissões'!$H$31</definedName>
    <definedName name="GHG_FuelS6">'Análise de Emissões'!$H$32</definedName>
    <definedName name="GHG_FuelS7">'Análise de Emissões'!$H$33</definedName>
    <definedName name="GHG_FuelS8">'Análise de Emissões'!$H$34</definedName>
    <definedName name="GHG_FuelS9">'Análise de Emissões'!$H$35</definedName>
    <definedName name="GHG_FuelSort">'Análise de Emissões'!$J$341</definedName>
    <definedName name="GHG_FuelType">'Análise de Emissões'!$E$43</definedName>
    <definedName name="GHG_FuelTypeIndex">'Análise de Emissões'!$N$43</definedName>
    <definedName name="GHG_LFG">'Análise de Emissões'!$H$202</definedName>
    <definedName name="GHG_LFG_All">'Análise de Emissões'!$A$87:$A$96,'Análise de Emissões'!$A$161:$A$166</definedName>
    <definedName name="GHG_LFG_F">'Análise de Emissões'!$Q$90</definedName>
    <definedName name="GHG_LFG_FC">'Análise de Emissões'!$A$92</definedName>
    <definedName name="GHG_LFG_FS">'Análise de Emissões'!$A$90</definedName>
    <definedName name="GHG_LFG_FU">'Análise de Emissões'!$A$94</definedName>
    <definedName name="GHG_LFG1">'Análise de Emissões'!$N$255</definedName>
    <definedName name="GHG_LFGC">'Análise de Emissões'!$A$161:$A$163,'Análise de Emissões'!$A$165,'Análise de Emissões'!$A$87:$A$89,'Análise de Emissões'!$A$92:$A$93,'Análise de Emissões'!$A$96</definedName>
    <definedName name="GHG_LFGS">'Análise de Emissões'!$A$87:$A$91,'Análise de Emissões'!$A$161:$A$164,'Análise de Emissões'!$A$96,'Análise de Emissões'!$A$169</definedName>
    <definedName name="GHG_LFGU">'Análise de Emissões'!$A$87:$A$89,'Análise de Emissões'!$A$161:$A$163,'Análise de Emissões'!$A$166,'Análise de Emissões'!$A$94:$A$96,'Análise de Emissões'!$A$169</definedName>
    <definedName name="GHG_Link">'Análise de Emissões'!$E$196</definedName>
    <definedName name="GHG_N20">'Análise de Emissões'!$P$8</definedName>
    <definedName name="GHG_offgrid">'Análise de Emissões'!$N$2</definedName>
    <definedName name="GHG_PC">'Análise de Emissões'!$N$114:$N$160</definedName>
    <definedName name="GHG_PC_C">'Análise de Emissões'!$A$114:$A$116,'Análise de Emissões'!$A$145</definedName>
    <definedName name="GHG_PC_S">'Análise de Emissões'!$A$114:$A$116,'Análise de Emissões'!$A$130</definedName>
    <definedName name="GHG_PC_U">'Análise de Emissões'!$A$114:$A$116,'Análise de Emissões'!$A$160</definedName>
    <definedName name="GHG_PC1">'Análise de Emissões'!$N$117</definedName>
    <definedName name="GHG_POT">'Análise de Emissões'!$P$7:$P$8</definedName>
    <definedName name="GHG_POT_mem">'Análise de Emissões'!$P$5:$P$6</definedName>
    <definedName name="GHG_RadioButtons">'Análise de Emissões'!$AD$2:$AI$4</definedName>
    <definedName name="GHG_Ref_BC">'Análise de Emissões'!$N$97:$N$110</definedName>
    <definedName name="GHG_Ref_BC1">'Análise de Emissões'!$N$97</definedName>
    <definedName name="GHG_Ref_PC">'Análise de Emissões'!$N$171:$N$183</definedName>
    <definedName name="GHG_Ref_PC1">'Análise de Emissões'!$N$171</definedName>
    <definedName name="GHG_save1">'Análise de Emissões'!$R$54:$R$64</definedName>
    <definedName name="GHG_save2">'Análise de Emissões'!$U$189:$U$190</definedName>
    <definedName name="GHG_save3">'Análise de Emissões'!$O$207:$O$315</definedName>
    <definedName name="GHG_save4">'Análise de Emissões'!$O$327:$O$336</definedName>
    <definedName name="GHG_SBC1">'Análise de Emissões'!$A$54</definedName>
    <definedName name="GHG_SPC1">'Análise de Emissões'!$A$117</definedName>
    <definedName name="GHG_Type">'Análise de Emissões'!$O$5</definedName>
    <definedName name="GHG_Types">'Análise de Emissões'!$C$202:$C$204</definedName>
    <definedName name="GHG_UBC1">'Análise de Emissões'!$A$76</definedName>
    <definedName name="GHG_UPC1">'Análise de Emissões'!$A$146</definedName>
    <definedName name="GHG_Value1">'Análise de Emissões'!$X$6:$X$34</definedName>
    <definedName name="GHG_Value2">'Análise de Emissões'!$Y$5:$Y$34</definedName>
    <definedName name="GHGType">'Análise de Emissões'!$A$149</definedName>
    <definedName name="Gridtype">'Modelo Energético'!$N$867</definedName>
    <definedName name="GSCC_test">'Modelo Energético'!$E$1118</definedName>
    <definedName name="GSCC1">'Modelo Energético'!$S$1116</definedName>
    <definedName name="GWPRefrigerants">'Análise de Emissões'!$N$340:$O$453</definedName>
    <definedName name="HCF">'Modelo Energético'!$C$1153</definedName>
    <definedName name="heat_list">Iniciar!$C$129</definedName>
    <definedName name="HeatingDesTempUnit">Iniciar!$R$55</definedName>
    <definedName name="HeightWindMeasurementUnit">Iniciar!$V$51</definedName>
    <definedName name="Hide_Cool">'Modelo Energético'!$A$923:$A$936</definedName>
    <definedName name="Hide_CoolC">'Carga e Rede'!$A$109:$A$213</definedName>
    <definedName name="Hide_fuel">'Modelo Energético'!$A$41:$A$69</definedName>
    <definedName name="Hide_Heat">'Modelo Energético'!$A$892:$A$922</definedName>
    <definedName name="Hide_HeatC">'Carga e Rede'!$A$4:$A$108</definedName>
    <definedName name="Hide_Power">'Modelo Energético'!$A$866:$A$891</definedName>
    <definedName name="Hide_PowerC">'Carga e Rede'!$A$214:$A$227</definedName>
    <definedName name="Hide_RiskButton">'Análise de Risco'!$A$55:$A$57</definedName>
    <definedName name="Hide_Tool_10">Ferramentas!$A$426:$A$447</definedName>
    <definedName name="Hide_Tool_11">Ferramentas!$A$315:$A$384</definedName>
    <definedName name="Hide_Tool_12">Ferramentas!$A$43:$A$82</definedName>
    <definedName name="Hide_Tool_13">Ferramentas!$A$582:$A$586</definedName>
    <definedName name="Hide_Tool_6">Ferramentas!$A$250:$A$290</definedName>
    <definedName name="Hide_Tool_7">Ferramentas!$A$291:$A$300</definedName>
    <definedName name="Hide_Tool_8">Ferramentas!$A$301:$A$314</definedName>
    <definedName name="Hide_Tool_9">Ferramentas!$A$385:$A$425</definedName>
    <definedName name="HideCA_cool">'Análise de Custos'!$A$86:$A$96</definedName>
    <definedName name="HideCA_Cool_Back">'Análise de Custos'!$O$89</definedName>
    <definedName name="HideCA_Cool_ETS">'Análise de Custos'!$A$90:$A$92</definedName>
    <definedName name="HideCA_Cool_Peak">'Análise de Custos'!$O$88</definedName>
    <definedName name="HideCA_CR">'Análise de Custos'!$O$3</definedName>
    <definedName name="HideCA_Custom">'Análise de Custos'!$A$34,'Análise de Custos'!$A$47,'Análise de Custos'!$A$58,'Análise de Custos'!$A$195:$A$197,'Análise de Custos'!$A$207,'Análise de Custos'!$A$211:$A$212</definedName>
    <definedName name="HideCA_Custom_FDE">'Análise de Custos'!$A$34,'Análise de Custos'!$A$47,'Análise de Custos'!$A$58,'Análise de Custos'!$A$195</definedName>
    <definedName name="HideCA_heat">'Análise de Custos'!$A$72:$A$85</definedName>
    <definedName name="HideCA_Heat_Back">'Análise de Custos'!$O$78</definedName>
    <definedName name="HideCA_Heat_ETS">'Análise de Custos'!$A$79:$A$81</definedName>
    <definedName name="HideCA_Heat_Int2">'Análise de Custos'!$O$76</definedName>
    <definedName name="HideCA_Heat_Peak">'Análise de Custos'!$O$77</definedName>
    <definedName name="HideCA_level1">'Análise de Custos'!$A$10:$A$21</definedName>
    <definedName name="HideCA_Level1_AC">'Análise de Custos'!$A$204:$A$206,'Análise de Custos'!$A$208:$A$210</definedName>
    <definedName name="HideCA_Level23">'Análise de Custos'!$A$22:$A$200</definedName>
    <definedName name="HideCA_power">'Análise de Custos'!$A$60:$A$71</definedName>
    <definedName name="HideCA_Power_Back">'Análise de Custos'!$O$64</definedName>
    <definedName name="HideCA_Power_Misc">'Análise de Custos'!$A$65:$A$67</definedName>
    <definedName name="HideCA_Power_Peak">'Análise de Custos'!$O$63</definedName>
    <definedName name="HideCA_Standard">'Análise de Custos'!$A$23:$A$33,'Análise de Custos'!$A$37:$A$46,'Análise de Custos'!$A$50:$A$57,'Análise de Custos'!$A$100:$A$194,'Análise de Custos'!$A$204:$A$206,'Análise de Custos'!$A$208:$A$210</definedName>
    <definedName name="HideCode_baseHeat">'Modelo Energético'!$M$75</definedName>
    <definedName name="HideCode_processHeat">'Carga e Rede'!$V$30</definedName>
    <definedName name="HideCode_projectType">Iniciar!$N$20</definedName>
    <definedName name="HideCode_projectType2">'Carga e Rede'!$V$6</definedName>
    <definedName name="HideCode_projectType3">'Modelo Energético'!$M$27</definedName>
    <definedName name="HideCodeCA">'Análise de Custos'!$O$2</definedName>
    <definedName name="HideCodeCA_BP">'Análise de Custos'!$Q$96</definedName>
    <definedName name="HideCodeCA_cool">'Análise de Custos'!$P$87</definedName>
    <definedName name="HideCodeCA_Cool_ETS">'Análise de Custos'!$O$90</definedName>
    <definedName name="HideCodeCA_heat">'Análise de Custos'!$P$74</definedName>
    <definedName name="HideCodeCA_Heat_ETS">'Análise de Custos'!$O$79</definedName>
    <definedName name="HideCodeCA_HeatInt">'Análise de Custos'!$O$75</definedName>
    <definedName name="HideCodeCA_mem">'Análise de Custos'!$P$2</definedName>
    <definedName name="HideCodeCA_power">'Análise de Custos'!$P$61</definedName>
    <definedName name="HideCodeCA_Power_Misc">'Análise de Custos'!$O$65</definedName>
    <definedName name="HideCodeCA_PowerInt">'Análise de Custos'!$O$62</definedName>
    <definedName name="HideCodeCA_ProjectT">'Análise de Custos'!$O$8</definedName>
    <definedName name="HideCodeCA_SWH">'Análise de Custos'!$O$73</definedName>
    <definedName name="HideCodeEE_1">'Modelo Energético '!$M$1</definedName>
    <definedName name="HideCodeEE_2">'Modelo Energético '!$Q$1</definedName>
    <definedName name="HideCodeEM_1">Iniciar!$N$2</definedName>
    <definedName name="HideCodeEM_2">Iniciar!$O$2</definedName>
    <definedName name="HideCodeEM_Heat_Int2">'Modelo Energético'!$M$902</definedName>
    <definedName name="HideCodeEM_Heat_Int2H">'Modelo Energético'!$M$901</definedName>
    <definedName name="HideCodeEM_Heat_Peak">'Modelo Energético'!$M$911</definedName>
    <definedName name="HideCodeEM_Power_Back">'Modelo Energético'!$M$891</definedName>
    <definedName name="HideCodeEM_Power_Peak">'Modelo Energético'!$M$880</definedName>
    <definedName name="HideCodeEM_PSS">'Modelo Energético'!$O$938</definedName>
    <definedName name="HideCodeES">'Modelo Energético'!$M$2</definedName>
    <definedName name="HideCodeES_Boiler1">'Modelo Energético'!$M$84</definedName>
    <definedName name="HideCodeES_Boiler2">'Modelo Energético'!$M$600</definedName>
    <definedName name="HideCodeES_Cool_BL">'Modelo Energético'!$M$6</definedName>
    <definedName name="HideCodeES_Cool_Fuel1">'Modelo Energético'!$X$3</definedName>
    <definedName name="HideCodeES_Cool_Fuel2">'Modelo Energético'!$X$4</definedName>
    <definedName name="HideCodeES_Cool_Peak">'Modelo Energético'!$M$15</definedName>
    <definedName name="HideCodeES_Cool_PL">'Modelo Energético'!$M$16</definedName>
    <definedName name="HideCodeES_DuctF1">'Modelo Energético'!$M$124</definedName>
    <definedName name="HideCodeES_DuctF2">'Modelo Energético'!$M$641</definedName>
    <definedName name="HideCodeES_Extract_GTCC1">'Modelo Energético'!$M$134</definedName>
    <definedName name="HideCodeES_Extract_GTCC2">'Modelo Energético'!$M$651</definedName>
    <definedName name="HideCodeES_Extract_ST1">'Modelo Energético'!$M$167</definedName>
    <definedName name="HideCodeES_Extract_ST2">'Modelo Energético'!$M$684</definedName>
    <definedName name="HideCodeES_Fuel1">'Modelo Energético'!$M$37</definedName>
    <definedName name="HideCodeES_Fuel2">'Modelo Energético'!$M$553</definedName>
    <definedName name="HideCodeES_HeatST1">'Modelo Energético'!$M$32</definedName>
    <definedName name="HideCodeES_HeatST2">'Modelo Energético'!$M$549</definedName>
    <definedName name="HideCodeES_HSS">'Modelo Energético'!$M$28</definedName>
    <definedName name="HideCodeES_mem">'Modelo Energético'!$N$2</definedName>
    <definedName name="HideCodeES_OPS">'Modelo Energético'!$M$854</definedName>
    <definedName name="HideCodeES_OPS1">'Modelo Energético'!$M$854</definedName>
    <definedName name="HideCodeES_OPS2">'Modelo Energético'!$P$1091</definedName>
    <definedName name="HideCodeES_OS_Heat">'Modelo Energético'!$Q$31</definedName>
    <definedName name="HideCodeES_PowerST1">'Modelo Energético'!$M$33</definedName>
    <definedName name="HideCodeES_PowerST2">'Modelo Energético'!$M$550</definedName>
    <definedName name="HideCodeES_Proj1">'Modelo Energético'!$M$33</definedName>
    <definedName name="HideCodeES_PSS">'Modelo Energético'!$M$30</definedName>
    <definedName name="HideCodeGHG">'Análise de Emissões'!$N$1</definedName>
    <definedName name="HideCodeGHG_elect">'Análise de Emissões'!$N$10</definedName>
    <definedName name="HideCodeGHG_grid">'Análise de Emissões'!$N$168</definedName>
    <definedName name="HideCodeGHG_mem">'Análise de Emissões'!$O$1</definedName>
    <definedName name="HideCodeLN_Cool_CM">'Carga e Rede'!$U$191</definedName>
    <definedName name="HideCodeLN_Cool_Heat">'Carga e Rede'!$AS$319</definedName>
    <definedName name="HideCodeLN_Cool_Power">'Carga e Rede'!$AT$319</definedName>
    <definedName name="HideCodeLN_CPT">'Carga e Rede'!$U$111</definedName>
    <definedName name="HideCodeLN_Heat_CM">'Carga e Rede'!$U$86</definedName>
    <definedName name="HideCodeLN_HeatCT">'Carga e Rede'!$K$262</definedName>
    <definedName name="HideCodeLN_HPT">'Carga e Rede'!$U$6</definedName>
    <definedName name="HideCodeLN_MonthlyCP">'Carga e Rede'!$O$265</definedName>
    <definedName name="HideCodeLN_MonthlyHP">'Carga e Rede'!$O$264</definedName>
    <definedName name="HideCodeLN_Power">'Carga e Rede'!$O$266</definedName>
    <definedName name="HideCodeLN_Power_GT">'Carga e Rede'!$U$216</definedName>
    <definedName name="HideEM_AEP">'Modelo Energético'!$A$939:$A$962</definedName>
    <definedName name="HideEM_AEP1">'Modelo Energético'!$N$939</definedName>
    <definedName name="HideEM_all">'Modelo Energético'!$A$865:$A$933</definedName>
    <definedName name="HideEM_Cool_base">'Modelo Energético'!$A$923:$A$928,'Modelo Energético'!$A$934:$A$936,'Modelo Energético'!$A$959:$A$960,'Modelo Energético'!$A$962,'Modelo Energético'!$A$1056:$A$1057</definedName>
    <definedName name="HideEM_Cool_peak">'Modelo Energético'!$A$923:$A$936,'Modelo Energético'!$A$959:$A$962,'Modelo Energético'!$A$1056:$A$1058</definedName>
    <definedName name="HideEM_graph_all">'Modelo Energético'!$A$1047:$A$1058</definedName>
    <definedName name="HideEM_graph_CP">'Modelo Energético'!$A$1057</definedName>
    <definedName name="HideEM_graph_HI">'Modelo Energético'!$A$1049</definedName>
    <definedName name="HideEM_graph_HI2">'Modelo Energético'!$B$1050</definedName>
    <definedName name="HideEM_graph_HP">'Modelo Energético'!$A$1051</definedName>
    <definedName name="HideEM_graph_PI">'Modelo Energético'!$A$1054</definedName>
    <definedName name="HideEM_graph_PP">'Modelo Energético'!$A$1055</definedName>
    <definedName name="HideEM_Heat_Base">'Modelo Energético'!$A$892:$A$896,'Modelo Energético'!$A$910:$A$922,'Modelo Energético'!$A$949:$A$952,'Modelo Energético'!$A$957:$A$958,'Modelo Energético'!$A$1047:$A$1048,'Modelo Energético'!$A$1051</definedName>
    <definedName name="HideEM_Heat_graph_Int2">'Modelo Energético'!$A$1050</definedName>
    <definedName name="HideEM_Heat_Int">'Modelo Energético'!$A$892:$A$900,'Modelo Energético'!$A$910:$A$922,'Modelo Energético'!$A$949:$A$955,'Modelo Energético'!$A$957:$A$958,'Modelo Energético'!$A$1047:$A$1049,'Modelo Energético'!$A$1051</definedName>
    <definedName name="HideEM_Heat_Int2">'Modelo Energético'!$A$901:$A$909,'Modelo Energético'!$A$956,'Modelo Energético'!$A$1050</definedName>
    <definedName name="HideEM_Heat_Int2H">'Modelo Energético'!$A$903:$A$909,'Modelo Energético'!$A$956,'Modelo Energético'!$A$1050</definedName>
    <definedName name="HideEM_Heat_Peak">'Modelo Energético'!$A$912:$A$919,'Modelo Energético'!$A$957,'Modelo Energético'!$A$1051</definedName>
    <definedName name="HideEM_Heat_PI2">'Modelo Energético'!$A$902:$A$909,'Modelo Energético'!$A$911:$A$919,'Modelo Energético'!$A$956:$A$957</definedName>
    <definedName name="HideEM_OS_boarder">'Modelo Energético'!$A$862:$A$863</definedName>
    <definedName name="HideEM_Power_base">'Modelo Energético'!$A$866:$A$872,'Modelo Energético'!$A$879:$A$891,'Modelo Energético'!$A$939:$A$942,'Modelo Energético'!$A$946:$A$948,'Modelo Energético'!$A$1052:$A$1053,'Modelo Energético'!$A$1055</definedName>
    <definedName name="HideEM_Power_Int">'Modelo Energético'!$A$866:$A$891,'Modelo Energético'!$A$939:$A$948,'Modelo Energético'!$A$1052:$A$1055</definedName>
    <definedName name="HideEM_Power_Peak">'Modelo Energético'!$A$881:$A$888,'Modelo Energético'!$A$946,'Modelo Energético'!$A$1055</definedName>
    <definedName name="HideEM_Power_Peak_grid">'Modelo Energético'!$A$881:$A$882,'Modelo Energético'!$A$886:$A$888</definedName>
    <definedName name="HideEM_SysC">'Modelo Energético'!$A$866:$A$936</definedName>
    <definedName name="HideES_all">'Modelo Energético'!$A$4:$A$862</definedName>
    <definedName name="HideES_Boiler1">'Modelo Energético'!$A$85:$A$89</definedName>
    <definedName name="HideES_Boiler2">'Modelo Energético'!$A$601:$A$605</definedName>
    <definedName name="HideES_cool">'Modelo Energético'!$A$4:$A$26</definedName>
    <definedName name="HIdeES_Cool_BL">'Modelo Energético'!$A$7</definedName>
    <definedName name="HideES_Cool_FreeBL">'Modelo Energético'!$M$7</definedName>
    <definedName name="HideES_Cool_FreePL">'Modelo Energético'!$M$17</definedName>
    <definedName name="HideES_Cool_Fuel1">'Modelo Energético'!$A$8:$A$9</definedName>
    <definedName name="HideES_Cool_Fuel2">'Modelo Energético'!$A$18:$A$19</definedName>
    <definedName name="HideES_Cool_only">'Modelo Energético'!$A$863</definedName>
    <definedName name="HideES_Cool_Peak">'Modelo Energético'!$A$17:$A$25</definedName>
    <definedName name="HIdeES_Cool_PL">'Modelo Energético'!$A$17</definedName>
    <definedName name="HideES_DuctF1">'Modelo Energético'!$A$125:$A$126</definedName>
    <definedName name="HideES_DuctF2">'Modelo Energético'!$A$642:$A$643</definedName>
    <definedName name="HideES_Extract_GTCC1">'Modelo Energético'!$A$135:$A$141,'Modelo Energético'!$A$150:$A$151,'Modelo Energético'!$A$157</definedName>
    <definedName name="HideES_Extract_GTCC2">'Modelo Energético'!$A$652:$A$658,'Modelo Energético'!$A$667:$A$668,'Modelo Energético'!$A$674</definedName>
    <definedName name="HideES_Extract_ST1">'Modelo Energético'!$A$168:$A$174,'Modelo Energético'!$A$183,'Modelo Energético'!$A$193</definedName>
    <definedName name="HideES_Extract_ST2">'Modelo Energético'!$A$685:$A$691,'Modelo Energético'!$A$700,'Modelo Energético'!$A$710</definedName>
    <definedName name="HideES_Fuel1">'Modelo Energético'!$A$36:$A$40</definedName>
    <definedName name="HideES_Fuel1_all">'Modelo Energético'!$A$36:$A$69</definedName>
    <definedName name="HideES_Fuel1P_all">'Modelo Energético'!$35:$39,'Modelo Energético'!$A$41:$A$69</definedName>
    <definedName name="HideES_Fuel2">'Modelo Energético'!$A$552:$A$556</definedName>
    <definedName name="HideES_Fuel2_all">'Modelo Energético'!$A$552:$A$585</definedName>
    <definedName name="HideES_Fuel2P_all">'Modelo Energético'!$A$35:$A$39,'Modelo Energético'!$41:$69,'Modelo Energético'!$A$551:$A$555,'Modelo Energético'!$A$557:$A$585</definedName>
    <definedName name="HideES_Fuel3P_all">'Modelo Energético'!$A$551:$A$555,'Modelo Energético'!$A$557:$A$585</definedName>
    <definedName name="HideES_FuelC">'Modelo Energético'!$A$1175:$A$1289</definedName>
    <definedName name="HideES_fuelCalcM">'Modelo Energético'!$A$41:$A$62</definedName>
    <definedName name="HideES_fuelCalcP">'Modelo Energético'!$A$63:$A$69</definedName>
    <definedName name="HideES_Fuelcell">'Modelo Energético'!$A$91:$A$211,'Modelo Energético'!$A$160:$A$547,'Modelo Energético'!$A$827:$A$852,'Modelo Energético'!$A$858:$A$862</definedName>
    <definedName name="HideES_Fuelcell1">'Modelo Energético'!$A$212:$A$223</definedName>
    <definedName name="HideES_Fuelcell2">'Modelo Energético'!$A$729:$A$740</definedName>
    <definedName name="HideES_FuelP2">'Modelo Energético'!$A$548,'Modelo Energético'!$A$550:$A$556</definedName>
    <definedName name="HideES_FuelS1">'Modelo Energético'!$A$36:$A$37,'Modelo Energético'!$A$41:$A$62</definedName>
    <definedName name="HideES_FuelS2">'Modelo Energético'!$A$552:$A$553,'Modelo Energético'!$A$557:$A$578</definedName>
    <definedName name="HideES_fuelSelect">'Modelo Energético'!$A$36:$A$39</definedName>
    <definedName name="HideES_FuelSP2">'Modelo Energético'!$A$548,'Modelo Energético'!$A$550:$A$553,'Modelo Energético'!$A$557:$A$578</definedName>
    <definedName name="HideES_Generic">'Modelo Energético'!$A$91:$A$499,'Modelo Energético'!$A$160:$A$547,'Modelo Energético'!$A$827:$A$852,'Modelo Energético'!$A$858:$A$862</definedName>
    <definedName name="HideES_Geo">'Modelo Energético'!$A$37:$A$159,'Modelo Energético'!$A$212:$A$862</definedName>
    <definedName name="HideES_Geo1">'Modelo Energético'!$A$196:$A$211</definedName>
    <definedName name="HideES_Geo2">'Modelo Energético'!$A$713:$A$728</definedName>
    <definedName name="HideES_Graph_3">'Modelo Energético'!$CB$1</definedName>
    <definedName name="HideES_Graph_5">'Modelo Energético'!$CA$1:$CB$1</definedName>
    <definedName name="HideES_Graph_6">'Modelo Energético'!$CB$1:$CC$1</definedName>
    <definedName name="HideES_Graph_7">'Modelo Energético'!$CA$1:$CC$1</definedName>
    <definedName name="HideES_GT">'Modelo Energético'!$A$91:$A$102,'Modelo Energético'!$A$115:$A$547,'Modelo Energético'!$A$827:$A$852,'Modelo Energético'!$A$858:$A$862</definedName>
    <definedName name="HideES_GT1">'Modelo Energético'!$A$103:$A$114</definedName>
    <definedName name="HideES_GT2">'Modelo Energético'!$A$620:$A$631</definedName>
    <definedName name="HideES_GTCC">'Modelo Energético'!$A$91:$A$102,'Modelo Energético'!$A$160:$A$547,'Modelo Energético'!$A$816:$A$826,'Modelo Energético'!$A$827:$A$839,'Modelo Energético'!$A$856:$A$858,'Modelo Energético'!$A$862</definedName>
    <definedName name="HideES_GTCC1">'Modelo Energético'!$A$115:$A$159</definedName>
    <definedName name="HideES_GTCC2">'Modelo Energético'!$A$632:$A$676</definedName>
    <definedName name="HideES_Heat">'Modelo Energético'!$A$27:$A$28</definedName>
    <definedName name="HideES_heat1">'Modelo Energético'!$A$27:$A$28,'Modelo Energético'!$A$31:$A$32,'Modelo Energético'!$A$36:$A$40</definedName>
    <definedName name="HideES_heat11">'Modelo Energético'!$A$27:$A$28,'Modelo Energético'!$A$31:$A$32,'Modelo Energético'!$A$36:$A$37,'Modelo Energético'!$A$78:$A$90</definedName>
    <definedName name="HideES_heat12">'Modelo Energético'!$A$27:$A$28,'Modelo Energético'!$A$31:$A$32,'Modelo Energético'!$A$36:$A$37,'Modelo Energético'!$A$70:$A$77</definedName>
    <definedName name="HideES_heat2">'Modelo Energético'!$A$548:$A$549,'Modelo Energético'!$A$552:$A$553</definedName>
    <definedName name="HideES_heat21">'Modelo Energético'!$A$548:$A$549,'Modelo Energético'!$A$552:$A$553,'Modelo Energético'!$A$594:$A$606</definedName>
    <definedName name="HideES_heat22">'Modelo Energético'!$A$548:$A$549,'Modelo Energético'!$A$552:$A$553,'Modelo Energético'!$A$586:$A$592</definedName>
    <definedName name="HideES_heatBase">'Modelo Energético'!$A$73:$A$77</definedName>
    <definedName name="HideES_heatBaseAll">'Modelo Energético'!$A$70:$A$77</definedName>
    <definedName name="HideES_HeatO1">'Modelo Energético'!$M$32</definedName>
    <definedName name="HideES_HeatO1_all">'Modelo Energético'!$A$71:$A$71</definedName>
    <definedName name="HideES_HeatO1_SAH">'Modelo Energético'!$A$71:$A$77</definedName>
    <definedName name="HideES_Hydro1">'Modelo Energético'!$A$313:$A$445</definedName>
    <definedName name="HideES_Hydro1_F">'Modelo Energético'!$A$315:$A$438</definedName>
    <definedName name="HideES_Hydro1_Q">'Modelo Energético'!$A$439:$A$444</definedName>
    <definedName name="HideES_Hydro1QF">'Modelo Energético'!$M$314</definedName>
    <definedName name="HideES_Hydro2">'Modelo Energético'!$A$749:$A$756</definedName>
    <definedName name="HideES_Mon1">'Modelo Energético'!$A$36:$A$37,'Modelo Energético'!$A$63:$A$69</definedName>
    <definedName name="HideES_Mon2">'Modelo Energético'!$A$552:$A$553,'Modelo Energético'!$A$579:$A$585</definedName>
    <definedName name="HideES_MonP2">'Modelo Energético'!$A$548,'Modelo Energético'!$A$550:$A$553,'Modelo Energético'!$A$579:$A$585</definedName>
    <definedName name="HideES_Ocean1">'Modelo Energético'!$A$516:$A$523</definedName>
    <definedName name="HideES_Ocean2">'Modelo Energético'!$A$778:$A$785</definedName>
    <definedName name="HideES_OS_CHP1">'Modelo Energético'!$A$810:$A$822,'Modelo Energético'!$A$853,'Modelo Energético'!$A$856,'Modelo Energético'!$A$862</definedName>
    <definedName name="HideES_OS_CHP2">'Modelo Energético'!$A$810:$A$822,'Modelo Energético'!$A$853:$A$856,'Modelo Energético'!$A$862</definedName>
    <definedName name="HideES_OS_GTCC_CHP1">'Modelo Energético'!$A$810:$A$816,'Modelo Energético'!$A$841:$A$847,'Modelo Energético'!$A$853,'Modelo Energético'!$A$860,'Modelo Energético'!$A$862</definedName>
    <definedName name="HideES_OS_GTCC_CHP2">'Modelo Energético'!$A$810:$A$816,'Modelo Energético'!$A$841:$A$847,'Modelo Energético'!$A$853:$A$855,'Modelo Energético'!$A$860,'Modelo Energético'!$A$862</definedName>
    <definedName name="HideES_OS_GTCC_P1">'Modelo Energético'!$A$810,'Modelo Energético'!$A$812:$A$816,'Modelo Energético'!$A$848:$A$853,'Modelo Energético'!$A$861:$A$862</definedName>
    <definedName name="HideES_OS_GTCC_P2">'Modelo Energético'!$A$810,'Modelo Energético'!$A$812:$A$816,'Modelo Energético'!$A$848:$A$855,'Modelo Energético'!$A$861:$A$862</definedName>
    <definedName name="HideES_OS_P1">'Modelo Energético'!$A$810,'Modelo Energético'!$A$812:$A$816,'Modelo Energético'!$A$823:$A$827,'Modelo Energético'!$A$853,'Modelo Energético'!$A$857,'Modelo Energético'!$A$862</definedName>
    <definedName name="HideES_OS_P2">'Modelo Energético'!$A$810,'Modelo Energético'!$A$812:$A$816,'Modelo Energético'!$A$823:$A$827,'Modelo Energético'!$A$853:$A$855,'Modelo Energético'!$A$857,'Modelo Energético'!$A$862</definedName>
    <definedName name="HideES_OS_ST_CHP1">'Modelo Energético'!$A$810:$A$816,'Modelo Energético'!$A$828:$A$835,'Modelo Energético'!$A$853,'Modelo Energético'!$A$858,'Modelo Energético'!$A$862</definedName>
    <definedName name="HideES_OS_ST_CHP2">'Modelo Energético'!$A$810:$A$816,'Modelo Energético'!$A$828:$A$835,'Modelo Energético'!$A$853:$A$855,'Modelo Energético'!$A$858,'Modelo Energético'!$A$862</definedName>
    <definedName name="HideES_OS_ST_P1">'Modelo Energético'!$A$810,'Modelo Energético'!$A$812:$A$816,'Modelo Energético'!$A$836:$A$840,'Modelo Energético'!$A$853,'Modelo Energético'!$A$859,'Modelo Energético'!$A$862</definedName>
    <definedName name="HideES_OS_ST_P2">'Modelo Energético'!$A$810,'Modelo Energético'!$A$812:$A$816,'Modelo Energético'!$A$836:$A$840,'Modelo Energético'!$A$853:$A$855,'Modelo Energético'!$A$859,'Modelo Energético'!$A$862</definedName>
    <definedName name="HideES_Other1">'Modelo Energético'!$A$503:$A$515</definedName>
    <definedName name="HideES_Other2">'Modelo Energético'!$A$765:$A$777</definedName>
    <definedName name="HideES_Per1">'Modelo Energético'!$A$63:$A$69</definedName>
    <definedName name="HideES_Per2">'Modelo Energético'!$A$579:$A$585</definedName>
    <definedName name="HideES_Photo_SolarData">'Modelo Energético'!$A$454:$A$471</definedName>
    <definedName name="HideES_Photo1">'Modelo Energético'!$A$445:$A$502</definedName>
    <definedName name="HideES_Photo2">'Modelo Energético'!$A$757:$A$764</definedName>
    <definedName name="HideES_Power">'Modelo Energético'!$A$29:$A$30</definedName>
    <definedName name="HideES_Power1">'Modelo Energético'!$A$29:$A$31,'Modelo Energético'!$A$33:$A$35</definedName>
    <definedName name="HideES_Power2">'Modelo Energético'!$A$29,'Modelo Energético'!$A$548,'Modelo Energético'!$A$550:$A$551</definedName>
    <definedName name="HideES_PV_DLC">'Modelo Energético'!$M$453</definedName>
    <definedName name="HideES_PV1_F">'Modelo Energético'!$A$448:$A$495</definedName>
    <definedName name="HideES_PV1_Q">'Modelo Energético'!$A$496:$A$501</definedName>
    <definedName name="HideES_PV1QF">'Modelo Energético'!$N$447</definedName>
    <definedName name="HideES_recip1">'Modelo Energético'!$A$91:$A$102</definedName>
    <definedName name="HideES_recip2">'Modelo Energético'!$A$608:$A$619</definedName>
    <definedName name="HideES_Steam1">'Modelo Energético'!$A$160:$A$195</definedName>
    <definedName name="HideES_Steam2">'Modelo Energético'!$A$677:$A$712</definedName>
    <definedName name="HideES_STP1">'Modelo Energético'!$A$540:$A$547</definedName>
    <definedName name="HideES_STP2">'Modelo Energético'!$A$802:$A$809</definedName>
    <definedName name="HideES_Syst1">'Modelo Energético'!$A$70:$A$547</definedName>
    <definedName name="HideES_Syst2">'Modelo Energético'!$A$548:$A$809</definedName>
    <definedName name="HideES_Tidal1">'Modelo Energético'!$A$524:$A$531</definedName>
    <definedName name="HideES_Tidal2">'Modelo Energético'!$A$786:$A$793</definedName>
    <definedName name="HideES_Wave1">'Modelo Energético'!$A$532:$A$539</definedName>
    <definedName name="HideES_Wave2">'Modelo Energético'!$A$794:$A$801</definedName>
    <definedName name="HideES_Wind_data">'Modelo Energético'!$M$228</definedName>
    <definedName name="HideES_Wind1">'Modelo Energético'!$A$224:$A$312</definedName>
    <definedName name="HideES_Wind1_AWS">'Modelo Energético'!$A$245</definedName>
    <definedName name="HideES_Wind1_C">'Modelo Energético'!$A$263</definedName>
    <definedName name="HideES_Wind1_D1">'Modelo Energético'!$A$246</definedName>
    <definedName name="HideES_Wind1_D1F">'Modelo Energético'!$A$230:$A$243</definedName>
    <definedName name="HideES_Wind1_ECD">'Modelo Energético'!$M$263</definedName>
    <definedName name="HideES_Wind1_F">'Modelo Energético'!$A$227:$A$305</definedName>
    <definedName name="HideES_Wind1_Q">'Modelo Energético'!$A$306:$A$311</definedName>
    <definedName name="HideES_Wind1_S">'Modelo Energético'!$A$262</definedName>
    <definedName name="HideES_Wind1_temp">'Modelo Energético'!$A$249:$A$250</definedName>
    <definedName name="HideES_Wind1QF">'Modelo Energético'!$M$226</definedName>
    <definedName name="HideES_Wind2">'Modelo Energético'!$A$741:$A$748</definedName>
    <definedName name="HideGHG_All">'Análise de Emissões'!$A$4:$A$194</definedName>
    <definedName name="HideGHG_BaseLine">'Análise de Emissões'!$A$46:$A$47,'Análise de Emissões'!$A$190</definedName>
    <definedName name="HideGHG_custom">'Análise de Emissões'!$A$14:$A$26,'Análise de Emissões'!$A$38:$A$43</definedName>
    <definedName name="HideGHG_custom_OG">'Análise de Emissões'!$A$14:$A$25,'Análise de Emissões'!$A$26,'Análise de Emissões'!$A$38:$A$43</definedName>
    <definedName name="HideGHG_custom_OGEM">'Análise de Emissões'!$A$14:$A$25,'Análise de Emissões'!$A$27:$A$36,'Análise de Emissões'!$A$38:$A$43</definedName>
    <definedName name="HideGHG_elect">'Análise de Emissões'!$A$10:$A$49</definedName>
    <definedName name="HideGHG_Grid">'Análise de Emissões'!$N$168:$N$170</definedName>
    <definedName name="HideGHG_Standard">'Análise de Emissões'!$A$14,'Análise de Emissões'!$A$26:$A$43</definedName>
    <definedName name="HideGHG_Standard_OG">'Análise de Emissões'!$A$14,'Análise de Emissões'!$A$26:$A$43</definedName>
    <definedName name="HideGHG_Standard_OGEM">'Análise de Emissões'!$A$15:$A$24,'Análise de Emissões'!$A$26:$A$43</definedName>
    <definedName name="HideGHG_Userdefined">'Análise de Emissões'!$A$11:$A$38,'Análise de Emissões'!$A$42</definedName>
    <definedName name="HideGHG_Userdefined_OG">'Análise de Emissões'!$A$11:$A$38,'Análise de Emissões'!$A$42</definedName>
    <definedName name="HideGHG_Userdefined_OGEM">'Análise de Emissões'!$A$11:$A$38,'Análise de Emissões'!$A$43</definedName>
    <definedName name="HideLN_all">'Carga e Rede'!$A$4:$A$227</definedName>
    <definedName name="HideLN_Cool">'Carga e Rede'!$A$111:$A$213</definedName>
    <definedName name="HideLN_Cool_all">'Carga e Rede'!$A$109:$A$213</definedName>
    <definedName name="hideLN_Cool_Eall">'Carga e Rede'!$A$146:$A$147,'Carga e Rede'!$A$121:$A$122</definedName>
    <definedName name="hideLN_Cool_MP_Edet">'Carga e Rede'!$A$146</definedName>
    <definedName name="hideLN_Cool_MP_Estd">'Carga e Rede'!$A$147</definedName>
    <definedName name="hideLN_Cool_SP_Edet">'Carga e Rede'!$A$121</definedName>
    <definedName name="hideLN_Cool_SP_Estd">'Carga e Rede'!$A$122</definedName>
    <definedName name="HideLN_CoolCM_All">'Carga e Rede'!$A$193:$A$213</definedName>
    <definedName name="HideLN_CoolCM_DD">'Carga e Rede'!$A$197,'Carga e Rede'!$A$201,'Carga e Rede'!$A$204:$A$207,'Carga e Rede'!$A$209:$A$213</definedName>
    <definedName name="HideLN_CoolCM_DI">'Carga e Rede'!$A$197,'Carga e Rede'!$A$199,'Carga e Rede'!$A$201,'Carga e Rede'!$A$203:$A$207,'Carga e Rede'!$A$209:$A$213</definedName>
    <definedName name="HideLN_CoolCM_FD">'Carga e Rede'!$A$194:$A$197,'Carga e Rede'!$A$200,'Carga e Rede'!$A$204:$A$208,'Carga e Rede'!$A$210:$A$213</definedName>
    <definedName name="HideLN_CoolCM_FI">'Carga e Rede'!$A$193:$A$198,'Carga e Rede'!$A$200,'Carga e Rede'!$A$202,'Carga e Rede'!$A$204:$A$208,'Carga e Rede'!$A$210:$A$213</definedName>
    <definedName name="HideLN_CoolMP">'Carga e Rede'!$A$111,'Carga e Rede'!$A$135:$A$141,'Carga e Rede'!$A$144:$A$147,'Carga e Rede'!$A$150:$A$213</definedName>
    <definedName name="HideLN_CoolMS">'Carga e Rede'!$A$111,'Carga e Rede'!$A$135:$A$143,'Carga e Rede'!$A$150:$A$213</definedName>
    <definedName name="HideLN_CoolMSP">'Carga e Rede'!$A$135:$A$213,'Carga e Rede'!$A$111</definedName>
    <definedName name="HideLN_CoolSP">'Carga e Rede'!$A$111:$A$116,'Carga e Rede'!$A$119:$A$122,'Carga e Rede'!$A$125:$A$134</definedName>
    <definedName name="HideLN_CoolSPZ">'Carga e Rede'!$A$111,'Carga e Rede'!$A$135:$A$137,'Carga e Rede'!$A$144:$A$147,'Carga e Rede'!$A$150:$A$161,'Carga e Rede'!$A$139:$A$141</definedName>
    <definedName name="HideLN_CoolSS">'Carga e Rede'!$A$111:$A$118,'Carga e Rede'!$A$125:$A$134</definedName>
    <definedName name="HideLN_CoolSSP">'Carga e Rede'!$A$111:$A$134</definedName>
    <definedName name="HideLN_CoolSSPZ">'Carga e Rede'!$A$135:$A$137,'Carga e Rede'!$A$111,'Carga e Rede'!$A$139:$A$161</definedName>
    <definedName name="HideLN_CoolSSZ">'Carga e Rede'!$A$111,'Carga e Rede'!$A$135:$A$137,'Carga e Rede'!$A$150:$A$161,'Carga e Rede'!$A$139:$A$143</definedName>
    <definedName name="HideLN_fuelC">'Carga e Rede'!$A$340:$A$360</definedName>
    <definedName name="HideLN_Graph_1">'Carga e Rede'!$AC$1:$AD$1</definedName>
    <definedName name="HideLN_Graph_2">'Carga e Rede'!$AA$1:$AB$1</definedName>
    <definedName name="HideLN_Graph_3">'Carga e Rede'!$AE$1:$AF$1</definedName>
    <definedName name="HideLN_Graph_4">'Carga e Rede'!$AA$1:$AD$1</definedName>
    <definedName name="HideLN_Graph_5">'Carga e Rede'!$AA$1:$AB$1,'Carga e Rede'!$AE$1:$AF$1</definedName>
    <definedName name="HideLN_Graph_6">'Carga e Rede'!$AC$1:$AF$1</definedName>
    <definedName name="HideLN_Graph_7">'Carga e Rede'!$AA$1:$AF$1</definedName>
    <definedName name="HideLN_Heat">'Carga e Rede'!$A$7:$A$108</definedName>
    <definedName name="HideLN_Heat_all">'Carga e Rede'!$A$4:$A$108</definedName>
    <definedName name="HideLN_Heat_Eall">'Carga e Rede'!$A$16:$A$17,'Carga e Rede'!$A$41:$A$42</definedName>
    <definedName name="HideLN_Heat_MP_Edet">'Carga e Rede'!$A$41</definedName>
    <definedName name="HideLN_Heat_MP_Estd">'Carga e Rede'!$A$42</definedName>
    <definedName name="HideLN_Heat_SP_Edet">'Carga e Rede'!$A$16</definedName>
    <definedName name="HideLN_Heat_SP_EStd">'Carga e Rede'!$A$17</definedName>
    <definedName name="HideLN_HeatCM_all">'Carga e Rede'!$A$88:$A$108</definedName>
    <definedName name="HideLN_HeatDD">'Carga e Rede'!$A$92,'Carga e Rede'!$A$96,'Carga e Rede'!$A$99:$A$102,'Carga e Rede'!$A$104:$A$108</definedName>
    <definedName name="HideLN_HeatDI">'Carga e Rede'!$A$92,'Carga e Rede'!$A$94,'Carga e Rede'!$A$96,'Carga e Rede'!$A$98,'Carga e Rede'!$A$99:$A$102,'Carga e Rede'!$A$104:$A$108</definedName>
    <definedName name="HideLN_HeatFD">'Carga e Rede'!$A$89:$A$92,'Carga e Rede'!$A$95,'Carga e Rede'!$A$99:$A$103,'Carga e Rede'!$A$105:$A$108</definedName>
    <definedName name="HideLN_HeatFI">'Carga e Rede'!$A$88:$A$93,'Carga e Rede'!$A$95,'Carga e Rede'!$A$97,'Carga e Rede'!$A$99:$A$103,'Carga e Rede'!$A$105:$A$108</definedName>
    <definedName name="HideLN_HeatMP">'Carga e Rede'!$A$30:$A$36,'Carga e Rede'!$A$39:$A$42,'Carga e Rede'!$A$45:$A$108</definedName>
    <definedName name="HideLN_HeatMS">'Carga e Rede'!$A$30:$A$38,'Carga e Rede'!$A$45:$A$108</definedName>
    <definedName name="HideLN_HeatMSP">'Carga e Rede'!$A$30:$A$108</definedName>
    <definedName name="HideLN_HeatSP">'Carga e Rede'!$A$6:$A$11,'Carga e Rede'!$A$14:$A$17,'Carga e Rede'!$A$20:$A$29</definedName>
    <definedName name="HideLN_HeatSPZ">'Carga e Rede'!$A$30:$A$32,'Carga e Rede'!$A$39:$A$42,'Carga e Rede'!$A$45:$A$56,'Carga e Rede'!$A$34:$A$36</definedName>
    <definedName name="HideLN_HeatSS">'Carga e Rede'!$A$6:$A$13,'Carga e Rede'!$A$20:$A$29</definedName>
    <definedName name="HideLN_HeatSSP">'Carga e Rede'!$A$6:$A$29</definedName>
    <definedName name="HideLN_HeatSSPZ">'Carga e Rede'!$A$30:$A$32,'Carga e Rede'!$A$34:$A$56</definedName>
    <definedName name="HideLN_HeatSSZ">'Carga e Rede'!$A$30:$A$32,'Carga e Rede'!$A$45:$A$56,'Carga e Rede'!$A$34:$A$38</definedName>
    <definedName name="HideLN_LC">'Carga e Rede'!$A$228:$A$254</definedName>
    <definedName name="HideLN_LC_All">'Carga e Rede'!$A$243:$C$243,'Carga e Rede'!$A$245:$I$253,'Carga e Rede'!$C$229:$I$244,'Carga e Rede'!$L$229:$S$244,'Carga e Rede'!$N$251:$R$253</definedName>
    <definedName name="HideLN_LC_CL">'Carga e Rede'!$G$229:$G$244,'Carga e Rede'!$O$229:$O$244,'Carga e Rede'!$Q$251:$R$253</definedName>
    <definedName name="HideLN_LC_CP">'Carga e Rede'!$F$229:$F$244</definedName>
    <definedName name="HideLN_LC_HC">'Carga e Rede'!$Q$229:$R$244</definedName>
    <definedName name="HideLN_LC_HL">'Carga e Rede'!$I$229:$I$244,'Carga e Rede'!$P$229:$P$244,'Carga e Rede'!$O$251:$P$253</definedName>
    <definedName name="HideLN_LC_HP">'Carga e Rede'!$H$229:$H$244</definedName>
    <definedName name="HideLN_LC_P">'Carga e Rede'!$B$229:$D$253,'Carga e Rede'!$L$229:$L$241,'Carga e Rede'!$N$251:$N$253,'Carga e Rede'!$A$250,'Carga e Rede'!$L$244</definedName>
    <definedName name="HideLN_LC_PC">'Carga e Rede'!$M$229:$N$241,'Carga e Rede'!$M$244:$N$244</definedName>
    <definedName name="HideLN_LC_PGR">'Carga e Rede'!$E$229:$E$241,'Carga e Rede'!$E$244:$E$248</definedName>
    <definedName name="HideLN_LC_PL">'Carga e Rede'!$D$229:$D$253</definedName>
    <definedName name="HideLN_MonthlyCP">'Carga e Rede'!$A$228:$A$254</definedName>
    <definedName name="HideLN_PCool1">'Carga e Rede'!$F$121</definedName>
    <definedName name="HideLN_PCool2">'Carga e Rede'!$F$146</definedName>
    <definedName name="HideLN_PCoolReturn">'Carga e Rede'!$F$243</definedName>
    <definedName name="HideLN_PHeat1">'Carga e Rede'!$F$16</definedName>
    <definedName name="HideLN_PHeat2">'Carga e Rede'!$F$41</definedName>
    <definedName name="HideLN_PHeatReturn">'Carga e Rede'!$H$243</definedName>
    <definedName name="HideLN_PLC">'Carga e Rede'!$A$214:$A$227</definedName>
    <definedName name="HideLN_Power_all">'Carga e Rede'!$A$214:$A$227</definedName>
    <definedName name="HideLN_Power_GT1">'Carga e Rede'!$A$217:$A$226</definedName>
    <definedName name="HideLN_Power_GT2">'Carga e Rede'!$A$219:$A$226</definedName>
    <definedName name="HideLN_Power_GT3">'Carga e Rede'!$A$247:$A$248</definedName>
    <definedName name="HideLN_Power_GT4">'Carga e Rede'!$A$217:$A$218</definedName>
    <definedName name="HideLN_Process">'Carga e Rede'!$A$39:$A$43</definedName>
    <definedName name="HideLN_PT_heat">'Carga e Rede'!$A$4</definedName>
    <definedName name="HideS_all">'Análise de Risco'!$A$4:$A$35,'Análise de Risco'!$A$38:$A$100</definedName>
    <definedName name="HideS_NPV">'Análise de Risco'!$A$77:$A$100</definedName>
    <definedName name="HideS_risk">'Análise de Risco'!$A$38:$A$100</definedName>
    <definedName name="HideS_sens">'Análise de Risco'!$A$4:$A$35</definedName>
    <definedName name="HideS_SensParam">'Análise de Risco'!$A$77:$A$100</definedName>
    <definedName name="HideT_11">Ferramentas!$A$448:$A$468</definedName>
    <definedName name="HideT_12">Ferramentas!$A$469:$A$499</definedName>
    <definedName name="HideT_13">Ferramentas!$A$500:$A$525</definedName>
    <definedName name="HideT_14">Ferramentas!$A$526:$A$542</definedName>
    <definedName name="HideT_15">Ferramentas!$A$587:$A$620</definedName>
    <definedName name="HideT_16">Ferramentas!$A$543:$A$581</definedName>
    <definedName name="HideT_all">Ferramentas!$A$14:$A$446</definedName>
    <definedName name="HideT_ColdClimate_Index">Ferramentas!$L$324</definedName>
    <definedName name="HideT_Fuel">Ferramentas!$L$17:$L$26</definedName>
    <definedName name="HideT_FuelC">Ferramentas!$L$16</definedName>
    <definedName name="HideT_FuelC2">Ferramentas!$M$16</definedName>
    <definedName name="HideT_Gas">Ferramentas!$A$29:$A$42</definedName>
    <definedName name="HideT_GT">Ferramentas!$A$245:$A$249</definedName>
    <definedName name="HideT_Hydro_Canal">Ferramentas!$A$348:$A$352</definedName>
    <definedName name="HideT_Hydro_Canal_Index">Ferramentas!$L$347</definedName>
    <definedName name="HideT_Hydro_Country">Ferramentas!$A$318:$A$322</definedName>
    <definedName name="HideT_Hydro_Country_1">Ferramentas!$A$345</definedName>
    <definedName name="HideT_Hydro_Country_Index">Ferramentas!$L$317</definedName>
    <definedName name="HideT_Hydro_Micro_Index">Ferramentas!$L$331</definedName>
    <definedName name="HideT_Hydro_Open">Ferramentas!$L$316</definedName>
    <definedName name="HideT_Hydro_Open_1">Ferramentas!$M$316</definedName>
    <definedName name="HideT_Hydro_Penstock">Ferramentas!$A$354:$A$358</definedName>
    <definedName name="HideT_Hydro_Penstock_Index">Ferramentas!$L$353</definedName>
    <definedName name="HideT_Hydro_Road">Ferramentas!$A$338:$A$340</definedName>
    <definedName name="HideT_Hydro_Road_Index">Ferramentas!$L$337</definedName>
    <definedName name="HideT_Hydro_tunnel">Ferramentas!$A$342:$A$346</definedName>
    <definedName name="HideT_Hydro_tunnel_index">Ferramentas!$L$345</definedName>
    <definedName name="HideT_Hydro_Tunnel_Index_1">Ferramentas!$L$342</definedName>
    <definedName name="HideT_HydroMicro">Ferramentas!$A$334,Ferramentas!$A$341,Ferramentas!$A$359</definedName>
    <definedName name="HideT_PLC">Ferramentas!$A$135:$A$244</definedName>
    <definedName name="HideT_Rate">Ferramentas!$A$108:$A$134</definedName>
    <definedName name="HideT_Solid">Ferramentas!$A$14:$A$28</definedName>
    <definedName name="HideTool_Code">Ferramentas!$L$268</definedName>
    <definedName name="HideTool_GHX">Ferramentas!$C$268</definedName>
    <definedName name="HideTool_GHX_index">Ferramentas!$L$271:$L$286</definedName>
    <definedName name="HLNCurrencyCells">'Carga e Rede'!$F$49:$S$49,'Carga e Rede'!$C$91</definedName>
    <definedName name="HubHeightWind1">'Modelo Energético'!$D$258</definedName>
    <definedName name="Hum_Jan">Iniciar!$E$58</definedName>
    <definedName name="HydroGaugeName">'Modelo Energético'!$D$328</definedName>
    <definedName name="HypCooling1">'Modelo Energético'!$I$10</definedName>
    <definedName name="HypCooling2">'Modelo Energético'!$I$21</definedName>
    <definedName name="HypHeat1">'Modelo Energético'!$I$79</definedName>
    <definedName name="HypHeat2">'Modelo Energético'!$I$595</definedName>
    <definedName name="HypHeat3">'Modelo Energético'!$I$72:$K$72</definedName>
    <definedName name="HypHeat4">'Modelo Energético'!$I$587</definedName>
    <definedName name="HypHydro1">'Modelo Energético'!$I$328</definedName>
    <definedName name="HypHydro2">'Modelo Energético'!$I$368</definedName>
    <definedName name="HypPower1">'Modelo Energético'!$I$92</definedName>
    <definedName name="HypPower10">'Modelo Energético'!$I$633</definedName>
    <definedName name="HypPower11">'Modelo Energético'!$I$716</definedName>
    <definedName name="HypPower12">'Modelo Energético'!$I$730</definedName>
    <definedName name="HypPower13">'Modelo Energético'!$I$767</definedName>
    <definedName name="HypPower14">'Modelo Energético'!$I$742</definedName>
    <definedName name="HypPower15">'Modelo Energético'!$I$750</definedName>
    <definedName name="HypPower16">'Modelo Energético'!$I$758</definedName>
    <definedName name="HypPower17">'Modelo Energético'!$I$306</definedName>
    <definedName name="HypPower18">'Modelo Energético'!$I$439</definedName>
    <definedName name="HypPower19">'Modelo Energético'!$I$496</definedName>
    <definedName name="HypPower2">'Modelo Energético'!$I$104</definedName>
    <definedName name="HypPower20">'Modelo Energético'!$I$703</definedName>
    <definedName name="HypPower21">'Modelo Energético'!$I$517</definedName>
    <definedName name="HypPower22">'Modelo Energético'!$I$525</definedName>
    <definedName name="HypPower23">'Modelo Energético'!$I$533</definedName>
    <definedName name="HypPower24">'Modelo Energético'!$I$541</definedName>
    <definedName name="HypPower25">'Modelo Energético'!$I$779</definedName>
    <definedName name="HypPower26">'Modelo Energético'!$I$787</definedName>
    <definedName name="HypPower27">'Modelo Energético'!$I$795</definedName>
    <definedName name="HypPower28">'Modelo Energético'!$I$803</definedName>
    <definedName name="HypPower3">'Modelo Energético'!$I$116</definedName>
    <definedName name="HypPower4">'Modelo Energético'!$I$186</definedName>
    <definedName name="HypPower5">'Modelo Energético'!$I$199</definedName>
    <definedName name="HypPower6">'Modelo Energético'!$I$213</definedName>
    <definedName name="HypPower7">'Modelo Energético'!$I$505</definedName>
    <definedName name="HypPower8">'Modelo Energético'!$I$609</definedName>
    <definedName name="HypPower9">'Modelo Energético'!$I$621</definedName>
    <definedName name="HypPV1">'Modelo Energético'!$I$475</definedName>
    <definedName name="HypWind1">'Modelo Energético'!$I$253</definedName>
    <definedName name="Inf_R" localSheetId="7">'Análise Financeira'!$U$62</definedName>
    <definedName name="Init_costs" localSheetId="7">'Análise Financeira'!$K$14</definedName>
    <definedName name="Lang_Airsource">Language!$C$403</definedName>
    <definedName name="Lang_Browse">Language!$C$46</definedName>
    <definedName name="lang_Canada2004">Language!$C$1118</definedName>
    <definedName name="Lang_Cancel">Language!$C$45</definedName>
    <definedName name="Lang_CaseStudies">Language!$C$16</definedName>
    <definedName name="Lang_Centrifugal">Language!$C$399</definedName>
    <definedName name="Lang_Compr">Language!$C$127</definedName>
    <definedName name="Lang_Continent">Language!$C$1422:$C$1428</definedName>
    <definedName name="Lang_cost1">Language!$C$492</definedName>
    <definedName name="Lang_cost2">Language!$C$493</definedName>
    <definedName name="Lang_Cost3">Language!$C$499</definedName>
    <definedName name="Lang_Cost4">Language!$C$496</definedName>
    <definedName name="Lang_Country">Language!$C$882:$C$1117</definedName>
    <definedName name="lang_cr_none">Language!$C$881</definedName>
    <definedName name="Lang_Cur1">Language!$C$874:$C$1116</definedName>
    <definedName name="Lang_Cur3">Language!$C$882:$C$1116</definedName>
    <definedName name="Lang_Currency">Language!$C$880</definedName>
    <definedName name="Lang_CurString">Language!$C:$C</definedName>
    <definedName name="Lang_data">Language!$C$7:$C$1475</definedName>
    <definedName name="Lang_datatest">Language!$C$7:$C$31</definedName>
    <definedName name="Lang_DecCenter">Language!$C$13</definedName>
    <definedName name="Lang_EM1">Language!$C$80</definedName>
    <definedName name="Lang_EM2">Language!$C$81</definedName>
    <definedName name="Lang_EM3">Language!$C$82</definedName>
    <definedName name="Lang_EM4">Language!$C$83</definedName>
    <definedName name="Lang_ES_Biosys">Language!$C$418</definedName>
    <definedName name="Lang_ES_HeatPump">Language!$C$421</definedName>
    <definedName name="Lang_ES_Photov">Language!$C$141</definedName>
    <definedName name="Lang_ES_Wind">Language!$C$139</definedName>
    <definedName name="Lang_eText">Language!$C$17</definedName>
    <definedName name="Lang_EU">Language!$C$751</definedName>
    <definedName name="Lang_FileLoc">Language!$C$44</definedName>
    <definedName name="Lang_formula">Language!$C$6</definedName>
    <definedName name="Lang_Forums">Language!$C$14</definedName>
    <definedName name="Lang_fuel">Language!$C$1170:$C$1290</definedName>
    <definedName name="Lang_Furnace">Language!$C$419</definedName>
    <definedName name="Lang_geothermal">Language!$C$137</definedName>
    <definedName name="Lang_GoalSeek">Language!$C$1432</definedName>
    <definedName name="Lang_Groundsource">Language!$C$404</definedName>
    <definedName name="Lang_HelpBtn">Language!$C$2614</definedName>
    <definedName name="Lang_HVU">Language!$C$752</definedName>
    <definedName name="Lang_Market">Language!$C$15</definedName>
    <definedName name="Lang_MenuName">Language!$C$7</definedName>
    <definedName name="Lang_mon">Language!$C$1419</definedName>
    <definedName name="lang_no">Language!$C$120</definedName>
    <definedName name="Lang_OnTheWeb">Language!$C$12</definedName>
    <definedName name="Lang_Other">Language!$C$142</definedName>
    <definedName name="Lang_ProductBtn">Language!$C$10</definedName>
    <definedName name="Lang_Reciprocating">Language!$C$400</definedName>
    <definedName name="Lang_RefrigSyst">Language!$C$405</definedName>
    <definedName name="Lang_Screw">Language!$C$401</definedName>
    <definedName name="Lang_Scroll">Language!$C$402</definedName>
    <definedName name="Lang_SteamTurb">Language!$C$136</definedName>
    <definedName name="Lang_Switch">Iniciar!$D$32</definedName>
    <definedName name="Lang_ThermoFluid">Language!$C$406</definedName>
    <definedName name="Lang_ToolBarName">Language!$C$8</definedName>
    <definedName name="Lang_TrainSup">Language!$C$96</definedName>
    <definedName name="Lang_Unit">Language!$C$1429</definedName>
    <definedName name="Lang_WeatherBtn">Language!$C$11</definedName>
    <definedName name="lang_yes">Language!$C$119</definedName>
    <definedName name="Lang_yr">Language!$C$1420</definedName>
    <definedName name="Lang_ZoomIn">Language!$C$1430</definedName>
    <definedName name="Lang_ZoomOut">Language!$C$1431</definedName>
    <definedName name="LangIndex">Iniciar!$N$32</definedName>
    <definedName name="Latitude">Iniciar!$D$49</definedName>
    <definedName name="LatitudeUnit">Iniciar!$R$52</definedName>
    <definedName name="Link_CA_Start">'Análise de Custos'!$A$1</definedName>
    <definedName name="Link_EM_Start">'Modelo Energético'!$D$865</definedName>
    <definedName name="Link_ES_Start">'Modelo Energético'!$A$1</definedName>
    <definedName name="Link_FS_Start">'Análise Financeira'!$A$1</definedName>
    <definedName name="Link_GHG">'Análise de Emissões'!$E$196:$G$196</definedName>
    <definedName name="Link_GHG_Start">'Análise de Emissões'!$P$1</definedName>
    <definedName name="Link_GHG2_Start">'Análise de Emissões'!$A$1:$L$2</definedName>
    <definedName name="Link_LN_Cool">'Carga e Rede'!$C$111:$E$111</definedName>
    <definedName name="Link_LN_CoolP">'Carga e Rede'!$F$230</definedName>
    <definedName name="Link_LN_Heat">'Carga e Rede'!$C$6:$E$6</definedName>
    <definedName name="Link_LN_HeatP">'Carga e Rede'!$H$230</definedName>
    <definedName name="Link_LN_start">'Carga e Rede'!$A$1</definedName>
    <definedName name="Link_M_Start">'Modelo Energético '!$A$1</definedName>
    <definedName name="Link_S_Start">'Análise de Risco'!$A$1</definedName>
    <definedName name="List_Translation">Iniciar!$H$83:$J$106</definedName>
    <definedName name="LN_1">'Carga e Rede'!$U$2</definedName>
    <definedName name="LN_2">'Carga e Rede'!$V$2</definedName>
    <definedName name="LN_Antarctica">'Carga e Rede'!$B$322</definedName>
    <definedName name="LN_Asia">'Carga e Rede'!$C$322</definedName>
    <definedName name="LN_CapacityUnit">'Carga e Rede'!$C$14,'Carga e Rede'!$C$144,'Carga e Rede'!$C$119,'Carga e Rede'!$C$39</definedName>
    <definedName name="LN_CDD">'Carga e Rede'!$AU$335</definedName>
    <definedName name="LN_coolsystem">Language!$C$108:$C$116</definedName>
    <definedName name="LN_CostcellsC">'Carga e Rede'!$D$129,'Carga e Rede'!$D$156:$S$156,'Carga e Rede'!$D$198:$S$203,'Carga e Rede'!$D$208:$S$211</definedName>
    <definedName name="LN_CostcellsH">'Carga e Rede'!$D$51:$S$51,'Carga e Rede'!$D$93:$S$98,'Carga e Rede'!$D$103:$S$106,'Carga e Rede'!$D$24</definedName>
    <definedName name="LN_CostcellsP">'Carga e Rede'!$D$226,'Carga e Rede'!$D$248:$E$248</definedName>
    <definedName name="LN_DI">Language!$C$122:$C$123</definedName>
    <definedName name="LN_DN150">'Carga e Rede'!$M$104</definedName>
    <definedName name="LN_FD">'Carga e Rede'!$G$264:$G$265</definedName>
    <definedName name="LN_Fuel_offgrid">'Carga e Rede'!$D$340:$D$359</definedName>
    <definedName name="LN_FuelList">'Carga e Rede'!$E$340:$I$360</definedName>
    <definedName name="LN_GridType">Iniciar!$F$107:$F$111</definedName>
    <definedName name="LN_HDD">'Carga e Rede'!$AV$335</definedName>
    <definedName name="LN_heatsystem">Language!$C$99:$C$107</definedName>
    <definedName name="LN_link">'Carga e Rede'!$C$256</definedName>
    <definedName name="LN_link2">'Carga e Rede'!$N$256</definedName>
    <definedName name="ln_PipesDropDown">'Carga e Rede'!$F$66:$S$78,'Carga e Rede'!$F$171:$S$183</definedName>
    <definedName name="LN_power_check">'Carga e Rede'!$C$230:$C$241,'Carga e Rede'!$C$244</definedName>
    <definedName name="LN_SA">'Carga e Rede'!$F$322</definedName>
    <definedName name="LN_SD">'Carga e Rede'!$J$265:$J$266</definedName>
    <definedName name="LN_SPPL">'Carga e Rede'!$X$243</definedName>
    <definedName name="LN_SWP">'Carga e Rede'!$G$322</definedName>
    <definedName name="LN_total_CDD">'Carga e Rede'!$AW$106</definedName>
    <definedName name="LN_total_HDD">'Carga e Rede'!$AW$2</definedName>
    <definedName name="LN_zero">'Carga e Rede'!$X$241</definedName>
    <definedName name="LogoPartners">Language!$C$67</definedName>
    <definedName name="LogoRets">Language!$C$68</definedName>
    <definedName name="Longitude">Iniciar!$D$50</definedName>
    <definedName name="LongitudeUnit">Iniciar!$R$53</definedName>
    <definedName name="M_ControlMethod">'Modelo Energético '!$R$288:$R$289</definedName>
    <definedName name="M_Cost1">'Modelo Energético '!$G$245:$G$246,'Modelo Energético '!$G$299,'Modelo Energético '!$G$345,'Modelo Energético '!$G$413,'Modelo Energético '!$G$505</definedName>
    <definedName name="M_Cost2">'Modelo Energético '!$G$519,'Modelo Energético '!$G$535,'Modelo Energético '!$G$577,'Modelo Energético '!$G$607,'Modelo Energético '!$G$634,'Modelo Energético '!$G$698</definedName>
    <definedName name="M_Cost3">'Modelo Energético '!$G$731,'Modelo Energético '!$G$759,'Modelo Energético '!$G$802,'Modelo Energético '!$G$818,'Modelo Energético '!$G$853,'Modelo Energético '!$G$862,'Modelo Energético '!$G$870</definedName>
    <definedName name="M_Cost4">'Modelo Energético '!$G$870,'Modelo Energético '!$G$879,'Modelo Energético '!$G$914</definedName>
    <definedName name="M_Cost5">'Modelo Energético '!$G$253,'Modelo Energético '!$G$268</definedName>
    <definedName name="M_Cost6">'Modelo Energético '!$G$886,'Modelo Energético '!$G$907,'Modelo Energético '!$G$897,'Modelo Energético '!$G$925</definedName>
    <definedName name="M_CostA">'Modelo Energético '!$M$986</definedName>
    <definedName name="M_currency1">'Modelo Energético '!$F$155:$F$161,'Modelo Energético '!$H$155:$H$161,'Modelo Energético '!$J$155:$J$161</definedName>
    <definedName name="M_currency2">'Modelo Energético '!$D$155:$D$160</definedName>
    <definedName name="M_GHG1">'Modelo Energético '!$B$958</definedName>
    <definedName name="M_GHG2">'Modelo Energético '!$C$958</definedName>
    <definedName name="M_GHG3">'Modelo Energético '!$D$958</definedName>
    <definedName name="M_GHG4">'Modelo Energético '!$Q$954</definedName>
    <definedName name="ManuCooling1">'Modelo Energético'!$C$12</definedName>
    <definedName name="ManuCooling2">'Modelo Energético'!$C$23</definedName>
    <definedName name="ManuHeat1">'Modelo Energético'!$C$81</definedName>
    <definedName name="ManuHeat2">'Modelo Energético'!$C$597</definedName>
    <definedName name="ManuHeat3">'Modelo Energético'!$C$74</definedName>
    <definedName name="ManuHeat4">'Modelo Energético'!$C$589</definedName>
    <definedName name="ManuHydro1">'Modelo Energético'!$C$372</definedName>
    <definedName name="ManuPower1">'Modelo Energético'!$C$96</definedName>
    <definedName name="ManuPower10">'Modelo Energético'!$C$635</definedName>
    <definedName name="ManuPower11">'Modelo Energético'!$C$716</definedName>
    <definedName name="ManuPower12">'Modelo Energético'!$C$734</definedName>
    <definedName name="ManuPower13">'Modelo Energético'!$C$771</definedName>
    <definedName name="ManuPower14">'Modelo Energético'!$C$743</definedName>
    <definedName name="ManuPower15">'Modelo Energético'!$C$751</definedName>
    <definedName name="ManuPower16">'Modelo Energético'!$C$759</definedName>
    <definedName name="ManuPower17">'Modelo Energético'!$C$307</definedName>
    <definedName name="ManuPower18">'Modelo Energético'!$C$440</definedName>
    <definedName name="ManuPower19">'Modelo Energético'!$C$497</definedName>
    <definedName name="ManuPower2">'Modelo Energético'!$C$108</definedName>
    <definedName name="ManuPower20">'Modelo Energético'!$C$703</definedName>
    <definedName name="ManuPower21">'Modelo Energético'!$C$518</definedName>
    <definedName name="ManuPower22">'Modelo Energético'!$C$526</definedName>
    <definedName name="ManuPower23">'Modelo Energético'!$C$534</definedName>
    <definedName name="ManuPower24">'Modelo Energético'!$C$542</definedName>
    <definedName name="ManuPower25">'Modelo Energético'!$C$780</definedName>
    <definedName name="ManuPower26">'Modelo Energético'!$C$788</definedName>
    <definedName name="ManuPower27">'Modelo Energético'!$C$796</definedName>
    <definedName name="ManuPower28">'Modelo Energético'!$C$804</definedName>
    <definedName name="ManuPower3">'Modelo Energético'!$C$118</definedName>
    <definedName name="ManuPower4">'Modelo Energético'!$C$186</definedName>
    <definedName name="ManuPower5">'Modelo Energético'!$C$199</definedName>
    <definedName name="ManuPower6">'Modelo Energético'!$C$217</definedName>
    <definedName name="ManuPower7">'Modelo Energético'!$C$509</definedName>
    <definedName name="ManuPower8">'Modelo Energético'!$C$613</definedName>
    <definedName name="ManuPower9">'Modelo Energético'!$C$625</definedName>
    <definedName name="ManuWind1">'Modelo Energético'!$C$254</definedName>
    <definedName name="MeanGroundTemp_Jan">Iniciar!$I$58</definedName>
    <definedName name="meanGroundTempUnit">Iniciar!$R$51</definedName>
    <definedName name="MinBatTemp">'Modelo Energético '!$Q$264</definedName>
    <definedName name="ModEff">'Modelo Energético'!$S$478</definedName>
    <definedName name="ModEff1">'Modelo Energético'!$D$478</definedName>
    <definedName name="ModEff2">'Modelo Energético '!$D$569</definedName>
    <definedName name="ModEffIndexA">'Modelo Energético'!$P$474</definedName>
    <definedName name="ModelCooling1">'Modelo Energético'!$C$13</definedName>
    <definedName name="ModelCooling2">'Modelo Energético'!$C$24</definedName>
    <definedName name="ModelHeat1">'Modelo Energético'!$C$82</definedName>
    <definedName name="ModelHeat2">'Modelo Energético'!$C$598</definedName>
    <definedName name="ModelHeat3">'Modelo Energético'!$C$75</definedName>
    <definedName name="ModelHeat4">'Modelo Energético'!$C$590</definedName>
    <definedName name="ModelHydro1">'Modelo Energético'!$C$373</definedName>
    <definedName name="ModelPower1">'Modelo Energético'!$C$97</definedName>
    <definedName name="ModelPower10">'Modelo Energético'!$C$636</definedName>
    <definedName name="ModelPower11">'Modelo Energético'!$C$717</definedName>
    <definedName name="ModelPower12">'Modelo Energético'!$C$735</definedName>
    <definedName name="ModelPower13">'Modelo Energético'!$C$772</definedName>
    <definedName name="ModelPower14">'Modelo Energético'!$C$744</definedName>
    <definedName name="ModelPower15">'Modelo Energético'!$C$752</definedName>
    <definedName name="ModelPower16">'Modelo Energético'!$C$760</definedName>
    <definedName name="ModelPower17">'Modelo Energético'!$C$308</definedName>
    <definedName name="ModelPower18">'Modelo Energético'!$C$441</definedName>
    <definedName name="ModelPower19">'Modelo Energético'!$C$498</definedName>
    <definedName name="ModelPower2">'Modelo Energético'!$C$109</definedName>
    <definedName name="ModelPower20">'Modelo Energético'!$C$704</definedName>
    <definedName name="ModelPower21">'Modelo Energético'!$C$519</definedName>
    <definedName name="ModelPower22">'Modelo Energético'!$C$527</definedName>
    <definedName name="ModelPower23">'Modelo Energético'!$C$535</definedName>
    <definedName name="ModelPower24">'Modelo Energético'!$C$543</definedName>
    <definedName name="ModelPower25">'Modelo Energético'!$C$781</definedName>
    <definedName name="ModelPower26">'Modelo Energético'!$C$789</definedName>
    <definedName name="ModelPower27">'Modelo Energético'!$C$797</definedName>
    <definedName name="ModelPower28">'Modelo Energético'!$C$805</definedName>
    <definedName name="ModelPower3">'Modelo Energético'!$C$119</definedName>
    <definedName name="ModelPower4">'Modelo Energético'!$C$187</definedName>
    <definedName name="ModelPower5">'Modelo Energético'!$C$200</definedName>
    <definedName name="ModelPower6">'Modelo Energético'!$C$218</definedName>
    <definedName name="ModelPower7">'Modelo Energético'!$C$510</definedName>
    <definedName name="ModelPower8">'Modelo Energético'!$C$614</definedName>
    <definedName name="ModelPower9">'Modelo Energético'!$C$626</definedName>
    <definedName name="ModelWind1">'Modelo Energético'!$C$255</definedName>
    <definedName name="ModNOCT">'Modelo Energético'!$D$481</definedName>
    <definedName name="ModNOCTIndexA">'Modelo Energético'!$Q$474</definedName>
    <definedName name="ModTempCoef">'Modelo Energético'!$D$482</definedName>
    <definedName name="ModTempCoefIndexA">'Modelo Energético'!$R$474</definedName>
    <definedName name="ModType">'Modelo Energético'!$O$475:$O$481</definedName>
    <definedName name="ModTypeIndex">'Modelo Energético'!$M$485</definedName>
    <definedName name="Moncooldegreedaysunit">Iniciar!$T$52</definedName>
    <definedName name="MonHeatdegreedaysunit">Iniciar!$T$51</definedName>
    <definedName name="myValue">Parameter!$C$7</definedName>
    <definedName name="NomPVPower">'Modelo Energético'!$D$475</definedName>
    <definedName name="NPV">'Análise Financeira'!$K$50</definedName>
    <definedName name="Offgrid">'Modelo Energético'!$P$3</definedName>
    <definedName name="OnlineManualEnglish">Iniciar!$B$124</definedName>
    <definedName name="OnlineManualFrench">Iniciar!$B$125</definedName>
    <definedName name="OnlineManualLanguage">Iniciar!$D$33</definedName>
    <definedName name="parameters">Parameter!$B$3:$C$43</definedName>
    <definedName name="ParamThresh">'Análise de Risco'!$C$7</definedName>
    <definedName name="pastedCountryID">Iniciar!$O$42</definedName>
    <definedName name="pastedProvinceID">Iniciar!$P$42</definedName>
    <definedName name="pastedStationID">Iniciar!$Q$42</definedName>
    <definedName name="PD_Geothermal_power">'Modelo Energético'!$K$1067</definedName>
    <definedName name="PD_Steam_turbine">'Modelo Energético'!$K$1066</definedName>
    <definedName name="PDCaption">Language!$C$1156</definedName>
    <definedName name="PDCooling">Language!$C$191</definedName>
    <definedName name="PDEmail_Button">Language!$C$1164</definedName>
    <definedName name="PDHeating">Language!$C$190</definedName>
    <definedName name="PDLabel2">Language!$C$1157</definedName>
    <definedName name="PDLabel8">Language!$C$1158</definedName>
    <definedName name="PDLabelDetType">Language!$C$1159</definedName>
    <definedName name="PDLabelModel">Language!$C$1160</definedName>
    <definedName name="PDPage1">Language!$C$1162</definedName>
    <definedName name="PDPage2">Language!$C$1163</definedName>
    <definedName name="PDPower">Language!$C$189</definedName>
    <definedName name="PDSelect_Manu">Language!$C$1166</definedName>
    <definedName name="PDSelect_Model">Language!$C$1167</definedName>
    <definedName name="PDUnit">Language!$C$1168</definedName>
    <definedName name="PDWeb_Button">Language!$C$1165</definedName>
    <definedName name="power_list">Iniciar!$D$129</definedName>
    <definedName name="PowerData">'Modelo Energético'!$D$269:$D$294</definedName>
    <definedName name="PowerRange">'Modelo Energético'!$X$1319:$X$1325</definedName>
    <definedName name="Proj_Tech">Iniciar!$Q$21</definedName>
    <definedName name="project_type">Iniciar!$B$129</definedName>
    <definedName name="ProjectLife_EM">'Modelo Energético'!$D$992</definedName>
    <definedName name="ProjLife">'Análise Financeira'!$U$64</definedName>
    <definedName name="ProjLife_mem">'Análise Financeira'!$AA$69</definedName>
    <definedName name="ProjLifeE">'Modelo Energético '!$D$979</definedName>
    <definedName name="PV_ManName">'Modelo Energético'!$C$476</definedName>
    <definedName name="PV_ModelName">'Modelo Energético'!$C$477</definedName>
    <definedName name="PV_Unit">'Modelo Energético'!$F$477</definedName>
    <definedName name="PVModule">'Modelo Energético'!$AD$1330:$AD$1331</definedName>
    <definedName name="PVSystConf">'Modelo Energético'!$T$447:$T$447</definedName>
    <definedName name="PVTracking">'Modelo Energético'!$R$448:$R$451</definedName>
    <definedName name="Rated_Power">'Modelo Energético'!$O$254</definedName>
    <definedName name="Refrigerants">'Análise de Emissões'!$N$340:$N$453</definedName>
    <definedName name="RelHumidityUnit">Iniciar!$V$50</definedName>
    <definedName name="residual_flow">'Modelo Energético'!$O$327</definedName>
    <definedName name="Risk">'Análise de Risco'!$K$2</definedName>
    <definedName name="RiskButton">'Análise de Risco'!$F$56</definedName>
    <definedName name="RiskChoice">'Análise de Risco'!$C$39</definedName>
    <definedName name="RiskFinChanged">'Análise de Risco'!$L$38</definedName>
    <definedName name="RiskParam">'Análise de Risco'!$K$39</definedName>
    <definedName name="RiskRecalc">'Análise de Risco'!$L$37</definedName>
    <definedName name="ROA">'Análise Financeira'!$AA$65</definedName>
    <definedName name="RotorDiamWind1">'Modelo Energético'!$D$259</definedName>
    <definedName name="RoundDigit">'Modelo Energético'!$C$1114</definedName>
    <definedName name="RoundReturnVal">'Modelo Energético'!$D$1114</definedName>
    <definedName name="RoundVal1">'Modelo Energético'!$B$1114</definedName>
    <definedName name="S_DG4">'Análise de Risco'!$B$82</definedName>
    <definedName name="S_impact">'Análise de Risco'!$B$59</definedName>
    <definedName name="S_Param">'Análise de Risco'!$P$42:$P$54</definedName>
    <definedName name="S_Param_DropDown">'Análise de Risco'!$E$9,'Análise de Risco'!$B$10,'Análise de Risco'!$B$19,'Análise de Risco'!$E$18,'Análise de Risco'!$B$28,'Análise de Risco'!$E$27</definedName>
    <definedName name="S_Param_mem">'Análise de Risco'!$O$42:$O$54</definedName>
    <definedName name="S_range">'Análise de Risco'!$E$42:$F$54</definedName>
    <definedName name="S_range_mem">'Análise de Risco'!$M$42:$N$54</definedName>
    <definedName name="S_Risk">'Análise de Risco'!$K$42:$K$54</definedName>
    <definedName name="S_Risk1">'Análise de Risco'!$K$42</definedName>
    <definedName name="S_sensnum">'Análise de Risco'!$AB$687:$AD$761</definedName>
    <definedName name="S_Table1">'Análise de Risco'!$K$11</definedName>
    <definedName name="S_Table1X">'Análise de Risco'!$K$9</definedName>
    <definedName name="S_Table1Y">'Análise de Risco'!$K$10</definedName>
    <definedName name="S_Table2">'Análise de Risco'!$K$20</definedName>
    <definedName name="S_Table2X">'Análise de Risco'!$K$18</definedName>
    <definedName name="S_Table2Y">'Análise de Risco'!$K$19</definedName>
    <definedName name="S_Table3">'Análise de Risco'!$K$29</definedName>
    <definedName name="S_Table3X">'Análise de Risco'!$K$27</definedName>
    <definedName name="S_Table3Y">'Análise de Risco'!$K$28</definedName>
    <definedName name="S_Type">Language!$C$167:$C$171</definedName>
    <definedName name="SAH_track">'Modelo Energético '!$M$610</definedName>
    <definedName name="SCFin">'Análise de Risco'!$AD$138:$AG$138</definedName>
    <definedName name="SCZero">'Análise de Risco'!$B$138:$N$138</definedName>
    <definedName name="SecCurrencyRange2" localSheetId="2">Cost [1]Analysis!$V$22:$V$34,Cost [1]Analysis!$V$49:$V$58</definedName>
    <definedName name="SeeMap_Wind">'Modelo Energético'!$K$228</definedName>
    <definedName name="Sens">'Análise de Risco'!$K$1</definedName>
    <definedName name="Sens_area">'Análise de Risco'!$P$139:$AB$638</definedName>
    <definedName name="Sens_area_hide">'Análise de Risco'!$A$133:$A$635</definedName>
    <definedName name="Sens_box1">Language!$C$723</definedName>
    <definedName name="Sens_box2">Language!$C$724</definedName>
    <definedName name="Sens_Checkbox">'Análise de Risco'!$W$2:$AB$3</definedName>
    <definedName name="Sens_error_IRR">'Análise de Risco'!$AD$137</definedName>
    <definedName name="Sens_error_YTP">'Análise de Risco'!$AF$137</definedName>
    <definedName name="Sens_Form1">'Análise de Risco'!$AF$686:$AH$686</definedName>
    <definedName name="Sens_Form2">'Análise de Risco'!$AF$687:$AH$761</definedName>
    <definedName name="Sens_Form2T1">'Análise de Risco'!$AF$687:$AH$711</definedName>
    <definedName name="Sens_Form2T2">'Análise de Risco'!$AF$712:$AH$736</definedName>
    <definedName name="Sens_Form2T3">'Análise de Risco'!$AF$737:$AH$761</definedName>
    <definedName name="Sens_midbin">'Análise de Risco'!$O$645:$O$664,'Análise de Risco'!$F$77,'Análise de Risco'!$F$79:$F$80</definedName>
    <definedName name="Sens_RiskNum">'Análise de Risco'!$AD$139:$AG$638</definedName>
    <definedName name="Sens_row">'Análise de Risco'!$P$136:$AB$136</definedName>
    <definedName name="Sens_SensNum">'Análise de Risco'!$AD$139:$AG$638</definedName>
    <definedName name="SensButton">'Análise de Risco'!$G$5</definedName>
    <definedName name="SensFinChanged">'Análise de Risco'!$L$4</definedName>
    <definedName name="SensParam">'Análise de Risco'!$K$5</definedName>
    <definedName name="SensRange">'Análise de Risco'!$K$6</definedName>
    <definedName name="SensRecalc">'Análise de Risco'!$K$3</definedName>
    <definedName name="SensTable">'Análise de Risco'!$D$12:$H$16,'Análise de Risco'!$D$21:$H$25,'Análise de Risco'!$D$30:$H$34</definedName>
    <definedName name="SensTable1X">'Análise de Risco'!$D$10:$H$10</definedName>
    <definedName name="SensTable1Y">'Análise de Risco'!$B$12:$B$16</definedName>
    <definedName name="SensTable2X">'Análise de Risco'!$D$19:$H$19</definedName>
    <definedName name="SensTable2Y">'Análise de Risco'!$B$21:$B$25</definedName>
    <definedName name="SensTable3X">'Análise de Risco'!$D$28:$H$28</definedName>
    <definedName name="SensTable3Y">'Análise de Risco'!$B$30:$B$34</definedName>
    <definedName name="Set_all">Iniciar!$N$22:$N$26</definedName>
    <definedName name="Set_AT">Iniciar!$P$28</definedName>
    <definedName name="Set_C">Iniciar!$N$24</definedName>
    <definedName name="Set_EE">Iniciar!$N$22</definedName>
    <definedName name="Set_GridType">Iniciar!$D$26</definedName>
    <definedName name="Set_H">Iniciar!$N$23</definedName>
    <definedName name="Set_Level">Iniciar!$N$28</definedName>
    <definedName name="Set_linkEM">Iniciar!$A$75</definedName>
    <definedName name="Set_linkLN">Iniciar!$A$76</definedName>
    <definedName name="Set_LinkM">Iniciar!$A$74</definedName>
    <definedName name="Set_OpenClose">Iniciar!$O$28</definedName>
    <definedName name="Set_P">Iniciar!$N$25</definedName>
    <definedName name="Set_PT2">Iniciar!$O$20</definedName>
    <definedName name="Set_range">Iniciar!$B$149:$N$368</definedName>
    <definedName name="Set_Settings">Iniciar!$N$31</definedName>
    <definedName name="Set_Settings_Hide">Iniciar!$A$32:$A$37</definedName>
    <definedName name="Set_T1">Iniciar!$D$23</definedName>
    <definedName name="Set_T2">Iniciar!$D$24</definedName>
    <definedName name="Set_T3">Iniciar!$D$25</definedName>
    <definedName name="Set_weather">Iniciar!$N$44</definedName>
    <definedName name="Set_Weather_hide">Iniciar!$A$47:$A$72</definedName>
    <definedName name="Sheet1Name">Language!$C$29</definedName>
    <definedName name="Sheet2Name">Language!$C$30</definedName>
    <definedName name="Sheet3Name">Language!$C$31</definedName>
    <definedName name="SMIN">'Análise de Emissões'!$Q$114</definedName>
    <definedName name="Sort_CDD_1">'Carga e Rede'!$AI$105:$AT$107</definedName>
    <definedName name="Sort_CDD_2">'Carga e Rede'!$AI$108:$AT$110</definedName>
    <definedName name="Sort_Diff_Cool">'Carga e Rede'!$AX$108</definedName>
    <definedName name="Sort_Diff_Heat">'Carga e Rede'!$AX$4</definedName>
    <definedName name="Sort_HDD_1">'Carga e Rede'!$AI$1:$AT$3</definedName>
    <definedName name="Sort_HDD_2">'Carga e Rede'!$AI$4:$AT$5</definedName>
    <definedName name="Sortkey_CDD">'Carga e Rede'!$AI$108</definedName>
    <definedName name="Sortkey_HDD">'Carga e Rede'!$AI$4</definedName>
    <definedName name="Start_lang">Iniciar!$H$83</definedName>
    <definedName name="Start_link">Iniciar!$D$74</definedName>
    <definedName name="Start_lists">Iniciar!$A$130:$A$146</definedName>
    <definedName name="Start_lists1">Iniciar!$C$107:$E$120</definedName>
    <definedName name="Start_lists2">Iniciar!$C$130:$E$143</definedName>
    <definedName name="Start_lists3">Iniciar!$C$130</definedName>
    <definedName name="Start_lists4">Iniciar!$C$130:$C$137</definedName>
    <definedName name="Start_lists5">Iniciar!$D$130:$D$143</definedName>
    <definedName name="Start_lists6">Iniciar!$E$130:$E$137</definedName>
    <definedName name="StartDatabase">EET!$A$149</definedName>
    <definedName name="SteamLossesF">EET!$A$140</definedName>
    <definedName name="SteamP">'Modelo Energético'!$AA$1093</definedName>
    <definedName name="SugPVPower">'Modelo Energético'!$AC$1329</definedName>
    <definedName name="Sum_Lock1">'Carga e Rede'!$M$262</definedName>
    <definedName name="Sum_Lock2">'Carga e Rede'!$N$262</definedName>
    <definedName name="SWH_track">'Modelo Energético '!$M$735</definedName>
    <definedName name="SwpetAreaWind1">'Modelo Energético'!$D$260</definedName>
    <definedName name="T_bio">Ferramentas!$B$665</definedName>
    <definedName name="T_biogaslist1">Ferramentas!$L$659:$L$694</definedName>
    <definedName name="T_biogaslist2">Ferramentas!$S$659:$S$694</definedName>
    <definedName name="T_biogassort">Ferramentas!$S$659</definedName>
    <definedName name="T_BuildEnvType1">Ferramentas!$C$45</definedName>
    <definedName name="T_BuildEnvType2">Ferramentas!$C$47</definedName>
    <definedName name="T_BuildEnvType3">Ferramentas!$G$50</definedName>
    <definedName name="T_BuildEnvType4">Ferramentas!$G$59</definedName>
    <definedName name="T_BuildEnvType5">Ferramentas!$F$51</definedName>
    <definedName name="T_BuildEnvType6">Ferramentas!$B$51</definedName>
    <definedName name="T_Custom2_A">Ferramentas!$A$621:$A$655</definedName>
    <definedName name="T_ElectLoads1">Ferramentas!$A$83:$A$107</definedName>
    <definedName name="T_electrate">Ferramentas!$M$137</definedName>
    <definedName name="T_electrate1">Ferramentas!$A$139:$A$169</definedName>
    <definedName name="T_electrate2">Ferramentas!$A$170:$A$238</definedName>
    <definedName name="T_Eload">Ferramentas!$T$659:$T$699</definedName>
    <definedName name="T_Eload2">Ferramentas!$V$659:$V$699</definedName>
    <definedName name="T_Eloadsort">Ferramentas!$V$659</definedName>
    <definedName name="T_fossil">Ferramentas!$B$664</definedName>
    <definedName name="T_LFG_B">Ferramentas!$B$873:$J$973</definedName>
    <definedName name="T_LFG_F">Ferramentas!$B$871:$J$871</definedName>
    <definedName name="T_LFG1">Ferramentas!$M$391</definedName>
    <definedName name="T_LFG2">Ferramentas!$N$391</definedName>
    <definedName name="T_Matlist1">Ferramentas!$H$659:$H$706</definedName>
    <definedName name="T_Matlist2">Ferramentas!$J$659:$J$706</definedName>
    <definedName name="T_Matlist3">Ferramentas!$L$696:$L$705</definedName>
    <definedName name="T_Matlist4">Ferramentas!$N$696:$N$705</definedName>
    <definedName name="T_Matlistsort">Ferramentas!$J$659</definedName>
    <definedName name="T_Matlistsort2">Ferramentas!$N$696</definedName>
    <definedName name="T_UDF">Ferramentas!$M$450</definedName>
    <definedName name="T_UDF_1">Ferramentas!$A$456</definedName>
    <definedName name="T_UDF_2">Ferramentas!$A$457:$A$461</definedName>
    <definedName name="T_UDF_all">Ferramentas!$A$456:$A$461</definedName>
    <definedName name="T_UDFGas">Ferramentas!$M$472</definedName>
    <definedName name="T_UDFSolid">Ferramentas!$M$503</definedName>
    <definedName name="T_vol">Ferramentas!$B$667</definedName>
    <definedName name="T_waterpump">Ferramentas!$L$546</definedName>
    <definedName name="T_waterpump1">Ferramentas!$A$548:$A$559,Ferramentas!$A$561</definedName>
    <definedName name="T_waterpump2">Ferramentas!$A$562</definedName>
    <definedName name="T_weight">Ferramentas!$B$668</definedName>
    <definedName name="T_windows">Ferramentas!$B$584</definedName>
    <definedName name="TCFin">'Análise de Risco'!$AB$686:$AE$686</definedName>
    <definedName name="TCZero">'Análise de Risco'!$B$686:$N$686</definedName>
    <definedName name="Temp_coeff" localSheetId="3">'Modelo Energético '!$R$768</definedName>
    <definedName name="Test">Language!$C$3</definedName>
    <definedName name="_xlnm.Print_Titles" localSheetId="2">'Carga e Rede'!$1:$3</definedName>
    <definedName name="Tools_CapaGSHP_Unit">Ferramentas!$C$253</definedName>
    <definedName name="Tools_Checkbox">Ferramentas!$AH$3:$AM$27</definedName>
    <definedName name="Tools_currency1">Ferramentas!$F$17:$F$26,Ferramentas!$J$143:$J$166,Ferramentas!$G$226:$G$237</definedName>
    <definedName name="Tools_currency3">Ferramentas!$E$17:$E$26,Ferramentas!$I$17:$I$26,Ferramentas!$D$167</definedName>
    <definedName name="Tools_currency4">Ferramentas!$E$280:$F$287,Ferramentas!$F$288</definedName>
    <definedName name="Tools_HL">Ferramentas!$A$12</definedName>
    <definedName name="Tools_RadioButtons">Ferramentas!$Y$3:$AD$12</definedName>
    <definedName name="Tools_Start">Ferramentas!$A$1</definedName>
    <definedName name="Tot_ht_en_demand" localSheetId="2">'Carga e Rede'!$X$45</definedName>
    <definedName name="Tot_peak_cl_load">'Carga e Rede'!$X$151</definedName>
    <definedName name="Tot_peak_ht_load" localSheetId="2">'Carga e Rede'!$X$46</definedName>
    <definedName name="TurbType">'Modelo Energético'!$M$368</definedName>
    <definedName name="Type">Language!$C$200</definedName>
    <definedName name="TypePVPower">'Modelo Energético'!$D$474</definedName>
    <definedName name="Unit">Iniciar!$N$37</definedName>
    <definedName name="UnitCelcius">Iniciar!$B$84</definedName>
    <definedName name="UnitCelciusday">Iniciar!$B$96</definedName>
    <definedName name="UnitCooling1">'Modelo Energético'!$F$13</definedName>
    <definedName name="UnitCooling2">'Modelo Energético'!$F$24</definedName>
    <definedName name="UnitHeat1">'Modelo Energético'!$F$82</definedName>
    <definedName name="UnitHeat2">'Modelo Energético'!$F$598</definedName>
    <definedName name="UnitHeat3">'Modelo Energético'!$F$75</definedName>
    <definedName name="UnitHeat4">'Modelo Energético'!$F$590</definedName>
    <definedName name="UnitKPA">Iniciar!$B$99</definedName>
    <definedName name="UnitKWHm2d">Iniciar!$B$90</definedName>
    <definedName name="UnitMBAR">Iniciar!$B$100</definedName>
    <definedName name="UnitMeter">Iniciar!$B$87</definedName>
    <definedName name="Unitms">Iniciar!$B$93</definedName>
    <definedName name="UnitPower1">'Modelo Energético'!$F$97</definedName>
    <definedName name="UnitPower10">'Modelo Energético'!$F$636</definedName>
    <definedName name="UnitPower11">'Modelo Energético'!$F$717</definedName>
    <definedName name="UnitPower12">'Modelo Energético'!$F$735</definedName>
    <definedName name="UnitPower13">'Modelo Energético'!$F$772</definedName>
    <definedName name="UnitPower14">'Modelo Energético'!$F$744</definedName>
    <definedName name="UnitPower15">'Modelo Energético'!$F$752</definedName>
    <definedName name="UnitPower16">'Modelo Energético'!$F$760</definedName>
    <definedName name="UnitPower17">'Modelo Energético'!$F$308</definedName>
    <definedName name="UnitPower18">'Modelo Energético'!$F$441</definedName>
    <definedName name="UnitPower19">'Modelo Energético'!$F$498</definedName>
    <definedName name="UnitPower2">'Modelo Energético'!$F$109</definedName>
    <definedName name="UnitPower20">'Modelo Energético'!$F$704</definedName>
    <definedName name="UnitPower21">'Modelo Energético'!$F$519</definedName>
    <definedName name="UnitPower22">'Modelo Energético'!$F$527</definedName>
    <definedName name="UnitPower23">'Modelo Energético'!$F$535</definedName>
    <definedName name="UnitPower24">'Modelo Energético'!$F$543</definedName>
    <definedName name="UnitPower25">'Modelo Energético'!$F$781</definedName>
    <definedName name="UnitPower26">'Modelo Energético'!$F$789</definedName>
    <definedName name="UnitPower27">'Modelo Energético'!$F$797</definedName>
    <definedName name="UnitPower28">'Modelo Energético'!$F$805</definedName>
    <definedName name="UnitPower3">'Modelo Energético'!$F$119</definedName>
    <definedName name="UnitPower4">'Modelo Energético'!$F$187</definedName>
    <definedName name="UnitPower5">'Modelo Energético'!$F$200</definedName>
    <definedName name="UnitPower6">'Modelo Energético'!$F$218</definedName>
    <definedName name="UnitPower7">'Modelo Energético'!$F$510</definedName>
    <definedName name="UnitPower8">'Modelo Energético'!$F$614</definedName>
    <definedName name="UnitPower9">'Modelo Energético'!$F$626</definedName>
    <definedName name="unitTable">Iniciar!$B$84:$D$101</definedName>
    <definedName name="UTZ">Iniciar!$P$18</definedName>
    <definedName name="Validation">'Modelo Energético'!$W$1319</definedName>
    <definedName name="VarTab">'Análise de Risco'!$I$109:$I$121</definedName>
    <definedName name="VarTab01">'Análise de Risco'!$I$109</definedName>
    <definedName name="VarTab02">'Análise de Risco'!$I$110</definedName>
    <definedName name="VarTab03">'Análise de Risco'!$I$111</definedName>
    <definedName name="VarTab04">'Análise de Risco'!$I$112</definedName>
    <definedName name="VarTab05">'Análise de Risco'!$I$113</definedName>
    <definedName name="VarTab06">'Análise de Risco'!$I$114</definedName>
    <definedName name="VarTab07">'Análise de Risco'!$I$115</definedName>
    <definedName name="VarTab08">'Análise de Risco'!$I$116</definedName>
    <definedName name="VarTab09">'Análise de Risco'!$I$117</definedName>
    <definedName name="VarTab10">'Análise de Risco'!$I$118</definedName>
    <definedName name="VarTab11">'Análise de Risco'!$I$119</definedName>
    <definedName name="VarTab12">'Análise de Risco'!$I$120</definedName>
    <definedName name="VarTab13">'Análise de Risco'!$I$121</definedName>
    <definedName name="WD_Source_Ground">Language!$C$1705</definedName>
    <definedName name="WeatherHDD_1">Iniciar!$D$40</definedName>
    <definedName name="WebTrList">Iniciar!$R$2:$R$5</definedName>
    <definedName name="Win_11">Janela!$B$8:$G$32</definedName>
    <definedName name="Win_12">Janela!$I$8:$L$32</definedName>
    <definedName name="Win_13">Janela!$O$8:$O$32</definedName>
    <definedName name="Win_21">Janela!$B$38:$G$62</definedName>
    <definedName name="Win_22">Janela!$I$38:$L$62</definedName>
    <definedName name="Win_23">Janela!$O$38:$O$62</definedName>
    <definedName name="Win_BP">Janela!$D$34</definedName>
    <definedName name="Win_Start">Janela!$A$1</definedName>
    <definedName name="Wind_Num">'Modelo Energético'!$D$256</definedName>
    <definedName name="Wind_Power_Capcity">'Modelo Energético'!$D$253</definedName>
    <definedName name="WindAddr_Capacity">'Modelo Energético'!$Y$1320</definedName>
    <definedName name="WindAddr_Detail">'Modelo Energético'!$AB$1320</definedName>
    <definedName name="WindAddr_Manufacturer">'Modelo Energético'!$Z$1320</definedName>
    <definedName name="WindAddr_Model">'Modelo Energético'!$AA$1320</definedName>
    <definedName name="WindAddr_Num">'Modelo Energético'!$AC$1320</definedName>
    <definedName name="WindHeight">Iniciar!$H$71</definedName>
    <definedName name="WinPastedRow">Janela!$81:$81</definedName>
    <definedName name="WRegion">'Carga e Rede'!$C$372:$C$373</definedName>
    <definedName name="YearPos">'Análise Financeira'!$K$48</definedName>
    <definedName name="YesNo">Language!$C$119:$C$120</definedName>
  </definedNames>
  <calcPr calcId="191029" calcMode="manual" fullCalcOnLoad="1" iterate="1" iterateCount="30" iterateDelta="0.1" calcCompleted="0" calcOnSave="0"/>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89" i="2" l="1"/>
  <c r="W177" i="1"/>
  <c r="B1003" i="2"/>
  <c r="I979" i="8"/>
  <c r="B104" i="8" s="1"/>
  <c r="E127" i="11"/>
  <c r="N28" i="11"/>
  <c r="B107" i="11"/>
  <c r="B108" i="11"/>
  <c r="B109" i="11"/>
  <c r="B110" i="11"/>
  <c r="B111" i="11"/>
  <c r="B112" i="11"/>
  <c r="B113" i="11"/>
  <c r="B114" i="11"/>
  <c r="N20" i="11"/>
  <c r="G951" i="2" s="1"/>
  <c r="D1057" i="1"/>
  <c r="E245" i="1"/>
  <c r="E246" i="1"/>
  <c r="AC1068" i="2"/>
  <c r="AC1069" i="2"/>
  <c r="C267" i="2"/>
  <c r="P226" i="2"/>
  <c r="C246" i="2"/>
  <c r="AC1070" i="2" s="1"/>
  <c r="O230" i="2" s="1"/>
  <c r="Z1077" i="2"/>
  <c r="AC1066" i="2" s="1"/>
  <c r="Z1076" i="2"/>
  <c r="AC1065" i="2" s="1"/>
  <c r="Z1061" i="2"/>
  <c r="V692" i="2" s="1"/>
  <c r="R86" i="2"/>
  <c r="R191" i="2" s="1"/>
  <c r="Z1107" i="2"/>
  <c r="G1074" i="2"/>
  <c r="M30" i="2"/>
  <c r="E505" i="1"/>
  <c r="B1163" i="1"/>
  <c r="D1071" i="1"/>
  <c r="H1071" i="1" s="1"/>
  <c r="I1071" i="1" s="1"/>
  <c r="D866" i="1"/>
  <c r="F1071" i="1" s="1"/>
  <c r="J1071" i="1" s="1"/>
  <c r="C1086" i="1"/>
  <c r="B340" i="1" s="1"/>
  <c r="C1087" i="1"/>
  <c r="C1072" i="1"/>
  <c r="C1071" i="1"/>
  <c r="C1088" i="1"/>
  <c r="C1065" i="1" s="1"/>
  <c r="C1069" i="1"/>
  <c r="C1060" i="1"/>
  <c r="C1059" i="1"/>
  <c r="C1058" i="1"/>
  <c r="D1072" i="1"/>
  <c r="D874" i="1"/>
  <c r="D1062" i="1"/>
  <c r="G1062" i="1" s="1"/>
  <c r="I1168" i="1"/>
  <c r="I1169" i="1"/>
  <c r="T621" i="1" s="1"/>
  <c r="I1170" i="1"/>
  <c r="T622" i="1" s="1"/>
  <c r="J1191" i="1"/>
  <c r="S759" i="1"/>
  <c r="R760" i="1"/>
  <c r="I1182" i="1"/>
  <c r="M779" i="1" s="1"/>
  <c r="B1164" i="1"/>
  <c r="M775" i="1" s="1"/>
  <c r="F1182" i="1"/>
  <c r="M670" i="1"/>
  <c r="C1178" i="1"/>
  <c r="S672" i="1"/>
  <c r="R761" i="1" s="1"/>
  <c r="B84" i="11"/>
  <c r="O56" i="11"/>
  <c r="J1190" i="1"/>
  <c r="J1162" i="1" s="1"/>
  <c r="R670" i="1"/>
  <c r="G1182" i="1"/>
  <c r="B90" i="11"/>
  <c r="P56" i="11" s="1"/>
  <c r="P65" i="11" s="1"/>
  <c r="F68" i="15" s="1"/>
  <c r="T757" i="1"/>
  <c r="T756" i="1"/>
  <c r="R448" i="2"/>
  <c r="E49" i="11"/>
  <c r="Q450" i="2" s="1"/>
  <c r="T4" i="1"/>
  <c r="U4" i="1"/>
  <c r="H1182" i="1"/>
  <c r="M759" i="1" s="1"/>
  <c r="G1175" i="1"/>
  <c r="R644" i="1" s="1"/>
  <c r="R766" i="1"/>
  <c r="B93" i="11"/>
  <c r="C93" i="11"/>
  <c r="G1177" i="1"/>
  <c r="R767" i="1"/>
  <c r="G1173" i="1"/>
  <c r="R765" i="1" s="1"/>
  <c r="R770" i="1"/>
  <c r="D1066" i="1"/>
  <c r="G1066" i="1" s="1"/>
  <c r="D1070" i="1"/>
  <c r="D857" i="1"/>
  <c r="D345" i="1"/>
  <c r="E535" i="1"/>
  <c r="J1156" i="1"/>
  <c r="J1152" i="1"/>
  <c r="D943" i="1" s="1"/>
  <c r="M253" i="1"/>
  <c r="M258" i="1"/>
  <c r="G1071" i="1"/>
  <c r="D1076" i="1"/>
  <c r="G1076" i="1"/>
  <c r="D1054" i="1"/>
  <c r="G1055" i="1"/>
  <c r="M933" i="1"/>
  <c r="D1080" i="1"/>
  <c r="D1021" i="1"/>
  <c r="AK16" i="14"/>
  <c r="AK17" i="14"/>
  <c r="E17" i="14"/>
  <c r="F42" i="1"/>
  <c r="AK18" i="14"/>
  <c r="G18" i="14" s="1"/>
  <c r="H43" i="1" s="1"/>
  <c r="E18" i="14"/>
  <c r="F43" i="1" s="1"/>
  <c r="AK19" i="14"/>
  <c r="E19" i="14" s="1"/>
  <c r="F44" i="1" s="1"/>
  <c r="AK20" i="14"/>
  <c r="AK22" i="14"/>
  <c r="AH22" i="14" s="1"/>
  <c r="E22" i="14"/>
  <c r="F47" i="1"/>
  <c r="AK23" i="14"/>
  <c r="AK24" i="14"/>
  <c r="AK25" i="14"/>
  <c r="E25" i="14" s="1"/>
  <c r="F50" i="1" s="1"/>
  <c r="AK26" i="14"/>
  <c r="G26" i="14" s="1"/>
  <c r="H51" i="1" s="1"/>
  <c r="E26" i="14"/>
  <c r="F51" i="1" s="1"/>
  <c r="BX28" i="14"/>
  <c r="E28" i="14" s="1"/>
  <c r="F53" i="1" s="1"/>
  <c r="BX29" i="14"/>
  <c r="BX30" i="14"/>
  <c r="E30" i="14"/>
  <c r="F55" i="1"/>
  <c r="BX31" i="14"/>
  <c r="BX32" i="14"/>
  <c r="BX34" i="14"/>
  <c r="BX35" i="14"/>
  <c r="BX36" i="14"/>
  <c r="BX37" i="14"/>
  <c r="G37" i="14" s="1"/>
  <c r="H62" i="1" s="1"/>
  <c r="BX38" i="14"/>
  <c r="E38" i="14"/>
  <c r="F63" i="1" s="1"/>
  <c r="BX40" i="14"/>
  <c r="BX41" i="14"/>
  <c r="BX42" i="14"/>
  <c r="BX43" i="14"/>
  <c r="BX44" i="14"/>
  <c r="BK44" i="14" s="1"/>
  <c r="E44" i="14"/>
  <c r="F69" i="1" s="1"/>
  <c r="BX46" i="14"/>
  <c r="G46" i="14" s="1"/>
  <c r="H71" i="1" s="1"/>
  <c r="E46" i="14"/>
  <c r="F71" i="1" s="1"/>
  <c r="BX47" i="14"/>
  <c r="G47" i="14" s="1"/>
  <c r="H72" i="1" s="1"/>
  <c r="E47" i="14"/>
  <c r="F72" i="1" s="1"/>
  <c r="BX48" i="14"/>
  <c r="BX49" i="14"/>
  <c r="E49" i="14"/>
  <c r="F74" i="1" s="1"/>
  <c r="BX50" i="14"/>
  <c r="BK50" i="14" s="1"/>
  <c r="BX52" i="14"/>
  <c r="BX53" i="14"/>
  <c r="BX54" i="14"/>
  <c r="BX55" i="14"/>
  <c r="E55" i="14"/>
  <c r="F80" i="1"/>
  <c r="BX56" i="14"/>
  <c r="BV56" i="14" s="1"/>
  <c r="BX58" i="14"/>
  <c r="G107" i="11"/>
  <c r="G108" i="11"/>
  <c r="G109" i="11"/>
  <c r="G110" i="11"/>
  <c r="BX59" i="14"/>
  <c r="BX60" i="14"/>
  <c r="BX61" i="14"/>
  <c r="BX62" i="14"/>
  <c r="BX64" i="14"/>
  <c r="BX65" i="14"/>
  <c r="BX66" i="14"/>
  <c r="BX67" i="14"/>
  <c r="BX68" i="14"/>
  <c r="BX70" i="14"/>
  <c r="BX71" i="14"/>
  <c r="BX72" i="14"/>
  <c r="BX73" i="14"/>
  <c r="BX74" i="14"/>
  <c r="BX76" i="14"/>
  <c r="BX77" i="14"/>
  <c r="BX78" i="14"/>
  <c r="BX79" i="14"/>
  <c r="BX80" i="14"/>
  <c r="BX82" i="14"/>
  <c r="BV82" i="14" s="1"/>
  <c r="BX83" i="14"/>
  <c r="BX84" i="14"/>
  <c r="BX85" i="14"/>
  <c r="BX86" i="14"/>
  <c r="BV86" i="14" s="1"/>
  <c r="BX88" i="14"/>
  <c r="BX89" i="14"/>
  <c r="BV89" i="14" s="1"/>
  <c r="BX90" i="14"/>
  <c r="BX91" i="14"/>
  <c r="BX92" i="14"/>
  <c r="BV92" i="14" s="1"/>
  <c r="BX94" i="14"/>
  <c r="BV94" i="14" s="1"/>
  <c r="BX95" i="14"/>
  <c r="BV95" i="14" s="1"/>
  <c r="BX96" i="14"/>
  <c r="BV96" i="14" s="1"/>
  <c r="BX97" i="14"/>
  <c r="BX98" i="14"/>
  <c r="BV98" i="14" s="1"/>
  <c r="BX100" i="14"/>
  <c r="BV100" i="14" s="1"/>
  <c r="AD100" i="14" s="1"/>
  <c r="BX101" i="14"/>
  <c r="BV101" i="14" s="1"/>
  <c r="BX102" i="14"/>
  <c r="BV102" i="14" s="1"/>
  <c r="AD102" i="14" s="1"/>
  <c r="BX103" i="14"/>
  <c r="BV103" i="14" s="1"/>
  <c r="BX104" i="14"/>
  <c r="BV104" i="14" s="1"/>
  <c r="BX106" i="14"/>
  <c r="BX107" i="14"/>
  <c r="BX108" i="14"/>
  <c r="BX109" i="14"/>
  <c r="BX110" i="14"/>
  <c r="BX112" i="14"/>
  <c r="BW112" i="14" s="1"/>
  <c r="AQ112" i="14" s="1"/>
  <c r="BX113" i="14"/>
  <c r="BW113" i="14" s="1"/>
  <c r="BX114" i="14"/>
  <c r="BX115" i="14"/>
  <c r="BW115" i="14" s="1"/>
  <c r="AQ115" i="14" s="1"/>
  <c r="BX116" i="14"/>
  <c r="BW116" i="14" s="1"/>
  <c r="AQ116" i="14" s="1"/>
  <c r="BX118" i="14"/>
  <c r="BX119" i="14"/>
  <c r="BX120" i="14"/>
  <c r="G120" i="14" s="1"/>
  <c r="H145" i="1" s="1"/>
  <c r="BX121" i="14"/>
  <c r="Z121" i="14" s="1"/>
  <c r="AB121" i="14" s="1"/>
  <c r="E121" i="14"/>
  <c r="F146" i="1" s="1"/>
  <c r="BX122" i="14"/>
  <c r="BK122" i="14" s="1"/>
  <c r="Z80" i="3"/>
  <c r="Z81" i="3"/>
  <c r="C261" i="4"/>
  <c r="U63" i="3"/>
  <c r="BA2" i="3"/>
  <c r="BB2" i="3"/>
  <c r="BB28" i="3" s="1"/>
  <c r="BB12" i="3"/>
  <c r="BB14" i="3"/>
  <c r="BB15" i="3"/>
  <c r="BB18" i="3"/>
  <c r="BB19" i="3"/>
  <c r="BB20" i="3"/>
  <c r="BB23" i="3"/>
  <c r="BB24" i="3"/>
  <c r="BB25" i="3"/>
  <c r="BB26" i="3"/>
  <c r="BB27" i="3"/>
  <c r="BB35" i="3"/>
  <c r="BB36" i="3"/>
  <c r="BB38" i="3"/>
  <c r="BB39" i="3"/>
  <c r="BB40" i="3"/>
  <c r="BB41" i="3"/>
  <c r="BB42" i="3"/>
  <c r="BB47" i="3"/>
  <c r="BB48" i="3"/>
  <c r="BB49" i="3"/>
  <c r="BB50" i="3"/>
  <c r="BB52" i="3"/>
  <c r="G17" i="14"/>
  <c r="H42" i="1" s="1"/>
  <c r="G30" i="14"/>
  <c r="H55" i="1" s="1"/>
  <c r="G42" i="14"/>
  <c r="H67" i="1" s="1"/>
  <c r="G43" i="14"/>
  <c r="H68" i="1"/>
  <c r="G44" i="14"/>
  <c r="H69" i="1" s="1"/>
  <c r="G49" i="14"/>
  <c r="H74" i="1" s="1"/>
  <c r="G55" i="14"/>
  <c r="H80" i="1" s="1"/>
  <c r="G122" i="14"/>
  <c r="H147" i="1" s="1"/>
  <c r="E47" i="12"/>
  <c r="D267" i="4"/>
  <c r="B49" i="4"/>
  <c r="C58" i="4" s="1"/>
  <c r="B36" i="4"/>
  <c r="C47" i="4" s="1"/>
  <c r="B22" i="4"/>
  <c r="C34" i="4" s="1"/>
  <c r="C68" i="4"/>
  <c r="Q9" i="4"/>
  <c r="D1114" i="2"/>
  <c r="J1155" i="1"/>
  <c r="C182" i="1"/>
  <c r="E51" i="11"/>
  <c r="E50" i="11"/>
  <c r="B127" i="11"/>
  <c r="N37" i="11" s="1"/>
  <c r="C21" i="10" s="1"/>
  <c r="C65" i="10" s="1"/>
  <c r="X177" i="1"/>
  <c r="D257" i="2"/>
  <c r="L661" i="8"/>
  <c r="C127" i="11"/>
  <c r="N38" i="11" s="1"/>
  <c r="E1213" i="2" s="1"/>
  <c r="G846" i="8"/>
  <c r="G847" i="8"/>
  <c r="G848" i="8"/>
  <c r="G849" i="8"/>
  <c r="G850" i="8"/>
  <c r="C859" i="8"/>
  <c r="C862" i="8"/>
  <c r="C854" i="8" s="1"/>
  <c r="D854" i="8" s="1"/>
  <c r="G851" i="8"/>
  <c r="D858" i="8" s="1"/>
  <c r="E858" i="8" s="1"/>
  <c r="G858" i="8" s="1"/>
  <c r="I858" i="8" s="1"/>
  <c r="G852" i="8"/>
  <c r="G854" i="8"/>
  <c r="D842" i="8"/>
  <c r="G853" i="8"/>
  <c r="D861" i="8" s="1"/>
  <c r="E861" i="8" s="1"/>
  <c r="G861" i="8" s="1"/>
  <c r="C861" i="8"/>
  <c r="C853" i="8" s="1"/>
  <c r="D853" i="8" s="1"/>
  <c r="B87" i="11"/>
  <c r="E721" i="8"/>
  <c r="C672" i="8"/>
  <c r="O536" i="8" s="1"/>
  <c r="I978" i="8"/>
  <c r="U6" i="10"/>
  <c r="V330" i="10" s="1"/>
  <c r="B1179" i="2"/>
  <c r="J1180" i="1"/>
  <c r="V321" i="10"/>
  <c r="U111" i="10"/>
  <c r="AR151" i="10" s="1"/>
  <c r="B96" i="11"/>
  <c r="J1181" i="1"/>
  <c r="S325" i="10"/>
  <c r="K1063" i="2"/>
  <c r="K1064" i="2"/>
  <c r="O1115" i="2" s="1"/>
  <c r="K1065" i="2"/>
  <c r="K1066" i="2"/>
  <c r="O1117" i="2" s="1"/>
  <c r="K1067" i="2"/>
  <c r="K1068" i="2"/>
  <c r="O1119" i="2" s="1"/>
  <c r="K1069" i="2"/>
  <c r="O1120" i="2" s="1"/>
  <c r="R35" i="2"/>
  <c r="Z1105" i="2" s="1"/>
  <c r="J1204" i="1"/>
  <c r="R612" i="1"/>
  <c r="R611" i="1"/>
  <c r="G1179" i="1"/>
  <c r="R768" i="1" s="1"/>
  <c r="U638" i="1"/>
  <c r="X592" i="1"/>
  <c r="R557" i="1"/>
  <c r="R558" i="1"/>
  <c r="Y592" i="1"/>
  <c r="R559" i="1"/>
  <c r="Y570" i="1" s="1"/>
  <c r="R560" i="1"/>
  <c r="B1178" i="1"/>
  <c r="J1196" i="1" s="1"/>
  <c r="B1179" i="1"/>
  <c r="J1197" i="1" s="1"/>
  <c r="B1180" i="1"/>
  <c r="J1198" i="1"/>
  <c r="K1198" i="1"/>
  <c r="U639" i="1"/>
  <c r="X593" i="1"/>
  <c r="Y593" i="1"/>
  <c r="U640" i="1"/>
  <c r="X594" i="1"/>
  <c r="Y594" i="1"/>
  <c r="U641" i="1"/>
  <c r="X595" i="1"/>
  <c r="Y595" i="1"/>
  <c r="U642" i="1"/>
  <c r="X596" i="1"/>
  <c r="Y596" i="1"/>
  <c r="U643" i="1"/>
  <c r="X597" i="1"/>
  <c r="Y597" i="1"/>
  <c r="U644" i="1"/>
  <c r="X598" i="1"/>
  <c r="Y598" i="1"/>
  <c r="U645" i="1"/>
  <c r="X599" i="1"/>
  <c r="Y599" i="1"/>
  <c r="U646" i="1"/>
  <c r="X600" i="1"/>
  <c r="Y600" i="1"/>
  <c r="U647" i="1"/>
  <c r="X601" i="1"/>
  <c r="Y601" i="1"/>
  <c r="U648" i="1"/>
  <c r="X602" i="1"/>
  <c r="Y602" i="1"/>
  <c r="U649" i="1"/>
  <c r="X603" i="1"/>
  <c r="Y603" i="1"/>
  <c r="J1194" i="1"/>
  <c r="B1170" i="1"/>
  <c r="Q640" i="1"/>
  <c r="S678" i="1"/>
  <c r="R449" i="2"/>
  <c r="R450" i="2"/>
  <c r="B451" i="2"/>
  <c r="R451" i="2" s="1"/>
  <c r="J1205" i="1"/>
  <c r="F1178" i="1"/>
  <c r="S760" i="1"/>
  <c r="S761" i="1"/>
  <c r="S762" i="1"/>
  <c r="S763" i="1"/>
  <c r="S764" i="1"/>
  <c r="S765" i="1"/>
  <c r="S766" i="1"/>
  <c r="S767" i="1"/>
  <c r="S768" i="1"/>
  <c r="S769" i="1"/>
  <c r="S770" i="1"/>
  <c r="N45" i="12"/>
  <c r="W65" i="3"/>
  <c r="P1289" i="2"/>
  <c r="B1109" i="1"/>
  <c r="P388" i="10"/>
  <c r="B1108" i="1"/>
  <c r="I1169" i="2" s="1"/>
  <c r="P387" i="10"/>
  <c r="B1107" i="1"/>
  <c r="F1107" i="1" s="1"/>
  <c r="B1106" i="1"/>
  <c r="P385" i="10" s="1"/>
  <c r="B1105" i="1"/>
  <c r="P384" i="10" s="1"/>
  <c r="F1098" i="1"/>
  <c r="I1159" i="2" s="1"/>
  <c r="B1102" i="1"/>
  <c r="I1163" i="2" s="1"/>
  <c r="P381" i="10"/>
  <c r="B1101" i="1"/>
  <c r="B1096" i="1"/>
  <c r="P375" i="10" s="1"/>
  <c r="B1094" i="1"/>
  <c r="P373" i="10" s="1"/>
  <c r="B1289" i="2"/>
  <c r="B1195" i="2"/>
  <c r="B1296" i="2"/>
  <c r="I1194" i="2" s="1"/>
  <c r="C218" i="12" s="1"/>
  <c r="B1300" i="2"/>
  <c r="I1190" i="2" s="1"/>
  <c r="I1191" i="2"/>
  <c r="L1191" i="2" s="1"/>
  <c r="B1295" i="2"/>
  <c r="I1184" i="2" s="1"/>
  <c r="I1187" i="2"/>
  <c r="C214" i="12" s="1"/>
  <c r="N201" i="12" s="1"/>
  <c r="B1298" i="2"/>
  <c r="B1297" i="2"/>
  <c r="B1299" i="2"/>
  <c r="I1178" i="2" s="1"/>
  <c r="B1176" i="2"/>
  <c r="E1178" i="2"/>
  <c r="N1178" i="2" s="1"/>
  <c r="G781" i="8"/>
  <c r="B1177" i="2"/>
  <c r="K1177" i="2" s="1"/>
  <c r="B1178" i="2"/>
  <c r="K1178" i="2" s="1"/>
  <c r="B1180" i="2"/>
  <c r="B1181" i="2"/>
  <c r="K1181" i="2" s="1"/>
  <c r="E346" i="10" s="1"/>
  <c r="B1182" i="2"/>
  <c r="B1183" i="2"/>
  <c r="K1183" i="2" s="1"/>
  <c r="E348" i="10" s="1"/>
  <c r="D347" i="10" s="1"/>
  <c r="F1184" i="2"/>
  <c r="B1184" i="2"/>
  <c r="K1184" i="2" s="1"/>
  <c r="P1071" i="2" s="1"/>
  <c r="C1071" i="2" s="1"/>
  <c r="B1185" i="2"/>
  <c r="K1185" i="2" s="1"/>
  <c r="B1186" i="2"/>
  <c r="K1186" i="2" s="1"/>
  <c r="P1073" i="2" s="1"/>
  <c r="C1073" i="2" s="1"/>
  <c r="F29" i="1"/>
  <c r="F1174" i="1"/>
  <c r="P19" i="1" s="1"/>
  <c r="V19" i="1" s="1"/>
  <c r="I36" i="15" s="1"/>
  <c r="G29" i="1"/>
  <c r="CB18" i="14" s="1"/>
  <c r="H29" i="1"/>
  <c r="CB19" i="14" s="1"/>
  <c r="I29" i="1"/>
  <c r="CB20" i="14" s="1"/>
  <c r="J29" i="1"/>
  <c r="CB21" i="14" s="1"/>
  <c r="CB16" i="14"/>
  <c r="E128" i="11"/>
  <c r="O8" i="4"/>
  <c r="G34" i="4"/>
  <c r="G47" i="4"/>
  <c r="G58" i="4"/>
  <c r="B115" i="11"/>
  <c r="U220" i="12" s="1"/>
  <c r="V220" i="12" s="1"/>
  <c r="G1073" i="2"/>
  <c r="D1108" i="2" s="1"/>
  <c r="C1122" i="2"/>
  <c r="J1119" i="2"/>
  <c r="T1119" i="2"/>
  <c r="B821" i="2"/>
  <c r="B834" i="2" s="1"/>
  <c r="B820" i="2"/>
  <c r="B819" i="2"/>
  <c r="B825" i="2" s="1"/>
  <c r="D260" i="10"/>
  <c r="AT32" i="10" s="1"/>
  <c r="D266" i="10"/>
  <c r="X12" i="10"/>
  <c r="X18" i="10" s="1"/>
  <c r="X113" i="10"/>
  <c r="X117" i="10"/>
  <c r="X123" i="10" s="1"/>
  <c r="G1076" i="2"/>
  <c r="M16" i="2" s="1"/>
  <c r="E1083" i="2"/>
  <c r="G1077" i="2" s="1"/>
  <c r="G1078" i="2"/>
  <c r="G1079" i="2"/>
  <c r="B1293" i="2"/>
  <c r="B1294" i="2"/>
  <c r="I1294" i="2" s="1"/>
  <c r="C322" i="12" s="1"/>
  <c r="J265" i="10"/>
  <c r="Z1086" i="2"/>
  <c r="S587" i="2" s="1"/>
  <c r="S592" i="2" s="1"/>
  <c r="AR318" i="10"/>
  <c r="AT320" i="10"/>
  <c r="M37" i="2"/>
  <c r="M38" i="2" s="1"/>
  <c r="Z1081" i="2"/>
  <c r="K1076" i="2"/>
  <c r="I1127" i="2"/>
  <c r="C335" i="12" s="1"/>
  <c r="K1075" i="2"/>
  <c r="K1074" i="2"/>
  <c r="K1073" i="2"/>
  <c r="B778" i="2" s="1"/>
  <c r="E1091" i="2"/>
  <c r="K1071" i="2"/>
  <c r="I1122" i="2" s="1"/>
  <c r="C331" i="12" s="1"/>
  <c r="K1070" i="2"/>
  <c r="I1115" i="2"/>
  <c r="C324" i="12" s="1"/>
  <c r="C1139" i="2"/>
  <c r="C1140" i="2"/>
  <c r="C1141" i="2"/>
  <c r="C1142" i="2"/>
  <c r="C1143" i="2"/>
  <c r="C1144" i="2"/>
  <c r="C1145" i="2"/>
  <c r="C1146" i="2"/>
  <c r="C1147" i="2"/>
  <c r="C1148" i="2"/>
  <c r="C1149" i="2"/>
  <c r="C1150" i="2"/>
  <c r="C1151" i="2"/>
  <c r="B43" i="2"/>
  <c r="B44" i="2"/>
  <c r="B45" i="2"/>
  <c r="B1187" i="2"/>
  <c r="K1187" i="2" s="1"/>
  <c r="M28" i="2"/>
  <c r="M553" i="2"/>
  <c r="F107" i="11"/>
  <c r="S679" i="1"/>
  <c r="S680" i="1"/>
  <c r="S681" i="1"/>
  <c r="S682" i="1"/>
  <c r="S683" i="1"/>
  <c r="S684" i="1"/>
  <c r="S685" i="1"/>
  <c r="S686" i="1"/>
  <c r="S687" i="1"/>
  <c r="S688" i="1"/>
  <c r="S689" i="1"/>
  <c r="D261" i="4"/>
  <c r="D145" i="4" s="1"/>
  <c r="G1081" i="2"/>
  <c r="Z1097" i="2"/>
  <c r="AU137" i="10"/>
  <c r="S203" i="10" s="1"/>
  <c r="AT137" i="10"/>
  <c r="R203" i="10" s="1"/>
  <c r="AR137" i="10"/>
  <c r="AJ137" i="10"/>
  <c r="AI137" i="10"/>
  <c r="G264" i="10"/>
  <c r="D264" i="10"/>
  <c r="AH82" i="10" s="1"/>
  <c r="Y183" i="10"/>
  <c r="G260" i="10"/>
  <c r="O286" i="10"/>
  <c r="O287" i="10"/>
  <c r="O288" i="10"/>
  <c r="O289" i="10"/>
  <c r="O290" i="10"/>
  <c r="O291" i="10"/>
  <c r="O292" i="10"/>
  <c r="O293" i="10"/>
  <c r="O294" i="10"/>
  <c r="O295" i="10"/>
  <c r="O296" i="10"/>
  <c r="O297" i="10"/>
  <c r="O298" i="10"/>
  <c r="O299" i="10"/>
  <c r="O300" i="10"/>
  <c r="O301" i="10"/>
  <c r="O302" i="10"/>
  <c r="O303" i="10"/>
  <c r="O304" i="10"/>
  <c r="O305" i="10"/>
  <c r="H976" i="8"/>
  <c r="H977" i="8"/>
  <c r="H978" i="8"/>
  <c r="B987" i="8"/>
  <c r="K1026" i="8"/>
  <c r="L1026" i="8" s="1"/>
  <c r="F1044" i="8"/>
  <c r="F1058" i="8" s="1"/>
  <c r="F1043" i="8"/>
  <c r="F1057" i="8" s="1"/>
  <c r="F1052" i="8"/>
  <c r="B976" i="8"/>
  <c r="B977" i="8"/>
  <c r="E745" i="8"/>
  <c r="C685" i="8" s="1"/>
  <c r="I977" i="8"/>
  <c r="G981" i="8"/>
  <c r="D252" i="8" s="1"/>
  <c r="E1092" i="2"/>
  <c r="E1077" i="2"/>
  <c r="V593" i="1"/>
  <c r="V594" i="1"/>
  <c r="V595" i="1"/>
  <c r="V596" i="1"/>
  <c r="V597" i="1"/>
  <c r="V598" i="1"/>
  <c r="V599" i="1"/>
  <c r="V600" i="1"/>
  <c r="V601" i="1"/>
  <c r="V602" i="1"/>
  <c r="V603" i="1"/>
  <c r="W593" i="1"/>
  <c r="W594" i="1"/>
  <c r="W595" i="1"/>
  <c r="W596" i="1"/>
  <c r="W597" i="1"/>
  <c r="W598" i="1"/>
  <c r="W599" i="1"/>
  <c r="W600" i="1"/>
  <c r="W601" i="1"/>
  <c r="W602" i="1"/>
  <c r="W603" i="1"/>
  <c r="V592" i="1"/>
  <c r="W592" i="1"/>
  <c r="AP32" i="10"/>
  <c r="AO32" i="10"/>
  <c r="AI32" i="10"/>
  <c r="G286" i="10"/>
  <c r="G287" i="10"/>
  <c r="G288" i="10"/>
  <c r="G289" i="10"/>
  <c r="G290" i="10"/>
  <c r="G291" i="10"/>
  <c r="G292" i="10"/>
  <c r="G293" i="10"/>
  <c r="G294" i="10"/>
  <c r="G295" i="10"/>
  <c r="G296" i="10"/>
  <c r="G297" i="10"/>
  <c r="G298" i="10"/>
  <c r="G299" i="10"/>
  <c r="G300" i="10"/>
  <c r="G301" i="10"/>
  <c r="G302" i="10"/>
  <c r="G303" i="10"/>
  <c r="G304" i="10"/>
  <c r="G305" i="10"/>
  <c r="G83" i="4"/>
  <c r="J83" i="4" s="1"/>
  <c r="G84" i="4"/>
  <c r="J84" i="4" s="1"/>
  <c r="G113" i="4"/>
  <c r="J113" i="4" s="1"/>
  <c r="G116" i="4"/>
  <c r="J116" i="4" s="1"/>
  <c r="G117" i="4"/>
  <c r="J117" i="4" s="1"/>
  <c r="G132" i="4"/>
  <c r="J132" i="4" s="1"/>
  <c r="G133" i="4"/>
  <c r="J133" i="4" s="1"/>
  <c r="G137" i="4"/>
  <c r="J137" i="4" s="1"/>
  <c r="G138" i="4"/>
  <c r="J138" i="4" s="1"/>
  <c r="G150" i="4"/>
  <c r="J150" i="4" s="1"/>
  <c r="G159" i="4"/>
  <c r="J159" i="4" s="1"/>
  <c r="F171" i="4"/>
  <c r="F174" i="4"/>
  <c r="O328" i="8"/>
  <c r="L317" i="8" s="1"/>
  <c r="C657" i="8"/>
  <c r="C350" i="8"/>
  <c r="R341" i="8"/>
  <c r="R342" i="8"/>
  <c r="O323" i="8"/>
  <c r="O324" i="8"/>
  <c r="O325" i="8"/>
  <c r="Q318" i="8"/>
  <c r="L343" i="8"/>
  <c r="R355" i="8"/>
  <c r="R357" i="8"/>
  <c r="E724" i="8"/>
  <c r="C659" i="8" s="1"/>
  <c r="M359" i="8" s="1"/>
  <c r="M334" i="8"/>
  <c r="O344" i="8"/>
  <c r="O345" i="8"/>
  <c r="G185" i="4"/>
  <c r="J185" i="4" s="1"/>
  <c r="G186" i="4"/>
  <c r="J186" i="4" s="1"/>
  <c r="G195" i="4"/>
  <c r="J195" i="4" s="1"/>
  <c r="G207" i="4"/>
  <c r="J207" i="4" s="1"/>
  <c r="G211" i="4"/>
  <c r="J211" i="4" s="1"/>
  <c r="H344" i="10"/>
  <c r="C1174" i="1"/>
  <c r="D245" i="1"/>
  <c r="D246" i="1"/>
  <c r="F246" i="1" s="1"/>
  <c r="K3" i="14"/>
  <c r="V122" i="14"/>
  <c r="V121" i="14"/>
  <c r="V120" i="14"/>
  <c r="V119" i="14"/>
  <c r="V118" i="14"/>
  <c r="V98" i="14"/>
  <c r="V97" i="14"/>
  <c r="V96" i="14"/>
  <c r="V95" i="14"/>
  <c r="V94" i="14"/>
  <c r="V92" i="14"/>
  <c r="V91" i="14"/>
  <c r="V90" i="14"/>
  <c r="V89" i="14"/>
  <c r="V88" i="14"/>
  <c r="V86" i="14"/>
  <c r="V85" i="14"/>
  <c r="V84" i="14"/>
  <c r="V83" i="14"/>
  <c r="V82" i="14"/>
  <c r="V56" i="14"/>
  <c r="V55" i="14"/>
  <c r="V54" i="14"/>
  <c r="V53" i="14"/>
  <c r="V52" i="14"/>
  <c r="V38" i="14"/>
  <c r="V37" i="14"/>
  <c r="V36" i="14"/>
  <c r="V35" i="14"/>
  <c r="V34" i="14"/>
  <c r="V32" i="14"/>
  <c r="V31" i="14"/>
  <c r="V30" i="14"/>
  <c r="V29" i="14"/>
  <c r="V28" i="14"/>
  <c r="W28" i="14"/>
  <c r="X28" i="14" s="1"/>
  <c r="L31" i="15"/>
  <c r="BW2" i="14" s="1"/>
  <c r="W29" i="14"/>
  <c r="X29" i="14" s="1"/>
  <c r="W30" i="14"/>
  <c r="X30" i="14" s="1"/>
  <c r="BV136" i="14"/>
  <c r="W31" i="14"/>
  <c r="X31" i="14" s="1"/>
  <c r="W32" i="14"/>
  <c r="X32" i="14" s="1"/>
  <c r="W34" i="14"/>
  <c r="X34" i="14" s="1"/>
  <c r="W35" i="14"/>
  <c r="X35" i="14" s="1"/>
  <c r="W36" i="14"/>
  <c r="X36" i="14" s="1"/>
  <c r="W37" i="14"/>
  <c r="X37" i="14" s="1"/>
  <c r="W38" i="14"/>
  <c r="X38" i="14" s="1"/>
  <c r="W52" i="14"/>
  <c r="X52" i="14" s="1"/>
  <c r="W53" i="14"/>
  <c r="X53" i="14" s="1"/>
  <c r="W54" i="14"/>
  <c r="X54" i="14" s="1"/>
  <c r="W55" i="14"/>
  <c r="X55" i="14"/>
  <c r="W56" i="14"/>
  <c r="X56" i="14" s="1"/>
  <c r="W82" i="14"/>
  <c r="X82" i="14" s="1"/>
  <c r="W83" i="14"/>
  <c r="X83" i="14"/>
  <c r="W84" i="14"/>
  <c r="X84" i="14" s="1"/>
  <c r="W85" i="14"/>
  <c r="X85" i="14" s="1"/>
  <c r="W86" i="14"/>
  <c r="X86" i="14" s="1"/>
  <c r="W88" i="14"/>
  <c r="X88" i="14" s="1"/>
  <c r="W89" i="14"/>
  <c r="X89" i="14"/>
  <c r="W90" i="14"/>
  <c r="X90" i="14" s="1"/>
  <c r="W91" i="14"/>
  <c r="X91" i="14" s="1"/>
  <c r="W92" i="14"/>
  <c r="X92" i="14" s="1"/>
  <c r="W94" i="14"/>
  <c r="X94" i="14" s="1"/>
  <c r="W95" i="14"/>
  <c r="X95" i="14" s="1"/>
  <c r="W96" i="14"/>
  <c r="X96" i="14" s="1"/>
  <c r="W97" i="14"/>
  <c r="X97" i="14" s="1"/>
  <c r="W98" i="14"/>
  <c r="X98" i="14" s="1"/>
  <c r="W118" i="14"/>
  <c r="X118" i="14" s="1"/>
  <c r="T118" i="14"/>
  <c r="W119" i="14"/>
  <c r="X119" i="14" s="1"/>
  <c r="T119" i="14"/>
  <c r="W120" i="14"/>
  <c r="X120" i="14" s="1"/>
  <c r="T120" i="14"/>
  <c r="W121" i="14"/>
  <c r="X121" i="14" s="1"/>
  <c r="T121" i="14"/>
  <c r="W122" i="14"/>
  <c r="X122" i="14" s="1"/>
  <c r="T122" i="14"/>
  <c r="BW122" i="14"/>
  <c r="AQ122" i="14"/>
  <c r="BW121" i="14"/>
  <c r="BW114" i="14"/>
  <c r="BW37" i="14"/>
  <c r="BW36" i="14"/>
  <c r="BW32" i="14"/>
  <c r="B1188" i="2"/>
  <c r="K1188" i="2" s="1"/>
  <c r="B1189" i="2"/>
  <c r="B1190" i="2"/>
  <c r="K1190" i="2" s="1"/>
  <c r="B1191" i="2"/>
  <c r="K1191" i="2" s="1"/>
  <c r="B1192" i="2"/>
  <c r="K1192" i="2" s="1"/>
  <c r="B1193" i="2"/>
  <c r="K1193" i="2" s="1"/>
  <c r="B1194" i="2"/>
  <c r="K1194" i="2" s="1"/>
  <c r="K4" i="14"/>
  <c r="K5" i="14"/>
  <c r="K6" i="14"/>
  <c r="K7" i="14"/>
  <c r="K8" i="14"/>
  <c r="G1062" i="2"/>
  <c r="G1063" i="2"/>
  <c r="G1064" i="2"/>
  <c r="G1068" i="2"/>
  <c r="G1069" i="2"/>
  <c r="K1071" i="1"/>
  <c r="J1202" i="1"/>
  <c r="J1201" i="1"/>
  <c r="T964" i="2"/>
  <c r="AH37" i="10"/>
  <c r="D269" i="10"/>
  <c r="X14" i="10" s="1"/>
  <c r="AI37" i="10"/>
  <c r="AI43" i="10" s="1"/>
  <c r="AJ37" i="10"/>
  <c r="AK37" i="10"/>
  <c r="D22" i="10"/>
  <c r="D127" i="10"/>
  <c r="E1088" i="2"/>
  <c r="F270" i="10"/>
  <c r="AB1087" i="2" s="1"/>
  <c r="Q380" i="10"/>
  <c r="E669" i="8"/>
  <c r="N462" i="8" s="1"/>
  <c r="E670" i="8"/>
  <c r="N463" i="8" s="1"/>
  <c r="E664" i="8"/>
  <c r="E665" i="8"/>
  <c r="N458" i="8" s="1"/>
  <c r="E666" i="8"/>
  <c r="E667" i="8"/>
  <c r="O459" i="8"/>
  <c r="BI34" i="14"/>
  <c r="BN34" i="14"/>
  <c r="H34" i="14" s="1"/>
  <c r="BI35" i="14"/>
  <c r="BI36" i="14"/>
  <c r="BI37" i="14"/>
  <c r="BN37" i="14" s="1"/>
  <c r="H37" i="14" s="1"/>
  <c r="BI38" i="14"/>
  <c r="F270" i="4"/>
  <c r="G1183" i="1"/>
  <c r="Q174" i="1"/>
  <c r="E154" i="1" s="1"/>
  <c r="G154" i="1" s="1"/>
  <c r="L32" i="15"/>
  <c r="BW3" i="14" s="1"/>
  <c r="J1184" i="1"/>
  <c r="E356" i="1" s="1"/>
  <c r="R184" i="1"/>
  <c r="W36" i="1" s="1"/>
  <c r="AF177" i="1"/>
  <c r="AF178" i="1"/>
  <c r="AF179" i="1"/>
  <c r="AF180" i="1"/>
  <c r="AF181" i="1"/>
  <c r="AF182" i="1"/>
  <c r="AM35" i="14"/>
  <c r="N35" i="14" s="1"/>
  <c r="AM36" i="14"/>
  <c r="N36" i="14" s="1"/>
  <c r="AM37" i="14"/>
  <c r="N37" i="14" s="1"/>
  <c r="AM38" i="14"/>
  <c r="N38" i="14" s="1"/>
  <c r="AR115" i="14"/>
  <c r="AS115" i="14" s="1"/>
  <c r="AR116" i="14"/>
  <c r="AS116" i="14" s="1"/>
  <c r="AO118" i="14"/>
  <c r="AO119" i="14"/>
  <c r="AO120" i="14"/>
  <c r="AO121" i="14"/>
  <c r="AO122" i="14"/>
  <c r="BI40" i="14"/>
  <c r="BI41" i="14"/>
  <c r="BI42" i="14"/>
  <c r="BI43" i="14"/>
  <c r="BI44" i="14"/>
  <c r="BI46" i="14"/>
  <c r="BI47" i="14"/>
  <c r="BI48" i="14"/>
  <c r="BI49" i="14"/>
  <c r="BI50" i="14"/>
  <c r="BI118" i="14"/>
  <c r="BI119" i="14"/>
  <c r="BI120" i="14"/>
  <c r="BI121" i="14"/>
  <c r="BI122" i="14"/>
  <c r="BV122" i="14"/>
  <c r="V16" i="14"/>
  <c r="AD98" i="14" s="1"/>
  <c r="BV97" i="14"/>
  <c r="BV91" i="14"/>
  <c r="BV90" i="14"/>
  <c r="BV88" i="14"/>
  <c r="BV85" i="14"/>
  <c r="BV84" i="14"/>
  <c r="BV83" i="14"/>
  <c r="AD83" i="14" s="1"/>
  <c r="BV55" i="14"/>
  <c r="BV37" i="14"/>
  <c r="BV32" i="14"/>
  <c r="BV28" i="14"/>
  <c r="AD28" i="14"/>
  <c r="X16" i="14"/>
  <c r="Z118" i="14"/>
  <c r="AB118" i="14" s="1"/>
  <c r="Z122" i="14"/>
  <c r="AB122" i="14" s="1"/>
  <c r="V22" i="14"/>
  <c r="AT35" i="14"/>
  <c r="AT36" i="14"/>
  <c r="AT37" i="14"/>
  <c r="AT38" i="14"/>
  <c r="AU119" i="14"/>
  <c r="AW119" i="14" s="1"/>
  <c r="AU120" i="14"/>
  <c r="AW120" i="14" s="1"/>
  <c r="AU122" i="14"/>
  <c r="AW122" i="14" s="1"/>
  <c r="BJ34" i="14"/>
  <c r="BJ35" i="14"/>
  <c r="BJ36" i="14"/>
  <c r="BK36" i="14" s="1"/>
  <c r="BO36" i="14" s="1"/>
  <c r="I36" i="14" s="1"/>
  <c r="BJ37" i="14"/>
  <c r="BK37" i="14" s="1"/>
  <c r="BO37" i="14" s="1"/>
  <c r="I37" i="14" s="1"/>
  <c r="BJ38" i="14"/>
  <c r="BJ40" i="14"/>
  <c r="BJ41" i="14"/>
  <c r="BJ42" i="14"/>
  <c r="BJ43" i="14"/>
  <c r="BJ44" i="14"/>
  <c r="BJ46" i="14"/>
  <c r="BK46" i="14"/>
  <c r="BJ47" i="14"/>
  <c r="BK47" i="14" s="1"/>
  <c r="BJ48" i="14"/>
  <c r="BK48" i="14" s="1"/>
  <c r="BJ49" i="14"/>
  <c r="BK49" i="14" s="1"/>
  <c r="BJ50" i="14"/>
  <c r="BJ118" i="14"/>
  <c r="BK118" i="14" s="1"/>
  <c r="BJ119" i="14"/>
  <c r="BJ120" i="14"/>
  <c r="BJ121" i="14"/>
  <c r="BJ122" i="14"/>
  <c r="X178" i="1"/>
  <c r="Z177" i="1"/>
  <c r="Z178" i="1"/>
  <c r="Z179" i="1"/>
  <c r="Z180" i="1"/>
  <c r="Z181" i="1"/>
  <c r="Z182" i="1"/>
  <c r="AB177" i="1"/>
  <c r="AB178" i="1"/>
  <c r="AC176" i="1" s="1"/>
  <c r="AB179" i="1"/>
  <c r="AD177" i="1"/>
  <c r="AD178" i="1"/>
  <c r="AD179" i="1"/>
  <c r="AE188" i="1"/>
  <c r="AI182" i="1"/>
  <c r="AI181" i="1"/>
  <c r="W178" i="1"/>
  <c r="D770" i="1"/>
  <c r="H1070" i="1"/>
  <c r="I1070" i="1"/>
  <c r="V1121" i="2"/>
  <c r="O1114" i="2"/>
  <c r="O1127" i="2"/>
  <c r="V1119" i="2"/>
  <c r="E769" i="8"/>
  <c r="H842" i="8" s="1"/>
  <c r="C850" i="8"/>
  <c r="D850" i="8" s="1"/>
  <c r="C851" i="8"/>
  <c r="D851" i="8" s="1"/>
  <c r="E1079" i="2"/>
  <c r="M549" i="2" s="1"/>
  <c r="AR317" i="10"/>
  <c r="AS320" i="10"/>
  <c r="F662" i="8"/>
  <c r="B832" i="2"/>
  <c r="B839" i="2" s="1"/>
  <c r="B846" i="2"/>
  <c r="B844" i="2"/>
  <c r="B843" i="2"/>
  <c r="B838" i="2" s="1"/>
  <c r="B833" i="2"/>
  <c r="B831" i="2"/>
  <c r="R957" i="2"/>
  <c r="R956" i="2"/>
  <c r="C222" i="1"/>
  <c r="R181" i="1" s="1"/>
  <c r="R183" i="1"/>
  <c r="V1114" i="2"/>
  <c r="AN187" i="1"/>
  <c r="AN186" i="1"/>
  <c r="AN185" i="1"/>
  <c r="AN184" i="1"/>
  <c r="AN183" i="1"/>
  <c r="AN182" i="1"/>
  <c r="AN181" i="1"/>
  <c r="AN180" i="1"/>
  <c r="AN179" i="1"/>
  <c r="AN178" i="1"/>
  <c r="AN177" i="1"/>
  <c r="AN176" i="1"/>
  <c r="AN175" i="1"/>
  <c r="AN174" i="1"/>
  <c r="AN192" i="1"/>
  <c r="AN191" i="1"/>
  <c r="AN190" i="1"/>
  <c r="AN189" i="1"/>
  <c r="AN188" i="1"/>
  <c r="J1172" i="1"/>
  <c r="J1171" i="1"/>
  <c r="J1170" i="1"/>
  <c r="J1169" i="1"/>
  <c r="J1168" i="1"/>
  <c r="AI179" i="1"/>
  <c r="AI178" i="1"/>
  <c r="AI180" i="1"/>
  <c r="J177" i="1"/>
  <c r="H180" i="1"/>
  <c r="H188" i="1"/>
  <c r="AL180" i="1"/>
  <c r="AL179" i="1"/>
  <c r="AL178" i="1"/>
  <c r="AL177" i="1"/>
  <c r="K188" i="1"/>
  <c r="W186" i="1"/>
  <c r="W185" i="1"/>
  <c r="H185" i="1"/>
  <c r="AI177" i="1"/>
  <c r="H186" i="1"/>
  <c r="H187" i="1"/>
  <c r="H184" i="1"/>
  <c r="J1167" i="1"/>
  <c r="J1166" i="1"/>
  <c r="J1165" i="1"/>
  <c r="J1164" i="1"/>
  <c r="K184" i="1"/>
  <c r="H179" i="1"/>
  <c r="C20" i="18"/>
  <c r="W182" i="1"/>
  <c r="AF183" i="1"/>
  <c r="AF184" i="1"/>
  <c r="H182" i="1"/>
  <c r="H181" i="1"/>
  <c r="H177" i="1"/>
  <c r="M314" i="2"/>
  <c r="AC1072" i="2"/>
  <c r="AC1078" i="2"/>
  <c r="S316" i="2"/>
  <c r="Q369" i="2" s="1"/>
  <c r="P381" i="2" s="1"/>
  <c r="S317" i="2"/>
  <c r="R369" i="2" s="1"/>
  <c r="Q381" i="2" s="1"/>
  <c r="J1114" i="2"/>
  <c r="T1114" i="2" s="1"/>
  <c r="I1007" i="8"/>
  <c r="E727" i="8"/>
  <c r="D683" i="8" s="1"/>
  <c r="O270" i="8" s="1"/>
  <c r="E779" i="8"/>
  <c r="F173" i="4"/>
  <c r="F175" i="4"/>
  <c r="F177" i="4"/>
  <c r="C355" i="1"/>
  <c r="J1150" i="1" s="1"/>
  <c r="C1195" i="1"/>
  <c r="M318" i="1" s="1"/>
  <c r="C1194" i="1"/>
  <c r="P318" i="1" s="1"/>
  <c r="B1196" i="2"/>
  <c r="C225" i="12" s="1"/>
  <c r="B1197" i="2"/>
  <c r="C226" i="12" s="1"/>
  <c r="B1198" i="2"/>
  <c r="C227" i="12" s="1"/>
  <c r="B1199" i="2"/>
  <c r="I1199" i="2" s="1"/>
  <c r="B1200" i="2"/>
  <c r="I1200" i="2" s="1"/>
  <c r="B1201" i="2"/>
  <c r="B1202" i="2"/>
  <c r="C231" i="12" s="1"/>
  <c r="B1203" i="2"/>
  <c r="B1204" i="2"/>
  <c r="B1205" i="2"/>
  <c r="B1206" i="2"/>
  <c r="B1207" i="2"/>
  <c r="B1208" i="2"/>
  <c r="I1208" i="2" s="1"/>
  <c r="B1209" i="2"/>
  <c r="I1209" i="2" s="1"/>
  <c r="B1210" i="2"/>
  <c r="I1210" i="2" s="1"/>
  <c r="B1211" i="2"/>
  <c r="B1212" i="2"/>
  <c r="B1213" i="2"/>
  <c r="I1213" i="2" s="1"/>
  <c r="B1214" i="2"/>
  <c r="C243" i="12" s="1"/>
  <c r="B1215" i="2"/>
  <c r="C244" i="12" s="1"/>
  <c r="B1216" i="2"/>
  <c r="I1216" i="2" s="1"/>
  <c r="B1217" i="2"/>
  <c r="I1217" i="2" s="1"/>
  <c r="B1218" i="2"/>
  <c r="B1219" i="2"/>
  <c r="B1220" i="2"/>
  <c r="B1221" i="2"/>
  <c r="I1221" i="2" s="1"/>
  <c r="B1222" i="2"/>
  <c r="I1222" i="2" s="1"/>
  <c r="B1223" i="2"/>
  <c r="I1223" i="2" s="1"/>
  <c r="B1224" i="2"/>
  <c r="B1225" i="2"/>
  <c r="I1225" i="2" s="1"/>
  <c r="B1226" i="2"/>
  <c r="B1227" i="2"/>
  <c r="B1228" i="2"/>
  <c r="C257" i="12" s="1"/>
  <c r="B1229" i="2"/>
  <c r="B1230" i="2"/>
  <c r="B1231" i="2"/>
  <c r="C260" i="12" s="1"/>
  <c r="B1232" i="2"/>
  <c r="B1233" i="2"/>
  <c r="I1233" i="2" s="1"/>
  <c r="B1234" i="2"/>
  <c r="B1235" i="2"/>
  <c r="B1236" i="2"/>
  <c r="I1236" i="2" s="1"/>
  <c r="B1237" i="2"/>
  <c r="I1237" i="2" s="1"/>
  <c r="B1238" i="2"/>
  <c r="B1239" i="2"/>
  <c r="C268" i="12" s="1"/>
  <c r="B1240" i="2"/>
  <c r="C269" i="12" s="1"/>
  <c r="B1241" i="2"/>
  <c r="C270" i="12" s="1"/>
  <c r="B1242" i="2"/>
  <c r="B1243" i="2"/>
  <c r="B1244" i="2"/>
  <c r="B1245" i="2"/>
  <c r="C274" i="12" s="1"/>
  <c r="B1246" i="2"/>
  <c r="B1247" i="2"/>
  <c r="C276" i="12" s="1"/>
  <c r="B1248" i="2"/>
  <c r="C277" i="12" s="1"/>
  <c r="B1249" i="2"/>
  <c r="I1249" i="2" s="1"/>
  <c r="B1250" i="2"/>
  <c r="B1251" i="2"/>
  <c r="B1252" i="2"/>
  <c r="I1252" i="2" s="1"/>
  <c r="B1253" i="2"/>
  <c r="I1253" i="2" s="1"/>
  <c r="B1254" i="2"/>
  <c r="I1254" i="2" s="1"/>
  <c r="B1255" i="2"/>
  <c r="I1255" i="2" s="1"/>
  <c r="B1256" i="2"/>
  <c r="I1256" i="2" s="1"/>
  <c r="B1257" i="2"/>
  <c r="I1257" i="2" s="1"/>
  <c r="B1258" i="2"/>
  <c r="C287" i="12" s="1"/>
  <c r="B1259" i="2"/>
  <c r="B1260" i="2"/>
  <c r="I1260" i="2" s="1"/>
  <c r="B1261" i="2"/>
  <c r="C290" i="12" s="1"/>
  <c r="B1262" i="2"/>
  <c r="B1263" i="2"/>
  <c r="B1264" i="2"/>
  <c r="B1265" i="2"/>
  <c r="B1266" i="2"/>
  <c r="B1267" i="2"/>
  <c r="I1267" i="2" s="1"/>
  <c r="B1268" i="2"/>
  <c r="B1269" i="2"/>
  <c r="B1270" i="2"/>
  <c r="I1270" i="2" s="1"/>
  <c r="B1271" i="2"/>
  <c r="I1271" i="2" s="1"/>
  <c r="B1272" i="2"/>
  <c r="B1273" i="2"/>
  <c r="B1274" i="2"/>
  <c r="B1275" i="2"/>
  <c r="C304" i="12" s="1"/>
  <c r="B1276" i="2"/>
  <c r="I1276" i="2" s="1"/>
  <c r="B1277" i="2"/>
  <c r="B1278" i="2"/>
  <c r="B1279" i="2"/>
  <c r="B1280" i="2"/>
  <c r="B1281" i="2"/>
  <c r="C310" i="12" s="1"/>
  <c r="B1282" i="2"/>
  <c r="C311" i="12" s="1"/>
  <c r="B1283" i="2"/>
  <c r="C312" i="12" s="1"/>
  <c r="B1284" i="2"/>
  <c r="B1285" i="2"/>
  <c r="B1286" i="2"/>
  <c r="B1287" i="2"/>
  <c r="I1287" i="2" s="1"/>
  <c r="C224" i="12" s="1"/>
  <c r="B1288" i="2"/>
  <c r="C346" i="1"/>
  <c r="C1190" i="1"/>
  <c r="O229" i="2"/>
  <c r="P229" i="2" s="1"/>
  <c r="K245" i="2" s="1"/>
  <c r="B99" i="11"/>
  <c r="Q56" i="11"/>
  <c r="Q58" i="11" s="1"/>
  <c r="Q59" i="11"/>
  <c r="K389" i="1"/>
  <c r="E1169" i="1"/>
  <c r="V224" i="1"/>
  <c r="P254" i="1"/>
  <c r="V225" i="1"/>
  <c r="P255" i="1"/>
  <c r="E1168" i="1"/>
  <c r="P260" i="1"/>
  <c r="P262" i="1"/>
  <c r="E1170" i="1"/>
  <c r="R230" i="1"/>
  <c r="R231" i="1"/>
  <c r="R232" i="1"/>
  <c r="R233" i="1"/>
  <c r="R234" i="1"/>
  <c r="R235" i="1"/>
  <c r="W270" i="1" s="1"/>
  <c r="R236" i="1"/>
  <c r="R237" i="1"/>
  <c r="R238" i="1"/>
  <c r="R239" i="1"/>
  <c r="R240" i="1"/>
  <c r="R241" i="1"/>
  <c r="Q313" i="2"/>
  <c r="Q316" i="2"/>
  <c r="R316" i="2"/>
  <c r="C1191" i="1"/>
  <c r="Q497" i="1"/>
  <c r="Q487" i="1" s="1"/>
  <c r="Q226" i="2"/>
  <c r="R318" i="2" s="1"/>
  <c r="O475" i="2"/>
  <c r="O476" i="2"/>
  <c r="X456" i="2"/>
  <c r="W489" i="2"/>
  <c r="R264" i="1"/>
  <c r="M264" i="1" s="1"/>
  <c r="B264" i="1" s="1"/>
  <c r="V265" i="1"/>
  <c r="X457" i="2"/>
  <c r="V266" i="1"/>
  <c r="X458" i="2"/>
  <c r="V267" i="1"/>
  <c r="X459" i="2"/>
  <c r="V268" i="1"/>
  <c r="AB268" i="1" s="1"/>
  <c r="X460" i="2"/>
  <c r="V269" i="1"/>
  <c r="X461" i="2"/>
  <c r="V270" i="1"/>
  <c r="AB270" i="1" s="1"/>
  <c r="X462" i="2"/>
  <c r="V271" i="1"/>
  <c r="AB271" i="1" s="1"/>
  <c r="X463" i="2"/>
  <c r="V272" i="1"/>
  <c r="X464" i="2"/>
  <c r="V273" i="1"/>
  <c r="X465" i="2"/>
  <c r="V274" i="1"/>
  <c r="X466" i="2"/>
  <c r="V275" i="1"/>
  <c r="X467" i="2"/>
  <c r="V276" i="1"/>
  <c r="AB276" i="1" s="1"/>
  <c r="V1120" i="2"/>
  <c r="P1087" i="2"/>
  <c r="R1087" i="2" s="1"/>
  <c r="AO37" i="10"/>
  <c r="AP37" i="10"/>
  <c r="AR37" i="10"/>
  <c r="F271" i="10"/>
  <c r="M664" i="1"/>
  <c r="B1082" i="2"/>
  <c r="E886" i="2"/>
  <c r="E650" i="1"/>
  <c r="D243" i="2"/>
  <c r="V1122" i="2"/>
  <c r="N447" i="2"/>
  <c r="D107" i="11"/>
  <c r="D108" i="11"/>
  <c r="D109" i="11"/>
  <c r="D110" i="11"/>
  <c r="D111" i="11"/>
  <c r="D112" i="11"/>
  <c r="D113" i="11"/>
  <c r="D114" i="11"/>
  <c r="D115" i="11"/>
  <c r="F108" i="11"/>
  <c r="F109" i="11"/>
  <c r="F110" i="11"/>
  <c r="F111" i="11"/>
  <c r="F1168" i="1"/>
  <c r="R207" i="1" s="1"/>
  <c r="D1168" i="1"/>
  <c r="D1169" i="1"/>
  <c r="L33" i="15"/>
  <c r="BW4" i="14" s="1"/>
  <c r="CK5" i="14"/>
  <c r="CK6" i="14"/>
  <c r="CH130" i="14"/>
  <c r="L35" i="15"/>
  <c r="BW6" i="14" s="1"/>
  <c r="L36" i="15"/>
  <c r="BW7" i="14" s="1"/>
  <c r="AH142" i="10"/>
  <c r="AH148" i="10" s="1"/>
  <c r="F148" i="10" s="1"/>
  <c r="AI142" i="10"/>
  <c r="AI148" i="10" s="1"/>
  <c r="G148" i="10" s="1"/>
  <c r="AJ142" i="10"/>
  <c r="AJ148" i="10" s="1"/>
  <c r="H148" i="10" s="1"/>
  <c r="AK142" i="10"/>
  <c r="AK148" i="10" s="1"/>
  <c r="I148" i="10" s="1"/>
  <c r="AL142" i="10"/>
  <c r="AL148" i="10" s="1"/>
  <c r="J148" i="10" s="1"/>
  <c r="AM142" i="10"/>
  <c r="AM148" i="10" s="1"/>
  <c r="K148" i="10" s="1"/>
  <c r="AN142" i="10"/>
  <c r="AN148" i="10" s="1"/>
  <c r="L148" i="10" s="1"/>
  <c r="AO142" i="10"/>
  <c r="AO148" i="10" s="1"/>
  <c r="M148" i="10" s="1"/>
  <c r="AP142" i="10"/>
  <c r="AP148" i="10" s="1"/>
  <c r="N148" i="10" s="1"/>
  <c r="AQ142" i="10"/>
  <c r="AQ148" i="10" s="1"/>
  <c r="O148" i="10" s="1"/>
  <c r="AR142" i="10"/>
  <c r="AR148" i="10" s="1"/>
  <c r="P148" i="10" s="1"/>
  <c r="AS142" i="10"/>
  <c r="AT142" i="10"/>
  <c r="AT148" i="10" s="1"/>
  <c r="R148" i="10" s="1"/>
  <c r="AU142" i="10"/>
  <c r="F172" i="4"/>
  <c r="F176" i="4"/>
  <c r="C287" i="8"/>
  <c r="D178" i="4" s="1"/>
  <c r="F178" i="4"/>
  <c r="I1167" i="2"/>
  <c r="I1166" i="2"/>
  <c r="H1150" i="1"/>
  <c r="H329" i="12"/>
  <c r="I1150" i="1" s="1"/>
  <c r="F1094" i="1"/>
  <c r="I1155" i="2" s="1"/>
  <c r="I1158" i="2"/>
  <c r="D32" i="15"/>
  <c r="H162" i="15" s="1"/>
  <c r="D33" i="15"/>
  <c r="H163" i="15" s="1"/>
  <c r="D34" i="15"/>
  <c r="H164" i="15" s="1"/>
  <c r="H172" i="15" s="1"/>
  <c r="D35" i="15"/>
  <c r="H165" i="15" s="1"/>
  <c r="H173" i="15" s="1"/>
  <c r="D36" i="15"/>
  <c r="H166" i="15" s="1"/>
  <c r="D31" i="15"/>
  <c r="H161" i="15" s="1"/>
  <c r="H169" i="15" s="1"/>
  <c r="CV17" i="14"/>
  <c r="CW17" i="14"/>
  <c r="CV18" i="14"/>
  <c r="CW18" i="14"/>
  <c r="CV19" i="14"/>
  <c r="CW19" i="14"/>
  <c r="CV20" i="14"/>
  <c r="CW20" i="14"/>
  <c r="CV21" i="14"/>
  <c r="CW21" i="14"/>
  <c r="CW16" i="14"/>
  <c r="CV16" i="14"/>
  <c r="AS148" i="10"/>
  <c r="Q148" i="10" s="1"/>
  <c r="AU148" i="10"/>
  <c r="S148" i="10" s="1"/>
  <c r="Q382" i="10"/>
  <c r="S34" i="1"/>
  <c r="S35" i="1"/>
  <c r="S36" i="1"/>
  <c r="S37" i="1"/>
  <c r="S38" i="1"/>
  <c r="S39" i="1"/>
  <c r="C133" i="15"/>
  <c r="J72" i="15"/>
  <c r="J71" i="15"/>
  <c r="J70" i="15"/>
  <c r="J69" i="15"/>
  <c r="J68" i="15"/>
  <c r="J67" i="15"/>
  <c r="J66" i="15"/>
  <c r="J65" i="15"/>
  <c r="J64" i="15"/>
  <c r="J63" i="15"/>
  <c r="J62" i="15"/>
  <c r="J61" i="15"/>
  <c r="BP37" i="14"/>
  <c r="J37" i="14" s="1"/>
  <c r="E1080" i="2"/>
  <c r="E1081" i="2"/>
  <c r="E1082" i="2"/>
  <c r="J1176" i="1"/>
  <c r="Q897" i="1" s="1"/>
  <c r="V1126" i="2"/>
  <c r="V1125" i="2"/>
  <c r="Z1084" i="2"/>
  <c r="AA1090" i="2"/>
  <c r="Z1068" i="2"/>
  <c r="V1117" i="2"/>
  <c r="T1125" i="2"/>
  <c r="T1126" i="2"/>
  <c r="D268" i="1"/>
  <c r="V1124" i="2"/>
  <c r="T1124" i="2"/>
  <c r="V1118" i="2"/>
  <c r="E1096" i="2"/>
  <c r="V1116" i="2"/>
  <c r="D647" i="1"/>
  <c r="C334" i="10"/>
  <c r="M134" i="2"/>
  <c r="S135" i="2" s="1"/>
  <c r="V517" i="2"/>
  <c r="J1124" i="2" s="1"/>
  <c r="V525" i="2"/>
  <c r="J1125" i="2" s="1"/>
  <c r="V533" i="2"/>
  <c r="J1126" i="2" s="1"/>
  <c r="V1127" i="2"/>
  <c r="V1115" i="2"/>
  <c r="H1069" i="2"/>
  <c r="H1068" i="2" s="1"/>
  <c r="H1062" i="2"/>
  <c r="H1063" i="2"/>
  <c r="H1064" i="2"/>
  <c r="H1065" i="2"/>
  <c r="H1066" i="2" s="1"/>
  <c r="G1080" i="2"/>
  <c r="B1291" i="2"/>
  <c r="H48" i="21"/>
  <c r="H47" i="21"/>
  <c r="H46" i="21"/>
  <c r="H45" i="21"/>
  <c r="H44" i="21"/>
  <c r="H43" i="21"/>
  <c r="H42" i="21"/>
  <c r="H41" i="21"/>
  <c r="H40" i="21"/>
  <c r="D75" i="21"/>
  <c r="H39" i="21"/>
  <c r="H38" i="21"/>
  <c r="G23" i="4"/>
  <c r="J23" i="4" s="1"/>
  <c r="G24" i="4"/>
  <c r="J24" i="4" s="1"/>
  <c r="G25" i="4"/>
  <c r="J25" i="4" s="1"/>
  <c r="G26" i="4"/>
  <c r="G27" i="4"/>
  <c r="G28" i="4"/>
  <c r="J28" i="4" s="1"/>
  <c r="G29" i="4"/>
  <c r="G30" i="4"/>
  <c r="G31" i="4"/>
  <c r="J31" i="4" s="1"/>
  <c r="G32" i="4"/>
  <c r="J32" i="4" s="1"/>
  <c r="G33" i="4"/>
  <c r="J33" i="4" s="1"/>
  <c r="G37" i="4"/>
  <c r="J37" i="4" s="1"/>
  <c r="G38" i="4"/>
  <c r="J38" i="4" s="1"/>
  <c r="G39" i="4"/>
  <c r="J39" i="4" s="1"/>
  <c r="G40" i="4"/>
  <c r="J40" i="4" s="1"/>
  <c r="G41" i="4"/>
  <c r="G42" i="4"/>
  <c r="J42" i="4" s="1"/>
  <c r="G43" i="4"/>
  <c r="J43" i="4" s="1"/>
  <c r="G44" i="4"/>
  <c r="J44" i="4" s="1"/>
  <c r="G50" i="4"/>
  <c r="J50" i="4" s="1"/>
  <c r="G51" i="4"/>
  <c r="J51" i="4" s="1"/>
  <c r="G52" i="4"/>
  <c r="J52" i="4" s="1"/>
  <c r="G53" i="4"/>
  <c r="J53" i="4" s="1"/>
  <c r="G54" i="4"/>
  <c r="J54" i="4" s="1"/>
  <c r="G55" i="4"/>
  <c r="J55" i="4" s="1"/>
  <c r="G56" i="4"/>
  <c r="J56" i="4" s="1"/>
  <c r="G57" i="4"/>
  <c r="J57" i="4" s="1"/>
  <c r="J1115" i="2"/>
  <c r="T1115" i="2" s="1"/>
  <c r="T1127" i="2"/>
  <c r="J1127" i="2"/>
  <c r="M552" i="8"/>
  <c r="N564" i="8"/>
  <c r="H551" i="8"/>
  <c r="J551" i="8"/>
  <c r="M553" i="8"/>
  <c r="H552" i="8"/>
  <c r="J552" i="8"/>
  <c r="M554" i="8"/>
  <c r="H553" i="8"/>
  <c r="J553" i="8"/>
  <c r="J554" i="8"/>
  <c r="J555" i="8"/>
  <c r="J556" i="8"/>
  <c r="J557" i="8"/>
  <c r="J558" i="8"/>
  <c r="E568" i="8"/>
  <c r="E578" i="8"/>
  <c r="H554" i="8"/>
  <c r="H555" i="8"/>
  <c r="H556" i="8"/>
  <c r="H557" i="8"/>
  <c r="H558" i="8"/>
  <c r="D568" i="8"/>
  <c r="D578" i="8"/>
  <c r="C696" i="1"/>
  <c r="C729" i="1"/>
  <c r="R353" i="8"/>
  <c r="O318" i="8"/>
  <c r="R354" i="8" s="1"/>
  <c r="M276" i="10"/>
  <c r="J261" i="10"/>
  <c r="D262" i="10"/>
  <c r="E757" i="8"/>
  <c r="L451" i="8" s="1"/>
  <c r="D1122" i="2"/>
  <c r="W1121" i="2"/>
  <c r="S753" i="2"/>
  <c r="P1121" i="2"/>
  <c r="P1115" i="2"/>
  <c r="M403" i="8"/>
  <c r="N403" i="8" s="1"/>
  <c r="D404" i="8" s="1"/>
  <c r="F91" i="12" s="1"/>
  <c r="E1237" i="2"/>
  <c r="U1121" i="2"/>
  <c r="L34" i="15"/>
  <c r="BW5" i="14"/>
  <c r="M136" i="15"/>
  <c r="B158" i="15"/>
  <c r="E143" i="15"/>
  <c r="C143" i="15"/>
  <c r="C107" i="11"/>
  <c r="C108" i="11"/>
  <c r="C109" i="11"/>
  <c r="C110" i="11"/>
  <c r="C111" i="11"/>
  <c r="G111" i="11"/>
  <c r="C113" i="11"/>
  <c r="E1094" i="2"/>
  <c r="J266" i="10"/>
  <c r="G265" i="10" s="1"/>
  <c r="C1006" i="8"/>
  <c r="B1006" i="8"/>
  <c r="E276" i="10"/>
  <c r="F276" i="10" s="1"/>
  <c r="X60" i="10"/>
  <c r="Z60" i="10" s="1"/>
  <c r="M167" i="2"/>
  <c r="T205" i="1"/>
  <c r="T221" i="1"/>
  <c r="B1085" i="2"/>
  <c r="B1086" i="2"/>
  <c r="B1087" i="2"/>
  <c r="B116" i="11"/>
  <c r="B132" i="11" s="1"/>
  <c r="E1095" i="2"/>
  <c r="W1115" i="2"/>
  <c r="M5" i="1"/>
  <c r="A57" i="3"/>
  <c r="V1123" i="2"/>
  <c r="J1123" i="2"/>
  <c r="T1123" i="2" s="1"/>
  <c r="AG150" i="10"/>
  <c r="S318" i="2"/>
  <c r="S369" i="2" s="1"/>
  <c r="R381" i="2" s="1"/>
  <c r="B12" i="11"/>
  <c r="B10" i="11"/>
  <c r="C9" i="11"/>
  <c r="C661" i="8"/>
  <c r="P71" i="8" s="1"/>
  <c r="O75" i="8" s="1"/>
  <c r="L696" i="8"/>
  <c r="H669" i="8"/>
  <c r="L697" i="8" s="1"/>
  <c r="H670" i="8"/>
  <c r="L698" i="8" s="1"/>
  <c r="H671" i="8"/>
  <c r="L699" i="8"/>
  <c r="H662" i="8"/>
  <c r="L700" i="8" s="1"/>
  <c r="H663" i="8"/>
  <c r="L701" i="8" s="1"/>
  <c r="L702" i="8"/>
  <c r="L703" i="8"/>
  <c r="H704" i="8"/>
  <c r="L704" i="8"/>
  <c r="N77" i="8"/>
  <c r="T75" i="8"/>
  <c r="T76" i="8"/>
  <c r="E808" i="8" s="1"/>
  <c r="T77" i="8"/>
  <c r="E810" i="8" s="1"/>
  <c r="T78" i="8"/>
  <c r="E811" i="8" s="1"/>
  <c r="M51" i="8"/>
  <c r="G51" i="8" s="1"/>
  <c r="M52" i="8"/>
  <c r="G52" i="8" s="1"/>
  <c r="M53" i="8"/>
  <c r="G53" i="8" s="1"/>
  <c r="M54" i="8"/>
  <c r="G54" i="8" s="1"/>
  <c r="M55" i="8"/>
  <c r="G55" i="8" s="1"/>
  <c r="M56" i="8"/>
  <c r="G56" i="8" s="1"/>
  <c r="M57" i="8"/>
  <c r="G57" i="8" s="1"/>
  <c r="M58" i="8"/>
  <c r="G58" i="8" s="1"/>
  <c r="L64" i="8"/>
  <c r="G64" i="8" s="1"/>
  <c r="N65" i="8"/>
  <c r="L65" i="8"/>
  <c r="G65" i="8" s="1"/>
  <c r="L66" i="8"/>
  <c r="H706" i="8"/>
  <c r="L705" i="8" s="1"/>
  <c r="M705" i="8"/>
  <c r="O67" i="8"/>
  <c r="N67" i="8"/>
  <c r="L67" i="8"/>
  <c r="G67" i="8" s="1"/>
  <c r="L68" i="8"/>
  <c r="G68" i="8" s="1"/>
  <c r="L69" i="8"/>
  <c r="G69" i="8" s="1"/>
  <c r="L70" i="8"/>
  <c r="G70" i="8" s="1"/>
  <c r="L71" i="8"/>
  <c r="G71" i="8" s="1"/>
  <c r="O65" i="8"/>
  <c r="L77" i="8"/>
  <c r="G77" i="8" s="1"/>
  <c r="N78" i="8"/>
  <c r="L78" i="8"/>
  <c r="G78" i="8" s="1"/>
  <c r="N76" i="8"/>
  <c r="L76" i="8"/>
  <c r="Q378" i="10"/>
  <c r="N81" i="8"/>
  <c r="N64" i="8"/>
  <c r="H749" i="8"/>
  <c r="G749" i="8" s="1"/>
  <c r="F722" i="8"/>
  <c r="O64" i="8"/>
  <c r="X265" i="1"/>
  <c r="X266" i="1"/>
  <c r="X267" i="1"/>
  <c r="X268" i="1"/>
  <c r="X269" i="1"/>
  <c r="X270" i="1"/>
  <c r="X271" i="1"/>
  <c r="X272" i="1"/>
  <c r="X273" i="1"/>
  <c r="X274" i="1"/>
  <c r="X275" i="1"/>
  <c r="X276" i="1"/>
  <c r="O66" i="2"/>
  <c r="F66" i="2" s="1"/>
  <c r="H66" i="2" s="1"/>
  <c r="G66" i="2"/>
  <c r="O67" i="2"/>
  <c r="G67" i="2"/>
  <c r="B872" i="8"/>
  <c r="B871" i="8" s="1"/>
  <c r="N453"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405" i="12"/>
  <c r="N406" i="12"/>
  <c r="N407" i="12"/>
  <c r="N408" i="12"/>
  <c r="N409" i="12"/>
  <c r="N410" i="12"/>
  <c r="N411" i="12"/>
  <c r="N412" i="12"/>
  <c r="N413" i="12"/>
  <c r="N414" i="12"/>
  <c r="N415" i="12"/>
  <c r="N416" i="12"/>
  <c r="N417" i="12"/>
  <c r="N418" i="12"/>
  <c r="N419" i="12"/>
  <c r="N420" i="12"/>
  <c r="N421" i="12"/>
  <c r="N422" i="12"/>
  <c r="N423" i="12"/>
  <c r="N424" i="12"/>
  <c r="N425" i="12"/>
  <c r="N426" i="12"/>
  <c r="N427" i="12"/>
  <c r="N428" i="12"/>
  <c r="N429" i="12"/>
  <c r="N430" i="12"/>
  <c r="N431" i="12"/>
  <c r="N432" i="12"/>
  <c r="N433" i="12"/>
  <c r="N434" i="12"/>
  <c r="N435" i="12"/>
  <c r="N436" i="12"/>
  <c r="N437" i="12"/>
  <c r="N438" i="12"/>
  <c r="N439" i="12"/>
  <c r="N440" i="12"/>
  <c r="N441" i="12"/>
  <c r="N442" i="12"/>
  <c r="N443" i="12"/>
  <c r="N444" i="12"/>
  <c r="N445" i="12"/>
  <c r="N446" i="12"/>
  <c r="N447" i="12"/>
  <c r="N448" i="12"/>
  <c r="N449" i="12"/>
  <c r="N450" i="12"/>
  <c r="N451" i="12"/>
  <c r="N452" i="12"/>
  <c r="H103" i="12"/>
  <c r="H108" i="12" s="1"/>
  <c r="H101" i="12"/>
  <c r="AE26" i="14"/>
  <c r="H177" i="12" s="1"/>
  <c r="H104" i="12"/>
  <c r="H109" i="12" s="1"/>
  <c r="H102" i="12"/>
  <c r="H107" i="12" s="1"/>
  <c r="H100" i="12"/>
  <c r="H105" i="12" s="1"/>
  <c r="B85" i="11"/>
  <c r="B91" i="11"/>
  <c r="B94" i="11"/>
  <c r="B100" i="11"/>
  <c r="I125" i="8"/>
  <c r="C125" i="8"/>
  <c r="D125" i="8"/>
  <c r="E125" i="8"/>
  <c r="F125" i="8"/>
  <c r="B88" i="11"/>
  <c r="B97" i="11"/>
  <c r="G581" i="2"/>
  <c r="F692" i="8"/>
  <c r="F694" i="8"/>
  <c r="F696" i="8"/>
  <c r="F698" i="8"/>
  <c r="W230" i="12" s="1"/>
  <c r="V17" i="14"/>
  <c r="V18" i="14"/>
  <c r="X17" i="14"/>
  <c r="AA17" i="14" s="1"/>
  <c r="X18" i="14"/>
  <c r="AA18" i="14" s="1"/>
  <c r="CO129" i="14"/>
  <c r="CQ129" i="14"/>
  <c r="CL130" i="14"/>
  <c r="M398" i="8"/>
  <c r="O397" i="8" s="1"/>
  <c r="N398" i="8" s="1"/>
  <c r="D872" i="8"/>
  <c r="F871" i="8"/>
  <c r="Q410" i="8"/>
  <c r="Q412" i="8" s="1"/>
  <c r="G582" i="2"/>
  <c r="G583" i="2"/>
  <c r="R266" i="1"/>
  <c r="P258" i="1"/>
  <c r="R265" i="1"/>
  <c r="P257" i="1" s="1"/>
  <c r="M934" i="1"/>
  <c r="S319" i="2"/>
  <c r="T369" i="2" s="1"/>
  <c r="S381" i="2" s="1"/>
  <c r="S320" i="2"/>
  <c r="U369" i="2" s="1"/>
  <c r="T381" i="2" s="1"/>
  <c r="S321" i="2"/>
  <c r="V369" i="2" s="1"/>
  <c r="U381" i="2" s="1"/>
  <c r="D431" i="12"/>
  <c r="C1189" i="2"/>
  <c r="M1189" i="2" s="1"/>
  <c r="N35" i="11"/>
  <c r="D272" i="4" s="1"/>
  <c r="D273" i="4" s="1"/>
  <c r="J14" i="3" s="1"/>
  <c r="C6" i="18"/>
  <c r="J2" i="2"/>
  <c r="B228" i="4"/>
  <c r="B214" i="4"/>
  <c r="B202" i="4"/>
  <c r="B99" i="4"/>
  <c r="B86" i="4"/>
  <c r="B72" i="4"/>
  <c r="B60" i="4"/>
  <c r="B10" i="4"/>
  <c r="M651" i="2"/>
  <c r="B675" i="2" s="1"/>
  <c r="W1116" i="2"/>
  <c r="W1118" i="2"/>
  <c r="P1119" i="2"/>
  <c r="U1119" i="2"/>
  <c r="Q557" i="1"/>
  <c r="Q558" i="1"/>
  <c r="V567" i="1"/>
  <c r="V571" i="1"/>
  <c r="Q559" i="1"/>
  <c r="Q560" i="1"/>
  <c r="W1117" i="2"/>
  <c r="W1119" i="2"/>
  <c r="C1182" i="1"/>
  <c r="C1197" i="1" s="1"/>
  <c r="P338" i="1" s="1"/>
  <c r="U1120" i="2"/>
  <c r="W1120" i="2"/>
  <c r="C1290" i="2"/>
  <c r="S745" i="2"/>
  <c r="P1120" i="2" s="1"/>
  <c r="M684" i="2"/>
  <c r="D579" i="8"/>
  <c r="E579" i="8"/>
  <c r="F657" i="8"/>
  <c r="F658" i="8"/>
  <c r="L515" i="8"/>
  <c r="D515" i="8" s="1"/>
  <c r="D247" i="8"/>
  <c r="E692" i="8"/>
  <c r="F226" i="8"/>
  <c r="N226" i="8"/>
  <c r="N227" i="8" s="1"/>
  <c r="F227" i="8"/>
  <c r="F228" i="8"/>
  <c r="F229" i="8"/>
  <c r="F230" i="8"/>
  <c r="F231" i="8"/>
  <c r="F232" i="8"/>
  <c r="F233" i="8"/>
  <c r="F234" i="8"/>
  <c r="F235" i="8"/>
  <c r="F236" i="8"/>
  <c r="F237" i="8"/>
  <c r="E143" i="8"/>
  <c r="J143" i="8" s="1"/>
  <c r="E142" i="8"/>
  <c r="E145" i="8" s="1"/>
  <c r="E146" i="8"/>
  <c r="E149" i="8"/>
  <c r="J149" i="8" s="1"/>
  <c r="E148" i="8"/>
  <c r="E150" i="8" s="1"/>
  <c r="E152" i="8"/>
  <c r="J152" i="8" s="1"/>
  <c r="E151" i="8"/>
  <c r="J141" i="8"/>
  <c r="J154" i="8" s="1"/>
  <c r="E156" i="8"/>
  <c r="I156" i="8" s="1"/>
  <c r="E155" i="8"/>
  <c r="E159" i="8"/>
  <c r="E162" i="8"/>
  <c r="E161" i="8"/>
  <c r="E165" i="8"/>
  <c r="T659" i="8"/>
  <c r="T660" i="8"/>
  <c r="C88" i="8"/>
  <c r="C89" i="8"/>
  <c r="C90" i="8"/>
  <c r="C91" i="8"/>
  <c r="C92" i="8"/>
  <c r="C93" i="8"/>
  <c r="C94" i="8"/>
  <c r="C95" i="8"/>
  <c r="C96" i="8"/>
  <c r="C97" i="8"/>
  <c r="C98" i="8"/>
  <c r="C99" i="8"/>
  <c r="C100" i="8"/>
  <c r="C101" i="8"/>
  <c r="C102" i="8"/>
  <c r="D105" i="8"/>
  <c r="O66" i="8"/>
  <c r="N66" i="8"/>
  <c r="O68" i="8"/>
  <c r="N68" i="8"/>
  <c r="O69" i="8"/>
  <c r="N69" i="8"/>
  <c r="O70" i="8"/>
  <c r="N70" i="8"/>
  <c r="O71" i="8"/>
  <c r="N71" i="8"/>
  <c r="L659" i="8"/>
  <c r="L660" i="8"/>
  <c r="E33" i="8"/>
  <c r="F33" i="8"/>
  <c r="G33" i="8"/>
  <c r="F665" i="8"/>
  <c r="D681" i="8" s="1"/>
  <c r="H33" i="8"/>
  <c r="E34" i="8"/>
  <c r="F34" i="8"/>
  <c r="G34" i="8"/>
  <c r="H34" i="8"/>
  <c r="E35" i="8"/>
  <c r="F35" i="8"/>
  <c r="G35" i="8"/>
  <c r="H35" i="8"/>
  <c r="E36" i="8"/>
  <c r="F36" i="8"/>
  <c r="G36" i="8"/>
  <c r="H36" i="8"/>
  <c r="E37" i="8"/>
  <c r="F37" i="8"/>
  <c r="G37" i="8"/>
  <c r="H37" i="8"/>
  <c r="I1003" i="8"/>
  <c r="C666" i="8"/>
  <c r="C664" i="8"/>
  <c r="N296" i="8" s="1"/>
  <c r="N294" i="8" s="1"/>
  <c r="N295" i="8" s="1"/>
  <c r="J298" i="8" s="1"/>
  <c r="F683" i="8"/>
  <c r="E768" i="8"/>
  <c r="G768" i="8"/>
  <c r="F768" i="8" s="1"/>
  <c r="F686" i="8"/>
  <c r="R356" i="8"/>
  <c r="R370" i="8"/>
  <c r="E722" i="8"/>
  <c r="E728" i="8"/>
  <c r="F728" i="8"/>
  <c r="F731" i="8"/>
  <c r="F729" i="8"/>
  <c r="E729" i="8"/>
  <c r="E730" i="8"/>
  <c r="E731" i="8"/>
  <c r="E778" i="8"/>
  <c r="E780" i="8"/>
  <c r="E781" i="8"/>
  <c r="F781" i="8"/>
  <c r="F803" i="8" s="1"/>
  <c r="E717" i="8"/>
  <c r="L518" i="8" s="1"/>
  <c r="F1288" i="2" s="1"/>
  <c r="E718" i="8"/>
  <c r="E719" i="8"/>
  <c r="F431" i="8" s="1"/>
  <c r="F719" i="8"/>
  <c r="F805" i="8" s="1"/>
  <c r="F443" i="8" s="1"/>
  <c r="E708" i="8"/>
  <c r="E709" i="8"/>
  <c r="E770" i="8"/>
  <c r="F770" i="8"/>
  <c r="E744" i="8"/>
  <c r="E746" i="8"/>
  <c r="E747" i="8"/>
  <c r="E748" i="8"/>
  <c r="C687" i="8" s="1"/>
  <c r="E749" i="8"/>
  <c r="E758" i="8"/>
  <c r="E759" i="8"/>
  <c r="E760" i="8"/>
  <c r="E761" i="8"/>
  <c r="E704" i="8"/>
  <c r="E705" i="8"/>
  <c r="S531" i="8" s="1"/>
  <c r="E733" i="8"/>
  <c r="F734" i="8"/>
  <c r="E734" i="8"/>
  <c r="E742" i="8"/>
  <c r="E741" i="8"/>
  <c r="E739" i="8"/>
  <c r="E740" i="8"/>
  <c r="E787" i="8"/>
  <c r="E788" i="8"/>
  <c r="E789" i="8"/>
  <c r="F725" i="8"/>
  <c r="F789" i="8"/>
  <c r="E793" i="8"/>
  <c r="E794" i="8"/>
  <c r="E804" i="8"/>
  <c r="E805" i="8"/>
  <c r="F783" i="8"/>
  <c r="V19" i="14"/>
  <c r="V20" i="14"/>
  <c r="X19" i="14"/>
  <c r="AA19" i="14" s="1"/>
  <c r="B40" i="1"/>
  <c r="B988" i="1" s="1"/>
  <c r="B46" i="1"/>
  <c r="AC1062" i="2"/>
  <c r="H1183" i="1"/>
  <c r="H1184" i="1"/>
  <c r="O560" i="2"/>
  <c r="F560" i="2" s="1"/>
  <c r="H560" i="2" s="1"/>
  <c r="O561" i="2"/>
  <c r="F561" i="2" s="1"/>
  <c r="H561" i="2" s="1"/>
  <c r="B136" i="1"/>
  <c r="B130" i="1"/>
  <c r="B124" i="1"/>
  <c r="B118" i="1"/>
  <c r="B112" i="1"/>
  <c r="B106" i="1"/>
  <c r="B100" i="1"/>
  <c r="B94" i="1"/>
  <c r="B88" i="1"/>
  <c r="B82" i="1"/>
  <c r="B76" i="1"/>
  <c r="D666" i="1" s="1"/>
  <c r="B70" i="1"/>
  <c r="B64" i="1"/>
  <c r="B58" i="1"/>
  <c r="B52" i="1"/>
  <c r="B148" i="1"/>
  <c r="B13" i="1"/>
  <c r="B6" i="1"/>
  <c r="C153" i="1" s="1"/>
  <c r="N33" i="11"/>
  <c r="D76" i="11"/>
  <c r="D75" i="11"/>
  <c r="D74" i="11"/>
  <c r="D40" i="11"/>
  <c r="D4" i="11"/>
  <c r="B584" i="8"/>
  <c r="I253" i="8"/>
  <c r="C1204" i="1"/>
  <c r="J1187" i="1"/>
  <c r="C1201" i="1"/>
  <c r="C650" i="1"/>
  <c r="C347" i="1"/>
  <c r="C763" i="1"/>
  <c r="AC1075" i="2"/>
  <c r="AC1080" i="2"/>
  <c r="I767" i="2"/>
  <c r="I779" i="2"/>
  <c r="I787" i="2" s="1"/>
  <c r="I795" i="2" s="1"/>
  <c r="I803" i="2" s="1"/>
  <c r="I750" i="2"/>
  <c r="I758" i="2"/>
  <c r="I742" i="2"/>
  <c r="I730" i="2"/>
  <c r="I716" i="2"/>
  <c r="I703" i="2"/>
  <c r="I633" i="2"/>
  <c r="I621" i="2"/>
  <c r="I609" i="2"/>
  <c r="I595" i="2"/>
  <c r="I79" i="2"/>
  <c r="I533" i="2"/>
  <c r="I541" i="2" s="1"/>
  <c r="I525" i="2"/>
  <c r="I517" i="2"/>
  <c r="I505" i="2"/>
  <c r="I496" i="2"/>
  <c r="I475" i="2"/>
  <c r="I439" i="2"/>
  <c r="I368" i="2"/>
  <c r="I328" i="2"/>
  <c r="I306" i="2"/>
  <c r="I253" i="2"/>
  <c r="I199" i="2"/>
  <c r="I213" i="2"/>
  <c r="I186" i="2"/>
  <c r="I116" i="2"/>
  <c r="I104" i="2"/>
  <c r="I92" i="2"/>
  <c r="I21" i="2"/>
  <c r="I10" i="2"/>
  <c r="I871" i="1"/>
  <c r="I863" i="1"/>
  <c r="I854" i="1"/>
  <c r="I636" i="1"/>
  <c r="I505" i="1" s="1"/>
  <c r="I760" i="1"/>
  <c r="I408" i="1"/>
  <c r="I299" i="1"/>
  <c r="G651" i="1"/>
  <c r="G653" i="1" s="1"/>
  <c r="J651" i="1"/>
  <c r="J653" i="1" s="1"/>
  <c r="B40" i="11"/>
  <c r="D585" i="12"/>
  <c r="D578" i="12"/>
  <c r="D556" i="12"/>
  <c r="D586" i="12"/>
  <c r="D584" i="12"/>
  <c r="D587" i="12"/>
  <c r="D588" i="12"/>
  <c r="D491" i="12"/>
  <c r="D577" i="12"/>
  <c r="D579" i="12"/>
  <c r="D580" i="12"/>
  <c r="D581" i="12"/>
  <c r="D582" i="12"/>
  <c r="D583" i="12"/>
  <c r="D571" i="12"/>
  <c r="D572" i="12"/>
  <c r="D573" i="12"/>
  <c r="D574" i="12"/>
  <c r="D566" i="12"/>
  <c r="D567" i="12"/>
  <c r="D575" i="12"/>
  <c r="D576" i="12"/>
  <c r="D552" i="12"/>
  <c r="D553" i="12"/>
  <c r="D554" i="12"/>
  <c r="D555" i="12"/>
  <c r="D557" i="12"/>
  <c r="D558" i="12"/>
  <c r="D559" i="12"/>
  <c r="D560" i="12"/>
  <c r="D561" i="12"/>
  <c r="D562" i="12"/>
  <c r="D563" i="12"/>
  <c r="D564" i="12"/>
  <c r="D565" i="12"/>
  <c r="D568" i="12"/>
  <c r="D569" i="12"/>
  <c r="D570" i="12"/>
  <c r="D532" i="12"/>
  <c r="D533" i="12"/>
  <c r="D534" i="12"/>
  <c r="D535" i="12"/>
  <c r="D536" i="12"/>
  <c r="D537" i="12"/>
  <c r="D538" i="12"/>
  <c r="D539" i="12"/>
  <c r="D540" i="12"/>
  <c r="D541" i="12"/>
  <c r="D542" i="12"/>
  <c r="D543" i="12"/>
  <c r="D544" i="12"/>
  <c r="D545" i="12"/>
  <c r="D546" i="12"/>
  <c r="D547" i="12"/>
  <c r="D548" i="12"/>
  <c r="D549" i="12"/>
  <c r="D550" i="12"/>
  <c r="D551" i="12"/>
  <c r="D498" i="12"/>
  <c r="D499" i="12"/>
  <c r="D500" i="12"/>
  <c r="D501" i="12"/>
  <c r="D502" i="12"/>
  <c r="D503" i="12"/>
  <c r="D504" i="12"/>
  <c r="D505" i="12"/>
  <c r="D506" i="12"/>
  <c r="D507" i="12"/>
  <c r="D508" i="12"/>
  <c r="D509" i="12"/>
  <c r="D510" i="12"/>
  <c r="D511" i="12"/>
  <c r="D512" i="12"/>
  <c r="D513" i="12"/>
  <c r="D514" i="12"/>
  <c r="D515" i="12"/>
  <c r="D516" i="12"/>
  <c r="D517" i="12"/>
  <c r="D518" i="12"/>
  <c r="D519" i="12"/>
  <c r="D520" i="12"/>
  <c r="D521" i="12"/>
  <c r="D522" i="12"/>
  <c r="D523" i="12"/>
  <c r="D524" i="12"/>
  <c r="D525" i="12"/>
  <c r="D526" i="12"/>
  <c r="D527" i="12"/>
  <c r="D528" i="12"/>
  <c r="D529" i="12"/>
  <c r="D530" i="12"/>
  <c r="D531" i="12"/>
  <c r="D489" i="12"/>
  <c r="D490" i="12"/>
  <c r="D492" i="12"/>
  <c r="D493" i="12"/>
  <c r="D494" i="12"/>
  <c r="D495" i="12"/>
  <c r="D496" i="12"/>
  <c r="D497" i="12"/>
  <c r="D488" i="12"/>
  <c r="D341" i="12"/>
  <c r="D342" i="12"/>
  <c r="G42" i="2"/>
  <c r="G11" i="8"/>
  <c r="A587" i="8"/>
  <c r="G10" i="8" s="1"/>
  <c r="F673" i="8"/>
  <c r="F674" i="8"/>
  <c r="F672" i="8"/>
  <c r="F681" i="8"/>
  <c r="F42" i="2"/>
  <c r="C3" i="18"/>
  <c r="G652" i="1"/>
  <c r="C1179" i="1"/>
  <c r="B640" i="1"/>
  <c r="R638" i="1"/>
  <c r="Q638" i="1" s="1"/>
  <c r="R639" i="1"/>
  <c r="R640" i="1"/>
  <c r="B255" i="1"/>
  <c r="B779" i="1"/>
  <c r="Y624" i="1" s="1"/>
  <c r="B766" i="1"/>
  <c r="B644" i="1"/>
  <c r="C642" i="1"/>
  <c r="R642" i="1" s="1"/>
  <c r="C647" i="1"/>
  <c r="B649" i="1"/>
  <c r="B769" i="1"/>
  <c r="B646" i="1" s="1"/>
  <c r="B768" i="1"/>
  <c r="B645" i="1" s="1"/>
  <c r="B763" i="1"/>
  <c r="B642" i="1" s="1"/>
  <c r="B764" i="1"/>
  <c r="B643" i="1" s="1"/>
  <c r="B762" i="1"/>
  <c r="B641" i="1" s="1"/>
  <c r="F976" i="8"/>
  <c r="F977" i="8"/>
  <c r="D685" i="8"/>
  <c r="O274" i="8" s="1"/>
  <c r="C85" i="11"/>
  <c r="C97" i="11"/>
  <c r="P1114" i="2"/>
  <c r="U1114" i="2" s="1"/>
  <c r="W1114" i="2"/>
  <c r="W1123" i="2"/>
  <c r="M543" i="1"/>
  <c r="P1123" i="2"/>
  <c r="U1123" i="2" s="1"/>
  <c r="H1151" i="1"/>
  <c r="H330" i="12"/>
  <c r="I1151" i="1" s="1"/>
  <c r="R361" i="10"/>
  <c r="R362" i="10"/>
  <c r="R363" i="10"/>
  <c r="C114" i="11"/>
  <c r="H1177" i="1"/>
  <c r="D117" i="11"/>
  <c r="B988" i="8"/>
  <c r="B989" i="8"/>
  <c r="B990" i="8"/>
  <c r="B991" i="8"/>
  <c r="B992" i="8"/>
  <c r="B993" i="8"/>
  <c r="B994" i="8"/>
  <c r="U402" i="2"/>
  <c r="Z82" i="3"/>
  <c r="Q1289" i="2"/>
  <c r="B59" i="8"/>
  <c r="U69" i="8"/>
  <c r="L45" i="8" s="1"/>
  <c r="U70" i="8"/>
  <c r="U72" i="8"/>
  <c r="U71" i="8"/>
  <c r="P63" i="8"/>
  <c r="P64" i="8"/>
  <c r="B50" i="8"/>
  <c r="D119" i="11"/>
  <c r="D118" i="11"/>
  <c r="D120" i="11"/>
  <c r="U401" i="2"/>
  <c r="U400" i="2"/>
  <c r="U399" i="2"/>
  <c r="U398" i="2"/>
  <c r="U397" i="2"/>
  <c r="U396" i="2"/>
  <c r="U395" i="2"/>
  <c r="U394" i="2"/>
  <c r="U393" i="2"/>
  <c r="U392" i="2"/>
  <c r="U391" i="2"/>
  <c r="U390" i="2"/>
  <c r="U389" i="2"/>
  <c r="U388" i="2"/>
  <c r="U387" i="2"/>
  <c r="O477" i="2"/>
  <c r="B978" i="8"/>
  <c r="G982" i="8"/>
  <c r="E252" i="8" s="1"/>
  <c r="AA1082" i="2"/>
  <c r="C681" i="8"/>
  <c r="M410" i="8"/>
  <c r="M411" i="8" s="1"/>
  <c r="O410" i="8"/>
  <c r="O411" i="8" s="1"/>
  <c r="O412" i="8" s="1"/>
  <c r="R73" i="8"/>
  <c r="R74" i="8"/>
  <c r="G75" i="8"/>
  <c r="H659" i="8"/>
  <c r="H660" i="8"/>
  <c r="H661" i="8"/>
  <c r="H664" i="8"/>
  <c r="H665" i="8"/>
  <c r="H666" i="8"/>
  <c r="H667" i="8"/>
  <c r="H668" i="8"/>
  <c r="H672" i="8"/>
  <c r="H673" i="8"/>
  <c r="H674" i="8"/>
  <c r="H675" i="8"/>
  <c r="H676" i="8"/>
  <c r="H677" i="8"/>
  <c r="H678" i="8"/>
  <c r="H679" i="8"/>
  <c r="H680" i="8"/>
  <c r="H681" i="8"/>
  <c r="H682" i="8"/>
  <c r="H683" i="8"/>
  <c r="H684" i="8"/>
  <c r="H685" i="8"/>
  <c r="L52" i="8"/>
  <c r="H686" i="8"/>
  <c r="H687" i="8"/>
  <c r="H688" i="8"/>
  <c r="H689" i="8"/>
  <c r="H690" i="8"/>
  <c r="L53" i="8"/>
  <c r="H691" i="8"/>
  <c r="H692" i="8"/>
  <c r="H693" i="8"/>
  <c r="H694" i="8"/>
  <c r="H695" i="8"/>
  <c r="H696" i="8"/>
  <c r="H697" i="8"/>
  <c r="H698" i="8"/>
  <c r="H699" i="8"/>
  <c r="H700" i="8"/>
  <c r="B380" i="8"/>
  <c r="H701" i="8" s="1"/>
  <c r="H702" i="8"/>
  <c r="H703" i="8"/>
  <c r="H705" i="8"/>
  <c r="L54" i="8"/>
  <c r="L55" i="8"/>
  <c r="L56" i="8"/>
  <c r="L57" i="8"/>
  <c r="L58" i="8"/>
  <c r="L51" i="8"/>
  <c r="M84" i="2"/>
  <c r="M124" i="2"/>
  <c r="B1174" i="1"/>
  <c r="M349" i="1" s="1"/>
  <c r="Q227" i="2"/>
  <c r="M600" i="2"/>
  <c r="M641" i="2"/>
  <c r="P1091" i="2"/>
  <c r="P1092" i="2"/>
  <c r="N32" i="11"/>
  <c r="C7" i="18"/>
  <c r="C9" i="18"/>
  <c r="C10" i="18"/>
  <c r="C11" i="18"/>
  <c r="C12" i="18"/>
  <c r="C15" i="18"/>
  <c r="C16" i="18"/>
  <c r="S20" i="11"/>
  <c r="S5" i="11"/>
  <c r="S14" i="11"/>
  <c r="S19" i="11"/>
  <c r="S16" i="11"/>
  <c r="D933" i="1"/>
  <c r="D934" i="1"/>
  <c r="S15" i="11"/>
  <c r="S18" i="11"/>
  <c r="S22" i="11"/>
  <c r="S17" i="11"/>
  <c r="B101" i="11"/>
  <c r="A2" i="11"/>
  <c r="C4" i="11"/>
  <c r="C32" i="11"/>
  <c r="C7" i="11" s="1"/>
  <c r="C14" i="11"/>
  <c r="C15" i="11"/>
  <c r="E48" i="11" s="1"/>
  <c r="C17" i="11"/>
  <c r="C18" i="11"/>
  <c r="C20" i="11"/>
  <c r="C22" i="11"/>
  <c r="C23" i="11"/>
  <c r="C24" i="11" s="1"/>
  <c r="C26" i="11"/>
  <c r="C28" i="11"/>
  <c r="C30" i="11"/>
  <c r="C31" i="11"/>
  <c r="C33" i="11"/>
  <c r="C35" i="11"/>
  <c r="C36" i="11"/>
  <c r="C37" i="11"/>
  <c r="C42" i="11"/>
  <c r="C44" i="11"/>
  <c r="C48" i="11"/>
  <c r="D48" i="11"/>
  <c r="B49" i="11"/>
  <c r="C49" i="11"/>
  <c r="B50" i="11"/>
  <c r="C50" i="11"/>
  <c r="B51" i="11"/>
  <c r="B52" i="11"/>
  <c r="B53" i="11"/>
  <c r="B54" i="11"/>
  <c r="B56" i="11"/>
  <c r="D56" i="11"/>
  <c r="E56" i="11"/>
  <c r="F56" i="11"/>
  <c r="G56" i="11"/>
  <c r="H56" i="11"/>
  <c r="I56" i="11"/>
  <c r="J56" i="11"/>
  <c r="K56" i="11"/>
  <c r="B58" i="11"/>
  <c r="B59" i="11"/>
  <c r="B60" i="11"/>
  <c r="B61" i="11"/>
  <c r="B62" i="11"/>
  <c r="B63" i="11"/>
  <c r="B64" i="11"/>
  <c r="B65" i="11"/>
  <c r="B66" i="11"/>
  <c r="B67" i="11"/>
  <c r="B68" i="11"/>
  <c r="B69" i="11"/>
  <c r="B70" i="11"/>
  <c r="D70" i="11"/>
  <c r="E70" i="11"/>
  <c r="F70" i="11"/>
  <c r="G70" i="11"/>
  <c r="H70" i="11"/>
  <c r="I70" i="11"/>
  <c r="J70" i="11"/>
  <c r="K70" i="11"/>
  <c r="B71" i="11"/>
  <c r="F80" i="11"/>
  <c r="L80" i="11"/>
  <c r="C91" i="11"/>
  <c r="E107" i="11"/>
  <c r="E108" i="11"/>
  <c r="E109" i="11"/>
  <c r="E110" i="11"/>
  <c r="E111" i="11"/>
  <c r="B128" i="11"/>
  <c r="C128" i="11"/>
  <c r="V219" i="12"/>
  <c r="V212" i="12"/>
  <c r="V213" i="12"/>
  <c r="V215" i="12"/>
  <c r="V218" i="12"/>
  <c r="V217" i="12"/>
  <c r="A4" i="10"/>
  <c r="C4" i="10"/>
  <c r="AG5" i="10"/>
  <c r="AH5" i="10"/>
  <c r="A6" i="10"/>
  <c r="AH6" i="10"/>
  <c r="C42" i="10" s="1"/>
  <c r="B8" i="10"/>
  <c r="B9" i="10"/>
  <c r="B139" i="10" s="1"/>
  <c r="B10" i="10"/>
  <c r="B35" i="10" s="1"/>
  <c r="C13" i="10"/>
  <c r="C158" i="10" s="1"/>
  <c r="B11" i="10"/>
  <c r="B12" i="10"/>
  <c r="B13" i="10"/>
  <c r="B38" i="10" s="1"/>
  <c r="B14" i="10"/>
  <c r="B15" i="10"/>
  <c r="B16" i="10"/>
  <c r="F16" i="10"/>
  <c r="B18" i="10"/>
  <c r="B19" i="10"/>
  <c r="B20" i="10"/>
  <c r="B21" i="10"/>
  <c r="B22" i="10"/>
  <c r="M1187" i="2"/>
  <c r="F667" i="8"/>
  <c r="B23" i="10"/>
  <c r="B24" i="10"/>
  <c r="A52" i="10"/>
  <c r="B26" i="10"/>
  <c r="B27" i="10"/>
  <c r="B28" i="10"/>
  <c r="B33" i="10"/>
  <c r="B138" i="10" s="1"/>
  <c r="C33" i="10"/>
  <c r="C138" i="10" s="1"/>
  <c r="B36" i="10"/>
  <c r="B37" i="10"/>
  <c r="B39" i="10"/>
  <c r="B40" i="10"/>
  <c r="F41" i="10"/>
  <c r="B43" i="10"/>
  <c r="B44" i="10"/>
  <c r="B45" i="10"/>
  <c r="B46" i="10"/>
  <c r="B47" i="10"/>
  <c r="B152" i="10" s="1"/>
  <c r="M1188" i="2"/>
  <c r="C1188" i="2" s="1"/>
  <c r="M1194" i="2"/>
  <c r="G47" i="10"/>
  <c r="R14" i="2"/>
  <c r="H47" i="10"/>
  <c r="I47" i="10"/>
  <c r="J47" i="10"/>
  <c r="K47" i="10"/>
  <c r="L47" i="10"/>
  <c r="M47" i="10"/>
  <c r="N47" i="10"/>
  <c r="O47" i="10"/>
  <c r="P47" i="10"/>
  <c r="Q47" i="10"/>
  <c r="R47" i="10"/>
  <c r="S47" i="10"/>
  <c r="B48" i="10"/>
  <c r="B49" i="10"/>
  <c r="B154" i="10" s="1"/>
  <c r="G49" i="10"/>
  <c r="H49" i="10"/>
  <c r="I49" i="10"/>
  <c r="J49" i="10"/>
  <c r="K49" i="10"/>
  <c r="L49" i="10"/>
  <c r="M49" i="10"/>
  <c r="N49" i="10"/>
  <c r="O49" i="10"/>
  <c r="P49" i="10"/>
  <c r="Q49" i="10"/>
  <c r="R49" i="10"/>
  <c r="S49" i="10"/>
  <c r="B51" i="10"/>
  <c r="B54" i="10"/>
  <c r="B55" i="10"/>
  <c r="X45" i="10"/>
  <c r="Z45" i="10" s="1"/>
  <c r="A57" i="10"/>
  <c r="D57" i="10"/>
  <c r="D162" i="10" s="1"/>
  <c r="B58" i="10"/>
  <c r="B59" i="10"/>
  <c r="B164" i="10" s="1"/>
  <c r="B60" i="10"/>
  <c r="B165" i="10" s="1"/>
  <c r="B61" i="10"/>
  <c r="B166" i="10" s="1"/>
  <c r="B62" i="10"/>
  <c r="B63" i="10"/>
  <c r="B64" i="10"/>
  <c r="C64" i="10"/>
  <c r="D64" i="10"/>
  <c r="E64" i="10"/>
  <c r="B83" i="10" s="1"/>
  <c r="F64" i="10"/>
  <c r="E65" i="10"/>
  <c r="C101" i="10" s="1"/>
  <c r="B66" i="10"/>
  <c r="B171" i="10" s="1"/>
  <c r="B67" i="10"/>
  <c r="B172" i="10" s="1"/>
  <c r="B68" i="10"/>
  <c r="B173" i="10" s="1"/>
  <c r="B69" i="10"/>
  <c r="B174" i="10" s="1"/>
  <c r="B70" i="10"/>
  <c r="B175" i="10" s="1"/>
  <c r="B71" i="10"/>
  <c r="B176" i="10" s="1"/>
  <c r="B72" i="10"/>
  <c r="B177" i="10" s="1"/>
  <c r="B73" i="10"/>
  <c r="B178" i="10" s="1"/>
  <c r="B74" i="10"/>
  <c r="B179" i="10" s="1"/>
  <c r="B75" i="10"/>
  <c r="B180" i="10" s="1"/>
  <c r="B76" i="10"/>
  <c r="B181" i="10" s="1"/>
  <c r="B77" i="10"/>
  <c r="B182" i="10" s="1"/>
  <c r="B78" i="10"/>
  <c r="B183" i="10" s="1"/>
  <c r="B79" i="10"/>
  <c r="B80" i="10"/>
  <c r="B81" i="10"/>
  <c r="F81" i="10"/>
  <c r="B82" i="10"/>
  <c r="B84" i="10"/>
  <c r="B85" i="10"/>
  <c r="B86" i="10"/>
  <c r="B87" i="10"/>
  <c r="B88" i="10"/>
  <c r="B89" i="10"/>
  <c r="B90" i="10"/>
  <c r="B91" i="10"/>
  <c r="F92" i="10"/>
  <c r="B93" i="10"/>
  <c r="B94" i="10" s="1"/>
  <c r="B95" i="10"/>
  <c r="B96" i="10"/>
  <c r="B97" i="10"/>
  <c r="B98" i="10"/>
  <c r="R98" i="10"/>
  <c r="F100" i="10"/>
  <c r="B101" i="10"/>
  <c r="B102" i="10"/>
  <c r="B103" i="10"/>
  <c r="B104" i="10"/>
  <c r="B106" i="10"/>
  <c r="A109" i="10"/>
  <c r="C109" i="10"/>
  <c r="A111" i="10"/>
  <c r="B113" i="10"/>
  <c r="B140" i="10"/>
  <c r="B115" i="10" s="1"/>
  <c r="B116" i="10"/>
  <c r="B117" i="10"/>
  <c r="B118" i="10"/>
  <c r="B143" i="10" s="1"/>
  <c r="B119" i="10"/>
  <c r="B144" i="10" s="1"/>
  <c r="B120" i="10"/>
  <c r="B145" i="10"/>
  <c r="B121" i="10"/>
  <c r="F121" i="10"/>
  <c r="B123" i="10"/>
  <c r="B148" i="10" s="1"/>
  <c r="B124" i="10"/>
  <c r="B149" i="10" s="1"/>
  <c r="B125" i="10"/>
  <c r="B150" i="10" s="1"/>
  <c r="B126" i="10"/>
  <c r="B151" i="10" s="1"/>
  <c r="B127" i="10"/>
  <c r="B153" i="10" s="1"/>
  <c r="M1192" i="2"/>
  <c r="M1190" i="2" s="1"/>
  <c r="B129" i="10"/>
  <c r="A130" i="10"/>
  <c r="B132" i="10"/>
  <c r="B133" i="10"/>
  <c r="B141" i="10"/>
  <c r="F146" i="10"/>
  <c r="B156" i="10"/>
  <c r="A157" i="10"/>
  <c r="B158" i="10"/>
  <c r="B159" i="10"/>
  <c r="B160" i="10"/>
  <c r="A162" i="10"/>
  <c r="B163" i="10"/>
  <c r="B167" i="10"/>
  <c r="B168" i="10"/>
  <c r="B169" i="10"/>
  <c r="C169" i="10"/>
  <c r="D169" i="10"/>
  <c r="E169" i="10"/>
  <c r="F169" i="10"/>
  <c r="B184" i="10"/>
  <c r="B185" i="10"/>
  <c r="B186" i="10"/>
  <c r="F186" i="10"/>
  <c r="B187" i="10"/>
  <c r="B188" i="10"/>
  <c r="B189" i="10"/>
  <c r="B190" i="10"/>
  <c r="B191" i="10"/>
  <c r="B192" i="10"/>
  <c r="B193" i="10"/>
  <c r="B194" i="10"/>
  <c r="B195" i="10"/>
  <c r="B196" i="10"/>
  <c r="F197" i="10"/>
  <c r="B198" i="10"/>
  <c r="B199" i="10" s="1"/>
  <c r="B200" i="10"/>
  <c r="B201" i="10"/>
  <c r="B202" i="10"/>
  <c r="B203" i="10"/>
  <c r="F205" i="10"/>
  <c r="B206" i="10"/>
  <c r="B207" i="10"/>
  <c r="B208" i="10"/>
  <c r="B209" i="10"/>
  <c r="B211" i="10"/>
  <c r="A214" i="10"/>
  <c r="C214" i="10"/>
  <c r="A215" i="10"/>
  <c r="B216" i="10"/>
  <c r="D216" i="10"/>
  <c r="B217" i="10"/>
  <c r="C217" i="10"/>
  <c r="C218" i="10" s="1"/>
  <c r="B218" i="10"/>
  <c r="B219" i="10"/>
  <c r="B220" i="10"/>
  <c r="B222" i="10"/>
  <c r="B223" i="10"/>
  <c r="D272" i="10"/>
  <c r="W223" i="10"/>
  <c r="B224" i="10"/>
  <c r="B225" i="10"/>
  <c r="B247" i="10" s="1"/>
  <c r="B248" i="10"/>
  <c r="B226" i="10" s="1"/>
  <c r="A228" i="10"/>
  <c r="J228" i="10"/>
  <c r="D229" i="10"/>
  <c r="E229" i="10"/>
  <c r="F229" i="10"/>
  <c r="G229" i="10"/>
  <c r="H229" i="10"/>
  <c r="I229" i="10"/>
  <c r="L229" i="10"/>
  <c r="M229" i="10"/>
  <c r="N229" i="10"/>
  <c r="O229" i="10"/>
  <c r="P229" i="10"/>
  <c r="Q229" i="10"/>
  <c r="R229" i="10"/>
  <c r="AA229" i="10"/>
  <c r="AC229" i="10"/>
  <c r="AE229" i="10"/>
  <c r="A230" i="10"/>
  <c r="J230" i="10"/>
  <c r="B230" i="10" s="1"/>
  <c r="A231" i="10"/>
  <c r="J231" i="10"/>
  <c r="B231" i="10" s="1"/>
  <c r="A232" i="10"/>
  <c r="J232" i="10"/>
  <c r="B232" i="10" s="1"/>
  <c r="A233" i="10"/>
  <c r="J233" i="10"/>
  <c r="B233" i="10" s="1"/>
  <c r="A234" i="10"/>
  <c r="J234" i="10"/>
  <c r="B234" i="10" s="1"/>
  <c r="A235" i="10"/>
  <c r="J235" i="10"/>
  <c r="B235" i="10" s="1"/>
  <c r="A236" i="10"/>
  <c r="J236" i="10"/>
  <c r="B236" i="10" s="1"/>
  <c r="A237" i="10"/>
  <c r="J237" i="10"/>
  <c r="B237" i="10" s="1"/>
  <c r="A238" i="10"/>
  <c r="J238" i="10"/>
  <c r="B238" i="10" s="1"/>
  <c r="A239" i="10"/>
  <c r="J239" i="10"/>
  <c r="B239" i="10" s="1"/>
  <c r="A240" i="10"/>
  <c r="J240" i="10"/>
  <c r="B240" i="10" s="1"/>
  <c r="A241" i="10"/>
  <c r="J241" i="10"/>
  <c r="B241" i="10" s="1"/>
  <c r="B243" i="10"/>
  <c r="H243" i="10"/>
  <c r="F243" i="10" s="1"/>
  <c r="B244" i="10"/>
  <c r="J244" i="10" s="1"/>
  <c r="B246" i="10"/>
  <c r="C246" i="10"/>
  <c r="C253" i="10" s="1"/>
  <c r="E247" i="10"/>
  <c r="B251" i="10"/>
  <c r="J251" i="10"/>
  <c r="N251" i="10"/>
  <c r="P251" i="10"/>
  <c r="R251" i="10"/>
  <c r="B252" i="10"/>
  <c r="J252" i="10"/>
  <c r="B253" i="10"/>
  <c r="J253" i="10"/>
  <c r="C256" i="10"/>
  <c r="N256" i="10" s="1"/>
  <c r="B260" i="10"/>
  <c r="J260" i="10"/>
  <c r="Q260" i="10"/>
  <c r="B261" i="10"/>
  <c r="D261" i="10"/>
  <c r="G261" i="10"/>
  <c r="Q261" i="10"/>
  <c r="Q262" i="10"/>
  <c r="D263" i="10"/>
  <c r="D265" i="10"/>
  <c r="Q266" i="10"/>
  <c r="D267" i="10"/>
  <c r="D268" i="10"/>
  <c r="D270" i="10"/>
  <c r="D271" i="10"/>
  <c r="D273" i="10"/>
  <c r="O283" i="10"/>
  <c r="AO317" i="10"/>
  <c r="AO318" i="10"/>
  <c r="M1175" i="2"/>
  <c r="C1231" i="2" s="1"/>
  <c r="R378" i="10"/>
  <c r="R382" i="10"/>
  <c r="M1184" i="2"/>
  <c r="M1185" i="2"/>
  <c r="R1072" i="2" s="1"/>
  <c r="R380" i="10"/>
  <c r="M1193" i="2"/>
  <c r="Q381" i="10"/>
  <c r="R381" i="10"/>
  <c r="M6" i="1"/>
  <c r="M36" i="1"/>
  <c r="BU57" i="14"/>
  <c r="BU15" i="14" s="1"/>
  <c r="M39" i="1" s="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142" i="1"/>
  <c r="M143" i="1"/>
  <c r="M144" i="1"/>
  <c r="M145" i="1"/>
  <c r="M146" i="1"/>
  <c r="M147" i="1"/>
  <c r="M152" i="1"/>
  <c r="M204" i="1"/>
  <c r="M353" i="1"/>
  <c r="M395" i="1"/>
  <c r="B404" i="1"/>
  <c r="M396" i="1" s="1"/>
  <c r="B1150" i="1"/>
  <c r="B1151" i="1"/>
  <c r="B1152" i="1"/>
  <c r="B1153" i="1"/>
  <c r="B1154" i="1"/>
  <c r="B1155" i="1"/>
  <c r="B1156" i="1"/>
  <c r="B1157" i="1"/>
  <c r="B1158" i="1"/>
  <c r="B1159" i="1"/>
  <c r="B1160" i="1"/>
  <c r="B1162" i="1"/>
  <c r="M954" i="1"/>
  <c r="M981" i="1"/>
  <c r="M986" i="1"/>
  <c r="A4" i="1"/>
  <c r="G384" i="1"/>
  <c r="B801" i="1"/>
  <c r="H6" i="1"/>
  <c r="B8" i="1"/>
  <c r="C154" i="1" s="1"/>
  <c r="C163" i="1" s="1"/>
  <c r="B9" i="1"/>
  <c r="B804" i="1"/>
  <c r="C221" i="1"/>
  <c r="B206" i="1"/>
  <c r="B14" i="1" s="1"/>
  <c r="E14" i="1"/>
  <c r="F15" i="1"/>
  <c r="J15" i="1" s="1"/>
  <c r="J20" i="1" s="1"/>
  <c r="B16" i="1"/>
  <c r="B17" i="1"/>
  <c r="F18" i="1"/>
  <c r="B19" i="1"/>
  <c r="B21" i="1"/>
  <c r="E21" i="1"/>
  <c r="I21" i="1" s="1"/>
  <c r="B22" i="1"/>
  <c r="B23" i="1"/>
  <c r="B24" i="1"/>
  <c r="B25" i="1"/>
  <c r="B26" i="1"/>
  <c r="B27" i="1"/>
  <c r="B28" i="1"/>
  <c r="B29" i="1"/>
  <c r="C29" i="1"/>
  <c r="H30" i="1"/>
  <c r="I30" i="1"/>
  <c r="J30" i="1"/>
  <c r="B32" i="1"/>
  <c r="B33" i="1"/>
  <c r="L30" i="15" s="1"/>
  <c r="C33" i="1"/>
  <c r="B34" i="1"/>
  <c r="A37" i="1"/>
  <c r="W37" i="1"/>
  <c r="B38" i="1"/>
  <c r="C172" i="1"/>
  <c r="C38" i="1" s="1"/>
  <c r="D172" i="1"/>
  <c r="G244" i="1"/>
  <c r="G877" i="1" s="1"/>
  <c r="G38" i="1"/>
  <c r="H38" i="1"/>
  <c r="B1013" i="1"/>
  <c r="I38" i="1" s="1"/>
  <c r="J38" i="1"/>
  <c r="D39" i="1"/>
  <c r="E39" i="1"/>
  <c r="C1014" i="1"/>
  <c r="Q40" i="1"/>
  <c r="B41" i="1"/>
  <c r="B42" i="1"/>
  <c r="B43" i="1"/>
  <c r="B44" i="1"/>
  <c r="B45" i="1"/>
  <c r="B47" i="1"/>
  <c r="B48" i="1"/>
  <c r="B49" i="1"/>
  <c r="B50" i="1"/>
  <c r="B51" i="1"/>
  <c r="B53" i="1"/>
  <c r="B54" i="1"/>
  <c r="B55" i="1"/>
  <c r="B56" i="1"/>
  <c r="B57" i="1"/>
  <c r="B59" i="1"/>
  <c r="B60" i="1"/>
  <c r="B61" i="1"/>
  <c r="B62" i="1"/>
  <c r="B63" i="1"/>
  <c r="B65" i="1"/>
  <c r="B66" i="1"/>
  <c r="B67" i="1"/>
  <c r="B68" i="1"/>
  <c r="B69" i="1"/>
  <c r="B71" i="1"/>
  <c r="B72" i="1"/>
  <c r="B73" i="1"/>
  <c r="B74" i="1"/>
  <c r="B75" i="1"/>
  <c r="B77" i="1"/>
  <c r="B78" i="1"/>
  <c r="B79" i="1"/>
  <c r="B80" i="1"/>
  <c r="B81" i="1"/>
  <c r="B83" i="1"/>
  <c r="B84" i="1"/>
  <c r="B85" i="1"/>
  <c r="B86" i="1"/>
  <c r="B87" i="1"/>
  <c r="B89" i="1"/>
  <c r="B90" i="1"/>
  <c r="B91" i="1"/>
  <c r="B92" i="1"/>
  <c r="B93" i="1"/>
  <c r="B95" i="1"/>
  <c r="B96" i="1"/>
  <c r="B97" i="1"/>
  <c r="B98" i="1"/>
  <c r="B99" i="1"/>
  <c r="B101" i="1"/>
  <c r="B102" i="1"/>
  <c r="B103" i="1"/>
  <c r="B104" i="1"/>
  <c r="B105" i="1"/>
  <c r="B107" i="1"/>
  <c r="B108" i="1"/>
  <c r="B109" i="1"/>
  <c r="B110" i="1"/>
  <c r="B111" i="1"/>
  <c r="B113" i="1"/>
  <c r="B114" i="1"/>
  <c r="B115" i="1"/>
  <c r="B116" i="1"/>
  <c r="B117" i="1"/>
  <c r="B119" i="1"/>
  <c r="B120" i="1"/>
  <c r="B121" i="1"/>
  <c r="B122" i="1"/>
  <c r="B123" i="1"/>
  <c r="B125" i="1"/>
  <c r="B126" i="1"/>
  <c r="B127" i="1"/>
  <c r="B128" i="1"/>
  <c r="B129" i="1"/>
  <c r="B131" i="1"/>
  <c r="B132" i="1"/>
  <c r="B133" i="1"/>
  <c r="B134" i="1"/>
  <c r="B135" i="1"/>
  <c r="B137" i="1"/>
  <c r="B138" i="1"/>
  <c r="B139" i="1"/>
  <c r="B140" i="1"/>
  <c r="B141" i="1"/>
  <c r="B143" i="1"/>
  <c r="B144" i="1"/>
  <c r="B145" i="1"/>
  <c r="B146" i="1"/>
  <c r="B147" i="1"/>
  <c r="B496" i="1"/>
  <c r="D221" i="1"/>
  <c r="D877" i="1" s="1"/>
  <c r="E221" i="1"/>
  <c r="E576" i="1" s="1"/>
  <c r="E606" i="1" s="1"/>
  <c r="I153" i="1"/>
  <c r="J154" i="1"/>
  <c r="B805" i="1"/>
  <c r="B903" i="1" s="1"/>
  <c r="B163" i="1"/>
  <c r="B793" i="1" s="1"/>
  <c r="D163" i="1"/>
  <c r="F163" i="1"/>
  <c r="C173" i="1"/>
  <c r="D173" i="1"/>
  <c r="E173" i="1"/>
  <c r="F173" i="1"/>
  <c r="Q175" i="1"/>
  <c r="B179" i="1"/>
  <c r="B184" i="1" s="1"/>
  <c r="B180" i="1"/>
  <c r="B181" i="1"/>
  <c r="B182" i="1"/>
  <c r="B185" i="1"/>
  <c r="R185" i="1"/>
  <c r="B192" i="1"/>
  <c r="B193" i="1"/>
  <c r="D193" i="1"/>
  <c r="B194" i="1"/>
  <c r="B886" i="1"/>
  <c r="F1169" i="1"/>
  <c r="C944" i="1" s="1"/>
  <c r="B198" i="1"/>
  <c r="B199" i="1"/>
  <c r="B847" i="1"/>
  <c r="B200" i="1" s="1"/>
  <c r="B848" i="1"/>
  <c r="B201" i="1" s="1"/>
  <c r="B203" i="1"/>
  <c r="C206" i="1"/>
  <c r="D206" i="1"/>
  <c r="B226" i="1" s="1"/>
  <c r="E206" i="1"/>
  <c r="F206" i="1"/>
  <c r="G206" i="1"/>
  <c r="H206" i="1"/>
  <c r="I206" i="1"/>
  <c r="F207" i="1"/>
  <c r="G207" i="1"/>
  <c r="B222" i="1"/>
  <c r="B223" i="1"/>
  <c r="B224" i="1"/>
  <c r="B225" i="1"/>
  <c r="B229" i="1"/>
  <c r="B562" i="1" s="1"/>
  <c r="C740" i="1"/>
  <c r="C230" i="1" s="1"/>
  <c r="C741" i="1"/>
  <c r="C231" i="1" s="1"/>
  <c r="C742" i="1"/>
  <c r="C743" i="1"/>
  <c r="C595" i="1" s="1"/>
  <c r="C233" i="1"/>
  <c r="C744" i="1"/>
  <c r="C745" i="1"/>
  <c r="C746" i="1"/>
  <c r="C747" i="1"/>
  <c r="C286" i="1" s="1"/>
  <c r="C748" i="1"/>
  <c r="C749" i="1"/>
  <c r="C288" i="1" s="1"/>
  <c r="C750" i="1"/>
  <c r="C485" i="1" s="1"/>
  <c r="C751" i="1"/>
  <c r="C241" i="1" s="1"/>
  <c r="C752" i="1"/>
  <c r="C627" i="1" s="1"/>
  <c r="F576" i="1"/>
  <c r="B245" i="1"/>
  <c r="B246" i="1"/>
  <c r="B843" i="1"/>
  <c r="B247" i="1" s="1"/>
  <c r="A250" i="1"/>
  <c r="Q251" i="1"/>
  <c r="B252" i="1"/>
  <c r="E253" i="1"/>
  <c r="B254" i="1"/>
  <c r="T254" i="1"/>
  <c r="B257" i="1"/>
  <c r="B268" i="1" s="1"/>
  <c r="B258" i="1"/>
  <c r="C258" i="1"/>
  <c r="B259" i="1"/>
  <c r="C259" i="1"/>
  <c r="B261" i="1"/>
  <c r="B262" i="1"/>
  <c r="B263" i="1"/>
  <c r="B265" i="1"/>
  <c r="B266" i="1"/>
  <c r="C267" i="1"/>
  <c r="D270" i="1"/>
  <c r="B272" i="1"/>
  <c r="B273" i="1"/>
  <c r="B274" i="1"/>
  <c r="B736" i="1" s="1"/>
  <c r="C274" i="1"/>
  <c r="B275" i="1"/>
  <c r="D278" i="1"/>
  <c r="D614" i="1" s="1"/>
  <c r="E278" i="1"/>
  <c r="B500" i="1"/>
  <c r="B521" i="1" s="1"/>
  <c r="B391" i="1"/>
  <c r="D279" i="1"/>
  <c r="R288" i="1"/>
  <c r="S288" i="1" s="1"/>
  <c r="R289" i="1"/>
  <c r="B331" i="1"/>
  <c r="B294" i="1"/>
  <c r="B755" i="1" s="1"/>
  <c r="C294" i="1"/>
  <c r="B756" i="1"/>
  <c r="B297" i="1"/>
  <c r="B759" i="1"/>
  <c r="B670" i="1" s="1"/>
  <c r="B853" i="1"/>
  <c r="E299" i="1"/>
  <c r="B760" i="1"/>
  <c r="B761" i="1"/>
  <c r="B864" i="1"/>
  <c r="F301" i="1"/>
  <c r="B305" i="1"/>
  <c r="B303" i="1" s="1"/>
  <c r="B306" i="1"/>
  <c r="G387" i="1" s="1"/>
  <c r="C306" i="1"/>
  <c r="C304" i="1" s="1"/>
  <c r="C307" i="1"/>
  <c r="B308" i="1"/>
  <c r="B856" i="1"/>
  <c r="B865" i="1" s="1"/>
  <c r="K404" i="1"/>
  <c r="K316" i="1" s="1"/>
  <c r="B317" i="1"/>
  <c r="E317" i="1"/>
  <c r="E318" i="1"/>
  <c r="F318" i="1"/>
  <c r="B319" i="1"/>
  <c r="D331" i="1"/>
  <c r="B335" i="1"/>
  <c r="B336" i="1"/>
  <c r="B337" i="1"/>
  <c r="B338" i="1"/>
  <c r="B341" i="1"/>
  <c r="B343" i="1"/>
  <c r="B538" i="1" s="1"/>
  <c r="B344" i="1"/>
  <c r="B346" i="1"/>
  <c r="B347" i="1"/>
  <c r="B348" i="1"/>
  <c r="B349" i="1"/>
  <c r="E355" i="1" s="1"/>
  <c r="B350" i="1"/>
  <c r="B351" i="1" s="1"/>
  <c r="D350" i="1"/>
  <c r="D355" i="1"/>
  <c r="C356" i="1"/>
  <c r="K356" i="1"/>
  <c r="B384" i="1"/>
  <c r="J384" i="1"/>
  <c r="B385" i="1"/>
  <c r="G385" i="1"/>
  <c r="G386" i="1"/>
  <c r="B387" i="1"/>
  <c r="B494" i="1" s="1"/>
  <c r="G388" i="1"/>
  <c r="G389" i="1"/>
  <c r="G390" i="1"/>
  <c r="J390" i="1"/>
  <c r="C391" i="1"/>
  <c r="B396" i="1"/>
  <c r="B397" i="1"/>
  <c r="B400" i="1"/>
  <c r="B401" i="1"/>
  <c r="C401" i="1"/>
  <c r="B402" i="1"/>
  <c r="B403" i="1"/>
  <c r="B405" i="1"/>
  <c r="B406" i="1" s="1"/>
  <c r="B407" i="1"/>
  <c r="B408" i="1"/>
  <c r="B409" i="1"/>
  <c r="B410" i="1"/>
  <c r="B412" i="1"/>
  <c r="B413" i="1"/>
  <c r="B415" i="1"/>
  <c r="B416" i="1"/>
  <c r="B420" i="1"/>
  <c r="B421" i="1"/>
  <c r="B422" i="1"/>
  <c r="B423" i="1"/>
  <c r="B424" i="1"/>
  <c r="D426" i="1"/>
  <c r="E450" i="1" s="1"/>
  <c r="F426" i="1"/>
  <c r="H426" i="1"/>
  <c r="I450" i="1" s="1"/>
  <c r="U382" i="2"/>
  <c r="G428" i="1"/>
  <c r="H428" i="1"/>
  <c r="U383" i="2"/>
  <c r="U386" i="2"/>
  <c r="U385" i="2"/>
  <c r="U384" i="2"/>
  <c r="D450" i="1"/>
  <c r="H406" i="2"/>
  <c r="H452" i="1" s="1"/>
  <c r="I406" i="2"/>
  <c r="I452" i="1" s="1"/>
  <c r="B474" i="1"/>
  <c r="Q486" i="1"/>
  <c r="B491" i="1"/>
  <c r="B493" i="1"/>
  <c r="E496" i="1"/>
  <c r="P497" i="1"/>
  <c r="B502" i="1"/>
  <c r="B506" i="1"/>
  <c r="B520" i="1" s="1"/>
  <c r="F509" i="1"/>
  <c r="B511" i="1"/>
  <c r="B525" i="1" s="1"/>
  <c r="B512" i="1"/>
  <c r="B526" i="1"/>
  <c r="B513" i="1"/>
  <c r="B527" i="1" s="1"/>
  <c r="B516" i="1"/>
  <c r="E519" i="1"/>
  <c r="F523" i="1"/>
  <c r="B529" i="1"/>
  <c r="B533" i="1"/>
  <c r="B534" i="1"/>
  <c r="D534" i="1"/>
  <c r="F538" i="1"/>
  <c r="D541" i="1"/>
  <c r="B633" i="1" s="1"/>
  <c r="B543" i="1"/>
  <c r="B665" i="1" s="1"/>
  <c r="D543" i="1"/>
  <c r="D544" i="1"/>
  <c r="B547" i="1"/>
  <c r="B582" i="1"/>
  <c r="B548" i="1" s="1"/>
  <c r="D549" i="1"/>
  <c r="B549" i="1"/>
  <c r="D550" i="1"/>
  <c r="B550" i="1"/>
  <c r="B583" i="1" s="1"/>
  <c r="B551" i="1"/>
  <c r="B552" i="1"/>
  <c r="D552" i="1"/>
  <c r="B553" i="1"/>
  <c r="D553" i="1"/>
  <c r="B554" i="1"/>
  <c r="D554" i="1"/>
  <c r="B556" i="1"/>
  <c r="B586" i="1" s="1"/>
  <c r="B557" i="1"/>
  <c r="B587" i="1" s="1"/>
  <c r="C557" i="1"/>
  <c r="B558" i="1"/>
  <c r="B588" i="1" s="1"/>
  <c r="C558" i="1"/>
  <c r="C560" i="1" s="1"/>
  <c r="B559" i="1"/>
  <c r="B589" i="1" s="1"/>
  <c r="B560" i="1"/>
  <c r="B590" i="1" s="1"/>
  <c r="C572" i="1"/>
  <c r="B577" i="1"/>
  <c r="J1185" i="1"/>
  <c r="T577" i="1"/>
  <c r="U577" i="1"/>
  <c r="C580" i="1"/>
  <c r="D582" i="1"/>
  <c r="B584" i="1"/>
  <c r="D584" i="1"/>
  <c r="E614" i="1"/>
  <c r="E739" i="1" s="1"/>
  <c r="P614" i="1"/>
  <c r="B635" i="1"/>
  <c r="B638" i="1"/>
  <c r="B639" i="1"/>
  <c r="S639" i="1"/>
  <c r="B650" i="1"/>
  <c r="B651" i="1"/>
  <c r="B653" i="1" s="1"/>
  <c r="B654" i="1"/>
  <c r="B655" i="1"/>
  <c r="B782" i="1" s="1"/>
  <c r="B658" i="1"/>
  <c r="B786" i="1"/>
  <c r="B659" i="1" s="1"/>
  <c r="B660" i="1"/>
  <c r="B661" i="1"/>
  <c r="D663" i="1"/>
  <c r="B758" i="1" s="1"/>
  <c r="D665" i="1"/>
  <c r="B671" i="1"/>
  <c r="D671" i="1"/>
  <c r="B672" i="1"/>
  <c r="C672" i="1"/>
  <c r="B708" i="1"/>
  <c r="B673" i="1" s="1"/>
  <c r="B674" i="1"/>
  <c r="C674" i="1"/>
  <c r="B675" i="1"/>
  <c r="B676" i="1"/>
  <c r="B692" i="1"/>
  <c r="B725" i="1" s="1"/>
  <c r="B726" i="1"/>
  <c r="C693" i="1"/>
  <c r="C694" i="1" s="1"/>
  <c r="B727" i="1"/>
  <c r="B696" i="1" s="1"/>
  <c r="T697" i="1"/>
  <c r="B703" i="1"/>
  <c r="B704" i="1"/>
  <c r="B705" i="1"/>
  <c r="B706" i="1"/>
  <c r="B707" i="1"/>
  <c r="B709" i="1"/>
  <c r="C726" i="1"/>
  <c r="C727" i="1" s="1"/>
  <c r="P739" i="1"/>
  <c r="U758" i="1"/>
  <c r="J759" i="1"/>
  <c r="R762" i="1"/>
  <c r="B765" i="1"/>
  <c r="B767" i="1"/>
  <c r="C770" i="1"/>
  <c r="B774" i="1"/>
  <c r="B775" i="1"/>
  <c r="B776" i="1"/>
  <c r="B777" i="1"/>
  <c r="B778" i="1"/>
  <c r="C778" i="1"/>
  <c r="B781" i="1"/>
  <c r="B785" i="1"/>
  <c r="B787" i="1"/>
  <c r="A791" i="1"/>
  <c r="B792" i="1"/>
  <c r="B800" i="1" s="1"/>
  <c r="B794" i="1"/>
  <c r="B906" i="1" s="1"/>
  <c r="E794" i="1"/>
  <c r="B795" i="1"/>
  <c r="B908" i="1" s="1"/>
  <c r="B796" i="1"/>
  <c r="B909" i="1" s="1"/>
  <c r="E796" i="1"/>
  <c r="B797" i="1"/>
  <c r="B910" i="1" s="1"/>
  <c r="B802" i="1"/>
  <c r="B803" i="1"/>
  <c r="B900" i="1" s="1"/>
  <c r="B808" i="1"/>
  <c r="B989" i="1" s="1"/>
  <c r="D815" i="1"/>
  <c r="D814" i="1" s="1"/>
  <c r="E815" i="1"/>
  <c r="B987" i="1"/>
  <c r="B826" i="1" s="1"/>
  <c r="S826" i="1"/>
  <c r="B845" i="1"/>
  <c r="B846" i="1" s="1"/>
  <c r="D846" i="1"/>
  <c r="E848" i="1"/>
  <c r="B852" i="1"/>
  <c r="F855" i="1"/>
  <c r="B857" i="1"/>
  <c r="B946" i="1" s="1"/>
  <c r="B874" i="1"/>
  <c r="B858" i="1"/>
  <c r="B861" i="1"/>
  <c r="F864" i="1"/>
  <c r="B866" i="1"/>
  <c r="B869" i="1"/>
  <c r="B878" i="1"/>
  <c r="B907" i="1"/>
  <c r="B985" i="1" s="1"/>
  <c r="B880" i="1"/>
  <c r="E880" i="1"/>
  <c r="B881" i="1"/>
  <c r="E881" i="1"/>
  <c r="B882" i="1"/>
  <c r="J1186" i="1"/>
  <c r="B884" i="1"/>
  <c r="E885" i="1"/>
  <c r="B887" i="1"/>
  <c r="B901" i="1" s="1"/>
  <c r="B899" i="1"/>
  <c r="B889" i="1" s="1"/>
  <c r="B894" i="1"/>
  <c r="C896" i="1"/>
  <c r="E908" i="1"/>
  <c r="B912" i="1"/>
  <c r="E913" i="1"/>
  <c r="F1170" i="1"/>
  <c r="B922" i="1"/>
  <c r="C924" i="1"/>
  <c r="B933" i="1"/>
  <c r="C957" i="1"/>
  <c r="B938" i="1" s="1"/>
  <c r="B948" i="1"/>
  <c r="B997" i="1" s="1"/>
  <c r="B944" i="1"/>
  <c r="B945" i="1"/>
  <c r="E946" i="1"/>
  <c r="B949" i="1"/>
  <c r="B950" i="1"/>
  <c r="B954" i="1"/>
  <c r="N200" i="12"/>
  <c r="N204" i="12"/>
  <c r="D589" i="12" s="1"/>
  <c r="B956" i="1"/>
  <c r="D956" i="1"/>
  <c r="E956" i="1"/>
  <c r="F956" i="1"/>
  <c r="B957" i="1"/>
  <c r="F958" i="1"/>
  <c r="B960" i="1"/>
  <c r="E960" i="1"/>
  <c r="B962" i="1"/>
  <c r="C963" i="1"/>
  <c r="C964" i="1"/>
  <c r="B965" i="1"/>
  <c r="B966" i="1"/>
  <c r="B967" i="1"/>
  <c r="E967" i="1"/>
  <c r="K53" i="12"/>
  <c r="V224" i="12"/>
  <c r="W224" i="12"/>
  <c r="W223" i="12"/>
  <c r="B969" i="1"/>
  <c r="B970" i="1"/>
  <c r="B971" i="1"/>
  <c r="B972" i="1"/>
  <c r="A975" i="1"/>
  <c r="B977" i="1"/>
  <c r="B978" i="1"/>
  <c r="B979" i="1"/>
  <c r="B980" i="1"/>
  <c r="B981" i="1"/>
  <c r="B982" i="1"/>
  <c r="B984" i="1"/>
  <c r="B991" i="1"/>
  <c r="B993" i="1"/>
  <c r="F993" i="1"/>
  <c r="B995" i="1"/>
  <c r="B1001" i="1"/>
  <c r="B1003" i="1"/>
  <c r="B1005" i="1"/>
  <c r="M1006" i="1"/>
  <c r="B1008" i="1"/>
  <c r="B1010" i="1"/>
  <c r="B1011" i="1"/>
  <c r="B1012" i="1"/>
  <c r="B1014" i="1"/>
  <c r="F1014" i="1"/>
  <c r="C1018" i="1"/>
  <c r="D1024" i="1"/>
  <c r="D1027" i="1"/>
  <c r="D1030" i="1"/>
  <c r="D1032" i="1" s="1"/>
  <c r="D1033" i="1"/>
  <c r="D1034" i="1" s="1"/>
  <c r="D1035" i="1" s="1"/>
  <c r="D1036" i="1"/>
  <c r="D1039" i="1"/>
  <c r="D1042" i="1"/>
  <c r="D1045" i="1"/>
  <c r="D1048" i="1"/>
  <c r="D1051" i="1"/>
  <c r="D1068" i="1"/>
  <c r="F1105" i="1"/>
  <c r="F1106" i="1"/>
  <c r="F1108" i="1"/>
  <c r="C1150" i="1"/>
  <c r="F1151" i="1"/>
  <c r="J1151" i="1"/>
  <c r="F1152" i="1"/>
  <c r="H1152" i="1"/>
  <c r="H331" i="12"/>
  <c r="I1152" i="1" s="1"/>
  <c r="C1153" i="1"/>
  <c r="F1153" i="1"/>
  <c r="H1153" i="1"/>
  <c r="H332" i="12"/>
  <c r="J1153" i="1"/>
  <c r="C1154" i="1"/>
  <c r="F1154" i="1"/>
  <c r="H1154" i="1"/>
  <c r="J1154" i="1"/>
  <c r="C1155" i="1"/>
  <c r="C1156" i="1" s="1"/>
  <c r="H1155" i="1"/>
  <c r="H1156" i="1"/>
  <c r="C1157" i="1"/>
  <c r="C1158" i="1" s="1"/>
  <c r="C1159" i="1"/>
  <c r="C1160" i="1"/>
  <c r="I1183" i="1"/>
  <c r="B1165" i="1" s="1"/>
  <c r="B1168" i="1"/>
  <c r="C1168" i="1"/>
  <c r="B1169" i="1"/>
  <c r="C1169" i="1"/>
  <c r="J1163" i="1"/>
  <c r="B1171" i="1"/>
  <c r="G1172" i="1"/>
  <c r="G1174" i="1"/>
  <c r="B1175" i="1"/>
  <c r="C1175" i="1"/>
  <c r="F1175" i="1"/>
  <c r="G1176" i="1"/>
  <c r="F1177" i="1"/>
  <c r="D1178" i="1"/>
  <c r="G1178" i="1"/>
  <c r="D1179" i="1"/>
  <c r="H1179" i="1"/>
  <c r="B1181" i="1"/>
  <c r="J1199" i="1" s="1"/>
  <c r="B1182" i="1"/>
  <c r="B1183" i="1"/>
  <c r="C1183" i="1"/>
  <c r="F1183" i="1"/>
  <c r="C1184" i="1"/>
  <c r="C1185" i="1"/>
  <c r="B1187" i="1"/>
  <c r="B1188" i="1"/>
  <c r="J1188" i="1"/>
  <c r="C1193" i="1"/>
  <c r="J1193" i="1"/>
  <c r="C1198" i="1"/>
  <c r="C1199" i="1"/>
  <c r="C1202" i="1"/>
  <c r="C1205" i="1"/>
  <c r="A4" i="2"/>
  <c r="F4" i="2"/>
  <c r="B5" i="2"/>
  <c r="X5" i="2"/>
  <c r="B6" i="2"/>
  <c r="B32" i="2" s="1"/>
  <c r="K268" i="2"/>
  <c r="K6" i="2" s="1"/>
  <c r="B7" i="2"/>
  <c r="B8" i="2"/>
  <c r="C48" i="2" s="1"/>
  <c r="I42" i="2"/>
  <c r="I580" i="2" s="1"/>
  <c r="B10" i="2"/>
  <c r="B11" i="2"/>
  <c r="B22" i="2" s="1"/>
  <c r="B12" i="2"/>
  <c r="B13" i="2"/>
  <c r="B626" i="2" s="1"/>
  <c r="F13" i="2"/>
  <c r="B14" i="2"/>
  <c r="B25" i="2" s="1"/>
  <c r="Z1103" i="2"/>
  <c r="T14" i="2" s="1"/>
  <c r="T25" i="2" s="1"/>
  <c r="AA1088" i="2"/>
  <c r="B15" i="2"/>
  <c r="G1087" i="2"/>
  <c r="O18" i="2" s="1"/>
  <c r="B17" i="2"/>
  <c r="B20" i="2"/>
  <c r="R20" i="2"/>
  <c r="R675" i="2" s="1"/>
  <c r="Z1099" i="2"/>
  <c r="T20" i="2" s="1"/>
  <c r="F20" i="2"/>
  <c r="B21" i="2"/>
  <c r="F24" i="2"/>
  <c r="A27" i="2"/>
  <c r="B28" i="2"/>
  <c r="A29" i="2"/>
  <c r="B30" i="2"/>
  <c r="B33" i="2"/>
  <c r="B34" i="2" s="1"/>
  <c r="C34" i="2"/>
  <c r="B35" i="2"/>
  <c r="T35" i="2"/>
  <c r="B37" i="2"/>
  <c r="K38" i="2"/>
  <c r="E912" i="2" s="1"/>
  <c r="AA1085" i="2"/>
  <c r="B1102" i="2"/>
  <c r="E42" i="2"/>
  <c r="E580" i="2" s="1"/>
  <c r="H42" i="2"/>
  <c r="H580" i="2" s="1"/>
  <c r="J42" i="2"/>
  <c r="C1287" i="2"/>
  <c r="K43" i="2"/>
  <c r="O44" i="2"/>
  <c r="F44" i="2" s="1"/>
  <c r="H44" i="2" s="1"/>
  <c r="E1207" i="2"/>
  <c r="O45" i="2"/>
  <c r="F45" i="2" s="1"/>
  <c r="H45" i="2" s="1"/>
  <c r="D48" i="2"/>
  <c r="D564" i="2" s="1"/>
  <c r="S564" i="2"/>
  <c r="S48" i="2" s="1"/>
  <c r="B49" i="2"/>
  <c r="B50" i="2"/>
  <c r="B566" i="2" s="1"/>
  <c r="B232" i="2"/>
  <c r="B51" i="2"/>
  <c r="B567" i="2" s="1"/>
  <c r="B52" i="2"/>
  <c r="B53" i="2"/>
  <c r="B54" i="2"/>
  <c r="B570" i="2" s="1"/>
  <c r="B55" i="2"/>
  <c r="B571" i="2" s="1"/>
  <c r="B56" i="2"/>
  <c r="B57" i="2"/>
  <c r="B573" i="2" s="1"/>
  <c r="B58" i="2"/>
  <c r="B59" i="2"/>
  <c r="B575" i="2" s="1"/>
  <c r="B60" i="2"/>
  <c r="C467" i="2" s="1"/>
  <c r="C61" i="2"/>
  <c r="C577" i="2" s="1"/>
  <c r="K65" i="2"/>
  <c r="E68" i="2"/>
  <c r="B70" i="2"/>
  <c r="B72" i="2"/>
  <c r="B73" i="2"/>
  <c r="B80" i="2" s="1"/>
  <c r="T73" i="2"/>
  <c r="F73" i="2"/>
  <c r="B74" i="2"/>
  <c r="F75" i="2"/>
  <c r="B919" i="2"/>
  <c r="B77" i="2"/>
  <c r="R77" i="2"/>
  <c r="R709" i="2" s="1"/>
  <c r="T77" i="2"/>
  <c r="F122" i="2"/>
  <c r="F77" i="2"/>
  <c r="B78" i="2"/>
  <c r="B79" i="2"/>
  <c r="F82" i="2"/>
  <c r="B84" i="2"/>
  <c r="B85" i="2"/>
  <c r="B679" i="2" s="1"/>
  <c r="B86" i="2"/>
  <c r="T86" i="2"/>
  <c r="F86" i="2"/>
  <c r="B87" i="2"/>
  <c r="B681" i="2" s="1"/>
  <c r="B156" i="2"/>
  <c r="B604" i="2" s="1"/>
  <c r="B131" i="2"/>
  <c r="B678" i="2" s="1"/>
  <c r="R89" i="2"/>
  <c r="R648" i="2" s="1"/>
  <c r="T89" i="2"/>
  <c r="F90" i="2"/>
  <c r="B92" i="2"/>
  <c r="B779" i="2" s="1"/>
  <c r="C92" i="2"/>
  <c r="B93" i="2"/>
  <c r="B94" i="2"/>
  <c r="B310" i="2" s="1"/>
  <c r="B95" i="2"/>
  <c r="B808" i="2" s="1"/>
  <c r="F97" i="2"/>
  <c r="B98" i="2"/>
  <c r="B99" i="2"/>
  <c r="T100" i="2"/>
  <c r="G100" i="2"/>
  <c r="F100" i="2"/>
  <c r="B101" i="2"/>
  <c r="T101" i="2"/>
  <c r="AA1087" i="2"/>
  <c r="G123" i="2"/>
  <c r="G101" i="2"/>
  <c r="F101" i="2"/>
  <c r="B104" i="2"/>
  <c r="C104" i="2"/>
  <c r="B105" i="2"/>
  <c r="F109" i="2"/>
  <c r="B111" i="2"/>
  <c r="G112" i="2"/>
  <c r="F112" i="2"/>
  <c r="B113" i="2"/>
  <c r="R113" i="2"/>
  <c r="T113" i="2"/>
  <c r="F113" i="2"/>
  <c r="G113" i="2"/>
  <c r="B116" i="2"/>
  <c r="B633" i="2" s="1"/>
  <c r="C116" i="2"/>
  <c r="B117" i="2"/>
  <c r="F119" i="2"/>
  <c r="B121" i="2"/>
  <c r="B123" i="2"/>
  <c r="B124" i="2"/>
  <c r="B125" i="2"/>
  <c r="B126" i="2"/>
  <c r="R126" i="2"/>
  <c r="T126" i="2"/>
  <c r="F126" i="2"/>
  <c r="B127" i="2"/>
  <c r="G1088" i="2"/>
  <c r="F129" i="2"/>
  <c r="G1089" i="2"/>
  <c r="B132" i="2"/>
  <c r="B649" i="2" s="1"/>
  <c r="R132" i="2"/>
  <c r="R173" i="2" s="1"/>
  <c r="T132" i="2"/>
  <c r="B133" i="2"/>
  <c r="R133" i="2"/>
  <c r="T133" i="2"/>
  <c r="B134" i="2"/>
  <c r="B135" i="2"/>
  <c r="B136" i="2"/>
  <c r="B137" i="2"/>
  <c r="B138" i="2"/>
  <c r="B655" i="2" s="1"/>
  <c r="T138" i="2"/>
  <c r="F138" i="2"/>
  <c r="B139" i="2"/>
  <c r="B661" i="2" s="1"/>
  <c r="G1091" i="2"/>
  <c r="B141" i="2"/>
  <c r="R141" i="2"/>
  <c r="T141" i="2"/>
  <c r="T181" i="2" s="1"/>
  <c r="F206" i="2"/>
  <c r="F141" i="2"/>
  <c r="B142" i="2"/>
  <c r="F143" i="2"/>
  <c r="T146" i="2"/>
  <c r="F146" i="2"/>
  <c r="B147" i="2"/>
  <c r="B664" i="2" s="1"/>
  <c r="B148" i="2"/>
  <c r="T148" i="2"/>
  <c r="F148" i="2"/>
  <c r="B149" i="2"/>
  <c r="B667" i="2"/>
  <c r="B150" i="2" s="1"/>
  <c r="B668" i="2"/>
  <c r="B151" i="2" s="1"/>
  <c r="B154" i="2"/>
  <c r="B157" i="2"/>
  <c r="F157" i="2"/>
  <c r="F158" i="2"/>
  <c r="F163" i="2"/>
  <c r="B165" i="2"/>
  <c r="B166" i="2"/>
  <c r="B167" i="2"/>
  <c r="B168" i="2"/>
  <c r="C168" i="2"/>
  <c r="B169" i="2"/>
  <c r="B170" i="2"/>
  <c r="F171" i="2"/>
  <c r="T174" i="2"/>
  <c r="F174" i="2"/>
  <c r="B175" i="2"/>
  <c r="F176" i="2"/>
  <c r="F179" i="2"/>
  <c r="B181" i="2"/>
  <c r="F181" i="2"/>
  <c r="B183" i="2"/>
  <c r="K184" i="2"/>
  <c r="B187" i="2"/>
  <c r="B191" i="2"/>
  <c r="F192" i="2"/>
  <c r="T193" i="2"/>
  <c r="F193" i="2"/>
  <c r="T194" i="2"/>
  <c r="F194" i="2"/>
  <c r="B198" i="2"/>
  <c r="F202" i="2"/>
  <c r="B203" i="2"/>
  <c r="B206" i="2"/>
  <c r="B207" i="2"/>
  <c r="B208" i="2"/>
  <c r="B213" i="2"/>
  <c r="B214" i="2"/>
  <c r="F218" i="2"/>
  <c r="B220" i="2"/>
  <c r="T221" i="2"/>
  <c r="G221" i="2"/>
  <c r="F221" i="2"/>
  <c r="B222" i="2"/>
  <c r="F222" i="2"/>
  <c r="G222" i="2"/>
  <c r="B313" i="2"/>
  <c r="B224" i="2" s="1"/>
  <c r="B227" i="2"/>
  <c r="P227" i="2"/>
  <c r="B228" i="2"/>
  <c r="B229" i="2" s="1"/>
  <c r="C266" i="2"/>
  <c r="G296" i="2" s="1"/>
  <c r="K228" i="2"/>
  <c r="K324" i="2" s="1"/>
  <c r="Q317" i="2"/>
  <c r="R317" i="2" s="1"/>
  <c r="E229" i="2"/>
  <c r="B814" i="2"/>
  <c r="F454" i="2" s="1"/>
  <c r="B230" i="2"/>
  <c r="C454" i="2" s="1"/>
  <c r="E230" i="2"/>
  <c r="B243" i="2"/>
  <c r="C468" i="2" s="1"/>
  <c r="B245" i="2"/>
  <c r="B246" i="2"/>
  <c r="B247" i="2"/>
  <c r="F247" i="2"/>
  <c r="G247" i="2"/>
  <c r="B248" i="2"/>
  <c r="B249" i="2"/>
  <c r="B250" i="2"/>
  <c r="B252" i="2"/>
  <c r="B253" i="2"/>
  <c r="C253" i="2"/>
  <c r="B256" i="2"/>
  <c r="B258" i="2"/>
  <c r="F258" i="2"/>
  <c r="G258" i="2"/>
  <c r="B259" i="2"/>
  <c r="F259" i="2"/>
  <c r="G259" i="2"/>
  <c r="B260" i="2"/>
  <c r="AC1081" i="2"/>
  <c r="F260" i="2"/>
  <c r="G260" i="2"/>
  <c r="B261" i="2"/>
  <c r="B262" i="2"/>
  <c r="B263" i="2" s="1"/>
  <c r="D267" i="2"/>
  <c r="E267" i="2"/>
  <c r="B297" i="2"/>
  <c r="J297" i="2"/>
  <c r="B298" i="2"/>
  <c r="G298" i="2"/>
  <c r="B299" i="2"/>
  <c r="B429" i="2" s="1"/>
  <c r="G299" i="2"/>
  <c r="G300" i="2"/>
  <c r="G301" i="2"/>
  <c r="B302" i="2"/>
  <c r="B433" i="2"/>
  <c r="G302" i="2"/>
  <c r="B309" i="2"/>
  <c r="G303" i="2"/>
  <c r="J303" i="2"/>
  <c r="F308" i="2"/>
  <c r="Q314" i="2"/>
  <c r="B316" i="2"/>
  <c r="B317" i="2"/>
  <c r="Q319" i="2"/>
  <c r="B320" i="2"/>
  <c r="B321" i="2"/>
  <c r="C321" i="2"/>
  <c r="B322" i="2"/>
  <c r="B323" i="2"/>
  <c r="AC1073" i="2"/>
  <c r="B324" i="2"/>
  <c r="AC1076" i="2"/>
  <c r="B325" i="2"/>
  <c r="B326" i="2" s="1"/>
  <c r="AC1079" i="2"/>
  <c r="B327" i="2"/>
  <c r="B328" i="2"/>
  <c r="B329" i="2"/>
  <c r="B330" i="2"/>
  <c r="B366" i="2"/>
  <c r="B367" i="2"/>
  <c r="B368" i="2"/>
  <c r="B369" i="2"/>
  <c r="B370" i="2"/>
  <c r="C370" i="2"/>
  <c r="B371" i="2"/>
  <c r="G380" i="2" s="1"/>
  <c r="H404" i="2" s="1"/>
  <c r="B374" i="2"/>
  <c r="B375" i="2"/>
  <c r="B376" i="2"/>
  <c r="B377" i="2"/>
  <c r="B378" i="2"/>
  <c r="D380" i="2"/>
  <c r="E404" i="2" s="1"/>
  <c r="F380" i="2"/>
  <c r="E380" i="2" s="1"/>
  <c r="H380" i="2"/>
  <c r="I404" i="2" s="1"/>
  <c r="D404" i="2"/>
  <c r="B428" i="2"/>
  <c r="B430" i="2"/>
  <c r="E433" i="2"/>
  <c r="C434" i="2"/>
  <c r="B435" i="2"/>
  <c r="B442" i="2"/>
  <c r="B753" i="2" s="1"/>
  <c r="B449" i="2"/>
  <c r="B450" i="2"/>
  <c r="D454" i="2"/>
  <c r="E454" i="2"/>
  <c r="D455" i="2"/>
  <c r="E455" i="2"/>
  <c r="C457" i="2"/>
  <c r="B470" i="2"/>
  <c r="C470" i="2"/>
  <c r="C471" i="2" s="1"/>
  <c r="B471" i="2"/>
  <c r="B474" i="2"/>
  <c r="F477" i="2"/>
  <c r="K817" i="2"/>
  <c r="B478" i="2" s="1"/>
  <c r="B488" i="2" s="1"/>
  <c r="O478" i="2"/>
  <c r="B481" i="2"/>
  <c r="B479" i="2" s="1"/>
  <c r="C481" i="2"/>
  <c r="C479" i="2" s="1"/>
  <c r="O479" i="2"/>
  <c r="B482" i="2"/>
  <c r="B480" i="2" s="1"/>
  <c r="C482" i="2"/>
  <c r="C480" i="2" s="1"/>
  <c r="O480" i="2"/>
  <c r="F481" i="2"/>
  <c r="O481" i="2"/>
  <c r="B483" i="2"/>
  <c r="C483" i="2"/>
  <c r="F483" i="2"/>
  <c r="B484" i="2"/>
  <c r="B485" i="2"/>
  <c r="B490" i="2" s="1"/>
  <c r="B487" i="2"/>
  <c r="B497" i="2"/>
  <c r="F498" i="2"/>
  <c r="W499" i="2"/>
  <c r="B504" i="2"/>
  <c r="B766" i="2" s="1"/>
  <c r="B505" i="2"/>
  <c r="B506" i="2"/>
  <c r="F510" i="2"/>
  <c r="B512" i="2"/>
  <c r="C512" i="2"/>
  <c r="F513" i="2"/>
  <c r="G513" i="2"/>
  <c r="B514" i="2"/>
  <c r="B776" i="2" s="1"/>
  <c r="T514" i="2"/>
  <c r="F514" i="2"/>
  <c r="G514" i="2"/>
  <c r="B518" i="2"/>
  <c r="F519" i="2"/>
  <c r="B521" i="2"/>
  <c r="F527" i="2"/>
  <c r="C533" i="2"/>
  <c r="F535" i="2"/>
  <c r="B550" i="2"/>
  <c r="B551" i="2"/>
  <c r="B553" i="2"/>
  <c r="K554" i="2"/>
  <c r="F558" i="2"/>
  <c r="K559" i="2"/>
  <c r="C1288" i="2"/>
  <c r="B565" i="2"/>
  <c r="K581" i="2"/>
  <c r="O582" i="2"/>
  <c r="F582" i="2" s="1"/>
  <c r="H582" i="2" s="1"/>
  <c r="O583" i="2"/>
  <c r="F583" i="2" s="1"/>
  <c r="H583" i="2" s="1"/>
  <c r="E584" i="2"/>
  <c r="B586" i="2"/>
  <c r="B587" i="2"/>
  <c r="F588" i="2"/>
  <c r="F590" i="2"/>
  <c r="B909" i="2"/>
  <c r="B591" i="2" s="1"/>
  <c r="F592" i="2"/>
  <c r="G592" i="2"/>
  <c r="B594" i="2"/>
  <c r="B595" i="2"/>
  <c r="F598" i="2"/>
  <c r="B600" i="2"/>
  <c r="F602" i="2"/>
  <c r="F606" i="2"/>
  <c r="G606" i="2"/>
  <c r="B608" i="2"/>
  <c r="B609" i="2"/>
  <c r="C609" i="2"/>
  <c r="B610" i="2"/>
  <c r="F614" i="2"/>
  <c r="B616" i="2"/>
  <c r="F617" i="2"/>
  <c r="B618" i="2"/>
  <c r="G630" i="2"/>
  <c r="F618" i="2"/>
  <c r="G618" i="2"/>
  <c r="B620" i="2"/>
  <c r="B621" i="2"/>
  <c r="B622" i="2"/>
  <c r="B625" i="2"/>
  <c r="F626" i="2"/>
  <c r="B628" i="2"/>
  <c r="F629" i="2"/>
  <c r="B630" i="2"/>
  <c r="F630" i="2"/>
  <c r="B632" i="2"/>
  <c r="C633" i="2"/>
  <c r="B634" i="2"/>
  <c r="F636" i="2"/>
  <c r="B638" i="2"/>
  <c r="F639" i="2"/>
  <c r="G639" i="2"/>
  <c r="B640" i="2"/>
  <c r="R640" i="2"/>
  <c r="F640" i="2"/>
  <c r="G640" i="2"/>
  <c r="B641" i="2"/>
  <c r="B642" i="2"/>
  <c r="B643" i="2"/>
  <c r="F643" i="2"/>
  <c r="G643" i="2"/>
  <c r="F646" i="2"/>
  <c r="T649" i="2"/>
  <c r="B650" i="2"/>
  <c r="B651" i="2"/>
  <c r="B652" i="2"/>
  <c r="B653" i="2"/>
  <c r="F653" i="2"/>
  <c r="B654" i="2"/>
  <c r="F655" i="2"/>
  <c r="T658" i="2"/>
  <c r="F658" i="2"/>
  <c r="B659" i="2"/>
  <c r="K659" i="2"/>
  <c r="F660" i="2"/>
  <c r="T662" i="2"/>
  <c r="F662" i="2"/>
  <c r="T663" i="2"/>
  <c r="F663" i="2"/>
  <c r="B665" i="2"/>
  <c r="T665" i="2"/>
  <c r="F665" i="2"/>
  <c r="C670" i="2"/>
  <c r="B673" i="2"/>
  <c r="R674" i="2"/>
  <c r="C674" i="2" s="1"/>
  <c r="T674" i="2"/>
  <c r="F674" i="2"/>
  <c r="F675" i="2"/>
  <c r="F680" i="2"/>
  <c r="B683" i="2"/>
  <c r="T683" i="2"/>
  <c r="F683" i="2"/>
  <c r="B684" i="2"/>
  <c r="B685" i="2"/>
  <c r="B686" i="2"/>
  <c r="B687" i="2"/>
  <c r="F688" i="2"/>
  <c r="F690" i="2"/>
  <c r="R691" i="2"/>
  <c r="C691" i="2" s="1"/>
  <c r="T691" i="2"/>
  <c r="F691" i="2"/>
  <c r="B692" i="2"/>
  <c r="F693" i="2"/>
  <c r="F696" i="2"/>
  <c r="B698" i="2"/>
  <c r="T698" i="2"/>
  <c r="F698" i="2"/>
  <c r="B700" i="2"/>
  <c r="B708" i="2"/>
  <c r="T709" i="2"/>
  <c r="F709" i="2"/>
  <c r="T710" i="2"/>
  <c r="F710" i="2"/>
  <c r="F711" i="2"/>
  <c r="B714" i="2"/>
  <c r="B715" i="2"/>
  <c r="F719" i="2"/>
  <c r="B720" i="2"/>
  <c r="B723" i="2"/>
  <c r="T723" i="2"/>
  <c r="F723" i="2"/>
  <c r="B725" i="2"/>
  <c r="C725" i="2"/>
  <c r="B729" i="2"/>
  <c r="B730" i="2"/>
  <c r="B731" i="2"/>
  <c r="F735" i="2"/>
  <c r="B737" i="2"/>
  <c r="F738" i="2"/>
  <c r="G738" i="2"/>
  <c r="B739" i="2"/>
  <c r="F739" i="2"/>
  <c r="G739" i="2"/>
  <c r="B741" i="2"/>
  <c r="F744" i="2"/>
  <c r="B745" i="2"/>
  <c r="B746" i="2"/>
  <c r="B749" i="2"/>
  <c r="B757" i="2"/>
  <c r="F760" i="2"/>
  <c r="B761" i="2"/>
  <c r="C761" i="2"/>
  <c r="S761" i="2"/>
  <c r="P1122" i="2" s="1"/>
  <c r="B762" i="2"/>
  <c r="B767" i="2"/>
  <c r="C767" i="2"/>
  <c r="B768" i="2"/>
  <c r="F772" i="2"/>
  <c r="B774" i="2"/>
  <c r="F775" i="2"/>
  <c r="G776" i="2"/>
  <c r="F776" i="2"/>
  <c r="C779" i="2"/>
  <c r="B780" i="2"/>
  <c r="F781" i="2"/>
  <c r="F789" i="2"/>
  <c r="F797" i="2"/>
  <c r="B799" i="2"/>
  <c r="B802" i="2"/>
  <c r="B811" i="2"/>
  <c r="F811" i="2"/>
  <c r="F814" i="2" s="1"/>
  <c r="G811" i="2"/>
  <c r="B812" i="2"/>
  <c r="B813" i="2"/>
  <c r="G813" i="2"/>
  <c r="B815" i="2"/>
  <c r="G815" i="2"/>
  <c r="D817" i="2"/>
  <c r="D841" i="2" s="1"/>
  <c r="E817" i="2"/>
  <c r="E836" i="2" s="1"/>
  <c r="F817" i="2"/>
  <c r="F828" i="2" s="1"/>
  <c r="G817" i="2"/>
  <c r="G841" i="2" s="1"/>
  <c r="H817" i="2"/>
  <c r="I817" i="2"/>
  <c r="J817" i="2"/>
  <c r="J828" i="2" s="1"/>
  <c r="S817" i="2"/>
  <c r="T817" i="2" s="1"/>
  <c r="B818" i="2"/>
  <c r="B829" i="2" s="1"/>
  <c r="E826" i="2"/>
  <c r="E839" i="2"/>
  <c r="E851" i="2"/>
  <c r="B854" i="2"/>
  <c r="B856" i="2"/>
  <c r="B857" i="2"/>
  <c r="B858" i="2"/>
  <c r="B859" i="2"/>
  <c r="B860" i="2"/>
  <c r="B861" i="2"/>
  <c r="A865" i="2"/>
  <c r="C865" i="2"/>
  <c r="D865" i="2"/>
  <c r="H865" i="2"/>
  <c r="P865" i="2"/>
  <c r="A866" i="2" s="1"/>
  <c r="Q865" i="2"/>
  <c r="R865" i="2"/>
  <c r="B959" i="2" s="1"/>
  <c r="B867" i="2"/>
  <c r="B869" i="2"/>
  <c r="B870" i="2"/>
  <c r="B884" i="2" s="1"/>
  <c r="C870" i="2"/>
  <c r="C883" i="2" s="1"/>
  <c r="B871" i="2"/>
  <c r="B877" i="2" s="1"/>
  <c r="B872" i="2"/>
  <c r="B973" i="2" s="1"/>
  <c r="B873" i="2"/>
  <c r="B875" i="2"/>
  <c r="B878" i="2"/>
  <c r="B879" i="2"/>
  <c r="E881" i="2"/>
  <c r="B883" i="2"/>
  <c r="B914" i="2" s="1"/>
  <c r="B917" i="2"/>
  <c r="B918" i="2"/>
  <c r="E887" i="2"/>
  <c r="B888" i="2"/>
  <c r="Z1095" i="2"/>
  <c r="S888" i="2" s="1"/>
  <c r="B889" i="2"/>
  <c r="B893" i="2"/>
  <c r="R895" i="2"/>
  <c r="T895" i="2"/>
  <c r="T914" i="2" s="1"/>
  <c r="AA1098" i="2"/>
  <c r="B896" i="2"/>
  <c r="T896" i="2"/>
  <c r="B897" i="2"/>
  <c r="E1068" i="2"/>
  <c r="E1067" i="2"/>
  <c r="E908" i="2"/>
  <c r="B910" i="2"/>
  <c r="E918" i="2"/>
  <c r="B920" i="2"/>
  <c r="A923" i="2"/>
  <c r="B924" i="2"/>
  <c r="D925" i="2"/>
  <c r="C87" i="4" s="1"/>
  <c r="T927" i="2"/>
  <c r="T932" i="2" s="1"/>
  <c r="AA1099" i="2"/>
  <c r="B928" i="2"/>
  <c r="B933" i="2" s="1"/>
  <c r="T928" i="2"/>
  <c r="T933" i="2" s="1"/>
  <c r="B929" i="2"/>
  <c r="D930" i="2"/>
  <c r="C88" i="4" s="1"/>
  <c r="B934" i="2"/>
  <c r="A938" i="2"/>
  <c r="F938" i="2"/>
  <c r="G938" i="2"/>
  <c r="H938" i="2"/>
  <c r="I938" i="2"/>
  <c r="U1061" i="2" s="1"/>
  <c r="B939" i="2"/>
  <c r="B940" i="2"/>
  <c r="B943" i="2"/>
  <c r="B1292" i="2"/>
  <c r="I1292" i="2" s="1"/>
  <c r="C320" i="12" s="1"/>
  <c r="B946" i="2"/>
  <c r="G948" i="2"/>
  <c r="B950" i="2"/>
  <c r="B953" i="2"/>
  <c r="B957" i="2"/>
  <c r="G958" i="2"/>
  <c r="B960" i="2"/>
  <c r="S1066" i="2"/>
  <c r="B961" i="2"/>
  <c r="G962" i="2"/>
  <c r="B967" i="2"/>
  <c r="M967" i="2"/>
  <c r="B969" i="2"/>
  <c r="D969" i="2"/>
  <c r="E969" i="2"/>
  <c r="F969" i="2"/>
  <c r="B970" i="2"/>
  <c r="F971" i="2"/>
  <c r="E973" i="2"/>
  <c r="B975" i="2"/>
  <c r="B976" i="2"/>
  <c r="C976" i="2"/>
  <c r="B977" i="2"/>
  <c r="B978" i="2"/>
  <c r="B979" i="2"/>
  <c r="B980" i="2"/>
  <c r="E980" i="2"/>
  <c r="B982" i="2"/>
  <c r="B983" i="2"/>
  <c r="B984" i="2"/>
  <c r="C1027" i="2"/>
  <c r="C995" i="2" s="1"/>
  <c r="B985" i="2"/>
  <c r="A988" i="2"/>
  <c r="B990" i="2"/>
  <c r="B991" i="2"/>
  <c r="M991" i="2"/>
  <c r="B992" i="2"/>
  <c r="B993" i="2"/>
  <c r="B994" i="2"/>
  <c r="M994" i="2"/>
  <c r="M995" i="2" s="1"/>
  <c r="B995" i="2"/>
  <c r="B997" i="2"/>
  <c r="B1002" i="2"/>
  <c r="B1004" i="2"/>
  <c r="B1006" i="2"/>
  <c r="F1006" i="2"/>
  <c r="B1008" i="2"/>
  <c r="B1009" i="2"/>
  <c r="B1011" i="2"/>
  <c r="M1012" i="2"/>
  <c r="B1014" i="2"/>
  <c r="B1016" i="2"/>
  <c r="B1017" i="2"/>
  <c r="B1018" i="2"/>
  <c r="B1021" i="2"/>
  <c r="B1023" i="2"/>
  <c r="B1024" i="2"/>
  <c r="B1025" i="2"/>
  <c r="B1026" i="2"/>
  <c r="B1027" i="2"/>
  <c r="F1027" i="2"/>
  <c r="C1031" i="2"/>
  <c r="B1033" i="2"/>
  <c r="CA1033" i="2"/>
  <c r="CB1033" i="2"/>
  <c r="CC1033" i="2"/>
  <c r="B1034" i="2"/>
  <c r="B1035" i="2"/>
  <c r="B1036" i="2"/>
  <c r="B1037" i="2"/>
  <c r="B1038" i="2"/>
  <c r="B1039" i="2"/>
  <c r="B1040" i="2"/>
  <c r="B1041" i="2"/>
  <c r="B1042" i="2"/>
  <c r="B1043" i="2"/>
  <c r="B1044" i="2"/>
  <c r="B1047" i="2"/>
  <c r="D1047" i="2"/>
  <c r="D1052" i="2" s="1"/>
  <c r="B1048" i="2"/>
  <c r="B1049" i="2"/>
  <c r="B1051" i="2"/>
  <c r="B1052" i="2"/>
  <c r="B1053" i="2"/>
  <c r="B1054" i="2"/>
  <c r="B1055" i="2"/>
  <c r="B1056" i="2"/>
  <c r="B1057" i="2"/>
  <c r="B1058" i="2"/>
  <c r="E1062" i="2"/>
  <c r="Z1062" i="2"/>
  <c r="Z1069" i="2" s="1"/>
  <c r="E1063" i="2"/>
  <c r="Z1063" i="2"/>
  <c r="Z1070" i="2" s="1"/>
  <c r="Z1065" i="2"/>
  <c r="AC1063" i="2" s="1"/>
  <c r="E1064" i="2"/>
  <c r="Z1064" i="2"/>
  <c r="F714" i="8"/>
  <c r="F715" i="8"/>
  <c r="AA1064" i="2" s="1"/>
  <c r="E1065" i="2"/>
  <c r="F712" i="8"/>
  <c r="F713" i="8" s="1"/>
  <c r="AA1065" i="2" s="1"/>
  <c r="E1069" i="2"/>
  <c r="E831" i="8"/>
  <c r="AA1069" i="2" s="1"/>
  <c r="E1070" i="2"/>
  <c r="E1072" i="2"/>
  <c r="Z1072" i="2"/>
  <c r="E1073" i="2"/>
  <c r="Z1073" i="2"/>
  <c r="E1074" i="2"/>
  <c r="Z1074" i="2"/>
  <c r="E1075" i="2"/>
  <c r="Z1075" i="2"/>
  <c r="Z1078" i="2"/>
  <c r="Z1079" i="2"/>
  <c r="S1083" i="2"/>
  <c r="T1083" i="2"/>
  <c r="AA1081" i="2"/>
  <c r="S1084" i="2"/>
  <c r="Z1082" i="2"/>
  <c r="C1087" i="2" s="1"/>
  <c r="S1085" i="2"/>
  <c r="AC1083" i="2"/>
  <c r="C1085" i="2"/>
  <c r="G1084" i="2"/>
  <c r="AC1084" i="2"/>
  <c r="C1086" i="2"/>
  <c r="G1085" i="2"/>
  <c r="Z1085" i="2"/>
  <c r="G1086" i="2"/>
  <c r="AA1086" i="2"/>
  <c r="P1088" i="2"/>
  <c r="R1088" i="2" s="1"/>
  <c r="Z1087" i="2"/>
  <c r="P1089" i="2"/>
  <c r="R1089" i="2" s="1"/>
  <c r="Z1088" i="2"/>
  <c r="E1089" i="2"/>
  <c r="Z1089" i="2"/>
  <c r="E1090" i="2"/>
  <c r="G1090" i="2"/>
  <c r="Z1090" i="2"/>
  <c r="Z1091" i="2"/>
  <c r="G1092" i="2"/>
  <c r="Z1092" i="2"/>
  <c r="Z1093" i="2"/>
  <c r="G1094" i="2"/>
  <c r="G1095" i="2"/>
  <c r="AA1095" i="2"/>
  <c r="G1096" i="2"/>
  <c r="Z1096" i="2"/>
  <c r="AA1096" i="2"/>
  <c r="E1097" i="2"/>
  <c r="G1097" i="2"/>
  <c r="AA1097" i="2"/>
  <c r="E1098" i="2"/>
  <c r="Z1098" i="2"/>
  <c r="E1100" i="2"/>
  <c r="E1101" i="2"/>
  <c r="Z1102" i="2"/>
  <c r="U1122" i="2"/>
  <c r="W1122" i="2"/>
  <c r="P1124" i="2"/>
  <c r="U1124" i="2"/>
  <c r="W1124" i="2"/>
  <c r="P1125" i="2"/>
  <c r="U1125" i="2"/>
  <c r="W1125" i="2"/>
  <c r="P1126" i="2"/>
  <c r="U1126" i="2"/>
  <c r="W1126" i="2"/>
  <c r="P1127" i="2"/>
  <c r="U1127" i="2"/>
  <c r="W1127" i="2"/>
  <c r="J1161" i="2"/>
  <c r="K1161" i="2"/>
  <c r="C1177" i="2"/>
  <c r="I1202" i="2"/>
  <c r="I1203" i="2"/>
  <c r="I1204" i="2"/>
  <c r="E1208" i="2"/>
  <c r="E1210" i="2"/>
  <c r="E1211" i="2"/>
  <c r="E1212" i="2"/>
  <c r="E1228" i="2"/>
  <c r="E1229" i="2"/>
  <c r="E1230" i="2"/>
  <c r="E1233" i="2"/>
  <c r="E1234" i="2"/>
  <c r="I1234" i="2"/>
  <c r="I1235" i="2"/>
  <c r="I1251" i="2"/>
  <c r="E1260" i="2"/>
  <c r="E1262" i="2"/>
  <c r="E1263" i="2"/>
  <c r="E1264" i="2"/>
  <c r="I1268" i="2"/>
  <c r="E1275" i="2"/>
  <c r="I1275" i="2"/>
  <c r="E1276" i="2"/>
  <c r="E1278" i="2"/>
  <c r="I1281" i="2"/>
  <c r="I1282" i="2"/>
  <c r="I1283" i="2"/>
  <c r="I1284" i="2"/>
  <c r="Q1290" i="2"/>
  <c r="D266" i="4"/>
  <c r="O3" i="4" s="1"/>
  <c r="O5" i="4"/>
  <c r="E272" i="4" s="1"/>
  <c r="E273" i="4" s="1"/>
  <c r="O6" i="4"/>
  <c r="A4" i="4"/>
  <c r="A3" i="8" s="1"/>
  <c r="C5" i="4"/>
  <c r="D5" i="4"/>
  <c r="M9" i="4" s="1"/>
  <c r="H5" i="4"/>
  <c r="C6" i="4"/>
  <c r="D6" i="4"/>
  <c r="I6" i="4"/>
  <c r="D7" i="4"/>
  <c r="A9" i="4"/>
  <c r="D9" i="4"/>
  <c r="D227" i="4" s="1"/>
  <c r="D201" i="4"/>
  <c r="D253" i="4" s="1"/>
  <c r="E9" i="4"/>
  <c r="F9" i="4"/>
  <c r="F227" i="4" s="1"/>
  <c r="G9" i="4"/>
  <c r="G227" i="4" s="1"/>
  <c r="H9" i="4"/>
  <c r="D192" i="4"/>
  <c r="C11" i="4"/>
  <c r="D61" i="4"/>
  <c r="C12" i="4"/>
  <c r="C13" i="4"/>
  <c r="C14" i="4"/>
  <c r="D14" i="4"/>
  <c r="C15" i="4"/>
  <c r="C98" i="4" s="1"/>
  <c r="C196" i="4"/>
  <c r="C18" i="4" s="1"/>
  <c r="C197" i="4"/>
  <c r="C19" i="4" s="1"/>
  <c r="A199" i="4"/>
  <c r="A20" i="4" s="1"/>
  <c r="C23" i="4"/>
  <c r="D23" i="4"/>
  <c r="O23" i="4"/>
  <c r="C24" i="4"/>
  <c r="D28" i="4"/>
  <c r="D24" i="4" s="1"/>
  <c r="C25" i="4"/>
  <c r="C26" i="4"/>
  <c r="J26" i="4"/>
  <c r="C27" i="4"/>
  <c r="J27" i="4"/>
  <c r="C28" i="4"/>
  <c r="C29" i="4"/>
  <c r="J29" i="4"/>
  <c r="C30" i="4"/>
  <c r="C43" i="4" s="1"/>
  <c r="J30" i="4"/>
  <c r="C31" i="4"/>
  <c r="C44" i="4" s="1"/>
  <c r="D31" i="4"/>
  <c r="D44" i="4" s="1"/>
  <c r="C35" i="4"/>
  <c r="C37" i="4"/>
  <c r="C38" i="4"/>
  <c r="C39" i="4"/>
  <c r="C40" i="4"/>
  <c r="C41" i="4"/>
  <c r="J41" i="4"/>
  <c r="C42" i="4"/>
  <c r="C48" i="4"/>
  <c r="C50" i="4"/>
  <c r="C51" i="4"/>
  <c r="C52" i="4"/>
  <c r="C53" i="4"/>
  <c r="C54" i="4"/>
  <c r="D54" i="4"/>
  <c r="C55" i="4"/>
  <c r="C59" i="4"/>
  <c r="C64" i="4"/>
  <c r="P64" i="4"/>
  <c r="C65" i="4"/>
  <c r="C66" i="4"/>
  <c r="C67" i="4"/>
  <c r="C71" i="4"/>
  <c r="C73" i="4"/>
  <c r="C77" i="4"/>
  <c r="C78" i="4"/>
  <c r="C79" i="4"/>
  <c r="C90" i="4" s="1"/>
  <c r="D79" i="4"/>
  <c r="D90" i="4" s="1"/>
  <c r="C80" i="4"/>
  <c r="C81" i="4"/>
  <c r="C85" i="4"/>
  <c r="C89" i="4"/>
  <c r="C91" i="4"/>
  <c r="C92" i="4"/>
  <c r="C96" i="4"/>
  <c r="C100" i="4"/>
  <c r="Q100" i="4"/>
  <c r="C101" i="4"/>
  <c r="C102" i="4"/>
  <c r="C103" i="4"/>
  <c r="C104" i="4"/>
  <c r="C105" i="4"/>
  <c r="C108" i="4"/>
  <c r="C109" i="4"/>
  <c r="C110" i="4"/>
  <c r="C111" i="4"/>
  <c r="C114" i="4"/>
  <c r="D114" i="4"/>
  <c r="D115" i="4" s="1"/>
  <c r="C115" i="4"/>
  <c r="C118" i="4"/>
  <c r="C119" i="4"/>
  <c r="C120" i="4"/>
  <c r="C121" i="4"/>
  <c r="C122" i="4"/>
  <c r="C123" i="4"/>
  <c r="C124" i="4"/>
  <c r="D124" i="4"/>
  <c r="C125" i="4"/>
  <c r="C126" i="4"/>
  <c r="C182" i="4" s="1"/>
  <c r="C127" i="4"/>
  <c r="C128" i="4"/>
  <c r="C129" i="4"/>
  <c r="C181" i="4" s="1"/>
  <c r="C130" i="4"/>
  <c r="C131" i="4"/>
  <c r="C134" i="4"/>
  <c r="C145" i="4" s="1"/>
  <c r="C139" i="4"/>
  <c r="C135" i="4"/>
  <c r="C162" i="4" s="1"/>
  <c r="C136" i="4"/>
  <c r="C140" i="4"/>
  <c r="D140" i="4"/>
  <c r="C141" i="4"/>
  <c r="C146" i="4"/>
  <c r="C147" i="4"/>
  <c r="C148" i="4"/>
  <c r="C151" i="4"/>
  <c r="C161" i="4" s="1"/>
  <c r="C152" i="4"/>
  <c r="C153" i="4"/>
  <c r="C154" i="4"/>
  <c r="C155" i="4"/>
  <c r="C156" i="4"/>
  <c r="C157" i="4"/>
  <c r="C158" i="4"/>
  <c r="C163" i="4"/>
  <c r="C164" i="4"/>
  <c r="C165" i="4"/>
  <c r="C166" i="4"/>
  <c r="C167" i="4"/>
  <c r="C171" i="4"/>
  <c r="C172" i="4"/>
  <c r="C173" i="4"/>
  <c r="C174" i="4"/>
  <c r="C175" i="4"/>
  <c r="C176" i="4"/>
  <c r="C177" i="4"/>
  <c r="C178" i="4"/>
  <c r="C183" i="4"/>
  <c r="C184" i="4"/>
  <c r="C191" i="4"/>
  <c r="C192" i="4"/>
  <c r="C193" i="4"/>
  <c r="C194" i="4"/>
  <c r="D194" i="4"/>
  <c r="C198" i="4"/>
  <c r="C213" i="4" s="1"/>
  <c r="E198" i="4"/>
  <c r="A201" i="4"/>
  <c r="C203" i="4"/>
  <c r="C204" i="4"/>
  <c r="C205" i="4"/>
  <c r="C206" i="4"/>
  <c r="C207" i="4"/>
  <c r="C208" i="4"/>
  <c r="C209" i="4"/>
  <c r="C210" i="4"/>
  <c r="C212" i="4"/>
  <c r="A227" i="4"/>
  <c r="A253" i="4"/>
  <c r="E253" i="4"/>
  <c r="C256" i="4"/>
  <c r="G27" i="3" s="1"/>
  <c r="C260" i="4"/>
  <c r="C266" i="4"/>
  <c r="L260" i="4" s="1"/>
  <c r="F261" i="4"/>
  <c r="L261" i="4"/>
  <c r="C262" i="4"/>
  <c r="D262" i="4"/>
  <c r="F262" i="4"/>
  <c r="L262" i="4"/>
  <c r="C263" i="4"/>
  <c r="D263" i="4"/>
  <c r="F263" i="4"/>
  <c r="L263" i="4"/>
  <c r="C264" i="4"/>
  <c r="F264" i="4"/>
  <c r="C265" i="4"/>
  <c r="F265" i="4"/>
  <c r="L265" i="4"/>
  <c r="F266" i="4"/>
  <c r="L266" i="4"/>
  <c r="C267" i="4"/>
  <c r="F267" i="4"/>
  <c r="L267" i="4"/>
  <c r="C268" i="4"/>
  <c r="F268" i="4"/>
  <c r="L268" i="4"/>
  <c r="C269" i="4"/>
  <c r="F269" i="4"/>
  <c r="L269" i="4"/>
  <c r="C270" i="4"/>
  <c r="L270" i="4"/>
  <c r="C271" i="4"/>
  <c r="F271" i="4"/>
  <c r="L271" i="4"/>
  <c r="C272" i="4"/>
  <c r="F272" i="4"/>
  <c r="C273" i="4"/>
  <c r="N6" i="12"/>
  <c r="V2" i="12"/>
  <c r="W2" i="12"/>
  <c r="C3" i="12"/>
  <c r="V3" i="12"/>
  <c r="W3" i="12"/>
  <c r="C5" i="12"/>
  <c r="H5" i="12"/>
  <c r="P5" i="12"/>
  <c r="C6" i="12"/>
  <c r="Q7" i="12"/>
  <c r="J6" i="12"/>
  <c r="P6" i="12"/>
  <c r="C7" i="12"/>
  <c r="Q8" i="12"/>
  <c r="J7" i="12"/>
  <c r="A10" i="12"/>
  <c r="D12" i="12"/>
  <c r="E12" i="12"/>
  <c r="F12" i="12"/>
  <c r="G12" i="12"/>
  <c r="H12" i="12"/>
  <c r="J12" i="12"/>
  <c r="G40" i="12" s="1"/>
  <c r="K12" i="12"/>
  <c r="C13" i="12"/>
  <c r="C53" i="12" s="1"/>
  <c r="D13" i="12"/>
  <c r="E13" i="12"/>
  <c r="G13" i="12" s="1"/>
  <c r="T14" i="12"/>
  <c r="K15" i="12"/>
  <c r="N16" i="12"/>
  <c r="N17" i="12"/>
  <c r="N18" i="12"/>
  <c r="N19" i="12"/>
  <c r="N20" i="12"/>
  <c r="N21" i="12"/>
  <c r="N22" i="12"/>
  <c r="N23" i="12"/>
  <c r="N24" i="12"/>
  <c r="N28" i="12"/>
  <c r="N29" i="12"/>
  <c r="N30" i="12"/>
  <c r="N31" i="12"/>
  <c r="N32" i="12"/>
  <c r="N33" i="12"/>
  <c r="N34" i="12"/>
  <c r="N35" i="12"/>
  <c r="N36" i="12"/>
  <c r="S15" i="12"/>
  <c r="T15" i="12"/>
  <c r="K16" i="12"/>
  <c r="S16" i="12"/>
  <c r="T16" i="12"/>
  <c r="K17" i="12"/>
  <c r="S17" i="12"/>
  <c r="T17" i="12"/>
  <c r="K18" i="12"/>
  <c r="S18" i="12"/>
  <c r="T18" i="12"/>
  <c r="X18" i="12"/>
  <c r="K19" i="12"/>
  <c r="S19" i="12"/>
  <c r="T19" i="12"/>
  <c r="K20" i="12"/>
  <c r="S20" i="12"/>
  <c r="T20" i="12"/>
  <c r="K21" i="12"/>
  <c r="S21" i="12"/>
  <c r="T21" i="12"/>
  <c r="K22" i="12"/>
  <c r="S22" i="12"/>
  <c r="T22" i="12"/>
  <c r="K23" i="12"/>
  <c r="S23" i="12"/>
  <c r="T23" i="12"/>
  <c r="K24" i="12"/>
  <c r="S24" i="12"/>
  <c r="T24" i="12"/>
  <c r="C25" i="12"/>
  <c r="D26" i="12"/>
  <c r="C211" i="12"/>
  <c r="C212" i="12"/>
  <c r="C215" i="12"/>
  <c r="E217" i="12"/>
  <c r="F214" i="12"/>
  <c r="F217" i="12"/>
  <c r="T26" i="12"/>
  <c r="C221" i="12"/>
  <c r="C219" i="12"/>
  <c r="C220" i="12"/>
  <c r="P220" i="12"/>
  <c r="H220" i="12"/>
  <c r="Q220" i="12"/>
  <c r="I220" i="12"/>
  <c r="E218" i="12"/>
  <c r="F208" i="12"/>
  <c r="R220" i="12"/>
  <c r="J220" i="12"/>
  <c r="K27" i="12"/>
  <c r="S27" i="12"/>
  <c r="T27" i="12"/>
  <c r="E28" i="12"/>
  <c r="P28" i="12" s="1"/>
  <c r="F28" i="12"/>
  <c r="Q28" i="12" s="1"/>
  <c r="G28" i="12"/>
  <c r="R28" i="12" s="1"/>
  <c r="K28" i="12"/>
  <c r="S28" i="12"/>
  <c r="T28" i="12"/>
  <c r="E29" i="12"/>
  <c r="P29" i="12" s="1"/>
  <c r="F29" i="12"/>
  <c r="Q29" i="12" s="1"/>
  <c r="G29" i="12"/>
  <c r="R29" i="12" s="1"/>
  <c r="K29" i="12"/>
  <c r="S29" i="12"/>
  <c r="T29" i="12"/>
  <c r="E30" i="12"/>
  <c r="P30" i="12" s="1"/>
  <c r="F30" i="12"/>
  <c r="Q30" i="12" s="1"/>
  <c r="G30" i="12"/>
  <c r="R30" i="12" s="1"/>
  <c r="K30" i="12"/>
  <c r="S30" i="12"/>
  <c r="T30" i="12"/>
  <c r="E31" i="12"/>
  <c r="P31" i="12" s="1"/>
  <c r="F31" i="12"/>
  <c r="Q31" i="12" s="1"/>
  <c r="G31" i="12"/>
  <c r="R31" i="12" s="1"/>
  <c r="K31" i="12"/>
  <c r="S31" i="12"/>
  <c r="T31" i="12"/>
  <c r="D211" i="12"/>
  <c r="E32" i="12"/>
  <c r="P32" i="12" s="1"/>
  <c r="F32" i="12"/>
  <c r="Q32" i="12" s="1"/>
  <c r="G32" i="12"/>
  <c r="R32" i="12" s="1"/>
  <c r="K32" i="12"/>
  <c r="S32" i="12"/>
  <c r="T32" i="12"/>
  <c r="E33" i="12"/>
  <c r="P33" i="12" s="1"/>
  <c r="F33" i="12"/>
  <c r="Q33" i="12" s="1"/>
  <c r="G33" i="12"/>
  <c r="R33" i="12" s="1"/>
  <c r="K33" i="12"/>
  <c r="S33" i="12"/>
  <c r="T33" i="12"/>
  <c r="E34" i="12"/>
  <c r="P34" i="12" s="1"/>
  <c r="F34" i="12"/>
  <c r="Q34" i="12" s="1"/>
  <c r="G34" i="12"/>
  <c r="R34" i="12" s="1"/>
  <c r="K34" i="12"/>
  <c r="S34" i="12"/>
  <c r="T34" i="12"/>
  <c r="E35" i="12"/>
  <c r="P35" i="12" s="1"/>
  <c r="F35" i="12"/>
  <c r="Q35" i="12" s="1"/>
  <c r="G35" i="12"/>
  <c r="R35" i="12" s="1"/>
  <c r="K35" i="12"/>
  <c r="S35" i="12"/>
  <c r="T35" i="12"/>
  <c r="E36" i="12"/>
  <c r="P36" i="12" s="1"/>
  <c r="F36" i="12"/>
  <c r="Q36" i="12" s="1"/>
  <c r="G36" i="12"/>
  <c r="R36" i="12" s="1"/>
  <c r="K36" i="12"/>
  <c r="S36" i="12"/>
  <c r="T36" i="12"/>
  <c r="C37" i="12"/>
  <c r="F40" i="12"/>
  <c r="H40" i="12"/>
  <c r="H42" i="12"/>
  <c r="P43" i="12"/>
  <c r="C45" i="12"/>
  <c r="I45" i="12"/>
  <c r="J45" i="12"/>
  <c r="D46" i="12"/>
  <c r="U204" i="12"/>
  <c r="U205" i="12"/>
  <c r="D190" i="12" s="1"/>
  <c r="S53" i="12" s="1"/>
  <c r="D47" i="12"/>
  <c r="A50" i="12"/>
  <c r="E52" i="12"/>
  <c r="F52" i="12"/>
  <c r="G52" i="12"/>
  <c r="I52" i="12"/>
  <c r="J52" i="12"/>
  <c r="K52" i="12"/>
  <c r="K115" i="12" s="1"/>
  <c r="X207" i="12"/>
  <c r="J169" i="12"/>
  <c r="C145" i="12" s="1"/>
  <c r="E88" i="12"/>
  <c r="F88" i="12"/>
  <c r="G88" i="12"/>
  <c r="I88" i="12"/>
  <c r="I162" i="12" s="1"/>
  <c r="J88" i="12"/>
  <c r="C90" i="12"/>
  <c r="H255" i="12"/>
  <c r="P255" i="12" s="1"/>
  <c r="I255" i="12"/>
  <c r="Q255" i="12"/>
  <c r="E255" i="12" s="1"/>
  <c r="F164" i="12" s="1"/>
  <c r="J255" i="12"/>
  <c r="B670" i="8"/>
  <c r="C91" i="12"/>
  <c r="C92" i="12"/>
  <c r="C93" i="12"/>
  <c r="C94" i="12"/>
  <c r="C95" i="12"/>
  <c r="I98" i="12"/>
  <c r="I171" i="12" s="1"/>
  <c r="J98" i="12"/>
  <c r="J171" i="12" s="1"/>
  <c r="H99" i="12"/>
  <c r="H172" i="12" s="1"/>
  <c r="I99" i="12"/>
  <c r="I172" i="12" s="1"/>
  <c r="C100" i="12"/>
  <c r="C173" i="12" s="1"/>
  <c r="C101" i="12"/>
  <c r="C102" i="12"/>
  <c r="C175" i="12" s="1"/>
  <c r="C103" i="12"/>
  <c r="C181" i="12" s="1"/>
  <c r="C104" i="12"/>
  <c r="C177" i="12" s="1"/>
  <c r="H106" i="12"/>
  <c r="E115" i="12"/>
  <c r="F115" i="12"/>
  <c r="G115" i="12"/>
  <c r="I115" i="12"/>
  <c r="J115" i="12"/>
  <c r="J162" i="12" s="1"/>
  <c r="C232" i="12"/>
  <c r="C233" i="12"/>
  <c r="C246" i="12"/>
  <c r="C250" i="12"/>
  <c r="C251" i="12"/>
  <c r="C262" i="12"/>
  <c r="C263" i="12"/>
  <c r="C264" i="12"/>
  <c r="C265" i="12"/>
  <c r="C278" i="12"/>
  <c r="C280" i="12"/>
  <c r="C281" i="12"/>
  <c r="C282" i="12"/>
  <c r="C283" i="12"/>
  <c r="C284" i="12"/>
  <c r="C296" i="12"/>
  <c r="C297" i="12"/>
  <c r="C299" i="12"/>
  <c r="C313" i="12"/>
  <c r="Q144" i="12"/>
  <c r="Q159" i="12" s="1"/>
  <c r="E162" i="12"/>
  <c r="F162" i="12"/>
  <c r="G162" i="12"/>
  <c r="F167" i="12"/>
  <c r="C168" i="12"/>
  <c r="D168" i="12"/>
  <c r="AH25" i="14"/>
  <c r="AH26" i="14"/>
  <c r="A185" i="12"/>
  <c r="D187" i="12"/>
  <c r="E187" i="12"/>
  <c r="F187" i="12"/>
  <c r="I187" i="12"/>
  <c r="J187" i="12"/>
  <c r="K187" i="12"/>
  <c r="D188" i="12"/>
  <c r="U206" i="12"/>
  <c r="D189" i="12" s="1"/>
  <c r="C193" i="12"/>
  <c r="G193" i="12"/>
  <c r="E196" i="12"/>
  <c r="U203" i="12"/>
  <c r="X203" i="12"/>
  <c r="Y203" i="12"/>
  <c r="X204" i="12"/>
  <c r="Y204" i="12"/>
  <c r="U207" i="12"/>
  <c r="G208" i="12"/>
  <c r="U208" i="12"/>
  <c r="X208" i="12"/>
  <c r="G209" i="12"/>
  <c r="U209" i="12"/>
  <c r="V214" i="12"/>
  <c r="V216" i="12"/>
  <c r="H223" i="12"/>
  <c r="P223" i="12"/>
  <c r="I223" i="12"/>
  <c r="Q223" i="12"/>
  <c r="J223" i="12"/>
  <c r="F223" i="12" s="1"/>
  <c r="R223" i="12"/>
  <c r="H224" i="12"/>
  <c r="P224" i="12"/>
  <c r="I224" i="12"/>
  <c r="Q224" i="12"/>
  <c r="J224" i="12"/>
  <c r="R224" i="12"/>
  <c r="V225" i="12"/>
  <c r="V226" i="12"/>
  <c r="W226" i="12"/>
  <c r="V227" i="12"/>
  <c r="W227" i="12"/>
  <c r="V228" i="12"/>
  <c r="V229" i="12"/>
  <c r="V230" i="12"/>
  <c r="H274" i="12"/>
  <c r="P274" i="12"/>
  <c r="P281" i="12" s="1"/>
  <c r="I274" i="12"/>
  <c r="Q274" i="12"/>
  <c r="Q281" i="12" s="1"/>
  <c r="J274" i="12"/>
  <c r="R274" i="12"/>
  <c r="I281" i="12"/>
  <c r="J281" i="12"/>
  <c r="R281" i="12"/>
  <c r="H299" i="12"/>
  <c r="P299" i="12"/>
  <c r="I299" i="12"/>
  <c r="Q299" i="12"/>
  <c r="J299" i="12"/>
  <c r="R299" i="12"/>
  <c r="H327"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D394" i="12"/>
  <c r="D395" i="12"/>
  <c r="D396" i="12"/>
  <c r="D397" i="12"/>
  <c r="D398" i="12"/>
  <c r="D399" i="12"/>
  <c r="D400" i="12"/>
  <c r="D401" i="12"/>
  <c r="D402" i="12"/>
  <c r="D403" i="12"/>
  <c r="D404" i="12"/>
  <c r="D405" i="12"/>
  <c r="D406" i="12"/>
  <c r="D407" i="12"/>
  <c r="D408" i="12"/>
  <c r="D409" i="12"/>
  <c r="D410" i="12"/>
  <c r="D411" i="12"/>
  <c r="D412" i="12"/>
  <c r="D413" i="12"/>
  <c r="D414" i="12"/>
  <c r="D415" i="12"/>
  <c r="D416" i="12"/>
  <c r="D417" i="12"/>
  <c r="D418" i="12"/>
  <c r="D419" i="12"/>
  <c r="D420" i="12"/>
  <c r="D421" i="12"/>
  <c r="D422" i="12"/>
  <c r="D423" i="12"/>
  <c r="D424" i="12"/>
  <c r="D425" i="12"/>
  <c r="D426" i="12"/>
  <c r="D427" i="12"/>
  <c r="D428" i="12"/>
  <c r="D429" i="12"/>
  <c r="D430" i="12"/>
  <c r="D432" i="12"/>
  <c r="D433" i="12"/>
  <c r="D434" i="12"/>
  <c r="D435" i="12"/>
  <c r="D436" i="12"/>
  <c r="D437" i="12"/>
  <c r="D438" i="12"/>
  <c r="D439" i="12"/>
  <c r="D440" i="12"/>
  <c r="D441" i="12"/>
  <c r="D442" i="12"/>
  <c r="D443" i="12"/>
  <c r="D444" i="12"/>
  <c r="D445" i="12"/>
  <c r="D446" i="12"/>
  <c r="D447" i="12"/>
  <c r="D448" i="12"/>
  <c r="D449" i="12"/>
  <c r="D450" i="12"/>
  <c r="D451" i="12"/>
  <c r="D452" i="12"/>
  <c r="D453" i="12"/>
  <c r="D454" i="12"/>
  <c r="D455" i="12"/>
  <c r="D456" i="12"/>
  <c r="D457" i="12"/>
  <c r="D458" i="12"/>
  <c r="D459" i="12"/>
  <c r="D460" i="12"/>
  <c r="D461" i="12"/>
  <c r="D462" i="12"/>
  <c r="D463" i="12"/>
  <c r="D464" i="12"/>
  <c r="D465" i="12"/>
  <c r="D466" i="12"/>
  <c r="D467" i="12"/>
  <c r="D468" i="12"/>
  <c r="D469" i="12"/>
  <c r="D470" i="12"/>
  <c r="D471" i="12"/>
  <c r="D472" i="12"/>
  <c r="D473" i="12"/>
  <c r="D474" i="12"/>
  <c r="D475" i="12"/>
  <c r="D476" i="12"/>
  <c r="D477" i="12"/>
  <c r="D478" i="12"/>
  <c r="D479" i="12"/>
  <c r="D480" i="12"/>
  <c r="D481" i="12"/>
  <c r="D482" i="12"/>
  <c r="D483" i="12"/>
  <c r="D484" i="12"/>
  <c r="D485" i="12"/>
  <c r="D486" i="12"/>
  <c r="D487" i="12"/>
  <c r="A3" i="3"/>
  <c r="F3" i="3"/>
  <c r="M3" i="3"/>
  <c r="A4" i="3"/>
  <c r="F4" i="3"/>
  <c r="M4" i="3"/>
  <c r="K87" i="3" s="1"/>
  <c r="N4" i="3"/>
  <c r="O4" i="3"/>
  <c r="P4" i="3"/>
  <c r="B5" i="3"/>
  <c r="C46" i="3"/>
  <c r="G5" i="3"/>
  <c r="B6" i="3"/>
  <c r="G6" i="3"/>
  <c r="X81" i="3"/>
  <c r="X82" i="3"/>
  <c r="AY6" i="3"/>
  <c r="AZ6" i="3" s="1"/>
  <c r="B7" i="3"/>
  <c r="G7" i="3"/>
  <c r="B8" i="3"/>
  <c r="C67" i="3"/>
  <c r="J47" i="3" s="1"/>
  <c r="G8" i="3"/>
  <c r="G9" i="3"/>
  <c r="A10" i="3"/>
  <c r="G10" i="3"/>
  <c r="B11" i="3"/>
  <c r="F16" i="3" s="1"/>
  <c r="G11" i="3"/>
  <c r="B12" i="3"/>
  <c r="G12" i="3"/>
  <c r="B13" i="3"/>
  <c r="G13" i="3"/>
  <c r="B14" i="3"/>
  <c r="G14" i="3"/>
  <c r="B15" i="3"/>
  <c r="B16" i="3"/>
  <c r="B17" i="3"/>
  <c r="F18" i="3"/>
  <c r="G19" i="3"/>
  <c r="A20" i="3"/>
  <c r="B21" i="3"/>
  <c r="B22" i="3"/>
  <c r="G22" i="3"/>
  <c r="B23" i="3"/>
  <c r="B24" i="3"/>
  <c r="C28" i="3"/>
  <c r="C24" i="3" s="1"/>
  <c r="F24" i="3"/>
  <c r="B25" i="3"/>
  <c r="B26" i="3"/>
  <c r="B27" i="3"/>
  <c r="B28" i="3"/>
  <c r="B29" i="3"/>
  <c r="F29" i="3"/>
  <c r="A31" i="3"/>
  <c r="G31" i="3"/>
  <c r="B33" i="3"/>
  <c r="C64" i="3"/>
  <c r="C33" i="3" s="1"/>
  <c r="A48" i="3"/>
  <c r="G33" i="3" s="1"/>
  <c r="B55" i="3" s="1"/>
  <c r="B34" i="3"/>
  <c r="G35" i="3"/>
  <c r="B36" i="3"/>
  <c r="G36" i="3"/>
  <c r="A38" i="3"/>
  <c r="C40" i="3"/>
  <c r="C39" i="3" s="1"/>
  <c r="AA80" i="3"/>
  <c r="F40" i="3"/>
  <c r="Z61" i="3"/>
  <c r="C45" i="3"/>
  <c r="C41" i="3" s="1"/>
  <c r="G41" i="3"/>
  <c r="B42" i="3"/>
  <c r="G42" i="3"/>
  <c r="Z64" i="3" s="1"/>
  <c r="B43" i="3"/>
  <c r="B44" i="3"/>
  <c r="G44" i="3"/>
  <c r="G45" i="3"/>
  <c r="Z65" i="3" s="1"/>
  <c r="B46" i="3"/>
  <c r="G47" i="3"/>
  <c r="G48" i="3"/>
  <c r="B49" i="3"/>
  <c r="B50" i="3"/>
  <c r="G50" i="3"/>
  <c r="B51" i="3"/>
  <c r="G51" i="3"/>
  <c r="B52" i="3"/>
  <c r="B53" i="3"/>
  <c r="G53" i="3"/>
  <c r="B54" i="3"/>
  <c r="G54" i="3"/>
  <c r="G55" i="3"/>
  <c r="G56" i="3"/>
  <c r="AC80" i="3"/>
  <c r="B58" i="3" s="1"/>
  <c r="F58" i="3"/>
  <c r="B59" i="3"/>
  <c r="B61" i="3"/>
  <c r="B62" i="3"/>
  <c r="A63" i="3"/>
  <c r="B64" i="3"/>
  <c r="B65" i="3"/>
  <c r="B66" i="3"/>
  <c r="B67" i="3"/>
  <c r="B68" i="3"/>
  <c r="B69" i="3"/>
  <c r="C69" i="3"/>
  <c r="D69" i="3"/>
  <c r="X72" i="3"/>
  <c r="X73" i="3"/>
  <c r="X74" i="3"/>
  <c r="AF80" i="3"/>
  <c r="AA81" i="3"/>
  <c r="AC81" i="3"/>
  <c r="AA82" i="3"/>
  <c r="X83" i="3"/>
  <c r="AA83" i="3"/>
  <c r="B3" i="9"/>
  <c r="B109" i="9"/>
  <c r="B110" i="9"/>
  <c r="B111" i="9"/>
  <c r="B112" i="9"/>
  <c r="K6" i="9"/>
  <c r="B5" i="9"/>
  <c r="B39" i="9" s="1"/>
  <c r="B6" i="9"/>
  <c r="B7" i="9"/>
  <c r="D109" i="9"/>
  <c r="D110" i="9" s="1"/>
  <c r="B42" i="9"/>
  <c r="J109" i="9" s="1"/>
  <c r="B43" i="9"/>
  <c r="P43" i="9" s="1"/>
  <c r="C685" i="9" s="1"/>
  <c r="B46" i="9"/>
  <c r="J113" i="9" s="1"/>
  <c r="B47" i="9"/>
  <c r="P47" i="9" s="1"/>
  <c r="G685" i="9" s="1"/>
  <c r="B48" i="9"/>
  <c r="J115" i="9" s="1"/>
  <c r="B49" i="9"/>
  <c r="B50" i="9"/>
  <c r="P50" i="9" s="1"/>
  <c r="J685" i="9" s="1"/>
  <c r="J712" i="9" s="1"/>
  <c r="B51" i="9"/>
  <c r="P51" i="9" s="1"/>
  <c r="K685" i="9" s="1"/>
  <c r="K737" i="9" s="1"/>
  <c r="B52" i="9"/>
  <c r="D52" i="9"/>
  <c r="B53" i="9"/>
  <c r="D48" i="9"/>
  <c r="S48" i="9" s="1"/>
  <c r="B54" i="9"/>
  <c r="D11" i="9"/>
  <c r="E11" i="9"/>
  <c r="G11" i="9"/>
  <c r="H11" i="9"/>
  <c r="C12" i="9"/>
  <c r="C13" i="9"/>
  <c r="C15" i="9"/>
  <c r="C16" i="9"/>
  <c r="D20" i="9"/>
  <c r="E20" i="9"/>
  <c r="G20" i="9"/>
  <c r="H20" i="9"/>
  <c r="C21" i="9"/>
  <c r="C22" i="9"/>
  <c r="C24" i="9"/>
  <c r="C25" i="9"/>
  <c r="D54" i="9"/>
  <c r="S54" i="9" s="1"/>
  <c r="D29" i="9"/>
  <c r="E29" i="9"/>
  <c r="G29" i="9"/>
  <c r="H29" i="9"/>
  <c r="C30" i="9"/>
  <c r="C31" i="9"/>
  <c r="C33" i="9"/>
  <c r="C34" i="9"/>
  <c r="B37" i="9"/>
  <c r="B41" i="9"/>
  <c r="D41" i="9"/>
  <c r="E41" i="9"/>
  <c r="F41" i="9"/>
  <c r="G41" i="9"/>
  <c r="H41" i="9"/>
  <c r="F56" i="9"/>
  <c r="E111" i="9"/>
  <c r="B59" i="9" s="1"/>
  <c r="I59" i="9"/>
  <c r="B75" i="9"/>
  <c r="B77" i="9"/>
  <c r="B78" i="9"/>
  <c r="B79" i="9"/>
  <c r="B80" i="9"/>
  <c r="B82" i="9"/>
  <c r="B115" i="9"/>
  <c r="I82" i="9" s="1"/>
  <c r="AD137" i="9"/>
  <c r="AI132" i="9"/>
  <c r="E109" i="9"/>
  <c r="E110" i="9"/>
  <c r="D111" i="9"/>
  <c r="E112" i="9"/>
  <c r="B113" i="9"/>
  <c r="B114" i="9"/>
  <c r="C131" i="9"/>
  <c r="Q131" i="9" s="1"/>
  <c r="AA125" i="9" s="1"/>
  <c r="P126" i="9" a="1"/>
  <c r="P127" i="9" a="1"/>
  <c r="P128" i="9" a="1"/>
  <c r="Y128" i="9" s="1"/>
  <c r="P129" i="9" a="1"/>
  <c r="W129" i="9" s="1"/>
  <c r="P133" i="9"/>
  <c r="Q133" i="9"/>
  <c r="R133" i="9"/>
  <c r="S133" i="9"/>
  <c r="T133" i="9"/>
  <c r="U133" i="9"/>
  <c r="V133" i="9"/>
  <c r="W133" i="9"/>
  <c r="X133" i="9"/>
  <c r="Y133" i="9"/>
  <c r="Z133" i="9"/>
  <c r="AA133" i="9"/>
  <c r="AB133" i="9"/>
  <c r="AD133" i="9"/>
  <c r="AE133" i="9"/>
  <c r="AF133" i="9"/>
  <c r="AG133" i="9"/>
  <c r="AI133" i="9"/>
  <c r="AD134" i="9"/>
  <c r="B644" i="9" s="1"/>
  <c r="AE134" i="9"/>
  <c r="AG134" i="9"/>
  <c r="H644" i="9" s="1"/>
  <c r="AI134" i="9"/>
  <c r="AD135" i="9"/>
  <c r="AE135" i="9"/>
  <c r="AF135" i="9"/>
  <c r="AG135" i="9"/>
  <c r="AE137" i="9"/>
  <c r="AF137" i="9"/>
  <c r="AG137" i="9"/>
  <c r="B139" i="9"/>
  <c r="C139" i="9"/>
  <c r="D139" i="9"/>
  <c r="E139" i="9"/>
  <c r="F139" i="9"/>
  <c r="G139" i="9"/>
  <c r="H139" i="9"/>
  <c r="I139" i="9"/>
  <c r="J139" i="9"/>
  <c r="K139" i="9"/>
  <c r="L139" i="9"/>
  <c r="M139" i="9"/>
  <c r="N139" i="9"/>
  <c r="B140" i="9"/>
  <c r="C140" i="9"/>
  <c r="D140" i="9"/>
  <c r="E140" i="9"/>
  <c r="F140" i="9"/>
  <c r="G140" i="9"/>
  <c r="H140" i="9"/>
  <c r="I140" i="9"/>
  <c r="J140" i="9"/>
  <c r="K140" i="9"/>
  <c r="L140" i="9"/>
  <c r="M140" i="9"/>
  <c r="N140" i="9"/>
  <c r="B141" i="9"/>
  <c r="C141" i="9"/>
  <c r="D141" i="9"/>
  <c r="E141" i="9"/>
  <c r="F141" i="9"/>
  <c r="G141" i="9"/>
  <c r="H141" i="9"/>
  <c r="I141" i="9"/>
  <c r="J141" i="9"/>
  <c r="K141" i="9"/>
  <c r="L141" i="9"/>
  <c r="M141" i="9"/>
  <c r="N141" i="9"/>
  <c r="B142" i="9"/>
  <c r="C142" i="9"/>
  <c r="D142" i="9"/>
  <c r="E142" i="9"/>
  <c r="F142" i="9"/>
  <c r="G142" i="9"/>
  <c r="H142" i="9"/>
  <c r="I142" i="9"/>
  <c r="J142" i="9"/>
  <c r="K142" i="9"/>
  <c r="L142" i="9"/>
  <c r="M142" i="9"/>
  <c r="N142" i="9"/>
  <c r="B143" i="9"/>
  <c r="C143" i="9"/>
  <c r="D143" i="9"/>
  <c r="E143" i="9"/>
  <c r="F143" i="9"/>
  <c r="G143" i="9"/>
  <c r="H143" i="9"/>
  <c r="I143" i="9"/>
  <c r="J143" i="9"/>
  <c r="K143" i="9"/>
  <c r="L143" i="9"/>
  <c r="M143" i="9"/>
  <c r="N143" i="9"/>
  <c r="B144" i="9"/>
  <c r="C144" i="9"/>
  <c r="D144" i="9"/>
  <c r="E144" i="9"/>
  <c r="F144" i="9"/>
  <c r="G144" i="9"/>
  <c r="H144" i="9"/>
  <c r="I144" i="9"/>
  <c r="J144" i="9"/>
  <c r="K144" i="9"/>
  <c r="L144" i="9"/>
  <c r="M144" i="9"/>
  <c r="N144" i="9"/>
  <c r="B145" i="9"/>
  <c r="C145" i="9"/>
  <c r="D145" i="9"/>
  <c r="E145" i="9"/>
  <c r="F145" i="9"/>
  <c r="G145" i="9"/>
  <c r="H145" i="9"/>
  <c r="I145" i="9"/>
  <c r="J145" i="9"/>
  <c r="K145" i="9"/>
  <c r="L145" i="9"/>
  <c r="M145" i="9"/>
  <c r="N145" i="9"/>
  <c r="B146" i="9"/>
  <c r="C146" i="9"/>
  <c r="D146" i="9"/>
  <c r="E146" i="9"/>
  <c r="F146" i="9"/>
  <c r="G146" i="9"/>
  <c r="H146" i="9"/>
  <c r="I146" i="9"/>
  <c r="J146" i="9"/>
  <c r="K146" i="9"/>
  <c r="L146" i="9"/>
  <c r="M146" i="9"/>
  <c r="N146" i="9"/>
  <c r="B147" i="9"/>
  <c r="C147" i="9"/>
  <c r="D147" i="9"/>
  <c r="E147" i="9"/>
  <c r="F147" i="9"/>
  <c r="G147" i="9"/>
  <c r="H147" i="9"/>
  <c r="I147" i="9"/>
  <c r="J147" i="9"/>
  <c r="K147" i="9"/>
  <c r="L147" i="9"/>
  <c r="M147" i="9"/>
  <c r="N147" i="9"/>
  <c r="B148" i="9"/>
  <c r="C148" i="9"/>
  <c r="D148" i="9"/>
  <c r="E148" i="9"/>
  <c r="F148" i="9"/>
  <c r="G148" i="9"/>
  <c r="H148" i="9"/>
  <c r="I148" i="9"/>
  <c r="J148" i="9"/>
  <c r="K148" i="9"/>
  <c r="L148" i="9"/>
  <c r="M148" i="9"/>
  <c r="N148" i="9"/>
  <c r="B149" i="9"/>
  <c r="C149" i="9"/>
  <c r="D149" i="9"/>
  <c r="E149" i="9"/>
  <c r="F149" i="9"/>
  <c r="G149" i="9"/>
  <c r="H149" i="9"/>
  <c r="I149" i="9"/>
  <c r="J149" i="9"/>
  <c r="K149" i="9"/>
  <c r="L149" i="9"/>
  <c r="M149" i="9"/>
  <c r="N149" i="9"/>
  <c r="B150" i="9"/>
  <c r="C150" i="9"/>
  <c r="D150" i="9"/>
  <c r="E150" i="9"/>
  <c r="F150" i="9"/>
  <c r="G150" i="9"/>
  <c r="H150" i="9"/>
  <c r="I150" i="9"/>
  <c r="J150" i="9"/>
  <c r="K150" i="9"/>
  <c r="L150" i="9"/>
  <c r="M150" i="9"/>
  <c r="N150" i="9"/>
  <c r="B151" i="9"/>
  <c r="C151" i="9"/>
  <c r="D151" i="9"/>
  <c r="E151" i="9"/>
  <c r="F151" i="9"/>
  <c r="G151" i="9"/>
  <c r="H151" i="9"/>
  <c r="I151" i="9"/>
  <c r="J151" i="9"/>
  <c r="K151" i="9"/>
  <c r="L151" i="9"/>
  <c r="M151" i="9"/>
  <c r="N151" i="9"/>
  <c r="B152" i="9"/>
  <c r="C152" i="9"/>
  <c r="D152" i="9"/>
  <c r="E152" i="9"/>
  <c r="F152" i="9"/>
  <c r="G152" i="9"/>
  <c r="H152" i="9"/>
  <c r="I152" i="9"/>
  <c r="J152" i="9"/>
  <c r="K152" i="9"/>
  <c r="L152" i="9"/>
  <c r="M152" i="9"/>
  <c r="N152" i="9"/>
  <c r="B153" i="9"/>
  <c r="C153" i="9"/>
  <c r="D153" i="9"/>
  <c r="E153" i="9"/>
  <c r="F153" i="9"/>
  <c r="G153" i="9"/>
  <c r="H153" i="9"/>
  <c r="I153" i="9"/>
  <c r="J153" i="9"/>
  <c r="K153" i="9"/>
  <c r="L153" i="9"/>
  <c r="M153" i="9"/>
  <c r="N153" i="9"/>
  <c r="B154" i="9"/>
  <c r="C154" i="9"/>
  <c r="D154" i="9"/>
  <c r="E154" i="9"/>
  <c r="F154" i="9"/>
  <c r="G154" i="9"/>
  <c r="H154" i="9"/>
  <c r="I154" i="9"/>
  <c r="J154" i="9"/>
  <c r="K154" i="9"/>
  <c r="L154" i="9"/>
  <c r="M154" i="9"/>
  <c r="N154" i="9"/>
  <c r="B155" i="9"/>
  <c r="C155" i="9"/>
  <c r="D155" i="9"/>
  <c r="E155" i="9"/>
  <c r="F155" i="9"/>
  <c r="G155" i="9"/>
  <c r="H155" i="9"/>
  <c r="I155" i="9"/>
  <c r="J155" i="9"/>
  <c r="K155" i="9"/>
  <c r="L155" i="9"/>
  <c r="M155" i="9"/>
  <c r="N155" i="9"/>
  <c r="B156" i="9"/>
  <c r="C156" i="9"/>
  <c r="D156" i="9"/>
  <c r="E156" i="9"/>
  <c r="F156" i="9"/>
  <c r="G156" i="9"/>
  <c r="H156" i="9"/>
  <c r="I156" i="9"/>
  <c r="J156" i="9"/>
  <c r="K156" i="9"/>
  <c r="L156" i="9"/>
  <c r="M156" i="9"/>
  <c r="N156" i="9"/>
  <c r="B157" i="9"/>
  <c r="C157" i="9"/>
  <c r="D157" i="9"/>
  <c r="E157" i="9"/>
  <c r="F157" i="9"/>
  <c r="G157" i="9"/>
  <c r="H157" i="9"/>
  <c r="I157" i="9"/>
  <c r="J157" i="9"/>
  <c r="K157" i="9"/>
  <c r="L157" i="9"/>
  <c r="M157" i="9"/>
  <c r="N157" i="9"/>
  <c r="B158" i="9"/>
  <c r="C158" i="9"/>
  <c r="D158" i="9"/>
  <c r="E158" i="9"/>
  <c r="F158" i="9"/>
  <c r="G158" i="9"/>
  <c r="H158" i="9"/>
  <c r="I158" i="9"/>
  <c r="J158" i="9"/>
  <c r="K158" i="9"/>
  <c r="L158" i="9"/>
  <c r="M158" i="9"/>
  <c r="N158" i="9"/>
  <c r="B159" i="9"/>
  <c r="C159" i="9"/>
  <c r="D159" i="9"/>
  <c r="E159" i="9"/>
  <c r="F159" i="9"/>
  <c r="G159" i="9"/>
  <c r="H159" i="9"/>
  <c r="I159" i="9"/>
  <c r="J159" i="9"/>
  <c r="K159" i="9"/>
  <c r="L159" i="9"/>
  <c r="M159" i="9"/>
  <c r="N159" i="9"/>
  <c r="B160" i="9"/>
  <c r="C160" i="9"/>
  <c r="D160" i="9"/>
  <c r="E160" i="9"/>
  <c r="F160" i="9"/>
  <c r="G160" i="9"/>
  <c r="H160" i="9"/>
  <c r="I160" i="9"/>
  <c r="J160" i="9"/>
  <c r="K160" i="9"/>
  <c r="L160" i="9"/>
  <c r="M160" i="9"/>
  <c r="N160" i="9"/>
  <c r="B161" i="9"/>
  <c r="C161" i="9"/>
  <c r="D161" i="9"/>
  <c r="E161" i="9"/>
  <c r="F161" i="9"/>
  <c r="G161" i="9"/>
  <c r="H161" i="9"/>
  <c r="I161" i="9"/>
  <c r="J161" i="9"/>
  <c r="K161" i="9"/>
  <c r="L161" i="9"/>
  <c r="M161" i="9"/>
  <c r="N161" i="9"/>
  <c r="B162" i="9"/>
  <c r="C162" i="9"/>
  <c r="D162" i="9"/>
  <c r="E162" i="9"/>
  <c r="F162" i="9"/>
  <c r="G162" i="9"/>
  <c r="H162" i="9"/>
  <c r="I162" i="9"/>
  <c r="J162" i="9"/>
  <c r="K162" i="9"/>
  <c r="L162" i="9"/>
  <c r="M162" i="9"/>
  <c r="N162" i="9"/>
  <c r="B163" i="9"/>
  <c r="C163" i="9"/>
  <c r="D163" i="9"/>
  <c r="E163" i="9"/>
  <c r="F163" i="9"/>
  <c r="G163" i="9"/>
  <c r="H163" i="9"/>
  <c r="I163" i="9"/>
  <c r="J163" i="9"/>
  <c r="K163" i="9"/>
  <c r="L163" i="9"/>
  <c r="M163" i="9"/>
  <c r="N163" i="9"/>
  <c r="B164" i="9"/>
  <c r="C164" i="9"/>
  <c r="D164" i="9"/>
  <c r="E164" i="9"/>
  <c r="F164" i="9"/>
  <c r="G164" i="9"/>
  <c r="H164" i="9"/>
  <c r="I164" i="9"/>
  <c r="J164" i="9"/>
  <c r="K164" i="9"/>
  <c r="L164" i="9"/>
  <c r="M164" i="9"/>
  <c r="N164" i="9"/>
  <c r="B165" i="9"/>
  <c r="C165" i="9"/>
  <c r="D165" i="9"/>
  <c r="E165" i="9"/>
  <c r="F165" i="9"/>
  <c r="G165" i="9"/>
  <c r="H165" i="9"/>
  <c r="I165" i="9"/>
  <c r="J165" i="9"/>
  <c r="K165" i="9"/>
  <c r="L165" i="9"/>
  <c r="M165" i="9"/>
  <c r="N165" i="9"/>
  <c r="B166" i="9"/>
  <c r="C166" i="9"/>
  <c r="D166" i="9"/>
  <c r="E166" i="9"/>
  <c r="F166" i="9"/>
  <c r="G166" i="9"/>
  <c r="H166" i="9"/>
  <c r="I166" i="9"/>
  <c r="J166" i="9"/>
  <c r="K166" i="9"/>
  <c r="L166" i="9"/>
  <c r="M166" i="9"/>
  <c r="N166" i="9"/>
  <c r="B167" i="9"/>
  <c r="C167" i="9"/>
  <c r="D167" i="9"/>
  <c r="E167" i="9"/>
  <c r="F167" i="9"/>
  <c r="G167" i="9"/>
  <c r="H167" i="9"/>
  <c r="I167" i="9"/>
  <c r="J167" i="9"/>
  <c r="K167" i="9"/>
  <c r="L167" i="9"/>
  <c r="M167" i="9"/>
  <c r="N167" i="9"/>
  <c r="B168" i="9"/>
  <c r="C168" i="9"/>
  <c r="D168" i="9"/>
  <c r="E168" i="9"/>
  <c r="F168" i="9"/>
  <c r="G168" i="9"/>
  <c r="H168" i="9"/>
  <c r="I168" i="9"/>
  <c r="J168" i="9"/>
  <c r="K168" i="9"/>
  <c r="L168" i="9"/>
  <c r="M168" i="9"/>
  <c r="N168" i="9"/>
  <c r="B169" i="9"/>
  <c r="C169" i="9"/>
  <c r="D169" i="9"/>
  <c r="E169" i="9"/>
  <c r="F169" i="9"/>
  <c r="G169" i="9"/>
  <c r="H169" i="9"/>
  <c r="I169" i="9"/>
  <c r="J169" i="9"/>
  <c r="K169" i="9"/>
  <c r="L169" i="9"/>
  <c r="M169" i="9"/>
  <c r="N169" i="9"/>
  <c r="B170" i="9"/>
  <c r="C170" i="9"/>
  <c r="D170" i="9"/>
  <c r="E170" i="9"/>
  <c r="F170" i="9"/>
  <c r="G170" i="9"/>
  <c r="H170" i="9"/>
  <c r="I170" i="9"/>
  <c r="J170" i="9"/>
  <c r="K170" i="9"/>
  <c r="L170" i="9"/>
  <c r="M170" i="9"/>
  <c r="N170" i="9"/>
  <c r="B171" i="9"/>
  <c r="C171" i="9"/>
  <c r="D171" i="9"/>
  <c r="E171" i="9"/>
  <c r="F171" i="9"/>
  <c r="G171" i="9"/>
  <c r="H171" i="9"/>
  <c r="I171" i="9"/>
  <c r="J171" i="9"/>
  <c r="K171" i="9"/>
  <c r="L171" i="9"/>
  <c r="M171" i="9"/>
  <c r="N171" i="9"/>
  <c r="B172" i="9"/>
  <c r="C172" i="9"/>
  <c r="D172" i="9"/>
  <c r="E172" i="9"/>
  <c r="F172" i="9"/>
  <c r="G172" i="9"/>
  <c r="H172" i="9"/>
  <c r="I172" i="9"/>
  <c r="J172" i="9"/>
  <c r="K172" i="9"/>
  <c r="L172" i="9"/>
  <c r="M172" i="9"/>
  <c r="N172" i="9"/>
  <c r="B173" i="9"/>
  <c r="C173" i="9"/>
  <c r="D173" i="9"/>
  <c r="E173" i="9"/>
  <c r="F173" i="9"/>
  <c r="G173" i="9"/>
  <c r="H173" i="9"/>
  <c r="I173" i="9"/>
  <c r="J173" i="9"/>
  <c r="K173" i="9"/>
  <c r="L173" i="9"/>
  <c r="M173" i="9"/>
  <c r="N173" i="9"/>
  <c r="B174" i="9"/>
  <c r="C174" i="9"/>
  <c r="D174" i="9"/>
  <c r="E174" i="9"/>
  <c r="F174" i="9"/>
  <c r="G174" i="9"/>
  <c r="H174" i="9"/>
  <c r="I174" i="9"/>
  <c r="J174" i="9"/>
  <c r="K174" i="9"/>
  <c r="L174" i="9"/>
  <c r="M174" i="9"/>
  <c r="N174" i="9"/>
  <c r="B175" i="9"/>
  <c r="C175" i="9"/>
  <c r="D175" i="9"/>
  <c r="E175" i="9"/>
  <c r="F175" i="9"/>
  <c r="G175" i="9"/>
  <c r="H175" i="9"/>
  <c r="I175" i="9"/>
  <c r="J175" i="9"/>
  <c r="K175" i="9"/>
  <c r="L175" i="9"/>
  <c r="M175" i="9"/>
  <c r="N175" i="9"/>
  <c r="B176" i="9"/>
  <c r="C176" i="9"/>
  <c r="D176" i="9"/>
  <c r="E176" i="9"/>
  <c r="F176" i="9"/>
  <c r="G176" i="9"/>
  <c r="H176" i="9"/>
  <c r="I176" i="9"/>
  <c r="J176" i="9"/>
  <c r="K176" i="9"/>
  <c r="L176" i="9"/>
  <c r="M176" i="9"/>
  <c r="N176" i="9"/>
  <c r="B177" i="9"/>
  <c r="C177" i="9"/>
  <c r="D177" i="9"/>
  <c r="E177" i="9"/>
  <c r="F177" i="9"/>
  <c r="G177" i="9"/>
  <c r="H177" i="9"/>
  <c r="I177" i="9"/>
  <c r="J177" i="9"/>
  <c r="K177" i="9"/>
  <c r="L177" i="9"/>
  <c r="M177" i="9"/>
  <c r="N177" i="9"/>
  <c r="B178" i="9"/>
  <c r="C178" i="9"/>
  <c r="D178" i="9"/>
  <c r="E178" i="9"/>
  <c r="F178" i="9"/>
  <c r="G178" i="9"/>
  <c r="H178" i="9"/>
  <c r="I178" i="9"/>
  <c r="J178" i="9"/>
  <c r="K178" i="9"/>
  <c r="L178" i="9"/>
  <c r="M178" i="9"/>
  <c r="N178" i="9"/>
  <c r="B179" i="9"/>
  <c r="C179" i="9"/>
  <c r="D179" i="9"/>
  <c r="E179" i="9"/>
  <c r="F179" i="9"/>
  <c r="G179" i="9"/>
  <c r="H179" i="9"/>
  <c r="I179" i="9"/>
  <c r="J179" i="9"/>
  <c r="K179" i="9"/>
  <c r="L179" i="9"/>
  <c r="M179" i="9"/>
  <c r="N179" i="9"/>
  <c r="B180" i="9"/>
  <c r="C180" i="9"/>
  <c r="D180" i="9"/>
  <c r="E180" i="9"/>
  <c r="F180" i="9"/>
  <c r="G180" i="9"/>
  <c r="H180" i="9"/>
  <c r="I180" i="9"/>
  <c r="J180" i="9"/>
  <c r="K180" i="9"/>
  <c r="L180" i="9"/>
  <c r="M180" i="9"/>
  <c r="N180" i="9"/>
  <c r="B181" i="9"/>
  <c r="C181" i="9"/>
  <c r="D181" i="9"/>
  <c r="E181" i="9"/>
  <c r="F181" i="9"/>
  <c r="G181" i="9"/>
  <c r="H181" i="9"/>
  <c r="I181" i="9"/>
  <c r="J181" i="9"/>
  <c r="K181" i="9"/>
  <c r="L181" i="9"/>
  <c r="M181" i="9"/>
  <c r="N181" i="9"/>
  <c r="B182" i="9"/>
  <c r="C182" i="9"/>
  <c r="D182" i="9"/>
  <c r="E182" i="9"/>
  <c r="F182" i="9"/>
  <c r="G182" i="9"/>
  <c r="H182" i="9"/>
  <c r="I182" i="9"/>
  <c r="J182" i="9"/>
  <c r="K182" i="9"/>
  <c r="L182" i="9"/>
  <c r="M182" i="9"/>
  <c r="N182" i="9"/>
  <c r="B183" i="9"/>
  <c r="C183" i="9"/>
  <c r="D183" i="9"/>
  <c r="E183" i="9"/>
  <c r="F183" i="9"/>
  <c r="G183" i="9"/>
  <c r="H183" i="9"/>
  <c r="I183" i="9"/>
  <c r="J183" i="9"/>
  <c r="K183" i="9"/>
  <c r="L183" i="9"/>
  <c r="M183" i="9"/>
  <c r="N183" i="9"/>
  <c r="B184" i="9"/>
  <c r="C184" i="9"/>
  <c r="D184" i="9"/>
  <c r="E184" i="9"/>
  <c r="F184" i="9"/>
  <c r="G184" i="9"/>
  <c r="H184" i="9"/>
  <c r="I184" i="9"/>
  <c r="J184" i="9"/>
  <c r="K184" i="9"/>
  <c r="L184" i="9"/>
  <c r="M184" i="9"/>
  <c r="N184" i="9"/>
  <c r="B185" i="9"/>
  <c r="C185" i="9"/>
  <c r="D185" i="9"/>
  <c r="E185" i="9"/>
  <c r="F185" i="9"/>
  <c r="G185" i="9"/>
  <c r="H185" i="9"/>
  <c r="I185" i="9"/>
  <c r="J185" i="9"/>
  <c r="K185" i="9"/>
  <c r="L185" i="9"/>
  <c r="M185" i="9"/>
  <c r="N185" i="9"/>
  <c r="B186" i="9"/>
  <c r="C186" i="9"/>
  <c r="D186" i="9"/>
  <c r="E186" i="9"/>
  <c r="F186" i="9"/>
  <c r="G186" i="9"/>
  <c r="H186" i="9"/>
  <c r="I186" i="9"/>
  <c r="J186" i="9"/>
  <c r="K186" i="9"/>
  <c r="L186" i="9"/>
  <c r="M186" i="9"/>
  <c r="N186" i="9"/>
  <c r="B187" i="9"/>
  <c r="C187" i="9"/>
  <c r="D187" i="9"/>
  <c r="E187" i="9"/>
  <c r="F187" i="9"/>
  <c r="G187" i="9"/>
  <c r="H187" i="9"/>
  <c r="I187" i="9"/>
  <c r="J187" i="9"/>
  <c r="K187" i="9"/>
  <c r="L187" i="9"/>
  <c r="M187" i="9"/>
  <c r="N187" i="9"/>
  <c r="B188" i="9"/>
  <c r="C188" i="9"/>
  <c r="D188" i="9"/>
  <c r="E188" i="9"/>
  <c r="F188" i="9"/>
  <c r="G188" i="9"/>
  <c r="H188" i="9"/>
  <c r="I188" i="9"/>
  <c r="J188" i="9"/>
  <c r="K188" i="9"/>
  <c r="L188" i="9"/>
  <c r="M188" i="9"/>
  <c r="N188" i="9"/>
  <c r="B189" i="9"/>
  <c r="C189" i="9"/>
  <c r="D189" i="9"/>
  <c r="E189" i="9"/>
  <c r="F189" i="9"/>
  <c r="G189" i="9"/>
  <c r="H189" i="9"/>
  <c r="I189" i="9"/>
  <c r="J189" i="9"/>
  <c r="K189" i="9"/>
  <c r="L189" i="9"/>
  <c r="M189" i="9"/>
  <c r="N189" i="9"/>
  <c r="B190" i="9"/>
  <c r="C190" i="9"/>
  <c r="D190" i="9"/>
  <c r="E190" i="9"/>
  <c r="F190" i="9"/>
  <c r="G190" i="9"/>
  <c r="H190" i="9"/>
  <c r="I190" i="9"/>
  <c r="J190" i="9"/>
  <c r="K190" i="9"/>
  <c r="L190" i="9"/>
  <c r="M190" i="9"/>
  <c r="N190" i="9"/>
  <c r="B191" i="9"/>
  <c r="C191" i="9"/>
  <c r="D191" i="9"/>
  <c r="E191" i="9"/>
  <c r="F191" i="9"/>
  <c r="G191" i="9"/>
  <c r="H191" i="9"/>
  <c r="I191" i="9"/>
  <c r="J191" i="9"/>
  <c r="K191" i="9"/>
  <c r="L191" i="9"/>
  <c r="M191" i="9"/>
  <c r="N191" i="9"/>
  <c r="B192" i="9"/>
  <c r="C192" i="9"/>
  <c r="D192" i="9"/>
  <c r="E192" i="9"/>
  <c r="F192" i="9"/>
  <c r="G192" i="9"/>
  <c r="H192" i="9"/>
  <c r="I192" i="9"/>
  <c r="J192" i="9"/>
  <c r="K192" i="9"/>
  <c r="L192" i="9"/>
  <c r="M192" i="9"/>
  <c r="N192" i="9"/>
  <c r="B193" i="9"/>
  <c r="C193" i="9"/>
  <c r="D193" i="9"/>
  <c r="E193" i="9"/>
  <c r="F193" i="9"/>
  <c r="G193" i="9"/>
  <c r="H193" i="9"/>
  <c r="I193" i="9"/>
  <c r="J193" i="9"/>
  <c r="K193" i="9"/>
  <c r="L193" i="9"/>
  <c r="M193" i="9"/>
  <c r="N193" i="9"/>
  <c r="B194" i="9"/>
  <c r="C194" i="9"/>
  <c r="D194" i="9"/>
  <c r="E194" i="9"/>
  <c r="F194" i="9"/>
  <c r="G194" i="9"/>
  <c r="H194" i="9"/>
  <c r="I194" i="9"/>
  <c r="J194" i="9"/>
  <c r="K194" i="9"/>
  <c r="L194" i="9"/>
  <c r="M194" i="9"/>
  <c r="N194" i="9"/>
  <c r="B195" i="9"/>
  <c r="C195" i="9"/>
  <c r="D195" i="9"/>
  <c r="E195" i="9"/>
  <c r="F195" i="9"/>
  <c r="G195" i="9"/>
  <c r="H195" i="9"/>
  <c r="I195" i="9"/>
  <c r="J195" i="9"/>
  <c r="K195" i="9"/>
  <c r="L195" i="9"/>
  <c r="M195" i="9"/>
  <c r="N195" i="9"/>
  <c r="B196" i="9"/>
  <c r="C196" i="9"/>
  <c r="D196" i="9"/>
  <c r="E196" i="9"/>
  <c r="F196" i="9"/>
  <c r="G196" i="9"/>
  <c r="H196" i="9"/>
  <c r="I196" i="9"/>
  <c r="J196" i="9"/>
  <c r="K196" i="9"/>
  <c r="L196" i="9"/>
  <c r="M196" i="9"/>
  <c r="N196" i="9"/>
  <c r="B197" i="9"/>
  <c r="C197" i="9"/>
  <c r="D197" i="9"/>
  <c r="E197" i="9"/>
  <c r="F197" i="9"/>
  <c r="G197" i="9"/>
  <c r="H197" i="9"/>
  <c r="I197" i="9"/>
  <c r="J197" i="9"/>
  <c r="K197" i="9"/>
  <c r="L197" i="9"/>
  <c r="M197" i="9"/>
  <c r="N197" i="9"/>
  <c r="B198" i="9"/>
  <c r="C198" i="9"/>
  <c r="D198" i="9"/>
  <c r="E198" i="9"/>
  <c r="F198" i="9"/>
  <c r="G198" i="9"/>
  <c r="H198" i="9"/>
  <c r="I198" i="9"/>
  <c r="J198" i="9"/>
  <c r="K198" i="9"/>
  <c r="L198" i="9"/>
  <c r="M198" i="9"/>
  <c r="N198" i="9"/>
  <c r="B199" i="9"/>
  <c r="C199" i="9"/>
  <c r="D199" i="9"/>
  <c r="E199" i="9"/>
  <c r="F199" i="9"/>
  <c r="G199" i="9"/>
  <c r="H199" i="9"/>
  <c r="I199" i="9"/>
  <c r="J199" i="9"/>
  <c r="K199" i="9"/>
  <c r="L199" i="9"/>
  <c r="M199" i="9"/>
  <c r="N199" i="9"/>
  <c r="B200" i="9"/>
  <c r="C200" i="9"/>
  <c r="D200" i="9"/>
  <c r="E200" i="9"/>
  <c r="F200" i="9"/>
  <c r="G200" i="9"/>
  <c r="H200" i="9"/>
  <c r="I200" i="9"/>
  <c r="J200" i="9"/>
  <c r="K200" i="9"/>
  <c r="L200" i="9"/>
  <c r="M200" i="9"/>
  <c r="N200" i="9"/>
  <c r="B201" i="9"/>
  <c r="C201" i="9"/>
  <c r="D201" i="9"/>
  <c r="E201" i="9"/>
  <c r="F201" i="9"/>
  <c r="G201" i="9"/>
  <c r="H201" i="9"/>
  <c r="I201" i="9"/>
  <c r="J201" i="9"/>
  <c r="K201" i="9"/>
  <c r="L201" i="9"/>
  <c r="M201" i="9"/>
  <c r="N201" i="9"/>
  <c r="B202" i="9"/>
  <c r="C202" i="9"/>
  <c r="D202" i="9"/>
  <c r="E202" i="9"/>
  <c r="F202" i="9"/>
  <c r="G202" i="9"/>
  <c r="H202" i="9"/>
  <c r="I202" i="9"/>
  <c r="J202" i="9"/>
  <c r="K202" i="9"/>
  <c r="L202" i="9"/>
  <c r="M202" i="9"/>
  <c r="N202" i="9"/>
  <c r="B203" i="9"/>
  <c r="C203" i="9"/>
  <c r="D203" i="9"/>
  <c r="E203" i="9"/>
  <c r="F203" i="9"/>
  <c r="G203" i="9"/>
  <c r="H203" i="9"/>
  <c r="I203" i="9"/>
  <c r="J203" i="9"/>
  <c r="K203" i="9"/>
  <c r="L203" i="9"/>
  <c r="M203" i="9"/>
  <c r="N203" i="9"/>
  <c r="B204" i="9"/>
  <c r="C204" i="9"/>
  <c r="D204" i="9"/>
  <c r="E204" i="9"/>
  <c r="F204" i="9"/>
  <c r="G204" i="9"/>
  <c r="H204" i="9"/>
  <c r="I204" i="9"/>
  <c r="J204" i="9"/>
  <c r="K204" i="9"/>
  <c r="L204" i="9"/>
  <c r="M204" i="9"/>
  <c r="N204" i="9"/>
  <c r="B205" i="9"/>
  <c r="C205" i="9"/>
  <c r="D205" i="9"/>
  <c r="E205" i="9"/>
  <c r="F205" i="9"/>
  <c r="G205" i="9"/>
  <c r="H205" i="9"/>
  <c r="I205" i="9"/>
  <c r="J205" i="9"/>
  <c r="K205" i="9"/>
  <c r="L205" i="9"/>
  <c r="M205" i="9"/>
  <c r="N205" i="9"/>
  <c r="B206" i="9"/>
  <c r="C206" i="9"/>
  <c r="D206" i="9"/>
  <c r="E206" i="9"/>
  <c r="F206" i="9"/>
  <c r="G206" i="9"/>
  <c r="H206" i="9"/>
  <c r="I206" i="9"/>
  <c r="J206" i="9"/>
  <c r="K206" i="9"/>
  <c r="L206" i="9"/>
  <c r="M206" i="9"/>
  <c r="N206" i="9"/>
  <c r="B207" i="9"/>
  <c r="C207" i="9"/>
  <c r="D207" i="9"/>
  <c r="E207" i="9"/>
  <c r="F207" i="9"/>
  <c r="G207" i="9"/>
  <c r="H207" i="9"/>
  <c r="I207" i="9"/>
  <c r="J207" i="9"/>
  <c r="K207" i="9"/>
  <c r="L207" i="9"/>
  <c r="M207" i="9"/>
  <c r="N207" i="9"/>
  <c r="B208" i="9"/>
  <c r="C208" i="9"/>
  <c r="D208" i="9"/>
  <c r="E208" i="9"/>
  <c r="F208" i="9"/>
  <c r="G208" i="9"/>
  <c r="H208" i="9"/>
  <c r="I208" i="9"/>
  <c r="J208" i="9"/>
  <c r="K208" i="9"/>
  <c r="L208" i="9"/>
  <c r="M208" i="9"/>
  <c r="N208" i="9"/>
  <c r="B209" i="9"/>
  <c r="C209" i="9"/>
  <c r="D209" i="9"/>
  <c r="E209" i="9"/>
  <c r="F209" i="9"/>
  <c r="G209" i="9"/>
  <c r="H209" i="9"/>
  <c r="I209" i="9"/>
  <c r="J209" i="9"/>
  <c r="K209" i="9"/>
  <c r="L209" i="9"/>
  <c r="M209" i="9"/>
  <c r="N209" i="9"/>
  <c r="B210" i="9"/>
  <c r="C210" i="9"/>
  <c r="D210" i="9"/>
  <c r="E210" i="9"/>
  <c r="F210" i="9"/>
  <c r="G210" i="9"/>
  <c r="H210" i="9"/>
  <c r="I210" i="9"/>
  <c r="J210" i="9"/>
  <c r="K210" i="9"/>
  <c r="L210" i="9"/>
  <c r="M210" i="9"/>
  <c r="N210" i="9"/>
  <c r="B211" i="9"/>
  <c r="C211" i="9"/>
  <c r="D211" i="9"/>
  <c r="E211" i="9"/>
  <c r="F211" i="9"/>
  <c r="G211" i="9"/>
  <c r="H211" i="9"/>
  <c r="I211" i="9"/>
  <c r="J211" i="9"/>
  <c r="K211" i="9"/>
  <c r="L211" i="9"/>
  <c r="M211" i="9"/>
  <c r="N211" i="9"/>
  <c r="B212" i="9"/>
  <c r="C212" i="9"/>
  <c r="D212" i="9"/>
  <c r="E212" i="9"/>
  <c r="F212" i="9"/>
  <c r="G212" i="9"/>
  <c r="H212" i="9"/>
  <c r="I212" i="9"/>
  <c r="J212" i="9"/>
  <c r="K212" i="9"/>
  <c r="L212" i="9"/>
  <c r="M212" i="9"/>
  <c r="N212" i="9"/>
  <c r="B213" i="9"/>
  <c r="C213" i="9"/>
  <c r="D213" i="9"/>
  <c r="E213" i="9"/>
  <c r="F213" i="9"/>
  <c r="G213" i="9"/>
  <c r="H213" i="9"/>
  <c r="I213" i="9"/>
  <c r="J213" i="9"/>
  <c r="K213" i="9"/>
  <c r="L213" i="9"/>
  <c r="M213" i="9"/>
  <c r="N213" i="9"/>
  <c r="B214" i="9"/>
  <c r="C214" i="9"/>
  <c r="D214" i="9"/>
  <c r="E214" i="9"/>
  <c r="F214" i="9"/>
  <c r="G214" i="9"/>
  <c r="H214" i="9"/>
  <c r="I214" i="9"/>
  <c r="J214" i="9"/>
  <c r="K214" i="9"/>
  <c r="L214" i="9"/>
  <c r="M214" i="9"/>
  <c r="N214" i="9"/>
  <c r="B215" i="9"/>
  <c r="C215" i="9"/>
  <c r="D215" i="9"/>
  <c r="E215" i="9"/>
  <c r="F215" i="9"/>
  <c r="G215" i="9"/>
  <c r="H215" i="9"/>
  <c r="I215" i="9"/>
  <c r="J215" i="9"/>
  <c r="K215" i="9"/>
  <c r="L215" i="9"/>
  <c r="M215" i="9"/>
  <c r="N215" i="9"/>
  <c r="B216" i="9"/>
  <c r="C216" i="9"/>
  <c r="D216" i="9"/>
  <c r="E216" i="9"/>
  <c r="F216" i="9"/>
  <c r="G216" i="9"/>
  <c r="H216" i="9"/>
  <c r="I216" i="9"/>
  <c r="J216" i="9"/>
  <c r="K216" i="9"/>
  <c r="L216" i="9"/>
  <c r="M216" i="9"/>
  <c r="N216" i="9"/>
  <c r="B217" i="9"/>
  <c r="C217" i="9"/>
  <c r="D217" i="9"/>
  <c r="E217" i="9"/>
  <c r="F217" i="9"/>
  <c r="G217" i="9"/>
  <c r="H217" i="9"/>
  <c r="I217" i="9"/>
  <c r="J217" i="9"/>
  <c r="K217" i="9"/>
  <c r="L217" i="9"/>
  <c r="M217" i="9"/>
  <c r="N217" i="9"/>
  <c r="B218" i="9"/>
  <c r="C218" i="9"/>
  <c r="D218" i="9"/>
  <c r="E218" i="9"/>
  <c r="F218" i="9"/>
  <c r="G218" i="9"/>
  <c r="H218" i="9"/>
  <c r="I218" i="9"/>
  <c r="J218" i="9"/>
  <c r="K218" i="9"/>
  <c r="L218" i="9"/>
  <c r="M218" i="9"/>
  <c r="N218" i="9"/>
  <c r="B219" i="9"/>
  <c r="C219" i="9"/>
  <c r="D219" i="9"/>
  <c r="E219" i="9"/>
  <c r="F219" i="9"/>
  <c r="G219" i="9"/>
  <c r="H219" i="9"/>
  <c r="I219" i="9"/>
  <c r="J219" i="9"/>
  <c r="K219" i="9"/>
  <c r="L219" i="9"/>
  <c r="M219" i="9"/>
  <c r="N219" i="9"/>
  <c r="B220" i="9"/>
  <c r="C220" i="9"/>
  <c r="D220" i="9"/>
  <c r="E220" i="9"/>
  <c r="F220" i="9"/>
  <c r="G220" i="9"/>
  <c r="H220" i="9"/>
  <c r="I220" i="9"/>
  <c r="J220" i="9"/>
  <c r="K220" i="9"/>
  <c r="L220" i="9"/>
  <c r="M220" i="9"/>
  <c r="N220" i="9"/>
  <c r="B221" i="9"/>
  <c r="C221" i="9"/>
  <c r="D221" i="9"/>
  <c r="E221" i="9"/>
  <c r="F221" i="9"/>
  <c r="G221" i="9"/>
  <c r="H221" i="9"/>
  <c r="I221" i="9"/>
  <c r="J221" i="9"/>
  <c r="K221" i="9"/>
  <c r="L221" i="9"/>
  <c r="M221" i="9"/>
  <c r="N221" i="9"/>
  <c r="B222" i="9"/>
  <c r="C222" i="9"/>
  <c r="D222" i="9"/>
  <c r="E222" i="9"/>
  <c r="F222" i="9"/>
  <c r="G222" i="9"/>
  <c r="H222" i="9"/>
  <c r="I222" i="9"/>
  <c r="J222" i="9"/>
  <c r="K222" i="9"/>
  <c r="L222" i="9"/>
  <c r="M222" i="9"/>
  <c r="N222" i="9"/>
  <c r="B223" i="9"/>
  <c r="C223" i="9"/>
  <c r="D223" i="9"/>
  <c r="E223" i="9"/>
  <c r="F223" i="9"/>
  <c r="G223" i="9"/>
  <c r="H223" i="9"/>
  <c r="I223" i="9"/>
  <c r="J223" i="9"/>
  <c r="K223" i="9"/>
  <c r="L223" i="9"/>
  <c r="M223" i="9"/>
  <c r="N223" i="9"/>
  <c r="B224" i="9"/>
  <c r="C224" i="9"/>
  <c r="D224" i="9"/>
  <c r="E224" i="9"/>
  <c r="F224" i="9"/>
  <c r="G224" i="9"/>
  <c r="H224" i="9"/>
  <c r="I224" i="9"/>
  <c r="J224" i="9"/>
  <c r="K224" i="9"/>
  <c r="L224" i="9"/>
  <c r="M224" i="9"/>
  <c r="N224" i="9"/>
  <c r="B225" i="9"/>
  <c r="C225" i="9"/>
  <c r="D225" i="9"/>
  <c r="E225" i="9"/>
  <c r="F225" i="9"/>
  <c r="G225" i="9"/>
  <c r="H225" i="9"/>
  <c r="I225" i="9"/>
  <c r="J225" i="9"/>
  <c r="K225" i="9"/>
  <c r="L225" i="9"/>
  <c r="M225" i="9"/>
  <c r="N225" i="9"/>
  <c r="B226" i="9"/>
  <c r="C226" i="9"/>
  <c r="D226" i="9"/>
  <c r="E226" i="9"/>
  <c r="F226" i="9"/>
  <c r="G226" i="9"/>
  <c r="H226" i="9"/>
  <c r="I226" i="9"/>
  <c r="J226" i="9"/>
  <c r="K226" i="9"/>
  <c r="L226" i="9"/>
  <c r="M226" i="9"/>
  <c r="N226" i="9"/>
  <c r="B227" i="9"/>
  <c r="C227" i="9"/>
  <c r="D227" i="9"/>
  <c r="E227" i="9"/>
  <c r="F227" i="9"/>
  <c r="G227" i="9"/>
  <c r="H227" i="9"/>
  <c r="I227" i="9"/>
  <c r="J227" i="9"/>
  <c r="K227" i="9"/>
  <c r="L227" i="9"/>
  <c r="M227" i="9"/>
  <c r="N227" i="9"/>
  <c r="B228" i="9"/>
  <c r="C228" i="9"/>
  <c r="D228" i="9"/>
  <c r="E228" i="9"/>
  <c r="F228" i="9"/>
  <c r="G228" i="9"/>
  <c r="H228" i="9"/>
  <c r="I228" i="9"/>
  <c r="J228" i="9"/>
  <c r="K228" i="9"/>
  <c r="L228" i="9"/>
  <c r="M228" i="9"/>
  <c r="N228" i="9"/>
  <c r="B229" i="9"/>
  <c r="C229" i="9"/>
  <c r="D229" i="9"/>
  <c r="E229" i="9"/>
  <c r="F229" i="9"/>
  <c r="G229" i="9"/>
  <c r="H229" i="9"/>
  <c r="I229" i="9"/>
  <c r="J229" i="9"/>
  <c r="K229" i="9"/>
  <c r="L229" i="9"/>
  <c r="M229" i="9"/>
  <c r="N229" i="9"/>
  <c r="B230" i="9"/>
  <c r="C230" i="9"/>
  <c r="D230" i="9"/>
  <c r="E230" i="9"/>
  <c r="F230" i="9"/>
  <c r="G230" i="9"/>
  <c r="H230" i="9"/>
  <c r="I230" i="9"/>
  <c r="J230" i="9"/>
  <c r="K230" i="9"/>
  <c r="L230" i="9"/>
  <c r="M230" i="9"/>
  <c r="N230" i="9"/>
  <c r="B231" i="9"/>
  <c r="C231" i="9"/>
  <c r="D231" i="9"/>
  <c r="E231" i="9"/>
  <c r="F231" i="9"/>
  <c r="G231" i="9"/>
  <c r="H231" i="9"/>
  <c r="I231" i="9"/>
  <c r="J231" i="9"/>
  <c r="K231" i="9"/>
  <c r="L231" i="9"/>
  <c r="M231" i="9"/>
  <c r="N231" i="9"/>
  <c r="B232" i="9"/>
  <c r="C232" i="9"/>
  <c r="D232" i="9"/>
  <c r="E232" i="9"/>
  <c r="F232" i="9"/>
  <c r="G232" i="9"/>
  <c r="H232" i="9"/>
  <c r="I232" i="9"/>
  <c r="J232" i="9"/>
  <c r="K232" i="9"/>
  <c r="L232" i="9"/>
  <c r="M232" i="9"/>
  <c r="N232" i="9"/>
  <c r="B233" i="9"/>
  <c r="C233" i="9"/>
  <c r="D233" i="9"/>
  <c r="E233" i="9"/>
  <c r="F233" i="9"/>
  <c r="G233" i="9"/>
  <c r="H233" i="9"/>
  <c r="I233" i="9"/>
  <c r="J233" i="9"/>
  <c r="K233" i="9"/>
  <c r="L233" i="9"/>
  <c r="M233" i="9"/>
  <c r="N233" i="9"/>
  <c r="B234" i="9"/>
  <c r="C234" i="9"/>
  <c r="D234" i="9"/>
  <c r="E234" i="9"/>
  <c r="F234" i="9"/>
  <c r="G234" i="9"/>
  <c r="H234" i="9"/>
  <c r="I234" i="9"/>
  <c r="J234" i="9"/>
  <c r="K234" i="9"/>
  <c r="L234" i="9"/>
  <c r="M234" i="9"/>
  <c r="N234" i="9"/>
  <c r="B235" i="9"/>
  <c r="C235" i="9"/>
  <c r="D235" i="9"/>
  <c r="E235" i="9"/>
  <c r="F235" i="9"/>
  <c r="G235" i="9"/>
  <c r="H235" i="9"/>
  <c r="I235" i="9"/>
  <c r="J235" i="9"/>
  <c r="K235" i="9"/>
  <c r="L235" i="9"/>
  <c r="M235" i="9"/>
  <c r="N235" i="9"/>
  <c r="B236" i="9"/>
  <c r="C236" i="9"/>
  <c r="D236" i="9"/>
  <c r="E236" i="9"/>
  <c r="F236" i="9"/>
  <c r="G236" i="9"/>
  <c r="H236" i="9"/>
  <c r="I236" i="9"/>
  <c r="J236" i="9"/>
  <c r="K236" i="9"/>
  <c r="L236" i="9"/>
  <c r="M236" i="9"/>
  <c r="N236" i="9"/>
  <c r="B237" i="9"/>
  <c r="C237" i="9"/>
  <c r="D237" i="9"/>
  <c r="E237" i="9"/>
  <c r="F237" i="9"/>
  <c r="G237" i="9"/>
  <c r="H237" i="9"/>
  <c r="I237" i="9"/>
  <c r="J237" i="9"/>
  <c r="K237" i="9"/>
  <c r="L237" i="9"/>
  <c r="M237" i="9"/>
  <c r="N237" i="9"/>
  <c r="B238" i="9"/>
  <c r="C238" i="9"/>
  <c r="D238" i="9"/>
  <c r="E238" i="9"/>
  <c r="F238" i="9"/>
  <c r="G238" i="9"/>
  <c r="H238" i="9"/>
  <c r="I238" i="9"/>
  <c r="J238" i="9"/>
  <c r="K238" i="9"/>
  <c r="L238" i="9"/>
  <c r="M238" i="9"/>
  <c r="N238" i="9"/>
  <c r="B239" i="9"/>
  <c r="C239" i="9"/>
  <c r="D239" i="9"/>
  <c r="E239" i="9"/>
  <c r="F239" i="9"/>
  <c r="G239" i="9"/>
  <c r="H239" i="9"/>
  <c r="I239" i="9"/>
  <c r="J239" i="9"/>
  <c r="K239" i="9"/>
  <c r="L239" i="9"/>
  <c r="M239" i="9"/>
  <c r="N239" i="9"/>
  <c r="B240" i="9"/>
  <c r="C240" i="9"/>
  <c r="D240" i="9"/>
  <c r="E240" i="9"/>
  <c r="F240" i="9"/>
  <c r="G240" i="9"/>
  <c r="H240" i="9"/>
  <c r="I240" i="9"/>
  <c r="J240" i="9"/>
  <c r="K240" i="9"/>
  <c r="L240" i="9"/>
  <c r="M240" i="9"/>
  <c r="N240" i="9"/>
  <c r="B241" i="9"/>
  <c r="C241" i="9"/>
  <c r="D241" i="9"/>
  <c r="E241" i="9"/>
  <c r="F241" i="9"/>
  <c r="G241" i="9"/>
  <c r="H241" i="9"/>
  <c r="I241" i="9"/>
  <c r="J241" i="9"/>
  <c r="K241" i="9"/>
  <c r="L241" i="9"/>
  <c r="M241" i="9"/>
  <c r="N241" i="9"/>
  <c r="B242" i="9"/>
  <c r="C242" i="9"/>
  <c r="D242" i="9"/>
  <c r="E242" i="9"/>
  <c r="F242" i="9"/>
  <c r="G242" i="9"/>
  <c r="H242" i="9"/>
  <c r="I242" i="9"/>
  <c r="J242" i="9"/>
  <c r="K242" i="9"/>
  <c r="L242" i="9"/>
  <c r="M242" i="9"/>
  <c r="N242" i="9"/>
  <c r="B243" i="9"/>
  <c r="C243" i="9"/>
  <c r="D243" i="9"/>
  <c r="E243" i="9"/>
  <c r="F243" i="9"/>
  <c r="G243" i="9"/>
  <c r="H243" i="9"/>
  <c r="I243" i="9"/>
  <c r="J243" i="9"/>
  <c r="K243" i="9"/>
  <c r="L243" i="9"/>
  <c r="M243" i="9"/>
  <c r="N243" i="9"/>
  <c r="B244" i="9"/>
  <c r="C244" i="9"/>
  <c r="D244" i="9"/>
  <c r="E244" i="9"/>
  <c r="F244" i="9"/>
  <c r="G244" i="9"/>
  <c r="H244" i="9"/>
  <c r="I244" i="9"/>
  <c r="J244" i="9"/>
  <c r="K244" i="9"/>
  <c r="L244" i="9"/>
  <c r="M244" i="9"/>
  <c r="N244" i="9"/>
  <c r="B245" i="9"/>
  <c r="C245" i="9"/>
  <c r="D245" i="9"/>
  <c r="E245" i="9"/>
  <c r="F245" i="9"/>
  <c r="G245" i="9"/>
  <c r="H245" i="9"/>
  <c r="I245" i="9"/>
  <c r="J245" i="9"/>
  <c r="K245" i="9"/>
  <c r="L245" i="9"/>
  <c r="M245" i="9"/>
  <c r="N245" i="9"/>
  <c r="B246" i="9"/>
  <c r="C246" i="9"/>
  <c r="D246" i="9"/>
  <c r="E246" i="9"/>
  <c r="F246" i="9"/>
  <c r="G246" i="9"/>
  <c r="H246" i="9"/>
  <c r="I246" i="9"/>
  <c r="J246" i="9"/>
  <c r="K246" i="9"/>
  <c r="L246" i="9"/>
  <c r="M246" i="9"/>
  <c r="N246" i="9"/>
  <c r="B247" i="9"/>
  <c r="C247" i="9"/>
  <c r="D247" i="9"/>
  <c r="E247" i="9"/>
  <c r="F247" i="9"/>
  <c r="G247" i="9"/>
  <c r="H247" i="9"/>
  <c r="I247" i="9"/>
  <c r="J247" i="9"/>
  <c r="K247" i="9"/>
  <c r="L247" i="9"/>
  <c r="M247" i="9"/>
  <c r="N247" i="9"/>
  <c r="B248" i="9"/>
  <c r="C248" i="9"/>
  <c r="D248" i="9"/>
  <c r="E248" i="9"/>
  <c r="F248" i="9"/>
  <c r="G248" i="9"/>
  <c r="H248" i="9"/>
  <c r="I248" i="9"/>
  <c r="J248" i="9"/>
  <c r="K248" i="9"/>
  <c r="L248" i="9"/>
  <c r="M248" i="9"/>
  <c r="N248" i="9"/>
  <c r="B249" i="9"/>
  <c r="C249" i="9"/>
  <c r="D249" i="9"/>
  <c r="E249" i="9"/>
  <c r="F249" i="9"/>
  <c r="G249" i="9"/>
  <c r="H249" i="9"/>
  <c r="I249" i="9"/>
  <c r="J249" i="9"/>
  <c r="K249" i="9"/>
  <c r="L249" i="9"/>
  <c r="M249" i="9"/>
  <c r="N249" i="9"/>
  <c r="B250" i="9"/>
  <c r="C250" i="9"/>
  <c r="D250" i="9"/>
  <c r="E250" i="9"/>
  <c r="F250" i="9"/>
  <c r="G250" i="9"/>
  <c r="H250" i="9"/>
  <c r="I250" i="9"/>
  <c r="J250" i="9"/>
  <c r="K250" i="9"/>
  <c r="L250" i="9"/>
  <c r="M250" i="9"/>
  <c r="N250" i="9"/>
  <c r="B251" i="9"/>
  <c r="C251" i="9"/>
  <c r="D251" i="9"/>
  <c r="E251" i="9"/>
  <c r="F251" i="9"/>
  <c r="G251" i="9"/>
  <c r="H251" i="9"/>
  <c r="I251" i="9"/>
  <c r="J251" i="9"/>
  <c r="K251" i="9"/>
  <c r="L251" i="9"/>
  <c r="M251" i="9"/>
  <c r="N251" i="9"/>
  <c r="B252" i="9"/>
  <c r="C252" i="9"/>
  <c r="D252" i="9"/>
  <c r="E252" i="9"/>
  <c r="F252" i="9"/>
  <c r="G252" i="9"/>
  <c r="H252" i="9"/>
  <c r="I252" i="9"/>
  <c r="J252" i="9"/>
  <c r="K252" i="9"/>
  <c r="L252" i="9"/>
  <c r="M252" i="9"/>
  <c r="N252" i="9"/>
  <c r="B253" i="9"/>
  <c r="C253" i="9"/>
  <c r="D253" i="9"/>
  <c r="E253" i="9"/>
  <c r="F253" i="9"/>
  <c r="G253" i="9"/>
  <c r="H253" i="9"/>
  <c r="I253" i="9"/>
  <c r="J253" i="9"/>
  <c r="K253" i="9"/>
  <c r="L253" i="9"/>
  <c r="M253" i="9"/>
  <c r="N253" i="9"/>
  <c r="B254" i="9"/>
  <c r="C254" i="9"/>
  <c r="D254" i="9"/>
  <c r="E254" i="9"/>
  <c r="F254" i="9"/>
  <c r="G254" i="9"/>
  <c r="H254" i="9"/>
  <c r="I254" i="9"/>
  <c r="J254" i="9"/>
  <c r="K254" i="9"/>
  <c r="L254" i="9"/>
  <c r="M254" i="9"/>
  <c r="N254" i="9"/>
  <c r="B255" i="9"/>
  <c r="C255" i="9"/>
  <c r="D255" i="9"/>
  <c r="E255" i="9"/>
  <c r="F255" i="9"/>
  <c r="G255" i="9"/>
  <c r="H255" i="9"/>
  <c r="I255" i="9"/>
  <c r="J255" i="9"/>
  <c r="K255" i="9"/>
  <c r="L255" i="9"/>
  <c r="M255" i="9"/>
  <c r="N255" i="9"/>
  <c r="B256" i="9"/>
  <c r="C256" i="9"/>
  <c r="D256" i="9"/>
  <c r="E256" i="9"/>
  <c r="F256" i="9"/>
  <c r="G256" i="9"/>
  <c r="H256" i="9"/>
  <c r="I256" i="9"/>
  <c r="J256" i="9"/>
  <c r="K256" i="9"/>
  <c r="L256" i="9"/>
  <c r="M256" i="9"/>
  <c r="N256" i="9"/>
  <c r="B257" i="9"/>
  <c r="C257" i="9"/>
  <c r="D257" i="9"/>
  <c r="E257" i="9"/>
  <c r="F257" i="9"/>
  <c r="G257" i="9"/>
  <c r="H257" i="9"/>
  <c r="I257" i="9"/>
  <c r="J257" i="9"/>
  <c r="K257" i="9"/>
  <c r="L257" i="9"/>
  <c r="M257" i="9"/>
  <c r="N257" i="9"/>
  <c r="B258" i="9"/>
  <c r="C258" i="9"/>
  <c r="D258" i="9"/>
  <c r="E258" i="9"/>
  <c r="F258" i="9"/>
  <c r="G258" i="9"/>
  <c r="H258" i="9"/>
  <c r="I258" i="9"/>
  <c r="J258" i="9"/>
  <c r="K258" i="9"/>
  <c r="L258" i="9"/>
  <c r="M258" i="9"/>
  <c r="N258" i="9"/>
  <c r="B259" i="9"/>
  <c r="C259" i="9"/>
  <c r="D259" i="9"/>
  <c r="E259" i="9"/>
  <c r="F259" i="9"/>
  <c r="G259" i="9"/>
  <c r="H259" i="9"/>
  <c r="I259" i="9"/>
  <c r="J259" i="9"/>
  <c r="K259" i="9"/>
  <c r="L259" i="9"/>
  <c r="M259" i="9"/>
  <c r="N259" i="9"/>
  <c r="B260" i="9"/>
  <c r="C260" i="9"/>
  <c r="D260" i="9"/>
  <c r="E260" i="9"/>
  <c r="F260" i="9"/>
  <c r="G260" i="9"/>
  <c r="H260" i="9"/>
  <c r="I260" i="9"/>
  <c r="J260" i="9"/>
  <c r="K260" i="9"/>
  <c r="L260" i="9"/>
  <c r="M260" i="9"/>
  <c r="N260" i="9"/>
  <c r="B261" i="9"/>
  <c r="C261" i="9"/>
  <c r="D261" i="9"/>
  <c r="E261" i="9"/>
  <c r="F261" i="9"/>
  <c r="G261" i="9"/>
  <c r="H261" i="9"/>
  <c r="I261" i="9"/>
  <c r="J261" i="9"/>
  <c r="K261" i="9"/>
  <c r="L261" i="9"/>
  <c r="M261" i="9"/>
  <c r="N261" i="9"/>
  <c r="B262" i="9"/>
  <c r="C262" i="9"/>
  <c r="D262" i="9"/>
  <c r="E262" i="9"/>
  <c r="F262" i="9"/>
  <c r="G262" i="9"/>
  <c r="H262" i="9"/>
  <c r="I262" i="9"/>
  <c r="J262" i="9"/>
  <c r="K262" i="9"/>
  <c r="L262" i="9"/>
  <c r="M262" i="9"/>
  <c r="N262" i="9"/>
  <c r="B263" i="9"/>
  <c r="C263" i="9"/>
  <c r="D263" i="9"/>
  <c r="E263" i="9"/>
  <c r="F263" i="9"/>
  <c r="G263" i="9"/>
  <c r="H263" i="9"/>
  <c r="I263" i="9"/>
  <c r="J263" i="9"/>
  <c r="K263" i="9"/>
  <c r="L263" i="9"/>
  <c r="M263" i="9"/>
  <c r="N263" i="9"/>
  <c r="B264" i="9"/>
  <c r="C264" i="9"/>
  <c r="D264" i="9"/>
  <c r="E264" i="9"/>
  <c r="F264" i="9"/>
  <c r="G264" i="9"/>
  <c r="H264" i="9"/>
  <c r="I264" i="9"/>
  <c r="J264" i="9"/>
  <c r="K264" i="9"/>
  <c r="L264" i="9"/>
  <c r="M264" i="9"/>
  <c r="N264" i="9"/>
  <c r="B265" i="9"/>
  <c r="C265" i="9"/>
  <c r="D265" i="9"/>
  <c r="E265" i="9"/>
  <c r="F265" i="9"/>
  <c r="G265" i="9"/>
  <c r="H265" i="9"/>
  <c r="I265" i="9"/>
  <c r="J265" i="9"/>
  <c r="K265" i="9"/>
  <c r="L265" i="9"/>
  <c r="M265" i="9"/>
  <c r="N265" i="9"/>
  <c r="B266" i="9"/>
  <c r="C266" i="9"/>
  <c r="D266" i="9"/>
  <c r="E266" i="9"/>
  <c r="F266" i="9"/>
  <c r="G266" i="9"/>
  <c r="H266" i="9"/>
  <c r="I266" i="9"/>
  <c r="J266" i="9"/>
  <c r="K266" i="9"/>
  <c r="L266" i="9"/>
  <c r="M266" i="9"/>
  <c r="N266" i="9"/>
  <c r="B267" i="9"/>
  <c r="C267" i="9"/>
  <c r="D267" i="9"/>
  <c r="E267" i="9"/>
  <c r="F267" i="9"/>
  <c r="G267" i="9"/>
  <c r="H267" i="9"/>
  <c r="I267" i="9"/>
  <c r="J267" i="9"/>
  <c r="K267" i="9"/>
  <c r="L267" i="9"/>
  <c r="M267" i="9"/>
  <c r="N267" i="9"/>
  <c r="B268" i="9"/>
  <c r="C268" i="9"/>
  <c r="D268" i="9"/>
  <c r="E268" i="9"/>
  <c r="F268" i="9"/>
  <c r="G268" i="9"/>
  <c r="H268" i="9"/>
  <c r="I268" i="9"/>
  <c r="J268" i="9"/>
  <c r="K268" i="9"/>
  <c r="L268" i="9"/>
  <c r="M268" i="9"/>
  <c r="N268" i="9"/>
  <c r="B269" i="9"/>
  <c r="C269" i="9"/>
  <c r="D269" i="9"/>
  <c r="E269" i="9"/>
  <c r="F269" i="9"/>
  <c r="G269" i="9"/>
  <c r="H269" i="9"/>
  <c r="I269" i="9"/>
  <c r="J269" i="9"/>
  <c r="K269" i="9"/>
  <c r="L269" i="9"/>
  <c r="M269" i="9"/>
  <c r="N269" i="9"/>
  <c r="B270" i="9"/>
  <c r="C270" i="9"/>
  <c r="D270" i="9"/>
  <c r="E270" i="9"/>
  <c r="F270" i="9"/>
  <c r="G270" i="9"/>
  <c r="H270" i="9"/>
  <c r="I270" i="9"/>
  <c r="J270" i="9"/>
  <c r="K270" i="9"/>
  <c r="L270" i="9"/>
  <c r="M270" i="9"/>
  <c r="N270" i="9"/>
  <c r="B271" i="9"/>
  <c r="C271" i="9"/>
  <c r="D271" i="9"/>
  <c r="E271" i="9"/>
  <c r="F271" i="9"/>
  <c r="G271" i="9"/>
  <c r="H271" i="9"/>
  <c r="I271" i="9"/>
  <c r="J271" i="9"/>
  <c r="K271" i="9"/>
  <c r="L271" i="9"/>
  <c r="M271" i="9"/>
  <c r="N271" i="9"/>
  <c r="B272" i="9"/>
  <c r="C272" i="9"/>
  <c r="D272" i="9"/>
  <c r="E272" i="9"/>
  <c r="F272" i="9"/>
  <c r="G272" i="9"/>
  <c r="H272" i="9"/>
  <c r="I272" i="9"/>
  <c r="J272" i="9"/>
  <c r="K272" i="9"/>
  <c r="L272" i="9"/>
  <c r="M272" i="9"/>
  <c r="N272" i="9"/>
  <c r="B273" i="9"/>
  <c r="C273" i="9"/>
  <c r="D273" i="9"/>
  <c r="E273" i="9"/>
  <c r="F273" i="9"/>
  <c r="G273" i="9"/>
  <c r="H273" i="9"/>
  <c r="I273" i="9"/>
  <c r="J273" i="9"/>
  <c r="K273" i="9"/>
  <c r="L273" i="9"/>
  <c r="M273" i="9"/>
  <c r="N273" i="9"/>
  <c r="B274" i="9"/>
  <c r="C274" i="9"/>
  <c r="D274" i="9"/>
  <c r="E274" i="9"/>
  <c r="F274" i="9"/>
  <c r="G274" i="9"/>
  <c r="H274" i="9"/>
  <c r="I274" i="9"/>
  <c r="J274" i="9"/>
  <c r="K274" i="9"/>
  <c r="L274" i="9"/>
  <c r="M274" i="9"/>
  <c r="N274" i="9"/>
  <c r="B275" i="9"/>
  <c r="C275" i="9"/>
  <c r="D275" i="9"/>
  <c r="E275" i="9"/>
  <c r="F275" i="9"/>
  <c r="G275" i="9"/>
  <c r="H275" i="9"/>
  <c r="I275" i="9"/>
  <c r="J275" i="9"/>
  <c r="K275" i="9"/>
  <c r="L275" i="9"/>
  <c r="M275" i="9"/>
  <c r="N275" i="9"/>
  <c r="B276" i="9"/>
  <c r="C276" i="9"/>
  <c r="D276" i="9"/>
  <c r="E276" i="9"/>
  <c r="F276" i="9"/>
  <c r="G276" i="9"/>
  <c r="H276" i="9"/>
  <c r="I276" i="9"/>
  <c r="J276" i="9"/>
  <c r="K276" i="9"/>
  <c r="L276" i="9"/>
  <c r="M276" i="9"/>
  <c r="N276" i="9"/>
  <c r="B277" i="9"/>
  <c r="C277" i="9"/>
  <c r="D277" i="9"/>
  <c r="E277" i="9"/>
  <c r="F277" i="9"/>
  <c r="G277" i="9"/>
  <c r="H277" i="9"/>
  <c r="I277" i="9"/>
  <c r="J277" i="9"/>
  <c r="K277" i="9"/>
  <c r="L277" i="9"/>
  <c r="M277" i="9"/>
  <c r="N277" i="9"/>
  <c r="B278" i="9"/>
  <c r="C278" i="9"/>
  <c r="D278" i="9"/>
  <c r="E278" i="9"/>
  <c r="F278" i="9"/>
  <c r="G278" i="9"/>
  <c r="H278" i="9"/>
  <c r="I278" i="9"/>
  <c r="J278" i="9"/>
  <c r="K278" i="9"/>
  <c r="L278" i="9"/>
  <c r="M278" i="9"/>
  <c r="N278" i="9"/>
  <c r="B279" i="9"/>
  <c r="C279" i="9"/>
  <c r="D279" i="9"/>
  <c r="E279" i="9"/>
  <c r="F279" i="9"/>
  <c r="G279" i="9"/>
  <c r="H279" i="9"/>
  <c r="I279" i="9"/>
  <c r="J279" i="9"/>
  <c r="K279" i="9"/>
  <c r="L279" i="9"/>
  <c r="M279" i="9"/>
  <c r="N279" i="9"/>
  <c r="B280" i="9"/>
  <c r="C280" i="9"/>
  <c r="D280" i="9"/>
  <c r="E280" i="9"/>
  <c r="F280" i="9"/>
  <c r="G280" i="9"/>
  <c r="H280" i="9"/>
  <c r="I280" i="9"/>
  <c r="J280" i="9"/>
  <c r="K280" i="9"/>
  <c r="L280" i="9"/>
  <c r="M280" i="9"/>
  <c r="N280" i="9"/>
  <c r="B281" i="9"/>
  <c r="C281" i="9"/>
  <c r="D281" i="9"/>
  <c r="E281" i="9"/>
  <c r="F281" i="9"/>
  <c r="G281" i="9"/>
  <c r="H281" i="9"/>
  <c r="I281" i="9"/>
  <c r="J281" i="9"/>
  <c r="K281" i="9"/>
  <c r="L281" i="9"/>
  <c r="M281" i="9"/>
  <c r="N281" i="9"/>
  <c r="B282" i="9"/>
  <c r="C282" i="9"/>
  <c r="D282" i="9"/>
  <c r="E282" i="9"/>
  <c r="F282" i="9"/>
  <c r="G282" i="9"/>
  <c r="H282" i="9"/>
  <c r="I282" i="9"/>
  <c r="J282" i="9"/>
  <c r="K282" i="9"/>
  <c r="L282" i="9"/>
  <c r="M282" i="9"/>
  <c r="N282" i="9"/>
  <c r="B283" i="9"/>
  <c r="C283" i="9"/>
  <c r="D283" i="9"/>
  <c r="E283" i="9"/>
  <c r="F283" i="9"/>
  <c r="G283" i="9"/>
  <c r="H283" i="9"/>
  <c r="I283" i="9"/>
  <c r="J283" i="9"/>
  <c r="K283" i="9"/>
  <c r="L283" i="9"/>
  <c r="M283" i="9"/>
  <c r="N283" i="9"/>
  <c r="B284" i="9"/>
  <c r="C284" i="9"/>
  <c r="D284" i="9"/>
  <c r="E284" i="9"/>
  <c r="F284" i="9"/>
  <c r="G284" i="9"/>
  <c r="H284" i="9"/>
  <c r="I284" i="9"/>
  <c r="J284" i="9"/>
  <c r="K284" i="9"/>
  <c r="L284" i="9"/>
  <c r="M284" i="9"/>
  <c r="N284" i="9"/>
  <c r="B285" i="9"/>
  <c r="C285" i="9"/>
  <c r="D285" i="9"/>
  <c r="E285" i="9"/>
  <c r="F285" i="9"/>
  <c r="G285" i="9"/>
  <c r="H285" i="9"/>
  <c r="I285" i="9"/>
  <c r="J285" i="9"/>
  <c r="K285" i="9"/>
  <c r="L285" i="9"/>
  <c r="M285" i="9"/>
  <c r="N285" i="9"/>
  <c r="B286" i="9"/>
  <c r="C286" i="9"/>
  <c r="D286" i="9"/>
  <c r="E286" i="9"/>
  <c r="F286" i="9"/>
  <c r="G286" i="9"/>
  <c r="H286" i="9"/>
  <c r="I286" i="9"/>
  <c r="J286" i="9"/>
  <c r="K286" i="9"/>
  <c r="L286" i="9"/>
  <c r="M286" i="9"/>
  <c r="N286" i="9"/>
  <c r="B287" i="9"/>
  <c r="C287" i="9"/>
  <c r="D287" i="9"/>
  <c r="E287" i="9"/>
  <c r="F287" i="9"/>
  <c r="G287" i="9"/>
  <c r="H287" i="9"/>
  <c r="I287" i="9"/>
  <c r="J287" i="9"/>
  <c r="K287" i="9"/>
  <c r="L287" i="9"/>
  <c r="M287" i="9"/>
  <c r="N287" i="9"/>
  <c r="B288" i="9"/>
  <c r="C288" i="9"/>
  <c r="D288" i="9"/>
  <c r="E288" i="9"/>
  <c r="F288" i="9"/>
  <c r="G288" i="9"/>
  <c r="H288" i="9"/>
  <c r="I288" i="9"/>
  <c r="J288" i="9"/>
  <c r="K288" i="9"/>
  <c r="L288" i="9"/>
  <c r="M288" i="9"/>
  <c r="N288" i="9"/>
  <c r="B289" i="9"/>
  <c r="C289" i="9"/>
  <c r="D289" i="9"/>
  <c r="E289" i="9"/>
  <c r="F289" i="9"/>
  <c r="G289" i="9"/>
  <c r="H289" i="9"/>
  <c r="I289" i="9"/>
  <c r="J289" i="9"/>
  <c r="K289" i="9"/>
  <c r="L289" i="9"/>
  <c r="M289" i="9"/>
  <c r="N289" i="9"/>
  <c r="B290" i="9"/>
  <c r="C290" i="9"/>
  <c r="D290" i="9"/>
  <c r="E290" i="9"/>
  <c r="F290" i="9"/>
  <c r="G290" i="9"/>
  <c r="H290" i="9"/>
  <c r="I290" i="9"/>
  <c r="J290" i="9"/>
  <c r="K290" i="9"/>
  <c r="L290" i="9"/>
  <c r="M290" i="9"/>
  <c r="N290" i="9"/>
  <c r="B291" i="9"/>
  <c r="C291" i="9"/>
  <c r="D291" i="9"/>
  <c r="E291" i="9"/>
  <c r="F291" i="9"/>
  <c r="G291" i="9"/>
  <c r="H291" i="9"/>
  <c r="I291" i="9"/>
  <c r="J291" i="9"/>
  <c r="K291" i="9"/>
  <c r="L291" i="9"/>
  <c r="M291" i="9"/>
  <c r="N291" i="9"/>
  <c r="B292" i="9"/>
  <c r="C292" i="9"/>
  <c r="D292" i="9"/>
  <c r="E292" i="9"/>
  <c r="F292" i="9"/>
  <c r="G292" i="9"/>
  <c r="H292" i="9"/>
  <c r="I292" i="9"/>
  <c r="J292" i="9"/>
  <c r="K292" i="9"/>
  <c r="L292" i="9"/>
  <c r="M292" i="9"/>
  <c r="N292" i="9"/>
  <c r="B293" i="9"/>
  <c r="C293" i="9"/>
  <c r="D293" i="9"/>
  <c r="E293" i="9"/>
  <c r="F293" i="9"/>
  <c r="G293" i="9"/>
  <c r="H293" i="9"/>
  <c r="I293" i="9"/>
  <c r="J293" i="9"/>
  <c r="K293" i="9"/>
  <c r="L293" i="9"/>
  <c r="M293" i="9"/>
  <c r="N293" i="9"/>
  <c r="B294" i="9"/>
  <c r="C294" i="9"/>
  <c r="D294" i="9"/>
  <c r="E294" i="9"/>
  <c r="F294" i="9"/>
  <c r="G294" i="9"/>
  <c r="H294" i="9"/>
  <c r="I294" i="9"/>
  <c r="J294" i="9"/>
  <c r="K294" i="9"/>
  <c r="L294" i="9"/>
  <c r="M294" i="9"/>
  <c r="N294" i="9"/>
  <c r="B295" i="9"/>
  <c r="C295" i="9"/>
  <c r="D295" i="9"/>
  <c r="E295" i="9"/>
  <c r="F295" i="9"/>
  <c r="G295" i="9"/>
  <c r="H295" i="9"/>
  <c r="I295" i="9"/>
  <c r="J295" i="9"/>
  <c r="K295" i="9"/>
  <c r="L295" i="9"/>
  <c r="M295" i="9"/>
  <c r="N295" i="9"/>
  <c r="B296" i="9"/>
  <c r="C296" i="9"/>
  <c r="D296" i="9"/>
  <c r="E296" i="9"/>
  <c r="F296" i="9"/>
  <c r="G296" i="9"/>
  <c r="H296" i="9"/>
  <c r="I296" i="9"/>
  <c r="J296" i="9"/>
  <c r="K296" i="9"/>
  <c r="L296" i="9"/>
  <c r="M296" i="9"/>
  <c r="N296" i="9"/>
  <c r="B297" i="9"/>
  <c r="C297" i="9"/>
  <c r="D297" i="9"/>
  <c r="E297" i="9"/>
  <c r="F297" i="9"/>
  <c r="G297" i="9"/>
  <c r="H297" i="9"/>
  <c r="I297" i="9"/>
  <c r="J297" i="9"/>
  <c r="K297" i="9"/>
  <c r="L297" i="9"/>
  <c r="M297" i="9"/>
  <c r="N297" i="9"/>
  <c r="B298" i="9"/>
  <c r="C298" i="9"/>
  <c r="D298" i="9"/>
  <c r="E298" i="9"/>
  <c r="F298" i="9"/>
  <c r="G298" i="9"/>
  <c r="H298" i="9"/>
  <c r="I298" i="9"/>
  <c r="J298" i="9"/>
  <c r="K298" i="9"/>
  <c r="L298" i="9"/>
  <c r="M298" i="9"/>
  <c r="N298" i="9"/>
  <c r="B299" i="9"/>
  <c r="C299" i="9"/>
  <c r="D299" i="9"/>
  <c r="E299" i="9"/>
  <c r="F299" i="9"/>
  <c r="G299" i="9"/>
  <c r="H299" i="9"/>
  <c r="I299" i="9"/>
  <c r="J299" i="9"/>
  <c r="K299" i="9"/>
  <c r="L299" i="9"/>
  <c r="M299" i="9"/>
  <c r="N299" i="9"/>
  <c r="B300" i="9"/>
  <c r="C300" i="9"/>
  <c r="D300" i="9"/>
  <c r="E300" i="9"/>
  <c r="F300" i="9"/>
  <c r="G300" i="9"/>
  <c r="H300" i="9"/>
  <c r="I300" i="9"/>
  <c r="J300" i="9"/>
  <c r="K300" i="9"/>
  <c r="L300" i="9"/>
  <c r="M300" i="9"/>
  <c r="N300" i="9"/>
  <c r="B301" i="9"/>
  <c r="C301" i="9"/>
  <c r="D301" i="9"/>
  <c r="E301" i="9"/>
  <c r="F301" i="9"/>
  <c r="G301" i="9"/>
  <c r="H301" i="9"/>
  <c r="I301" i="9"/>
  <c r="J301" i="9"/>
  <c r="K301" i="9"/>
  <c r="L301" i="9"/>
  <c r="M301" i="9"/>
  <c r="N301" i="9"/>
  <c r="B302" i="9"/>
  <c r="C302" i="9"/>
  <c r="D302" i="9"/>
  <c r="E302" i="9"/>
  <c r="F302" i="9"/>
  <c r="G302" i="9"/>
  <c r="H302" i="9"/>
  <c r="I302" i="9"/>
  <c r="J302" i="9"/>
  <c r="K302" i="9"/>
  <c r="L302" i="9"/>
  <c r="M302" i="9"/>
  <c r="N302" i="9"/>
  <c r="B303" i="9"/>
  <c r="C303" i="9"/>
  <c r="D303" i="9"/>
  <c r="E303" i="9"/>
  <c r="F303" i="9"/>
  <c r="G303" i="9"/>
  <c r="H303" i="9"/>
  <c r="I303" i="9"/>
  <c r="J303" i="9"/>
  <c r="K303" i="9"/>
  <c r="L303" i="9"/>
  <c r="M303" i="9"/>
  <c r="N303" i="9"/>
  <c r="B304" i="9"/>
  <c r="C304" i="9"/>
  <c r="D304" i="9"/>
  <c r="E304" i="9"/>
  <c r="F304" i="9"/>
  <c r="G304" i="9"/>
  <c r="H304" i="9"/>
  <c r="I304" i="9"/>
  <c r="J304" i="9"/>
  <c r="K304" i="9"/>
  <c r="L304" i="9"/>
  <c r="M304" i="9"/>
  <c r="N304" i="9"/>
  <c r="B305" i="9"/>
  <c r="C305" i="9"/>
  <c r="D305" i="9"/>
  <c r="E305" i="9"/>
  <c r="F305" i="9"/>
  <c r="G305" i="9"/>
  <c r="H305" i="9"/>
  <c r="I305" i="9"/>
  <c r="J305" i="9"/>
  <c r="K305" i="9"/>
  <c r="L305" i="9"/>
  <c r="M305" i="9"/>
  <c r="N305" i="9"/>
  <c r="B306" i="9"/>
  <c r="C306" i="9"/>
  <c r="D306" i="9"/>
  <c r="E306" i="9"/>
  <c r="F306" i="9"/>
  <c r="G306" i="9"/>
  <c r="H306" i="9"/>
  <c r="I306" i="9"/>
  <c r="J306" i="9"/>
  <c r="K306" i="9"/>
  <c r="L306" i="9"/>
  <c r="M306" i="9"/>
  <c r="N306" i="9"/>
  <c r="B307" i="9"/>
  <c r="C307" i="9"/>
  <c r="D307" i="9"/>
  <c r="E307" i="9"/>
  <c r="F307" i="9"/>
  <c r="G307" i="9"/>
  <c r="H307" i="9"/>
  <c r="I307" i="9"/>
  <c r="J307" i="9"/>
  <c r="K307" i="9"/>
  <c r="L307" i="9"/>
  <c r="M307" i="9"/>
  <c r="N307" i="9"/>
  <c r="B308" i="9"/>
  <c r="C308" i="9"/>
  <c r="D308" i="9"/>
  <c r="E308" i="9"/>
  <c r="F308" i="9"/>
  <c r="G308" i="9"/>
  <c r="H308" i="9"/>
  <c r="I308" i="9"/>
  <c r="J308" i="9"/>
  <c r="K308" i="9"/>
  <c r="L308" i="9"/>
  <c r="M308" i="9"/>
  <c r="N308" i="9"/>
  <c r="B309" i="9"/>
  <c r="C309" i="9"/>
  <c r="D309" i="9"/>
  <c r="E309" i="9"/>
  <c r="F309" i="9"/>
  <c r="G309" i="9"/>
  <c r="H309" i="9"/>
  <c r="I309" i="9"/>
  <c r="J309" i="9"/>
  <c r="K309" i="9"/>
  <c r="L309" i="9"/>
  <c r="M309" i="9"/>
  <c r="N309" i="9"/>
  <c r="B310" i="9"/>
  <c r="C310" i="9"/>
  <c r="D310" i="9"/>
  <c r="E310" i="9"/>
  <c r="F310" i="9"/>
  <c r="G310" i="9"/>
  <c r="H310" i="9"/>
  <c r="I310" i="9"/>
  <c r="J310" i="9"/>
  <c r="K310" i="9"/>
  <c r="L310" i="9"/>
  <c r="M310" i="9"/>
  <c r="N310" i="9"/>
  <c r="B311" i="9"/>
  <c r="C311" i="9"/>
  <c r="D311" i="9"/>
  <c r="E311" i="9"/>
  <c r="F311" i="9"/>
  <c r="G311" i="9"/>
  <c r="H311" i="9"/>
  <c r="I311" i="9"/>
  <c r="J311" i="9"/>
  <c r="K311" i="9"/>
  <c r="L311" i="9"/>
  <c r="M311" i="9"/>
  <c r="N311" i="9"/>
  <c r="B312" i="9"/>
  <c r="C312" i="9"/>
  <c r="D312" i="9"/>
  <c r="E312" i="9"/>
  <c r="F312" i="9"/>
  <c r="G312" i="9"/>
  <c r="H312" i="9"/>
  <c r="I312" i="9"/>
  <c r="J312" i="9"/>
  <c r="K312" i="9"/>
  <c r="L312" i="9"/>
  <c r="M312" i="9"/>
  <c r="N312" i="9"/>
  <c r="B313" i="9"/>
  <c r="C313" i="9"/>
  <c r="D313" i="9"/>
  <c r="E313" i="9"/>
  <c r="F313" i="9"/>
  <c r="G313" i="9"/>
  <c r="H313" i="9"/>
  <c r="I313" i="9"/>
  <c r="J313" i="9"/>
  <c r="K313" i="9"/>
  <c r="L313" i="9"/>
  <c r="M313" i="9"/>
  <c r="N313" i="9"/>
  <c r="B314" i="9"/>
  <c r="C314" i="9"/>
  <c r="D314" i="9"/>
  <c r="E314" i="9"/>
  <c r="F314" i="9"/>
  <c r="G314" i="9"/>
  <c r="H314" i="9"/>
  <c r="I314" i="9"/>
  <c r="J314" i="9"/>
  <c r="K314" i="9"/>
  <c r="L314" i="9"/>
  <c r="M314" i="9"/>
  <c r="N314" i="9"/>
  <c r="B315" i="9"/>
  <c r="C315" i="9"/>
  <c r="D315" i="9"/>
  <c r="E315" i="9"/>
  <c r="F315" i="9"/>
  <c r="G315" i="9"/>
  <c r="H315" i="9"/>
  <c r="I315" i="9"/>
  <c r="J315" i="9"/>
  <c r="K315" i="9"/>
  <c r="L315" i="9"/>
  <c r="M315" i="9"/>
  <c r="N315" i="9"/>
  <c r="B316" i="9"/>
  <c r="C316" i="9"/>
  <c r="D316" i="9"/>
  <c r="E316" i="9"/>
  <c r="F316" i="9"/>
  <c r="G316" i="9"/>
  <c r="H316" i="9"/>
  <c r="I316" i="9"/>
  <c r="J316" i="9"/>
  <c r="K316" i="9"/>
  <c r="L316" i="9"/>
  <c r="M316" i="9"/>
  <c r="N316" i="9"/>
  <c r="B317" i="9"/>
  <c r="C317" i="9"/>
  <c r="D317" i="9"/>
  <c r="E317" i="9"/>
  <c r="F317" i="9"/>
  <c r="G317" i="9"/>
  <c r="H317" i="9"/>
  <c r="I317" i="9"/>
  <c r="J317" i="9"/>
  <c r="K317" i="9"/>
  <c r="L317" i="9"/>
  <c r="M317" i="9"/>
  <c r="N317" i="9"/>
  <c r="B318" i="9"/>
  <c r="C318" i="9"/>
  <c r="D318" i="9"/>
  <c r="E318" i="9"/>
  <c r="F318" i="9"/>
  <c r="G318" i="9"/>
  <c r="H318" i="9"/>
  <c r="I318" i="9"/>
  <c r="J318" i="9"/>
  <c r="K318" i="9"/>
  <c r="L318" i="9"/>
  <c r="M318" i="9"/>
  <c r="N318" i="9"/>
  <c r="B319" i="9"/>
  <c r="C319" i="9"/>
  <c r="D319" i="9"/>
  <c r="E319" i="9"/>
  <c r="F319" i="9"/>
  <c r="G319" i="9"/>
  <c r="H319" i="9"/>
  <c r="I319" i="9"/>
  <c r="J319" i="9"/>
  <c r="K319" i="9"/>
  <c r="L319" i="9"/>
  <c r="M319" i="9"/>
  <c r="N319" i="9"/>
  <c r="B320" i="9"/>
  <c r="C320" i="9"/>
  <c r="D320" i="9"/>
  <c r="E320" i="9"/>
  <c r="F320" i="9"/>
  <c r="G320" i="9"/>
  <c r="H320" i="9"/>
  <c r="I320" i="9"/>
  <c r="J320" i="9"/>
  <c r="K320" i="9"/>
  <c r="L320" i="9"/>
  <c r="M320" i="9"/>
  <c r="N320" i="9"/>
  <c r="B321" i="9"/>
  <c r="C321" i="9"/>
  <c r="D321" i="9"/>
  <c r="E321" i="9"/>
  <c r="F321" i="9"/>
  <c r="G321" i="9"/>
  <c r="H321" i="9"/>
  <c r="I321" i="9"/>
  <c r="J321" i="9"/>
  <c r="K321" i="9"/>
  <c r="L321" i="9"/>
  <c r="M321" i="9"/>
  <c r="N321" i="9"/>
  <c r="B322" i="9"/>
  <c r="C322" i="9"/>
  <c r="D322" i="9"/>
  <c r="E322" i="9"/>
  <c r="F322" i="9"/>
  <c r="G322" i="9"/>
  <c r="H322" i="9"/>
  <c r="I322" i="9"/>
  <c r="J322" i="9"/>
  <c r="K322" i="9"/>
  <c r="L322" i="9"/>
  <c r="M322" i="9"/>
  <c r="N322" i="9"/>
  <c r="B323" i="9"/>
  <c r="C323" i="9"/>
  <c r="D323" i="9"/>
  <c r="E323" i="9"/>
  <c r="F323" i="9"/>
  <c r="G323" i="9"/>
  <c r="H323" i="9"/>
  <c r="I323" i="9"/>
  <c r="J323" i="9"/>
  <c r="K323" i="9"/>
  <c r="L323" i="9"/>
  <c r="M323" i="9"/>
  <c r="N323" i="9"/>
  <c r="B324" i="9"/>
  <c r="C324" i="9"/>
  <c r="D324" i="9"/>
  <c r="E324" i="9"/>
  <c r="F324" i="9"/>
  <c r="G324" i="9"/>
  <c r="H324" i="9"/>
  <c r="I324" i="9"/>
  <c r="J324" i="9"/>
  <c r="K324" i="9"/>
  <c r="L324" i="9"/>
  <c r="M324" i="9"/>
  <c r="N324" i="9"/>
  <c r="B325" i="9"/>
  <c r="C325" i="9"/>
  <c r="D325" i="9"/>
  <c r="E325" i="9"/>
  <c r="F325" i="9"/>
  <c r="G325" i="9"/>
  <c r="H325" i="9"/>
  <c r="I325" i="9"/>
  <c r="J325" i="9"/>
  <c r="K325" i="9"/>
  <c r="L325" i="9"/>
  <c r="M325" i="9"/>
  <c r="N325" i="9"/>
  <c r="B326" i="9"/>
  <c r="C326" i="9"/>
  <c r="D326" i="9"/>
  <c r="E326" i="9"/>
  <c r="F326" i="9"/>
  <c r="G326" i="9"/>
  <c r="H326" i="9"/>
  <c r="I326" i="9"/>
  <c r="J326" i="9"/>
  <c r="K326" i="9"/>
  <c r="L326" i="9"/>
  <c r="M326" i="9"/>
  <c r="N326" i="9"/>
  <c r="B327" i="9"/>
  <c r="C327" i="9"/>
  <c r="D327" i="9"/>
  <c r="E327" i="9"/>
  <c r="F327" i="9"/>
  <c r="G327" i="9"/>
  <c r="H327" i="9"/>
  <c r="I327" i="9"/>
  <c r="J327" i="9"/>
  <c r="K327" i="9"/>
  <c r="L327" i="9"/>
  <c r="M327" i="9"/>
  <c r="N327" i="9"/>
  <c r="B328" i="9"/>
  <c r="C328" i="9"/>
  <c r="D328" i="9"/>
  <c r="E328" i="9"/>
  <c r="F328" i="9"/>
  <c r="G328" i="9"/>
  <c r="H328" i="9"/>
  <c r="I328" i="9"/>
  <c r="J328" i="9"/>
  <c r="K328" i="9"/>
  <c r="L328" i="9"/>
  <c r="M328" i="9"/>
  <c r="N328" i="9"/>
  <c r="B329" i="9"/>
  <c r="C329" i="9"/>
  <c r="D329" i="9"/>
  <c r="E329" i="9"/>
  <c r="F329" i="9"/>
  <c r="G329" i="9"/>
  <c r="H329" i="9"/>
  <c r="I329" i="9"/>
  <c r="J329" i="9"/>
  <c r="K329" i="9"/>
  <c r="L329" i="9"/>
  <c r="M329" i="9"/>
  <c r="N329" i="9"/>
  <c r="B330" i="9"/>
  <c r="C330" i="9"/>
  <c r="D330" i="9"/>
  <c r="E330" i="9"/>
  <c r="F330" i="9"/>
  <c r="G330" i="9"/>
  <c r="H330" i="9"/>
  <c r="I330" i="9"/>
  <c r="J330" i="9"/>
  <c r="K330" i="9"/>
  <c r="L330" i="9"/>
  <c r="M330" i="9"/>
  <c r="N330" i="9"/>
  <c r="B331" i="9"/>
  <c r="C331" i="9"/>
  <c r="D331" i="9"/>
  <c r="E331" i="9"/>
  <c r="F331" i="9"/>
  <c r="G331" i="9"/>
  <c r="H331" i="9"/>
  <c r="I331" i="9"/>
  <c r="J331" i="9"/>
  <c r="K331" i="9"/>
  <c r="L331" i="9"/>
  <c r="M331" i="9"/>
  <c r="N331" i="9"/>
  <c r="B332" i="9"/>
  <c r="C332" i="9"/>
  <c r="D332" i="9"/>
  <c r="E332" i="9"/>
  <c r="F332" i="9"/>
  <c r="G332" i="9"/>
  <c r="H332" i="9"/>
  <c r="I332" i="9"/>
  <c r="J332" i="9"/>
  <c r="K332" i="9"/>
  <c r="L332" i="9"/>
  <c r="M332" i="9"/>
  <c r="N332" i="9"/>
  <c r="B333" i="9"/>
  <c r="C333" i="9"/>
  <c r="D333" i="9"/>
  <c r="E333" i="9"/>
  <c r="F333" i="9"/>
  <c r="G333" i="9"/>
  <c r="H333" i="9"/>
  <c r="I333" i="9"/>
  <c r="J333" i="9"/>
  <c r="K333" i="9"/>
  <c r="L333" i="9"/>
  <c r="M333" i="9"/>
  <c r="N333" i="9"/>
  <c r="B334" i="9"/>
  <c r="C334" i="9"/>
  <c r="D334" i="9"/>
  <c r="E334" i="9"/>
  <c r="F334" i="9"/>
  <c r="G334" i="9"/>
  <c r="H334" i="9"/>
  <c r="I334" i="9"/>
  <c r="J334" i="9"/>
  <c r="K334" i="9"/>
  <c r="L334" i="9"/>
  <c r="M334" i="9"/>
  <c r="N334" i="9"/>
  <c r="B335" i="9"/>
  <c r="C335" i="9"/>
  <c r="D335" i="9"/>
  <c r="E335" i="9"/>
  <c r="F335" i="9"/>
  <c r="G335" i="9"/>
  <c r="H335" i="9"/>
  <c r="I335" i="9"/>
  <c r="J335" i="9"/>
  <c r="K335" i="9"/>
  <c r="L335" i="9"/>
  <c r="M335" i="9"/>
  <c r="N335" i="9"/>
  <c r="B336" i="9"/>
  <c r="C336" i="9"/>
  <c r="D336" i="9"/>
  <c r="E336" i="9"/>
  <c r="F336" i="9"/>
  <c r="G336" i="9"/>
  <c r="H336" i="9"/>
  <c r="I336" i="9"/>
  <c r="J336" i="9"/>
  <c r="K336" i="9"/>
  <c r="L336" i="9"/>
  <c r="M336" i="9"/>
  <c r="N336" i="9"/>
  <c r="B337" i="9"/>
  <c r="C337" i="9"/>
  <c r="D337" i="9"/>
  <c r="E337" i="9"/>
  <c r="F337" i="9"/>
  <c r="G337" i="9"/>
  <c r="H337" i="9"/>
  <c r="I337" i="9"/>
  <c r="J337" i="9"/>
  <c r="K337" i="9"/>
  <c r="L337" i="9"/>
  <c r="M337" i="9"/>
  <c r="N337" i="9"/>
  <c r="B338" i="9"/>
  <c r="C338" i="9"/>
  <c r="D338" i="9"/>
  <c r="E338" i="9"/>
  <c r="F338" i="9"/>
  <c r="G338" i="9"/>
  <c r="H338" i="9"/>
  <c r="I338" i="9"/>
  <c r="J338" i="9"/>
  <c r="K338" i="9"/>
  <c r="L338" i="9"/>
  <c r="M338" i="9"/>
  <c r="N338" i="9"/>
  <c r="B339" i="9"/>
  <c r="C339" i="9"/>
  <c r="D339" i="9"/>
  <c r="E339" i="9"/>
  <c r="F339" i="9"/>
  <c r="G339" i="9"/>
  <c r="H339" i="9"/>
  <c r="I339" i="9"/>
  <c r="J339" i="9"/>
  <c r="K339" i="9"/>
  <c r="L339" i="9"/>
  <c r="M339" i="9"/>
  <c r="N339" i="9"/>
  <c r="B340" i="9"/>
  <c r="C340" i="9"/>
  <c r="D340" i="9"/>
  <c r="E340" i="9"/>
  <c r="F340" i="9"/>
  <c r="G340" i="9"/>
  <c r="H340" i="9"/>
  <c r="I340" i="9"/>
  <c r="J340" i="9"/>
  <c r="K340" i="9"/>
  <c r="L340" i="9"/>
  <c r="M340" i="9"/>
  <c r="N340" i="9"/>
  <c r="B341" i="9"/>
  <c r="C341" i="9"/>
  <c r="D341" i="9"/>
  <c r="E341" i="9"/>
  <c r="F341" i="9"/>
  <c r="G341" i="9"/>
  <c r="H341" i="9"/>
  <c r="I341" i="9"/>
  <c r="J341" i="9"/>
  <c r="K341" i="9"/>
  <c r="L341" i="9"/>
  <c r="M341" i="9"/>
  <c r="N341" i="9"/>
  <c r="B342" i="9"/>
  <c r="C342" i="9"/>
  <c r="D342" i="9"/>
  <c r="E342" i="9"/>
  <c r="F342" i="9"/>
  <c r="G342" i="9"/>
  <c r="H342" i="9"/>
  <c r="I342" i="9"/>
  <c r="J342" i="9"/>
  <c r="K342" i="9"/>
  <c r="L342" i="9"/>
  <c r="M342" i="9"/>
  <c r="N342" i="9"/>
  <c r="B343" i="9"/>
  <c r="C343" i="9"/>
  <c r="D343" i="9"/>
  <c r="E343" i="9"/>
  <c r="F343" i="9"/>
  <c r="G343" i="9"/>
  <c r="H343" i="9"/>
  <c r="I343" i="9"/>
  <c r="J343" i="9"/>
  <c r="K343" i="9"/>
  <c r="L343" i="9"/>
  <c r="M343" i="9"/>
  <c r="N343" i="9"/>
  <c r="B344" i="9"/>
  <c r="C344" i="9"/>
  <c r="D344" i="9"/>
  <c r="E344" i="9"/>
  <c r="F344" i="9"/>
  <c r="G344" i="9"/>
  <c r="H344" i="9"/>
  <c r="I344" i="9"/>
  <c r="J344" i="9"/>
  <c r="K344" i="9"/>
  <c r="L344" i="9"/>
  <c r="M344" i="9"/>
  <c r="N344" i="9"/>
  <c r="B345" i="9"/>
  <c r="C345" i="9"/>
  <c r="D345" i="9"/>
  <c r="E345" i="9"/>
  <c r="F345" i="9"/>
  <c r="G345" i="9"/>
  <c r="H345" i="9"/>
  <c r="I345" i="9"/>
  <c r="J345" i="9"/>
  <c r="K345" i="9"/>
  <c r="L345" i="9"/>
  <c r="M345" i="9"/>
  <c r="N345" i="9"/>
  <c r="B346" i="9"/>
  <c r="C346" i="9"/>
  <c r="D346" i="9"/>
  <c r="E346" i="9"/>
  <c r="F346" i="9"/>
  <c r="G346" i="9"/>
  <c r="H346" i="9"/>
  <c r="I346" i="9"/>
  <c r="J346" i="9"/>
  <c r="K346" i="9"/>
  <c r="L346" i="9"/>
  <c r="M346" i="9"/>
  <c r="N346" i="9"/>
  <c r="B347" i="9"/>
  <c r="C347" i="9"/>
  <c r="D347" i="9"/>
  <c r="E347" i="9"/>
  <c r="F347" i="9"/>
  <c r="G347" i="9"/>
  <c r="H347" i="9"/>
  <c r="I347" i="9"/>
  <c r="J347" i="9"/>
  <c r="K347" i="9"/>
  <c r="L347" i="9"/>
  <c r="M347" i="9"/>
  <c r="N347" i="9"/>
  <c r="B348" i="9"/>
  <c r="C348" i="9"/>
  <c r="D348" i="9"/>
  <c r="E348" i="9"/>
  <c r="F348" i="9"/>
  <c r="G348" i="9"/>
  <c r="H348" i="9"/>
  <c r="I348" i="9"/>
  <c r="J348" i="9"/>
  <c r="K348" i="9"/>
  <c r="L348" i="9"/>
  <c r="M348" i="9"/>
  <c r="N348" i="9"/>
  <c r="B349" i="9"/>
  <c r="C349" i="9"/>
  <c r="D349" i="9"/>
  <c r="E349" i="9"/>
  <c r="F349" i="9"/>
  <c r="G349" i="9"/>
  <c r="H349" i="9"/>
  <c r="I349" i="9"/>
  <c r="J349" i="9"/>
  <c r="K349" i="9"/>
  <c r="L349" i="9"/>
  <c r="M349" i="9"/>
  <c r="N349" i="9"/>
  <c r="B350" i="9"/>
  <c r="C350" i="9"/>
  <c r="D350" i="9"/>
  <c r="E350" i="9"/>
  <c r="F350" i="9"/>
  <c r="G350" i="9"/>
  <c r="H350" i="9"/>
  <c r="I350" i="9"/>
  <c r="J350" i="9"/>
  <c r="K350" i="9"/>
  <c r="L350" i="9"/>
  <c r="M350" i="9"/>
  <c r="N350" i="9"/>
  <c r="B351" i="9"/>
  <c r="C351" i="9"/>
  <c r="D351" i="9"/>
  <c r="E351" i="9"/>
  <c r="F351" i="9"/>
  <c r="G351" i="9"/>
  <c r="H351" i="9"/>
  <c r="I351" i="9"/>
  <c r="J351" i="9"/>
  <c r="K351" i="9"/>
  <c r="L351" i="9"/>
  <c r="M351" i="9"/>
  <c r="N351" i="9"/>
  <c r="B352" i="9"/>
  <c r="C352" i="9"/>
  <c r="D352" i="9"/>
  <c r="E352" i="9"/>
  <c r="F352" i="9"/>
  <c r="G352" i="9"/>
  <c r="H352" i="9"/>
  <c r="I352" i="9"/>
  <c r="J352" i="9"/>
  <c r="K352" i="9"/>
  <c r="L352" i="9"/>
  <c r="M352" i="9"/>
  <c r="N352" i="9"/>
  <c r="B353" i="9"/>
  <c r="C353" i="9"/>
  <c r="D353" i="9"/>
  <c r="E353" i="9"/>
  <c r="F353" i="9"/>
  <c r="G353" i="9"/>
  <c r="H353" i="9"/>
  <c r="I353" i="9"/>
  <c r="J353" i="9"/>
  <c r="K353" i="9"/>
  <c r="L353" i="9"/>
  <c r="M353" i="9"/>
  <c r="N353" i="9"/>
  <c r="B354" i="9"/>
  <c r="C354" i="9"/>
  <c r="D354" i="9"/>
  <c r="E354" i="9"/>
  <c r="F354" i="9"/>
  <c r="G354" i="9"/>
  <c r="H354" i="9"/>
  <c r="I354" i="9"/>
  <c r="J354" i="9"/>
  <c r="K354" i="9"/>
  <c r="L354" i="9"/>
  <c r="M354" i="9"/>
  <c r="N354" i="9"/>
  <c r="B355" i="9"/>
  <c r="C355" i="9"/>
  <c r="D355" i="9"/>
  <c r="E355" i="9"/>
  <c r="F355" i="9"/>
  <c r="G355" i="9"/>
  <c r="H355" i="9"/>
  <c r="I355" i="9"/>
  <c r="J355" i="9"/>
  <c r="K355" i="9"/>
  <c r="L355" i="9"/>
  <c r="M355" i="9"/>
  <c r="N355" i="9"/>
  <c r="B356" i="9"/>
  <c r="C356" i="9"/>
  <c r="D356" i="9"/>
  <c r="E356" i="9"/>
  <c r="F356" i="9"/>
  <c r="G356" i="9"/>
  <c r="H356" i="9"/>
  <c r="I356" i="9"/>
  <c r="J356" i="9"/>
  <c r="K356" i="9"/>
  <c r="L356" i="9"/>
  <c r="M356" i="9"/>
  <c r="N356" i="9"/>
  <c r="B357" i="9"/>
  <c r="C357" i="9"/>
  <c r="D357" i="9"/>
  <c r="E357" i="9"/>
  <c r="F357" i="9"/>
  <c r="G357" i="9"/>
  <c r="H357" i="9"/>
  <c r="I357" i="9"/>
  <c r="J357" i="9"/>
  <c r="K357" i="9"/>
  <c r="L357" i="9"/>
  <c r="M357" i="9"/>
  <c r="N357" i="9"/>
  <c r="B358" i="9"/>
  <c r="C358" i="9"/>
  <c r="D358" i="9"/>
  <c r="E358" i="9"/>
  <c r="F358" i="9"/>
  <c r="G358" i="9"/>
  <c r="H358" i="9"/>
  <c r="I358" i="9"/>
  <c r="J358" i="9"/>
  <c r="K358" i="9"/>
  <c r="L358" i="9"/>
  <c r="M358" i="9"/>
  <c r="N358" i="9"/>
  <c r="B359" i="9"/>
  <c r="C359" i="9"/>
  <c r="D359" i="9"/>
  <c r="E359" i="9"/>
  <c r="F359" i="9"/>
  <c r="G359" i="9"/>
  <c r="H359" i="9"/>
  <c r="I359" i="9"/>
  <c r="J359" i="9"/>
  <c r="K359" i="9"/>
  <c r="L359" i="9"/>
  <c r="M359" i="9"/>
  <c r="N359" i="9"/>
  <c r="B360" i="9"/>
  <c r="C360" i="9"/>
  <c r="D360" i="9"/>
  <c r="E360" i="9"/>
  <c r="F360" i="9"/>
  <c r="G360" i="9"/>
  <c r="H360" i="9"/>
  <c r="I360" i="9"/>
  <c r="J360" i="9"/>
  <c r="K360" i="9"/>
  <c r="L360" i="9"/>
  <c r="M360" i="9"/>
  <c r="N360" i="9"/>
  <c r="B361" i="9"/>
  <c r="C361" i="9"/>
  <c r="D361" i="9"/>
  <c r="E361" i="9"/>
  <c r="F361" i="9"/>
  <c r="G361" i="9"/>
  <c r="H361" i="9"/>
  <c r="I361" i="9"/>
  <c r="J361" i="9"/>
  <c r="K361" i="9"/>
  <c r="L361" i="9"/>
  <c r="M361" i="9"/>
  <c r="N361" i="9"/>
  <c r="B362" i="9"/>
  <c r="C362" i="9"/>
  <c r="D362" i="9"/>
  <c r="E362" i="9"/>
  <c r="F362" i="9"/>
  <c r="G362" i="9"/>
  <c r="H362" i="9"/>
  <c r="I362" i="9"/>
  <c r="J362" i="9"/>
  <c r="K362" i="9"/>
  <c r="L362" i="9"/>
  <c r="M362" i="9"/>
  <c r="N362" i="9"/>
  <c r="B363" i="9"/>
  <c r="C363" i="9"/>
  <c r="D363" i="9"/>
  <c r="E363" i="9"/>
  <c r="F363" i="9"/>
  <c r="G363" i="9"/>
  <c r="H363" i="9"/>
  <c r="I363" i="9"/>
  <c r="J363" i="9"/>
  <c r="K363" i="9"/>
  <c r="L363" i="9"/>
  <c r="M363" i="9"/>
  <c r="N363" i="9"/>
  <c r="B364" i="9"/>
  <c r="C364" i="9"/>
  <c r="D364" i="9"/>
  <c r="E364" i="9"/>
  <c r="F364" i="9"/>
  <c r="G364" i="9"/>
  <c r="H364" i="9"/>
  <c r="I364" i="9"/>
  <c r="J364" i="9"/>
  <c r="K364" i="9"/>
  <c r="L364" i="9"/>
  <c r="M364" i="9"/>
  <c r="N364" i="9"/>
  <c r="B365" i="9"/>
  <c r="C365" i="9"/>
  <c r="D365" i="9"/>
  <c r="E365" i="9"/>
  <c r="F365" i="9"/>
  <c r="G365" i="9"/>
  <c r="H365" i="9"/>
  <c r="I365" i="9"/>
  <c r="J365" i="9"/>
  <c r="K365" i="9"/>
  <c r="L365" i="9"/>
  <c r="M365" i="9"/>
  <c r="N365" i="9"/>
  <c r="B366" i="9"/>
  <c r="C366" i="9"/>
  <c r="D366" i="9"/>
  <c r="E366" i="9"/>
  <c r="F366" i="9"/>
  <c r="G366" i="9"/>
  <c r="H366" i="9"/>
  <c r="I366" i="9"/>
  <c r="J366" i="9"/>
  <c r="K366" i="9"/>
  <c r="L366" i="9"/>
  <c r="M366" i="9"/>
  <c r="N366" i="9"/>
  <c r="B367" i="9"/>
  <c r="C367" i="9"/>
  <c r="D367" i="9"/>
  <c r="E367" i="9"/>
  <c r="F367" i="9"/>
  <c r="G367" i="9"/>
  <c r="H367" i="9"/>
  <c r="I367" i="9"/>
  <c r="J367" i="9"/>
  <c r="K367" i="9"/>
  <c r="L367" i="9"/>
  <c r="M367" i="9"/>
  <c r="N367" i="9"/>
  <c r="B368" i="9"/>
  <c r="C368" i="9"/>
  <c r="D368" i="9"/>
  <c r="E368" i="9"/>
  <c r="F368" i="9"/>
  <c r="G368" i="9"/>
  <c r="H368" i="9"/>
  <c r="I368" i="9"/>
  <c r="J368" i="9"/>
  <c r="K368" i="9"/>
  <c r="L368" i="9"/>
  <c r="M368" i="9"/>
  <c r="N368" i="9"/>
  <c r="B369" i="9"/>
  <c r="C369" i="9"/>
  <c r="D369" i="9"/>
  <c r="E369" i="9"/>
  <c r="F369" i="9"/>
  <c r="G369" i="9"/>
  <c r="H369" i="9"/>
  <c r="I369" i="9"/>
  <c r="J369" i="9"/>
  <c r="K369" i="9"/>
  <c r="L369" i="9"/>
  <c r="M369" i="9"/>
  <c r="N369" i="9"/>
  <c r="B370" i="9"/>
  <c r="C370" i="9"/>
  <c r="D370" i="9"/>
  <c r="E370" i="9"/>
  <c r="F370" i="9"/>
  <c r="G370" i="9"/>
  <c r="H370" i="9"/>
  <c r="I370" i="9"/>
  <c r="J370" i="9"/>
  <c r="K370" i="9"/>
  <c r="L370" i="9"/>
  <c r="M370" i="9"/>
  <c r="N370" i="9"/>
  <c r="B371" i="9"/>
  <c r="C371" i="9"/>
  <c r="D371" i="9"/>
  <c r="E371" i="9"/>
  <c r="F371" i="9"/>
  <c r="G371" i="9"/>
  <c r="H371" i="9"/>
  <c r="I371" i="9"/>
  <c r="J371" i="9"/>
  <c r="K371" i="9"/>
  <c r="L371" i="9"/>
  <c r="M371" i="9"/>
  <c r="N371" i="9"/>
  <c r="B372" i="9"/>
  <c r="C372" i="9"/>
  <c r="D372" i="9"/>
  <c r="E372" i="9"/>
  <c r="F372" i="9"/>
  <c r="G372" i="9"/>
  <c r="H372" i="9"/>
  <c r="I372" i="9"/>
  <c r="J372" i="9"/>
  <c r="K372" i="9"/>
  <c r="L372" i="9"/>
  <c r="M372" i="9"/>
  <c r="N372" i="9"/>
  <c r="B373" i="9"/>
  <c r="C373" i="9"/>
  <c r="D373" i="9"/>
  <c r="E373" i="9"/>
  <c r="F373" i="9"/>
  <c r="G373" i="9"/>
  <c r="H373" i="9"/>
  <c r="I373" i="9"/>
  <c r="J373" i="9"/>
  <c r="K373" i="9"/>
  <c r="L373" i="9"/>
  <c r="M373" i="9"/>
  <c r="N373" i="9"/>
  <c r="B374" i="9"/>
  <c r="C374" i="9"/>
  <c r="D374" i="9"/>
  <c r="E374" i="9"/>
  <c r="F374" i="9"/>
  <c r="G374" i="9"/>
  <c r="H374" i="9"/>
  <c r="I374" i="9"/>
  <c r="J374" i="9"/>
  <c r="K374" i="9"/>
  <c r="L374" i="9"/>
  <c r="M374" i="9"/>
  <c r="N374" i="9"/>
  <c r="B375" i="9"/>
  <c r="C375" i="9"/>
  <c r="D375" i="9"/>
  <c r="E375" i="9"/>
  <c r="F375" i="9"/>
  <c r="G375" i="9"/>
  <c r="H375" i="9"/>
  <c r="I375" i="9"/>
  <c r="J375" i="9"/>
  <c r="K375" i="9"/>
  <c r="L375" i="9"/>
  <c r="M375" i="9"/>
  <c r="N375" i="9"/>
  <c r="B376" i="9"/>
  <c r="C376" i="9"/>
  <c r="D376" i="9"/>
  <c r="E376" i="9"/>
  <c r="F376" i="9"/>
  <c r="G376" i="9"/>
  <c r="H376" i="9"/>
  <c r="I376" i="9"/>
  <c r="J376" i="9"/>
  <c r="K376" i="9"/>
  <c r="L376" i="9"/>
  <c r="M376" i="9"/>
  <c r="N376" i="9"/>
  <c r="B377" i="9"/>
  <c r="C377" i="9"/>
  <c r="D377" i="9"/>
  <c r="E377" i="9"/>
  <c r="F377" i="9"/>
  <c r="G377" i="9"/>
  <c r="H377" i="9"/>
  <c r="I377" i="9"/>
  <c r="J377" i="9"/>
  <c r="K377" i="9"/>
  <c r="L377" i="9"/>
  <c r="M377" i="9"/>
  <c r="N377" i="9"/>
  <c r="B378" i="9"/>
  <c r="C378" i="9"/>
  <c r="D378" i="9"/>
  <c r="E378" i="9"/>
  <c r="F378" i="9"/>
  <c r="G378" i="9"/>
  <c r="H378" i="9"/>
  <c r="I378" i="9"/>
  <c r="J378" i="9"/>
  <c r="K378" i="9"/>
  <c r="L378" i="9"/>
  <c r="M378" i="9"/>
  <c r="N378" i="9"/>
  <c r="B379" i="9"/>
  <c r="C379" i="9"/>
  <c r="D379" i="9"/>
  <c r="E379" i="9"/>
  <c r="F379" i="9"/>
  <c r="G379" i="9"/>
  <c r="H379" i="9"/>
  <c r="I379" i="9"/>
  <c r="J379" i="9"/>
  <c r="K379" i="9"/>
  <c r="L379" i="9"/>
  <c r="M379" i="9"/>
  <c r="N379" i="9"/>
  <c r="B380" i="9"/>
  <c r="C380" i="9"/>
  <c r="D380" i="9"/>
  <c r="E380" i="9"/>
  <c r="F380" i="9"/>
  <c r="G380" i="9"/>
  <c r="H380" i="9"/>
  <c r="I380" i="9"/>
  <c r="J380" i="9"/>
  <c r="K380" i="9"/>
  <c r="L380" i="9"/>
  <c r="M380" i="9"/>
  <c r="N380" i="9"/>
  <c r="B381" i="9"/>
  <c r="C381" i="9"/>
  <c r="D381" i="9"/>
  <c r="E381" i="9"/>
  <c r="F381" i="9"/>
  <c r="G381" i="9"/>
  <c r="H381" i="9"/>
  <c r="I381" i="9"/>
  <c r="J381" i="9"/>
  <c r="K381" i="9"/>
  <c r="L381" i="9"/>
  <c r="M381" i="9"/>
  <c r="N381" i="9"/>
  <c r="B382" i="9"/>
  <c r="C382" i="9"/>
  <c r="D382" i="9"/>
  <c r="E382" i="9"/>
  <c r="F382" i="9"/>
  <c r="G382" i="9"/>
  <c r="H382" i="9"/>
  <c r="I382" i="9"/>
  <c r="J382" i="9"/>
  <c r="K382" i="9"/>
  <c r="L382" i="9"/>
  <c r="M382" i="9"/>
  <c r="N382" i="9"/>
  <c r="B383" i="9"/>
  <c r="C383" i="9"/>
  <c r="D383" i="9"/>
  <c r="E383" i="9"/>
  <c r="F383" i="9"/>
  <c r="G383" i="9"/>
  <c r="H383" i="9"/>
  <c r="I383" i="9"/>
  <c r="J383" i="9"/>
  <c r="K383" i="9"/>
  <c r="L383" i="9"/>
  <c r="M383" i="9"/>
  <c r="N383" i="9"/>
  <c r="B384" i="9"/>
  <c r="C384" i="9"/>
  <c r="D384" i="9"/>
  <c r="E384" i="9"/>
  <c r="F384" i="9"/>
  <c r="G384" i="9"/>
  <c r="H384" i="9"/>
  <c r="I384" i="9"/>
  <c r="J384" i="9"/>
  <c r="K384" i="9"/>
  <c r="L384" i="9"/>
  <c r="M384" i="9"/>
  <c r="N384" i="9"/>
  <c r="B385" i="9"/>
  <c r="C385" i="9"/>
  <c r="D385" i="9"/>
  <c r="E385" i="9"/>
  <c r="F385" i="9"/>
  <c r="G385" i="9"/>
  <c r="H385" i="9"/>
  <c r="I385" i="9"/>
  <c r="J385" i="9"/>
  <c r="K385" i="9"/>
  <c r="L385" i="9"/>
  <c r="M385" i="9"/>
  <c r="N385" i="9"/>
  <c r="B386" i="9"/>
  <c r="C386" i="9"/>
  <c r="D386" i="9"/>
  <c r="E386" i="9"/>
  <c r="F386" i="9"/>
  <c r="G386" i="9"/>
  <c r="H386" i="9"/>
  <c r="I386" i="9"/>
  <c r="J386" i="9"/>
  <c r="K386" i="9"/>
  <c r="L386" i="9"/>
  <c r="M386" i="9"/>
  <c r="N386" i="9"/>
  <c r="B387" i="9"/>
  <c r="C387" i="9"/>
  <c r="D387" i="9"/>
  <c r="E387" i="9"/>
  <c r="F387" i="9"/>
  <c r="G387" i="9"/>
  <c r="H387" i="9"/>
  <c r="I387" i="9"/>
  <c r="J387" i="9"/>
  <c r="K387" i="9"/>
  <c r="L387" i="9"/>
  <c r="M387" i="9"/>
  <c r="N387" i="9"/>
  <c r="B388" i="9"/>
  <c r="C388" i="9"/>
  <c r="D388" i="9"/>
  <c r="E388" i="9"/>
  <c r="F388" i="9"/>
  <c r="G388" i="9"/>
  <c r="H388" i="9"/>
  <c r="I388" i="9"/>
  <c r="J388" i="9"/>
  <c r="K388" i="9"/>
  <c r="L388" i="9"/>
  <c r="M388" i="9"/>
  <c r="N388" i="9"/>
  <c r="B389" i="9"/>
  <c r="C389" i="9"/>
  <c r="D389" i="9"/>
  <c r="E389" i="9"/>
  <c r="F389" i="9"/>
  <c r="G389" i="9"/>
  <c r="H389" i="9"/>
  <c r="I389" i="9"/>
  <c r="J389" i="9"/>
  <c r="K389" i="9"/>
  <c r="L389" i="9"/>
  <c r="M389" i="9"/>
  <c r="N389" i="9"/>
  <c r="B390" i="9"/>
  <c r="C390" i="9"/>
  <c r="D390" i="9"/>
  <c r="E390" i="9"/>
  <c r="F390" i="9"/>
  <c r="G390" i="9"/>
  <c r="H390" i="9"/>
  <c r="I390" i="9"/>
  <c r="J390" i="9"/>
  <c r="K390" i="9"/>
  <c r="L390" i="9"/>
  <c r="M390" i="9"/>
  <c r="N390" i="9"/>
  <c r="B391" i="9"/>
  <c r="C391" i="9"/>
  <c r="D391" i="9"/>
  <c r="E391" i="9"/>
  <c r="F391" i="9"/>
  <c r="G391" i="9"/>
  <c r="H391" i="9"/>
  <c r="I391" i="9"/>
  <c r="J391" i="9"/>
  <c r="K391" i="9"/>
  <c r="L391" i="9"/>
  <c r="M391" i="9"/>
  <c r="N391" i="9"/>
  <c r="B392" i="9"/>
  <c r="C392" i="9"/>
  <c r="D392" i="9"/>
  <c r="E392" i="9"/>
  <c r="F392" i="9"/>
  <c r="G392" i="9"/>
  <c r="H392" i="9"/>
  <c r="I392" i="9"/>
  <c r="J392" i="9"/>
  <c r="K392" i="9"/>
  <c r="L392" i="9"/>
  <c r="M392" i="9"/>
  <c r="N392" i="9"/>
  <c r="B393" i="9"/>
  <c r="C393" i="9"/>
  <c r="D393" i="9"/>
  <c r="E393" i="9"/>
  <c r="F393" i="9"/>
  <c r="G393" i="9"/>
  <c r="H393" i="9"/>
  <c r="I393" i="9"/>
  <c r="J393" i="9"/>
  <c r="K393" i="9"/>
  <c r="L393" i="9"/>
  <c r="M393" i="9"/>
  <c r="N393" i="9"/>
  <c r="B394" i="9"/>
  <c r="C394" i="9"/>
  <c r="D394" i="9"/>
  <c r="E394" i="9"/>
  <c r="F394" i="9"/>
  <c r="G394" i="9"/>
  <c r="H394" i="9"/>
  <c r="I394" i="9"/>
  <c r="J394" i="9"/>
  <c r="K394" i="9"/>
  <c r="L394" i="9"/>
  <c r="M394" i="9"/>
  <c r="N394" i="9"/>
  <c r="B395" i="9"/>
  <c r="C395" i="9"/>
  <c r="D395" i="9"/>
  <c r="E395" i="9"/>
  <c r="F395" i="9"/>
  <c r="G395" i="9"/>
  <c r="H395" i="9"/>
  <c r="I395" i="9"/>
  <c r="J395" i="9"/>
  <c r="K395" i="9"/>
  <c r="L395" i="9"/>
  <c r="M395" i="9"/>
  <c r="N395" i="9"/>
  <c r="B396" i="9"/>
  <c r="C396" i="9"/>
  <c r="D396" i="9"/>
  <c r="E396" i="9"/>
  <c r="F396" i="9"/>
  <c r="G396" i="9"/>
  <c r="H396" i="9"/>
  <c r="I396" i="9"/>
  <c r="J396" i="9"/>
  <c r="K396" i="9"/>
  <c r="L396" i="9"/>
  <c r="M396" i="9"/>
  <c r="N396" i="9"/>
  <c r="B397" i="9"/>
  <c r="C397" i="9"/>
  <c r="D397" i="9"/>
  <c r="E397" i="9"/>
  <c r="F397" i="9"/>
  <c r="G397" i="9"/>
  <c r="H397" i="9"/>
  <c r="I397" i="9"/>
  <c r="J397" i="9"/>
  <c r="K397" i="9"/>
  <c r="L397" i="9"/>
  <c r="M397" i="9"/>
  <c r="N397" i="9"/>
  <c r="B398" i="9"/>
  <c r="C398" i="9"/>
  <c r="D398" i="9"/>
  <c r="E398" i="9"/>
  <c r="F398" i="9"/>
  <c r="G398" i="9"/>
  <c r="H398" i="9"/>
  <c r="I398" i="9"/>
  <c r="J398" i="9"/>
  <c r="K398" i="9"/>
  <c r="L398" i="9"/>
  <c r="M398" i="9"/>
  <c r="N398" i="9"/>
  <c r="B399" i="9"/>
  <c r="C399" i="9"/>
  <c r="D399" i="9"/>
  <c r="E399" i="9"/>
  <c r="F399" i="9"/>
  <c r="G399" i="9"/>
  <c r="H399" i="9"/>
  <c r="I399" i="9"/>
  <c r="J399" i="9"/>
  <c r="K399" i="9"/>
  <c r="L399" i="9"/>
  <c r="M399" i="9"/>
  <c r="N399" i="9"/>
  <c r="B400" i="9"/>
  <c r="C400" i="9"/>
  <c r="D400" i="9"/>
  <c r="E400" i="9"/>
  <c r="F400" i="9"/>
  <c r="G400" i="9"/>
  <c r="H400" i="9"/>
  <c r="I400" i="9"/>
  <c r="J400" i="9"/>
  <c r="K400" i="9"/>
  <c r="L400" i="9"/>
  <c r="M400" i="9"/>
  <c r="N400" i="9"/>
  <c r="B401" i="9"/>
  <c r="C401" i="9"/>
  <c r="D401" i="9"/>
  <c r="E401" i="9"/>
  <c r="F401" i="9"/>
  <c r="G401" i="9"/>
  <c r="H401" i="9"/>
  <c r="I401" i="9"/>
  <c r="J401" i="9"/>
  <c r="K401" i="9"/>
  <c r="L401" i="9"/>
  <c r="M401" i="9"/>
  <c r="N401" i="9"/>
  <c r="B402" i="9"/>
  <c r="C402" i="9"/>
  <c r="D402" i="9"/>
  <c r="E402" i="9"/>
  <c r="F402" i="9"/>
  <c r="G402" i="9"/>
  <c r="H402" i="9"/>
  <c r="I402" i="9"/>
  <c r="J402" i="9"/>
  <c r="K402" i="9"/>
  <c r="L402" i="9"/>
  <c r="M402" i="9"/>
  <c r="N402" i="9"/>
  <c r="B403" i="9"/>
  <c r="C403" i="9"/>
  <c r="D403" i="9"/>
  <c r="E403" i="9"/>
  <c r="F403" i="9"/>
  <c r="G403" i="9"/>
  <c r="H403" i="9"/>
  <c r="I403" i="9"/>
  <c r="J403" i="9"/>
  <c r="K403" i="9"/>
  <c r="L403" i="9"/>
  <c r="M403" i="9"/>
  <c r="N403" i="9"/>
  <c r="B404" i="9"/>
  <c r="C404" i="9"/>
  <c r="D404" i="9"/>
  <c r="E404" i="9"/>
  <c r="F404" i="9"/>
  <c r="G404" i="9"/>
  <c r="H404" i="9"/>
  <c r="I404" i="9"/>
  <c r="J404" i="9"/>
  <c r="K404" i="9"/>
  <c r="L404" i="9"/>
  <c r="M404" i="9"/>
  <c r="N404" i="9"/>
  <c r="B405" i="9"/>
  <c r="C405" i="9"/>
  <c r="D405" i="9"/>
  <c r="E405" i="9"/>
  <c r="F405" i="9"/>
  <c r="G405" i="9"/>
  <c r="H405" i="9"/>
  <c r="I405" i="9"/>
  <c r="J405" i="9"/>
  <c r="K405" i="9"/>
  <c r="L405" i="9"/>
  <c r="M405" i="9"/>
  <c r="N405" i="9"/>
  <c r="B406" i="9"/>
  <c r="C406" i="9"/>
  <c r="D406" i="9"/>
  <c r="E406" i="9"/>
  <c r="F406" i="9"/>
  <c r="G406" i="9"/>
  <c r="H406" i="9"/>
  <c r="I406" i="9"/>
  <c r="J406" i="9"/>
  <c r="K406" i="9"/>
  <c r="L406" i="9"/>
  <c r="M406" i="9"/>
  <c r="N406" i="9"/>
  <c r="B407" i="9"/>
  <c r="C407" i="9"/>
  <c r="D407" i="9"/>
  <c r="E407" i="9"/>
  <c r="F407" i="9"/>
  <c r="G407" i="9"/>
  <c r="H407" i="9"/>
  <c r="I407" i="9"/>
  <c r="J407" i="9"/>
  <c r="K407" i="9"/>
  <c r="L407" i="9"/>
  <c r="M407" i="9"/>
  <c r="N407" i="9"/>
  <c r="B408" i="9"/>
  <c r="C408" i="9"/>
  <c r="D408" i="9"/>
  <c r="E408" i="9"/>
  <c r="F408" i="9"/>
  <c r="G408" i="9"/>
  <c r="H408" i="9"/>
  <c r="I408" i="9"/>
  <c r="J408" i="9"/>
  <c r="K408" i="9"/>
  <c r="L408" i="9"/>
  <c r="M408" i="9"/>
  <c r="N408" i="9"/>
  <c r="B409" i="9"/>
  <c r="C409" i="9"/>
  <c r="D409" i="9"/>
  <c r="E409" i="9"/>
  <c r="F409" i="9"/>
  <c r="G409" i="9"/>
  <c r="H409" i="9"/>
  <c r="I409" i="9"/>
  <c r="J409" i="9"/>
  <c r="K409" i="9"/>
  <c r="L409" i="9"/>
  <c r="M409" i="9"/>
  <c r="N409" i="9"/>
  <c r="B410" i="9"/>
  <c r="C410" i="9"/>
  <c r="D410" i="9"/>
  <c r="E410" i="9"/>
  <c r="F410" i="9"/>
  <c r="G410" i="9"/>
  <c r="H410" i="9"/>
  <c r="I410" i="9"/>
  <c r="J410" i="9"/>
  <c r="K410" i="9"/>
  <c r="L410" i="9"/>
  <c r="M410" i="9"/>
  <c r="N410" i="9"/>
  <c r="B411" i="9"/>
  <c r="C411" i="9"/>
  <c r="D411" i="9"/>
  <c r="E411" i="9"/>
  <c r="F411" i="9"/>
  <c r="G411" i="9"/>
  <c r="H411" i="9"/>
  <c r="I411" i="9"/>
  <c r="J411" i="9"/>
  <c r="K411" i="9"/>
  <c r="L411" i="9"/>
  <c r="M411" i="9"/>
  <c r="N411" i="9"/>
  <c r="B412" i="9"/>
  <c r="C412" i="9"/>
  <c r="D412" i="9"/>
  <c r="E412" i="9"/>
  <c r="F412" i="9"/>
  <c r="G412" i="9"/>
  <c r="H412" i="9"/>
  <c r="I412" i="9"/>
  <c r="J412" i="9"/>
  <c r="K412" i="9"/>
  <c r="L412" i="9"/>
  <c r="M412" i="9"/>
  <c r="N412" i="9"/>
  <c r="B413" i="9"/>
  <c r="C413" i="9"/>
  <c r="D413" i="9"/>
  <c r="E413" i="9"/>
  <c r="F413" i="9"/>
  <c r="G413" i="9"/>
  <c r="H413" i="9"/>
  <c r="I413" i="9"/>
  <c r="J413" i="9"/>
  <c r="K413" i="9"/>
  <c r="L413" i="9"/>
  <c r="M413" i="9"/>
  <c r="N413" i="9"/>
  <c r="B414" i="9"/>
  <c r="C414" i="9"/>
  <c r="D414" i="9"/>
  <c r="E414" i="9"/>
  <c r="F414" i="9"/>
  <c r="G414" i="9"/>
  <c r="H414" i="9"/>
  <c r="I414" i="9"/>
  <c r="J414" i="9"/>
  <c r="K414" i="9"/>
  <c r="L414" i="9"/>
  <c r="M414" i="9"/>
  <c r="N414" i="9"/>
  <c r="B415" i="9"/>
  <c r="C415" i="9"/>
  <c r="D415" i="9"/>
  <c r="E415" i="9"/>
  <c r="F415" i="9"/>
  <c r="G415" i="9"/>
  <c r="H415" i="9"/>
  <c r="I415" i="9"/>
  <c r="J415" i="9"/>
  <c r="K415" i="9"/>
  <c r="L415" i="9"/>
  <c r="M415" i="9"/>
  <c r="N415" i="9"/>
  <c r="B416" i="9"/>
  <c r="C416" i="9"/>
  <c r="D416" i="9"/>
  <c r="E416" i="9"/>
  <c r="F416" i="9"/>
  <c r="G416" i="9"/>
  <c r="H416" i="9"/>
  <c r="I416" i="9"/>
  <c r="J416" i="9"/>
  <c r="K416" i="9"/>
  <c r="L416" i="9"/>
  <c r="M416" i="9"/>
  <c r="N416" i="9"/>
  <c r="B417" i="9"/>
  <c r="C417" i="9"/>
  <c r="D417" i="9"/>
  <c r="E417" i="9"/>
  <c r="F417" i="9"/>
  <c r="G417" i="9"/>
  <c r="H417" i="9"/>
  <c r="I417" i="9"/>
  <c r="J417" i="9"/>
  <c r="K417" i="9"/>
  <c r="L417" i="9"/>
  <c r="M417" i="9"/>
  <c r="N417" i="9"/>
  <c r="B418" i="9"/>
  <c r="C418" i="9"/>
  <c r="D418" i="9"/>
  <c r="E418" i="9"/>
  <c r="F418" i="9"/>
  <c r="G418" i="9"/>
  <c r="H418" i="9"/>
  <c r="I418" i="9"/>
  <c r="J418" i="9"/>
  <c r="K418" i="9"/>
  <c r="L418" i="9"/>
  <c r="M418" i="9"/>
  <c r="N418" i="9"/>
  <c r="B419" i="9"/>
  <c r="C419" i="9"/>
  <c r="D419" i="9"/>
  <c r="E419" i="9"/>
  <c r="F419" i="9"/>
  <c r="G419" i="9"/>
  <c r="H419" i="9"/>
  <c r="I419" i="9"/>
  <c r="J419" i="9"/>
  <c r="K419" i="9"/>
  <c r="L419" i="9"/>
  <c r="M419" i="9"/>
  <c r="N419" i="9"/>
  <c r="B420" i="9"/>
  <c r="C420" i="9"/>
  <c r="D420" i="9"/>
  <c r="E420" i="9"/>
  <c r="F420" i="9"/>
  <c r="G420" i="9"/>
  <c r="H420" i="9"/>
  <c r="I420" i="9"/>
  <c r="J420" i="9"/>
  <c r="K420" i="9"/>
  <c r="L420" i="9"/>
  <c r="M420" i="9"/>
  <c r="N420" i="9"/>
  <c r="B421" i="9"/>
  <c r="C421" i="9"/>
  <c r="D421" i="9"/>
  <c r="E421" i="9"/>
  <c r="F421" i="9"/>
  <c r="G421" i="9"/>
  <c r="H421" i="9"/>
  <c r="I421" i="9"/>
  <c r="J421" i="9"/>
  <c r="K421" i="9"/>
  <c r="L421" i="9"/>
  <c r="M421" i="9"/>
  <c r="N421" i="9"/>
  <c r="B422" i="9"/>
  <c r="C422" i="9"/>
  <c r="D422" i="9"/>
  <c r="E422" i="9"/>
  <c r="F422" i="9"/>
  <c r="G422" i="9"/>
  <c r="H422" i="9"/>
  <c r="I422" i="9"/>
  <c r="J422" i="9"/>
  <c r="K422" i="9"/>
  <c r="L422" i="9"/>
  <c r="M422" i="9"/>
  <c r="N422" i="9"/>
  <c r="B423" i="9"/>
  <c r="C423" i="9"/>
  <c r="D423" i="9"/>
  <c r="E423" i="9"/>
  <c r="F423" i="9"/>
  <c r="G423" i="9"/>
  <c r="H423" i="9"/>
  <c r="I423" i="9"/>
  <c r="J423" i="9"/>
  <c r="K423" i="9"/>
  <c r="L423" i="9"/>
  <c r="M423" i="9"/>
  <c r="N423" i="9"/>
  <c r="B424" i="9"/>
  <c r="C424" i="9"/>
  <c r="D424" i="9"/>
  <c r="E424" i="9"/>
  <c r="F424" i="9"/>
  <c r="G424" i="9"/>
  <c r="H424" i="9"/>
  <c r="I424" i="9"/>
  <c r="J424" i="9"/>
  <c r="K424" i="9"/>
  <c r="L424" i="9"/>
  <c r="M424" i="9"/>
  <c r="N424" i="9"/>
  <c r="B425" i="9"/>
  <c r="C425" i="9"/>
  <c r="D425" i="9"/>
  <c r="E425" i="9"/>
  <c r="F425" i="9"/>
  <c r="G425" i="9"/>
  <c r="H425" i="9"/>
  <c r="I425" i="9"/>
  <c r="J425" i="9"/>
  <c r="K425" i="9"/>
  <c r="L425" i="9"/>
  <c r="M425" i="9"/>
  <c r="N425" i="9"/>
  <c r="B426" i="9"/>
  <c r="C426" i="9"/>
  <c r="D426" i="9"/>
  <c r="E426" i="9"/>
  <c r="F426" i="9"/>
  <c r="G426" i="9"/>
  <c r="H426" i="9"/>
  <c r="I426" i="9"/>
  <c r="J426" i="9"/>
  <c r="K426" i="9"/>
  <c r="L426" i="9"/>
  <c r="M426" i="9"/>
  <c r="N426" i="9"/>
  <c r="B427" i="9"/>
  <c r="C427" i="9"/>
  <c r="D427" i="9"/>
  <c r="E427" i="9"/>
  <c r="F427" i="9"/>
  <c r="G427" i="9"/>
  <c r="H427" i="9"/>
  <c r="I427" i="9"/>
  <c r="J427" i="9"/>
  <c r="K427" i="9"/>
  <c r="L427" i="9"/>
  <c r="M427" i="9"/>
  <c r="N427" i="9"/>
  <c r="B428" i="9"/>
  <c r="C428" i="9"/>
  <c r="D428" i="9"/>
  <c r="E428" i="9"/>
  <c r="F428" i="9"/>
  <c r="G428" i="9"/>
  <c r="H428" i="9"/>
  <c r="I428" i="9"/>
  <c r="J428" i="9"/>
  <c r="K428" i="9"/>
  <c r="L428" i="9"/>
  <c r="M428" i="9"/>
  <c r="N428" i="9"/>
  <c r="B429" i="9"/>
  <c r="C429" i="9"/>
  <c r="D429" i="9"/>
  <c r="E429" i="9"/>
  <c r="F429" i="9"/>
  <c r="G429" i="9"/>
  <c r="H429" i="9"/>
  <c r="I429" i="9"/>
  <c r="J429" i="9"/>
  <c r="K429" i="9"/>
  <c r="L429" i="9"/>
  <c r="M429" i="9"/>
  <c r="N429" i="9"/>
  <c r="B430" i="9"/>
  <c r="C430" i="9"/>
  <c r="D430" i="9"/>
  <c r="E430" i="9"/>
  <c r="F430" i="9"/>
  <c r="G430" i="9"/>
  <c r="H430" i="9"/>
  <c r="I430" i="9"/>
  <c r="J430" i="9"/>
  <c r="K430" i="9"/>
  <c r="L430" i="9"/>
  <c r="M430" i="9"/>
  <c r="N430" i="9"/>
  <c r="B431" i="9"/>
  <c r="C431" i="9"/>
  <c r="D431" i="9"/>
  <c r="E431" i="9"/>
  <c r="F431" i="9"/>
  <c r="G431" i="9"/>
  <c r="H431" i="9"/>
  <c r="I431" i="9"/>
  <c r="J431" i="9"/>
  <c r="K431" i="9"/>
  <c r="L431" i="9"/>
  <c r="M431" i="9"/>
  <c r="N431" i="9"/>
  <c r="B432" i="9"/>
  <c r="C432" i="9"/>
  <c r="D432" i="9"/>
  <c r="E432" i="9"/>
  <c r="F432" i="9"/>
  <c r="G432" i="9"/>
  <c r="H432" i="9"/>
  <c r="I432" i="9"/>
  <c r="J432" i="9"/>
  <c r="K432" i="9"/>
  <c r="L432" i="9"/>
  <c r="M432" i="9"/>
  <c r="N432" i="9"/>
  <c r="B433" i="9"/>
  <c r="C433" i="9"/>
  <c r="D433" i="9"/>
  <c r="E433" i="9"/>
  <c r="F433" i="9"/>
  <c r="G433" i="9"/>
  <c r="H433" i="9"/>
  <c r="I433" i="9"/>
  <c r="J433" i="9"/>
  <c r="K433" i="9"/>
  <c r="L433" i="9"/>
  <c r="M433" i="9"/>
  <c r="N433" i="9"/>
  <c r="B434" i="9"/>
  <c r="C434" i="9"/>
  <c r="D434" i="9"/>
  <c r="E434" i="9"/>
  <c r="F434" i="9"/>
  <c r="G434" i="9"/>
  <c r="H434" i="9"/>
  <c r="I434" i="9"/>
  <c r="J434" i="9"/>
  <c r="K434" i="9"/>
  <c r="L434" i="9"/>
  <c r="M434" i="9"/>
  <c r="N434" i="9"/>
  <c r="B435" i="9"/>
  <c r="C435" i="9"/>
  <c r="D435" i="9"/>
  <c r="E435" i="9"/>
  <c r="F435" i="9"/>
  <c r="G435" i="9"/>
  <c r="H435" i="9"/>
  <c r="I435" i="9"/>
  <c r="J435" i="9"/>
  <c r="K435" i="9"/>
  <c r="L435" i="9"/>
  <c r="M435" i="9"/>
  <c r="N435" i="9"/>
  <c r="B436" i="9"/>
  <c r="C436" i="9"/>
  <c r="D436" i="9"/>
  <c r="E436" i="9"/>
  <c r="F436" i="9"/>
  <c r="G436" i="9"/>
  <c r="H436" i="9"/>
  <c r="I436" i="9"/>
  <c r="J436" i="9"/>
  <c r="K436" i="9"/>
  <c r="L436" i="9"/>
  <c r="M436" i="9"/>
  <c r="N436" i="9"/>
  <c r="B437" i="9"/>
  <c r="C437" i="9"/>
  <c r="D437" i="9"/>
  <c r="E437" i="9"/>
  <c r="F437" i="9"/>
  <c r="G437" i="9"/>
  <c r="H437" i="9"/>
  <c r="I437" i="9"/>
  <c r="J437" i="9"/>
  <c r="K437" i="9"/>
  <c r="L437" i="9"/>
  <c r="M437" i="9"/>
  <c r="N437" i="9"/>
  <c r="B438" i="9"/>
  <c r="C438" i="9"/>
  <c r="D438" i="9"/>
  <c r="E438" i="9"/>
  <c r="F438" i="9"/>
  <c r="G438" i="9"/>
  <c r="H438" i="9"/>
  <c r="I438" i="9"/>
  <c r="J438" i="9"/>
  <c r="K438" i="9"/>
  <c r="L438" i="9"/>
  <c r="M438" i="9"/>
  <c r="N438" i="9"/>
  <c r="B439" i="9"/>
  <c r="C439" i="9"/>
  <c r="D439" i="9"/>
  <c r="E439" i="9"/>
  <c r="F439" i="9"/>
  <c r="G439" i="9"/>
  <c r="H439" i="9"/>
  <c r="I439" i="9"/>
  <c r="J439" i="9"/>
  <c r="K439" i="9"/>
  <c r="L439" i="9"/>
  <c r="M439" i="9"/>
  <c r="N439" i="9"/>
  <c r="B440" i="9"/>
  <c r="C440" i="9"/>
  <c r="D440" i="9"/>
  <c r="E440" i="9"/>
  <c r="F440" i="9"/>
  <c r="G440" i="9"/>
  <c r="H440" i="9"/>
  <c r="I440" i="9"/>
  <c r="J440" i="9"/>
  <c r="K440" i="9"/>
  <c r="L440" i="9"/>
  <c r="M440" i="9"/>
  <c r="N440" i="9"/>
  <c r="B441" i="9"/>
  <c r="C441" i="9"/>
  <c r="D441" i="9"/>
  <c r="E441" i="9"/>
  <c r="F441" i="9"/>
  <c r="G441" i="9"/>
  <c r="H441" i="9"/>
  <c r="I441" i="9"/>
  <c r="J441" i="9"/>
  <c r="K441" i="9"/>
  <c r="L441" i="9"/>
  <c r="M441" i="9"/>
  <c r="N441" i="9"/>
  <c r="B442" i="9"/>
  <c r="C442" i="9"/>
  <c r="D442" i="9"/>
  <c r="E442" i="9"/>
  <c r="F442" i="9"/>
  <c r="G442" i="9"/>
  <c r="H442" i="9"/>
  <c r="I442" i="9"/>
  <c r="J442" i="9"/>
  <c r="K442" i="9"/>
  <c r="L442" i="9"/>
  <c r="M442" i="9"/>
  <c r="N442" i="9"/>
  <c r="B443" i="9"/>
  <c r="C443" i="9"/>
  <c r="D443" i="9"/>
  <c r="E443" i="9"/>
  <c r="F443" i="9"/>
  <c r="G443" i="9"/>
  <c r="H443" i="9"/>
  <c r="I443" i="9"/>
  <c r="J443" i="9"/>
  <c r="K443" i="9"/>
  <c r="L443" i="9"/>
  <c r="M443" i="9"/>
  <c r="N443" i="9"/>
  <c r="B444" i="9"/>
  <c r="C444" i="9"/>
  <c r="D444" i="9"/>
  <c r="E444" i="9"/>
  <c r="F444" i="9"/>
  <c r="G444" i="9"/>
  <c r="H444" i="9"/>
  <c r="I444" i="9"/>
  <c r="J444" i="9"/>
  <c r="K444" i="9"/>
  <c r="L444" i="9"/>
  <c r="M444" i="9"/>
  <c r="N444" i="9"/>
  <c r="B445" i="9"/>
  <c r="C445" i="9"/>
  <c r="D445" i="9"/>
  <c r="E445" i="9"/>
  <c r="F445" i="9"/>
  <c r="G445" i="9"/>
  <c r="H445" i="9"/>
  <c r="I445" i="9"/>
  <c r="J445" i="9"/>
  <c r="K445" i="9"/>
  <c r="L445" i="9"/>
  <c r="M445" i="9"/>
  <c r="N445" i="9"/>
  <c r="B446" i="9"/>
  <c r="C446" i="9"/>
  <c r="D446" i="9"/>
  <c r="E446" i="9"/>
  <c r="F446" i="9"/>
  <c r="G446" i="9"/>
  <c r="H446" i="9"/>
  <c r="I446" i="9"/>
  <c r="J446" i="9"/>
  <c r="K446" i="9"/>
  <c r="L446" i="9"/>
  <c r="M446" i="9"/>
  <c r="N446" i="9"/>
  <c r="B447" i="9"/>
  <c r="C447" i="9"/>
  <c r="D447" i="9"/>
  <c r="E447" i="9"/>
  <c r="F447" i="9"/>
  <c r="G447" i="9"/>
  <c r="H447" i="9"/>
  <c r="I447" i="9"/>
  <c r="J447" i="9"/>
  <c r="K447" i="9"/>
  <c r="L447" i="9"/>
  <c r="M447" i="9"/>
  <c r="N447" i="9"/>
  <c r="B448" i="9"/>
  <c r="C448" i="9"/>
  <c r="D448" i="9"/>
  <c r="E448" i="9"/>
  <c r="F448" i="9"/>
  <c r="G448" i="9"/>
  <c r="H448" i="9"/>
  <c r="I448" i="9"/>
  <c r="J448" i="9"/>
  <c r="K448" i="9"/>
  <c r="L448" i="9"/>
  <c r="M448" i="9"/>
  <c r="N448" i="9"/>
  <c r="B449" i="9"/>
  <c r="C449" i="9"/>
  <c r="D449" i="9"/>
  <c r="E449" i="9"/>
  <c r="F449" i="9"/>
  <c r="G449" i="9"/>
  <c r="H449" i="9"/>
  <c r="I449" i="9"/>
  <c r="J449" i="9"/>
  <c r="K449" i="9"/>
  <c r="L449" i="9"/>
  <c r="M449" i="9"/>
  <c r="N449" i="9"/>
  <c r="B450" i="9"/>
  <c r="C450" i="9"/>
  <c r="D450" i="9"/>
  <c r="E450" i="9"/>
  <c r="F450" i="9"/>
  <c r="G450" i="9"/>
  <c r="H450" i="9"/>
  <c r="I450" i="9"/>
  <c r="J450" i="9"/>
  <c r="K450" i="9"/>
  <c r="L450" i="9"/>
  <c r="M450" i="9"/>
  <c r="N450" i="9"/>
  <c r="B451" i="9"/>
  <c r="C451" i="9"/>
  <c r="D451" i="9"/>
  <c r="E451" i="9"/>
  <c r="F451" i="9"/>
  <c r="G451" i="9"/>
  <c r="H451" i="9"/>
  <c r="I451" i="9"/>
  <c r="J451" i="9"/>
  <c r="K451" i="9"/>
  <c r="L451" i="9"/>
  <c r="M451" i="9"/>
  <c r="N451" i="9"/>
  <c r="B452" i="9"/>
  <c r="C452" i="9"/>
  <c r="D452" i="9"/>
  <c r="E452" i="9"/>
  <c r="F452" i="9"/>
  <c r="G452" i="9"/>
  <c r="H452" i="9"/>
  <c r="I452" i="9"/>
  <c r="J452" i="9"/>
  <c r="K452" i="9"/>
  <c r="L452" i="9"/>
  <c r="M452" i="9"/>
  <c r="N452" i="9"/>
  <c r="B453" i="9"/>
  <c r="C453" i="9"/>
  <c r="D453" i="9"/>
  <c r="E453" i="9"/>
  <c r="F453" i="9"/>
  <c r="G453" i="9"/>
  <c r="H453" i="9"/>
  <c r="I453" i="9"/>
  <c r="J453" i="9"/>
  <c r="K453" i="9"/>
  <c r="L453" i="9"/>
  <c r="M453" i="9"/>
  <c r="N453" i="9"/>
  <c r="B454" i="9"/>
  <c r="C454" i="9"/>
  <c r="D454" i="9"/>
  <c r="E454" i="9"/>
  <c r="F454" i="9"/>
  <c r="G454" i="9"/>
  <c r="H454" i="9"/>
  <c r="I454" i="9"/>
  <c r="J454" i="9"/>
  <c r="K454" i="9"/>
  <c r="L454" i="9"/>
  <c r="M454" i="9"/>
  <c r="N454" i="9"/>
  <c r="B455" i="9"/>
  <c r="C455" i="9"/>
  <c r="D455" i="9"/>
  <c r="E455" i="9"/>
  <c r="F455" i="9"/>
  <c r="G455" i="9"/>
  <c r="H455" i="9"/>
  <c r="I455" i="9"/>
  <c r="J455" i="9"/>
  <c r="K455" i="9"/>
  <c r="L455" i="9"/>
  <c r="M455" i="9"/>
  <c r="N455" i="9"/>
  <c r="B456" i="9"/>
  <c r="C456" i="9"/>
  <c r="D456" i="9"/>
  <c r="E456" i="9"/>
  <c r="F456" i="9"/>
  <c r="G456" i="9"/>
  <c r="H456" i="9"/>
  <c r="I456" i="9"/>
  <c r="J456" i="9"/>
  <c r="K456" i="9"/>
  <c r="L456" i="9"/>
  <c r="M456" i="9"/>
  <c r="N456" i="9"/>
  <c r="B457" i="9"/>
  <c r="C457" i="9"/>
  <c r="D457" i="9"/>
  <c r="E457" i="9"/>
  <c r="F457" i="9"/>
  <c r="G457" i="9"/>
  <c r="H457" i="9"/>
  <c r="I457" i="9"/>
  <c r="J457" i="9"/>
  <c r="K457" i="9"/>
  <c r="L457" i="9"/>
  <c r="M457" i="9"/>
  <c r="N457" i="9"/>
  <c r="B458" i="9"/>
  <c r="C458" i="9"/>
  <c r="D458" i="9"/>
  <c r="E458" i="9"/>
  <c r="F458" i="9"/>
  <c r="G458" i="9"/>
  <c r="H458" i="9"/>
  <c r="I458" i="9"/>
  <c r="J458" i="9"/>
  <c r="K458" i="9"/>
  <c r="L458" i="9"/>
  <c r="M458" i="9"/>
  <c r="N458" i="9"/>
  <c r="B459" i="9"/>
  <c r="C459" i="9"/>
  <c r="D459" i="9"/>
  <c r="E459" i="9"/>
  <c r="F459" i="9"/>
  <c r="G459" i="9"/>
  <c r="H459" i="9"/>
  <c r="I459" i="9"/>
  <c r="J459" i="9"/>
  <c r="K459" i="9"/>
  <c r="L459" i="9"/>
  <c r="M459" i="9"/>
  <c r="N459" i="9"/>
  <c r="B460" i="9"/>
  <c r="C460" i="9"/>
  <c r="D460" i="9"/>
  <c r="E460" i="9"/>
  <c r="F460" i="9"/>
  <c r="G460" i="9"/>
  <c r="H460" i="9"/>
  <c r="I460" i="9"/>
  <c r="J460" i="9"/>
  <c r="K460" i="9"/>
  <c r="L460" i="9"/>
  <c r="M460" i="9"/>
  <c r="N460" i="9"/>
  <c r="B461" i="9"/>
  <c r="C461" i="9"/>
  <c r="D461" i="9"/>
  <c r="E461" i="9"/>
  <c r="F461" i="9"/>
  <c r="G461" i="9"/>
  <c r="H461" i="9"/>
  <c r="I461" i="9"/>
  <c r="J461" i="9"/>
  <c r="K461" i="9"/>
  <c r="L461" i="9"/>
  <c r="M461" i="9"/>
  <c r="N461" i="9"/>
  <c r="B462" i="9"/>
  <c r="C462" i="9"/>
  <c r="D462" i="9"/>
  <c r="E462" i="9"/>
  <c r="F462" i="9"/>
  <c r="G462" i="9"/>
  <c r="H462" i="9"/>
  <c r="I462" i="9"/>
  <c r="J462" i="9"/>
  <c r="K462" i="9"/>
  <c r="L462" i="9"/>
  <c r="M462" i="9"/>
  <c r="N462" i="9"/>
  <c r="B463" i="9"/>
  <c r="C463" i="9"/>
  <c r="D463" i="9"/>
  <c r="E463" i="9"/>
  <c r="F463" i="9"/>
  <c r="G463" i="9"/>
  <c r="H463" i="9"/>
  <c r="I463" i="9"/>
  <c r="J463" i="9"/>
  <c r="K463" i="9"/>
  <c r="L463" i="9"/>
  <c r="M463" i="9"/>
  <c r="N463" i="9"/>
  <c r="B464" i="9"/>
  <c r="C464" i="9"/>
  <c r="D464" i="9"/>
  <c r="E464" i="9"/>
  <c r="F464" i="9"/>
  <c r="G464" i="9"/>
  <c r="H464" i="9"/>
  <c r="I464" i="9"/>
  <c r="J464" i="9"/>
  <c r="K464" i="9"/>
  <c r="L464" i="9"/>
  <c r="M464" i="9"/>
  <c r="N464" i="9"/>
  <c r="B465" i="9"/>
  <c r="C465" i="9"/>
  <c r="D465" i="9"/>
  <c r="E465" i="9"/>
  <c r="F465" i="9"/>
  <c r="G465" i="9"/>
  <c r="H465" i="9"/>
  <c r="I465" i="9"/>
  <c r="J465" i="9"/>
  <c r="K465" i="9"/>
  <c r="L465" i="9"/>
  <c r="M465" i="9"/>
  <c r="N465" i="9"/>
  <c r="B466" i="9"/>
  <c r="C466" i="9"/>
  <c r="D466" i="9"/>
  <c r="E466" i="9"/>
  <c r="F466" i="9"/>
  <c r="G466" i="9"/>
  <c r="H466" i="9"/>
  <c r="I466" i="9"/>
  <c r="J466" i="9"/>
  <c r="K466" i="9"/>
  <c r="L466" i="9"/>
  <c r="M466" i="9"/>
  <c r="N466" i="9"/>
  <c r="B467" i="9"/>
  <c r="C467" i="9"/>
  <c r="D467" i="9"/>
  <c r="E467" i="9"/>
  <c r="F467" i="9"/>
  <c r="G467" i="9"/>
  <c r="H467" i="9"/>
  <c r="I467" i="9"/>
  <c r="J467" i="9"/>
  <c r="K467" i="9"/>
  <c r="L467" i="9"/>
  <c r="M467" i="9"/>
  <c r="N467" i="9"/>
  <c r="B468" i="9"/>
  <c r="C468" i="9"/>
  <c r="D468" i="9"/>
  <c r="E468" i="9"/>
  <c r="F468" i="9"/>
  <c r="G468" i="9"/>
  <c r="H468" i="9"/>
  <c r="I468" i="9"/>
  <c r="J468" i="9"/>
  <c r="K468" i="9"/>
  <c r="L468" i="9"/>
  <c r="M468" i="9"/>
  <c r="N468" i="9"/>
  <c r="B469" i="9"/>
  <c r="C469" i="9"/>
  <c r="D469" i="9"/>
  <c r="E469" i="9"/>
  <c r="F469" i="9"/>
  <c r="G469" i="9"/>
  <c r="H469" i="9"/>
  <c r="I469" i="9"/>
  <c r="J469" i="9"/>
  <c r="K469" i="9"/>
  <c r="L469" i="9"/>
  <c r="M469" i="9"/>
  <c r="N469" i="9"/>
  <c r="B470" i="9"/>
  <c r="C470" i="9"/>
  <c r="D470" i="9"/>
  <c r="E470" i="9"/>
  <c r="F470" i="9"/>
  <c r="G470" i="9"/>
  <c r="H470" i="9"/>
  <c r="I470" i="9"/>
  <c r="J470" i="9"/>
  <c r="K470" i="9"/>
  <c r="L470" i="9"/>
  <c r="M470" i="9"/>
  <c r="N470" i="9"/>
  <c r="B471" i="9"/>
  <c r="C471" i="9"/>
  <c r="D471" i="9"/>
  <c r="E471" i="9"/>
  <c r="F471" i="9"/>
  <c r="G471" i="9"/>
  <c r="H471" i="9"/>
  <c r="I471" i="9"/>
  <c r="J471" i="9"/>
  <c r="K471" i="9"/>
  <c r="L471" i="9"/>
  <c r="M471" i="9"/>
  <c r="N471" i="9"/>
  <c r="B472" i="9"/>
  <c r="C472" i="9"/>
  <c r="D472" i="9"/>
  <c r="E472" i="9"/>
  <c r="F472" i="9"/>
  <c r="G472" i="9"/>
  <c r="H472" i="9"/>
  <c r="I472" i="9"/>
  <c r="J472" i="9"/>
  <c r="K472" i="9"/>
  <c r="L472" i="9"/>
  <c r="M472" i="9"/>
  <c r="N472" i="9"/>
  <c r="B473" i="9"/>
  <c r="C473" i="9"/>
  <c r="D473" i="9"/>
  <c r="E473" i="9"/>
  <c r="F473" i="9"/>
  <c r="G473" i="9"/>
  <c r="H473" i="9"/>
  <c r="I473" i="9"/>
  <c r="J473" i="9"/>
  <c r="K473" i="9"/>
  <c r="L473" i="9"/>
  <c r="M473" i="9"/>
  <c r="N473" i="9"/>
  <c r="B474" i="9"/>
  <c r="C474" i="9"/>
  <c r="D474" i="9"/>
  <c r="E474" i="9"/>
  <c r="F474" i="9"/>
  <c r="G474" i="9"/>
  <c r="H474" i="9"/>
  <c r="I474" i="9"/>
  <c r="J474" i="9"/>
  <c r="K474" i="9"/>
  <c r="L474" i="9"/>
  <c r="M474" i="9"/>
  <c r="N474" i="9"/>
  <c r="B475" i="9"/>
  <c r="C475" i="9"/>
  <c r="D475" i="9"/>
  <c r="E475" i="9"/>
  <c r="F475" i="9"/>
  <c r="G475" i="9"/>
  <c r="H475" i="9"/>
  <c r="I475" i="9"/>
  <c r="J475" i="9"/>
  <c r="K475" i="9"/>
  <c r="L475" i="9"/>
  <c r="M475" i="9"/>
  <c r="N475" i="9"/>
  <c r="B476" i="9"/>
  <c r="C476" i="9"/>
  <c r="D476" i="9"/>
  <c r="E476" i="9"/>
  <c r="F476" i="9"/>
  <c r="G476" i="9"/>
  <c r="H476" i="9"/>
  <c r="I476" i="9"/>
  <c r="J476" i="9"/>
  <c r="K476" i="9"/>
  <c r="L476" i="9"/>
  <c r="M476" i="9"/>
  <c r="N476" i="9"/>
  <c r="B477" i="9"/>
  <c r="C477" i="9"/>
  <c r="D477" i="9"/>
  <c r="E477" i="9"/>
  <c r="F477" i="9"/>
  <c r="G477" i="9"/>
  <c r="H477" i="9"/>
  <c r="I477" i="9"/>
  <c r="J477" i="9"/>
  <c r="K477" i="9"/>
  <c r="L477" i="9"/>
  <c r="M477" i="9"/>
  <c r="N477" i="9"/>
  <c r="B478" i="9"/>
  <c r="C478" i="9"/>
  <c r="D478" i="9"/>
  <c r="E478" i="9"/>
  <c r="F478" i="9"/>
  <c r="G478" i="9"/>
  <c r="H478" i="9"/>
  <c r="I478" i="9"/>
  <c r="J478" i="9"/>
  <c r="K478" i="9"/>
  <c r="L478" i="9"/>
  <c r="M478" i="9"/>
  <c r="N478" i="9"/>
  <c r="B479" i="9"/>
  <c r="C479" i="9"/>
  <c r="D479" i="9"/>
  <c r="E479" i="9"/>
  <c r="F479" i="9"/>
  <c r="G479" i="9"/>
  <c r="H479" i="9"/>
  <c r="I479" i="9"/>
  <c r="J479" i="9"/>
  <c r="K479" i="9"/>
  <c r="L479" i="9"/>
  <c r="M479" i="9"/>
  <c r="N479" i="9"/>
  <c r="B480" i="9"/>
  <c r="C480" i="9"/>
  <c r="D480" i="9"/>
  <c r="E480" i="9"/>
  <c r="F480" i="9"/>
  <c r="G480" i="9"/>
  <c r="H480" i="9"/>
  <c r="I480" i="9"/>
  <c r="J480" i="9"/>
  <c r="K480" i="9"/>
  <c r="L480" i="9"/>
  <c r="M480" i="9"/>
  <c r="N480" i="9"/>
  <c r="B481" i="9"/>
  <c r="C481" i="9"/>
  <c r="D481" i="9"/>
  <c r="E481" i="9"/>
  <c r="F481" i="9"/>
  <c r="G481" i="9"/>
  <c r="H481" i="9"/>
  <c r="I481" i="9"/>
  <c r="J481" i="9"/>
  <c r="K481" i="9"/>
  <c r="L481" i="9"/>
  <c r="M481" i="9"/>
  <c r="N481" i="9"/>
  <c r="B482" i="9"/>
  <c r="C482" i="9"/>
  <c r="D482" i="9"/>
  <c r="E482" i="9"/>
  <c r="F482" i="9"/>
  <c r="G482" i="9"/>
  <c r="H482" i="9"/>
  <c r="I482" i="9"/>
  <c r="J482" i="9"/>
  <c r="K482" i="9"/>
  <c r="L482" i="9"/>
  <c r="M482" i="9"/>
  <c r="N482" i="9"/>
  <c r="B483" i="9"/>
  <c r="C483" i="9"/>
  <c r="D483" i="9"/>
  <c r="E483" i="9"/>
  <c r="F483" i="9"/>
  <c r="G483" i="9"/>
  <c r="H483" i="9"/>
  <c r="I483" i="9"/>
  <c r="J483" i="9"/>
  <c r="K483" i="9"/>
  <c r="L483" i="9"/>
  <c r="M483" i="9"/>
  <c r="N483" i="9"/>
  <c r="B484" i="9"/>
  <c r="C484" i="9"/>
  <c r="D484" i="9"/>
  <c r="E484" i="9"/>
  <c r="F484" i="9"/>
  <c r="G484" i="9"/>
  <c r="H484" i="9"/>
  <c r="I484" i="9"/>
  <c r="J484" i="9"/>
  <c r="K484" i="9"/>
  <c r="L484" i="9"/>
  <c r="M484" i="9"/>
  <c r="N484" i="9"/>
  <c r="B485" i="9"/>
  <c r="C485" i="9"/>
  <c r="D485" i="9"/>
  <c r="E485" i="9"/>
  <c r="F485" i="9"/>
  <c r="G485" i="9"/>
  <c r="H485" i="9"/>
  <c r="I485" i="9"/>
  <c r="J485" i="9"/>
  <c r="K485" i="9"/>
  <c r="L485" i="9"/>
  <c r="M485" i="9"/>
  <c r="N485" i="9"/>
  <c r="B486" i="9"/>
  <c r="C486" i="9"/>
  <c r="D486" i="9"/>
  <c r="E486" i="9"/>
  <c r="F486" i="9"/>
  <c r="G486" i="9"/>
  <c r="H486" i="9"/>
  <c r="I486" i="9"/>
  <c r="J486" i="9"/>
  <c r="K486" i="9"/>
  <c r="L486" i="9"/>
  <c r="M486" i="9"/>
  <c r="N486" i="9"/>
  <c r="B487" i="9"/>
  <c r="C487" i="9"/>
  <c r="D487" i="9"/>
  <c r="E487" i="9"/>
  <c r="F487" i="9"/>
  <c r="G487" i="9"/>
  <c r="H487" i="9"/>
  <c r="I487" i="9"/>
  <c r="J487" i="9"/>
  <c r="K487" i="9"/>
  <c r="L487" i="9"/>
  <c r="M487" i="9"/>
  <c r="N487" i="9"/>
  <c r="B488" i="9"/>
  <c r="C488" i="9"/>
  <c r="D488" i="9"/>
  <c r="E488" i="9"/>
  <c r="F488" i="9"/>
  <c r="G488" i="9"/>
  <c r="H488" i="9"/>
  <c r="I488" i="9"/>
  <c r="J488" i="9"/>
  <c r="K488" i="9"/>
  <c r="L488" i="9"/>
  <c r="M488" i="9"/>
  <c r="N488" i="9"/>
  <c r="B489" i="9"/>
  <c r="C489" i="9"/>
  <c r="D489" i="9"/>
  <c r="E489" i="9"/>
  <c r="F489" i="9"/>
  <c r="G489" i="9"/>
  <c r="H489" i="9"/>
  <c r="I489" i="9"/>
  <c r="J489" i="9"/>
  <c r="K489" i="9"/>
  <c r="L489" i="9"/>
  <c r="M489" i="9"/>
  <c r="N489" i="9"/>
  <c r="B490" i="9"/>
  <c r="C490" i="9"/>
  <c r="D490" i="9"/>
  <c r="E490" i="9"/>
  <c r="F490" i="9"/>
  <c r="G490" i="9"/>
  <c r="H490" i="9"/>
  <c r="I490" i="9"/>
  <c r="J490" i="9"/>
  <c r="K490" i="9"/>
  <c r="L490" i="9"/>
  <c r="M490" i="9"/>
  <c r="N490" i="9"/>
  <c r="B491" i="9"/>
  <c r="C491" i="9"/>
  <c r="D491" i="9"/>
  <c r="E491" i="9"/>
  <c r="F491" i="9"/>
  <c r="G491" i="9"/>
  <c r="H491" i="9"/>
  <c r="I491" i="9"/>
  <c r="J491" i="9"/>
  <c r="K491" i="9"/>
  <c r="L491" i="9"/>
  <c r="M491" i="9"/>
  <c r="N491" i="9"/>
  <c r="B492" i="9"/>
  <c r="C492" i="9"/>
  <c r="D492" i="9"/>
  <c r="E492" i="9"/>
  <c r="F492" i="9"/>
  <c r="G492" i="9"/>
  <c r="H492" i="9"/>
  <c r="I492" i="9"/>
  <c r="J492" i="9"/>
  <c r="K492" i="9"/>
  <c r="L492" i="9"/>
  <c r="M492" i="9"/>
  <c r="N492" i="9"/>
  <c r="B493" i="9"/>
  <c r="C493" i="9"/>
  <c r="D493" i="9"/>
  <c r="E493" i="9"/>
  <c r="F493" i="9"/>
  <c r="G493" i="9"/>
  <c r="H493" i="9"/>
  <c r="I493" i="9"/>
  <c r="J493" i="9"/>
  <c r="K493" i="9"/>
  <c r="L493" i="9"/>
  <c r="M493" i="9"/>
  <c r="N493" i="9"/>
  <c r="B494" i="9"/>
  <c r="C494" i="9"/>
  <c r="D494" i="9"/>
  <c r="E494" i="9"/>
  <c r="F494" i="9"/>
  <c r="G494" i="9"/>
  <c r="H494" i="9"/>
  <c r="I494" i="9"/>
  <c r="J494" i="9"/>
  <c r="K494" i="9"/>
  <c r="L494" i="9"/>
  <c r="M494" i="9"/>
  <c r="N494" i="9"/>
  <c r="B495" i="9"/>
  <c r="C495" i="9"/>
  <c r="D495" i="9"/>
  <c r="E495" i="9"/>
  <c r="F495" i="9"/>
  <c r="G495" i="9"/>
  <c r="H495" i="9"/>
  <c r="I495" i="9"/>
  <c r="J495" i="9"/>
  <c r="K495" i="9"/>
  <c r="L495" i="9"/>
  <c r="M495" i="9"/>
  <c r="N495" i="9"/>
  <c r="B496" i="9"/>
  <c r="C496" i="9"/>
  <c r="D496" i="9"/>
  <c r="E496" i="9"/>
  <c r="F496" i="9"/>
  <c r="G496" i="9"/>
  <c r="H496" i="9"/>
  <c r="I496" i="9"/>
  <c r="J496" i="9"/>
  <c r="K496" i="9"/>
  <c r="L496" i="9"/>
  <c r="M496" i="9"/>
  <c r="N496" i="9"/>
  <c r="B497" i="9"/>
  <c r="C497" i="9"/>
  <c r="D497" i="9"/>
  <c r="E497" i="9"/>
  <c r="F497" i="9"/>
  <c r="G497" i="9"/>
  <c r="H497" i="9"/>
  <c r="I497" i="9"/>
  <c r="J497" i="9"/>
  <c r="K497" i="9"/>
  <c r="L497" i="9"/>
  <c r="M497" i="9"/>
  <c r="N497" i="9"/>
  <c r="B498" i="9"/>
  <c r="C498" i="9"/>
  <c r="D498" i="9"/>
  <c r="E498" i="9"/>
  <c r="F498" i="9"/>
  <c r="G498" i="9"/>
  <c r="H498" i="9"/>
  <c r="I498" i="9"/>
  <c r="J498" i="9"/>
  <c r="K498" i="9"/>
  <c r="L498" i="9"/>
  <c r="M498" i="9"/>
  <c r="N498" i="9"/>
  <c r="B499" i="9"/>
  <c r="C499" i="9"/>
  <c r="D499" i="9"/>
  <c r="E499" i="9"/>
  <c r="F499" i="9"/>
  <c r="G499" i="9"/>
  <c r="H499" i="9"/>
  <c r="I499" i="9"/>
  <c r="J499" i="9"/>
  <c r="K499" i="9"/>
  <c r="L499" i="9"/>
  <c r="M499" i="9"/>
  <c r="N499" i="9"/>
  <c r="B500" i="9"/>
  <c r="C500" i="9"/>
  <c r="D500" i="9"/>
  <c r="E500" i="9"/>
  <c r="F500" i="9"/>
  <c r="G500" i="9"/>
  <c r="H500" i="9"/>
  <c r="I500" i="9"/>
  <c r="J500" i="9"/>
  <c r="K500" i="9"/>
  <c r="L500" i="9"/>
  <c r="M500" i="9"/>
  <c r="N500" i="9"/>
  <c r="B501" i="9"/>
  <c r="C501" i="9"/>
  <c r="D501" i="9"/>
  <c r="E501" i="9"/>
  <c r="F501" i="9"/>
  <c r="G501" i="9"/>
  <c r="H501" i="9"/>
  <c r="I501" i="9"/>
  <c r="J501" i="9"/>
  <c r="K501" i="9"/>
  <c r="L501" i="9"/>
  <c r="M501" i="9"/>
  <c r="N501" i="9"/>
  <c r="B502" i="9"/>
  <c r="C502" i="9"/>
  <c r="D502" i="9"/>
  <c r="E502" i="9"/>
  <c r="F502" i="9"/>
  <c r="G502" i="9"/>
  <c r="H502" i="9"/>
  <c r="I502" i="9"/>
  <c r="J502" i="9"/>
  <c r="K502" i="9"/>
  <c r="L502" i="9"/>
  <c r="M502" i="9"/>
  <c r="N502" i="9"/>
  <c r="B503" i="9"/>
  <c r="C503" i="9"/>
  <c r="D503" i="9"/>
  <c r="E503" i="9"/>
  <c r="F503" i="9"/>
  <c r="G503" i="9"/>
  <c r="H503" i="9"/>
  <c r="I503" i="9"/>
  <c r="J503" i="9"/>
  <c r="K503" i="9"/>
  <c r="L503" i="9"/>
  <c r="M503" i="9"/>
  <c r="N503" i="9"/>
  <c r="B504" i="9"/>
  <c r="C504" i="9"/>
  <c r="D504" i="9"/>
  <c r="E504" i="9"/>
  <c r="F504" i="9"/>
  <c r="G504" i="9"/>
  <c r="H504" i="9"/>
  <c r="I504" i="9"/>
  <c r="J504" i="9"/>
  <c r="K504" i="9"/>
  <c r="L504" i="9"/>
  <c r="M504" i="9"/>
  <c r="N504" i="9"/>
  <c r="B505" i="9"/>
  <c r="C505" i="9"/>
  <c r="D505" i="9"/>
  <c r="E505" i="9"/>
  <c r="F505" i="9"/>
  <c r="G505" i="9"/>
  <c r="H505" i="9"/>
  <c r="I505" i="9"/>
  <c r="J505" i="9"/>
  <c r="K505" i="9"/>
  <c r="L505" i="9"/>
  <c r="M505" i="9"/>
  <c r="N505" i="9"/>
  <c r="B506" i="9"/>
  <c r="C506" i="9"/>
  <c r="D506" i="9"/>
  <c r="E506" i="9"/>
  <c r="F506" i="9"/>
  <c r="G506" i="9"/>
  <c r="H506" i="9"/>
  <c r="I506" i="9"/>
  <c r="J506" i="9"/>
  <c r="K506" i="9"/>
  <c r="L506" i="9"/>
  <c r="M506" i="9"/>
  <c r="N506" i="9"/>
  <c r="B507" i="9"/>
  <c r="C507" i="9"/>
  <c r="D507" i="9"/>
  <c r="E507" i="9"/>
  <c r="F507" i="9"/>
  <c r="G507" i="9"/>
  <c r="H507" i="9"/>
  <c r="I507" i="9"/>
  <c r="J507" i="9"/>
  <c r="K507" i="9"/>
  <c r="L507" i="9"/>
  <c r="M507" i="9"/>
  <c r="N507" i="9"/>
  <c r="B508" i="9"/>
  <c r="C508" i="9"/>
  <c r="D508" i="9"/>
  <c r="E508" i="9"/>
  <c r="F508" i="9"/>
  <c r="G508" i="9"/>
  <c r="H508" i="9"/>
  <c r="I508" i="9"/>
  <c r="J508" i="9"/>
  <c r="K508" i="9"/>
  <c r="L508" i="9"/>
  <c r="M508" i="9"/>
  <c r="N508" i="9"/>
  <c r="B509" i="9"/>
  <c r="C509" i="9"/>
  <c r="D509" i="9"/>
  <c r="E509" i="9"/>
  <c r="F509" i="9"/>
  <c r="G509" i="9"/>
  <c r="H509" i="9"/>
  <c r="I509" i="9"/>
  <c r="J509" i="9"/>
  <c r="K509" i="9"/>
  <c r="L509" i="9"/>
  <c r="M509" i="9"/>
  <c r="N509" i="9"/>
  <c r="B510" i="9"/>
  <c r="C510" i="9"/>
  <c r="D510" i="9"/>
  <c r="E510" i="9"/>
  <c r="F510" i="9"/>
  <c r="G510" i="9"/>
  <c r="H510" i="9"/>
  <c r="I510" i="9"/>
  <c r="J510" i="9"/>
  <c r="K510" i="9"/>
  <c r="L510" i="9"/>
  <c r="M510" i="9"/>
  <c r="N510" i="9"/>
  <c r="B511" i="9"/>
  <c r="C511" i="9"/>
  <c r="D511" i="9"/>
  <c r="E511" i="9"/>
  <c r="F511" i="9"/>
  <c r="G511" i="9"/>
  <c r="H511" i="9"/>
  <c r="I511" i="9"/>
  <c r="J511" i="9"/>
  <c r="K511" i="9"/>
  <c r="L511" i="9"/>
  <c r="M511" i="9"/>
  <c r="N511" i="9"/>
  <c r="B512" i="9"/>
  <c r="C512" i="9"/>
  <c r="D512" i="9"/>
  <c r="E512" i="9"/>
  <c r="F512" i="9"/>
  <c r="G512" i="9"/>
  <c r="H512" i="9"/>
  <c r="I512" i="9"/>
  <c r="J512" i="9"/>
  <c r="K512" i="9"/>
  <c r="L512" i="9"/>
  <c r="M512" i="9"/>
  <c r="N512" i="9"/>
  <c r="B513" i="9"/>
  <c r="C513" i="9"/>
  <c r="D513" i="9"/>
  <c r="E513" i="9"/>
  <c r="F513" i="9"/>
  <c r="G513" i="9"/>
  <c r="H513" i="9"/>
  <c r="I513" i="9"/>
  <c r="J513" i="9"/>
  <c r="K513" i="9"/>
  <c r="L513" i="9"/>
  <c r="M513" i="9"/>
  <c r="N513" i="9"/>
  <c r="B514" i="9"/>
  <c r="C514" i="9"/>
  <c r="D514" i="9"/>
  <c r="E514" i="9"/>
  <c r="F514" i="9"/>
  <c r="G514" i="9"/>
  <c r="H514" i="9"/>
  <c r="I514" i="9"/>
  <c r="J514" i="9"/>
  <c r="K514" i="9"/>
  <c r="L514" i="9"/>
  <c r="M514" i="9"/>
  <c r="N514" i="9"/>
  <c r="B515" i="9"/>
  <c r="C515" i="9"/>
  <c r="D515" i="9"/>
  <c r="E515" i="9"/>
  <c r="F515" i="9"/>
  <c r="G515" i="9"/>
  <c r="H515" i="9"/>
  <c r="I515" i="9"/>
  <c r="J515" i="9"/>
  <c r="K515" i="9"/>
  <c r="L515" i="9"/>
  <c r="M515" i="9"/>
  <c r="N515" i="9"/>
  <c r="B516" i="9"/>
  <c r="C516" i="9"/>
  <c r="D516" i="9"/>
  <c r="E516" i="9"/>
  <c r="F516" i="9"/>
  <c r="G516" i="9"/>
  <c r="H516" i="9"/>
  <c r="I516" i="9"/>
  <c r="J516" i="9"/>
  <c r="K516" i="9"/>
  <c r="L516" i="9"/>
  <c r="M516" i="9"/>
  <c r="N516" i="9"/>
  <c r="B517" i="9"/>
  <c r="C517" i="9"/>
  <c r="D517" i="9"/>
  <c r="E517" i="9"/>
  <c r="F517" i="9"/>
  <c r="G517" i="9"/>
  <c r="H517" i="9"/>
  <c r="I517" i="9"/>
  <c r="J517" i="9"/>
  <c r="K517" i="9"/>
  <c r="L517" i="9"/>
  <c r="M517" i="9"/>
  <c r="N517" i="9"/>
  <c r="B518" i="9"/>
  <c r="C518" i="9"/>
  <c r="D518" i="9"/>
  <c r="E518" i="9"/>
  <c r="F518" i="9"/>
  <c r="G518" i="9"/>
  <c r="H518" i="9"/>
  <c r="I518" i="9"/>
  <c r="J518" i="9"/>
  <c r="K518" i="9"/>
  <c r="L518" i="9"/>
  <c r="M518" i="9"/>
  <c r="N518" i="9"/>
  <c r="B519" i="9"/>
  <c r="C519" i="9"/>
  <c r="D519" i="9"/>
  <c r="E519" i="9"/>
  <c r="F519" i="9"/>
  <c r="G519" i="9"/>
  <c r="H519" i="9"/>
  <c r="I519" i="9"/>
  <c r="J519" i="9"/>
  <c r="K519" i="9"/>
  <c r="L519" i="9"/>
  <c r="M519" i="9"/>
  <c r="N519" i="9"/>
  <c r="B520" i="9"/>
  <c r="C520" i="9"/>
  <c r="D520" i="9"/>
  <c r="E520" i="9"/>
  <c r="F520" i="9"/>
  <c r="G520" i="9"/>
  <c r="H520" i="9"/>
  <c r="I520" i="9"/>
  <c r="J520" i="9"/>
  <c r="K520" i="9"/>
  <c r="L520" i="9"/>
  <c r="M520" i="9"/>
  <c r="N520" i="9"/>
  <c r="B521" i="9"/>
  <c r="C521" i="9"/>
  <c r="D521" i="9"/>
  <c r="E521" i="9"/>
  <c r="F521" i="9"/>
  <c r="G521" i="9"/>
  <c r="H521" i="9"/>
  <c r="I521" i="9"/>
  <c r="J521" i="9"/>
  <c r="K521" i="9"/>
  <c r="L521" i="9"/>
  <c r="M521" i="9"/>
  <c r="N521" i="9"/>
  <c r="B522" i="9"/>
  <c r="C522" i="9"/>
  <c r="D522" i="9"/>
  <c r="E522" i="9"/>
  <c r="F522" i="9"/>
  <c r="G522" i="9"/>
  <c r="H522" i="9"/>
  <c r="I522" i="9"/>
  <c r="J522" i="9"/>
  <c r="K522" i="9"/>
  <c r="L522" i="9"/>
  <c r="M522" i="9"/>
  <c r="N522" i="9"/>
  <c r="B523" i="9"/>
  <c r="C523" i="9"/>
  <c r="D523" i="9"/>
  <c r="E523" i="9"/>
  <c r="F523" i="9"/>
  <c r="G523" i="9"/>
  <c r="H523" i="9"/>
  <c r="I523" i="9"/>
  <c r="J523" i="9"/>
  <c r="K523" i="9"/>
  <c r="L523" i="9"/>
  <c r="M523" i="9"/>
  <c r="N523" i="9"/>
  <c r="B524" i="9"/>
  <c r="C524" i="9"/>
  <c r="D524" i="9"/>
  <c r="E524" i="9"/>
  <c r="F524" i="9"/>
  <c r="G524" i="9"/>
  <c r="H524" i="9"/>
  <c r="I524" i="9"/>
  <c r="J524" i="9"/>
  <c r="K524" i="9"/>
  <c r="L524" i="9"/>
  <c r="M524" i="9"/>
  <c r="N524" i="9"/>
  <c r="B525" i="9"/>
  <c r="C525" i="9"/>
  <c r="D525" i="9"/>
  <c r="E525" i="9"/>
  <c r="F525" i="9"/>
  <c r="G525" i="9"/>
  <c r="H525" i="9"/>
  <c r="I525" i="9"/>
  <c r="J525" i="9"/>
  <c r="K525" i="9"/>
  <c r="L525" i="9"/>
  <c r="M525" i="9"/>
  <c r="N525" i="9"/>
  <c r="B526" i="9"/>
  <c r="C526" i="9"/>
  <c r="D526" i="9"/>
  <c r="E526" i="9"/>
  <c r="F526" i="9"/>
  <c r="G526" i="9"/>
  <c r="H526" i="9"/>
  <c r="I526" i="9"/>
  <c r="J526" i="9"/>
  <c r="K526" i="9"/>
  <c r="L526" i="9"/>
  <c r="M526" i="9"/>
  <c r="N526" i="9"/>
  <c r="B527" i="9"/>
  <c r="C527" i="9"/>
  <c r="D527" i="9"/>
  <c r="E527" i="9"/>
  <c r="F527" i="9"/>
  <c r="G527" i="9"/>
  <c r="H527" i="9"/>
  <c r="I527" i="9"/>
  <c r="J527" i="9"/>
  <c r="K527" i="9"/>
  <c r="L527" i="9"/>
  <c r="M527" i="9"/>
  <c r="N527" i="9"/>
  <c r="B528" i="9"/>
  <c r="C528" i="9"/>
  <c r="D528" i="9"/>
  <c r="E528" i="9"/>
  <c r="F528" i="9"/>
  <c r="G528" i="9"/>
  <c r="H528" i="9"/>
  <c r="I528" i="9"/>
  <c r="J528" i="9"/>
  <c r="K528" i="9"/>
  <c r="L528" i="9"/>
  <c r="M528" i="9"/>
  <c r="N528" i="9"/>
  <c r="B529" i="9"/>
  <c r="C529" i="9"/>
  <c r="D529" i="9"/>
  <c r="E529" i="9"/>
  <c r="F529" i="9"/>
  <c r="G529" i="9"/>
  <c r="H529" i="9"/>
  <c r="I529" i="9"/>
  <c r="J529" i="9"/>
  <c r="K529" i="9"/>
  <c r="L529" i="9"/>
  <c r="M529" i="9"/>
  <c r="N529" i="9"/>
  <c r="B530" i="9"/>
  <c r="C530" i="9"/>
  <c r="D530" i="9"/>
  <c r="E530" i="9"/>
  <c r="F530" i="9"/>
  <c r="G530" i="9"/>
  <c r="H530" i="9"/>
  <c r="I530" i="9"/>
  <c r="J530" i="9"/>
  <c r="K530" i="9"/>
  <c r="L530" i="9"/>
  <c r="M530" i="9"/>
  <c r="N530" i="9"/>
  <c r="B531" i="9"/>
  <c r="C531" i="9"/>
  <c r="D531" i="9"/>
  <c r="E531" i="9"/>
  <c r="F531" i="9"/>
  <c r="G531" i="9"/>
  <c r="H531" i="9"/>
  <c r="I531" i="9"/>
  <c r="J531" i="9"/>
  <c r="K531" i="9"/>
  <c r="L531" i="9"/>
  <c r="M531" i="9"/>
  <c r="N531" i="9"/>
  <c r="B532" i="9"/>
  <c r="C532" i="9"/>
  <c r="D532" i="9"/>
  <c r="E532" i="9"/>
  <c r="F532" i="9"/>
  <c r="G532" i="9"/>
  <c r="H532" i="9"/>
  <c r="I532" i="9"/>
  <c r="J532" i="9"/>
  <c r="K532" i="9"/>
  <c r="L532" i="9"/>
  <c r="M532" i="9"/>
  <c r="N532" i="9"/>
  <c r="B533" i="9"/>
  <c r="C533" i="9"/>
  <c r="D533" i="9"/>
  <c r="E533" i="9"/>
  <c r="F533" i="9"/>
  <c r="G533" i="9"/>
  <c r="H533" i="9"/>
  <c r="I533" i="9"/>
  <c r="J533" i="9"/>
  <c r="K533" i="9"/>
  <c r="L533" i="9"/>
  <c r="M533" i="9"/>
  <c r="N533" i="9"/>
  <c r="B534" i="9"/>
  <c r="C534" i="9"/>
  <c r="D534" i="9"/>
  <c r="E534" i="9"/>
  <c r="F534" i="9"/>
  <c r="G534" i="9"/>
  <c r="H534" i="9"/>
  <c r="I534" i="9"/>
  <c r="J534" i="9"/>
  <c r="K534" i="9"/>
  <c r="L534" i="9"/>
  <c r="M534" i="9"/>
  <c r="N534" i="9"/>
  <c r="B535" i="9"/>
  <c r="C535" i="9"/>
  <c r="D535" i="9"/>
  <c r="E535" i="9"/>
  <c r="F535" i="9"/>
  <c r="G535" i="9"/>
  <c r="H535" i="9"/>
  <c r="I535" i="9"/>
  <c r="J535" i="9"/>
  <c r="K535" i="9"/>
  <c r="L535" i="9"/>
  <c r="M535" i="9"/>
  <c r="N535" i="9"/>
  <c r="B536" i="9"/>
  <c r="C536" i="9"/>
  <c r="D536" i="9"/>
  <c r="E536" i="9"/>
  <c r="F536" i="9"/>
  <c r="G536" i="9"/>
  <c r="H536" i="9"/>
  <c r="I536" i="9"/>
  <c r="J536" i="9"/>
  <c r="K536" i="9"/>
  <c r="L536" i="9"/>
  <c r="M536" i="9"/>
  <c r="N536" i="9"/>
  <c r="B537" i="9"/>
  <c r="C537" i="9"/>
  <c r="D537" i="9"/>
  <c r="E537" i="9"/>
  <c r="F537" i="9"/>
  <c r="G537" i="9"/>
  <c r="H537" i="9"/>
  <c r="I537" i="9"/>
  <c r="J537" i="9"/>
  <c r="K537" i="9"/>
  <c r="L537" i="9"/>
  <c r="M537" i="9"/>
  <c r="N537" i="9"/>
  <c r="B538" i="9"/>
  <c r="C538" i="9"/>
  <c r="D538" i="9"/>
  <c r="E538" i="9"/>
  <c r="F538" i="9"/>
  <c r="G538" i="9"/>
  <c r="H538" i="9"/>
  <c r="I538" i="9"/>
  <c r="J538" i="9"/>
  <c r="K538" i="9"/>
  <c r="L538" i="9"/>
  <c r="M538" i="9"/>
  <c r="N538" i="9"/>
  <c r="B539" i="9"/>
  <c r="C539" i="9"/>
  <c r="D539" i="9"/>
  <c r="E539" i="9"/>
  <c r="F539" i="9"/>
  <c r="G539" i="9"/>
  <c r="H539" i="9"/>
  <c r="I539" i="9"/>
  <c r="J539" i="9"/>
  <c r="K539" i="9"/>
  <c r="L539" i="9"/>
  <c r="M539" i="9"/>
  <c r="N539" i="9"/>
  <c r="B540" i="9"/>
  <c r="C540" i="9"/>
  <c r="D540" i="9"/>
  <c r="E540" i="9"/>
  <c r="F540" i="9"/>
  <c r="G540" i="9"/>
  <c r="H540" i="9"/>
  <c r="I540" i="9"/>
  <c r="J540" i="9"/>
  <c r="K540" i="9"/>
  <c r="L540" i="9"/>
  <c r="M540" i="9"/>
  <c r="N540" i="9"/>
  <c r="B541" i="9"/>
  <c r="C541" i="9"/>
  <c r="D541" i="9"/>
  <c r="E541" i="9"/>
  <c r="F541" i="9"/>
  <c r="G541" i="9"/>
  <c r="H541" i="9"/>
  <c r="I541" i="9"/>
  <c r="J541" i="9"/>
  <c r="K541" i="9"/>
  <c r="L541" i="9"/>
  <c r="M541" i="9"/>
  <c r="N541" i="9"/>
  <c r="B542" i="9"/>
  <c r="C542" i="9"/>
  <c r="D542" i="9"/>
  <c r="E542" i="9"/>
  <c r="F542" i="9"/>
  <c r="G542" i="9"/>
  <c r="H542" i="9"/>
  <c r="I542" i="9"/>
  <c r="J542" i="9"/>
  <c r="K542" i="9"/>
  <c r="L542" i="9"/>
  <c r="M542" i="9"/>
  <c r="N542" i="9"/>
  <c r="B543" i="9"/>
  <c r="C543" i="9"/>
  <c r="D543" i="9"/>
  <c r="E543" i="9"/>
  <c r="F543" i="9"/>
  <c r="G543" i="9"/>
  <c r="H543" i="9"/>
  <c r="I543" i="9"/>
  <c r="J543" i="9"/>
  <c r="K543" i="9"/>
  <c r="L543" i="9"/>
  <c r="M543" i="9"/>
  <c r="N543" i="9"/>
  <c r="B544" i="9"/>
  <c r="C544" i="9"/>
  <c r="D544" i="9"/>
  <c r="E544" i="9"/>
  <c r="F544" i="9"/>
  <c r="G544" i="9"/>
  <c r="H544" i="9"/>
  <c r="I544" i="9"/>
  <c r="J544" i="9"/>
  <c r="K544" i="9"/>
  <c r="L544" i="9"/>
  <c r="M544" i="9"/>
  <c r="N544" i="9"/>
  <c r="B545" i="9"/>
  <c r="C545" i="9"/>
  <c r="D545" i="9"/>
  <c r="E545" i="9"/>
  <c r="F545" i="9"/>
  <c r="G545" i="9"/>
  <c r="H545" i="9"/>
  <c r="I545" i="9"/>
  <c r="J545" i="9"/>
  <c r="K545" i="9"/>
  <c r="L545" i="9"/>
  <c r="M545" i="9"/>
  <c r="N545" i="9"/>
  <c r="B546" i="9"/>
  <c r="C546" i="9"/>
  <c r="D546" i="9"/>
  <c r="E546" i="9"/>
  <c r="F546" i="9"/>
  <c r="G546" i="9"/>
  <c r="H546" i="9"/>
  <c r="I546" i="9"/>
  <c r="J546" i="9"/>
  <c r="K546" i="9"/>
  <c r="L546" i="9"/>
  <c r="M546" i="9"/>
  <c r="N546" i="9"/>
  <c r="B547" i="9"/>
  <c r="C547" i="9"/>
  <c r="D547" i="9"/>
  <c r="E547" i="9"/>
  <c r="F547" i="9"/>
  <c r="G547" i="9"/>
  <c r="H547" i="9"/>
  <c r="I547" i="9"/>
  <c r="J547" i="9"/>
  <c r="K547" i="9"/>
  <c r="L547" i="9"/>
  <c r="M547" i="9"/>
  <c r="N547" i="9"/>
  <c r="B548" i="9"/>
  <c r="C548" i="9"/>
  <c r="D548" i="9"/>
  <c r="E548" i="9"/>
  <c r="F548" i="9"/>
  <c r="G548" i="9"/>
  <c r="H548" i="9"/>
  <c r="I548" i="9"/>
  <c r="J548" i="9"/>
  <c r="K548" i="9"/>
  <c r="L548" i="9"/>
  <c r="M548" i="9"/>
  <c r="N548" i="9"/>
  <c r="B549" i="9"/>
  <c r="C549" i="9"/>
  <c r="D549" i="9"/>
  <c r="E549" i="9"/>
  <c r="F549" i="9"/>
  <c r="G549" i="9"/>
  <c r="H549" i="9"/>
  <c r="I549" i="9"/>
  <c r="J549" i="9"/>
  <c r="K549" i="9"/>
  <c r="L549" i="9"/>
  <c r="M549" i="9"/>
  <c r="N549" i="9"/>
  <c r="B550" i="9"/>
  <c r="C550" i="9"/>
  <c r="D550" i="9"/>
  <c r="E550" i="9"/>
  <c r="F550" i="9"/>
  <c r="G550" i="9"/>
  <c r="H550" i="9"/>
  <c r="I550" i="9"/>
  <c r="J550" i="9"/>
  <c r="K550" i="9"/>
  <c r="L550" i="9"/>
  <c r="M550" i="9"/>
  <c r="N550" i="9"/>
  <c r="B551" i="9"/>
  <c r="C551" i="9"/>
  <c r="D551" i="9"/>
  <c r="E551" i="9"/>
  <c r="F551" i="9"/>
  <c r="G551" i="9"/>
  <c r="H551" i="9"/>
  <c r="I551" i="9"/>
  <c r="J551" i="9"/>
  <c r="K551" i="9"/>
  <c r="L551" i="9"/>
  <c r="M551" i="9"/>
  <c r="N551" i="9"/>
  <c r="B552" i="9"/>
  <c r="C552" i="9"/>
  <c r="D552" i="9"/>
  <c r="E552" i="9"/>
  <c r="F552" i="9"/>
  <c r="G552" i="9"/>
  <c r="H552" i="9"/>
  <c r="I552" i="9"/>
  <c r="J552" i="9"/>
  <c r="K552" i="9"/>
  <c r="L552" i="9"/>
  <c r="M552" i="9"/>
  <c r="N552" i="9"/>
  <c r="B553" i="9"/>
  <c r="C553" i="9"/>
  <c r="D553" i="9"/>
  <c r="E553" i="9"/>
  <c r="F553" i="9"/>
  <c r="G553" i="9"/>
  <c r="H553" i="9"/>
  <c r="I553" i="9"/>
  <c r="J553" i="9"/>
  <c r="K553" i="9"/>
  <c r="L553" i="9"/>
  <c r="M553" i="9"/>
  <c r="N553" i="9"/>
  <c r="B554" i="9"/>
  <c r="C554" i="9"/>
  <c r="D554" i="9"/>
  <c r="E554" i="9"/>
  <c r="F554" i="9"/>
  <c r="G554" i="9"/>
  <c r="H554" i="9"/>
  <c r="I554" i="9"/>
  <c r="J554" i="9"/>
  <c r="K554" i="9"/>
  <c r="L554" i="9"/>
  <c r="M554" i="9"/>
  <c r="N554" i="9"/>
  <c r="B555" i="9"/>
  <c r="C555" i="9"/>
  <c r="D555" i="9"/>
  <c r="E555" i="9"/>
  <c r="F555" i="9"/>
  <c r="G555" i="9"/>
  <c r="H555" i="9"/>
  <c r="I555" i="9"/>
  <c r="J555" i="9"/>
  <c r="K555" i="9"/>
  <c r="L555" i="9"/>
  <c r="M555" i="9"/>
  <c r="N555" i="9"/>
  <c r="B556" i="9"/>
  <c r="C556" i="9"/>
  <c r="D556" i="9"/>
  <c r="E556" i="9"/>
  <c r="F556" i="9"/>
  <c r="G556" i="9"/>
  <c r="H556" i="9"/>
  <c r="I556" i="9"/>
  <c r="J556" i="9"/>
  <c r="K556" i="9"/>
  <c r="L556" i="9"/>
  <c r="M556" i="9"/>
  <c r="N556" i="9"/>
  <c r="B557" i="9"/>
  <c r="C557" i="9"/>
  <c r="D557" i="9"/>
  <c r="E557" i="9"/>
  <c r="F557" i="9"/>
  <c r="G557" i="9"/>
  <c r="H557" i="9"/>
  <c r="I557" i="9"/>
  <c r="J557" i="9"/>
  <c r="K557" i="9"/>
  <c r="L557" i="9"/>
  <c r="M557" i="9"/>
  <c r="N557" i="9"/>
  <c r="B558" i="9"/>
  <c r="C558" i="9"/>
  <c r="D558" i="9"/>
  <c r="E558" i="9"/>
  <c r="F558" i="9"/>
  <c r="G558" i="9"/>
  <c r="H558" i="9"/>
  <c r="I558" i="9"/>
  <c r="J558" i="9"/>
  <c r="K558" i="9"/>
  <c r="L558" i="9"/>
  <c r="M558" i="9"/>
  <c r="N558" i="9"/>
  <c r="B559" i="9"/>
  <c r="C559" i="9"/>
  <c r="D559" i="9"/>
  <c r="E559" i="9"/>
  <c r="F559" i="9"/>
  <c r="G559" i="9"/>
  <c r="H559" i="9"/>
  <c r="I559" i="9"/>
  <c r="J559" i="9"/>
  <c r="K559" i="9"/>
  <c r="L559" i="9"/>
  <c r="M559" i="9"/>
  <c r="N559" i="9"/>
  <c r="B560" i="9"/>
  <c r="C560" i="9"/>
  <c r="D560" i="9"/>
  <c r="E560" i="9"/>
  <c r="F560" i="9"/>
  <c r="G560" i="9"/>
  <c r="H560" i="9"/>
  <c r="I560" i="9"/>
  <c r="J560" i="9"/>
  <c r="K560" i="9"/>
  <c r="L560" i="9"/>
  <c r="M560" i="9"/>
  <c r="N560" i="9"/>
  <c r="B561" i="9"/>
  <c r="C561" i="9"/>
  <c r="D561" i="9"/>
  <c r="E561" i="9"/>
  <c r="F561" i="9"/>
  <c r="G561" i="9"/>
  <c r="H561" i="9"/>
  <c r="I561" i="9"/>
  <c r="J561" i="9"/>
  <c r="K561" i="9"/>
  <c r="L561" i="9"/>
  <c r="M561" i="9"/>
  <c r="N561" i="9"/>
  <c r="B562" i="9"/>
  <c r="C562" i="9"/>
  <c r="D562" i="9"/>
  <c r="E562" i="9"/>
  <c r="F562" i="9"/>
  <c r="G562" i="9"/>
  <c r="H562" i="9"/>
  <c r="I562" i="9"/>
  <c r="J562" i="9"/>
  <c r="K562" i="9"/>
  <c r="L562" i="9"/>
  <c r="M562" i="9"/>
  <c r="N562" i="9"/>
  <c r="B563" i="9"/>
  <c r="C563" i="9"/>
  <c r="D563" i="9"/>
  <c r="E563" i="9"/>
  <c r="F563" i="9"/>
  <c r="G563" i="9"/>
  <c r="H563" i="9"/>
  <c r="I563" i="9"/>
  <c r="J563" i="9"/>
  <c r="K563" i="9"/>
  <c r="L563" i="9"/>
  <c r="M563" i="9"/>
  <c r="N563" i="9"/>
  <c r="B564" i="9"/>
  <c r="C564" i="9"/>
  <c r="D564" i="9"/>
  <c r="E564" i="9"/>
  <c r="F564" i="9"/>
  <c r="G564" i="9"/>
  <c r="H564" i="9"/>
  <c r="I564" i="9"/>
  <c r="J564" i="9"/>
  <c r="K564" i="9"/>
  <c r="L564" i="9"/>
  <c r="M564" i="9"/>
  <c r="N564" i="9"/>
  <c r="B565" i="9"/>
  <c r="C565" i="9"/>
  <c r="D565" i="9"/>
  <c r="E565" i="9"/>
  <c r="F565" i="9"/>
  <c r="G565" i="9"/>
  <c r="H565" i="9"/>
  <c r="I565" i="9"/>
  <c r="J565" i="9"/>
  <c r="K565" i="9"/>
  <c r="L565" i="9"/>
  <c r="M565" i="9"/>
  <c r="N565" i="9"/>
  <c r="B566" i="9"/>
  <c r="C566" i="9"/>
  <c r="D566" i="9"/>
  <c r="E566" i="9"/>
  <c r="F566" i="9"/>
  <c r="G566" i="9"/>
  <c r="H566" i="9"/>
  <c r="I566" i="9"/>
  <c r="J566" i="9"/>
  <c r="K566" i="9"/>
  <c r="L566" i="9"/>
  <c r="M566" i="9"/>
  <c r="N566" i="9"/>
  <c r="B567" i="9"/>
  <c r="C567" i="9"/>
  <c r="D567" i="9"/>
  <c r="E567" i="9"/>
  <c r="F567" i="9"/>
  <c r="G567" i="9"/>
  <c r="H567" i="9"/>
  <c r="I567" i="9"/>
  <c r="J567" i="9"/>
  <c r="K567" i="9"/>
  <c r="L567" i="9"/>
  <c r="M567" i="9"/>
  <c r="N567" i="9"/>
  <c r="B568" i="9"/>
  <c r="C568" i="9"/>
  <c r="D568" i="9"/>
  <c r="E568" i="9"/>
  <c r="F568" i="9"/>
  <c r="G568" i="9"/>
  <c r="H568" i="9"/>
  <c r="I568" i="9"/>
  <c r="J568" i="9"/>
  <c r="K568" i="9"/>
  <c r="L568" i="9"/>
  <c r="M568" i="9"/>
  <c r="N568" i="9"/>
  <c r="B569" i="9"/>
  <c r="C569" i="9"/>
  <c r="D569" i="9"/>
  <c r="E569" i="9"/>
  <c r="F569" i="9"/>
  <c r="G569" i="9"/>
  <c r="H569" i="9"/>
  <c r="I569" i="9"/>
  <c r="J569" i="9"/>
  <c r="K569" i="9"/>
  <c r="L569" i="9"/>
  <c r="M569" i="9"/>
  <c r="N569" i="9"/>
  <c r="B570" i="9"/>
  <c r="C570" i="9"/>
  <c r="D570" i="9"/>
  <c r="E570" i="9"/>
  <c r="F570" i="9"/>
  <c r="G570" i="9"/>
  <c r="H570" i="9"/>
  <c r="I570" i="9"/>
  <c r="J570" i="9"/>
  <c r="K570" i="9"/>
  <c r="L570" i="9"/>
  <c r="M570" i="9"/>
  <c r="N570" i="9"/>
  <c r="B571" i="9"/>
  <c r="C571" i="9"/>
  <c r="D571" i="9"/>
  <c r="E571" i="9"/>
  <c r="F571" i="9"/>
  <c r="G571" i="9"/>
  <c r="H571" i="9"/>
  <c r="I571" i="9"/>
  <c r="J571" i="9"/>
  <c r="K571" i="9"/>
  <c r="L571" i="9"/>
  <c r="M571" i="9"/>
  <c r="N571" i="9"/>
  <c r="B572" i="9"/>
  <c r="C572" i="9"/>
  <c r="D572" i="9"/>
  <c r="E572" i="9"/>
  <c r="F572" i="9"/>
  <c r="G572" i="9"/>
  <c r="H572" i="9"/>
  <c r="I572" i="9"/>
  <c r="J572" i="9"/>
  <c r="K572" i="9"/>
  <c r="L572" i="9"/>
  <c r="M572" i="9"/>
  <c r="N572" i="9"/>
  <c r="B573" i="9"/>
  <c r="C573" i="9"/>
  <c r="D573" i="9"/>
  <c r="E573" i="9"/>
  <c r="F573" i="9"/>
  <c r="G573" i="9"/>
  <c r="H573" i="9"/>
  <c r="I573" i="9"/>
  <c r="J573" i="9"/>
  <c r="K573" i="9"/>
  <c r="L573" i="9"/>
  <c r="M573" i="9"/>
  <c r="N573" i="9"/>
  <c r="B574" i="9"/>
  <c r="C574" i="9"/>
  <c r="D574" i="9"/>
  <c r="E574" i="9"/>
  <c r="F574" i="9"/>
  <c r="G574" i="9"/>
  <c r="H574" i="9"/>
  <c r="I574" i="9"/>
  <c r="J574" i="9"/>
  <c r="K574" i="9"/>
  <c r="L574" i="9"/>
  <c r="M574" i="9"/>
  <c r="N574" i="9"/>
  <c r="B575" i="9"/>
  <c r="C575" i="9"/>
  <c r="D575" i="9"/>
  <c r="E575" i="9"/>
  <c r="F575" i="9"/>
  <c r="G575" i="9"/>
  <c r="H575" i="9"/>
  <c r="I575" i="9"/>
  <c r="J575" i="9"/>
  <c r="K575" i="9"/>
  <c r="L575" i="9"/>
  <c r="M575" i="9"/>
  <c r="N575" i="9"/>
  <c r="B576" i="9"/>
  <c r="C576" i="9"/>
  <c r="D576" i="9"/>
  <c r="E576" i="9"/>
  <c r="F576" i="9"/>
  <c r="G576" i="9"/>
  <c r="H576" i="9"/>
  <c r="I576" i="9"/>
  <c r="J576" i="9"/>
  <c r="K576" i="9"/>
  <c r="L576" i="9"/>
  <c r="M576" i="9"/>
  <c r="N576" i="9"/>
  <c r="B577" i="9"/>
  <c r="C577" i="9"/>
  <c r="D577" i="9"/>
  <c r="E577" i="9"/>
  <c r="F577" i="9"/>
  <c r="G577" i="9"/>
  <c r="H577" i="9"/>
  <c r="I577" i="9"/>
  <c r="J577" i="9"/>
  <c r="K577" i="9"/>
  <c r="L577" i="9"/>
  <c r="M577" i="9"/>
  <c r="N577" i="9"/>
  <c r="B578" i="9"/>
  <c r="C578" i="9"/>
  <c r="D578" i="9"/>
  <c r="E578" i="9"/>
  <c r="F578" i="9"/>
  <c r="G578" i="9"/>
  <c r="H578" i="9"/>
  <c r="I578" i="9"/>
  <c r="J578" i="9"/>
  <c r="K578" i="9"/>
  <c r="L578" i="9"/>
  <c r="M578" i="9"/>
  <c r="N578" i="9"/>
  <c r="B579" i="9"/>
  <c r="C579" i="9"/>
  <c r="D579" i="9"/>
  <c r="E579" i="9"/>
  <c r="F579" i="9"/>
  <c r="G579" i="9"/>
  <c r="H579" i="9"/>
  <c r="I579" i="9"/>
  <c r="J579" i="9"/>
  <c r="K579" i="9"/>
  <c r="L579" i="9"/>
  <c r="M579" i="9"/>
  <c r="N579" i="9"/>
  <c r="B580" i="9"/>
  <c r="C580" i="9"/>
  <c r="D580" i="9"/>
  <c r="E580" i="9"/>
  <c r="F580" i="9"/>
  <c r="G580" i="9"/>
  <c r="H580" i="9"/>
  <c r="I580" i="9"/>
  <c r="J580" i="9"/>
  <c r="K580" i="9"/>
  <c r="L580" i="9"/>
  <c r="M580" i="9"/>
  <c r="N580" i="9"/>
  <c r="B581" i="9"/>
  <c r="C581" i="9"/>
  <c r="D581" i="9"/>
  <c r="E581" i="9"/>
  <c r="F581" i="9"/>
  <c r="G581" i="9"/>
  <c r="H581" i="9"/>
  <c r="I581" i="9"/>
  <c r="J581" i="9"/>
  <c r="K581" i="9"/>
  <c r="L581" i="9"/>
  <c r="M581" i="9"/>
  <c r="N581" i="9"/>
  <c r="B582" i="9"/>
  <c r="C582" i="9"/>
  <c r="D582" i="9"/>
  <c r="E582" i="9"/>
  <c r="F582" i="9"/>
  <c r="G582" i="9"/>
  <c r="H582" i="9"/>
  <c r="I582" i="9"/>
  <c r="J582" i="9"/>
  <c r="K582" i="9"/>
  <c r="L582" i="9"/>
  <c r="M582" i="9"/>
  <c r="N582" i="9"/>
  <c r="B583" i="9"/>
  <c r="C583" i="9"/>
  <c r="D583" i="9"/>
  <c r="E583" i="9"/>
  <c r="F583" i="9"/>
  <c r="G583" i="9"/>
  <c r="H583" i="9"/>
  <c r="I583" i="9"/>
  <c r="J583" i="9"/>
  <c r="K583" i="9"/>
  <c r="L583" i="9"/>
  <c r="M583" i="9"/>
  <c r="N583" i="9"/>
  <c r="B584" i="9"/>
  <c r="C584" i="9"/>
  <c r="D584" i="9"/>
  <c r="E584" i="9"/>
  <c r="F584" i="9"/>
  <c r="G584" i="9"/>
  <c r="H584" i="9"/>
  <c r="I584" i="9"/>
  <c r="J584" i="9"/>
  <c r="K584" i="9"/>
  <c r="L584" i="9"/>
  <c r="M584" i="9"/>
  <c r="N584" i="9"/>
  <c r="B585" i="9"/>
  <c r="C585" i="9"/>
  <c r="D585" i="9"/>
  <c r="E585" i="9"/>
  <c r="F585" i="9"/>
  <c r="G585" i="9"/>
  <c r="H585" i="9"/>
  <c r="I585" i="9"/>
  <c r="J585" i="9"/>
  <c r="K585" i="9"/>
  <c r="L585" i="9"/>
  <c r="M585" i="9"/>
  <c r="N585" i="9"/>
  <c r="B586" i="9"/>
  <c r="C586" i="9"/>
  <c r="D586" i="9"/>
  <c r="E586" i="9"/>
  <c r="F586" i="9"/>
  <c r="G586" i="9"/>
  <c r="H586" i="9"/>
  <c r="I586" i="9"/>
  <c r="J586" i="9"/>
  <c r="K586" i="9"/>
  <c r="L586" i="9"/>
  <c r="M586" i="9"/>
  <c r="N586" i="9"/>
  <c r="B587" i="9"/>
  <c r="C587" i="9"/>
  <c r="D587" i="9"/>
  <c r="E587" i="9"/>
  <c r="F587" i="9"/>
  <c r="G587" i="9"/>
  <c r="H587" i="9"/>
  <c r="I587" i="9"/>
  <c r="J587" i="9"/>
  <c r="K587" i="9"/>
  <c r="L587" i="9"/>
  <c r="M587" i="9"/>
  <c r="N587" i="9"/>
  <c r="B588" i="9"/>
  <c r="C588" i="9"/>
  <c r="D588" i="9"/>
  <c r="E588" i="9"/>
  <c r="F588" i="9"/>
  <c r="G588" i="9"/>
  <c r="H588" i="9"/>
  <c r="I588" i="9"/>
  <c r="J588" i="9"/>
  <c r="K588" i="9"/>
  <c r="L588" i="9"/>
  <c r="M588" i="9"/>
  <c r="N588" i="9"/>
  <c r="B589" i="9"/>
  <c r="C589" i="9"/>
  <c r="D589" i="9"/>
  <c r="E589" i="9"/>
  <c r="F589" i="9"/>
  <c r="G589" i="9"/>
  <c r="H589" i="9"/>
  <c r="I589" i="9"/>
  <c r="J589" i="9"/>
  <c r="K589" i="9"/>
  <c r="L589" i="9"/>
  <c r="M589" i="9"/>
  <c r="N589" i="9"/>
  <c r="B590" i="9"/>
  <c r="C590" i="9"/>
  <c r="D590" i="9"/>
  <c r="E590" i="9"/>
  <c r="F590" i="9"/>
  <c r="G590" i="9"/>
  <c r="H590" i="9"/>
  <c r="I590" i="9"/>
  <c r="J590" i="9"/>
  <c r="K590" i="9"/>
  <c r="L590" i="9"/>
  <c r="M590" i="9"/>
  <c r="N590" i="9"/>
  <c r="B591" i="9"/>
  <c r="C591" i="9"/>
  <c r="D591" i="9"/>
  <c r="E591" i="9"/>
  <c r="F591" i="9"/>
  <c r="G591" i="9"/>
  <c r="H591" i="9"/>
  <c r="I591" i="9"/>
  <c r="J591" i="9"/>
  <c r="K591" i="9"/>
  <c r="L591" i="9"/>
  <c r="M591" i="9"/>
  <c r="N591" i="9"/>
  <c r="B592" i="9"/>
  <c r="C592" i="9"/>
  <c r="D592" i="9"/>
  <c r="E592" i="9"/>
  <c r="F592" i="9"/>
  <c r="G592" i="9"/>
  <c r="H592" i="9"/>
  <c r="I592" i="9"/>
  <c r="J592" i="9"/>
  <c r="K592" i="9"/>
  <c r="L592" i="9"/>
  <c r="M592" i="9"/>
  <c r="N592" i="9"/>
  <c r="B593" i="9"/>
  <c r="C593" i="9"/>
  <c r="D593" i="9"/>
  <c r="E593" i="9"/>
  <c r="F593" i="9"/>
  <c r="G593" i="9"/>
  <c r="H593" i="9"/>
  <c r="I593" i="9"/>
  <c r="J593" i="9"/>
  <c r="K593" i="9"/>
  <c r="L593" i="9"/>
  <c r="M593" i="9"/>
  <c r="N593" i="9"/>
  <c r="B594" i="9"/>
  <c r="C594" i="9"/>
  <c r="D594" i="9"/>
  <c r="E594" i="9"/>
  <c r="F594" i="9"/>
  <c r="G594" i="9"/>
  <c r="H594" i="9"/>
  <c r="I594" i="9"/>
  <c r="J594" i="9"/>
  <c r="K594" i="9"/>
  <c r="L594" i="9"/>
  <c r="M594" i="9"/>
  <c r="N594" i="9"/>
  <c r="B595" i="9"/>
  <c r="C595" i="9"/>
  <c r="D595" i="9"/>
  <c r="E595" i="9"/>
  <c r="F595" i="9"/>
  <c r="G595" i="9"/>
  <c r="H595" i="9"/>
  <c r="I595" i="9"/>
  <c r="J595" i="9"/>
  <c r="K595" i="9"/>
  <c r="L595" i="9"/>
  <c r="M595" i="9"/>
  <c r="N595" i="9"/>
  <c r="B596" i="9"/>
  <c r="C596" i="9"/>
  <c r="D596" i="9"/>
  <c r="E596" i="9"/>
  <c r="F596" i="9"/>
  <c r="G596" i="9"/>
  <c r="H596" i="9"/>
  <c r="I596" i="9"/>
  <c r="J596" i="9"/>
  <c r="K596" i="9"/>
  <c r="L596" i="9"/>
  <c r="M596" i="9"/>
  <c r="N596" i="9"/>
  <c r="B597" i="9"/>
  <c r="C597" i="9"/>
  <c r="D597" i="9"/>
  <c r="E597" i="9"/>
  <c r="F597" i="9"/>
  <c r="G597" i="9"/>
  <c r="H597" i="9"/>
  <c r="I597" i="9"/>
  <c r="J597" i="9"/>
  <c r="K597" i="9"/>
  <c r="L597" i="9"/>
  <c r="M597" i="9"/>
  <c r="N597" i="9"/>
  <c r="B598" i="9"/>
  <c r="C598" i="9"/>
  <c r="D598" i="9"/>
  <c r="E598" i="9"/>
  <c r="F598" i="9"/>
  <c r="G598" i="9"/>
  <c r="H598" i="9"/>
  <c r="I598" i="9"/>
  <c r="J598" i="9"/>
  <c r="K598" i="9"/>
  <c r="L598" i="9"/>
  <c r="M598" i="9"/>
  <c r="N598" i="9"/>
  <c r="B599" i="9"/>
  <c r="C599" i="9"/>
  <c r="D599" i="9"/>
  <c r="E599" i="9"/>
  <c r="F599" i="9"/>
  <c r="G599" i="9"/>
  <c r="H599" i="9"/>
  <c r="I599" i="9"/>
  <c r="J599" i="9"/>
  <c r="K599" i="9"/>
  <c r="L599" i="9"/>
  <c r="M599" i="9"/>
  <c r="N599" i="9"/>
  <c r="B600" i="9"/>
  <c r="C600" i="9"/>
  <c r="D600" i="9"/>
  <c r="E600" i="9"/>
  <c r="F600" i="9"/>
  <c r="G600" i="9"/>
  <c r="H600" i="9"/>
  <c r="I600" i="9"/>
  <c r="J600" i="9"/>
  <c r="K600" i="9"/>
  <c r="L600" i="9"/>
  <c r="M600" i="9"/>
  <c r="N600" i="9"/>
  <c r="B601" i="9"/>
  <c r="C601" i="9"/>
  <c r="D601" i="9"/>
  <c r="E601" i="9"/>
  <c r="F601" i="9"/>
  <c r="G601" i="9"/>
  <c r="H601" i="9"/>
  <c r="I601" i="9"/>
  <c r="J601" i="9"/>
  <c r="K601" i="9"/>
  <c r="L601" i="9"/>
  <c r="M601" i="9"/>
  <c r="N601" i="9"/>
  <c r="B602" i="9"/>
  <c r="C602" i="9"/>
  <c r="D602" i="9"/>
  <c r="E602" i="9"/>
  <c r="F602" i="9"/>
  <c r="G602" i="9"/>
  <c r="H602" i="9"/>
  <c r="I602" i="9"/>
  <c r="J602" i="9"/>
  <c r="K602" i="9"/>
  <c r="L602" i="9"/>
  <c r="M602" i="9"/>
  <c r="N602" i="9"/>
  <c r="B603" i="9"/>
  <c r="C603" i="9"/>
  <c r="D603" i="9"/>
  <c r="E603" i="9"/>
  <c r="F603" i="9"/>
  <c r="G603" i="9"/>
  <c r="H603" i="9"/>
  <c r="I603" i="9"/>
  <c r="J603" i="9"/>
  <c r="K603" i="9"/>
  <c r="L603" i="9"/>
  <c r="M603" i="9"/>
  <c r="N603" i="9"/>
  <c r="B604" i="9"/>
  <c r="C604" i="9"/>
  <c r="D604" i="9"/>
  <c r="E604" i="9"/>
  <c r="F604" i="9"/>
  <c r="G604" i="9"/>
  <c r="H604" i="9"/>
  <c r="I604" i="9"/>
  <c r="J604" i="9"/>
  <c r="K604" i="9"/>
  <c r="L604" i="9"/>
  <c r="M604" i="9"/>
  <c r="N604" i="9"/>
  <c r="B605" i="9"/>
  <c r="C605" i="9"/>
  <c r="D605" i="9"/>
  <c r="E605" i="9"/>
  <c r="F605" i="9"/>
  <c r="G605" i="9"/>
  <c r="H605" i="9"/>
  <c r="I605" i="9"/>
  <c r="J605" i="9"/>
  <c r="K605" i="9"/>
  <c r="L605" i="9"/>
  <c r="M605" i="9"/>
  <c r="N605" i="9"/>
  <c r="B606" i="9"/>
  <c r="C606" i="9"/>
  <c r="D606" i="9"/>
  <c r="E606" i="9"/>
  <c r="F606" i="9"/>
  <c r="G606" i="9"/>
  <c r="H606" i="9"/>
  <c r="I606" i="9"/>
  <c r="J606" i="9"/>
  <c r="K606" i="9"/>
  <c r="L606" i="9"/>
  <c r="M606" i="9"/>
  <c r="N606" i="9"/>
  <c r="B607" i="9"/>
  <c r="C607" i="9"/>
  <c r="D607" i="9"/>
  <c r="E607" i="9"/>
  <c r="F607" i="9"/>
  <c r="G607" i="9"/>
  <c r="H607" i="9"/>
  <c r="I607" i="9"/>
  <c r="J607" i="9"/>
  <c r="K607" i="9"/>
  <c r="L607" i="9"/>
  <c r="M607" i="9"/>
  <c r="N607" i="9"/>
  <c r="B608" i="9"/>
  <c r="C608" i="9"/>
  <c r="D608" i="9"/>
  <c r="E608" i="9"/>
  <c r="F608" i="9"/>
  <c r="G608" i="9"/>
  <c r="H608" i="9"/>
  <c r="I608" i="9"/>
  <c r="J608" i="9"/>
  <c r="K608" i="9"/>
  <c r="L608" i="9"/>
  <c r="M608" i="9"/>
  <c r="N608" i="9"/>
  <c r="B609" i="9"/>
  <c r="C609" i="9"/>
  <c r="D609" i="9"/>
  <c r="E609" i="9"/>
  <c r="F609" i="9"/>
  <c r="G609" i="9"/>
  <c r="H609" i="9"/>
  <c r="I609" i="9"/>
  <c r="J609" i="9"/>
  <c r="K609" i="9"/>
  <c r="L609" i="9"/>
  <c r="M609" i="9"/>
  <c r="N609" i="9"/>
  <c r="B610" i="9"/>
  <c r="C610" i="9"/>
  <c r="D610" i="9"/>
  <c r="E610" i="9"/>
  <c r="F610" i="9"/>
  <c r="G610" i="9"/>
  <c r="H610" i="9"/>
  <c r="I610" i="9"/>
  <c r="J610" i="9"/>
  <c r="K610" i="9"/>
  <c r="L610" i="9"/>
  <c r="M610" i="9"/>
  <c r="N610" i="9"/>
  <c r="B611" i="9"/>
  <c r="C611" i="9"/>
  <c r="D611" i="9"/>
  <c r="E611" i="9"/>
  <c r="F611" i="9"/>
  <c r="G611" i="9"/>
  <c r="H611" i="9"/>
  <c r="I611" i="9"/>
  <c r="J611" i="9"/>
  <c r="K611" i="9"/>
  <c r="L611" i="9"/>
  <c r="M611" i="9"/>
  <c r="N611" i="9"/>
  <c r="B612" i="9"/>
  <c r="C612" i="9"/>
  <c r="D612" i="9"/>
  <c r="E612" i="9"/>
  <c r="F612" i="9"/>
  <c r="G612" i="9"/>
  <c r="H612" i="9"/>
  <c r="I612" i="9"/>
  <c r="J612" i="9"/>
  <c r="K612" i="9"/>
  <c r="L612" i="9"/>
  <c r="M612" i="9"/>
  <c r="N612" i="9"/>
  <c r="B613" i="9"/>
  <c r="C613" i="9"/>
  <c r="D613" i="9"/>
  <c r="E613" i="9"/>
  <c r="F613" i="9"/>
  <c r="G613" i="9"/>
  <c r="H613" i="9"/>
  <c r="I613" i="9"/>
  <c r="J613" i="9"/>
  <c r="K613" i="9"/>
  <c r="L613" i="9"/>
  <c r="M613" i="9"/>
  <c r="N613" i="9"/>
  <c r="B614" i="9"/>
  <c r="C614" i="9"/>
  <c r="D614" i="9"/>
  <c r="E614" i="9"/>
  <c r="F614" i="9"/>
  <c r="G614" i="9"/>
  <c r="H614" i="9"/>
  <c r="I614" i="9"/>
  <c r="J614" i="9"/>
  <c r="K614" i="9"/>
  <c r="L614" i="9"/>
  <c r="M614" i="9"/>
  <c r="N614" i="9"/>
  <c r="B615" i="9"/>
  <c r="C615" i="9"/>
  <c r="D615" i="9"/>
  <c r="E615" i="9"/>
  <c r="F615" i="9"/>
  <c r="G615" i="9"/>
  <c r="H615" i="9"/>
  <c r="I615" i="9"/>
  <c r="J615" i="9"/>
  <c r="K615" i="9"/>
  <c r="L615" i="9"/>
  <c r="M615" i="9"/>
  <c r="N615" i="9"/>
  <c r="B616" i="9"/>
  <c r="C616" i="9"/>
  <c r="D616" i="9"/>
  <c r="E616" i="9"/>
  <c r="F616" i="9"/>
  <c r="G616" i="9"/>
  <c r="H616" i="9"/>
  <c r="I616" i="9"/>
  <c r="J616" i="9"/>
  <c r="K616" i="9"/>
  <c r="L616" i="9"/>
  <c r="M616" i="9"/>
  <c r="N616" i="9"/>
  <c r="B617" i="9"/>
  <c r="C617" i="9"/>
  <c r="D617" i="9"/>
  <c r="E617" i="9"/>
  <c r="F617" i="9"/>
  <c r="G617" i="9"/>
  <c r="H617" i="9"/>
  <c r="I617" i="9"/>
  <c r="J617" i="9"/>
  <c r="K617" i="9"/>
  <c r="L617" i="9"/>
  <c r="M617" i="9"/>
  <c r="N617" i="9"/>
  <c r="B618" i="9"/>
  <c r="C618" i="9"/>
  <c r="D618" i="9"/>
  <c r="E618" i="9"/>
  <c r="F618" i="9"/>
  <c r="G618" i="9"/>
  <c r="H618" i="9"/>
  <c r="I618" i="9"/>
  <c r="J618" i="9"/>
  <c r="K618" i="9"/>
  <c r="L618" i="9"/>
  <c r="M618" i="9"/>
  <c r="N618" i="9"/>
  <c r="B619" i="9"/>
  <c r="C619" i="9"/>
  <c r="D619" i="9"/>
  <c r="E619" i="9"/>
  <c r="F619" i="9"/>
  <c r="G619" i="9"/>
  <c r="H619" i="9"/>
  <c r="I619" i="9"/>
  <c r="J619" i="9"/>
  <c r="K619" i="9"/>
  <c r="L619" i="9"/>
  <c r="M619" i="9"/>
  <c r="N619" i="9"/>
  <c r="B620" i="9"/>
  <c r="C620" i="9"/>
  <c r="D620" i="9"/>
  <c r="E620" i="9"/>
  <c r="F620" i="9"/>
  <c r="G620" i="9"/>
  <c r="H620" i="9"/>
  <c r="I620" i="9"/>
  <c r="J620" i="9"/>
  <c r="K620" i="9"/>
  <c r="L620" i="9"/>
  <c r="M620" i="9"/>
  <c r="N620" i="9"/>
  <c r="B621" i="9"/>
  <c r="C621" i="9"/>
  <c r="D621" i="9"/>
  <c r="E621" i="9"/>
  <c r="F621" i="9"/>
  <c r="G621" i="9"/>
  <c r="H621" i="9"/>
  <c r="I621" i="9"/>
  <c r="J621" i="9"/>
  <c r="K621" i="9"/>
  <c r="L621" i="9"/>
  <c r="M621" i="9"/>
  <c r="N621" i="9"/>
  <c r="B622" i="9"/>
  <c r="C622" i="9"/>
  <c r="D622" i="9"/>
  <c r="E622" i="9"/>
  <c r="F622" i="9"/>
  <c r="G622" i="9"/>
  <c r="H622" i="9"/>
  <c r="I622" i="9"/>
  <c r="J622" i="9"/>
  <c r="K622" i="9"/>
  <c r="L622" i="9"/>
  <c r="M622" i="9"/>
  <c r="N622" i="9"/>
  <c r="B623" i="9"/>
  <c r="C623" i="9"/>
  <c r="D623" i="9"/>
  <c r="E623" i="9"/>
  <c r="F623" i="9"/>
  <c r="G623" i="9"/>
  <c r="H623" i="9"/>
  <c r="I623" i="9"/>
  <c r="J623" i="9"/>
  <c r="K623" i="9"/>
  <c r="L623" i="9"/>
  <c r="M623" i="9"/>
  <c r="N623" i="9"/>
  <c r="B624" i="9"/>
  <c r="C624" i="9"/>
  <c r="D624" i="9"/>
  <c r="E624" i="9"/>
  <c r="F624" i="9"/>
  <c r="G624" i="9"/>
  <c r="H624" i="9"/>
  <c r="I624" i="9"/>
  <c r="J624" i="9"/>
  <c r="K624" i="9"/>
  <c r="L624" i="9"/>
  <c r="M624" i="9"/>
  <c r="N624" i="9"/>
  <c r="B625" i="9"/>
  <c r="C625" i="9"/>
  <c r="D625" i="9"/>
  <c r="E625" i="9"/>
  <c r="F625" i="9"/>
  <c r="G625" i="9"/>
  <c r="H625" i="9"/>
  <c r="I625" i="9"/>
  <c r="J625" i="9"/>
  <c r="K625" i="9"/>
  <c r="L625" i="9"/>
  <c r="M625" i="9"/>
  <c r="N625" i="9"/>
  <c r="B626" i="9"/>
  <c r="C626" i="9"/>
  <c r="D626" i="9"/>
  <c r="E626" i="9"/>
  <c r="F626" i="9"/>
  <c r="G626" i="9"/>
  <c r="H626" i="9"/>
  <c r="I626" i="9"/>
  <c r="J626" i="9"/>
  <c r="K626" i="9"/>
  <c r="L626" i="9"/>
  <c r="M626" i="9"/>
  <c r="N626" i="9"/>
  <c r="B627" i="9"/>
  <c r="C627" i="9"/>
  <c r="D627" i="9"/>
  <c r="E627" i="9"/>
  <c r="F627" i="9"/>
  <c r="G627" i="9"/>
  <c r="H627" i="9"/>
  <c r="I627" i="9"/>
  <c r="J627" i="9"/>
  <c r="K627" i="9"/>
  <c r="L627" i="9"/>
  <c r="M627" i="9"/>
  <c r="N627" i="9"/>
  <c r="B628" i="9"/>
  <c r="C628" i="9"/>
  <c r="D628" i="9"/>
  <c r="E628" i="9"/>
  <c r="F628" i="9"/>
  <c r="G628" i="9"/>
  <c r="H628" i="9"/>
  <c r="I628" i="9"/>
  <c r="J628" i="9"/>
  <c r="K628" i="9"/>
  <c r="L628" i="9"/>
  <c r="M628" i="9"/>
  <c r="N628" i="9"/>
  <c r="B629" i="9"/>
  <c r="C629" i="9"/>
  <c r="D629" i="9"/>
  <c r="E629" i="9"/>
  <c r="F629" i="9"/>
  <c r="G629" i="9"/>
  <c r="H629" i="9"/>
  <c r="I629" i="9"/>
  <c r="J629" i="9"/>
  <c r="K629" i="9"/>
  <c r="L629" i="9"/>
  <c r="M629" i="9"/>
  <c r="N629" i="9"/>
  <c r="B630" i="9"/>
  <c r="C630" i="9"/>
  <c r="D630" i="9"/>
  <c r="E630" i="9"/>
  <c r="F630" i="9"/>
  <c r="G630" i="9"/>
  <c r="H630" i="9"/>
  <c r="I630" i="9"/>
  <c r="J630" i="9"/>
  <c r="K630" i="9"/>
  <c r="L630" i="9"/>
  <c r="M630" i="9"/>
  <c r="N630" i="9"/>
  <c r="B631" i="9"/>
  <c r="C631" i="9"/>
  <c r="D631" i="9"/>
  <c r="E631" i="9"/>
  <c r="F631" i="9"/>
  <c r="G631" i="9"/>
  <c r="H631" i="9"/>
  <c r="I631" i="9"/>
  <c r="J631" i="9"/>
  <c r="K631" i="9"/>
  <c r="L631" i="9"/>
  <c r="M631" i="9"/>
  <c r="N631" i="9"/>
  <c r="B632" i="9"/>
  <c r="C632" i="9"/>
  <c r="D632" i="9"/>
  <c r="E632" i="9"/>
  <c r="F632" i="9"/>
  <c r="G632" i="9"/>
  <c r="H632" i="9"/>
  <c r="I632" i="9"/>
  <c r="J632" i="9"/>
  <c r="K632" i="9"/>
  <c r="L632" i="9"/>
  <c r="M632" i="9"/>
  <c r="N632" i="9"/>
  <c r="B633" i="9"/>
  <c r="C633" i="9"/>
  <c r="D633" i="9"/>
  <c r="E633" i="9"/>
  <c r="F633" i="9"/>
  <c r="G633" i="9"/>
  <c r="H633" i="9"/>
  <c r="I633" i="9"/>
  <c r="J633" i="9"/>
  <c r="K633" i="9"/>
  <c r="L633" i="9"/>
  <c r="M633" i="9"/>
  <c r="N633" i="9"/>
  <c r="B634" i="9"/>
  <c r="C634" i="9"/>
  <c r="D634" i="9"/>
  <c r="E634" i="9"/>
  <c r="F634" i="9"/>
  <c r="G634" i="9"/>
  <c r="H634" i="9"/>
  <c r="I634" i="9"/>
  <c r="J634" i="9"/>
  <c r="K634" i="9"/>
  <c r="L634" i="9"/>
  <c r="M634" i="9"/>
  <c r="N634" i="9"/>
  <c r="B635" i="9"/>
  <c r="C635" i="9"/>
  <c r="D635" i="9"/>
  <c r="E635" i="9"/>
  <c r="F635" i="9"/>
  <c r="G635" i="9"/>
  <c r="H635" i="9"/>
  <c r="I635" i="9"/>
  <c r="J635" i="9"/>
  <c r="K635" i="9"/>
  <c r="L635" i="9"/>
  <c r="M635" i="9"/>
  <c r="N635" i="9"/>
  <c r="B636" i="9"/>
  <c r="C636" i="9"/>
  <c r="D636" i="9"/>
  <c r="E636" i="9"/>
  <c r="F636" i="9"/>
  <c r="G636" i="9"/>
  <c r="H636" i="9"/>
  <c r="I636" i="9"/>
  <c r="J636" i="9"/>
  <c r="K636" i="9"/>
  <c r="L636" i="9"/>
  <c r="M636" i="9"/>
  <c r="N636" i="9"/>
  <c r="B637" i="9"/>
  <c r="C637" i="9"/>
  <c r="D637" i="9"/>
  <c r="E637" i="9"/>
  <c r="F637" i="9"/>
  <c r="G637" i="9"/>
  <c r="H637" i="9"/>
  <c r="I637" i="9"/>
  <c r="J637" i="9"/>
  <c r="K637" i="9"/>
  <c r="L637" i="9"/>
  <c r="M637" i="9"/>
  <c r="N637" i="9"/>
  <c r="B638" i="9"/>
  <c r="C638" i="9"/>
  <c r="D638" i="9"/>
  <c r="E638" i="9"/>
  <c r="F638" i="9"/>
  <c r="G638" i="9"/>
  <c r="H638" i="9"/>
  <c r="I638" i="9"/>
  <c r="J638" i="9"/>
  <c r="K638" i="9"/>
  <c r="L638" i="9"/>
  <c r="M638" i="9"/>
  <c r="N638" i="9"/>
  <c r="AF680" i="9"/>
  <c r="AF681" i="9"/>
  <c r="AF682" i="9"/>
  <c r="AF683" i="9"/>
  <c r="AF686" i="9"/>
  <c r="AG686" i="9"/>
  <c r="AH686" i="9"/>
  <c r="O737" i="9"/>
  <c r="A14" i="8"/>
  <c r="A250" i="8"/>
  <c r="A469" i="8"/>
  <c r="G5" i="8" s="1"/>
  <c r="A29" i="8"/>
  <c r="B6" i="8" s="1"/>
  <c r="B296" i="8"/>
  <c r="A500" i="8"/>
  <c r="G6" i="8" s="1"/>
  <c r="D502" i="8" s="1"/>
  <c r="B7" i="8"/>
  <c r="A43" i="8"/>
  <c r="F676" i="8"/>
  <c r="A301" i="8" s="1"/>
  <c r="D7" i="8" s="1"/>
  <c r="A526" i="8"/>
  <c r="G7" i="8" s="1"/>
  <c r="B8" i="8"/>
  <c r="A83" i="8" s="1"/>
  <c r="D8" i="8"/>
  <c r="A315" i="8" s="1"/>
  <c r="G8" i="8"/>
  <c r="A543" i="8" s="1"/>
  <c r="A108" i="8"/>
  <c r="B9" i="8" s="1"/>
  <c r="A385" i="8"/>
  <c r="D9" i="8" s="1"/>
  <c r="G9" i="8"/>
  <c r="A582" i="8" s="1"/>
  <c r="A135" i="8"/>
  <c r="B10" i="8"/>
  <c r="A426" i="8"/>
  <c r="D10" i="8" s="1"/>
  <c r="A245" i="8"/>
  <c r="B11" i="8"/>
  <c r="A448" i="8"/>
  <c r="D11" i="8" s="1"/>
  <c r="D450" i="8" s="1"/>
  <c r="B502" i="8"/>
  <c r="C16" i="8"/>
  <c r="D16" i="8"/>
  <c r="E16" i="8"/>
  <c r="B308" i="8" s="1"/>
  <c r="F16" i="8"/>
  <c r="G16" i="8"/>
  <c r="H16" i="8"/>
  <c r="I16" i="8"/>
  <c r="C31" i="8"/>
  <c r="D31" i="8"/>
  <c r="E550" i="8" s="1"/>
  <c r="E31" i="8"/>
  <c r="F31" i="8"/>
  <c r="G31" i="8"/>
  <c r="H31" i="8"/>
  <c r="I31" i="8"/>
  <c r="C426" i="8"/>
  <c r="G528" i="8" s="1"/>
  <c r="C418" i="8"/>
  <c r="G32" i="8"/>
  <c r="H32"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I33" i="8"/>
  <c r="I34" i="8"/>
  <c r="I35" i="8"/>
  <c r="I36" i="8"/>
  <c r="I37" i="8"/>
  <c r="C513" i="8"/>
  <c r="B40" i="8"/>
  <c r="D40" i="8"/>
  <c r="B268" i="8"/>
  <c r="B574" i="8" s="1"/>
  <c r="B550" i="8"/>
  <c r="B409" i="8"/>
  <c r="B47" i="8" s="1"/>
  <c r="R71" i="8"/>
  <c r="B444" i="8" s="1"/>
  <c r="R72" i="8"/>
  <c r="B445" i="8" s="1"/>
  <c r="E48" i="8"/>
  <c r="F48" i="8"/>
  <c r="P73" i="8"/>
  <c r="P74" i="8"/>
  <c r="C49" i="8"/>
  <c r="C63" i="8" s="1"/>
  <c r="Q71" i="8"/>
  <c r="Q72" i="8"/>
  <c r="G49" i="8"/>
  <c r="S71" i="8"/>
  <c r="S72" i="8"/>
  <c r="F60" i="8"/>
  <c r="B429" i="8"/>
  <c r="F62" i="8" s="1"/>
  <c r="F74" i="8" s="1"/>
  <c r="D63" i="8"/>
  <c r="G63" i="8"/>
  <c r="B64" i="8"/>
  <c r="B65" i="8"/>
  <c r="T65" i="8"/>
  <c r="B66" i="8"/>
  <c r="T66" i="8"/>
  <c r="B67" i="8"/>
  <c r="T67" i="8"/>
  <c r="B68" i="8"/>
  <c r="T68" i="8"/>
  <c r="B69" i="8"/>
  <c r="S69" i="8"/>
  <c r="B70" i="8"/>
  <c r="S70" i="8"/>
  <c r="B71" i="8"/>
  <c r="B75" i="8"/>
  <c r="F80" i="8"/>
  <c r="C86" i="8"/>
  <c r="E86" i="8"/>
  <c r="F86" i="8"/>
  <c r="G86" i="8"/>
  <c r="B241" i="8"/>
  <c r="M87" i="8"/>
  <c r="M88" i="8"/>
  <c r="M89" i="8"/>
  <c r="M90" i="8"/>
  <c r="B87" i="8"/>
  <c r="C87" i="8"/>
  <c r="F87" i="8" s="1"/>
  <c r="G87" i="8"/>
  <c r="I140" i="8"/>
  <c r="I87" i="8"/>
  <c r="F105" i="8"/>
  <c r="C111" i="8"/>
  <c r="D111" i="8"/>
  <c r="E111" i="8"/>
  <c r="F111" i="8"/>
  <c r="G111" i="8"/>
  <c r="B167" i="8"/>
  <c r="H111" i="8" s="1"/>
  <c r="B240" i="8"/>
  <c r="I111" i="8" s="1"/>
  <c r="H139" i="8"/>
  <c r="J111" i="8" s="1"/>
  <c r="B112" i="8"/>
  <c r="B225" i="8" s="1"/>
  <c r="C112" i="8"/>
  <c r="H140" i="8"/>
  <c r="J112" i="8"/>
  <c r="C128" i="8" s="1"/>
  <c r="G112" i="8" s="1"/>
  <c r="B113" i="8"/>
  <c r="D128" i="8"/>
  <c r="J122" i="8" s="1"/>
  <c r="B114" i="8"/>
  <c r="B115" i="8"/>
  <c r="B116" i="8"/>
  <c r="B117" i="8"/>
  <c r="B118" i="8"/>
  <c r="B119" i="8"/>
  <c r="B120" i="8"/>
  <c r="B121" i="8"/>
  <c r="B122" i="8"/>
  <c r="B123" i="8"/>
  <c r="B124" i="8"/>
  <c r="H125" i="8"/>
  <c r="B168" i="8"/>
  <c r="B127" i="8" s="1"/>
  <c r="B128" i="8"/>
  <c r="B130" i="8"/>
  <c r="B131" i="8"/>
  <c r="C131" i="8"/>
  <c r="B132" i="8"/>
  <c r="D545" i="8"/>
  <c r="B137" i="8" s="1"/>
  <c r="D546" i="8"/>
  <c r="B138" i="8" s="1"/>
  <c r="F139" i="8"/>
  <c r="G139" i="8"/>
  <c r="J139" i="8"/>
  <c r="G224" i="8" s="1"/>
  <c r="C140" i="8"/>
  <c r="D140" i="8"/>
  <c r="E140" i="8"/>
  <c r="B141" i="8"/>
  <c r="B142" i="8"/>
  <c r="B143" i="8"/>
  <c r="B144" i="8"/>
  <c r="B145" i="8"/>
  <c r="B148" i="8"/>
  <c r="B151" i="8"/>
  <c r="B154" i="8"/>
  <c r="B155" i="8"/>
  <c r="B158" i="8"/>
  <c r="B161" i="8"/>
  <c r="B164" i="8"/>
  <c r="B242" i="8"/>
  <c r="C170" i="8"/>
  <c r="C197" i="8" s="1"/>
  <c r="D170" i="8"/>
  <c r="D197" i="8" s="1"/>
  <c r="E170" i="8"/>
  <c r="E197" i="8" s="1"/>
  <c r="F170" i="8"/>
  <c r="F197" i="8" s="1"/>
  <c r="G170" i="8"/>
  <c r="G197" i="8" s="1"/>
  <c r="H170" i="8"/>
  <c r="H197" i="8" s="1"/>
  <c r="I170" i="8"/>
  <c r="I197" i="8" s="1"/>
  <c r="B171" i="8"/>
  <c r="B198" i="8" s="1"/>
  <c r="B226" i="8"/>
  <c r="B227" i="8"/>
  <c r="B228" i="8"/>
  <c r="B229" i="8"/>
  <c r="B230" i="8"/>
  <c r="B231" i="8"/>
  <c r="B232" i="8"/>
  <c r="B233" i="8"/>
  <c r="B234" i="8"/>
  <c r="B235" i="8"/>
  <c r="B236" i="8"/>
  <c r="B237" i="8"/>
  <c r="B577" i="8"/>
  <c r="B239" i="8" s="1"/>
  <c r="B247" i="8"/>
  <c r="E247" i="8"/>
  <c r="E693" i="8"/>
  <c r="E694" i="8"/>
  <c r="E695" i="8"/>
  <c r="E696" i="8"/>
  <c r="E697" i="8"/>
  <c r="E698" i="8"/>
  <c r="B252" i="8"/>
  <c r="B253" i="8"/>
  <c r="B255" i="8"/>
  <c r="B256" i="8"/>
  <c r="F256" i="8"/>
  <c r="B298" i="8"/>
  <c r="B258" i="8"/>
  <c r="B259" i="8" s="1"/>
  <c r="B261" i="8"/>
  <c r="D261" i="8"/>
  <c r="E261" i="8"/>
  <c r="B262" i="8"/>
  <c r="B263" i="8"/>
  <c r="B264" i="8"/>
  <c r="B265" i="8"/>
  <c r="B269" i="8"/>
  <c r="B270" i="8"/>
  <c r="B271" i="8"/>
  <c r="B272" i="8"/>
  <c r="B273" i="8"/>
  <c r="B274" i="8"/>
  <c r="G977" i="8"/>
  <c r="E278" i="8"/>
  <c r="C366" i="8"/>
  <c r="E366" i="8" s="1"/>
  <c r="B279" i="8"/>
  <c r="B280" i="8"/>
  <c r="B281" i="8"/>
  <c r="B282" i="8"/>
  <c r="B283" i="8"/>
  <c r="B284" i="8"/>
  <c r="B285" i="8"/>
  <c r="B286" i="8"/>
  <c r="B287" i="8"/>
  <c r="C291" i="8"/>
  <c r="F291" i="8"/>
  <c r="I291" i="8"/>
  <c r="B293" i="8"/>
  <c r="I293" i="8"/>
  <c r="B294" i="8"/>
  <c r="B295" i="8"/>
  <c r="L296" i="8"/>
  <c r="B297" i="8"/>
  <c r="B305" i="8"/>
  <c r="C305" i="8"/>
  <c r="L324" i="8"/>
  <c r="B317" i="8"/>
  <c r="B318" i="8"/>
  <c r="B319" i="8"/>
  <c r="O319" i="8"/>
  <c r="Q319" i="8"/>
  <c r="B320" i="8"/>
  <c r="O320" i="8"/>
  <c r="B321" i="8"/>
  <c r="B322" i="8"/>
  <c r="B323" i="8"/>
  <c r="C323" i="8"/>
  <c r="C332" i="8" s="1"/>
  <c r="B324" i="8"/>
  <c r="C324" i="8"/>
  <c r="J324" i="8"/>
  <c r="B325" i="8"/>
  <c r="B326" i="8"/>
  <c r="B327" i="8"/>
  <c r="C327" i="8"/>
  <c r="E327" i="8"/>
  <c r="B329" i="8"/>
  <c r="D687" i="8"/>
  <c r="C658" i="8"/>
  <c r="B330" i="8"/>
  <c r="E723" i="8"/>
  <c r="B331" i="8"/>
  <c r="B332" i="8"/>
  <c r="B333" i="8"/>
  <c r="B334" i="8"/>
  <c r="B335" i="8"/>
  <c r="E335" i="8"/>
  <c r="B336" i="8"/>
  <c r="B337" i="8"/>
  <c r="B373" i="8" s="1"/>
  <c r="B338" i="8"/>
  <c r="B339" i="8"/>
  <c r="B340" i="8"/>
  <c r="B363" i="8" s="1"/>
  <c r="B341" i="8"/>
  <c r="B379" i="8" s="1"/>
  <c r="B343" i="8"/>
  <c r="B344" i="8"/>
  <c r="B345" i="8"/>
  <c r="B346" i="8"/>
  <c r="O346" i="8"/>
  <c r="B347" i="8"/>
  <c r="B378" i="8" s="1"/>
  <c r="O347" i="8"/>
  <c r="B348" i="8"/>
  <c r="O348" i="8"/>
  <c r="B349" i="8"/>
  <c r="O349" i="8"/>
  <c r="B350" i="8"/>
  <c r="B351" i="8"/>
  <c r="C351" i="8"/>
  <c r="B352" i="8"/>
  <c r="B353" i="8"/>
  <c r="B377" i="8" s="1"/>
  <c r="B355" i="8"/>
  <c r="C355" i="8"/>
  <c r="B356" i="8"/>
  <c r="B357" i="8"/>
  <c r="B358" i="8"/>
  <c r="B359" i="8"/>
  <c r="B360" i="8"/>
  <c r="B374" i="8" s="1"/>
  <c r="B361" i="8"/>
  <c r="E361" i="8"/>
  <c r="B364" i="8"/>
  <c r="C364" i="8"/>
  <c r="D366" i="8"/>
  <c r="F366" i="8"/>
  <c r="B367" i="8"/>
  <c r="B368" i="8"/>
  <c r="B369" i="8"/>
  <c r="B370" i="8"/>
  <c r="B371" i="8"/>
  <c r="B372" i="8"/>
  <c r="B375" i="8"/>
  <c r="B376" i="8"/>
  <c r="B381" i="8"/>
  <c r="B382" i="8"/>
  <c r="B387" i="8"/>
  <c r="B388" i="8"/>
  <c r="C388" i="8"/>
  <c r="B389" i="8"/>
  <c r="I390" i="8"/>
  <c r="D871" i="8" s="1"/>
  <c r="B671" i="8"/>
  <c r="B390" i="8"/>
  <c r="D390" i="8"/>
  <c r="B391" i="8"/>
  <c r="F664" i="8"/>
  <c r="M391" i="8"/>
  <c r="B392" i="8"/>
  <c r="D392" i="8"/>
  <c r="E393" i="8"/>
  <c r="B394" i="8"/>
  <c r="S410" i="8"/>
  <c r="B395" i="8"/>
  <c r="B396" i="8"/>
  <c r="B397" i="8"/>
  <c r="B398" i="8"/>
  <c r="O398" i="8"/>
  <c r="O400" i="8" s="1"/>
  <c r="O402" i="8" s="1"/>
  <c r="B399" i="8"/>
  <c r="B400" i="8"/>
  <c r="M400" i="8"/>
  <c r="B401" i="8"/>
  <c r="B402" i="8"/>
  <c r="B403" i="8"/>
  <c r="O403" i="8"/>
  <c r="M404" i="8" s="1"/>
  <c r="B404" i="8"/>
  <c r="C521" i="8"/>
  <c r="C522" i="8" s="1"/>
  <c r="B406" i="8"/>
  <c r="B407" i="8"/>
  <c r="B408" i="8"/>
  <c r="B410" i="8"/>
  <c r="B411" i="8"/>
  <c r="Q411" i="8"/>
  <c r="B412" i="8"/>
  <c r="M412" i="8"/>
  <c r="B413" i="8"/>
  <c r="B414" i="8"/>
  <c r="B416" i="8"/>
  <c r="B417" i="8"/>
  <c r="B418" i="8"/>
  <c r="B419" i="8"/>
  <c r="B420" i="8"/>
  <c r="B495" i="8"/>
  <c r="B421" i="8" s="1"/>
  <c r="B496" i="8"/>
  <c r="B422" i="8" s="1"/>
  <c r="B523" i="8"/>
  <c r="B423" i="8" s="1"/>
  <c r="B428" i="8"/>
  <c r="E725" i="8"/>
  <c r="C660" i="8" s="1"/>
  <c r="E732" i="8"/>
  <c r="B430" i="8"/>
  <c r="E785" i="8"/>
  <c r="E783" i="8"/>
  <c r="E782" i="8"/>
  <c r="E786" i="8"/>
  <c r="E784" i="8"/>
  <c r="B431" i="8"/>
  <c r="B432" i="8"/>
  <c r="B473" i="8"/>
  <c r="B433" i="8" s="1"/>
  <c r="B435" i="8"/>
  <c r="B436" i="8"/>
  <c r="E765" i="8"/>
  <c r="E764" i="8"/>
  <c r="E766" i="8"/>
  <c r="E762" i="8"/>
  <c r="E767" i="8"/>
  <c r="E763" i="8"/>
  <c r="F764" i="8"/>
  <c r="F765" i="8"/>
  <c r="B437" i="8"/>
  <c r="B438" i="8"/>
  <c r="B439" i="8"/>
  <c r="B441" i="8"/>
  <c r="B442" i="8"/>
  <c r="E795" i="8"/>
  <c r="E796" i="8"/>
  <c r="E797" i="8"/>
  <c r="N563" i="8" s="1"/>
  <c r="E798" i="8"/>
  <c r="B492" i="8"/>
  <c r="B443" i="8" s="1"/>
  <c r="D453" i="8"/>
  <c r="D454" i="8"/>
  <c r="B515" i="8"/>
  <c r="B488" i="8" s="1"/>
  <c r="B457" i="8"/>
  <c r="B516" i="8"/>
  <c r="E668" i="8"/>
  <c r="N461" i="8" s="1"/>
  <c r="B519" i="8"/>
  <c r="O462" i="8"/>
  <c r="B464" i="8"/>
  <c r="B465" i="8"/>
  <c r="B466" i="8"/>
  <c r="C471" i="8"/>
  <c r="D474" i="8"/>
  <c r="D475" i="8"/>
  <c r="B506" i="8"/>
  <c r="B476" i="8" s="1"/>
  <c r="B477" i="8"/>
  <c r="B668" i="8"/>
  <c r="B667" i="8"/>
  <c r="E485" i="8" s="1"/>
  <c r="B478" i="8"/>
  <c r="B479" i="8"/>
  <c r="B480" i="8"/>
  <c r="B481" i="8"/>
  <c r="B482" i="8"/>
  <c r="B508" i="8"/>
  <c r="B483" i="8" s="1"/>
  <c r="B484" i="8"/>
  <c r="E484" i="8"/>
  <c r="B485" i="8"/>
  <c r="D486" i="8"/>
  <c r="C488" i="8"/>
  <c r="C489" i="8" s="1"/>
  <c r="C515" i="8"/>
  <c r="C492" i="8"/>
  <c r="B497" i="8"/>
  <c r="D504" i="8"/>
  <c r="D505" i="8"/>
  <c r="B507" i="8"/>
  <c r="C507" i="8"/>
  <c r="B509" i="8"/>
  <c r="B510" i="8"/>
  <c r="B511" i="8"/>
  <c r="B512" i="8"/>
  <c r="D513" i="8"/>
  <c r="B521" i="8"/>
  <c r="Q857" i="8"/>
  <c r="S857" i="8" s="1"/>
  <c r="T857" i="8" s="1"/>
  <c r="Q858" i="8"/>
  <c r="S858" i="8"/>
  <c r="Q859" i="8"/>
  <c r="S859" i="8" s="1"/>
  <c r="T860" i="8"/>
  <c r="Q861" i="8"/>
  <c r="S861" i="8" s="1"/>
  <c r="Q862" i="8"/>
  <c r="S862" i="8" s="1"/>
  <c r="B522" i="8"/>
  <c r="B528" i="8"/>
  <c r="F528" i="8"/>
  <c r="B529" i="8"/>
  <c r="Q529" i="8"/>
  <c r="Q536" i="8" s="1"/>
  <c r="S529" i="8"/>
  <c r="B530" i="8"/>
  <c r="B531" i="8"/>
  <c r="B533" i="8"/>
  <c r="B534" i="8"/>
  <c r="B537" i="8" s="1"/>
  <c r="B535" i="8"/>
  <c r="C535" i="8"/>
  <c r="C538" i="8" s="1"/>
  <c r="B536" i="8"/>
  <c r="B539" i="8" s="1"/>
  <c r="B538" i="8"/>
  <c r="B540" i="8"/>
  <c r="B545" i="8"/>
  <c r="D560" i="8"/>
  <c r="C548" i="8" s="1"/>
  <c r="E560" i="8"/>
  <c r="I548" i="8" s="1"/>
  <c r="F549" i="8"/>
  <c r="H549" i="8"/>
  <c r="I549" i="8"/>
  <c r="C550" i="8"/>
  <c r="J550" i="8"/>
  <c r="N552" i="8"/>
  <c r="D551" i="8"/>
  <c r="O552" i="8"/>
  <c r="F551" i="8"/>
  <c r="N553" i="8"/>
  <c r="D552" i="8"/>
  <c r="O553" i="8"/>
  <c r="F552" i="8"/>
  <c r="N554" i="8"/>
  <c r="D553" i="8"/>
  <c r="O554" i="8"/>
  <c r="F553" i="8"/>
  <c r="D554" i="8"/>
  <c r="F554" i="8"/>
  <c r="D555" i="8"/>
  <c r="F555" i="8"/>
  <c r="D556" i="8"/>
  <c r="F556" i="8"/>
  <c r="D557" i="8"/>
  <c r="F557" i="8"/>
  <c r="D558" i="8"/>
  <c r="F558" i="8"/>
  <c r="C561" i="8"/>
  <c r="B562" i="8"/>
  <c r="B563" i="8"/>
  <c r="B564" i="8"/>
  <c r="C564" i="8"/>
  <c r="B565" i="8"/>
  <c r="C565" i="8"/>
  <c r="B566" i="8"/>
  <c r="C566" i="8"/>
  <c r="B567" i="8"/>
  <c r="C567" i="8"/>
  <c r="C575" i="8" s="1"/>
  <c r="B568" i="8"/>
  <c r="C568" i="8"/>
  <c r="B569" i="8"/>
  <c r="C569" i="8"/>
  <c r="C570" i="8" s="1"/>
  <c r="C579" i="8" s="1"/>
  <c r="B570" i="8"/>
  <c r="B572" i="8"/>
  <c r="M574" i="8"/>
  <c r="M575" i="8"/>
  <c r="B578" i="8"/>
  <c r="C578" i="8"/>
  <c r="B579" i="8"/>
  <c r="A621" i="8"/>
  <c r="F659" i="8"/>
  <c r="F660" i="8"/>
  <c r="F661" i="8"/>
  <c r="T661" i="8"/>
  <c r="T662" i="8"/>
  <c r="T663" i="8"/>
  <c r="B664" i="8"/>
  <c r="T664" i="8"/>
  <c r="B665" i="8"/>
  <c r="C665" i="8"/>
  <c r="T665" i="8"/>
  <c r="F666" i="8"/>
  <c r="T666" i="8"/>
  <c r="C667" i="8"/>
  <c r="T667" i="8"/>
  <c r="C668" i="8"/>
  <c r="F668" i="8"/>
  <c r="T668" i="8"/>
  <c r="B669" i="8"/>
  <c r="F669" i="8"/>
  <c r="D682" i="8" s="1"/>
  <c r="T669" i="8"/>
  <c r="F670" i="8"/>
  <c r="T670" i="8"/>
  <c r="T671" i="8"/>
  <c r="T672" i="8"/>
  <c r="C673" i="8"/>
  <c r="D673" i="8"/>
  <c r="T673" i="8"/>
  <c r="C674" i="8"/>
  <c r="T674" i="8"/>
  <c r="C675" i="8"/>
  <c r="T675" i="8"/>
  <c r="C676" i="8"/>
  <c r="T676" i="8"/>
  <c r="C677" i="8"/>
  <c r="T677" i="8"/>
  <c r="C678" i="8"/>
  <c r="F678" i="8"/>
  <c r="T678" i="8"/>
  <c r="F679" i="8"/>
  <c r="T679" i="8"/>
  <c r="F680" i="8"/>
  <c r="T680" i="8"/>
  <c r="T681" i="8"/>
  <c r="C682" i="8"/>
  <c r="T682" i="8"/>
  <c r="T683" i="8"/>
  <c r="T684" i="8"/>
  <c r="T685" i="8"/>
  <c r="E750" i="8"/>
  <c r="C686" i="8" s="1"/>
  <c r="T686" i="8"/>
  <c r="L687" i="8"/>
  <c r="T687" i="8"/>
  <c r="L688" i="8"/>
  <c r="T688" i="8"/>
  <c r="L689" i="8"/>
  <c r="T689" i="8"/>
  <c r="L690" i="8"/>
  <c r="T690" i="8"/>
  <c r="L691" i="8"/>
  <c r="T691" i="8"/>
  <c r="L692" i="8"/>
  <c r="T692" i="8"/>
  <c r="L693" i="8"/>
  <c r="T693" i="8"/>
  <c r="L694" i="8"/>
  <c r="T694" i="8"/>
  <c r="T695" i="8"/>
  <c r="D696" i="8"/>
  <c r="T696" i="8"/>
  <c r="D697" i="8"/>
  <c r="M697" i="8"/>
  <c r="T697" i="8"/>
  <c r="D698" i="8"/>
  <c r="M698" i="8"/>
  <c r="T698" i="8"/>
  <c r="M699" i="8"/>
  <c r="T699" i="8"/>
  <c r="M700" i="8"/>
  <c r="M701" i="8"/>
  <c r="M704" i="8"/>
  <c r="E706" i="8"/>
  <c r="F762" i="8"/>
  <c r="F706" i="8" s="1"/>
  <c r="E710" i="8"/>
  <c r="F710" i="8"/>
  <c r="E711" i="8"/>
  <c r="E712" i="8"/>
  <c r="E713" i="8"/>
  <c r="E714" i="8"/>
  <c r="E715" i="8"/>
  <c r="F730" i="8"/>
  <c r="E735" i="8"/>
  <c r="F735" i="8"/>
  <c r="E736" i="8"/>
  <c r="F736" i="8"/>
  <c r="E737" i="8"/>
  <c r="E751" i="8"/>
  <c r="F751" i="8"/>
  <c r="E752" i="8"/>
  <c r="E753" i="8"/>
  <c r="F753" i="8"/>
  <c r="E754" i="8"/>
  <c r="F754" i="8"/>
  <c r="E13" i="15" s="1"/>
  <c r="E755" i="8"/>
  <c r="F755" i="8"/>
  <c r="F769" i="8"/>
  <c r="F774" i="8" s="1"/>
  <c r="E771" i="8"/>
  <c r="D773" i="8" s="1"/>
  <c r="F771" i="8"/>
  <c r="F772" i="8"/>
  <c r="F773" i="8" s="1"/>
  <c r="C775" i="8"/>
  <c r="D775" i="8"/>
  <c r="F775" i="8"/>
  <c r="F784" i="8"/>
  <c r="F785" i="8"/>
  <c r="F786" i="8"/>
  <c r="E799" i="8"/>
  <c r="F799" i="8"/>
  <c r="F800" i="8" s="1"/>
  <c r="F801" i="8"/>
  <c r="E800" i="8"/>
  <c r="E802" i="8"/>
  <c r="F802" i="8"/>
  <c r="E803" i="8"/>
  <c r="C842" i="8"/>
  <c r="Q863" i="8"/>
  <c r="C869" i="8"/>
  <c r="E869" i="8"/>
  <c r="F869" i="8"/>
  <c r="C871" i="8"/>
  <c r="C976" i="8"/>
  <c r="C977" i="8" s="1"/>
  <c r="D977" i="8"/>
  <c r="D978" i="8"/>
  <c r="E978" i="8"/>
  <c r="F978" i="8"/>
  <c r="G978" i="8"/>
  <c r="B980" i="8"/>
  <c r="B981" i="8"/>
  <c r="B982" i="8"/>
  <c r="D982" i="8"/>
  <c r="B983" i="8"/>
  <c r="K1027" i="8"/>
  <c r="L1027" i="8" s="1"/>
  <c r="K1028" i="8"/>
  <c r="L1028" i="8" s="1"/>
  <c r="K1029" i="8"/>
  <c r="L1029" i="8"/>
  <c r="K1030" i="8"/>
  <c r="L1030" i="8" s="1"/>
  <c r="K1031" i="8"/>
  <c r="L1031" i="8"/>
  <c r="F1046" i="8"/>
  <c r="F1055" i="8"/>
  <c r="F1056" i="8"/>
  <c r="F1063" i="8"/>
  <c r="F1064" i="8"/>
  <c r="A2" i="21"/>
  <c r="A4" i="21"/>
  <c r="E64" i="21" s="1"/>
  <c r="O4" i="21"/>
  <c r="O34" i="21" s="1"/>
  <c r="I5" i="21"/>
  <c r="I35" i="21" s="1"/>
  <c r="K5" i="21"/>
  <c r="K35" i="21" s="1"/>
  <c r="M5" i="21"/>
  <c r="M35" i="21" s="1"/>
  <c r="D76" i="21"/>
  <c r="S5" i="21" s="1"/>
  <c r="B6" i="21"/>
  <c r="B36" i="21" s="1"/>
  <c r="C6" i="21"/>
  <c r="C36" i="21" s="1"/>
  <c r="D6" i="21"/>
  <c r="D36" i="21" s="1"/>
  <c r="E6" i="21"/>
  <c r="E36" i="21" s="1"/>
  <c r="F6" i="21"/>
  <c r="F36" i="21" s="1"/>
  <c r="G6" i="21"/>
  <c r="G36" i="21" s="1"/>
  <c r="H6" i="21"/>
  <c r="H36" i="21" s="1"/>
  <c r="I6" i="21"/>
  <c r="I36" i="21" s="1"/>
  <c r="J6" i="21"/>
  <c r="J36" i="21" s="1"/>
  <c r="K6" i="21"/>
  <c r="L6" i="21"/>
  <c r="F75" i="21"/>
  <c r="S6" i="21" s="1"/>
  <c r="E7" i="21"/>
  <c r="E37" i="21" s="1"/>
  <c r="E75" i="21"/>
  <c r="K7" i="21"/>
  <c r="K37" i="21" s="1"/>
  <c r="M7" i="21"/>
  <c r="M37" i="21"/>
  <c r="O7" i="21"/>
  <c r="O37" i="21" s="1"/>
  <c r="H8" i="21"/>
  <c r="C75" i="21"/>
  <c r="M8" i="21"/>
  <c r="R8" i="21"/>
  <c r="N8" i="21"/>
  <c r="S8" i="21" s="1"/>
  <c r="T8" i="21"/>
  <c r="H9" i="21"/>
  <c r="M9" i="21"/>
  <c r="R9" i="21" s="1"/>
  <c r="N9" i="21"/>
  <c r="S9" i="21"/>
  <c r="T9" i="21"/>
  <c r="H10" i="21"/>
  <c r="M10" i="21"/>
  <c r="R10" i="21" s="1"/>
  <c r="N10" i="21"/>
  <c r="S10" i="21" s="1"/>
  <c r="T10" i="21"/>
  <c r="H11" i="21"/>
  <c r="M11" i="21"/>
  <c r="R11" i="21" s="1"/>
  <c r="N11" i="21"/>
  <c r="S11" i="21" s="1"/>
  <c r="T11" i="21"/>
  <c r="H12" i="21"/>
  <c r="M12" i="21"/>
  <c r="R12" i="21" s="1"/>
  <c r="N12" i="21"/>
  <c r="S12" i="21" s="1"/>
  <c r="T12" i="21"/>
  <c r="H13" i="21"/>
  <c r="M13" i="21"/>
  <c r="R13" i="21" s="1"/>
  <c r="N13" i="21"/>
  <c r="S13" i="21" s="1"/>
  <c r="T13" i="21"/>
  <c r="H14" i="21"/>
  <c r="M14" i="21"/>
  <c r="R14" i="21" s="1"/>
  <c r="N14" i="21"/>
  <c r="S14" i="21" s="1"/>
  <c r="T14" i="21"/>
  <c r="H15" i="21"/>
  <c r="M15" i="21"/>
  <c r="R15" i="21" s="1"/>
  <c r="N15" i="21"/>
  <c r="S15" i="21" s="1"/>
  <c r="T15" i="21"/>
  <c r="H16" i="21"/>
  <c r="M16" i="21"/>
  <c r="R16" i="21" s="1"/>
  <c r="N16" i="21"/>
  <c r="S16" i="21" s="1"/>
  <c r="T16" i="21"/>
  <c r="H17" i="21"/>
  <c r="M17" i="21"/>
  <c r="R17" i="21" s="1"/>
  <c r="N17" i="21"/>
  <c r="S17" i="21" s="1"/>
  <c r="T17" i="21"/>
  <c r="H18" i="21"/>
  <c r="M18" i="21"/>
  <c r="R18" i="21" s="1"/>
  <c r="N18" i="21"/>
  <c r="S18" i="21" s="1"/>
  <c r="T18" i="21"/>
  <c r="H19" i="21"/>
  <c r="M19" i="21"/>
  <c r="R19" i="21" s="1"/>
  <c r="N19" i="21"/>
  <c r="S19" i="21" s="1"/>
  <c r="T19" i="21"/>
  <c r="H20" i="21"/>
  <c r="M20" i="21"/>
  <c r="R20" i="21" s="1"/>
  <c r="N20" i="21"/>
  <c r="S20" i="21" s="1"/>
  <c r="T20" i="21"/>
  <c r="H21" i="21"/>
  <c r="M21" i="21"/>
  <c r="R21" i="21" s="1"/>
  <c r="N21" i="21"/>
  <c r="S21" i="21" s="1"/>
  <c r="T21" i="21"/>
  <c r="H22" i="21"/>
  <c r="M22" i="21"/>
  <c r="R22" i="21"/>
  <c r="N22" i="21"/>
  <c r="S22" i="21" s="1"/>
  <c r="T22" i="21"/>
  <c r="H23" i="21"/>
  <c r="M23" i="21"/>
  <c r="R23" i="21" s="1"/>
  <c r="N23" i="21"/>
  <c r="S23" i="21" s="1"/>
  <c r="T23" i="21"/>
  <c r="H24" i="21"/>
  <c r="M24" i="21"/>
  <c r="R24" i="21"/>
  <c r="N24" i="21"/>
  <c r="S24" i="21" s="1"/>
  <c r="T24" i="21"/>
  <c r="H25" i="21"/>
  <c r="M25" i="21"/>
  <c r="R25" i="21" s="1"/>
  <c r="N25" i="21"/>
  <c r="S25" i="21" s="1"/>
  <c r="T25" i="21"/>
  <c r="H26" i="21"/>
  <c r="M26" i="21"/>
  <c r="R26" i="21" s="1"/>
  <c r="N26" i="21"/>
  <c r="S26" i="21" s="1"/>
  <c r="T26" i="21"/>
  <c r="H27" i="21"/>
  <c r="M27" i="21"/>
  <c r="R27" i="21" s="1"/>
  <c r="N27" i="21"/>
  <c r="S27" i="21" s="1"/>
  <c r="T27" i="21"/>
  <c r="H28" i="21"/>
  <c r="M28" i="21"/>
  <c r="R28" i="21" s="1"/>
  <c r="N28" i="21"/>
  <c r="S28" i="21"/>
  <c r="T28" i="21"/>
  <c r="H29" i="21"/>
  <c r="M29" i="21"/>
  <c r="R29" i="21" s="1"/>
  <c r="N29" i="21"/>
  <c r="S29" i="21" s="1"/>
  <c r="T29" i="21"/>
  <c r="H30" i="21"/>
  <c r="M30" i="21"/>
  <c r="R30" i="21" s="1"/>
  <c r="N30" i="21"/>
  <c r="S30" i="21" s="1"/>
  <c r="T30" i="21"/>
  <c r="H31" i="21"/>
  <c r="M31" i="21"/>
  <c r="R31" i="21" s="1"/>
  <c r="N31" i="21"/>
  <c r="S31" i="21" s="1"/>
  <c r="T31" i="21"/>
  <c r="H32" i="21"/>
  <c r="M32" i="21"/>
  <c r="R32" i="21" s="1"/>
  <c r="N32" i="21"/>
  <c r="S32" i="21" s="1"/>
  <c r="T32" i="21"/>
  <c r="A34" i="21"/>
  <c r="J64" i="21" s="1"/>
  <c r="D34" i="21"/>
  <c r="D37" i="21"/>
  <c r="I37" i="21"/>
  <c r="M38" i="21"/>
  <c r="R38" i="21" s="1"/>
  <c r="N38" i="21"/>
  <c r="S38" i="21" s="1"/>
  <c r="T38" i="21"/>
  <c r="M39" i="21"/>
  <c r="R39" i="21" s="1"/>
  <c r="N39" i="21"/>
  <c r="S39" i="21" s="1"/>
  <c r="T39" i="21"/>
  <c r="M40" i="21"/>
  <c r="R40" i="21" s="1"/>
  <c r="N40" i="21"/>
  <c r="S40" i="21" s="1"/>
  <c r="T40" i="21"/>
  <c r="M41" i="21"/>
  <c r="R41" i="21" s="1"/>
  <c r="N41" i="21"/>
  <c r="S41" i="21" s="1"/>
  <c r="T41" i="21"/>
  <c r="M42" i="21"/>
  <c r="R42" i="21" s="1"/>
  <c r="N42" i="21"/>
  <c r="S42" i="21" s="1"/>
  <c r="T42" i="21"/>
  <c r="M43" i="21"/>
  <c r="R43" i="21"/>
  <c r="N43" i="21"/>
  <c r="S43" i="21" s="1"/>
  <c r="T43" i="21"/>
  <c r="M44" i="21"/>
  <c r="R44" i="21" s="1"/>
  <c r="N44" i="21"/>
  <c r="S44" i="21" s="1"/>
  <c r="T44" i="21"/>
  <c r="M45" i="21"/>
  <c r="R45" i="21" s="1"/>
  <c r="N45" i="21"/>
  <c r="S45" i="21" s="1"/>
  <c r="T45" i="21"/>
  <c r="M46" i="21"/>
  <c r="R46" i="21" s="1"/>
  <c r="N46" i="21"/>
  <c r="S46" i="21" s="1"/>
  <c r="T46" i="21"/>
  <c r="M47" i="21"/>
  <c r="R47" i="21" s="1"/>
  <c r="N47" i="21"/>
  <c r="S47" i="21" s="1"/>
  <c r="T47" i="21"/>
  <c r="M48" i="21"/>
  <c r="R48" i="21" s="1"/>
  <c r="N48" i="21"/>
  <c r="S48" i="21" s="1"/>
  <c r="T48" i="21"/>
  <c r="H49" i="21"/>
  <c r="M49" i="21"/>
  <c r="R49" i="21" s="1"/>
  <c r="N49" i="21"/>
  <c r="S49" i="21" s="1"/>
  <c r="T49" i="21"/>
  <c r="H50" i="21"/>
  <c r="M50" i="21"/>
  <c r="R50" i="21" s="1"/>
  <c r="N50" i="21"/>
  <c r="S50" i="21" s="1"/>
  <c r="T50" i="21"/>
  <c r="H51" i="21"/>
  <c r="M51" i="21"/>
  <c r="R51" i="21" s="1"/>
  <c r="N51" i="21"/>
  <c r="S51" i="21" s="1"/>
  <c r="T51" i="21"/>
  <c r="H52" i="21"/>
  <c r="M52" i="21"/>
  <c r="R52" i="21" s="1"/>
  <c r="N52" i="21"/>
  <c r="S52" i="21" s="1"/>
  <c r="T52" i="21"/>
  <c r="H53" i="21"/>
  <c r="M53" i="21"/>
  <c r="R53" i="21"/>
  <c r="N53" i="21"/>
  <c r="S53" i="21" s="1"/>
  <c r="T53" i="21"/>
  <c r="H54" i="21"/>
  <c r="M54" i="21"/>
  <c r="R54" i="21" s="1"/>
  <c r="N54" i="21"/>
  <c r="S54" i="21" s="1"/>
  <c r="T54" i="21"/>
  <c r="H55" i="21"/>
  <c r="M55" i="21"/>
  <c r="R55" i="21" s="1"/>
  <c r="N55" i="21"/>
  <c r="S55" i="21" s="1"/>
  <c r="T55" i="21"/>
  <c r="H56" i="21"/>
  <c r="M56" i="21"/>
  <c r="R56" i="21" s="1"/>
  <c r="N56" i="21"/>
  <c r="S56" i="21"/>
  <c r="T56" i="21"/>
  <c r="H57" i="21"/>
  <c r="M57" i="21"/>
  <c r="R57" i="21" s="1"/>
  <c r="N57" i="21"/>
  <c r="S57" i="21" s="1"/>
  <c r="T57" i="21"/>
  <c r="H58" i="21"/>
  <c r="M58" i="21"/>
  <c r="R58" i="21" s="1"/>
  <c r="N58" i="21"/>
  <c r="S58" i="21" s="1"/>
  <c r="T58" i="21"/>
  <c r="H59" i="21"/>
  <c r="M59" i="21"/>
  <c r="R59" i="21"/>
  <c r="N59" i="21"/>
  <c r="S59" i="21" s="1"/>
  <c r="T59" i="21"/>
  <c r="H60" i="21"/>
  <c r="M60" i="21"/>
  <c r="R60" i="21" s="1"/>
  <c r="N60" i="21"/>
  <c r="S60" i="21" s="1"/>
  <c r="T60" i="21"/>
  <c r="H61" i="21"/>
  <c r="M61" i="21"/>
  <c r="R61" i="21" s="1"/>
  <c r="N61" i="21"/>
  <c r="S61" i="21" s="1"/>
  <c r="T61" i="21"/>
  <c r="H62" i="21"/>
  <c r="M62" i="21"/>
  <c r="R62" i="21" s="1"/>
  <c r="N62" i="21"/>
  <c r="S62" i="21" s="1"/>
  <c r="T62" i="21"/>
  <c r="D65" i="21"/>
  <c r="B75" i="21"/>
  <c r="E65" i="21"/>
  <c r="E66" i="21" s="1"/>
  <c r="B76" i="21"/>
  <c r="F65" i="21" s="1"/>
  <c r="B77" i="21"/>
  <c r="G65" i="21" s="1"/>
  <c r="B78" i="21"/>
  <c r="H65" i="21" s="1"/>
  <c r="B66" i="21"/>
  <c r="G66" i="21"/>
  <c r="G67" i="21" s="1"/>
  <c r="D67" i="21"/>
  <c r="B69" i="21"/>
  <c r="B71" i="21"/>
  <c r="I71" i="21"/>
  <c r="C76" i="21"/>
  <c r="E76" i="21"/>
  <c r="F76" i="21"/>
  <c r="C77" i="21"/>
  <c r="C78" i="21"/>
  <c r="G4" i="15"/>
  <c r="J4" i="15"/>
  <c r="E5" i="15"/>
  <c r="G5" i="15"/>
  <c r="J5" i="15"/>
  <c r="G8" i="15"/>
  <c r="J8" i="15"/>
  <c r="N8" i="15"/>
  <c r="O8" i="15"/>
  <c r="G9" i="15"/>
  <c r="J9" i="15"/>
  <c r="N9" i="15"/>
  <c r="O9" i="15"/>
  <c r="D10" i="15"/>
  <c r="G10" i="15"/>
  <c r="N10" i="15"/>
  <c r="O10" i="15"/>
  <c r="D11" i="15"/>
  <c r="G11" i="15"/>
  <c r="N11" i="15"/>
  <c r="O11" i="15"/>
  <c r="D12" i="15"/>
  <c r="N12" i="15"/>
  <c r="O12" i="15"/>
  <c r="D13" i="15"/>
  <c r="L13" i="15"/>
  <c r="N13" i="15"/>
  <c r="O13" i="15"/>
  <c r="G14" i="15"/>
  <c r="J14" i="15"/>
  <c r="L14" i="15"/>
  <c r="M14" i="15"/>
  <c r="N14" i="15"/>
  <c r="O14" i="15"/>
  <c r="D15" i="15"/>
  <c r="G15" i="15"/>
  <c r="J15" i="15"/>
  <c r="L15" i="15"/>
  <c r="M15" i="15"/>
  <c r="N15" i="15"/>
  <c r="O15" i="15"/>
  <c r="D16" i="15"/>
  <c r="G16" i="15"/>
  <c r="J16" i="15"/>
  <c r="L16" i="15"/>
  <c r="N16" i="15"/>
  <c r="O16" i="15"/>
  <c r="D17" i="15"/>
  <c r="J17" i="15"/>
  <c r="L17" i="15"/>
  <c r="M17" i="15"/>
  <c r="N17" i="15"/>
  <c r="O17" i="15"/>
  <c r="D18" i="15"/>
  <c r="J18" i="15"/>
  <c r="L18" i="15"/>
  <c r="M18" i="15"/>
  <c r="N18" i="15"/>
  <c r="O18" i="15"/>
  <c r="G19" i="15"/>
  <c r="G20" i="15"/>
  <c r="J20" i="15"/>
  <c r="M20" i="15"/>
  <c r="D21" i="15"/>
  <c r="G21" i="15"/>
  <c r="J21" i="15"/>
  <c r="M21" i="15"/>
  <c r="D22" i="15"/>
  <c r="J22" i="15"/>
  <c r="H24" i="15"/>
  <c r="J24" i="15"/>
  <c r="H25" i="15"/>
  <c r="J25" i="15"/>
  <c r="N25" i="15"/>
  <c r="Q25" i="15"/>
  <c r="J26" i="15"/>
  <c r="N26" i="15"/>
  <c r="Q26" i="15"/>
  <c r="D27" i="15"/>
  <c r="N27" i="15"/>
  <c r="Q27" i="15"/>
  <c r="J28" i="15"/>
  <c r="N28" i="15"/>
  <c r="Q28" i="15"/>
  <c r="J29" i="15"/>
  <c r="N29" i="15"/>
  <c r="Q29" i="15"/>
  <c r="N30" i="15"/>
  <c r="Q30" i="15"/>
  <c r="E31" i="15"/>
  <c r="J31" i="15"/>
  <c r="N31" i="15"/>
  <c r="Q31" i="15"/>
  <c r="E32" i="15"/>
  <c r="J32" i="15"/>
  <c r="N32" i="15"/>
  <c r="Q32" i="15"/>
  <c r="E33" i="15"/>
  <c r="J33" i="15"/>
  <c r="N33" i="15"/>
  <c r="Q33" i="15"/>
  <c r="E34" i="15"/>
  <c r="J34" i="15"/>
  <c r="N34" i="15"/>
  <c r="Q34" i="15"/>
  <c r="E35" i="15"/>
  <c r="J35" i="15"/>
  <c r="N35" i="15"/>
  <c r="Q35" i="15"/>
  <c r="J36" i="15"/>
  <c r="N36" i="15"/>
  <c r="Q36" i="15"/>
  <c r="N37" i="15"/>
  <c r="Q37" i="15"/>
  <c r="N38" i="15"/>
  <c r="Q38" i="15"/>
  <c r="N39" i="15"/>
  <c r="Q39" i="15"/>
  <c r="N40" i="15"/>
  <c r="Q40" i="15"/>
  <c r="F41" i="15"/>
  <c r="N41" i="15"/>
  <c r="Q41" i="15"/>
  <c r="F42" i="15"/>
  <c r="J42" i="15"/>
  <c r="N42" i="15"/>
  <c r="Q42" i="15"/>
  <c r="F43" i="15"/>
  <c r="J43" i="15"/>
  <c r="F44" i="15"/>
  <c r="J44" i="15"/>
  <c r="N44" i="15"/>
  <c r="F45" i="15"/>
  <c r="J45" i="15"/>
  <c r="N45" i="15"/>
  <c r="F46" i="15"/>
  <c r="N46" i="15"/>
  <c r="N47" i="15"/>
  <c r="F48" i="15"/>
  <c r="K48" i="15"/>
  <c r="L48" i="15"/>
  <c r="M48" i="15"/>
  <c r="N48" i="15"/>
  <c r="F49" i="15"/>
  <c r="J49" i="15"/>
  <c r="J50" i="15"/>
  <c r="J51" i="15"/>
  <c r="M59" i="15"/>
  <c r="Q59" i="15"/>
  <c r="U59" i="15"/>
  <c r="V59" i="15"/>
  <c r="W59" i="15"/>
  <c r="X59" i="15"/>
  <c r="Y59" i="15"/>
  <c r="Z59" i="15"/>
  <c r="C113" i="15"/>
  <c r="C114" i="15"/>
  <c r="C75" i="15"/>
  <c r="D75" i="15"/>
  <c r="E75" i="15"/>
  <c r="F75" i="15"/>
  <c r="H75" i="15"/>
  <c r="I75" i="15"/>
  <c r="J75" i="15"/>
  <c r="K75" i="15"/>
  <c r="D113" i="15"/>
  <c r="D114" i="15"/>
  <c r="C76" i="15"/>
  <c r="D76" i="15"/>
  <c r="E76" i="15"/>
  <c r="F76" i="15"/>
  <c r="H76" i="15"/>
  <c r="I76" i="15"/>
  <c r="J76" i="15"/>
  <c r="K76" i="15"/>
  <c r="C77" i="15"/>
  <c r="D77" i="15"/>
  <c r="E77" i="15"/>
  <c r="F77" i="15"/>
  <c r="H77" i="15"/>
  <c r="I77" i="15"/>
  <c r="J77" i="15"/>
  <c r="K77" i="15"/>
  <c r="C78" i="15"/>
  <c r="D78" i="15"/>
  <c r="E78" i="15"/>
  <c r="F78" i="15"/>
  <c r="H78" i="15"/>
  <c r="I78" i="15"/>
  <c r="J78" i="15"/>
  <c r="K78" i="15"/>
  <c r="C79" i="15"/>
  <c r="D79" i="15"/>
  <c r="E79" i="15"/>
  <c r="F79" i="15"/>
  <c r="H79" i="15"/>
  <c r="I79" i="15"/>
  <c r="J79" i="15"/>
  <c r="K79" i="15"/>
  <c r="C81" i="15"/>
  <c r="D81" i="15"/>
  <c r="E81" i="15"/>
  <c r="F81" i="15"/>
  <c r="H81" i="15"/>
  <c r="I81" i="15"/>
  <c r="J81" i="15"/>
  <c r="K81" i="15"/>
  <c r="C82" i="15"/>
  <c r="D82" i="15"/>
  <c r="E82" i="15"/>
  <c r="F82" i="15"/>
  <c r="H82" i="15"/>
  <c r="I82" i="15"/>
  <c r="J82" i="15"/>
  <c r="K82" i="15"/>
  <c r="C83" i="15"/>
  <c r="D83" i="15"/>
  <c r="E83" i="15"/>
  <c r="F83" i="15"/>
  <c r="H83" i="15"/>
  <c r="I83" i="15"/>
  <c r="J83" i="15"/>
  <c r="K83" i="15"/>
  <c r="C84" i="15"/>
  <c r="D84" i="15"/>
  <c r="E84" i="15"/>
  <c r="F84" i="15"/>
  <c r="H84" i="15"/>
  <c r="I84" i="15"/>
  <c r="J84" i="15"/>
  <c r="K84" i="15"/>
  <c r="C85" i="15"/>
  <c r="D85" i="15"/>
  <c r="E85" i="15"/>
  <c r="F85" i="15"/>
  <c r="H85" i="15"/>
  <c r="I85" i="15"/>
  <c r="J85" i="15"/>
  <c r="K85" i="15"/>
  <c r="C87" i="15"/>
  <c r="D87" i="15"/>
  <c r="E87" i="15"/>
  <c r="F87" i="15"/>
  <c r="H87" i="15"/>
  <c r="I87" i="15"/>
  <c r="J87" i="15"/>
  <c r="K87" i="15"/>
  <c r="C88" i="15"/>
  <c r="D88" i="15"/>
  <c r="E88" i="15"/>
  <c r="F88" i="15"/>
  <c r="H88" i="15"/>
  <c r="I88" i="15"/>
  <c r="J88" i="15"/>
  <c r="K88" i="15"/>
  <c r="C89" i="15"/>
  <c r="D89" i="15"/>
  <c r="E89" i="15"/>
  <c r="F89" i="15"/>
  <c r="H89" i="15"/>
  <c r="I89" i="15"/>
  <c r="J89" i="15"/>
  <c r="K89" i="15"/>
  <c r="E113" i="15"/>
  <c r="E114" i="15"/>
  <c r="C90" i="15"/>
  <c r="D90" i="15"/>
  <c r="E90" i="15"/>
  <c r="F90" i="15"/>
  <c r="H90" i="15"/>
  <c r="I90" i="15"/>
  <c r="J90" i="15"/>
  <c r="K90" i="15"/>
  <c r="C91" i="15"/>
  <c r="D91" i="15"/>
  <c r="E91" i="15"/>
  <c r="F91" i="15"/>
  <c r="H91" i="15"/>
  <c r="I91" i="15"/>
  <c r="J91" i="15"/>
  <c r="K91" i="15"/>
  <c r="F113" i="15"/>
  <c r="F114" i="15"/>
  <c r="G113" i="15"/>
  <c r="G114" i="15"/>
  <c r="D133" i="15"/>
  <c r="E133" i="15"/>
  <c r="I133" i="15"/>
  <c r="J133" i="15"/>
  <c r="H133" i="15"/>
  <c r="F133" i="15"/>
  <c r="G133" i="15"/>
  <c r="K133" i="15"/>
  <c r="L133" i="15"/>
  <c r="Z3" i="14"/>
  <c r="AA3" i="14"/>
  <c r="Z4" i="14"/>
  <c r="AA4" i="14"/>
  <c r="Z5" i="14"/>
  <c r="AA5" i="14"/>
  <c r="Z6" i="14"/>
  <c r="AA6" i="14"/>
  <c r="Z7" i="14"/>
  <c r="AA7" i="14"/>
  <c r="Z16" i="14"/>
  <c r="AA16" i="14"/>
  <c r="Z17" i="14"/>
  <c r="Z18" i="14"/>
  <c r="Z19" i="14"/>
  <c r="Z20" i="14"/>
  <c r="Z22" i="14"/>
  <c r="V23" i="14"/>
  <c r="Z23" i="14"/>
  <c r="V24" i="14"/>
  <c r="Z24" i="14"/>
  <c r="V25" i="14"/>
  <c r="X25" i="14"/>
  <c r="AA25" i="14" s="1"/>
  <c r="Z25" i="14"/>
  <c r="V26" i="14"/>
  <c r="X26" i="14"/>
  <c r="AA26" i="14" s="1"/>
  <c r="Z26" i="14"/>
  <c r="BW127" i="14"/>
  <c r="BX127" i="14"/>
  <c r="BY127" i="14"/>
  <c r="BZ127" i="14"/>
  <c r="CA127" i="14"/>
  <c r="CC127" i="14"/>
  <c r="CD127" i="14"/>
  <c r="CE127" i="14"/>
  <c r="CF127" i="14"/>
  <c r="CG127" i="14"/>
  <c r="CL127" i="14"/>
  <c r="CM127" i="14"/>
  <c r="CO127" i="14"/>
  <c r="CP127" i="14"/>
  <c r="CQ127" i="14"/>
  <c r="CR127" i="14"/>
  <c r="CS127" i="14"/>
  <c r="BQ36" i="14"/>
  <c r="K36" i="14" s="1"/>
  <c r="BQ37" i="14"/>
  <c r="K37" i="14" s="1"/>
  <c r="E63" i="14"/>
  <c r="F63" i="14"/>
  <c r="G63" i="14"/>
  <c r="BJ134" i="14"/>
  <c r="BM134" i="14"/>
  <c r="BQ134" i="14"/>
  <c r="BZ134" i="14"/>
  <c r="CA134" i="14"/>
  <c r="CD134" i="14"/>
  <c r="CE134" i="14"/>
  <c r="BJ135" i="14"/>
  <c r="BM135" i="14"/>
  <c r="BQ135" i="14"/>
  <c r="BZ135" i="14"/>
  <c r="CA135" i="14"/>
  <c r="CD135" i="14"/>
  <c r="CE135" i="14"/>
  <c r="BJ136" i="14"/>
  <c r="BM136" i="14"/>
  <c r="BQ136" i="14"/>
  <c r="BZ136" i="14"/>
  <c r="CA136" i="14"/>
  <c r="CD136" i="14"/>
  <c r="CE136" i="14"/>
  <c r="BJ137" i="14"/>
  <c r="BM137" i="14"/>
  <c r="BQ137" i="14"/>
  <c r="BZ137" i="14"/>
  <c r="CA137" i="14"/>
  <c r="CD137" i="14"/>
  <c r="CE137" i="14"/>
  <c r="BJ138" i="14"/>
  <c r="BM138" i="14"/>
  <c r="BQ138" i="14"/>
  <c r="BZ138" i="14"/>
  <c r="CA138" i="14"/>
  <c r="CD138" i="14"/>
  <c r="CE138" i="14"/>
  <c r="F144" i="14"/>
  <c r="B50" i="25"/>
  <c r="C50" i="25"/>
  <c r="D50" i="25"/>
  <c r="D51" i="25"/>
  <c r="A84" i="25"/>
  <c r="A85" i="25"/>
  <c r="A86" i="25"/>
  <c r="A87" i="25"/>
  <c r="A88" i="25"/>
  <c r="E136" i="25"/>
  <c r="E137" i="25"/>
  <c r="G76" i="8"/>
  <c r="G719" i="2"/>
  <c r="G602" i="2"/>
  <c r="G86" i="2"/>
  <c r="G202" i="2"/>
  <c r="F25" i="2"/>
  <c r="F14" i="2"/>
  <c r="B627" i="2"/>
  <c r="B615" i="2"/>
  <c r="B637" i="2"/>
  <c r="B120" i="2"/>
  <c r="M1024" i="2"/>
  <c r="B174" i="2"/>
  <c r="F132" i="2"/>
  <c r="F649" i="2"/>
  <c r="F140" i="2"/>
  <c r="F165" i="2"/>
  <c r="F173" i="2"/>
  <c r="F178" i="2"/>
  <c r="F145" i="2"/>
  <c r="F657" i="2"/>
  <c r="F682" i="2"/>
  <c r="F695" i="2"/>
  <c r="K36" i="21"/>
  <c r="C16" i="3"/>
  <c r="T166" i="2"/>
  <c r="T650" i="2"/>
  <c r="G355" i="10"/>
  <c r="R1077" i="2"/>
  <c r="C83" i="2"/>
  <c r="C111" i="2"/>
  <c r="C220" i="2"/>
  <c r="C428" i="2"/>
  <c r="C436" i="2"/>
  <c r="C429" i="2"/>
  <c r="C185" i="2"/>
  <c r="C190" i="2"/>
  <c r="C214" i="2"/>
  <c r="C299" i="2"/>
  <c r="C376" i="2"/>
  <c r="C431" i="2"/>
  <c r="C478" i="2"/>
  <c r="C528" i="2"/>
  <c r="C76" i="2"/>
  <c r="C93" i="2"/>
  <c r="C297" i="2"/>
  <c r="C329" i="2"/>
  <c r="C652" i="2"/>
  <c r="C707" i="2"/>
  <c r="C702" i="2" s="1"/>
  <c r="C722" i="2"/>
  <c r="C753" i="2"/>
  <c r="C798" i="2"/>
  <c r="C909" i="2"/>
  <c r="C919" i="2" s="1"/>
  <c r="C993" i="2"/>
  <c r="C121" i="2"/>
  <c r="C485" i="2"/>
  <c r="C634" i="2"/>
  <c r="C724" i="2"/>
  <c r="C768" i="2"/>
  <c r="C628" i="2"/>
  <c r="C685" i="2"/>
  <c r="E970" i="2"/>
  <c r="C117" i="2"/>
  <c r="C591" i="2"/>
  <c r="C697" i="2"/>
  <c r="C300" i="2"/>
  <c r="C1025" i="2"/>
  <c r="C205" i="2"/>
  <c r="C298" i="2"/>
  <c r="C985" i="2"/>
  <c r="C506" i="2"/>
  <c r="C774" i="2"/>
  <c r="C745" i="2"/>
  <c r="C1024" i="2"/>
  <c r="C135" i="2"/>
  <c r="C490" i="2"/>
  <c r="AA128" i="9"/>
  <c r="B576" i="2"/>
  <c r="J119" i="8"/>
  <c r="H13" i="12"/>
  <c r="D116" i="12"/>
  <c r="G686" i="2"/>
  <c r="G617" i="2"/>
  <c r="B624" i="2"/>
  <c r="B107" i="2"/>
  <c r="B522" i="2"/>
  <c r="B706" i="2"/>
  <c r="V652" i="2"/>
  <c r="F163" i="12"/>
  <c r="F13" i="12"/>
  <c r="G404" i="2"/>
  <c r="F404" i="2"/>
  <c r="O482" i="2"/>
  <c r="B180" i="2"/>
  <c r="F648" i="2"/>
  <c r="F136" i="2"/>
  <c r="F131" i="2"/>
  <c r="F605" i="2"/>
  <c r="F686" i="2"/>
  <c r="F169" i="2"/>
  <c r="H29" i="2"/>
  <c r="G730" i="1"/>
  <c r="G252" i="1"/>
  <c r="B986" i="1"/>
  <c r="F38" i="1"/>
  <c r="G697" i="1"/>
  <c r="G576" i="1"/>
  <c r="G606" i="1" s="1"/>
  <c r="G905" i="1"/>
  <c r="B917" i="1"/>
  <c r="B927" i="1"/>
  <c r="B842" i="2"/>
  <c r="D205" i="4"/>
  <c r="D148" i="4"/>
  <c r="D168" i="4" s="1"/>
  <c r="D193" i="4"/>
  <c r="D103" i="4"/>
  <c r="D203" i="4"/>
  <c r="F229" i="2"/>
  <c r="F89" i="2"/>
  <c r="G77" i="2"/>
  <c r="G90" i="2"/>
  <c r="G629" i="2"/>
  <c r="G775" i="2"/>
  <c r="AB1082" i="2"/>
  <c r="B867" i="1"/>
  <c r="B875" i="1"/>
  <c r="F650" i="2"/>
  <c r="F166" i="2"/>
  <c r="D730" i="1"/>
  <c r="G126" i="2"/>
  <c r="B494" i="2"/>
  <c r="B545" i="2"/>
  <c r="B188" i="2"/>
  <c r="B437" i="2"/>
  <c r="B507" i="2"/>
  <c r="F596" i="2"/>
  <c r="F80" i="2"/>
  <c r="E426" i="1"/>
  <c r="F450" i="1"/>
  <c r="G450" i="1"/>
  <c r="M982" i="1"/>
  <c r="M1011" i="1"/>
  <c r="M999" i="1"/>
  <c r="F580" i="2"/>
  <c r="F64" i="2"/>
  <c r="F133" i="2"/>
  <c r="C151" i="2"/>
  <c r="C184" i="1"/>
  <c r="G30" i="1"/>
  <c r="R165" i="2"/>
  <c r="F123" i="2"/>
  <c r="C588" i="1"/>
  <c r="B509" i="1"/>
  <c r="B53" i="10"/>
  <c r="B131" i="10"/>
  <c r="W565" i="1"/>
  <c r="W573" i="1"/>
  <c r="W569" i="1"/>
  <c r="M295" i="8"/>
  <c r="L294" i="8"/>
  <c r="W570" i="1"/>
  <c r="W572" i="1"/>
  <c r="W564" i="1"/>
  <c r="W571" i="1"/>
  <c r="G122" i="2"/>
  <c r="G655" i="2"/>
  <c r="G138" i="2"/>
  <c r="G605" i="2"/>
  <c r="G646" i="2"/>
  <c r="G163" i="2"/>
  <c r="G143" i="2"/>
  <c r="G171" i="2"/>
  <c r="G650" i="2"/>
  <c r="G680" i="2"/>
  <c r="G688" i="2"/>
  <c r="G133" i="2"/>
  <c r="G693" i="2"/>
  <c r="G683" i="2"/>
  <c r="G649" i="2"/>
  <c r="G166" i="2"/>
  <c r="G660" i="2"/>
  <c r="G129" i="2"/>
  <c r="G89" i="2"/>
  <c r="G169" i="2"/>
  <c r="G176" i="2"/>
  <c r="G192" i="2"/>
  <c r="G709" i="2"/>
  <c r="G173" i="2"/>
  <c r="G141" i="2"/>
  <c r="G662" i="2"/>
  <c r="G145" i="2"/>
  <c r="G812" i="2"/>
  <c r="G140" i="2"/>
  <c r="G146" i="2"/>
  <c r="G165" i="2"/>
  <c r="G682" i="2"/>
  <c r="G690" i="2"/>
  <c r="G179" i="2"/>
  <c r="G695" i="2"/>
  <c r="G132" i="2"/>
  <c r="G174" i="2"/>
  <c r="G657" i="2"/>
  <c r="G178" i="2"/>
  <c r="G193" i="2"/>
  <c r="G194" i="2"/>
  <c r="G710" i="2"/>
  <c r="G711" i="2"/>
  <c r="G20" i="2"/>
  <c r="G691" i="2"/>
  <c r="G206" i="2"/>
  <c r="G181" i="2"/>
  <c r="G648" i="2"/>
  <c r="G131" i="2"/>
  <c r="G658" i="2"/>
  <c r="G723" i="2"/>
  <c r="G696" i="2"/>
  <c r="G663" i="2"/>
  <c r="G675" i="2"/>
  <c r="G674" i="2"/>
  <c r="G157" i="2"/>
  <c r="G158" i="2"/>
  <c r="G698" i="2"/>
  <c r="G14" i="2"/>
  <c r="G653" i="2"/>
  <c r="G324" i="2"/>
  <c r="G367" i="2"/>
  <c r="G320" i="2"/>
  <c r="G325" i="2"/>
  <c r="F320" i="2"/>
  <c r="F321" i="2" s="1"/>
  <c r="F323" i="2"/>
  <c r="G323" i="2"/>
  <c r="G327" i="2"/>
  <c r="G321" i="2"/>
  <c r="G136" i="2"/>
  <c r="G148" i="2"/>
  <c r="F325" i="2"/>
  <c r="F324" i="2"/>
  <c r="G25" i="2"/>
  <c r="G483" i="2"/>
  <c r="G481" i="2"/>
  <c r="G665" i="2"/>
  <c r="G814" i="2"/>
  <c r="G596" i="2"/>
  <c r="G588" i="2"/>
  <c r="G330" i="2"/>
  <c r="G377" i="2"/>
  <c r="G73" i="2"/>
  <c r="G80" i="2"/>
  <c r="F245" i="1"/>
  <c r="C8" i="18"/>
  <c r="AI186" i="1"/>
  <c r="R538" i="1"/>
  <c r="AT34" i="14"/>
  <c r="AM34" i="14"/>
  <c r="X4" i="14"/>
  <c r="O263" i="8"/>
  <c r="AV678" i="1"/>
  <c r="AV680" i="1"/>
  <c r="AO680" i="1"/>
  <c r="I6" i="14"/>
  <c r="C143" i="14"/>
  <c r="H145" i="14"/>
  <c r="AV685" i="1"/>
  <c r="J143" i="14"/>
  <c r="Y230" i="1"/>
  <c r="Y234" i="1"/>
  <c r="Y235" i="1"/>
  <c r="Y237" i="1"/>
  <c r="Y238" i="1"/>
  <c r="AO688" i="1"/>
  <c r="V693" i="2"/>
  <c r="I5" i="14"/>
  <c r="P142" i="14"/>
  <c r="A145" i="14"/>
  <c r="Y232" i="1"/>
  <c r="R6" i="14"/>
  <c r="AO689" i="1"/>
  <c r="Y233" i="1"/>
  <c r="AV681" i="1"/>
  <c r="AO679" i="1"/>
  <c r="AO684" i="1"/>
  <c r="R5" i="14"/>
  <c r="R142" i="14"/>
  <c r="C145" i="14"/>
  <c r="M145" i="14"/>
  <c r="Y231" i="1"/>
  <c r="AO685" i="1"/>
  <c r="S6" i="14"/>
  <c r="I7" i="14"/>
  <c r="AV686" i="1"/>
  <c r="S5" i="14"/>
  <c r="A143" i="14"/>
  <c r="E145" i="14"/>
  <c r="E143" i="14"/>
  <c r="AV679" i="1"/>
  <c r="R145" i="14"/>
  <c r="K143" i="14"/>
  <c r="M142" i="14"/>
  <c r="A144" i="14"/>
  <c r="AO686" i="1"/>
  <c r="M144" i="14"/>
  <c r="AV683" i="1"/>
  <c r="M143" i="14"/>
  <c r="Y239" i="1"/>
  <c r="I4" i="14"/>
  <c r="E144" i="14"/>
  <c r="Y240" i="1"/>
  <c r="AV689" i="1"/>
  <c r="I3" i="14"/>
  <c r="P143" i="14"/>
  <c r="AV682" i="1"/>
  <c r="S3" i="14"/>
  <c r="R4" i="14"/>
  <c r="S4" i="14"/>
  <c r="AV688" i="1"/>
  <c r="AO681" i="1"/>
  <c r="R7" i="14"/>
  <c r="AO687" i="1"/>
  <c r="S7" i="14"/>
  <c r="R3" i="14"/>
  <c r="R143" i="14"/>
  <c r="C144" i="14"/>
  <c r="H144" i="14"/>
  <c r="A142" i="14"/>
  <c r="AO678" i="1"/>
  <c r="AO682" i="1"/>
  <c r="AV684" i="1"/>
  <c r="I8" i="14"/>
  <c r="C142" i="14"/>
  <c r="J142" i="14"/>
  <c r="K142" i="14"/>
  <c r="R144" i="14"/>
  <c r="AV687" i="1"/>
  <c r="AO683" i="1"/>
  <c r="E142" i="14"/>
  <c r="Y236" i="1"/>
  <c r="Y241" i="1"/>
  <c r="J295" i="8" l="1"/>
  <c r="I149" i="8"/>
  <c r="J156" i="8"/>
  <c r="E223" i="12"/>
  <c r="C680" i="8"/>
  <c r="F812" i="2"/>
  <c r="D223" i="12"/>
  <c r="E215" i="12"/>
  <c r="E1261" i="2"/>
  <c r="E1209" i="2"/>
  <c r="J66" i="2"/>
  <c r="E1257" i="2"/>
  <c r="E209" i="12"/>
  <c r="E1198" i="2"/>
  <c r="E212" i="12"/>
  <c r="D210" i="12"/>
  <c r="E1251" i="2"/>
  <c r="D299" i="12"/>
  <c r="E1283" i="2"/>
  <c r="E1250" i="2"/>
  <c r="E1203" i="2"/>
  <c r="G212" i="12"/>
  <c r="E221" i="12"/>
  <c r="E1202" i="2"/>
  <c r="F281" i="12"/>
  <c r="G211" i="12"/>
  <c r="F219" i="12"/>
  <c r="D218" i="12"/>
  <c r="E1282" i="2"/>
  <c r="E1235" i="2"/>
  <c r="E281" i="12"/>
  <c r="G210" i="12"/>
  <c r="D213" i="12"/>
  <c r="E1187" i="2"/>
  <c r="N1187" i="2" s="1"/>
  <c r="S1074" i="2" s="1"/>
  <c r="B806" i="2"/>
  <c r="B520" i="2"/>
  <c r="B303" i="2"/>
  <c r="B544" i="2"/>
  <c r="B493" i="2"/>
  <c r="B826" i="2"/>
  <c r="B851" i="2"/>
  <c r="M552" i="2"/>
  <c r="N937" i="2"/>
  <c r="T143" i="2"/>
  <c r="T693" i="2"/>
  <c r="B698" i="1"/>
  <c r="B731" i="1" s="1"/>
  <c r="B607" i="1"/>
  <c r="C112" i="11"/>
  <c r="D116" i="11"/>
  <c r="C164" i="12"/>
  <c r="C165" i="12"/>
  <c r="B499" i="2"/>
  <c r="B511" i="2"/>
  <c r="B773" i="2"/>
  <c r="B219" i="2"/>
  <c r="B110" i="2"/>
  <c r="C93" i="4"/>
  <c r="C82" i="4"/>
  <c r="B736" i="2"/>
  <c r="B947" i="2"/>
  <c r="B559" i="2"/>
  <c r="B581" i="2" s="1"/>
  <c r="B65" i="2"/>
  <c r="C580" i="2"/>
  <c r="G687" i="9"/>
  <c r="G712" i="9"/>
  <c r="C142" i="4"/>
  <c r="C168" i="4"/>
  <c r="B18" i="2"/>
  <c r="S412" i="8"/>
  <c r="S411" i="8"/>
  <c r="E801" i="8"/>
  <c r="B96" i="2"/>
  <c r="B534" i="2"/>
  <c r="B751" i="2"/>
  <c r="B81" i="2"/>
  <c r="B542" i="2"/>
  <c r="B217" i="2"/>
  <c r="C42" i="2"/>
  <c r="C64" i="2" s="1"/>
  <c r="B242" i="2"/>
  <c r="M201" i="4"/>
  <c r="M253" i="4"/>
  <c r="T122" i="2"/>
  <c r="T192" i="2"/>
  <c r="T776" i="2"/>
  <c r="T643" i="2"/>
  <c r="B503" i="1"/>
  <c r="B531" i="1"/>
  <c r="B154" i="1"/>
  <c r="B888" i="1"/>
  <c r="I6" i="1"/>
  <c r="S212" i="1"/>
  <c r="S219" i="1"/>
  <c r="U219" i="1" s="1"/>
  <c r="AB274" i="1"/>
  <c r="W274" i="1"/>
  <c r="AB266" i="1"/>
  <c r="W266" i="1"/>
  <c r="C295" i="12"/>
  <c r="I1266" i="2"/>
  <c r="I1250" i="2"/>
  <c r="C279" i="12"/>
  <c r="AR46" i="10"/>
  <c r="B448" i="2"/>
  <c r="B315" i="2"/>
  <c r="C510" i="8"/>
  <c r="C509" i="8"/>
  <c r="C512" i="8"/>
  <c r="B446" i="2"/>
  <c r="J818" i="2"/>
  <c r="J849" i="2" s="1"/>
  <c r="C199" i="1"/>
  <c r="G668" i="8"/>
  <c r="J6" i="3"/>
  <c r="C200" i="1"/>
  <c r="J12" i="3"/>
  <c r="C34" i="3"/>
  <c r="J55" i="3" s="1"/>
  <c r="E773" i="8"/>
  <c r="D774" i="8"/>
  <c r="B554" i="2"/>
  <c r="V325" i="10"/>
  <c r="S332" i="10"/>
  <c r="B32" i="10"/>
  <c r="V332" i="10"/>
  <c r="V318" i="10"/>
  <c r="V324" i="10"/>
  <c r="S333" i="10"/>
  <c r="V333" i="10"/>
  <c r="B30" i="10"/>
  <c r="V322" i="10"/>
  <c r="AI46" i="10"/>
  <c r="G46" i="10" s="1"/>
  <c r="F30" i="10"/>
  <c r="S323" i="10"/>
  <c r="AM46" i="10"/>
  <c r="V323" i="10"/>
  <c r="AN46" i="10"/>
  <c r="AN54" i="10" s="1"/>
  <c r="AN55" i="10" s="1"/>
  <c r="L55" i="10" s="1"/>
  <c r="AO46" i="10"/>
  <c r="B881" i="2"/>
  <c r="D139" i="4"/>
  <c r="AU46" i="10"/>
  <c r="S46" i="10" s="1"/>
  <c r="S331" i="10"/>
  <c r="D11" i="4"/>
  <c r="L264" i="4"/>
  <c r="I1228" i="2"/>
  <c r="U229" i="12"/>
  <c r="U225" i="12"/>
  <c r="C294" i="12"/>
  <c r="I1265" i="2"/>
  <c r="AQ46" i="10"/>
  <c r="S328" i="10"/>
  <c r="B515" i="1"/>
  <c r="D935" i="1"/>
  <c r="M555" i="8"/>
  <c r="C1170" i="1"/>
  <c r="B142" i="1"/>
  <c r="H1185" i="1"/>
  <c r="T56" i="11"/>
  <c r="T69" i="11" s="1"/>
  <c r="U56" i="11"/>
  <c r="U61" i="11" s="1"/>
  <c r="B147" i="10"/>
  <c r="B146" i="10"/>
  <c r="B436" i="2"/>
  <c r="B561" i="2"/>
  <c r="B583" i="2" s="1"/>
  <c r="B67" i="2"/>
  <c r="I1119" i="2"/>
  <c r="C328" i="12" s="1"/>
  <c r="I1186" i="2"/>
  <c r="I1185" i="2"/>
  <c r="E995" i="1"/>
  <c r="E1008" i="2" s="1"/>
  <c r="I535" i="1"/>
  <c r="I519" i="1"/>
  <c r="AT46" i="10"/>
  <c r="AT54" i="10" s="1"/>
  <c r="I414" i="1"/>
  <c r="B670" i="2"/>
  <c r="S530" i="8"/>
  <c r="C464" i="8"/>
  <c r="B179" i="2"/>
  <c r="B146" i="2"/>
  <c r="B663" i="2"/>
  <c r="B696" i="2"/>
  <c r="O1197" i="2"/>
  <c r="F230" i="2" s="1"/>
  <c r="B326" i="1"/>
  <c r="C483" i="1"/>
  <c r="F13" i="1"/>
  <c r="E13" i="1"/>
  <c r="AG190" i="1"/>
  <c r="AP46" i="10"/>
  <c r="B1172" i="1"/>
  <c r="V327" i="10"/>
  <c r="C564" i="2"/>
  <c r="C970" i="2"/>
  <c r="B38" i="2"/>
  <c r="B782" i="2"/>
  <c r="B916" i="2"/>
  <c r="B900" i="2"/>
  <c r="B528" i="2"/>
  <c r="N400" i="8"/>
  <c r="D400" i="8" s="1"/>
  <c r="P398" i="8"/>
  <c r="D938" i="2"/>
  <c r="K1179" i="2"/>
  <c r="P1066" i="2" s="1"/>
  <c r="C1066" i="2" s="1"/>
  <c r="I1179" i="2"/>
  <c r="C316" i="12" s="1"/>
  <c r="C222" i="12" s="1"/>
  <c r="V331" i="10"/>
  <c r="AS46" i="10"/>
  <c r="B669" i="2"/>
  <c r="C166" i="12"/>
  <c r="B790" i="2"/>
  <c r="B88" i="2"/>
  <c r="F1155" i="1"/>
  <c r="F154" i="1"/>
  <c r="H154" i="1" s="1"/>
  <c r="W271" i="1"/>
  <c r="S327" i="10"/>
  <c r="E1227" i="2"/>
  <c r="E1248" i="2"/>
  <c r="E1200" i="2"/>
  <c r="G221" i="12"/>
  <c r="D207" i="12"/>
  <c r="D253" i="12" s="1"/>
  <c r="E1221" i="2"/>
  <c r="B549" i="2"/>
  <c r="E1179" i="2"/>
  <c r="X20" i="10"/>
  <c r="Z20" i="10" s="1"/>
  <c r="H15" i="1"/>
  <c r="H20" i="1" s="1"/>
  <c r="F299" i="12"/>
  <c r="G219" i="12"/>
  <c r="E1290" i="2"/>
  <c r="E1246" i="2"/>
  <c r="E1196" i="2"/>
  <c r="AQ187" i="10"/>
  <c r="E1285" i="2"/>
  <c r="Y70" i="10"/>
  <c r="AQ137" i="10"/>
  <c r="AQ147" i="10" s="1"/>
  <c r="B38" i="8"/>
  <c r="E1274" i="2"/>
  <c r="D750" i="8"/>
  <c r="J110" i="9"/>
  <c r="F224" i="12"/>
  <c r="G218" i="12"/>
  <c r="E1266" i="2"/>
  <c r="E1242" i="2"/>
  <c r="E1215" i="2"/>
  <c r="I1193" i="2"/>
  <c r="K378" i="2"/>
  <c r="AP187" i="10"/>
  <c r="D862" i="8"/>
  <c r="E862" i="8" s="1"/>
  <c r="G862" i="8" s="1"/>
  <c r="I862" i="8" s="1"/>
  <c r="E1201" i="2"/>
  <c r="D752" i="8"/>
  <c r="E274" i="12"/>
  <c r="G207" i="12"/>
  <c r="E1273" i="2"/>
  <c r="E1216" i="2"/>
  <c r="D208" i="12"/>
  <c r="C280" i="8"/>
  <c r="D171" i="4" s="1"/>
  <c r="E1291" i="2"/>
  <c r="E1247" i="2"/>
  <c r="E1197" i="2"/>
  <c r="E903" i="2"/>
  <c r="F279" i="1"/>
  <c r="AR187" i="10"/>
  <c r="E1220" i="2"/>
  <c r="D136" i="4"/>
  <c r="D749" i="8"/>
  <c r="D679" i="8"/>
  <c r="G217" i="12"/>
  <c r="E211" i="12"/>
  <c r="E1286" i="2"/>
  <c r="E1240" i="2"/>
  <c r="E1214" i="2"/>
  <c r="I1192" i="2"/>
  <c r="P1070" i="2"/>
  <c r="B1069" i="2" s="1"/>
  <c r="E147" i="8"/>
  <c r="AN32" i="10"/>
  <c r="L98" i="10" s="1"/>
  <c r="AS137" i="10"/>
  <c r="Q203" i="10" s="1"/>
  <c r="I1117" i="2"/>
  <c r="O858" i="2" s="1"/>
  <c r="D521" i="1"/>
  <c r="E521" i="1" s="1"/>
  <c r="E1249" i="2"/>
  <c r="E1224" i="2"/>
  <c r="B205" i="2"/>
  <c r="F220" i="12"/>
  <c r="E1265" i="2"/>
  <c r="I1239" i="2"/>
  <c r="AB1098" i="2"/>
  <c r="P1068" i="2"/>
  <c r="J652" i="1"/>
  <c r="AO39" i="10"/>
  <c r="AO44" i="10" s="1"/>
  <c r="M44" i="10" s="1"/>
  <c r="C305" i="12"/>
  <c r="T858" i="8"/>
  <c r="AB273" i="1"/>
  <c r="W273" i="1"/>
  <c r="B666" i="2"/>
  <c r="B182" i="2"/>
  <c r="B492" i="2"/>
  <c r="B699" i="2"/>
  <c r="B513" i="2"/>
  <c r="B775" i="2"/>
  <c r="B629" i="2"/>
  <c r="B122" i="2"/>
  <c r="I841" i="2"/>
  <c r="I836" i="2"/>
  <c r="I828" i="2"/>
  <c r="I848" i="2"/>
  <c r="I823" i="2"/>
  <c r="O1122" i="2"/>
  <c r="F356" i="10"/>
  <c r="Q1078" i="2"/>
  <c r="T935" i="1"/>
  <c r="T933" i="1"/>
  <c r="G1099" i="1" s="1"/>
  <c r="J1160" i="2" s="1"/>
  <c r="B998" i="1"/>
  <c r="G20" i="3" s="1"/>
  <c r="B44" i="9" s="1"/>
  <c r="B1004" i="1"/>
  <c r="G30" i="3" s="1"/>
  <c r="B45" i="9" s="1"/>
  <c r="E131" i="9" s="1"/>
  <c r="S131" i="9" s="1"/>
  <c r="Y125" i="9" s="1"/>
  <c r="S934" i="1"/>
  <c r="D1098" i="1" s="1"/>
  <c r="R377" i="10" s="1"/>
  <c r="T937" i="1"/>
  <c r="J1080" i="1" s="1"/>
  <c r="J1093" i="1" s="1"/>
  <c r="S932" i="1"/>
  <c r="B1098" i="1" s="1"/>
  <c r="P377" i="10" s="1"/>
  <c r="M996" i="1"/>
  <c r="M997" i="1" s="1"/>
  <c r="T932" i="1"/>
  <c r="F1099" i="1" s="1"/>
  <c r="I1160" i="2" s="1"/>
  <c r="BV38" i="14"/>
  <c r="AE38" i="14" s="1"/>
  <c r="BW38" i="14"/>
  <c r="AY38" i="14" s="1"/>
  <c r="G38" i="14"/>
  <c r="H63" i="1" s="1"/>
  <c r="E814" i="1"/>
  <c r="F814" i="1"/>
  <c r="F317" i="1"/>
  <c r="B612" i="1"/>
  <c r="B737" i="1"/>
  <c r="O204" i="4"/>
  <c r="O7" i="4"/>
  <c r="C174" i="12"/>
  <c r="C106" i="12"/>
  <c r="C179" i="12"/>
  <c r="C289" i="12"/>
  <c r="C42" i="3"/>
  <c r="C397" i="8"/>
  <c r="C297" i="8"/>
  <c r="I32" i="8"/>
  <c r="F297" i="8"/>
  <c r="I297" i="8"/>
  <c r="F298" i="8"/>
  <c r="C298" i="8"/>
  <c r="B450" i="8"/>
  <c r="B471" i="8"/>
  <c r="D315" i="12"/>
  <c r="D267" i="12"/>
  <c r="D309" i="12"/>
  <c r="D286" i="12"/>
  <c r="D272" i="12"/>
  <c r="D266" i="12"/>
  <c r="D278" i="12"/>
  <c r="D283" i="12"/>
  <c r="B949" i="2"/>
  <c r="A892" i="2"/>
  <c r="B709" i="2"/>
  <c r="F865" i="2"/>
  <c r="H27" i="2"/>
  <c r="I1176" i="2"/>
  <c r="C208" i="12"/>
  <c r="N202" i="12" s="1"/>
  <c r="K1176" i="2"/>
  <c r="P1063" i="2" s="1"/>
  <c r="B1063" i="2" s="1"/>
  <c r="M547" i="1"/>
  <c r="B1161" i="1"/>
  <c r="C704" i="1" s="1"/>
  <c r="A291" i="8"/>
  <c r="D6" i="8" s="1"/>
  <c r="F677" i="8"/>
  <c r="B229" i="10"/>
  <c r="J229" i="10"/>
  <c r="B855" i="1"/>
  <c r="B872" i="1"/>
  <c r="C259" i="12"/>
  <c r="I1230" i="2"/>
  <c r="B239" i="2"/>
  <c r="C306" i="12"/>
  <c r="I1277" i="2"/>
  <c r="C258" i="12"/>
  <c r="I1229" i="2"/>
  <c r="E52" i="14"/>
  <c r="F77" i="1" s="1"/>
  <c r="BV52" i="14"/>
  <c r="AD52" i="14" s="1"/>
  <c r="G52" i="14"/>
  <c r="H77" i="1" s="1"/>
  <c r="AH24" i="14"/>
  <c r="AE24" i="14"/>
  <c r="H175" i="12" s="1"/>
  <c r="J175" i="12" s="1"/>
  <c r="X24" i="14"/>
  <c r="AA24" i="14" s="1"/>
  <c r="E488" i="8"/>
  <c r="C516" i="8"/>
  <c r="B870" i="1"/>
  <c r="B345" i="1"/>
  <c r="H450" i="1" s="1"/>
  <c r="C273" i="12"/>
  <c r="I1244" i="2"/>
  <c r="C241" i="12"/>
  <c r="I1212" i="2"/>
  <c r="K692" i="2"/>
  <c r="B535" i="2"/>
  <c r="H333" i="12"/>
  <c r="I1154" i="1" s="1"/>
  <c r="I1153" i="1"/>
  <c r="H334" i="12"/>
  <c r="I1155" i="1" s="1"/>
  <c r="C216" i="12"/>
  <c r="C232" i="1"/>
  <c r="B320" i="1"/>
  <c r="E829" i="2"/>
  <c r="C755" i="2"/>
  <c r="C706" i="2"/>
  <c r="BK34" i="14"/>
  <c r="BQ34" i="14" s="1"/>
  <c r="K34" i="14" s="1"/>
  <c r="C209" i="12"/>
  <c r="I1177" i="2"/>
  <c r="R775" i="2"/>
  <c r="R122" i="2"/>
  <c r="R738" i="2"/>
  <c r="C738" i="2" s="1"/>
  <c r="R592" i="2"/>
  <c r="C592" i="2" s="1"/>
  <c r="R629" i="2"/>
  <c r="C629" i="2" s="1"/>
  <c r="R112" i="2"/>
  <c r="C112" i="2" s="1"/>
  <c r="R221" i="2"/>
  <c r="C221" i="2" s="1"/>
  <c r="R192" i="2"/>
  <c r="C192" i="2" s="1"/>
  <c r="R100" i="2"/>
  <c r="C100" i="2" s="1"/>
  <c r="R606" i="2"/>
  <c r="C606" i="2" s="1"/>
  <c r="R617" i="2"/>
  <c r="C617" i="2" s="1"/>
  <c r="R639" i="2"/>
  <c r="C639" i="2" s="1"/>
  <c r="B441" i="2"/>
  <c r="B752" i="2"/>
  <c r="B24" i="2"/>
  <c r="B543" i="2"/>
  <c r="B519" i="2"/>
  <c r="B744" i="2"/>
  <c r="B781" i="2"/>
  <c r="I1232" i="2"/>
  <c r="C261" i="12"/>
  <c r="P64" i="11"/>
  <c r="AB64" i="11" s="1"/>
  <c r="P60" i="11"/>
  <c r="AB60" i="11" s="1"/>
  <c r="Y458" i="2" s="1"/>
  <c r="D458" i="2" s="1"/>
  <c r="D282" i="1" s="1"/>
  <c r="D618" i="1" s="1"/>
  <c r="AC189" i="1"/>
  <c r="M46" i="10"/>
  <c r="AO54" i="10"/>
  <c r="AO55" i="10" s="1"/>
  <c r="M55" i="10" s="1"/>
  <c r="K1072" i="2"/>
  <c r="S322" i="2"/>
  <c r="W369" i="2" s="1"/>
  <c r="V381" i="2" s="1"/>
  <c r="B765" i="2"/>
  <c r="D1121" i="2" s="1"/>
  <c r="C338" i="12" s="1"/>
  <c r="E1084" i="2"/>
  <c r="E1076" i="2"/>
  <c r="E54" i="14"/>
  <c r="F79" i="1" s="1"/>
  <c r="G54" i="14"/>
  <c r="H79" i="1" s="1"/>
  <c r="BV54" i="14"/>
  <c r="M692" i="1"/>
  <c r="M725" i="1"/>
  <c r="B805" i="2"/>
  <c r="Q914" i="1"/>
  <c r="Q925" i="1"/>
  <c r="AQ114" i="14"/>
  <c r="AR114" i="14"/>
  <c r="AS114" i="14" s="1"/>
  <c r="Y181" i="10"/>
  <c r="W181" i="10" s="1"/>
  <c r="X181" i="10" s="1"/>
  <c r="AK82" i="10"/>
  <c r="AL187" i="10"/>
  <c r="Y178" i="10"/>
  <c r="AO82" i="10"/>
  <c r="AM187" i="10"/>
  <c r="Y172" i="10"/>
  <c r="AP82" i="10"/>
  <c r="AN187" i="10"/>
  <c r="Y171" i="10"/>
  <c r="AQ82" i="10"/>
  <c r="AO187" i="10"/>
  <c r="Y66" i="10"/>
  <c r="AJ82" i="10"/>
  <c r="AT187" i="10"/>
  <c r="AU82" i="10"/>
  <c r="AU187" i="10"/>
  <c r="Y182" i="10"/>
  <c r="AI82" i="10"/>
  <c r="C486" i="1"/>
  <c r="C290" i="1"/>
  <c r="C573" i="1"/>
  <c r="AB1099" i="2"/>
  <c r="AB1088" i="2"/>
  <c r="T1121" i="2"/>
  <c r="V442" i="2"/>
  <c r="J1121" i="2" s="1"/>
  <c r="Y71" i="10"/>
  <c r="Z123" i="10"/>
  <c r="AI187" i="10"/>
  <c r="S933" i="1"/>
  <c r="C1098" i="1" s="1"/>
  <c r="Q377" i="10" s="1"/>
  <c r="Y73" i="10"/>
  <c r="E23" i="14"/>
  <c r="F48" i="1" s="1"/>
  <c r="AH23" i="14"/>
  <c r="I1245" i="2"/>
  <c r="I1197" i="2"/>
  <c r="R513" i="2"/>
  <c r="C513" i="2" s="1"/>
  <c r="C611" i="1"/>
  <c r="C737" i="1"/>
  <c r="C612" i="1"/>
  <c r="C736" i="1"/>
  <c r="C275" i="1"/>
  <c r="AE23" i="14"/>
  <c r="H174" i="12" s="1"/>
  <c r="H179" i="12" s="1"/>
  <c r="Y77" i="10"/>
  <c r="BW119" i="14"/>
  <c r="Z119" i="14"/>
  <c r="AB119" i="14" s="1"/>
  <c r="BK119" i="14"/>
  <c r="BP35" i="14"/>
  <c r="J35" i="14" s="1"/>
  <c r="BN35" i="14"/>
  <c r="H35" i="14" s="1"/>
  <c r="Y78" i="10"/>
  <c r="G121" i="14"/>
  <c r="H146" i="1" s="1"/>
  <c r="E35" i="14"/>
  <c r="F60" i="1" s="1"/>
  <c r="BK35" i="14"/>
  <c r="F1095" i="1"/>
  <c r="I1156" i="2" s="1"/>
  <c r="F1096" i="1"/>
  <c r="I1157" i="2" s="1"/>
  <c r="I1196" i="2"/>
  <c r="N276" i="10"/>
  <c r="M550" i="2"/>
  <c r="AA1117" i="2" s="1"/>
  <c r="I1114" i="2"/>
  <c r="C323" i="12" s="1"/>
  <c r="C687" i="9"/>
  <c r="C712" i="9"/>
  <c r="C737" i="9"/>
  <c r="C242" i="12"/>
  <c r="B862" i="1"/>
  <c r="B507" i="1"/>
  <c r="BV119" i="14"/>
  <c r="AD119" i="14" s="1"/>
  <c r="D200" i="1"/>
  <c r="C995" i="8"/>
  <c r="C1035" i="8" s="1"/>
  <c r="F995" i="8"/>
  <c r="G536" i="8"/>
  <c r="D45" i="10"/>
  <c r="E34" i="14"/>
  <c r="F59" i="1" s="1"/>
  <c r="G34" i="14"/>
  <c r="H59" i="1" s="1"/>
  <c r="BW34" i="14"/>
  <c r="E20" i="14"/>
  <c r="F45" i="1" s="1"/>
  <c r="X20" i="14"/>
  <c r="AA20" i="14" s="1"/>
  <c r="G20" i="14"/>
  <c r="H45" i="1" s="1"/>
  <c r="B131" i="11"/>
  <c r="U213" i="12"/>
  <c r="J823" i="2"/>
  <c r="J165" i="8"/>
  <c r="I165" i="8"/>
  <c r="V569" i="1"/>
  <c r="V563" i="1"/>
  <c r="V564" i="1"/>
  <c r="V565" i="1"/>
  <c r="V572" i="1"/>
  <c r="V566" i="1"/>
  <c r="O1192" i="2"/>
  <c r="D1190" i="2" s="1"/>
  <c r="O1175" i="2"/>
  <c r="D1239" i="2" s="1"/>
  <c r="J7" i="3"/>
  <c r="J50" i="3"/>
  <c r="C875" i="1"/>
  <c r="J32" i="3"/>
  <c r="C309" i="8"/>
  <c r="O1184" i="2"/>
  <c r="I349" i="10" s="1"/>
  <c r="C247" i="10"/>
  <c r="C948" i="1"/>
  <c r="C949" i="1" s="1"/>
  <c r="J51" i="3"/>
  <c r="F140" i="8"/>
  <c r="J34" i="3"/>
  <c r="G664" i="8"/>
  <c r="O1187" i="2"/>
  <c r="D1187" i="2" s="1"/>
  <c r="C555" i="2" s="1"/>
  <c r="J10" i="3"/>
  <c r="J25" i="3"/>
  <c r="C805" i="1"/>
  <c r="C950" i="1" s="1"/>
  <c r="P5" i="3"/>
  <c r="C17" i="3"/>
  <c r="C858" i="1"/>
  <c r="C11" i="3"/>
  <c r="C54" i="3" s="1"/>
  <c r="J26" i="3"/>
  <c r="F59" i="3"/>
  <c r="D112" i="9"/>
  <c r="J19" i="3"/>
  <c r="C322" i="8"/>
  <c r="G669" i="8"/>
  <c r="E685" i="8"/>
  <c r="C312" i="8" s="1"/>
  <c r="G225" i="8"/>
  <c r="D519" i="8"/>
  <c r="D1288" i="2" s="1"/>
  <c r="J27" i="3"/>
  <c r="D69" i="21"/>
  <c r="D71" i="21" s="1"/>
  <c r="J11" i="3"/>
  <c r="C867" i="1"/>
  <c r="BV121" i="14"/>
  <c r="AD121" i="14" s="1"/>
  <c r="R523" i="1"/>
  <c r="R524" i="1" s="1"/>
  <c r="R509" i="1"/>
  <c r="D513" i="1" s="1"/>
  <c r="R90" i="2"/>
  <c r="C90" i="2" s="1"/>
  <c r="J848" i="2"/>
  <c r="E489" i="8"/>
  <c r="C679" i="8"/>
  <c r="C283" i="8"/>
  <c r="D174" i="4" s="1"/>
  <c r="I1261" i="2"/>
  <c r="B689" i="2"/>
  <c r="B694" i="1"/>
  <c r="B729" i="1"/>
  <c r="G580" i="2"/>
  <c r="G64" i="2"/>
  <c r="G558" i="2"/>
  <c r="T934" i="1"/>
  <c r="H1099" i="1" s="1"/>
  <c r="K1160" i="2" s="1"/>
  <c r="J20" i="3"/>
  <c r="AD92" i="14"/>
  <c r="E684" i="8"/>
  <c r="C311" i="8" s="1"/>
  <c r="F278" i="1"/>
  <c r="I341" i="1"/>
  <c r="B299" i="1"/>
  <c r="F1051" i="8"/>
  <c r="F1065" i="8" s="1"/>
  <c r="G140" i="8"/>
  <c r="V129" i="9"/>
  <c r="C65" i="3"/>
  <c r="F89" i="12"/>
  <c r="F116" i="12"/>
  <c r="E116" i="12"/>
  <c r="G116" i="12"/>
  <c r="E163" i="12"/>
  <c r="E89" i="12"/>
  <c r="G89" i="12"/>
  <c r="U817" i="2"/>
  <c r="C648" i="2"/>
  <c r="H46" i="2"/>
  <c r="H562" i="2" s="1"/>
  <c r="S540" i="8"/>
  <c r="S536" i="8"/>
  <c r="S539" i="8"/>
  <c r="BV34" i="14"/>
  <c r="C874" i="1"/>
  <c r="C521" i="1"/>
  <c r="C823" i="1"/>
  <c r="C845" i="1"/>
  <c r="C866" i="1"/>
  <c r="C960" i="1" s="1"/>
  <c r="C846" i="1"/>
  <c r="J388" i="1"/>
  <c r="C658" i="1"/>
  <c r="C500" i="1"/>
  <c r="I1181" i="2"/>
  <c r="C210" i="12" s="1"/>
  <c r="I1180" i="2"/>
  <c r="C1000" i="2"/>
  <c r="C1011" i="2" s="1"/>
  <c r="B882" i="2"/>
  <c r="B913" i="2" s="1"/>
  <c r="B204" i="2"/>
  <c r="B721" i="2"/>
  <c r="T123" i="2"/>
  <c r="T157" i="2"/>
  <c r="T222" i="2"/>
  <c r="T513" i="2"/>
  <c r="T617" i="2"/>
  <c r="T711" i="2"/>
  <c r="T775" i="2"/>
  <c r="T158" i="2"/>
  <c r="T630" i="2"/>
  <c r="T738" i="2"/>
  <c r="T112" i="2"/>
  <c r="T618" i="2"/>
  <c r="T640" i="2"/>
  <c r="T592" i="2"/>
  <c r="T629" i="2"/>
  <c r="T90" i="2"/>
  <c r="T675" i="2"/>
  <c r="T639" i="2"/>
  <c r="T739" i="2"/>
  <c r="T606" i="2"/>
  <c r="B301" i="1"/>
  <c r="G15" i="1"/>
  <c r="G20" i="1" s="1"/>
  <c r="F20" i="1"/>
  <c r="AS187" i="10"/>
  <c r="C91" i="10"/>
  <c r="C196" i="10" s="1"/>
  <c r="C1232" i="2"/>
  <c r="C1191" i="2"/>
  <c r="C1178" i="2"/>
  <c r="G359" i="10"/>
  <c r="AU121" i="14"/>
  <c r="AW121" i="14" s="1"/>
  <c r="E349" i="10"/>
  <c r="D348" i="10" s="1"/>
  <c r="D115" i="12"/>
  <c r="D52" i="12"/>
  <c r="D67" i="4"/>
  <c r="D141" i="4"/>
  <c r="B896" i="1"/>
  <c r="B924" i="1"/>
  <c r="B7" i="1"/>
  <c r="B517" i="1"/>
  <c r="B898" i="1"/>
  <c r="J6" i="1"/>
  <c r="B916" i="1"/>
  <c r="B926" i="1" s="1"/>
  <c r="B164" i="1"/>
  <c r="B195" i="1"/>
  <c r="G350" i="10"/>
  <c r="C1185" i="2"/>
  <c r="D241" i="8"/>
  <c r="C236" i="12"/>
  <c r="I1207" i="2"/>
  <c r="AR32" i="14"/>
  <c r="AS32" i="14" s="1"/>
  <c r="AQ32" i="14"/>
  <c r="N143" i="11"/>
  <c r="T128" i="9"/>
  <c r="C235" i="12"/>
  <c r="I1206" i="2"/>
  <c r="BK40" i="14"/>
  <c r="AD88" i="14"/>
  <c r="C314" i="12"/>
  <c r="I1285" i="2"/>
  <c r="C234" i="12"/>
  <c r="I1205" i="2"/>
  <c r="AD90" i="14"/>
  <c r="B868" i="2"/>
  <c r="B911" i="2" s="1"/>
  <c r="B16" i="2"/>
  <c r="AQ37" i="14"/>
  <c r="AR37" i="14"/>
  <c r="AS37" i="14" s="1"/>
  <c r="B40" i="3"/>
  <c r="E1217" i="2"/>
  <c r="E1243" i="2"/>
  <c r="E1267" i="2"/>
  <c r="E1279" i="2"/>
  <c r="F212" i="12"/>
  <c r="E213" i="12"/>
  <c r="E210" i="12"/>
  <c r="G214" i="12"/>
  <c r="E1191" i="2"/>
  <c r="E1190" i="2" s="1"/>
  <c r="E1205" i="2"/>
  <c r="E1231" i="2"/>
  <c r="E1244" i="2"/>
  <c r="E1255" i="2"/>
  <c r="E1268" i="2"/>
  <c r="E1280" i="2"/>
  <c r="F209" i="12"/>
  <c r="D219" i="12"/>
  <c r="F210" i="12"/>
  <c r="D224" i="12"/>
  <c r="E1218" i="2"/>
  <c r="E1256" i="2"/>
  <c r="E1281" i="2"/>
  <c r="D212" i="12"/>
  <c r="F218" i="12"/>
  <c r="F221" i="12"/>
  <c r="G215" i="12"/>
  <c r="F274" i="12"/>
  <c r="E1254" i="2"/>
  <c r="E1206" i="2"/>
  <c r="E1219" i="2"/>
  <c r="E1232" i="2"/>
  <c r="E1245" i="2"/>
  <c r="E1258" i="2"/>
  <c r="E1269" i="2"/>
  <c r="D214" i="12"/>
  <c r="D209" i="12"/>
  <c r="F215" i="12"/>
  <c r="F213" i="12"/>
  <c r="E219" i="12"/>
  <c r="E299" i="12"/>
  <c r="E1289" i="2"/>
  <c r="N1175" i="2" s="1"/>
  <c r="H340" i="10" s="1"/>
  <c r="E1204" i="2"/>
  <c r="E1236" i="2"/>
  <c r="E1252" i="2"/>
  <c r="E1270" i="2"/>
  <c r="D215" i="12"/>
  <c r="E207" i="12"/>
  <c r="E293" i="12" s="1"/>
  <c r="F211" i="12"/>
  <c r="G213" i="12"/>
  <c r="E1222" i="2"/>
  <c r="E1238" i="2"/>
  <c r="E1253" i="2"/>
  <c r="E1284" i="2"/>
  <c r="E208" i="12"/>
  <c r="E1241" i="2"/>
  <c r="E1271" i="2"/>
  <c r="D217" i="12"/>
  <c r="F207" i="12"/>
  <c r="F307" i="12" s="1"/>
  <c r="E1181" i="2"/>
  <c r="E1175" i="2"/>
  <c r="E1199" i="2"/>
  <c r="E1223" i="2"/>
  <c r="E1239" i="2"/>
  <c r="E1259" i="2"/>
  <c r="E1272" i="2"/>
  <c r="E214" i="12"/>
  <c r="D221" i="12"/>
  <c r="AD56" i="14"/>
  <c r="P128" i="9"/>
  <c r="X128" i="9"/>
  <c r="F442" i="8"/>
  <c r="I1286" i="2"/>
  <c r="C315" i="12"/>
  <c r="C267" i="12"/>
  <c r="I1238" i="2"/>
  <c r="BK121" i="14"/>
  <c r="BV31" i="14"/>
  <c r="BW31" i="14"/>
  <c r="AY31" i="14" s="1"/>
  <c r="F782" i="8"/>
  <c r="L36" i="21"/>
  <c r="N6" i="21"/>
  <c r="G69" i="21"/>
  <c r="L65" i="21"/>
  <c r="L69" i="21" s="1"/>
  <c r="D680" i="8"/>
  <c r="B45" i="8"/>
  <c r="B173" i="2"/>
  <c r="B682" i="2"/>
  <c r="B657" i="2"/>
  <c r="B178" i="2"/>
  <c r="C790" i="2"/>
  <c r="C488" i="2"/>
  <c r="C520" i="2"/>
  <c r="C994" i="2"/>
  <c r="C806" i="2"/>
  <c r="C638" i="2"/>
  <c r="C430" i="2"/>
  <c r="C375" i="2"/>
  <c r="C207" i="2"/>
  <c r="C536" i="2"/>
  <c r="Z1106" i="2"/>
  <c r="C991" i="2"/>
  <c r="C309" i="2"/>
  <c r="C599" i="2"/>
  <c r="B770" i="1"/>
  <c r="B647" i="1" s="1"/>
  <c r="B307" i="1"/>
  <c r="W563" i="1"/>
  <c r="W562" i="1"/>
  <c r="BO118" i="14"/>
  <c r="I118" i="14" s="1"/>
  <c r="BQ118" i="14"/>
  <c r="K118" i="14" s="1"/>
  <c r="AD97" i="14"/>
  <c r="M325" i="8"/>
  <c r="E331" i="8" s="1"/>
  <c r="E325" i="8"/>
  <c r="D686" i="8"/>
  <c r="E351" i="10"/>
  <c r="D350" i="10" s="1"/>
  <c r="E1176" i="2"/>
  <c r="N1176" i="2" s="1"/>
  <c r="H341" i="10" s="1"/>
  <c r="N71" i="11"/>
  <c r="N51" i="11"/>
  <c r="C21" i="18" s="1"/>
  <c r="G19" i="14"/>
  <c r="H44" i="1" s="1"/>
  <c r="G70" i="4"/>
  <c r="J70" i="4" s="1"/>
  <c r="G46" i="4"/>
  <c r="J46" i="4" s="1"/>
  <c r="G106" i="4"/>
  <c r="J106" i="4" s="1"/>
  <c r="G107" i="4"/>
  <c r="J107" i="4" s="1"/>
  <c r="G179" i="4"/>
  <c r="J179" i="4" s="1"/>
  <c r="G112" i="4"/>
  <c r="J112" i="4" s="1"/>
  <c r="G180" i="4"/>
  <c r="J180" i="4" s="1"/>
  <c r="G69" i="4"/>
  <c r="J69" i="4" s="1"/>
  <c r="G160" i="4"/>
  <c r="J160" i="4" s="1"/>
  <c r="G255" i="4"/>
  <c r="J255" i="4" s="1"/>
  <c r="G169" i="4"/>
  <c r="J169" i="4" s="1"/>
  <c r="G170" i="4"/>
  <c r="J170" i="4" s="1"/>
  <c r="G45" i="4"/>
  <c r="J45" i="4" s="1"/>
  <c r="G16" i="4"/>
  <c r="G17" i="4"/>
  <c r="F430" i="8"/>
  <c r="I1269" i="2"/>
  <c r="C298" i="12"/>
  <c r="BK38" i="14"/>
  <c r="Q128" i="9"/>
  <c r="C266" i="12"/>
  <c r="N15" i="12"/>
  <c r="E227" i="4"/>
  <c r="E201" i="4"/>
  <c r="B691" i="2"/>
  <c r="B658" i="2"/>
  <c r="B300" i="2"/>
  <c r="B431" i="2"/>
  <c r="D693" i="8"/>
  <c r="D692" i="8"/>
  <c r="D695" i="8"/>
  <c r="I1120" i="2"/>
  <c r="C329" i="12" s="1"/>
  <c r="K1198" i="2"/>
  <c r="P1085" i="2" s="1"/>
  <c r="B1001" i="2"/>
  <c r="I1293" i="2"/>
  <c r="C321" i="12" s="1"/>
  <c r="M194" i="1"/>
  <c r="Q196" i="1" s="1"/>
  <c r="B1100" i="1" s="1"/>
  <c r="E220" i="12"/>
  <c r="H828" i="2"/>
  <c r="H841" i="2"/>
  <c r="B791" i="2"/>
  <c r="B754" i="2"/>
  <c r="V223" i="12"/>
  <c r="B304" i="1"/>
  <c r="AD37" i="14"/>
  <c r="AD89" i="14"/>
  <c r="V854" i="2"/>
  <c r="F854" i="2" s="1"/>
  <c r="CX23" i="14"/>
  <c r="CX35" i="14" s="1"/>
  <c r="AO43" i="10"/>
  <c r="M43" i="10" s="1"/>
  <c r="C348" i="1"/>
  <c r="P348" i="1" s="1"/>
  <c r="B611" i="2"/>
  <c r="B536" i="2"/>
  <c r="B798" i="2"/>
  <c r="T206" i="2"/>
  <c r="T179" i="2"/>
  <c r="T696" i="2"/>
  <c r="C667" i="2"/>
  <c r="R753" i="2"/>
  <c r="C795" i="2"/>
  <c r="C668" i="2"/>
  <c r="C669" i="2"/>
  <c r="S21" i="11"/>
  <c r="F697" i="8"/>
  <c r="W229" i="12" s="1"/>
  <c r="M268" i="8"/>
  <c r="K1175" i="2"/>
  <c r="I1289" i="2"/>
  <c r="C317" i="12" s="1"/>
  <c r="C207" i="12" s="1"/>
  <c r="F1109" i="1"/>
  <c r="I1170" i="2"/>
  <c r="E122" i="14"/>
  <c r="F147" i="1" s="1"/>
  <c r="AU34" i="14"/>
  <c r="O34" i="14" s="1"/>
  <c r="C558" i="2"/>
  <c r="S595" i="2"/>
  <c r="S606" i="2" s="1"/>
  <c r="D606" i="2" s="1"/>
  <c r="S125" i="2"/>
  <c r="P10" i="2"/>
  <c r="P21" i="2"/>
  <c r="E342" i="10"/>
  <c r="D342" i="10" s="1"/>
  <c r="P1064" i="2"/>
  <c r="AD104" i="14"/>
  <c r="C64" i="12"/>
  <c r="T602" i="2"/>
  <c r="M296" i="8"/>
  <c r="M294" i="8" s="1"/>
  <c r="G294" i="8" s="1"/>
  <c r="AH32" i="10"/>
  <c r="F98" i="10" s="1"/>
  <c r="AJ46" i="10"/>
  <c r="V326" i="10"/>
  <c r="P886" i="1"/>
  <c r="F897" i="1" s="1"/>
  <c r="BB55" i="3"/>
  <c r="BB11" i="3"/>
  <c r="E37" i="14"/>
  <c r="F62" i="1" s="1"/>
  <c r="B39" i="8"/>
  <c r="E224" i="12"/>
  <c r="Q586" i="1"/>
  <c r="S585" i="1" s="1"/>
  <c r="S326" i="10"/>
  <c r="S321" i="10"/>
  <c r="BB8" i="3"/>
  <c r="H7" i="21"/>
  <c r="D66" i="21" s="1"/>
  <c r="D220" i="12"/>
  <c r="C590" i="1"/>
  <c r="AJ32" i="10"/>
  <c r="AJ42" i="10" s="1"/>
  <c r="AH46" i="10"/>
  <c r="F46" i="10" s="1"/>
  <c r="AN239" i="10"/>
  <c r="AQ238" i="10" s="1"/>
  <c r="BB51" i="3"/>
  <c r="AD96" i="14"/>
  <c r="S771" i="1"/>
  <c r="AD95" i="14"/>
  <c r="C410" i="8"/>
  <c r="C411" i="8" s="1"/>
  <c r="D51" i="9"/>
  <c r="S51" i="9" s="1"/>
  <c r="J22" i="3"/>
  <c r="C14" i="3"/>
  <c r="O1185" i="2"/>
  <c r="T1072" i="2" s="1"/>
  <c r="C313" i="8"/>
  <c r="C242" i="8"/>
  <c r="D225" i="8" s="1"/>
  <c r="C941" i="1"/>
  <c r="O1194" i="2"/>
  <c r="O1191" i="2" s="1"/>
  <c r="E686" i="8"/>
  <c r="J30" i="3"/>
  <c r="C61" i="10"/>
  <c r="C166" i="10" s="1"/>
  <c r="G666" i="8"/>
  <c r="J31" i="3"/>
  <c r="O1189" i="2"/>
  <c r="T1076" i="2" s="1"/>
  <c r="J56" i="3"/>
  <c r="J36" i="3"/>
  <c r="C13" i="3"/>
  <c r="I7" i="4"/>
  <c r="C1004" i="1"/>
  <c r="C201" i="1"/>
  <c r="B1095" i="1"/>
  <c r="P374" i="10" s="1"/>
  <c r="B395" i="1"/>
  <c r="B315" i="1"/>
  <c r="B609" i="1"/>
  <c r="B734" i="1"/>
  <c r="C255" i="12"/>
  <c r="I1226" i="2"/>
  <c r="B1103" i="2"/>
  <c r="C628" i="1"/>
  <c r="C753" i="1"/>
  <c r="B695" i="1"/>
  <c r="B728" i="1"/>
  <c r="C303" i="12"/>
  <c r="I1274" i="2"/>
  <c r="B147" i="8"/>
  <c r="B160" i="8"/>
  <c r="C285" i="1"/>
  <c r="C568" i="1"/>
  <c r="C481" i="1"/>
  <c r="B202" i="2"/>
  <c r="B163" i="2"/>
  <c r="B129" i="2"/>
  <c r="F432" i="8"/>
  <c r="J162" i="8"/>
  <c r="I162" i="8"/>
  <c r="B324" i="1"/>
  <c r="AR144" i="10"/>
  <c r="AR149" i="10" s="1"/>
  <c r="P149" i="10" s="1"/>
  <c r="P203" i="10"/>
  <c r="P152" i="10"/>
  <c r="P154" i="10"/>
  <c r="I1124" i="2"/>
  <c r="C332" i="12" s="1"/>
  <c r="G1065" i="2"/>
  <c r="O1124" i="2"/>
  <c r="G59" i="4"/>
  <c r="J58" i="4"/>
  <c r="J59" i="4" s="1"/>
  <c r="I59" i="4" s="1"/>
  <c r="C977" i="2"/>
  <c r="C980" i="2"/>
  <c r="C978" i="2"/>
  <c r="C329" i="8"/>
  <c r="C237" i="12"/>
  <c r="S161" i="2"/>
  <c r="Z1126" i="2" s="1"/>
  <c r="S715" i="2"/>
  <c r="S198" i="2"/>
  <c r="G35" i="4"/>
  <c r="J34" i="4"/>
  <c r="J35" i="4" s="1"/>
  <c r="I35" i="4" s="1"/>
  <c r="D112" i="8"/>
  <c r="E112" i="8" s="1"/>
  <c r="F112" i="8" s="1"/>
  <c r="C129" i="8"/>
  <c r="B518" i="8"/>
  <c r="B461" i="8" s="1"/>
  <c r="B456" i="8" s="1"/>
  <c r="B491" i="8"/>
  <c r="C458" i="2"/>
  <c r="D823" i="2"/>
  <c r="F697" i="1"/>
  <c r="F730" i="1"/>
  <c r="B920" i="1"/>
  <c r="B931" i="1" s="1"/>
  <c r="B940" i="1"/>
  <c r="B892" i="1"/>
  <c r="B438" i="2"/>
  <c r="D848" i="2"/>
  <c r="B660" i="2"/>
  <c r="B143" i="2"/>
  <c r="B171" i="2"/>
  <c r="B176" i="2" s="1"/>
  <c r="AB272" i="1"/>
  <c r="W272" i="1"/>
  <c r="B792" i="2"/>
  <c r="D836" i="2"/>
  <c r="C286" i="12"/>
  <c r="B546" i="2"/>
  <c r="B722" i="2"/>
  <c r="B697" i="2"/>
  <c r="B678" i="1"/>
  <c r="B711" i="1"/>
  <c r="B592" i="1"/>
  <c r="B139" i="11"/>
  <c r="C41" i="10"/>
  <c r="C121" i="10"/>
  <c r="C147" i="10"/>
  <c r="C16" i="10"/>
  <c r="C17" i="10"/>
  <c r="I1242" i="2"/>
  <c r="C271" i="12"/>
  <c r="B907" i="2"/>
  <c r="B886" i="2"/>
  <c r="C1253" i="2"/>
  <c r="C1198" i="2"/>
  <c r="C1282" i="2"/>
  <c r="I1273" i="2"/>
  <c r="C302" i="12"/>
  <c r="B152" i="8"/>
  <c r="B159" i="8"/>
  <c r="B156" i="8"/>
  <c r="B165" i="8"/>
  <c r="B146" i="8"/>
  <c r="B149" i="8"/>
  <c r="I1288" i="2"/>
  <c r="C223" i="12" s="1"/>
  <c r="B1105" i="2"/>
  <c r="R43" i="2" s="1"/>
  <c r="I1224" i="2"/>
  <c r="C253" i="12"/>
  <c r="T173" i="2"/>
  <c r="T682" i="2"/>
  <c r="T165" i="2"/>
  <c r="T140" i="2"/>
  <c r="S209" i="1"/>
  <c r="U209" i="1" s="1"/>
  <c r="S216" i="1"/>
  <c r="U216" i="1" s="1"/>
  <c r="S218" i="1"/>
  <c r="U218" i="1" s="1"/>
  <c r="S217" i="1"/>
  <c r="U217" i="1" s="1"/>
  <c r="E1120" i="2"/>
  <c r="F1120" i="2"/>
  <c r="C1108" i="2"/>
  <c r="E1131" i="2"/>
  <c r="G1108" i="2"/>
  <c r="D877" i="2" s="1"/>
  <c r="I943" i="2" s="1"/>
  <c r="K1108" i="2"/>
  <c r="D875" i="2" s="1"/>
  <c r="S673" i="2"/>
  <c r="S203" i="2"/>
  <c r="V203" i="2" s="1"/>
  <c r="R776" i="1"/>
  <c r="C777" i="1"/>
  <c r="Y176" i="1"/>
  <c r="Y190" i="1"/>
  <c r="T596" i="2"/>
  <c r="T80" i="2"/>
  <c r="T588" i="2"/>
  <c r="I159" i="8"/>
  <c r="J159" i="8"/>
  <c r="C640" i="2"/>
  <c r="C141" i="2"/>
  <c r="D123" i="10"/>
  <c r="M252" i="10"/>
  <c r="I870" i="8"/>
  <c r="J394" i="8" s="1"/>
  <c r="C165" i="2"/>
  <c r="C18" i="10"/>
  <c r="C55" i="10" s="1"/>
  <c r="O252" i="10"/>
  <c r="C577" i="1"/>
  <c r="C659" i="1" s="1"/>
  <c r="C77" i="2"/>
  <c r="Q253" i="10"/>
  <c r="C358" i="8"/>
  <c r="D18" i="10"/>
  <c r="O1125" i="2"/>
  <c r="B786" i="2"/>
  <c r="B134" i="11"/>
  <c r="U214" i="12"/>
  <c r="B234" i="2"/>
  <c r="C459" i="2"/>
  <c r="B568" i="2"/>
  <c r="M1186" i="2"/>
  <c r="G351" i="10" s="1"/>
  <c r="C1186" i="2"/>
  <c r="C30" i="18"/>
  <c r="T63" i="11"/>
  <c r="T64" i="11"/>
  <c r="G358" i="10"/>
  <c r="R1080" i="2"/>
  <c r="C1193" i="2"/>
  <c r="C1225" i="2"/>
  <c r="E561" i="8"/>
  <c r="K1196" i="2"/>
  <c r="I1291" i="2"/>
  <c r="C319" i="12" s="1"/>
  <c r="C717" i="1"/>
  <c r="B630" i="1"/>
  <c r="B800" i="2"/>
  <c r="B644" i="2"/>
  <c r="B677" i="2"/>
  <c r="AT39" i="10"/>
  <c r="AT44" i="10" s="1"/>
  <c r="R44" i="10" s="1"/>
  <c r="AT42" i="10"/>
  <c r="R97" i="10"/>
  <c r="B233" i="2"/>
  <c r="B328" i="8"/>
  <c r="C475" i="1"/>
  <c r="C678" i="1"/>
  <c r="B318" i="1"/>
  <c r="C279" i="1"/>
  <c r="C623" i="1"/>
  <c r="C684" i="1"/>
  <c r="D39" i="3"/>
  <c r="D167" i="4"/>
  <c r="C621" i="1"/>
  <c r="B612" i="2"/>
  <c r="D828" i="2"/>
  <c r="J21" i="1"/>
  <c r="O555" i="8"/>
  <c r="C285" i="12"/>
  <c r="C722" i="1"/>
  <c r="C603" i="1"/>
  <c r="L46" i="10"/>
  <c r="C238" i="1"/>
  <c r="C570" i="1"/>
  <c r="C686" i="1"/>
  <c r="C287" i="1"/>
  <c r="J48" i="3"/>
  <c r="C44" i="3"/>
  <c r="C61" i="3" s="1"/>
  <c r="C8" i="3"/>
  <c r="B325" i="1"/>
  <c r="C718" i="1"/>
  <c r="C237" i="1"/>
  <c r="C569" i="1"/>
  <c r="C622" i="1"/>
  <c r="C685" i="1"/>
  <c r="C599" i="1"/>
  <c r="N866" i="2"/>
  <c r="D833" i="2"/>
  <c r="C29" i="3"/>
  <c r="B60" i="3"/>
  <c r="G34" i="3"/>
  <c r="I1272" i="2"/>
  <c r="C301" i="12"/>
  <c r="I1241" i="2"/>
  <c r="I1240" i="2"/>
  <c r="P72" i="8"/>
  <c r="C662" i="8"/>
  <c r="S208" i="1"/>
  <c r="U208" i="1" s="1"/>
  <c r="T211" i="1"/>
  <c r="V211" i="1" s="1"/>
  <c r="T212" i="1"/>
  <c r="V212" i="1" s="1"/>
  <c r="T219" i="1"/>
  <c r="V219" i="1" s="1"/>
  <c r="Y219" i="1" s="1"/>
  <c r="E350" i="10"/>
  <c r="D349" i="10" s="1"/>
  <c r="P1072" i="2"/>
  <c r="N53" i="11"/>
  <c r="S56" i="11"/>
  <c r="N54" i="11"/>
  <c r="N52" i="11"/>
  <c r="P52" i="11" s="1"/>
  <c r="C239" i="12"/>
  <c r="G48" i="4"/>
  <c r="J47" i="4"/>
  <c r="J48" i="4" s="1"/>
  <c r="I48" i="4" s="1"/>
  <c r="C225" i="4"/>
  <c r="C251" i="4" s="1"/>
  <c r="D1249" i="2"/>
  <c r="B91" i="2"/>
  <c r="B719" i="2"/>
  <c r="B309" i="1"/>
  <c r="B386" i="1"/>
  <c r="B492" i="1"/>
  <c r="I1258" i="2"/>
  <c r="C598" i="1"/>
  <c r="B602" i="2"/>
  <c r="C482" i="1"/>
  <c r="C487" i="1"/>
  <c r="C242" i="1"/>
  <c r="C604" i="1"/>
  <c r="C690" i="1"/>
  <c r="B39" i="3"/>
  <c r="F833" i="2"/>
  <c r="C719" i="1"/>
  <c r="C236" i="1"/>
  <c r="J183" i="12"/>
  <c r="J41" i="3"/>
  <c r="C62" i="3"/>
  <c r="J42" i="3"/>
  <c r="C289" i="1"/>
  <c r="C602" i="1"/>
  <c r="C625" i="1"/>
  <c r="C688" i="1"/>
  <c r="C721" i="1"/>
  <c r="C240" i="1"/>
  <c r="AR147" i="10"/>
  <c r="T620" i="1"/>
  <c r="W620" i="1" s="1"/>
  <c r="M634" i="1"/>
  <c r="E78" i="9"/>
  <c r="S52" i="9"/>
  <c r="D53" i="9"/>
  <c r="S53" i="9" s="1"/>
  <c r="P346" i="1"/>
  <c r="C27" i="3"/>
  <c r="B210" i="2"/>
  <c r="B538" i="2"/>
  <c r="B727" i="2"/>
  <c r="B784" i="2"/>
  <c r="B155" i="2"/>
  <c r="B501" i="2"/>
  <c r="B216" i="2"/>
  <c r="B311" i="2"/>
  <c r="B444" i="2"/>
  <c r="B305" i="2"/>
  <c r="G229" i="2" s="1"/>
  <c r="G454" i="2"/>
  <c r="H203" i="10"/>
  <c r="H152" i="10"/>
  <c r="O59" i="11"/>
  <c r="I62" i="15" s="1"/>
  <c r="C146" i="15" s="1"/>
  <c r="O68" i="11"/>
  <c r="R688" i="1" s="1"/>
  <c r="C25" i="18"/>
  <c r="O203" i="10"/>
  <c r="S1062" i="2"/>
  <c r="R680" i="2"/>
  <c r="C680" i="2" s="1"/>
  <c r="R673" i="2"/>
  <c r="R681" i="2"/>
  <c r="J116" i="9"/>
  <c r="P49" i="9"/>
  <c r="I685" i="9" s="1"/>
  <c r="I712" i="9" s="1"/>
  <c r="I131" i="9"/>
  <c r="W131" i="9" s="1"/>
  <c r="U125" i="9" s="1"/>
  <c r="R720" i="2"/>
  <c r="R698" i="2"/>
  <c r="C698" i="2" s="1"/>
  <c r="R696" i="2"/>
  <c r="C696" i="2" s="1"/>
  <c r="R179" i="2"/>
  <c r="C179" i="2" s="1"/>
  <c r="AT767" i="1"/>
  <c r="AT764" i="1"/>
  <c r="C238" i="12"/>
  <c r="R174" i="2"/>
  <c r="C174" i="2" s="1"/>
  <c r="B569" i="2"/>
  <c r="C460" i="2"/>
  <c r="Q154" i="10"/>
  <c r="Q152" i="10"/>
  <c r="AS144" i="10"/>
  <c r="AS149" i="10" s="1"/>
  <c r="Q149" i="10" s="1"/>
  <c r="S547" i="1"/>
  <c r="R651" i="1" s="1"/>
  <c r="R548" i="1"/>
  <c r="R728" i="1"/>
  <c r="C400" i="8"/>
  <c r="M402" i="8"/>
  <c r="C402" i="8" s="1"/>
  <c r="F749" i="8"/>
  <c r="E262" i="4"/>
  <c r="R154" i="10"/>
  <c r="AT147" i="10"/>
  <c r="R152" i="10"/>
  <c r="AT144" i="10"/>
  <c r="AT149" i="10" s="1"/>
  <c r="R149" i="10" s="1"/>
  <c r="G1067" i="2"/>
  <c r="O1126" i="2"/>
  <c r="B794" i="2"/>
  <c r="AT686" i="1"/>
  <c r="AT683" i="1"/>
  <c r="BN688" i="1"/>
  <c r="BP688" i="1" s="1"/>
  <c r="BY688" i="1" s="1"/>
  <c r="BU687" i="1"/>
  <c r="D296" i="8"/>
  <c r="B125" i="8"/>
  <c r="B288" i="8"/>
  <c r="B105" i="8"/>
  <c r="C486" i="8"/>
  <c r="B172" i="2"/>
  <c r="B144" i="2"/>
  <c r="B694" i="2"/>
  <c r="S678" i="2"/>
  <c r="J104" i="12"/>
  <c r="B153" i="2"/>
  <c r="B152" i="2"/>
  <c r="B158" i="2"/>
  <c r="AI39" i="10"/>
  <c r="AI44" i="10" s="1"/>
  <c r="G44" i="10" s="1"/>
  <c r="AI42" i="10"/>
  <c r="G97" i="10"/>
  <c r="G98" i="10"/>
  <c r="G1093" i="2"/>
  <c r="G737" i="9"/>
  <c r="C600" i="1"/>
  <c r="B122" i="10"/>
  <c r="B763" i="2"/>
  <c r="B162" i="8"/>
  <c r="C75" i="12"/>
  <c r="C508" i="8"/>
  <c r="C511" i="8"/>
  <c r="C404" i="8"/>
  <c r="C497" i="8"/>
  <c r="A32" i="3"/>
  <c r="B35" i="3"/>
  <c r="C254" i="12"/>
  <c r="C709" i="2"/>
  <c r="B693" i="1"/>
  <c r="C601" i="1"/>
  <c r="C571" i="1"/>
  <c r="C624" i="1"/>
  <c r="P334" i="1"/>
  <c r="C272" i="12"/>
  <c r="I1243" i="2"/>
  <c r="I1211" i="2"/>
  <c r="C240" i="12"/>
  <c r="E478" i="8"/>
  <c r="E479" i="8"/>
  <c r="B1104" i="2"/>
  <c r="R553" i="2" s="1"/>
  <c r="L295" i="8"/>
  <c r="D298" i="8" s="1"/>
  <c r="J294" i="8"/>
  <c r="S615" i="2"/>
  <c r="S773" i="2"/>
  <c r="F441" i="8"/>
  <c r="R696" i="1"/>
  <c r="L268" i="8"/>
  <c r="B276" i="8"/>
  <c r="B254" i="8"/>
  <c r="D109" i="4"/>
  <c r="R123" i="2"/>
  <c r="C123" i="2" s="1"/>
  <c r="R157" i="2"/>
  <c r="C13" i="1"/>
  <c r="C730" i="1"/>
  <c r="G655" i="1"/>
  <c r="D1131" i="2"/>
  <c r="E356" i="10"/>
  <c r="D355" i="10" s="1"/>
  <c r="P1078" i="2"/>
  <c r="AU32" i="10"/>
  <c r="E38" i="1"/>
  <c r="E172" i="1"/>
  <c r="E184" i="1" s="1"/>
  <c r="F63" i="8"/>
  <c r="I298" i="8"/>
  <c r="F75" i="8"/>
  <c r="X119" i="10"/>
  <c r="S180" i="1"/>
  <c r="D753" i="8"/>
  <c r="D754" i="8"/>
  <c r="I871" i="8"/>
  <c r="C261" i="8"/>
  <c r="C775" i="2"/>
  <c r="B32" i="8"/>
  <c r="K65" i="21"/>
  <c r="F66" i="21"/>
  <c r="F67" i="21" s="1"/>
  <c r="D64" i="4"/>
  <c r="D550" i="8"/>
  <c r="D755" i="8"/>
  <c r="D745" i="8"/>
  <c r="E241" i="12"/>
  <c r="E242" i="12"/>
  <c r="E303" i="12"/>
  <c r="D38" i="4"/>
  <c r="D39" i="4"/>
  <c r="D53" i="4"/>
  <c r="B555" i="2"/>
  <c r="R194" i="2"/>
  <c r="C194" i="2" s="1"/>
  <c r="I64" i="2"/>
  <c r="H335" i="12"/>
  <c r="I1156" i="1" s="1"/>
  <c r="H39" i="8"/>
  <c r="H38" i="8"/>
  <c r="H40" i="8" s="1"/>
  <c r="R39" i="1"/>
  <c r="I1218" i="2"/>
  <c r="C247" i="12"/>
  <c r="P174" i="1"/>
  <c r="E163" i="1"/>
  <c r="E355" i="10"/>
  <c r="D354" i="10" s="1"/>
  <c r="P1077" i="2"/>
  <c r="C773" i="8"/>
  <c r="U212" i="12"/>
  <c r="B42" i="10"/>
  <c r="B17" i="10"/>
  <c r="D748" i="8"/>
  <c r="C252" i="12"/>
  <c r="D615" i="1"/>
  <c r="D740" i="1"/>
  <c r="J13" i="1"/>
  <c r="G13" i="1"/>
  <c r="I13" i="1"/>
  <c r="R182" i="1"/>
  <c r="W35" i="1" s="1"/>
  <c r="V35" i="1" s="1"/>
  <c r="E71" i="1" s="1"/>
  <c r="C313" i="1"/>
  <c r="C814" i="1"/>
  <c r="C857" i="1"/>
  <c r="C507" i="1"/>
  <c r="C785" i="1"/>
  <c r="C246" i="1"/>
  <c r="J385" i="1"/>
  <c r="C245" i="1"/>
  <c r="C536" i="1"/>
  <c r="D746" i="8"/>
  <c r="C225" i="8"/>
  <c r="Z18" i="10"/>
  <c r="H13" i="1"/>
  <c r="F69" i="21"/>
  <c r="E426" i="8"/>
  <c r="B257" i="8"/>
  <c r="B575" i="8"/>
  <c r="C300" i="12"/>
  <c r="G53" i="12"/>
  <c r="E53" i="12"/>
  <c r="G163" i="12"/>
  <c r="F53" i="12"/>
  <c r="D63" i="4"/>
  <c r="B194" i="2"/>
  <c r="V168" i="2"/>
  <c r="BF1126" i="2" s="1"/>
  <c r="B184" i="2"/>
  <c r="AB265" i="1"/>
  <c r="W265" i="1"/>
  <c r="I1201" i="2"/>
  <c r="C230" i="12"/>
  <c r="C113" i="2"/>
  <c r="E352" i="10"/>
  <c r="P1074" i="2"/>
  <c r="AQ37" i="10"/>
  <c r="AQ43" i="10" s="1"/>
  <c r="O43" i="10" s="1"/>
  <c r="AL37" i="10"/>
  <c r="AM37" i="10"/>
  <c r="AN37" i="10"/>
  <c r="AT37" i="10"/>
  <c r="AT43" i="10" s="1"/>
  <c r="R43" i="10" s="1"/>
  <c r="AU37" i="10"/>
  <c r="B1007" i="1"/>
  <c r="I1171" i="1"/>
  <c r="T623" i="1" s="1"/>
  <c r="D108" i="4"/>
  <c r="D93" i="4"/>
  <c r="C126" i="2"/>
  <c r="E358" i="10"/>
  <c r="D357" i="10" s="1"/>
  <c r="P1080" i="2"/>
  <c r="AP137" i="10"/>
  <c r="N202" i="10" s="1"/>
  <c r="AS32" i="10"/>
  <c r="AO137" i="10"/>
  <c r="M202" i="10" s="1"/>
  <c r="AR32" i="10"/>
  <c r="AR43" i="10" s="1"/>
  <c r="P43" i="10" s="1"/>
  <c r="AN137" i="10"/>
  <c r="L203" i="10" s="1"/>
  <c r="AQ32" i="10"/>
  <c r="AQ42" i="10" s="1"/>
  <c r="AH137" i="10"/>
  <c r="F203" i="10" s="1"/>
  <c r="D747" i="8"/>
  <c r="I1188" i="2"/>
  <c r="I1189" i="2"/>
  <c r="D204" i="4"/>
  <c r="C252" i="8"/>
  <c r="D317" i="12"/>
  <c r="D247" i="12"/>
  <c r="D295" i="12"/>
  <c r="D298" i="12"/>
  <c r="J188" i="12"/>
  <c r="J13" i="12"/>
  <c r="G41" i="12"/>
  <c r="D53" i="12"/>
  <c r="D62" i="4"/>
  <c r="D29" i="4"/>
  <c r="R618" i="2"/>
  <c r="C618" i="2" s="1"/>
  <c r="T688" i="2"/>
  <c r="T660" i="2"/>
  <c r="B592" i="2"/>
  <c r="B738" i="2"/>
  <c r="B639" i="2"/>
  <c r="C664" i="2"/>
  <c r="C979" i="2"/>
  <c r="C782" i="2"/>
  <c r="C99" i="2"/>
  <c r="C378" i="2"/>
  <c r="C737" i="2"/>
  <c r="C381" i="2"/>
  <c r="C405" i="2" s="1"/>
  <c r="C622" i="2"/>
  <c r="C105" i="2"/>
  <c r="C442" i="2"/>
  <c r="C499" i="2"/>
  <c r="C616" i="2"/>
  <c r="C610" i="2"/>
  <c r="C147" i="2"/>
  <c r="C180" i="2" s="1"/>
  <c r="C493" i="2"/>
  <c r="C544" i="2"/>
  <c r="C731" i="2"/>
  <c r="I154" i="1"/>
  <c r="S511" i="2"/>
  <c r="S514" i="2" s="1"/>
  <c r="U514" i="2" s="1"/>
  <c r="AS37" i="10"/>
  <c r="E851" i="8"/>
  <c r="I851" i="8" s="1"/>
  <c r="F851" i="8" s="1"/>
  <c r="E353" i="10"/>
  <c r="P1075" i="2"/>
  <c r="C1075" i="2" s="1"/>
  <c r="C173" i="2"/>
  <c r="B807" i="2"/>
  <c r="B769" i="2"/>
  <c r="C903" i="1"/>
  <c r="C940" i="1"/>
  <c r="C1007" i="1"/>
  <c r="C989" i="1"/>
  <c r="M1191" i="2"/>
  <c r="G356" i="10" s="1"/>
  <c r="R1081" i="2"/>
  <c r="O1179" i="2"/>
  <c r="J5" i="3"/>
  <c r="J8" i="3"/>
  <c r="J16" i="3" s="1"/>
  <c r="D42" i="9"/>
  <c r="D47" i="9"/>
  <c r="S47" i="9" s="1"/>
  <c r="D493" i="8"/>
  <c r="D1287" i="2" s="1"/>
  <c r="N5" i="3"/>
  <c r="J13" i="3"/>
  <c r="J21" i="3"/>
  <c r="J35" i="3"/>
  <c r="D46" i="9"/>
  <c r="S46" i="9" s="1"/>
  <c r="G670" i="8"/>
  <c r="O5" i="3"/>
  <c r="J9" i="3"/>
  <c r="J140" i="8"/>
  <c r="W276" i="1"/>
  <c r="B850" i="2"/>
  <c r="Y69" i="10"/>
  <c r="Y68" i="10"/>
  <c r="Y67" i="10"/>
  <c r="AH187" i="10"/>
  <c r="B560" i="2"/>
  <c r="B582" i="2" s="1"/>
  <c r="B66" i="2"/>
  <c r="F277" i="12"/>
  <c r="B623" i="2"/>
  <c r="J146" i="8"/>
  <c r="I146" i="8"/>
  <c r="R1076" i="2"/>
  <c r="G354" i="10"/>
  <c r="I1220" i="2"/>
  <c r="C249" i="12"/>
  <c r="Y74" i="10"/>
  <c r="M262" i="8"/>
  <c r="G1038" i="8" s="1"/>
  <c r="G1063" i="8" s="1"/>
  <c r="D995" i="8"/>
  <c r="E995" i="8"/>
  <c r="V328" i="10"/>
  <c r="S329" i="10"/>
  <c r="AK46" i="10"/>
  <c r="U316" i="10"/>
  <c r="V329" i="10"/>
  <c r="V316" i="10"/>
  <c r="S322" i="10"/>
  <c r="S330" i="10"/>
  <c r="AL46" i="10"/>
  <c r="P68" i="11"/>
  <c r="Q688" i="1" s="1"/>
  <c r="P67" i="11"/>
  <c r="Q687" i="1" s="1"/>
  <c r="B726" i="2"/>
  <c r="B671" i="2"/>
  <c r="M1181" i="2"/>
  <c r="O1188" i="2"/>
  <c r="T1075" i="2" s="1"/>
  <c r="D769" i="8"/>
  <c r="E775" i="8"/>
  <c r="S72" i="2"/>
  <c r="S77" i="2" s="1"/>
  <c r="U77" i="2" s="1"/>
  <c r="I1219" i="2"/>
  <c r="C248" i="12"/>
  <c r="Y75" i="10"/>
  <c r="E75" i="10" s="1"/>
  <c r="S324" i="10"/>
  <c r="C947" i="1"/>
  <c r="F438" i="8"/>
  <c r="F737" i="8"/>
  <c r="C133" i="2"/>
  <c r="B275" i="8"/>
  <c r="W268" i="1"/>
  <c r="M633" i="1"/>
  <c r="G654" i="1" s="1"/>
  <c r="P151" i="10"/>
  <c r="AR159" i="10"/>
  <c r="V127" i="9"/>
  <c r="AC127" i="9"/>
  <c r="U127" i="9"/>
  <c r="T127" i="9"/>
  <c r="C130" i="12"/>
  <c r="J96" i="12"/>
  <c r="C160" i="12"/>
  <c r="J167" i="12"/>
  <c r="J110" i="12"/>
  <c r="C86" i="12"/>
  <c r="I46" i="12"/>
  <c r="C1270" i="2"/>
  <c r="C1248" i="2"/>
  <c r="C1209" i="2"/>
  <c r="R927" i="2"/>
  <c r="C927" i="2" s="1"/>
  <c r="R932" i="2"/>
  <c r="C932" i="2" s="1"/>
  <c r="C521" i="2"/>
  <c r="M1178" i="2"/>
  <c r="R1065" i="2" s="1"/>
  <c r="M1183" i="2"/>
  <c r="C1181" i="2"/>
  <c r="C1216" i="2"/>
  <c r="C1202" i="2"/>
  <c r="C1183" i="2"/>
  <c r="C1194" i="2"/>
  <c r="C1204" i="2"/>
  <c r="AB269" i="1"/>
  <c r="W269" i="1"/>
  <c r="R242" i="1"/>
  <c r="AS150" i="10"/>
  <c r="W73" i="10"/>
  <c r="W72" i="10"/>
  <c r="X72" i="10" s="1"/>
  <c r="W77" i="10"/>
  <c r="X77" i="10" s="1"/>
  <c r="W76" i="10"/>
  <c r="W67" i="10"/>
  <c r="W70" i="10"/>
  <c r="X70" i="10" s="1"/>
  <c r="W78" i="10"/>
  <c r="W71" i="10"/>
  <c r="S707" i="1"/>
  <c r="V126" i="9"/>
  <c r="T126" i="9"/>
  <c r="AB126" i="9"/>
  <c r="R255" i="12"/>
  <c r="F255" i="12"/>
  <c r="G164" i="12" s="1"/>
  <c r="C1261" i="2"/>
  <c r="I1247" i="2"/>
  <c r="C1201" i="2"/>
  <c r="B895" i="2"/>
  <c r="E823" i="2"/>
  <c r="E848" i="2"/>
  <c r="E841" i="2"/>
  <c r="E828" i="2"/>
  <c r="R688" i="2"/>
  <c r="C688" i="2" s="1"/>
  <c r="J100" i="12"/>
  <c r="C288" i="12"/>
  <c r="I1259" i="2"/>
  <c r="I1227" i="2"/>
  <c r="C256" i="12"/>
  <c r="P323" i="1"/>
  <c r="P325" i="1"/>
  <c r="AP150" i="10"/>
  <c r="S706" i="1"/>
  <c r="R706" i="1"/>
  <c r="C481" i="8"/>
  <c r="C477" i="8"/>
  <c r="C485" i="8"/>
  <c r="C478" i="8"/>
  <c r="C484" i="8"/>
  <c r="C480" i="8"/>
  <c r="C482" i="8"/>
  <c r="C284" i="1"/>
  <c r="C567" i="1"/>
  <c r="C683" i="1"/>
  <c r="C480" i="1"/>
  <c r="B323" i="1"/>
  <c r="C716" i="1"/>
  <c r="C597" i="1"/>
  <c r="C620" i="1"/>
  <c r="C235" i="1"/>
  <c r="B322" i="1"/>
  <c r="C566" i="1"/>
  <c r="C715" i="1"/>
  <c r="C619" i="1"/>
  <c r="C283" i="1"/>
  <c r="C479" i="1"/>
  <c r="C682" i="1"/>
  <c r="C234" i="1"/>
  <c r="D244" i="1"/>
  <c r="D669" i="1"/>
  <c r="D701" i="1"/>
  <c r="D905" i="1"/>
  <c r="Q164" i="1"/>
  <c r="D576" i="1"/>
  <c r="D606" i="1" s="1"/>
  <c r="B908" i="2"/>
  <c r="B887" i="2"/>
  <c r="I18" i="1"/>
  <c r="J18" i="1"/>
  <c r="G18" i="1"/>
  <c r="H18" i="1"/>
  <c r="D580" i="1"/>
  <c r="E244" i="1"/>
  <c r="B784" i="1"/>
  <c r="B311" i="1"/>
  <c r="B657" i="1"/>
  <c r="Y331" i="10"/>
  <c r="S130" i="2"/>
  <c r="V130" i="2" s="1"/>
  <c r="S647" i="2"/>
  <c r="V647" i="2" s="1"/>
  <c r="V708" i="2"/>
  <c r="R88" i="2"/>
  <c r="S191" i="2"/>
  <c r="AL1121" i="2" s="1"/>
  <c r="S720" i="2"/>
  <c r="R603" i="2"/>
  <c r="R604" i="2"/>
  <c r="S156" i="2"/>
  <c r="S164" i="2"/>
  <c r="V164" i="2" s="1"/>
  <c r="R87" i="2"/>
  <c r="A151" i="1"/>
  <c r="G153" i="1"/>
  <c r="E877" i="1"/>
  <c r="C1243" i="2"/>
  <c r="C293" i="12"/>
  <c r="I1264" i="2"/>
  <c r="AG323" i="10"/>
  <c r="E120" i="14"/>
  <c r="F145" i="1" s="1"/>
  <c r="BK120" i="14"/>
  <c r="Z120" i="14"/>
  <c r="AB120" i="14" s="1"/>
  <c r="BW120" i="14"/>
  <c r="BV120" i="14"/>
  <c r="E53" i="14"/>
  <c r="F78" i="1" s="1"/>
  <c r="BV53" i="14"/>
  <c r="AD53" i="14" s="1"/>
  <c r="G53" i="14"/>
  <c r="H78" i="1" s="1"/>
  <c r="S549" i="1"/>
  <c r="R654" i="1" s="1"/>
  <c r="R695" i="1"/>
  <c r="S548" i="1"/>
  <c r="R653" i="1" s="1"/>
  <c r="S550" i="1"/>
  <c r="Q264" i="1"/>
  <c r="C305" i="1"/>
  <c r="C303" i="1" s="1"/>
  <c r="S582" i="1"/>
  <c r="P32" i="1"/>
  <c r="Q32" i="1" s="1"/>
  <c r="E44" i="15" s="1"/>
  <c r="R547" i="1"/>
  <c r="R549" i="1"/>
  <c r="R672" i="1"/>
  <c r="P17" i="1"/>
  <c r="P16" i="1"/>
  <c r="I1248" i="2"/>
  <c r="B885" i="2"/>
  <c r="U728" i="1"/>
  <c r="AK695" i="1"/>
  <c r="C81" i="10"/>
  <c r="C291" i="12"/>
  <c r="I1262" i="2"/>
  <c r="I1121" i="2"/>
  <c r="C330" i="12" s="1"/>
  <c r="O1121" i="2"/>
  <c r="C483" i="8"/>
  <c r="J120" i="9"/>
  <c r="M131" i="9"/>
  <c r="AA131" i="9" s="1"/>
  <c r="Q125" i="9" s="1"/>
  <c r="E357" i="10"/>
  <c r="D356" i="10" s="1"/>
  <c r="P1079" i="2"/>
  <c r="M735" i="1"/>
  <c r="M610" i="1"/>
  <c r="C392" i="8"/>
  <c r="C391" i="8"/>
  <c r="M86" i="8"/>
  <c r="R650" i="2"/>
  <c r="C650" i="2" s="1"/>
  <c r="G855" i="8"/>
  <c r="C479" i="8"/>
  <c r="C334" i="8"/>
  <c r="B153" i="8"/>
  <c r="B157" i="8"/>
  <c r="B163" i="8"/>
  <c r="B166" i="8"/>
  <c r="B150" i="8"/>
  <c r="L131" i="9"/>
  <c r="Z131" i="9" s="1"/>
  <c r="R125" i="9" s="1"/>
  <c r="P52" i="9"/>
  <c r="L685" i="9" s="1"/>
  <c r="L737" i="9" s="1"/>
  <c r="J119" i="9"/>
  <c r="C229" i="12"/>
  <c r="C109" i="12"/>
  <c r="C182" i="12"/>
  <c r="F90" i="12"/>
  <c r="E272" i="12"/>
  <c r="E304" i="12"/>
  <c r="E314" i="12"/>
  <c r="E227" i="12"/>
  <c r="E247" i="12"/>
  <c r="E256" i="12"/>
  <c r="E265" i="12"/>
  <c r="E276" i="12"/>
  <c r="E271" i="12"/>
  <c r="E295" i="12"/>
  <c r="E310" i="12"/>
  <c r="E253" i="12"/>
  <c r="E234" i="12"/>
  <c r="E267" i="12"/>
  <c r="E282" i="12"/>
  <c r="E228" i="12"/>
  <c r="I1215" i="2"/>
  <c r="F829" i="2"/>
  <c r="O534" i="8"/>
  <c r="O537" i="8"/>
  <c r="D129" i="8"/>
  <c r="D132" i="8"/>
  <c r="D224" i="2"/>
  <c r="D313" i="2"/>
  <c r="D446" i="2" s="1"/>
  <c r="AB275" i="1"/>
  <c r="W275" i="1"/>
  <c r="AO150" i="10"/>
  <c r="S581" i="1"/>
  <c r="G340" i="10"/>
  <c r="M1176" i="2"/>
  <c r="G341" i="10" s="1"/>
  <c r="C1200" i="2"/>
  <c r="C1205" i="2"/>
  <c r="C1228" i="2"/>
  <c r="C1240" i="2"/>
  <c r="C1211" i="2"/>
  <c r="C1223" i="2"/>
  <c r="C1250" i="2"/>
  <c r="C1262" i="2"/>
  <c r="C1273" i="2"/>
  <c r="C1283" i="2"/>
  <c r="C1217" i="2"/>
  <c r="C1235" i="2"/>
  <c r="C1213" i="2"/>
  <c r="C1221" i="2"/>
  <c r="C1227" i="2"/>
  <c r="C1286" i="2"/>
  <c r="C1214" i="2"/>
  <c r="C1222" i="2"/>
  <c r="C1258" i="2"/>
  <c r="C1257" i="2"/>
  <c r="C1269" i="2"/>
  <c r="C1208" i="2"/>
  <c r="C1246" i="2"/>
  <c r="C1251" i="2"/>
  <c r="C1281" i="2"/>
  <c r="C1196" i="2"/>
  <c r="C1245" i="2"/>
  <c r="C1278" i="2"/>
  <c r="C1284" i="2"/>
  <c r="C1212" i="2"/>
  <c r="C1210" i="2"/>
  <c r="C1265" i="2"/>
  <c r="C1279" i="2"/>
  <c r="R1062" i="2"/>
  <c r="C1218" i="2"/>
  <c r="C1285" i="2"/>
  <c r="C1242" i="2"/>
  <c r="C1252" i="2"/>
  <c r="C1241" i="2"/>
  <c r="C1247" i="2"/>
  <c r="C1266" i="2"/>
  <c r="C1280" i="2"/>
  <c r="O463" i="8"/>
  <c r="O460" i="8"/>
  <c r="B160" i="2"/>
  <c r="O938" i="2"/>
  <c r="B532" i="2"/>
  <c r="B503" i="2"/>
  <c r="C1121" i="2" s="1"/>
  <c r="B516" i="2"/>
  <c r="BJ1122" i="2"/>
  <c r="J833" i="2"/>
  <c r="BJ1128" i="2"/>
  <c r="H833" i="2"/>
  <c r="B540" i="2"/>
  <c r="Z1129" i="2"/>
  <c r="G833" i="2"/>
  <c r="F831" i="2"/>
  <c r="J831" i="2"/>
  <c r="BJ1127" i="2"/>
  <c r="H831" i="2"/>
  <c r="B103" i="2"/>
  <c r="A810" i="2"/>
  <c r="AC1129" i="2"/>
  <c r="G831" i="2"/>
  <c r="B524" i="2"/>
  <c r="B115" i="2"/>
  <c r="B314" i="2"/>
  <c r="D831" i="2"/>
  <c r="AL1120" i="2"/>
  <c r="E831" i="2"/>
  <c r="K831" i="2"/>
  <c r="K833" i="2"/>
  <c r="I831" i="2"/>
  <c r="B197" i="2"/>
  <c r="B447" i="2"/>
  <c r="B473" i="2" s="1"/>
  <c r="D793" i="1"/>
  <c r="N131" i="9"/>
  <c r="AB131" i="9" s="1"/>
  <c r="P125" i="9" s="1"/>
  <c r="P54" i="9"/>
  <c r="N685" i="9" s="1"/>
  <c r="C1244" i="2"/>
  <c r="B915" i="2"/>
  <c r="B932" i="2"/>
  <c r="B891" i="2"/>
  <c r="B936" i="2"/>
  <c r="B922" i="2"/>
  <c r="B876" i="2"/>
  <c r="B899" i="2"/>
  <c r="B253" i="1"/>
  <c r="B267" i="1"/>
  <c r="B925" i="1"/>
  <c r="B771" i="1"/>
  <c r="B897" i="1"/>
  <c r="C755" i="1"/>
  <c r="C756" i="1"/>
  <c r="C282" i="1"/>
  <c r="C681" i="1"/>
  <c r="C618" i="1"/>
  <c r="C478" i="1"/>
  <c r="B321" i="1"/>
  <c r="C714" i="1"/>
  <c r="Y321" i="10"/>
  <c r="AG329" i="10"/>
  <c r="AG333" i="10"/>
  <c r="AQ150" i="10"/>
  <c r="AS151" i="10"/>
  <c r="Y325" i="10"/>
  <c r="AI151" i="10"/>
  <c r="AH150" i="10"/>
  <c r="F150" i="10" s="1"/>
  <c r="F153" i="10" s="1"/>
  <c r="F156" i="10" s="1"/>
  <c r="AR150" i="10"/>
  <c r="P150" i="10" s="1"/>
  <c r="Y333" i="10"/>
  <c r="AN151" i="10"/>
  <c r="L151" i="10" s="1"/>
  <c r="Y329" i="10"/>
  <c r="AO151" i="10"/>
  <c r="AG324" i="10"/>
  <c r="AP151" i="10"/>
  <c r="AG326" i="10"/>
  <c r="X150" i="10"/>
  <c r="D150" i="10" s="1"/>
  <c r="X118" i="10"/>
  <c r="Y332" i="10"/>
  <c r="AH239" i="10"/>
  <c r="AK238" i="10" s="1"/>
  <c r="AT151" i="10"/>
  <c r="AT150" i="10"/>
  <c r="R150" i="10" s="1"/>
  <c r="R153" i="10" s="1"/>
  <c r="R156" i="10" s="1"/>
  <c r="AU150" i="10"/>
  <c r="S150" i="10" s="1"/>
  <c r="B137" i="10"/>
  <c r="AG331" i="10"/>
  <c r="B142" i="10"/>
  <c r="Y326" i="10"/>
  <c r="AJ151" i="10"/>
  <c r="AG318" i="10"/>
  <c r="AG330" i="10"/>
  <c r="X125" i="10"/>
  <c r="Z125" i="10" s="1"/>
  <c r="Y327" i="10"/>
  <c r="AH151" i="10"/>
  <c r="AM151" i="10"/>
  <c r="AJ150" i="10"/>
  <c r="H150" i="10" s="1"/>
  <c r="AK150" i="10"/>
  <c r="I150" i="10" s="1"/>
  <c r="AL150" i="10"/>
  <c r="J150" i="10" s="1"/>
  <c r="J153" i="10" s="1"/>
  <c r="J156" i="10" s="1"/>
  <c r="AK151" i="10"/>
  <c r="AG322" i="10"/>
  <c r="AL151" i="10"/>
  <c r="AI150" i="10"/>
  <c r="G150" i="10" s="1"/>
  <c r="G153" i="10" s="1"/>
  <c r="G156" i="10" s="1"/>
  <c r="AG325" i="10"/>
  <c r="AG332" i="10"/>
  <c r="C339" i="8"/>
  <c r="B226" i="2"/>
  <c r="B200" i="2"/>
  <c r="B704" i="2"/>
  <c r="B717" i="2"/>
  <c r="B663" i="1"/>
  <c r="B923" i="1"/>
  <c r="B913" i="1"/>
  <c r="B943" i="1"/>
  <c r="B885" i="1"/>
  <c r="B270" i="1"/>
  <c r="B895" i="1"/>
  <c r="B530" i="1"/>
  <c r="E29" i="14"/>
  <c r="F54" i="1" s="1"/>
  <c r="BW29" i="14"/>
  <c r="AQ29" i="14" s="1"/>
  <c r="G29" i="14"/>
  <c r="H54" i="1" s="1"/>
  <c r="BV29" i="14"/>
  <c r="AE29" i="14" s="1"/>
  <c r="R171" i="2"/>
  <c r="C171" i="2" s="1"/>
  <c r="R156" i="2"/>
  <c r="R203" i="2"/>
  <c r="R647" i="2"/>
  <c r="R138" i="2"/>
  <c r="C138" i="2" s="1"/>
  <c r="R202" i="2"/>
  <c r="C202" i="2" s="1"/>
  <c r="R163" i="2"/>
  <c r="C163" i="2" s="1"/>
  <c r="R655" i="2"/>
  <c r="C655" i="2" s="1"/>
  <c r="R719" i="2"/>
  <c r="C719" i="2" s="1"/>
  <c r="R693" i="2"/>
  <c r="C693" i="2" s="1"/>
  <c r="C86" i="2"/>
  <c r="R646" i="2"/>
  <c r="C646" i="2" s="1"/>
  <c r="R143" i="2"/>
  <c r="C143" i="2" s="1"/>
  <c r="R176" i="2"/>
  <c r="C176" i="2" s="1"/>
  <c r="R602" i="2"/>
  <c r="C602" i="2" s="1"/>
  <c r="B914" i="1"/>
  <c r="C1236" i="2"/>
  <c r="C1289" i="2"/>
  <c r="I1280" i="2"/>
  <c r="C309" i="12"/>
  <c r="P380" i="10"/>
  <c r="I1162" i="2"/>
  <c r="AC1061" i="2"/>
  <c r="V204" i="2"/>
  <c r="V721" i="2"/>
  <c r="V142" i="2"/>
  <c r="V175" i="2"/>
  <c r="K175" i="2" s="1"/>
  <c r="Z1067" i="2"/>
  <c r="V162" i="2" s="1"/>
  <c r="V137" i="2"/>
  <c r="S170" i="2"/>
  <c r="V687" i="2"/>
  <c r="C26" i="10"/>
  <c r="C10" i="10"/>
  <c r="C38" i="10"/>
  <c r="C251" i="10"/>
  <c r="C53" i="10"/>
  <c r="C63" i="10"/>
  <c r="C143" i="10"/>
  <c r="C131" i="10"/>
  <c r="C168" i="10"/>
  <c r="C186" i="10"/>
  <c r="D770" i="8"/>
  <c r="C770" i="8" s="1"/>
  <c r="D771" i="8"/>
  <c r="C771" i="8" s="1"/>
  <c r="E772" i="8"/>
  <c r="Q165" i="1"/>
  <c r="S154" i="10"/>
  <c r="AU144" i="10"/>
  <c r="AU149" i="10" s="1"/>
  <c r="S149" i="10" s="1"/>
  <c r="AU147" i="10"/>
  <c r="S152" i="10"/>
  <c r="K1182" i="2"/>
  <c r="D957" i="2"/>
  <c r="AL74" i="3" s="1"/>
  <c r="P49" i="11"/>
  <c r="E50" i="15"/>
  <c r="F50" i="15" s="1"/>
  <c r="E793" i="1"/>
  <c r="D131" i="9"/>
  <c r="R131" i="9" s="1"/>
  <c r="Z125" i="9" s="1"/>
  <c r="P44" i="9"/>
  <c r="D685" i="9" s="1"/>
  <c r="D687" i="9" s="1"/>
  <c r="J111" i="9"/>
  <c r="C25" i="3"/>
  <c r="J45" i="3"/>
  <c r="C15" i="3"/>
  <c r="C7" i="3"/>
  <c r="C5" i="3"/>
  <c r="C1277" i="2"/>
  <c r="B541" i="1"/>
  <c r="C118" i="10"/>
  <c r="C54" i="10"/>
  <c r="C27" i="10"/>
  <c r="C46" i="10"/>
  <c r="R707" i="1"/>
  <c r="C223" i="1"/>
  <c r="C224" i="1"/>
  <c r="C225" i="1"/>
  <c r="C268" i="1"/>
  <c r="AU151" i="10"/>
  <c r="AU159" i="10" s="1"/>
  <c r="S198" i="10" s="1"/>
  <c r="B133" i="11"/>
  <c r="P20" i="11"/>
  <c r="N24" i="11" s="1"/>
  <c r="J855" i="8"/>
  <c r="G659" i="8"/>
  <c r="B493" i="8"/>
  <c r="B462" i="8"/>
  <c r="J121" i="9"/>
  <c r="C245" i="12"/>
  <c r="C228" i="12"/>
  <c r="B905" i="2"/>
  <c r="C565" i="1"/>
  <c r="S681" i="2"/>
  <c r="V681" i="2" s="1"/>
  <c r="P400" i="1"/>
  <c r="P401" i="1" s="1"/>
  <c r="C404" i="1"/>
  <c r="AH213" i="1"/>
  <c r="U230" i="2" s="1"/>
  <c r="AB220" i="1"/>
  <c r="AN150" i="10"/>
  <c r="L150" i="10" s="1"/>
  <c r="R582" i="1"/>
  <c r="H281" i="12"/>
  <c r="D281" i="12" s="1"/>
  <c r="D274" i="12"/>
  <c r="B510" i="1"/>
  <c r="B539" i="1"/>
  <c r="B524" i="1"/>
  <c r="C891" i="2"/>
  <c r="C876" i="2"/>
  <c r="B572" i="2"/>
  <c r="B238" i="2"/>
  <c r="C463" i="2"/>
  <c r="B130" i="11"/>
  <c r="U219" i="12"/>
  <c r="X126" i="9"/>
  <c r="F711" i="8"/>
  <c r="H11" i="15" s="1"/>
  <c r="F145" i="14" s="1"/>
  <c r="BJ1118" i="2"/>
  <c r="G650" i="1"/>
  <c r="B739" i="1"/>
  <c r="D4" i="1"/>
  <c r="B277" i="1"/>
  <c r="E316" i="1"/>
  <c r="B614" i="1"/>
  <c r="D151" i="1"/>
  <c r="F1072" i="1"/>
  <c r="H1072" i="1"/>
  <c r="I1072" i="1" s="1"/>
  <c r="G1072" i="1"/>
  <c r="D546" i="1"/>
  <c r="B136" i="11"/>
  <c r="U216" i="12"/>
  <c r="C1249" i="2"/>
  <c r="T916" i="2"/>
  <c r="T900" i="2"/>
  <c r="R605" i="2"/>
  <c r="C605" i="2" s="1"/>
  <c r="R136" i="2"/>
  <c r="C136" i="2" s="1"/>
  <c r="R131" i="2"/>
  <c r="C131" i="2" s="1"/>
  <c r="R169" i="2"/>
  <c r="C169" i="2" s="1"/>
  <c r="R686" i="2"/>
  <c r="C686" i="2" s="1"/>
  <c r="R653" i="2"/>
  <c r="C653" i="2" s="1"/>
  <c r="R166" i="2"/>
  <c r="C166" i="2" s="1"/>
  <c r="R683" i="2"/>
  <c r="C683" i="2" s="1"/>
  <c r="B389" i="1"/>
  <c r="F135" i="10"/>
  <c r="C308" i="12"/>
  <c r="I1279" i="2"/>
  <c r="Y323" i="10"/>
  <c r="AI687" i="1"/>
  <c r="AT689" i="1"/>
  <c r="AI680" i="1"/>
  <c r="BD680" i="1" s="1"/>
  <c r="BN678" i="1"/>
  <c r="CC678" i="1" s="1"/>
  <c r="BU681" i="1"/>
  <c r="BO678" i="1"/>
  <c r="BW678" i="1" s="1"/>
  <c r="BN682" i="1"/>
  <c r="BP682" i="1" s="1"/>
  <c r="BY682" i="1" s="1"/>
  <c r="AT684" i="1"/>
  <c r="AT687" i="1"/>
  <c r="BN679" i="1"/>
  <c r="BP679" i="1" s="1"/>
  <c r="BY679" i="1" s="1"/>
  <c r="BU684" i="1"/>
  <c r="BN689" i="1"/>
  <c r="BO689" i="1" s="1"/>
  <c r="BW689" i="1" s="1"/>
  <c r="BN685" i="1"/>
  <c r="BP685" i="1" s="1"/>
  <c r="BY685" i="1" s="1"/>
  <c r="BU689" i="1"/>
  <c r="AI679" i="1"/>
  <c r="AI682" i="1"/>
  <c r="BD682" i="1" s="1"/>
  <c r="AI685" i="1"/>
  <c r="AK685" i="1" s="1"/>
  <c r="AZ685" i="1" s="1"/>
  <c r="BU679" i="1"/>
  <c r="BN680" i="1"/>
  <c r="BP680" i="1" s="1"/>
  <c r="BY680" i="1" s="1"/>
  <c r="AT679" i="1"/>
  <c r="BO680" i="1"/>
  <c r="BW680" i="1" s="1"/>
  <c r="AI683" i="1"/>
  <c r="AJ683" i="1" s="1"/>
  <c r="AX683" i="1" s="1"/>
  <c r="AI686" i="1"/>
  <c r="BD686" i="1" s="1"/>
  <c r="BU680" i="1"/>
  <c r="BU686" i="1"/>
  <c r="AI684" i="1"/>
  <c r="AJ684" i="1" s="1"/>
  <c r="AX684" i="1" s="1"/>
  <c r="AI688" i="1"/>
  <c r="BD688" i="1" s="1"/>
  <c r="BN687" i="1"/>
  <c r="BU685" i="1"/>
  <c r="AT681" i="1"/>
  <c r="BN686" i="1"/>
  <c r="CC686" i="1" s="1"/>
  <c r="BU688" i="1"/>
  <c r="BN681" i="1"/>
  <c r="BP681" i="1" s="1"/>
  <c r="BY681" i="1" s="1"/>
  <c r="AI681" i="1"/>
  <c r="BD681" i="1" s="1"/>
  <c r="AT680" i="1"/>
  <c r="AT685" i="1"/>
  <c r="BU678" i="1"/>
  <c r="BU682" i="1"/>
  <c r="BN684" i="1"/>
  <c r="CC684" i="1" s="1"/>
  <c r="AT682" i="1"/>
  <c r="BN683" i="1"/>
  <c r="AI689" i="1"/>
  <c r="AT688" i="1"/>
  <c r="BU683" i="1"/>
  <c r="B5" i="8"/>
  <c r="F675" i="8"/>
  <c r="B674" i="2"/>
  <c r="B193" i="2"/>
  <c r="B710" i="2"/>
  <c r="AE466" i="2"/>
  <c r="AE464" i="2"/>
  <c r="C307" i="12"/>
  <c r="I1278" i="2"/>
  <c r="C275" i="12"/>
  <c r="I1246" i="2"/>
  <c r="E36" i="15"/>
  <c r="C107" i="12"/>
  <c r="C180" i="12"/>
  <c r="C1215" i="2"/>
  <c r="C1199" i="2"/>
  <c r="P336" i="1"/>
  <c r="B354" i="1"/>
  <c r="D697" i="1"/>
  <c r="C21" i="3"/>
  <c r="C1239" i="2"/>
  <c r="I1231" i="2"/>
  <c r="I1214" i="2"/>
  <c r="I1198" i="2"/>
  <c r="B241" i="2"/>
  <c r="C466" i="2"/>
  <c r="F193" i="12"/>
  <c r="U230" i="12"/>
  <c r="E188" i="12"/>
  <c r="U223" i="12"/>
  <c r="U226" i="12"/>
  <c r="U227" i="12"/>
  <c r="F188" i="12"/>
  <c r="K188" i="12"/>
  <c r="I188" i="12"/>
  <c r="U228" i="12"/>
  <c r="U224" i="12"/>
  <c r="V659" i="2"/>
  <c r="B533" i="2"/>
  <c r="B434" i="2"/>
  <c r="B306" i="2"/>
  <c r="B439" i="2" s="1"/>
  <c r="B750" i="2" s="1"/>
  <c r="B742" i="2"/>
  <c r="B803" i="2"/>
  <c r="B517" i="2"/>
  <c r="B795" i="2"/>
  <c r="B541" i="2"/>
  <c r="E701" i="1"/>
  <c r="E905" i="1"/>
  <c r="E580" i="1"/>
  <c r="E669" i="1"/>
  <c r="B964" i="1"/>
  <c r="E937" i="1"/>
  <c r="E546" i="1"/>
  <c r="E697" i="1"/>
  <c r="C1013" i="1"/>
  <c r="C971" i="1"/>
  <c r="B588" i="2"/>
  <c r="B596" i="2"/>
  <c r="C979" i="1"/>
  <c r="R254" i="1"/>
  <c r="C253" i="1"/>
  <c r="C535" i="1"/>
  <c r="C247" i="1"/>
  <c r="C341" i="1"/>
  <c r="C345" i="1"/>
  <c r="D356" i="1"/>
  <c r="C505" i="1"/>
  <c r="C299" i="1"/>
  <c r="C197" i="1"/>
  <c r="C862" i="1"/>
  <c r="C513" i="1"/>
  <c r="C534" i="1"/>
  <c r="C771" i="1"/>
  <c r="P126" i="9"/>
  <c r="B212" i="2"/>
  <c r="U218" i="12"/>
  <c r="B138" i="11"/>
  <c r="B137" i="11"/>
  <c r="U217" i="12"/>
  <c r="C1068" i="2"/>
  <c r="B1067" i="2"/>
  <c r="AT765" i="1"/>
  <c r="AT762" i="1"/>
  <c r="AT768" i="1"/>
  <c r="AT763" i="1"/>
  <c r="AT766" i="1"/>
  <c r="AT760" i="1"/>
  <c r="AT761" i="1"/>
  <c r="AT769" i="1"/>
  <c r="AT759" i="1"/>
  <c r="P42" i="9"/>
  <c r="K9" i="9" s="1"/>
  <c r="B131" i="9"/>
  <c r="P131" i="9" s="1"/>
  <c r="AB125" i="9" s="1"/>
  <c r="R660" i="2"/>
  <c r="C660" i="2" s="1"/>
  <c r="I1183" i="2"/>
  <c r="C213" i="12" s="1"/>
  <c r="E27" i="12" s="1"/>
  <c r="P27" i="12" s="1"/>
  <c r="I1182" i="2"/>
  <c r="AT770" i="1"/>
  <c r="B135" i="11"/>
  <c r="U215" i="12"/>
  <c r="B197" i="1"/>
  <c r="E730" i="1"/>
  <c r="B903" i="2"/>
  <c r="B912" i="2"/>
  <c r="B460" i="8"/>
  <c r="B46" i="8"/>
  <c r="B573" i="8"/>
  <c r="D5" i="8"/>
  <c r="B267" i="8"/>
  <c r="G352" i="10"/>
  <c r="C1187" i="2"/>
  <c r="R1074" i="2"/>
  <c r="C1203" i="2"/>
  <c r="C1226" i="2"/>
  <c r="C292" i="12"/>
  <c r="I1263" i="2"/>
  <c r="Y330" i="10"/>
  <c r="B535" i="1"/>
  <c r="B610" i="1"/>
  <c r="B735" i="1"/>
  <c r="B135" i="10"/>
  <c r="M1179" i="2"/>
  <c r="G344" i="10" s="1"/>
  <c r="C305" i="2"/>
  <c r="R25" i="2"/>
  <c r="C25" i="2" s="1"/>
  <c r="C754" i="2"/>
  <c r="C733" i="2"/>
  <c r="C1291" i="2"/>
  <c r="C443" i="2"/>
  <c r="C437" i="2" s="1"/>
  <c r="C522" i="2"/>
  <c r="R900" i="2"/>
  <c r="C900" i="2" s="1"/>
  <c r="C807" i="2"/>
  <c r="D818" i="2"/>
  <c r="C808" i="2"/>
  <c r="C791" i="2"/>
  <c r="D849" i="2"/>
  <c r="C877" i="2"/>
  <c r="C304" i="2"/>
  <c r="C792" i="2"/>
  <c r="F849" i="2"/>
  <c r="C14" i="2"/>
  <c r="R817" i="2"/>
  <c r="C155" i="2"/>
  <c r="C181" i="10"/>
  <c r="D937" i="1"/>
  <c r="C12" i="3"/>
  <c r="B611" i="1"/>
  <c r="O461" i="8"/>
  <c r="W228" i="12"/>
  <c r="C1224" i="2"/>
  <c r="C992" i="2"/>
  <c r="C984" i="2"/>
  <c r="C1026" i="2"/>
  <c r="B927" i="2"/>
  <c r="D829" i="2"/>
  <c r="B128" i="2"/>
  <c r="B162" i="2"/>
  <c r="B645" i="2"/>
  <c r="B601" i="2"/>
  <c r="C982" i="1"/>
  <c r="B504" i="1"/>
  <c r="B10" i="1"/>
  <c r="D154" i="1"/>
  <c r="B518" i="1"/>
  <c r="E164" i="8"/>
  <c r="E166" i="8" s="1"/>
  <c r="E163" i="8"/>
  <c r="I163" i="8" s="1"/>
  <c r="V654" i="2"/>
  <c r="AM150" i="10"/>
  <c r="K150" i="10" s="1"/>
  <c r="AQ151" i="10"/>
  <c r="I833" i="2"/>
  <c r="H12" i="15"/>
  <c r="F146" i="14" s="1"/>
  <c r="E833" i="2"/>
  <c r="D37" i="1"/>
  <c r="B963" i="1"/>
  <c r="E480" i="8"/>
  <c r="E477" i="8"/>
  <c r="E483" i="8"/>
  <c r="E481" i="8"/>
  <c r="E482" i="8"/>
  <c r="K116" i="12"/>
  <c r="C1274" i="2"/>
  <c r="R164" i="2"/>
  <c r="R129" i="2"/>
  <c r="C129" i="2" s="1"/>
  <c r="B240" i="2"/>
  <c r="C465" i="2"/>
  <c r="B574" i="2"/>
  <c r="I39" i="1"/>
  <c r="F21" i="1"/>
  <c r="G21" i="1"/>
  <c r="H21" i="1"/>
  <c r="F428" i="8"/>
  <c r="Q143" i="14"/>
  <c r="S143" i="14" s="1"/>
  <c r="S145" i="14" s="1"/>
  <c r="F723" i="8"/>
  <c r="H174" i="15"/>
  <c r="H182" i="15"/>
  <c r="AQ31" i="14"/>
  <c r="AR31" i="14"/>
  <c r="AS31" i="14" s="1"/>
  <c r="H343" i="10"/>
  <c r="S1065" i="2"/>
  <c r="S936" i="2"/>
  <c r="E89" i="4" s="1"/>
  <c r="O89" i="4" s="1"/>
  <c r="S922" i="2"/>
  <c r="E78" i="4" s="1"/>
  <c r="O78" i="4" s="1"/>
  <c r="C421" i="8"/>
  <c r="C422" i="8"/>
  <c r="C423" i="8"/>
  <c r="H64" i="2"/>
  <c r="H558" i="2"/>
  <c r="B419" i="1"/>
  <c r="B637" i="1"/>
  <c r="B523" i="1"/>
  <c r="B342" i="1"/>
  <c r="B418" i="1"/>
  <c r="B522" i="1"/>
  <c r="B871" i="1"/>
  <c r="D1201" i="2"/>
  <c r="D1274" i="2"/>
  <c r="D1227" i="2"/>
  <c r="D1263" i="2"/>
  <c r="C403" i="1"/>
  <c r="AB267" i="1"/>
  <c r="W267" i="1"/>
  <c r="BV36" i="14"/>
  <c r="AE36" i="14" s="1"/>
  <c r="E36" i="14"/>
  <c r="F61" i="1" s="1"/>
  <c r="G36" i="14"/>
  <c r="H61" i="1" s="1"/>
  <c r="AU36" i="14"/>
  <c r="O36" i="14" s="1"/>
  <c r="F1070" i="1"/>
  <c r="G1070" i="1"/>
  <c r="J118" i="9"/>
  <c r="K131" i="9"/>
  <c r="Y131" i="9" s="1"/>
  <c r="S125" i="9" s="1"/>
  <c r="J841" i="2"/>
  <c r="J836" i="2"/>
  <c r="R206" i="2"/>
  <c r="C206" i="2" s="1"/>
  <c r="R665" i="2"/>
  <c r="C665" i="2" s="1"/>
  <c r="T178" i="2"/>
  <c r="T554" i="2"/>
  <c r="T657" i="2"/>
  <c r="C587" i="1"/>
  <c r="C589" i="1"/>
  <c r="C559" i="1"/>
  <c r="F606" i="1"/>
  <c r="F793" i="1"/>
  <c r="F244" i="1"/>
  <c r="C405" i="1"/>
  <c r="C423" i="1" s="1"/>
  <c r="J150" i="8"/>
  <c r="I150" i="8"/>
  <c r="K1180" i="2"/>
  <c r="S554" i="2"/>
  <c r="V555" i="2" s="1"/>
  <c r="L1190" i="2"/>
  <c r="C217" i="12"/>
  <c r="N203" i="12" s="1"/>
  <c r="F273" i="4"/>
  <c r="C185" i="4" s="1"/>
  <c r="M6" i="4"/>
  <c r="AE25" i="14"/>
  <c r="H176" i="12" s="1"/>
  <c r="H181" i="12" s="1"/>
  <c r="G25" i="14"/>
  <c r="H50" i="1" s="1"/>
  <c r="F71" i="15"/>
  <c r="AB68" i="11"/>
  <c r="J64" i="2"/>
  <c r="J558" i="2"/>
  <c r="J580" i="2"/>
  <c r="C254" i="1"/>
  <c r="C302" i="1" s="1"/>
  <c r="C651" i="1"/>
  <c r="C653" i="1"/>
  <c r="R319" i="2"/>
  <c r="Q228" i="2"/>
  <c r="Q320" i="2"/>
  <c r="B164" i="2"/>
  <c r="B603" i="2"/>
  <c r="C910" i="1"/>
  <c r="C915" i="1" s="1"/>
  <c r="R1071" i="2"/>
  <c r="G349" i="10"/>
  <c r="C1184" i="2"/>
  <c r="B780" i="1"/>
  <c r="Y625" i="1" s="1"/>
  <c r="B772" i="1"/>
  <c r="B648" i="1" s="1"/>
  <c r="AQ36" i="14"/>
  <c r="BV35" i="14"/>
  <c r="AD35" i="14" s="1"/>
  <c r="G35" i="14"/>
  <c r="H60" i="1" s="1"/>
  <c r="AU35" i="14"/>
  <c r="O35" i="14" s="1"/>
  <c r="BW35" i="14"/>
  <c r="E40" i="12"/>
  <c r="C116" i="12"/>
  <c r="CB17" i="14"/>
  <c r="F30" i="1"/>
  <c r="T859" i="8"/>
  <c r="C496" i="8"/>
  <c r="C466" i="8"/>
  <c r="D25" i="4"/>
  <c r="D43" i="4"/>
  <c r="D55" i="4" s="1"/>
  <c r="I9" i="4"/>
  <c r="I201" i="4" s="1"/>
  <c r="I253" i="4" s="1"/>
  <c r="D212" i="4"/>
  <c r="D196" i="4"/>
  <c r="D18" i="4"/>
  <c r="D210" i="4"/>
  <c r="B312" i="1"/>
  <c r="B390" i="1"/>
  <c r="B499" i="1"/>
  <c r="B873" i="1"/>
  <c r="B581" i="1"/>
  <c r="B634" i="1"/>
  <c r="B298" i="1"/>
  <c r="B414" i="1"/>
  <c r="D38" i="1"/>
  <c r="D184" i="1"/>
  <c r="D684" i="8"/>
  <c r="F429" i="8"/>
  <c r="E854" i="8"/>
  <c r="I854" i="8" s="1"/>
  <c r="F854" i="8" s="1"/>
  <c r="E343" i="10"/>
  <c r="P1065" i="2"/>
  <c r="C495" i="8"/>
  <c r="H131" i="9"/>
  <c r="V131" i="9" s="1"/>
  <c r="V125" i="9" s="1"/>
  <c r="P48" i="9"/>
  <c r="H685" i="9" s="1"/>
  <c r="H737" i="9" s="1"/>
  <c r="D874" i="2"/>
  <c r="C62" i="4" s="1"/>
  <c r="P128" i="12"/>
  <c r="G828" i="2"/>
  <c r="F813" i="2"/>
  <c r="F815" i="2"/>
  <c r="K424" i="1"/>
  <c r="K452" i="1"/>
  <c r="E853" i="8"/>
  <c r="I853" i="8" s="1"/>
  <c r="F853" i="8" s="1"/>
  <c r="AC188" i="1"/>
  <c r="AC190" i="1"/>
  <c r="K1195" i="2"/>
  <c r="I1195" i="2"/>
  <c r="R645" i="1"/>
  <c r="AE616" i="1" s="1"/>
  <c r="U58" i="3"/>
  <c r="O5" i="12"/>
  <c r="J91" i="12" s="1"/>
  <c r="J95" i="12" s="1"/>
  <c r="R189" i="12" s="1"/>
  <c r="R1" i="1"/>
  <c r="M6" i="21"/>
  <c r="M36" i="21" s="1"/>
  <c r="B67" i="21"/>
  <c r="C465" i="8"/>
  <c r="J114" i="9"/>
  <c r="G131" i="9"/>
  <c r="U131" i="9" s="1"/>
  <c r="W125" i="9" s="1"/>
  <c r="K5" i="9"/>
  <c r="F32" i="9" s="1"/>
  <c r="D7" i="9"/>
  <c r="K39" i="9"/>
  <c r="B83" i="2"/>
  <c r="B76" i="2"/>
  <c r="B254" i="2"/>
  <c r="B118" i="2"/>
  <c r="B307" i="2"/>
  <c r="B716" i="2"/>
  <c r="B186" i="2"/>
  <c r="B743" i="2"/>
  <c r="B804" i="2"/>
  <c r="B476" i="2"/>
  <c r="B199" i="2"/>
  <c r="B295" i="1"/>
  <c r="B631" i="1"/>
  <c r="G66" i="8"/>
  <c r="L79" i="8"/>
  <c r="L47" i="8"/>
  <c r="B80" i="8" s="1"/>
  <c r="E807" i="8"/>
  <c r="Q886" i="1"/>
  <c r="E917" i="2"/>
  <c r="E907" i="2"/>
  <c r="P4" i="2"/>
  <c r="M4" i="2" s="1"/>
  <c r="F1066" i="8"/>
  <c r="U120" i="10"/>
  <c r="U15" i="10"/>
  <c r="W16" i="10" s="1"/>
  <c r="U40" i="10"/>
  <c r="U145" i="10"/>
  <c r="AH147" i="10" s="1"/>
  <c r="C178" i="12"/>
  <c r="C105" i="12"/>
  <c r="D255" i="12"/>
  <c r="C281" i="8"/>
  <c r="D172" i="4" s="1"/>
  <c r="D142" i="4"/>
  <c r="D208" i="4"/>
  <c r="D68" i="4"/>
  <c r="D110" i="4"/>
  <c r="B215" i="2"/>
  <c r="B106" i="2"/>
  <c r="B500" i="2"/>
  <c r="B209" i="2"/>
  <c r="B443" i="2"/>
  <c r="B529" i="2"/>
  <c r="B732" i="2"/>
  <c r="B783" i="2"/>
  <c r="B537" i="2"/>
  <c r="B705" i="2"/>
  <c r="T163" i="2"/>
  <c r="T171" i="2"/>
  <c r="T202" i="2"/>
  <c r="T655" i="2"/>
  <c r="T719" i="2"/>
  <c r="B231" i="2"/>
  <c r="C456" i="2"/>
  <c r="C239" i="1"/>
  <c r="C720" i="1"/>
  <c r="C222" i="10"/>
  <c r="C252" i="10"/>
  <c r="D691" i="8"/>
  <c r="E691" i="8" s="1"/>
  <c r="F247" i="8" s="1"/>
  <c r="D694" i="8"/>
  <c r="T215" i="1"/>
  <c r="V215" i="1" s="1"/>
  <c r="T213" i="1"/>
  <c r="V213" i="1" s="1"/>
  <c r="T214" i="1"/>
  <c r="V214" i="1" s="1"/>
  <c r="AS54" i="10"/>
  <c r="Q46" i="10"/>
  <c r="M6" i="2"/>
  <c r="G1120" i="2"/>
  <c r="M1114" i="2" s="1"/>
  <c r="E1132" i="2"/>
  <c r="E1133" i="2"/>
  <c r="O1116" i="2"/>
  <c r="I1116" i="2"/>
  <c r="U128" i="9"/>
  <c r="R128" i="9"/>
  <c r="V128" i="9"/>
  <c r="S128" i="9"/>
  <c r="F6" i="4"/>
  <c r="M227" i="4"/>
  <c r="B702" i="2"/>
  <c r="B724" i="2"/>
  <c r="B185" i="2"/>
  <c r="B90" i="2"/>
  <c r="B617" i="2"/>
  <c r="B606" i="2"/>
  <c r="B112" i="2"/>
  <c r="B100" i="2"/>
  <c r="B192" i="2"/>
  <c r="B221" i="2"/>
  <c r="B942" i="1"/>
  <c r="D561" i="8"/>
  <c r="N457" i="8"/>
  <c r="L460" i="8"/>
  <c r="T67" i="11"/>
  <c r="T68" i="11"/>
  <c r="T65" i="11"/>
  <c r="E1184" i="2"/>
  <c r="N1184" i="2" s="1"/>
  <c r="E1189" i="2"/>
  <c r="E1185" i="2"/>
  <c r="F1185" i="2"/>
  <c r="F1188" i="2" s="1"/>
  <c r="F1189" i="2" s="1"/>
  <c r="G22" i="14"/>
  <c r="H47" i="1" s="1"/>
  <c r="AE22" i="14"/>
  <c r="H173" i="12" s="1"/>
  <c r="H178" i="12" s="1"/>
  <c r="X22" i="14"/>
  <c r="O253" i="8"/>
  <c r="P253" i="8"/>
  <c r="P254" i="8"/>
  <c r="O254" i="8"/>
  <c r="G154" i="10"/>
  <c r="G203" i="10"/>
  <c r="G152" i="10"/>
  <c r="AB65" i="11"/>
  <c r="Q685" i="1"/>
  <c r="I1118" i="2"/>
  <c r="C327" i="12" s="1"/>
  <c r="O1118" i="2"/>
  <c r="P58" i="11"/>
  <c r="P62" i="11"/>
  <c r="P59" i="11"/>
  <c r="P66" i="11"/>
  <c r="P69" i="11"/>
  <c r="AB69" i="11" s="1"/>
  <c r="P63" i="11"/>
  <c r="AB63" i="11" s="1"/>
  <c r="C27" i="18"/>
  <c r="B170" i="8"/>
  <c r="C224" i="8"/>
  <c r="J120" i="8"/>
  <c r="J123" i="8"/>
  <c r="P129" i="9"/>
  <c r="B530" i="2"/>
  <c r="B755" i="2"/>
  <c r="B672" i="2"/>
  <c r="B733" i="2"/>
  <c r="B508" i="2"/>
  <c r="B770" i="2"/>
  <c r="B34" i="10"/>
  <c r="B114" i="10"/>
  <c r="P61" i="11"/>
  <c r="Y565" i="1"/>
  <c r="Y568" i="1"/>
  <c r="G23" i="14"/>
  <c r="H48" i="1" s="1"/>
  <c r="E56" i="14"/>
  <c r="F81" i="1" s="1"/>
  <c r="G56" i="14"/>
  <c r="H81" i="1" s="1"/>
  <c r="E144" i="8"/>
  <c r="B747" i="2"/>
  <c r="X23" i="14"/>
  <c r="AA23" i="14" s="1"/>
  <c r="D751" i="8"/>
  <c r="B189" i="2"/>
  <c r="E774" i="8"/>
  <c r="D772" i="8"/>
  <c r="C772" i="8" s="1"/>
  <c r="C399" i="8"/>
  <c r="C401" i="8"/>
  <c r="C130" i="8"/>
  <c r="B947" i="1"/>
  <c r="B951" i="1"/>
  <c r="B941" i="1"/>
  <c r="B495" i="2"/>
  <c r="M564" i="8"/>
  <c r="C684" i="8"/>
  <c r="F238" i="12"/>
  <c r="C208" i="2"/>
  <c r="W442" i="2"/>
  <c r="C306" i="2"/>
  <c r="C505" i="2"/>
  <c r="C742" i="2"/>
  <c r="C803" i="2"/>
  <c r="C517" i="2"/>
  <c r="R761" i="2"/>
  <c r="B255" i="2"/>
  <c r="B119" i="2"/>
  <c r="B75" i="2"/>
  <c r="B308" i="2"/>
  <c r="B735" i="2"/>
  <c r="B789" i="2"/>
  <c r="C1151" i="1"/>
  <c r="C1152" i="1" s="1"/>
  <c r="C697" i="1"/>
  <c r="K26" i="3"/>
  <c r="G26" i="3" s="1"/>
  <c r="BO38" i="14"/>
  <c r="I38" i="14" s="1"/>
  <c r="BQ38" i="14"/>
  <c r="K38" i="14" s="1"/>
  <c r="AY122" i="14"/>
  <c r="AY116" i="14"/>
  <c r="BW130" i="14"/>
  <c r="CR129" i="14"/>
  <c r="CJ130" i="14"/>
  <c r="CK130" i="14"/>
  <c r="BZ128" i="14"/>
  <c r="CA128" i="14"/>
  <c r="BW136" i="14"/>
  <c r="CP129" i="14"/>
  <c r="CI127" i="14"/>
  <c r="CH129" i="14"/>
  <c r="CJ127" i="14"/>
  <c r="CK127" i="14"/>
  <c r="X7" i="14"/>
  <c r="C774" i="8"/>
  <c r="AD136" i="9"/>
  <c r="B645" i="9" s="1"/>
  <c r="B89" i="2"/>
  <c r="B605" i="2"/>
  <c r="B648" i="2"/>
  <c r="B9" i="2"/>
  <c r="B19" i="2"/>
  <c r="B39" i="2"/>
  <c r="B313" i="1"/>
  <c r="B536" i="1"/>
  <c r="V570" i="1"/>
  <c r="C282" i="8"/>
  <c r="D173" i="4" s="1"/>
  <c r="W172" i="10"/>
  <c r="S219" i="2"/>
  <c r="L1119" i="2" s="1"/>
  <c r="S637" i="2"/>
  <c r="S640" i="2" s="1"/>
  <c r="S120" i="2"/>
  <c r="S123" i="2" s="1"/>
  <c r="S126" i="2" s="1"/>
  <c r="S110" i="2"/>
  <c r="S112" i="2" s="1"/>
  <c r="S98" i="2"/>
  <c r="S736" i="2"/>
  <c r="S738" i="2" s="1"/>
  <c r="S739" i="2" s="1"/>
  <c r="D739" i="2" s="1"/>
  <c r="S627" i="2"/>
  <c r="S629" i="2" s="1"/>
  <c r="U629" i="2" s="1"/>
  <c r="L1178" i="2"/>
  <c r="L1177" i="2"/>
  <c r="Q556" i="1"/>
  <c r="R641" i="1"/>
  <c r="R647" i="1" s="1"/>
  <c r="R763" i="1"/>
  <c r="R636" i="1"/>
  <c r="I558" i="2"/>
  <c r="B177" i="2"/>
  <c r="B656" i="2"/>
  <c r="U69" i="11"/>
  <c r="U66" i="11"/>
  <c r="U67" i="11"/>
  <c r="U68" i="11"/>
  <c r="E43" i="14"/>
  <c r="F68" i="1" s="1"/>
  <c r="BK43" i="14"/>
  <c r="R660" i="1"/>
  <c r="J656" i="1"/>
  <c r="B161" i="2"/>
  <c r="A25" i="10"/>
  <c r="A250" i="10"/>
  <c r="E157" i="8"/>
  <c r="I157" i="8" s="1"/>
  <c r="W178" i="10"/>
  <c r="AN238" i="10"/>
  <c r="AR238" i="10"/>
  <c r="H319" i="10" s="1"/>
  <c r="S19" i="1"/>
  <c r="I33" i="15" s="1"/>
  <c r="T19" i="1"/>
  <c r="I34" i="15" s="1"/>
  <c r="C706" i="1"/>
  <c r="M253" i="10"/>
  <c r="C126" i="10"/>
  <c r="C159" i="10" s="1"/>
  <c r="O253" i="10"/>
  <c r="E870" i="8"/>
  <c r="C123" i="10"/>
  <c r="C124" i="10" s="1"/>
  <c r="Q252" i="10"/>
  <c r="C79" i="10"/>
  <c r="C89" i="2"/>
  <c r="C122" i="2"/>
  <c r="C157" i="2"/>
  <c r="E42" i="14"/>
  <c r="F67" i="1" s="1"/>
  <c r="BK42" i="14"/>
  <c r="BW30" i="14"/>
  <c r="AY30" i="14" s="1"/>
  <c r="BV30" i="14"/>
  <c r="C675" i="2"/>
  <c r="R581" i="1"/>
  <c r="B664" i="1"/>
  <c r="B542" i="1"/>
  <c r="C769" i="8"/>
  <c r="B830" i="2"/>
  <c r="AO42" i="10"/>
  <c r="M98" i="10"/>
  <c r="L54" i="10"/>
  <c r="L83" i="10"/>
  <c r="R635" i="1"/>
  <c r="R634" i="1"/>
  <c r="E40" i="14"/>
  <c r="F65" i="1" s="1"/>
  <c r="G40" i="14"/>
  <c r="H65" i="1" s="1"/>
  <c r="D229" i="2"/>
  <c r="C268" i="2"/>
  <c r="D52" i="25" s="1"/>
  <c r="A50" i="25" s="1"/>
  <c r="BN36" i="14"/>
  <c r="H36" i="14" s="1"/>
  <c r="BP36" i="14"/>
  <c r="J36" i="14" s="1"/>
  <c r="M338" i="8"/>
  <c r="P369" i="8" s="1"/>
  <c r="M361" i="8"/>
  <c r="P370" i="8" s="1"/>
  <c r="AP39" i="10"/>
  <c r="AP44" i="10" s="1"/>
  <c r="N44" i="10" s="1"/>
  <c r="AP42" i="10"/>
  <c r="N98" i="10"/>
  <c r="I1125" i="2"/>
  <c r="C333" i="12" s="1"/>
  <c r="G1066" i="2"/>
  <c r="C683" i="8"/>
  <c r="M563" i="8"/>
  <c r="H981" i="8"/>
  <c r="C276" i="8" s="1"/>
  <c r="C284" i="8" s="1"/>
  <c r="D175" i="4" s="1"/>
  <c r="BW118" i="14"/>
  <c r="AR118" i="14" s="1"/>
  <c r="AS118" i="14" s="1"/>
  <c r="AU118" i="14"/>
  <c r="AW118" i="14" s="1"/>
  <c r="BV118" i="14"/>
  <c r="AD118" i="14" s="1"/>
  <c r="X126" i="10"/>
  <c r="D848" i="1"/>
  <c r="I15" i="1"/>
  <c r="I20" i="1" s="1"/>
  <c r="G6" i="1"/>
  <c r="J583" i="2"/>
  <c r="Y180" i="10"/>
  <c r="W180" i="10" s="1"/>
  <c r="E180" i="10" s="1"/>
  <c r="Y176" i="10"/>
  <c r="W176" i="10" s="1"/>
  <c r="AL82" i="10"/>
  <c r="Y72" i="10"/>
  <c r="E72" i="10" s="1"/>
  <c r="AM82" i="10"/>
  <c r="Y175" i="10"/>
  <c r="W175" i="10" s="1"/>
  <c r="AN82" i="10"/>
  <c r="Y177" i="10"/>
  <c r="W177" i="10" s="1"/>
  <c r="AR82" i="10"/>
  <c r="Y174" i="10"/>
  <c r="W174" i="10" s="1"/>
  <c r="E174" i="10" s="1"/>
  <c r="Y76" i="10"/>
  <c r="AJ187" i="10"/>
  <c r="AS82" i="10"/>
  <c r="Y173" i="10"/>
  <c r="AK187" i="10"/>
  <c r="AT82" i="10"/>
  <c r="C848" i="8"/>
  <c r="D848" i="8" s="1"/>
  <c r="E848" i="8" s="1"/>
  <c r="I848" i="8" s="1"/>
  <c r="F848" i="8" s="1"/>
  <c r="C852" i="8"/>
  <c r="D852" i="8" s="1"/>
  <c r="E852" i="8" s="1"/>
  <c r="I852" i="8" s="1"/>
  <c r="F852" i="8" s="1"/>
  <c r="F6" i="1"/>
  <c r="J582" i="2"/>
  <c r="AH39" i="10"/>
  <c r="AH44" i="10" s="1"/>
  <c r="C1032" i="8"/>
  <c r="C1033" i="8" s="1"/>
  <c r="C1030" i="8" s="1"/>
  <c r="U86" i="10"/>
  <c r="U191" i="10"/>
  <c r="R729" i="1"/>
  <c r="AP43" i="10"/>
  <c r="N43" i="10" s="1"/>
  <c r="AH212" i="1"/>
  <c r="S230" i="2" s="1"/>
  <c r="AA220" i="1"/>
  <c r="AA1079" i="2"/>
  <c r="F693" i="8"/>
  <c r="W225" i="12" s="1"/>
  <c r="O264" i="8"/>
  <c r="O539" i="8"/>
  <c r="O530" i="8"/>
  <c r="O529" i="8"/>
  <c r="BB9" i="3"/>
  <c r="BB32" i="3"/>
  <c r="BB43" i="3"/>
  <c r="BB53" i="3"/>
  <c r="BB10" i="3"/>
  <c r="BB33" i="3"/>
  <c r="BB44" i="3"/>
  <c r="BB22" i="3"/>
  <c r="BB34" i="3"/>
  <c r="BB54" i="3"/>
  <c r="BB16" i="3"/>
  <c r="BB30" i="3"/>
  <c r="BB56" i="3"/>
  <c r="BB17" i="3"/>
  <c r="BB31" i="3"/>
  <c r="BB46" i="3"/>
  <c r="B1072" i="2"/>
  <c r="W568" i="1"/>
  <c r="D461" i="8"/>
  <c r="C460" i="8" s="1"/>
  <c r="M459" i="8" s="1"/>
  <c r="R333" i="8"/>
  <c r="X568" i="1"/>
  <c r="V644" i="1" s="1"/>
  <c r="G28" i="14"/>
  <c r="H53" i="1" s="1"/>
  <c r="BW28" i="14"/>
  <c r="R56" i="11"/>
  <c r="R61" i="11" s="1"/>
  <c r="W567" i="1"/>
  <c r="J177" i="12"/>
  <c r="H180" i="15"/>
  <c r="AD55" i="14"/>
  <c r="BN38" i="14"/>
  <c r="H38" i="14" s="1"/>
  <c r="BP38" i="14"/>
  <c r="J38" i="14" s="1"/>
  <c r="E1057" i="1"/>
  <c r="G256" i="4"/>
  <c r="G143" i="4"/>
  <c r="J143" i="4" s="1"/>
  <c r="G94" i="4"/>
  <c r="J94" i="4" s="1"/>
  <c r="G144" i="4"/>
  <c r="J144" i="4" s="1"/>
  <c r="G95" i="4"/>
  <c r="J95" i="4" s="1"/>
  <c r="G149" i="4"/>
  <c r="J149" i="4" s="1"/>
  <c r="S210" i="1"/>
  <c r="U210" i="1" s="1"/>
  <c r="S211" i="1"/>
  <c r="U211" i="1" s="1"/>
  <c r="BK41" i="14"/>
  <c r="S21" i="2"/>
  <c r="S79" i="2"/>
  <c r="S90" i="2" s="1"/>
  <c r="D90" i="2" s="1"/>
  <c r="S642" i="2"/>
  <c r="X8" i="10"/>
  <c r="X21" i="10" s="1"/>
  <c r="AM137" i="10"/>
  <c r="K202" i="10" s="1"/>
  <c r="AM32" i="10"/>
  <c r="AL137" i="10"/>
  <c r="J202" i="10" s="1"/>
  <c r="AL32" i="10"/>
  <c r="AK137" i="10"/>
  <c r="AK144" i="10" s="1"/>
  <c r="AK149" i="10" s="1"/>
  <c r="I149" i="10" s="1"/>
  <c r="AK32" i="10"/>
  <c r="E1277" i="2"/>
  <c r="E1183" i="2"/>
  <c r="H1067" i="2"/>
  <c r="E850" i="8"/>
  <c r="I850" i="8" s="1"/>
  <c r="F850" i="8" s="1"/>
  <c r="AD34" i="14"/>
  <c r="AD85" i="14"/>
  <c r="B845" i="2"/>
  <c r="AU38" i="14"/>
  <c r="O38" i="14" s="1"/>
  <c r="L1175" i="2"/>
  <c r="B1000" i="1"/>
  <c r="D986" i="1"/>
  <c r="K11" i="3" s="1"/>
  <c r="D507" i="1"/>
  <c r="E507" i="1" s="1"/>
  <c r="AU37" i="14"/>
  <c r="O37" i="14" s="1"/>
  <c r="N23" i="11"/>
  <c r="P914" i="1" s="1"/>
  <c r="D1115" i="1"/>
  <c r="R951" i="2"/>
  <c r="CM1" i="14"/>
  <c r="CO14" i="14" s="1"/>
  <c r="B1115" i="1"/>
  <c r="C1115" i="1" s="1"/>
  <c r="E1115" i="1"/>
  <c r="S953" i="2"/>
  <c r="G952" i="2"/>
  <c r="F950" i="2"/>
  <c r="D258" i="4"/>
  <c r="M902" i="2"/>
  <c r="H956" i="2" s="1"/>
  <c r="O203" i="4"/>
  <c r="R952" i="2"/>
  <c r="O14" i="4"/>
  <c r="S950" i="2"/>
  <c r="T1" i="3"/>
  <c r="F1115" i="1"/>
  <c r="R953" i="2"/>
  <c r="U953" i="2" s="1"/>
  <c r="O901" i="2"/>
  <c r="V6" i="10"/>
  <c r="G954" i="2"/>
  <c r="B1290" i="2"/>
  <c r="I1290" i="2" s="1"/>
  <c r="C318" i="12" s="1"/>
  <c r="M985" i="1"/>
  <c r="O902" i="2"/>
  <c r="B901" i="2" s="1"/>
  <c r="R954" i="2"/>
  <c r="M901" i="2"/>
  <c r="S951" i="2"/>
  <c r="F951" i="2"/>
  <c r="R3" i="1"/>
  <c r="F953" i="2"/>
  <c r="G955" i="2"/>
  <c r="F952" i="2"/>
  <c r="O11" i="4"/>
  <c r="R955" i="2"/>
  <c r="O903" i="2"/>
  <c r="F954" i="2"/>
  <c r="D37" i="15"/>
  <c r="M27" i="2"/>
  <c r="G950" i="2"/>
  <c r="S954" i="2"/>
  <c r="N189" i="12"/>
  <c r="R5" i="12"/>
  <c r="O65" i="4"/>
  <c r="G65" i="4" s="1"/>
  <c r="J65" i="4" s="1"/>
  <c r="R950" i="2"/>
  <c r="U950" i="2" s="1"/>
  <c r="G953" i="2"/>
  <c r="S952" i="2"/>
  <c r="F955" i="2"/>
  <c r="O9" i="4"/>
  <c r="B97" i="4" s="1"/>
  <c r="C17" i="4" s="1"/>
  <c r="S955" i="2"/>
  <c r="T936" i="1"/>
  <c r="P22" i="11"/>
  <c r="B188" i="12"/>
  <c r="P153" i="10"/>
  <c r="P156" i="10" s="1"/>
  <c r="AP683" i="1"/>
  <c r="AP682" i="1"/>
  <c r="AP678" i="1"/>
  <c r="AP687" i="1"/>
  <c r="AP681" i="1"/>
  <c r="AP686" i="1"/>
  <c r="AP685" i="1"/>
  <c r="AP684" i="1"/>
  <c r="AP679" i="1"/>
  <c r="AP689" i="1"/>
  <c r="S693" i="2"/>
  <c r="AP688" i="1"/>
  <c r="AP680" i="1"/>
  <c r="T861" i="8"/>
  <c r="S864" i="8"/>
  <c r="T863" i="8" s="1"/>
  <c r="B561" i="8"/>
  <c r="J549" i="8"/>
  <c r="D230" i="8"/>
  <c r="G230" i="8" s="1"/>
  <c r="D231" i="8"/>
  <c r="G231" i="8" s="1"/>
  <c r="D235" i="8"/>
  <c r="G235" i="8" s="1"/>
  <c r="D227" i="8"/>
  <c r="G227" i="8" s="1"/>
  <c r="D232" i="8"/>
  <c r="G232" i="8" s="1"/>
  <c r="D228" i="8"/>
  <c r="G228" i="8" s="1"/>
  <c r="D236" i="8"/>
  <c r="G236" i="8" s="1"/>
  <c r="D234" i="8"/>
  <c r="G234" i="8" s="1"/>
  <c r="D226" i="8"/>
  <c r="G226" i="8" s="1"/>
  <c r="D229" i="8"/>
  <c r="G229" i="8" s="1"/>
  <c r="D237" i="8"/>
  <c r="G237" i="8" s="1"/>
  <c r="D233" i="8"/>
  <c r="G233" i="8" s="1"/>
  <c r="K61" i="15"/>
  <c r="I139" i="8"/>
  <c r="H86" i="8" s="1"/>
  <c r="B197" i="8"/>
  <c r="B129" i="8"/>
  <c r="E224" i="8"/>
  <c r="F224" i="8"/>
  <c r="C1058" i="8"/>
  <c r="C1055" i="8" s="1"/>
  <c r="C110" i="8"/>
  <c r="N34" i="14"/>
  <c r="C143" i="12"/>
  <c r="C158" i="12"/>
  <c r="K644" i="9"/>
  <c r="AE136" i="9"/>
  <c r="F377" i="2"/>
  <c r="F330" i="2"/>
  <c r="F327" i="2"/>
  <c r="F367" i="2"/>
  <c r="I147" i="8"/>
  <c r="J147" i="8"/>
  <c r="G68" i="21"/>
  <c r="E67" i="21"/>
  <c r="E68" i="21"/>
  <c r="B489" i="8"/>
  <c r="B458" i="8"/>
  <c r="E21" i="9"/>
  <c r="E13" i="9"/>
  <c r="C293" i="8"/>
  <c r="F293" i="8"/>
  <c r="T862" i="8"/>
  <c r="M65" i="21"/>
  <c r="H69" i="21"/>
  <c r="H66" i="21"/>
  <c r="B342" i="8"/>
  <c r="B354" i="8"/>
  <c r="B362" i="8"/>
  <c r="E389" i="8"/>
  <c r="F278" i="8"/>
  <c r="F426" i="8"/>
  <c r="D426" i="8"/>
  <c r="D279" i="8"/>
  <c r="D86" i="8"/>
  <c r="S413" i="8"/>
  <c r="C390" i="8"/>
  <c r="C407" i="8" s="1"/>
  <c r="C395" i="8"/>
  <c r="C408" i="8" s="1"/>
  <c r="O413" i="8"/>
  <c r="M413" i="8"/>
  <c r="C389" i="8"/>
  <c r="Q413" i="8"/>
  <c r="J113" i="8"/>
  <c r="J124" i="8"/>
  <c r="J116" i="8"/>
  <c r="J121" i="8"/>
  <c r="J117" i="8"/>
  <c r="J118" i="8"/>
  <c r="J115" i="8"/>
  <c r="J114" i="8"/>
  <c r="B63" i="8"/>
  <c r="B140" i="8"/>
  <c r="D75" i="8"/>
  <c r="B49" i="8"/>
  <c r="Q540" i="8"/>
  <c r="G540" i="8" s="1"/>
  <c r="Q531" i="8"/>
  <c r="G531" i="8" s="1"/>
  <c r="Q539" i="8"/>
  <c r="G539" i="8" s="1"/>
  <c r="Q530" i="8"/>
  <c r="G530" i="8" s="1"/>
  <c r="G529" i="8"/>
  <c r="F763" i="8"/>
  <c r="F766" i="8"/>
  <c r="K687" i="9"/>
  <c r="K712" i="9"/>
  <c r="P45" i="9"/>
  <c r="J65" i="21"/>
  <c r="E69" i="21"/>
  <c r="H87" i="8"/>
  <c r="C241" i="8"/>
  <c r="J687" i="9"/>
  <c r="J737" i="9"/>
  <c r="C335" i="8"/>
  <c r="E32" i="8"/>
  <c r="F32" i="8"/>
  <c r="C336" i="8"/>
  <c r="E225" i="8"/>
  <c r="AG136" i="9"/>
  <c r="H645" i="9" s="1"/>
  <c r="Q864" i="8"/>
  <c r="D224" i="8"/>
  <c r="F767" i="8"/>
  <c r="C132" i="2"/>
  <c r="R145" i="2"/>
  <c r="C145" i="2" s="1"/>
  <c r="R690" i="2"/>
  <c r="C690" i="2" s="1"/>
  <c r="R695" i="2"/>
  <c r="C695" i="2" s="1"/>
  <c r="B489" i="2"/>
  <c r="C1056" i="2"/>
  <c r="C1047" i="2"/>
  <c r="K62" i="15"/>
  <c r="K1189" i="2"/>
  <c r="U129" i="9"/>
  <c r="S127" i="9"/>
  <c r="G201" i="4"/>
  <c r="D147" i="4"/>
  <c r="D50" i="4"/>
  <c r="D40" i="4"/>
  <c r="D30" i="4"/>
  <c r="B837" i="2"/>
  <c r="B824" i="2"/>
  <c r="B849" i="2"/>
  <c r="C462" i="2"/>
  <c r="B915" i="1"/>
  <c r="B929" i="1"/>
  <c r="B508" i="1"/>
  <c r="B537" i="1"/>
  <c r="B854" i="1"/>
  <c r="B636" i="1"/>
  <c r="D123" i="2"/>
  <c r="U123" i="2"/>
  <c r="Q476" i="1"/>
  <c r="Q478" i="1"/>
  <c r="Q479" i="1"/>
  <c r="Q480" i="1"/>
  <c r="Q481" i="1"/>
  <c r="Q482" i="1"/>
  <c r="Q483" i="1"/>
  <c r="Q484" i="1"/>
  <c r="Q485" i="1"/>
  <c r="D352" i="10"/>
  <c r="T129" i="9"/>
  <c r="R127" i="9"/>
  <c r="D209" i="4"/>
  <c r="F201" i="4"/>
  <c r="D207" i="4"/>
  <c r="J9" i="4"/>
  <c r="J201" i="4" s="1"/>
  <c r="J253" i="4" s="1"/>
  <c r="B906" i="2"/>
  <c r="C895" i="2"/>
  <c r="C461" i="2"/>
  <c r="F228" i="2"/>
  <c r="B145" i="2"/>
  <c r="B690" i="2"/>
  <c r="B695" i="2"/>
  <c r="B140" i="2"/>
  <c r="M1182" i="2"/>
  <c r="M1177" i="2"/>
  <c r="C1190" i="2"/>
  <c r="C1182" i="2"/>
  <c r="C1192" i="2"/>
  <c r="M1180" i="2"/>
  <c r="E267" i="1"/>
  <c r="U212" i="1"/>
  <c r="Y212" i="1" s="1"/>
  <c r="Q64" i="11"/>
  <c r="Q65" i="11"/>
  <c r="Q66" i="11"/>
  <c r="Q67" i="11"/>
  <c r="Q68" i="11"/>
  <c r="Q61" i="11"/>
  <c r="Q63" i="11"/>
  <c r="Q69" i="11"/>
  <c r="C28" i="18"/>
  <c r="AA189" i="1"/>
  <c r="AA190" i="1"/>
  <c r="AA188" i="1"/>
  <c r="BP118" i="14"/>
  <c r="J118" i="14" s="1"/>
  <c r="BN118" i="14"/>
  <c r="H118" i="14" s="1"/>
  <c r="X6" i="14"/>
  <c r="D351" i="10"/>
  <c r="Z128" i="9"/>
  <c r="R129" i="9"/>
  <c r="P127" i="9"/>
  <c r="T169" i="2"/>
  <c r="T605" i="2"/>
  <c r="T653" i="2"/>
  <c r="C83" i="10"/>
  <c r="E170" i="10"/>
  <c r="C188" i="10"/>
  <c r="C206" i="10"/>
  <c r="U592" i="2"/>
  <c r="D592" i="2"/>
  <c r="J1179" i="1"/>
  <c r="C654" i="1"/>
  <c r="Q129" i="9"/>
  <c r="Q127" i="9"/>
  <c r="P46" i="9"/>
  <c r="F685" i="9" s="1"/>
  <c r="C108" i="12"/>
  <c r="D146" i="4"/>
  <c r="D82" i="4"/>
  <c r="D1056" i="2"/>
  <c r="T131" i="2"/>
  <c r="P971" i="2"/>
  <c r="Q954" i="1"/>
  <c r="B505" i="1"/>
  <c r="B519" i="1"/>
  <c r="B497" i="1"/>
  <c r="C106" i="2"/>
  <c r="J301" i="2"/>
  <c r="C444" i="2"/>
  <c r="C438" i="2" s="1"/>
  <c r="C783" i="2"/>
  <c r="C878" i="2"/>
  <c r="R906" i="2"/>
  <c r="C906" i="2" s="1"/>
  <c r="R916" i="2"/>
  <c r="C916" i="2" s="1"/>
  <c r="C1179" i="2"/>
  <c r="R1066" i="2"/>
  <c r="C107" i="2"/>
  <c r="C507" i="2"/>
  <c r="C611" i="2"/>
  <c r="C671" i="2"/>
  <c r="C784" i="2"/>
  <c r="R933" i="2"/>
  <c r="C933" i="2" s="1"/>
  <c r="C508" i="2"/>
  <c r="C612" i="2"/>
  <c r="C672" i="2"/>
  <c r="C769" i="2"/>
  <c r="C973" i="2"/>
  <c r="C94" i="2"/>
  <c r="E268" i="2"/>
  <c r="C310" i="2"/>
  <c r="C537" i="2"/>
  <c r="C770" i="2"/>
  <c r="D837" i="2"/>
  <c r="C885" i="2"/>
  <c r="C215" i="2"/>
  <c r="C311" i="2"/>
  <c r="C500" i="2"/>
  <c r="C538" i="2"/>
  <c r="C746" i="2"/>
  <c r="P817" i="2"/>
  <c r="D824" i="2"/>
  <c r="E837" i="2"/>
  <c r="C871" i="2"/>
  <c r="R928" i="2"/>
  <c r="C928" i="2" s="1"/>
  <c r="C95" i="2"/>
  <c r="C216" i="2"/>
  <c r="C732" i="2"/>
  <c r="C747" i="2"/>
  <c r="C799" i="2"/>
  <c r="Q817" i="2"/>
  <c r="E824" i="2"/>
  <c r="F837" i="2"/>
  <c r="M1197" i="2"/>
  <c r="C154" i="2"/>
  <c r="E849" i="2"/>
  <c r="C872" i="2"/>
  <c r="M1198" i="2"/>
  <c r="B161" i="1"/>
  <c r="F184" i="1"/>
  <c r="F172" i="1"/>
  <c r="T899" i="2"/>
  <c r="K836" i="2"/>
  <c r="K823" i="2"/>
  <c r="K848" i="2"/>
  <c r="B237" i="2"/>
  <c r="T136" i="2"/>
  <c r="C965" i="1"/>
  <c r="C967" i="1"/>
  <c r="B50" i="10"/>
  <c r="B128" i="10"/>
  <c r="B155" i="10"/>
  <c r="B221" i="10"/>
  <c r="BO34" i="14"/>
  <c r="I34" i="14" s="1"/>
  <c r="S129" i="9"/>
  <c r="AC126" i="9"/>
  <c r="P53" i="9"/>
  <c r="M685" i="9" s="1"/>
  <c r="W914" i="2"/>
  <c r="R899" i="2"/>
  <c r="C899" i="2" s="1"/>
  <c r="R657" i="2"/>
  <c r="C657" i="2" s="1"/>
  <c r="B236" i="2"/>
  <c r="G426" i="1"/>
  <c r="B417" i="1"/>
  <c r="C281" i="1"/>
  <c r="C564" i="1"/>
  <c r="C680" i="1"/>
  <c r="C713" i="1"/>
  <c r="C594" i="1"/>
  <c r="C617" i="1"/>
  <c r="I143" i="8"/>
  <c r="AO45" i="10"/>
  <c r="BV134" i="14"/>
  <c r="DB34" i="14"/>
  <c r="DB35" i="14"/>
  <c r="BV137" i="14"/>
  <c r="DC34" i="14"/>
  <c r="DC35" i="14"/>
  <c r="BV138" i="14"/>
  <c r="DC36" i="14"/>
  <c r="DB36" i="14"/>
  <c r="DC37" i="14"/>
  <c r="CH131" i="14"/>
  <c r="BW131" i="14"/>
  <c r="CF129" i="14"/>
  <c r="BW134" i="14"/>
  <c r="BV128" i="14"/>
  <c r="CI130" i="14"/>
  <c r="CN127" i="14"/>
  <c r="CD128" i="14"/>
  <c r="BY130" i="14"/>
  <c r="CS128" i="14"/>
  <c r="CH127" i="14"/>
  <c r="CE128" i="14"/>
  <c r="BZ130" i="14"/>
  <c r="CB128" i="14"/>
  <c r="BV129" i="14"/>
  <c r="BY131" i="14"/>
  <c r="CB127" i="14"/>
  <c r="CG131" i="14"/>
  <c r="CF128" i="14"/>
  <c r="CA130" i="14"/>
  <c r="DB37" i="14"/>
  <c r="CB129" i="14"/>
  <c r="CB131" i="14"/>
  <c r="BV127" i="14"/>
  <c r="CI131" i="14"/>
  <c r="BW129" i="14"/>
  <c r="CC130" i="14"/>
  <c r="DB38" i="14"/>
  <c r="CN131" i="14"/>
  <c r="CA131" i="14"/>
  <c r="CS131" i="14"/>
  <c r="BY129" i="14"/>
  <c r="CE130" i="14"/>
  <c r="CM131" i="14"/>
  <c r="CC129" i="14"/>
  <c r="CO128" i="14"/>
  <c r="CM130" i="14"/>
  <c r="CK131" i="14"/>
  <c r="CO131" i="14"/>
  <c r="CD129" i="14"/>
  <c r="CP128" i="14"/>
  <c r="CO130" i="14"/>
  <c r="BV131" i="14"/>
  <c r="CP131" i="14"/>
  <c r="CE129" i="14"/>
  <c r="CQ128" i="14"/>
  <c r="CP130" i="14"/>
  <c r="CG128" i="14"/>
  <c r="CQ131" i="14"/>
  <c r="BX130" i="14"/>
  <c r="CR128" i="14"/>
  <c r="CQ130" i="14"/>
  <c r="BV135" i="14"/>
  <c r="BX131" i="14"/>
  <c r="CD130" i="14"/>
  <c r="CI129" i="14"/>
  <c r="CR130" i="14"/>
  <c r="CF131" i="14"/>
  <c r="CF130" i="14"/>
  <c r="CJ129" i="14"/>
  <c r="CS130" i="14"/>
  <c r="BW135" i="14"/>
  <c r="CJ131" i="14"/>
  <c r="CL129" i="14"/>
  <c r="BW137" i="14"/>
  <c r="CD131" i="14"/>
  <c r="CC128" i="14"/>
  <c r="CN129" i="14"/>
  <c r="CE131" i="14"/>
  <c r="BX129" i="14"/>
  <c r="BW138" i="14"/>
  <c r="CG129" i="14"/>
  <c r="CL131" i="14"/>
  <c r="BZ129" i="14"/>
  <c r="CI128" i="14"/>
  <c r="CS129" i="14"/>
  <c r="CA129" i="14"/>
  <c r="CJ128" i="14"/>
  <c r="DC38" i="14"/>
  <c r="BV130" i="14"/>
  <c r="CK128" i="14"/>
  <c r="CB130" i="14"/>
  <c r="BW128" i="14"/>
  <c r="CL128" i="14"/>
  <c r="CN130" i="14"/>
  <c r="BY128" i="14"/>
  <c r="CG130" i="14"/>
  <c r="CK129" i="14"/>
  <c r="M274" i="8"/>
  <c r="I976" i="8"/>
  <c r="M257" i="8" s="1"/>
  <c r="V772" i="1"/>
  <c r="C258" i="2"/>
  <c r="C259" i="2" s="1"/>
  <c r="AA126" i="9"/>
  <c r="G253" i="4"/>
  <c r="K828" i="2"/>
  <c r="R682" i="2"/>
  <c r="C682" i="2" s="1"/>
  <c r="R649" i="2"/>
  <c r="C649" i="2" s="1"/>
  <c r="B235" i="2"/>
  <c r="C574" i="1"/>
  <c r="C291" i="1"/>
  <c r="B330" i="1"/>
  <c r="C519" i="1"/>
  <c r="C815" i="1"/>
  <c r="C853" i="1"/>
  <c r="C497" i="1"/>
  <c r="C527" i="1"/>
  <c r="C870" i="1"/>
  <c r="G353" i="10"/>
  <c r="R1075" i="2"/>
  <c r="D1237" i="2"/>
  <c r="D1175" i="2"/>
  <c r="D1229" i="2"/>
  <c r="D1233" i="2"/>
  <c r="D1243" i="2"/>
  <c r="D1119" i="2"/>
  <c r="B701" i="2"/>
  <c r="V685" i="2"/>
  <c r="B711" i="2"/>
  <c r="AE28" i="14"/>
  <c r="AE52" i="14"/>
  <c r="AE97" i="14"/>
  <c r="AE104" i="14"/>
  <c r="AE83" i="14"/>
  <c r="AE90" i="14"/>
  <c r="AE98" i="14"/>
  <c r="AE84" i="14"/>
  <c r="AE100" i="14"/>
  <c r="AE88" i="14"/>
  <c r="AE89" i="14"/>
  <c r="AE102" i="14"/>
  <c r="AE92" i="14"/>
  <c r="AE37" i="14"/>
  <c r="AE95" i="14"/>
  <c r="AE103" i="14"/>
  <c r="N460" i="8"/>
  <c r="X3" i="14"/>
  <c r="AM54" i="10"/>
  <c r="K46" i="10"/>
  <c r="AJ147" i="10"/>
  <c r="AJ144" i="10"/>
  <c r="AJ149" i="10" s="1"/>
  <c r="H149" i="10" s="1"/>
  <c r="W128" i="9"/>
  <c r="Z126" i="9"/>
  <c r="F253" i="4"/>
  <c r="D206" i="4"/>
  <c r="C295" i="1"/>
  <c r="C630" i="1"/>
  <c r="C631" i="1"/>
  <c r="C593" i="1"/>
  <c r="C679" i="1"/>
  <c r="C712" i="1"/>
  <c r="C563" i="1"/>
  <c r="M97" i="10"/>
  <c r="N97" i="10"/>
  <c r="P202" i="10"/>
  <c r="H97" i="10"/>
  <c r="Q202" i="10"/>
  <c r="R202" i="10"/>
  <c r="Q97" i="10"/>
  <c r="S202" i="10"/>
  <c r="D317" i="1"/>
  <c r="M316" i="1" s="1"/>
  <c r="AE189" i="1"/>
  <c r="AE176" i="1"/>
  <c r="AE190" i="1"/>
  <c r="E359" i="10"/>
  <c r="P1081" i="2"/>
  <c r="D345" i="10"/>
  <c r="Y126" i="9"/>
  <c r="F131" i="9"/>
  <c r="T131" i="9" s="1"/>
  <c r="X125" i="9" s="1"/>
  <c r="E313" i="12"/>
  <c r="E307" i="12"/>
  <c r="E301" i="12"/>
  <c r="D265" i="12"/>
  <c r="E245" i="12"/>
  <c r="E233" i="12"/>
  <c r="C176" i="12"/>
  <c r="D27" i="4"/>
  <c r="C1052" i="2"/>
  <c r="R914" i="2"/>
  <c r="C914" i="2" s="1"/>
  <c r="C705" i="2"/>
  <c r="B688" i="2"/>
  <c r="G230" i="2"/>
  <c r="C189" i="2"/>
  <c r="R178" i="2"/>
  <c r="C178" i="2" s="1"/>
  <c r="R181" i="2"/>
  <c r="C181" i="2" s="1"/>
  <c r="R658" i="2"/>
  <c r="C658" i="2" s="1"/>
  <c r="R663" i="2"/>
  <c r="C663" i="2" s="1"/>
  <c r="R146" i="2"/>
  <c r="C146" i="2" s="1"/>
  <c r="R723" i="2"/>
  <c r="C723" i="2" s="1"/>
  <c r="AA1092" i="2"/>
  <c r="K382" i="2"/>
  <c r="K406" i="2"/>
  <c r="J1175" i="1"/>
  <c r="C723" i="1"/>
  <c r="B260" i="1"/>
  <c r="B302" i="1"/>
  <c r="C626" i="1"/>
  <c r="B329" i="1"/>
  <c r="C689" i="1"/>
  <c r="C1207" i="2"/>
  <c r="C1219" i="2"/>
  <c r="C1197" i="2"/>
  <c r="C1206" i="2"/>
  <c r="C1259" i="2"/>
  <c r="C1263" i="2"/>
  <c r="C1267" i="2"/>
  <c r="C1271" i="2"/>
  <c r="C1275" i="2"/>
  <c r="C1175" i="2"/>
  <c r="C1229" i="2"/>
  <c r="C1233" i="2"/>
  <c r="C1237" i="2"/>
  <c r="C1255" i="2"/>
  <c r="C1220" i="2"/>
  <c r="C1238" i="2"/>
  <c r="C1260" i="2"/>
  <c r="C1264" i="2"/>
  <c r="C1268" i="2"/>
  <c r="C1272" i="2"/>
  <c r="C1276" i="2"/>
  <c r="C1254" i="2"/>
  <c r="C1230" i="2"/>
  <c r="C1234" i="2"/>
  <c r="C1256" i="2"/>
  <c r="CM129" i="14"/>
  <c r="U1115" i="2"/>
  <c r="H181" i="15"/>
  <c r="BX128" i="14"/>
  <c r="Y127" i="9"/>
  <c r="AC128" i="9"/>
  <c r="AC129" i="9"/>
  <c r="AB127" i="9"/>
  <c r="W126" i="9"/>
  <c r="C68" i="3"/>
  <c r="J44" i="3"/>
  <c r="C6" i="3"/>
  <c r="D307" i="12"/>
  <c r="E297" i="12"/>
  <c r="D245" i="12"/>
  <c r="D37" i="4"/>
  <c r="D1281" i="2"/>
  <c r="B1070" i="2"/>
  <c r="C727" i="2"/>
  <c r="R662" i="2"/>
  <c r="C662" i="2" s="1"/>
  <c r="T648" i="2"/>
  <c r="C530" i="2"/>
  <c r="C188" i="2"/>
  <c r="R148" i="2"/>
  <c r="C148" i="2" s="1"/>
  <c r="C150" i="2"/>
  <c r="C213" i="2"/>
  <c r="C257" i="2"/>
  <c r="O309" i="2"/>
  <c r="C700" i="2"/>
  <c r="D268" i="2"/>
  <c r="C439" i="2"/>
  <c r="C475" i="2" s="1"/>
  <c r="C489" i="2" s="1"/>
  <c r="C525" i="2"/>
  <c r="C730" i="2"/>
  <c r="R745" i="2"/>
  <c r="C758" i="2"/>
  <c r="C701" i="2"/>
  <c r="C152" i="2"/>
  <c r="C787" i="2"/>
  <c r="C153" i="2"/>
  <c r="C183" i="2"/>
  <c r="C496" i="2"/>
  <c r="C184" i="2"/>
  <c r="C541" i="2"/>
  <c r="C621" i="2"/>
  <c r="C750" i="2"/>
  <c r="C280" i="1"/>
  <c r="B328" i="1"/>
  <c r="C562" i="1"/>
  <c r="C711" i="1"/>
  <c r="C592" i="1"/>
  <c r="C615" i="1"/>
  <c r="H154" i="10"/>
  <c r="CM128" i="14"/>
  <c r="AA176" i="1"/>
  <c r="AZ32" i="14"/>
  <c r="AZ34" i="14"/>
  <c r="AZ116" i="14"/>
  <c r="AA129" i="9"/>
  <c r="AB129" i="9"/>
  <c r="AA127" i="9"/>
  <c r="U126" i="9"/>
  <c r="J117" i="9"/>
  <c r="E312" i="12"/>
  <c r="E300" i="12"/>
  <c r="E264" i="12"/>
  <c r="D111" i="4"/>
  <c r="D52" i="4"/>
  <c r="D42" i="4"/>
  <c r="F842" i="2"/>
  <c r="F824" i="2"/>
  <c r="C763" i="2"/>
  <c r="C726" i="2"/>
  <c r="B662" i="2"/>
  <c r="C546" i="2"/>
  <c r="C453" i="2"/>
  <c r="C210" i="2"/>
  <c r="B257" i="2"/>
  <c r="B525" i="2"/>
  <c r="B758" i="2"/>
  <c r="B787" i="2"/>
  <c r="B496" i="2"/>
  <c r="B475" i="2"/>
  <c r="B130" i="2"/>
  <c r="B647" i="2"/>
  <c r="B97" i="2"/>
  <c r="B82" i="2"/>
  <c r="B636" i="2"/>
  <c r="B797" i="2"/>
  <c r="B109" i="2"/>
  <c r="B590" i="2"/>
  <c r="B373" i="2"/>
  <c r="B510" i="2"/>
  <c r="B527" i="2"/>
  <c r="B598" i="2"/>
  <c r="B614" i="2"/>
  <c r="B760" i="2"/>
  <c r="B772" i="2"/>
  <c r="B218" i="2"/>
  <c r="B477" i="2"/>
  <c r="B498" i="2"/>
  <c r="C34" i="1"/>
  <c r="C709" i="1"/>
  <c r="G357" i="10"/>
  <c r="B41" i="10"/>
  <c r="CN128" i="14"/>
  <c r="AE94" i="14"/>
  <c r="B16" i="8"/>
  <c r="B303" i="8" s="1"/>
  <c r="C523" i="8"/>
  <c r="Z129" i="9"/>
  <c r="Z127" i="9"/>
  <c r="S126" i="9"/>
  <c r="C26" i="3"/>
  <c r="E290" i="12"/>
  <c r="E244" i="12"/>
  <c r="E238" i="12"/>
  <c r="E232" i="12"/>
  <c r="E226" i="12"/>
  <c r="H182" i="12"/>
  <c r="D134" i="4"/>
  <c r="D26" i="4"/>
  <c r="E842" i="2"/>
  <c r="F836" i="2"/>
  <c r="F823" i="2"/>
  <c r="F848" i="2"/>
  <c r="F841" i="2"/>
  <c r="C762" i="2"/>
  <c r="B693" i="2"/>
  <c r="C624" i="2"/>
  <c r="C529" i="2"/>
  <c r="B635" i="2"/>
  <c r="B796" i="2"/>
  <c r="B108" i="2"/>
  <c r="B589" i="2"/>
  <c r="B372" i="2"/>
  <c r="B509" i="2"/>
  <c r="B526" i="2"/>
  <c r="B597" i="2"/>
  <c r="B613" i="2"/>
  <c r="B759" i="2"/>
  <c r="B771" i="2"/>
  <c r="B23" i="2"/>
  <c r="B440" i="2"/>
  <c r="B703" i="2"/>
  <c r="B788" i="2"/>
  <c r="B734" i="2"/>
  <c r="B996" i="1"/>
  <c r="C848" i="1"/>
  <c r="C616" i="1"/>
  <c r="K428" i="1"/>
  <c r="E279" i="1"/>
  <c r="C546" i="1"/>
  <c r="C669" i="1"/>
  <c r="C576" i="1"/>
  <c r="C606" i="1" s="1"/>
  <c r="C701" i="1"/>
  <c r="H202" i="10"/>
  <c r="X165" i="10"/>
  <c r="X164" i="10"/>
  <c r="Z164" i="10" s="1"/>
  <c r="X59" i="10"/>
  <c r="CC131" i="14"/>
  <c r="CH128" i="14"/>
  <c r="P386" i="10"/>
  <c r="I1168" i="2"/>
  <c r="Y129" i="9"/>
  <c r="X127" i="9"/>
  <c r="R126" i="9"/>
  <c r="E296" i="12"/>
  <c r="R1079" i="2"/>
  <c r="D842" i="2"/>
  <c r="T686" i="2"/>
  <c r="C623" i="2"/>
  <c r="C545" i="2"/>
  <c r="C501" i="2"/>
  <c r="C209" i="2"/>
  <c r="C999" i="1"/>
  <c r="C892" i="1"/>
  <c r="Q477" i="1"/>
  <c r="B327" i="1"/>
  <c r="C484" i="1"/>
  <c r="C687" i="1"/>
  <c r="B532" i="1"/>
  <c r="B196" i="1"/>
  <c r="B902" i="1"/>
  <c r="B891" i="1"/>
  <c r="B919" i="1"/>
  <c r="B930" i="1" s="1"/>
  <c r="G202" i="10"/>
  <c r="C260" i="2"/>
  <c r="F67" i="2"/>
  <c r="H67" i="2" s="1"/>
  <c r="J67" i="2"/>
  <c r="BZ131" i="14"/>
  <c r="AB128" i="9"/>
  <c r="X129" i="9"/>
  <c r="W127" i="9"/>
  <c r="Q126" i="9"/>
  <c r="N43" i="12"/>
  <c r="D51" i="4"/>
  <c r="D41" i="4"/>
  <c r="C1180" i="2"/>
  <c r="R896" i="2"/>
  <c r="C896" i="2" s="1"/>
  <c r="C1063" i="2"/>
  <c r="K841" i="2"/>
  <c r="F818" i="2"/>
  <c r="J298" i="2"/>
  <c r="T145" i="2"/>
  <c r="T690" i="2"/>
  <c r="T695" i="2"/>
  <c r="T129" i="2"/>
  <c r="T646" i="2"/>
  <c r="T176" i="2"/>
  <c r="T680" i="2"/>
  <c r="Z1108" i="2"/>
  <c r="R158" i="2"/>
  <c r="C158" i="2" s="1"/>
  <c r="R222" i="2"/>
  <c r="C222" i="2" s="1"/>
  <c r="R514" i="2"/>
  <c r="C514" i="2" s="1"/>
  <c r="R710" i="2"/>
  <c r="C710" i="2" s="1"/>
  <c r="R776" i="2"/>
  <c r="C776" i="2" s="1"/>
  <c r="R101" i="2"/>
  <c r="C101" i="2" s="1"/>
  <c r="R193" i="2"/>
  <c r="C193" i="2" s="1"/>
  <c r="C20" i="2"/>
  <c r="R739" i="2"/>
  <c r="C739" i="2" s="1"/>
  <c r="R711" i="2"/>
  <c r="C711" i="2" s="1"/>
  <c r="R630" i="2"/>
  <c r="C630" i="2" s="1"/>
  <c r="R643" i="2"/>
  <c r="C643" i="2" s="1"/>
  <c r="B918" i="1"/>
  <c r="B939" i="1"/>
  <c r="C477" i="1"/>
  <c r="I72" i="2"/>
  <c r="I587" i="2"/>
  <c r="D738" i="2"/>
  <c r="CR131" i="14"/>
  <c r="Q62" i="11"/>
  <c r="AE85" i="14"/>
  <c r="AE32" i="14"/>
  <c r="G43" i="10"/>
  <c r="K1197" i="2"/>
  <c r="B1000" i="2"/>
  <c r="J131" i="9"/>
  <c r="X131" i="9" s="1"/>
  <c r="T125" i="9" s="1"/>
  <c r="E289" i="12"/>
  <c r="E283" i="12"/>
  <c r="E262" i="12"/>
  <c r="E249" i="12"/>
  <c r="E243" i="12"/>
  <c r="Z1101" i="2"/>
  <c r="E818" i="2"/>
  <c r="C800" i="2"/>
  <c r="E558" i="2"/>
  <c r="C464" i="2"/>
  <c r="R140" i="2"/>
  <c r="C140" i="2" s="1"/>
  <c r="B646" i="2"/>
  <c r="B680" i="2"/>
  <c r="E64" i="2"/>
  <c r="B879" i="1"/>
  <c r="B863" i="1"/>
  <c r="C476" i="1"/>
  <c r="B300" i="1"/>
  <c r="AE460" i="2"/>
  <c r="AE458" i="2"/>
  <c r="AE463" i="2"/>
  <c r="AE465" i="2"/>
  <c r="AE467" i="2"/>
  <c r="AE461" i="2"/>
  <c r="AE457" i="2"/>
  <c r="AE462" i="2"/>
  <c r="AE456" i="2"/>
  <c r="AE459" i="2"/>
  <c r="Q60" i="11"/>
  <c r="B304" i="2"/>
  <c r="C596" i="1"/>
  <c r="Z220" i="1"/>
  <c r="AY119" i="14"/>
  <c r="N459" i="8"/>
  <c r="AI144" i="10"/>
  <c r="AI149" i="10" s="1"/>
  <c r="G149" i="10" s="1"/>
  <c r="AI147" i="10"/>
  <c r="D739" i="1"/>
  <c r="J654" i="1"/>
  <c r="G665" i="8"/>
  <c r="C224" i="10"/>
  <c r="G667" i="8"/>
  <c r="D462" i="8" s="1"/>
  <c r="D1195" i="2" s="1"/>
  <c r="O1195" i="2" s="1"/>
  <c r="F39" i="1"/>
  <c r="C225" i="10"/>
  <c r="G39" i="1"/>
  <c r="E683" i="8"/>
  <c r="O1193" i="2"/>
  <c r="H39" i="1"/>
  <c r="J101" i="12"/>
  <c r="D204" i="1"/>
  <c r="AD32" i="14"/>
  <c r="AE82" i="14"/>
  <c r="AD82" i="14"/>
  <c r="AQ121" i="14"/>
  <c r="AY121" i="14"/>
  <c r="AR121" i="14"/>
  <c r="AS121" i="14" s="1"/>
  <c r="L1188" i="2"/>
  <c r="L1187" i="2"/>
  <c r="L1186" i="2"/>
  <c r="L1185" i="2"/>
  <c r="L1184" i="2"/>
  <c r="L1189" i="2"/>
  <c r="C983" i="2"/>
  <c r="C25" i="11"/>
  <c r="I152" i="8"/>
  <c r="E153" i="8"/>
  <c r="J103" i="12"/>
  <c r="AY104" i="14"/>
  <c r="AY103" i="14"/>
  <c r="AY102" i="14"/>
  <c r="AY101" i="14"/>
  <c r="AY100" i="14"/>
  <c r="AY36" i="14"/>
  <c r="AY115" i="14"/>
  <c r="AY114" i="14"/>
  <c r="AY37" i="14"/>
  <c r="AY34" i="14"/>
  <c r="AY32" i="14"/>
  <c r="AY28" i="14"/>
  <c r="AE96" i="14"/>
  <c r="AG189" i="1"/>
  <c r="C292" i="1"/>
  <c r="E153" i="1"/>
  <c r="C146" i="10"/>
  <c r="C122" i="10"/>
  <c r="D516" i="8"/>
  <c r="P1288" i="2"/>
  <c r="V573" i="1"/>
  <c r="V568" i="1"/>
  <c r="V562" i="1"/>
  <c r="AH210" i="1"/>
  <c r="AH211" i="1" s="1"/>
  <c r="T230" i="2" s="1"/>
  <c r="AZ122" i="14"/>
  <c r="AR122" i="14"/>
  <c r="AS122" i="14" s="1"/>
  <c r="R1073" i="2"/>
  <c r="J102" i="12"/>
  <c r="AE34" i="14"/>
  <c r="AI231" i="10"/>
  <c r="Z126" i="10"/>
  <c r="D126" i="10"/>
  <c r="T906" i="2"/>
  <c r="C884" i="2"/>
  <c r="J173" i="12"/>
  <c r="H177" i="15"/>
  <c r="BP34" i="14"/>
  <c r="J34" i="14" s="1"/>
  <c r="G204" i="4"/>
  <c r="J204" i="4" s="1"/>
  <c r="G205" i="4"/>
  <c r="J205" i="4" s="1"/>
  <c r="G206" i="4"/>
  <c r="J206" i="4" s="1"/>
  <c r="G208" i="4"/>
  <c r="J208" i="4" s="1"/>
  <c r="G209" i="4"/>
  <c r="J209" i="4" s="1"/>
  <c r="AE35" i="14"/>
  <c r="AE86" i="14"/>
  <c r="AD86" i="14"/>
  <c r="L93" i="10"/>
  <c r="L95" i="10"/>
  <c r="X8" i="14"/>
  <c r="X5" i="14"/>
  <c r="E6" i="1"/>
  <c r="W566" i="1"/>
  <c r="C17" i="2"/>
  <c r="E158" i="8"/>
  <c r="E160" i="8" s="1"/>
  <c r="T208" i="1"/>
  <c r="T216" i="1"/>
  <c r="V216" i="1" s="1"/>
  <c r="T209" i="1"/>
  <c r="V209" i="1" s="1"/>
  <c r="T217" i="1"/>
  <c r="V217" i="1" s="1"/>
  <c r="T210" i="1"/>
  <c r="V210" i="1" s="1"/>
  <c r="T218" i="1"/>
  <c r="V218" i="1" s="1"/>
  <c r="AE55" i="14"/>
  <c r="AE91" i="14"/>
  <c r="AD91" i="14"/>
  <c r="C35" i="10"/>
  <c r="H171" i="15"/>
  <c r="H179" i="15"/>
  <c r="AE54" i="14"/>
  <c r="AD54" i="14"/>
  <c r="AR112" i="14"/>
  <c r="AS112" i="14" s="1"/>
  <c r="AY112" i="14"/>
  <c r="H178" i="15"/>
  <c r="H170" i="15"/>
  <c r="AR113" i="14"/>
  <c r="AS113" i="14" s="1"/>
  <c r="AY113" i="14"/>
  <c r="AQ113" i="14"/>
  <c r="AN42" i="10"/>
  <c r="B1097" i="1"/>
  <c r="P376" i="10" s="1"/>
  <c r="Q531" i="1"/>
  <c r="S213" i="1"/>
  <c r="U213" i="1" s="1"/>
  <c r="S214" i="1"/>
  <c r="U214" i="1" s="1"/>
  <c r="S215" i="1"/>
  <c r="U215" i="1" s="1"/>
  <c r="P326" i="1"/>
  <c r="P319" i="1"/>
  <c r="P327" i="1"/>
  <c r="P328" i="1"/>
  <c r="P329" i="1"/>
  <c r="P330" i="1"/>
  <c r="P320" i="1"/>
  <c r="P321" i="1"/>
  <c r="P322" i="1"/>
  <c r="P324" i="1"/>
  <c r="AE56" i="14"/>
  <c r="B1176" i="1"/>
  <c r="AN193" i="1"/>
  <c r="J1173" i="1"/>
  <c r="AQ28" i="14"/>
  <c r="AR28" i="14"/>
  <c r="AS28" i="14" s="1"/>
  <c r="E7" i="1"/>
  <c r="BP683" i="1"/>
  <c r="BY683" i="1" s="1"/>
  <c r="AH214" i="1"/>
  <c r="M32" i="2"/>
  <c r="AD103" i="14"/>
  <c r="AD94" i="14"/>
  <c r="AD84" i="14"/>
  <c r="AE122" i="14"/>
  <c r="AD122" i="14"/>
  <c r="I1126" i="2"/>
  <c r="AE101" i="14"/>
  <c r="AD101" i="14"/>
  <c r="P61" i="4"/>
  <c r="P74" i="4"/>
  <c r="Q96" i="4"/>
  <c r="P87" i="4"/>
  <c r="Y188" i="1"/>
  <c r="E344" i="10"/>
  <c r="L1179" i="2"/>
  <c r="T62" i="11"/>
  <c r="L1194" i="2"/>
  <c r="L1193" i="2"/>
  <c r="L1192" i="2"/>
  <c r="W75" i="10"/>
  <c r="W69" i="10"/>
  <c r="W182" i="10"/>
  <c r="W173" i="10"/>
  <c r="W74" i="10"/>
  <c r="W68" i="10"/>
  <c r="Y189" i="1"/>
  <c r="W189" i="1" s="1"/>
  <c r="W183" i="10"/>
  <c r="E183" i="10" s="1"/>
  <c r="AR36" i="14"/>
  <c r="AS36" i="14" s="1"/>
  <c r="G16" i="14"/>
  <c r="H41" i="1" s="1"/>
  <c r="E16" i="14"/>
  <c r="F41" i="1" s="1"/>
  <c r="X569" i="1"/>
  <c r="X566" i="1"/>
  <c r="X563" i="1"/>
  <c r="X571" i="1"/>
  <c r="X573" i="1"/>
  <c r="X572" i="1"/>
  <c r="X565" i="1"/>
  <c r="V641" i="1" s="1"/>
  <c r="X567" i="1"/>
  <c r="X570" i="1"/>
  <c r="V646" i="1" s="1"/>
  <c r="X562" i="1"/>
  <c r="X564" i="1"/>
  <c r="F1177" i="2"/>
  <c r="F1180" i="2"/>
  <c r="F1182" i="2"/>
  <c r="E1180" i="2"/>
  <c r="N1180" i="2" s="1"/>
  <c r="N1181" i="2"/>
  <c r="E1177" i="2"/>
  <c r="R19" i="1"/>
  <c r="I32" i="15" s="1"/>
  <c r="U19" i="1"/>
  <c r="I35" i="15" s="1"/>
  <c r="G24" i="14"/>
  <c r="H49" i="1" s="1"/>
  <c r="E24" i="14"/>
  <c r="F49" i="1" s="1"/>
  <c r="Y179" i="10"/>
  <c r="L1181" i="2"/>
  <c r="S10" i="2"/>
  <c r="E32" i="14"/>
  <c r="F57" i="1" s="1"/>
  <c r="G32" i="14"/>
  <c r="H57" i="1" s="1"/>
  <c r="R60" i="11"/>
  <c r="R59" i="11"/>
  <c r="R62" i="11"/>
  <c r="Y573" i="1"/>
  <c r="C849" i="8"/>
  <c r="M33" i="2"/>
  <c r="G41" i="14"/>
  <c r="H66" i="1" s="1"/>
  <c r="E41" i="14"/>
  <c r="F66" i="1" s="1"/>
  <c r="Y564" i="1"/>
  <c r="Y572" i="1"/>
  <c r="Y569" i="1"/>
  <c r="Y566" i="1"/>
  <c r="Y563" i="1"/>
  <c r="Y571" i="1"/>
  <c r="Y562" i="1"/>
  <c r="Y567" i="1"/>
  <c r="E118" i="14"/>
  <c r="F143" i="1" s="1"/>
  <c r="G118" i="14"/>
  <c r="H143" i="1" s="1"/>
  <c r="E50" i="14"/>
  <c r="F75" i="1" s="1"/>
  <c r="G50" i="14"/>
  <c r="H75" i="1" s="1"/>
  <c r="E31" i="14"/>
  <c r="F56" i="1" s="1"/>
  <c r="G31" i="14"/>
  <c r="H56" i="1" s="1"/>
  <c r="G1080" i="1"/>
  <c r="E860" i="8"/>
  <c r="C860" i="8"/>
  <c r="C846" i="8"/>
  <c r="C847" i="8"/>
  <c r="N22" i="11"/>
  <c r="C169" i="4"/>
  <c r="C159" i="4"/>
  <c r="C149" i="4"/>
  <c r="C143" i="4"/>
  <c r="C137" i="4"/>
  <c r="W63" i="3"/>
  <c r="W62" i="3"/>
  <c r="E48" i="14"/>
  <c r="F73" i="1" s="1"/>
  <c r="G48" i="14"/>
  <c r="H73" i="1" s="1"/>
  <c r="D857" i="8"/>
  <c r="B990" i="1"/>
  <c r="D859" i="8"/>
  <c r="E1194" i="2"/>
  <c r="E1225" i="2"/>
  <c r="N852" i="8" s="1"/>
  <c r="E119" i="14"/>
  <c r="F144" i="1" s="1"/>
  <c r="G119" i="14"/>
  <c r="H144" i="1" s="1"/>
  <c r="AG328" i="10"/>
  <c r="Y322" i="10"/>
  <c r="Y328" i="10"/>
  <c r="AG321" i="10"/>
  <c r="O66" i="11"/>
  <c r="O67" i="11"/>
  <c r="O69" i="11"/>
  <c r="O58" i="11"/>
  <c r="O60" i="11"/>
  <c r="O61" i="11"/>
  <c r="O62" i="11"/>
  <c r="O63" i="11"/>
  <c r="O64" i="11"/>
  <c r="O65" i="11"/>
  <c r="AG327" i="10"/>
  <c r="BB13" i="3"/>
  <c r="BB21" i="3"/>
  <c r="BB29" i="3"/>
  <c r="BB37" i="3"/>
  <c r="BB45" i="3"/>
  <c r="BB7" i="3"/>
  <c r="Y324" i="10"/>
  <c r="C1070" i="1"/>
  <c r="AI678" i="1"/>
  <c r="BD678" i="1" s="1"/>
  <c r="AT678" i="1"/>
  <c r="O26" i="11"/>
  <c r="N25" i="11"/>
  <c r="B103" i="8"/>
  <c r="E871" i="8"/>
  <c r="E872" i="8"/>
  <c r="AE59" i="11"/>
  <c r="AE68" i="11"/>
  <c r="AE61" i="11"/>
  <c r="V165" i="2"/>
  <c r="V166" i="2"/>
  <c r="AN766" i="1"/>
  <c r="AN763" i="1"/>
  <c r="AN760" i="1"/>
  <c r="AN762" i="1"/>
  <c r="AN770" i="1"/>
  <c r="AN767" i="1"/>
  <c r="AN765" i="1"/>
  <c r="AN759" i="1"/>
  <c r="AN761" i="1"/>
  <c r="AN768" i="1"/>
  <c r="AN769" i="1"/>
  <c r="AN764" i="1"/>
  <c r="P529" i="8"/>
  <c r="V88" i="2"/>
  <c r="AE62" i="11"/>
  <c r="BV687" i="1"/>
  <c r="BV681" i="1"/>
  <c r="BV680" i="1"/>
  <c r="BV689" i="1"/>
  <c r="BV679" i="1"/>
  <c r="BV678" i="1"/>
  <c r="BV688" i="1"/>
  <c r="BV684" i="1"/>
  <c r="BV683" i="1"/>
  <c r="BV682" i="1"/>
  <c r="BV686" i="1"/>
  <c r="BV685" i="1"/>
  <c r="V716" i="2"/>
  <c r="V144" i="2"/>
  <c r="V660" i="2"/>
  <c r="AB648" i="1"/>
  <c r="V769" i="1"/>
  <c r="AE67" i="11"/>
  <c r="AE60" i="11"/>
  <c r="Z67" i="11"/>
  <c r="Z68" i="11"/>
  <c r="Z62" i="11"/>
  <c r="Z64" i="11"/>
  <c r="Z66" i="11"/>
  <c r="Z60" i="11"/>
  <c r="Z63" i="11"/>
  <c r="Z65" i="11"/>
  <c r="Z69" i="11"/>
  <c r="Z59" i="11"/>
  <c r="Z61" i="11"/>
  <c r="Z58" i="11"/>
  <c r="V655" i="2"/>
  <c r="AE63" i="11"/>
  <c r="V688" i="2"/>
  <c r="AE64" i="11"/>
  <c r="D535" i="8"/>
  <c r="AB644" i="1"/>
  <c r="V765" i="1"/>
  <c r="P530" i="8"/>
  <c r="AE58" i="11"/>
  <c r="V199" i="2"/>
  <c r="AE65" i="11"/>
  <c r="V604" i="2"/>
  <c r="D538" i="8"/>
  <c r="V176" i="2"/>
  <c r="V138" i="2"/>
  <c r="V171" i="2"/>
  <c r="AN627" i="1"/>
  <c r="AN626" i="1"/>
  <c r="AN617" i="1"/>
  <c r="AN616" i="1"/>
  <c r="AN624" i="1"/>
  <c r="AN619" i="1"/>
  <c r="AN623" i="1"/>
  <c r="AN621" i="1"/>
  <c r="AN620" i="1"/>
  <c r="AN618" i="1"/>
  <c r="AN625" i="1"/>
  <c r="AN622" i="1"/>
  <c r="AE66" i="11"/>
  <c r="AE69" i="11"/>
  <c r="V163" i="2"/>
  <c r="P536" i="8"/>
  <c r="AO624" i="1"/>
  <c r="AA648" i="1"/>
  <c r="AO770" i="1"/>
  <c r="AA639" i="1"/>
  <c r="AA647" i="1"/>
  <c r="AO760" i="1"/>
  <c r="AA644" i="1"/>
  <c r="AO768" i="1"/>
  <c r="AO767" i="1"/>
  <c r="AO764" i="1"/>
  <c r="AA641" i="1"/>
  <c r="AO623" i="1"/>
  <c r="AA646" i="1"/>
  <c r="AA642" i="1"/>
  <c r="P539" i="8"/>
  <c r="AA649" i="1"/>
  <c r="AO766" i="1"/>
  <c r="AA640" i="1"/>
  <c r="AO626" i="1"/>
  <c r="AO622" i="1"/>
  <c r="AO617" i="1"/>
  <c r="AA638" i="1"/>
  <c r="AO621" i="1"/>
  <c r="AA645" i="1"/>
  <c r="AO763" i="1"/>
  <c r="AO769" i="1"/>
  <c r="AO618" i="1"/>
  <c r="AO761" i="1"/>
  <c r="AO620" i="1"/>
  <c r="AO619" i="1"/>
  <c r="AA643" i="1"/>
  <c r="AO762" i="1"/>
  <c r="AO627" i="1"/>
  <c r="AO759" i="1"/>
  <c r="AO616" i="1"/>
  <c r="AO765" i="1"/>
  <c r="AO625" i="1"/>
  <c r="V761" i="1"/>
  <c r="AB640" i="1"/>
  <c r="AC67" i="11"/>
  <c r="AB239" i="1"/>
  <c r="AA239" i="1"/>
  <c r="AC68" i="11"/>
  <c r="AA240" i="1"/>
  <c r="AB240" i="1"/>
  <c r="AC62" i="11"/>
  <c r="AB234" i="1"/>
  <c r="AA234" i="1"/>
  <c r="AC64" i="11"/>
  <c r="AA236" i="1"/>
  <c r="AB236" i="1"/>
  <c r="AC66" i="11"/>
  <c r="AB238" i="1"/>
  <c r="AA238" i="1"/>
  <c r="AC60" i="11"/>
  <c r="AB232" i="1"/>
  <c r="AA232" i="1"/>
  <c r="AC63" i="11"/>
  <c r="AA235" i="1"/>
  <c r="AB235" i="1"/>
  <c r="AC65" i="11"/>
  <c r="AA237" i="1"/>
  <c r="AB237" i="1"/>
  <c r="AC69" i="11"/>
  <c r="AA241" i="1"/>
  <c r="AB241" i="1"/>
  <c r="AC59" i="11"/>
  <c r="AA231" i="1"/>
  <c r="AB231" i="1"/>
  <c r="AC61" i="11"/>
  <c r="AA233" i="1"/>
  <c r="AB233" i="1"/>
  <c r="AC58" i="11"/>
  <c r="AA230" i="1"/>
  <c r="AB230" i="1"/>
  <c r="V766" i="1"/>
  <c r="AB645" i="1"/>
  <c r="V177" i="2"/>
  <c r="V172" i="2"/>
  <c r="V178" i="2"/>
  <c r="V173" i="2"/>
  <c r="D1223" i="2" l="1"/>
  <c r="D1209" i="2"/>
  <c r="F7" i="21"/>
  <c r="F37" i="21"/>
  <c r="D1180" i="2"/>
  <c r="D1256" i="2"/>
  <c r="D1280" i="2"/>
  <c r="D1266" i="2"/>
  <c r="J824" i="2"/>
  <c r="D1283" i="2"/>
  <c r="D1261" i="2"/>
  <c r="D1275" i="2"/>
  <c r="D1206" i="2"/>
  <c r="J157" i="8"/>
  <c r="G298" i="8"/>
  <c r="M329" i="8"/>
  <c r="G297" i="8"/>
  <c r="S513" i="2"/>
  <c r="D513" i="2" s="1"/>
  <c r="P853" i="2"/>
  <c r="B925" i="2"/>
  <c r="B935" i="2" s="1"/>
  <c r="R945" i="2"/>
  <c r="B894" i="2"/>
  <c r="B921" i="2" s="1"/>
  <c r="B902" i="2"/>
  <c r="B880" i="2"/>
  <c r="O1132" i="2"/>
  <c r="D1179" i="2"/>
  <c r="O1178" i="2"/>
  <c r="I343" i="10" s="1"/>
  <c r="C39" i="2"/>
  <c r="I352" i="10"/>
  <c r="F258" i="12"/>
  <c r="F243" i="12"/>
  <c r="D303" i="12"/>
  <c r="D252" i="12"/>
  <c r="F225" i="12"/>
  <c r="F247" i="12"/>
  <c r="F237" i="12"/>
  <c r="F288" i="12"/>
  <c r="D287" i="12"/>
  <c r="D264" i="12"/>
  <c r="D248" i="12"/>
  <c r="D258" i="12"/>
  <c r="F239" i="12"/>
  <c r="F269" i="12"/>
  <c r="D239" i="12"/>
  <c r="D263" i="12"/>
  <c r="D310" i="12"/>
  <c r="F230" i="12"/>
  <c r="F275" i="12"/>
  <c r="D312" i="12"/>
  <c r="F305" i="12"/>
  <c r="F285" i="12"/>
  <c r="D277" i="12"/>
  <c r="E1188" i="2"/>
  <c r="E1186" i="2"/>
  <c r="D269" i="12"/>
  <c r="D232" i="12"/>
  <c r="D270" i="12"/>
  <c r="F314" i="12"/>
  <c r="F271" i="12"/>
  <c r="F231" i="12"/>
  <c r="D289" i="12"/>
  <c r="D275" i="12"/>
  <c r="D262" i="12"/>
  <c r="F270" i="12"/>
  <c r="D300" i="12"/>
  <c r="F232" i="12"/>
  <c r="D235" i="12"/>
  <c r="F263" i="12"/>
  <c r="D304" i="12"/>
  <c r="D257" i="12"/>
  <c r="D279" i="12"/>
  <c r="D244" i="12"/>
  <c r="D280" i="12"/>
  <c r="F304" i="12"/>
  <c r="F259" i="12"/>
  <c r="D243" i="12"/>
  <c r="D254" i="12"/>
  <c r="F292" i="12"/>
  <c r="D230" i="12"/>
  <c r="F246" i="12"/>
  <c r="F306" i="12"/>
  <c r="D251" i="12"/>
  <c r="D308" i="12"/>
  <c r="D231" i="12"/>
  <c r="D311" i="12"/>
  <c r="D296" i="12"/>
  <c r="D290" i="12"/>
  <c r="D285" i="12"/>
  <c r="F284" i="12"/>
  <c r="F244" i="12"/>
  <c r="D237" i="12"/>
  <c r="D261" i="12"/>
  <c r="D297" i="12"/>
  <c r="F272" i="12"/>
  <c r="S38" i="2"/>
  <c r="S39" i="2" s="1"/>
  <c r="Q813" i="2" s="1"/>
  <c r="D813" i="2" s="1"/>
  <c r="F233" i="12"/>
  <c r="D271" i="12"/>
  <c r="F283" i="12"/>
  <c r="D282" i="12"/>
  <c r="D259" i="12"/>
  <c r="F257" i="12"/>
  <c r="D288" i="12"/>
  <c r="O65" i="2"/>
  <c r="F65" i="2" s="1"/>
  <c r="F264" i="12"/>
  <c r="F317" i="12"/>
  <c r="D301" i="12"/>
  <c r="D276" i="12"/>
  <c r="D246" i="12"/>
  <c r="D260" i="12"/>
  <c r="F227" i="12"/>
  <c r="F289" i="12"/>
  <c r="D229" i="12"/>
  <c r="D233" i="12"/>
  <c r="F254" i="12"/>
  <c r="H352" i="10"/>
  <c r="D256" i="12"/>
  <c r="D236" i="12"/>
  <c r="I872" i="8"/>
  <c r="F872" i="8"/>
  <c r="H584" i="2"/>
  <c r="AL238" i="10"/>
  <c r="O319" i="10" s="1"/>
  <c r="AI54" i="10"/>
  <c r="AJ238" i="10"/>
  <c r="N319" i="10" s="1"/>
  <c r="D1271" i="2"/>
  <c r="L152" i="10"/>
  <c r="C821" i="1"/>
  <c r="O202" i="10"/>
  <c r="D1246" i="2"/>
  <c r="T953" i="2"/>
  <c r="D1199" i="2"/>
  <c r="E239" i="12"/>
  <c r="D1241" i="2"/>
  <c r="E237" i="12"/>
  <c r="C986" i="1"/>
  <c r="E306" i="12"/>
  <c r="D1224" i="2"/>
  <c r="T66" i="11"/>
  <c r="E275" i="12"/>
  <c r="E230" i="12"/>
  <c r="T1084" i="2"/>
  <c r="C326" i="12"/>
  <c r="E317" i="12"/>
  <c r="AN39" i="10"/>
  <c r="AN44" i="10" s="1"/>
  <c r="L44" i="10" s="1"/>
  <c r="C931" i="1"/>
  <c r="E257" i="12"/>
  <c r="D1215" i="2"/>
  <c r="T1079" i="2"/>
  <c r="T59" i="11"/>
  <c r="P98" i="10"/>
  <c r="H37" i="21"/>
  <c r="E287" i="12"/>
  <c r="D1192" i="2"/>
  <c r="Q684" i="1"/>
  <c r="AW765" i="1" s="1"/>
  <c r="D1217" i="2"/>
  <c r="O1190" i="2"/>
  <c r="C179" i="4"/>
  <c r="T58" i="11"/>
  <c r="R46" i="10"/>
  <c r="C985" i="1"/>
  <c r="E269" i="12"/>
  <c r="E270" i="12"/>
  <c r="D1236" i="2"/>
  <c r="G343" i="10"/>
  <c r="R198" i="1"/>
  <c r="R199" i="1" s="1"/>
  <c r="U62" i="11"/>
  <c r="C1041" i="8"/>
  <c r="AU54" i="10"/>
  <c r="C814" i="2"/>
  <c r="G171" i="8"/>
  <c r="E302" i="12"/>
  <c r="E261" i="12"/>
  <c r="O1198" i="2"/>
  <c r="T1085" i="2" s="1"/>
  <c r="U606" i="2"/>
  <c r="D1177" i="2"/>
  <c r="B890" i="2"/>
  <c r="D1244" i="2"/>
  <c r="D1182" i="2"/>
  <c r="AP54" i="10"/>
  <c r="N46" i="10"/>
  <c r="L1115" i="2"/>
  <c r="F68" i="21"/>
  <c r="D1250" i="2"/>
  <c r="S1063" i="2"/>
  <c r="D1198" i="2"/>
  <c r="D1220" i="2"/>
  <c r="AK147" i="10"/>
  <c r="R559" i="2"/>
  <c r="AN147" i="10"/>
  <c r="E286" i="12"/>
  <c r="E254" i="12"/>
  <c r="C812" i="2"/>
  <c r="E278" i="12"/>
  <c r="AR39" i="10"/>
  <c r="AR44" i="10" s="1"/>
  <c r="P44" i="10" s="1"/>
  <c r="E240" i="12"/>
  <c r="F67" i="15"/>
  <c r="B874" i="2"/>
  <c r="O1176" i="2"/>
  <c r="D1176" i="2" s="1"/>
  <c r="AH43" i="10"/>
  <c r="F43" i="10" s="1"/>
  <c r="AI238" i="10"/>
  <c r="D1213" i="2"/>
  <c r="E279" i="12"/>
  <c r="E229" i="12"/>
  <c r="E280" i="12"/>
  <c r="D1228" i="2"/>
  <c r="I71" i="15"/>
  <c r="C155" i="15" s="1"/>
  <c r="M155" i="15" s="1"/>
  <c r="I353" i="10"/>
  <c r="D1269" i="2"/>
  <c r="F171" i="8"/>
  <c r="E268" i="12"/>
  <c r="E294" i="12"/>
  <c r="C813" i="2"/>
  <c r="D1133" i="2"/>
  <c r="I357" i="10"/>
  <c r="B930" i="2"/>
  <c r="O154" i="10"/>
  <c r="D1253" i="2"/>
  <c r="D297" i="8"/>
  <c r="C951" i="1"/>
  <c r="O1180" i="2"/>
  <c r="T1067" i="2" s="1"/>
  <c r="AR54" i="10"/>
  <c r="P46" i="10"/>
  <c r="AQ54" i="10"/>
  <c r="O46" i="10"/>
  <c r="P400" i="8"/>
  <c r="N402" i="8"/>
  <c r="S221" i="2"/>
  <c r="U221" i="2" s="1"/>
  <c r="F433" i="8"/>
  <c r="AN144" i="10"/>
  <c r="AN149" i="10" s="1"/>
  <c r="L149" i="10" s="1"/>
  <c r="J842" i="2"/>
  <c r="U58" i="11"/>
  <c r="U64" i="11"/>
  <c r="U65" i="11"/>
  <c r="C998" i="1"/>
  <c r="D1242" i="2"/>
  <c r="J829" i="2"/>
  <c r="C1002" i="2"/>
  <c r="U59" i="11"/>
  <c r="T61" i="11"/>
  <c r="AH54" i="10"/>
  <c r="F95" i="10" s="1"/>
  <c r="E250" i="12"/>
  <c r="D1282" i="2"/>
  <c r="E251" i="12"/>
  <c r="E248" i="12"/>
  <c r="C811" i="2"/>
  <c r="H98" i="10"/>
  <c r="AS43" i="10"/>
  <c r="Q43" i="10" s="1"/>
  <c r="O1177" i="2"/>
  <c r="I342" i="10" s="1"/>
  <c r="E277" i="12"/>
  <c r="D1264" i="2"/>
  <c r="C1008" i="1"/>
  <c r="E263" i="12"/>
  <c r="E258" i="12"/>
  <c r="L97" i="10"/>
  <c r="C970" i="1"/>
  <c r="U63" i="11"/>
  <c r="E259" i="12"/>
  <c r="E225" i="12"/>
  <c r="B898" i="2"/>
  <c r="AJ43" i="10"/>
  <c r="H43" i="10" s="1"/>
  <c r="AJ39" i="10"/>
  <c r="AJ44" i="10" s="1"/>
  <c r="H44" i="10" s="1"/>
  <c r="D1230" i="2"/>
  <c r="E305" i="12"/>
  <c r="E284" i="12"/>
  <c r="E285" i="12"/>
  <c r="D1210" i="2"/>
  <c r="D1289" i="2"/>
  <c r="D20" i="10"/>
  <c r="C31" i="18"/>
  <c r="D1188" i="2"/>
  <c r="R813" i="2"/>
  <c r="D1234" i="2"/>
  <c r="E246" i="12"/>
  <c r="E260" i="12"/>
  <c r="F455" i="2"/>
  <c r="P468" i="2" s="1"/>
  <c r="AS147" i="10"/>
  <c r="AQ144" i="10"/>
  <c r="AQ149" i="10" s="1"/>
  <c r="O149" i="10" s="1"/>
  <c r="M703" i="1"/>
  <c r="D706" i="1" s="1"/>
  <c r="C1070" i="2"/>
  <c r="C946" i="1"/>
  <c r="O1182" i="2"/>
  <c r="I347" i="10" s="1"/>
  <c r="P97" i="10"/>
  <c r="AH238" i="10"/>
  <c r="R679" i="1"/>
  <c r="Z679" i="1" s="1"/>
  <c r="D1132" i="2"/>
  <c r="L154" i="10"/>
  <c r="C988" i="1"/>
  <c r="D1291" i="2"/>
  <c r="F27" i="12"/>
  <c r="Q27" i="12" s="1"/>
  <c r="J837" i="2"/>
  <c r="AR42" i="10"/>
  <c r="R45" i="2"/>
  <c r="T60" i="11"/>
  <c r="E231" i="12"/>
  <c r="C815" i="2"/>
  <c r="P658" i="1"/>
  <c r="D659" i="1" s="1"/>
  <c r="L1180" i="2"/>
  <c r="AF616" i="1"/>
  <c r="Y217" i="1"/>
  <c r="D1235" i="2"/>
  <c r="AI45" i="10"/>
  <c r="D1254" i="2"/>
  <c r="E311" i="12"/>
  <c r="E291" i="12"/>
  <c r="I340" i="10"/>
  <c r="U60" i="11"/>
  <c r="D1286" i="2"/>
  <c r="M1117" i="2"/>
  <c r="E235" i="12"/>
  <c r="C942" i="1"/>
  <c r="AN43" i="10"/>
  <c r="L43" i="10" s="1"/>
  <c r="O152" i="10"/>
  <c r="D249" i="12"/>
  <c r="D314" i="12"/>
  <c r="D302" i="12"/>
  <c r="D228" i="12"/>
  <c r="D291" i="12"/>
  <c r="D268" i="12"/>
  <c r="D226" i="12"/>
  <c r="D234" i="12"/>
  <c r="D250" i="12"/>
  <c r="D273" i="12"/>
  <c r="D225" i="12"/>
  <c r="D242" i="12"/>
  <c r="D238" i="12"/>
  <c r="D294" i="12"/>
  <c r="D306" i="12"/>
  <c r="D305" i="12"/>
  <c r="D313" i="12"/>
  <c r="D284" i="12"/>
  <c r="D240" i="12"/>
  <c r="D227" i="12"/>
  <c r="D292" i="12"/>
  <c r="D241" i="12"/>
  <c r="D293" i="12"/>
  <c r="G15" i="9"/>
  <c r="C929" i="1"/>
  <c r="L459" i="8"/>
  <c r="F1195" i="2" s="1"/>
  <c r="R66" i="2"/>
  <c r="F25" i="14"/>
  <c r="G50" i="1" s="1"/>
  <c r="I50" i="1" s="1"/>
  <c r="D743" i="1"/>
  <c r="C661" i="1"/>
  <c r="C132" i="8"/>
  <c r="C35" i="3"/>
  <c r="J33" i="3"/>
  <c r="M95" i="10"/>
  <c r="I175" i="12"/>
  <c r="I180" i="12" s="1"/>
  <c r="K180" i="12" s="1"/>
  <c r="DA36" i="14"/>
  <c r="AD29" i="14"/>
  <c r="CY37" i="14"/>
  <c r="J176" i="12"/>
  <c r="CX37" i="14"/>
  <c r="AE119" i="14"/>
  <c r="C66" i="3"/>
  <c r="D30" i="9"/>
  <c r="C171" i="8"/>
  <c r="V639" i="1"/>
  <c r="O97" i="10"/>
  <c r="H13" i="9"/>
  <c r="H180" i="12"/>
  <c r="BO688" i="1"/>
  <c r="BW688" i="1" s="1"/>
  <c r="AR34" i="14"/>
  <c r="AS34" i="14" s="1"/>
  <c r="AQ34" i="14"/>
  <c r="AE121" i="14"/>
  <c r="AF121" i="14" s="1"/>
  <c r="C996" i="1"/>
  <c r="D1251" i="2"/>
  <c r="D1211" i="2"/>
  <c r="C407" i="1"/>
  <c r="T864" i="8"/>
  <c r="E30" i="9"/>
  <c r="AA1116" i="2"/>
  <c r="R944" i="2" s="1"/>
  <c r="D944" i="2" s="1"/>
  <c r="AL63" i="3" s="1"/>
  <c r="AP238" i="10"/>
  <c r="G319" i="10" s="1"/>
  <c r="D886" i="1"/>
  <c r="F886" i="1" s="1"/>
  <c r="R560" i="2"/>
  <c r="D1273" i="2"/>
  <c r="BP686" i="1"/>
  <c r="BY686" i="1" s="1"/>
  <c r="M83" i="10"/>
  <c r="C1017" i="2"/>
  <c r="D1265" i="2"/>
  <c r="D1222" i="2"/>
  <c r="AJ54" i="10"/>
  <c r="H46" i="10"/>
  <c r="F16" i="9"/>
  <c r="C698" i="1"/>
  <c r="C1003" i="2"/>
  <c r="C1013" i="2"/>
  <c r="CZ37" i="14"/>
  <c r="I171" i="8"/>
  <c r="Q71" i="11"/>
  <c r="E265" i="8" s="1"/>
  <c r="P71" i="11"/>
  <c r="AQ119" i="14"/>
  <c r="AR119" i="14"/>
  <c r="AS119" i="14" s="1"/>
  <c r="D1184" i="2"/>
  <c r="I354" i="10"/>
  <c r="AD38" i="14"/>
  <c r="R65" i="2"/>
  <c r="O98" i="10"/>
  <c r="H68" i="2"/>
  <c r="B68" i="21"/>
  <c r="N36" i="21"/>
  <c r="N1177" i="2"/>
  <c r="H342" i="10" s="1"/>
  <c r="AR38" i="14"/>
  <c r="AS38" i="14" s="1"/>
  <c r="D1218" i="2"/>
  <c r="R73" i="2"/>
  <c r="C73" i="2" s="1"/>
  <c r="D1200" i="2"/>
  <c r="G27" i="12"/>
  <c r="R27" i="12" s="1"/>
  <c r="D1247" i="2"/>
  <c r="D1277" i="2"/>
  <c r="C406" i="1"/>
  <c r="C412" i="8"/>
  <c r="F30" i="9"/>
  <c r="R561" i="2"/>
  <c r="D1268" i="2"/>
  <c r="M54" i="10"/>
  <c r="D77" i="2"/>
  <c r="T1062" i="2"/>
  <c r="C997" i="1"/>
  <c r="E288" i="12"/>
  <c r="E273" i="12"/>
  <c r="E252" i="12"/>
  <c r="E315" i="12"/>
  <c r="E298" i="12"/>
  <c r="E309" i="12"/>
  <c r="E266" i="12"/>
  <c r="E308" i="12"/>
  <c r="E236" i="12"/>
  <c r="E292" i="12"/>
  <c r="D14" i="9"/>
  <c r="CX38" i="14"/>
  <c r="CY38" i="14"/>
  <c r="CZ35" i="14"/>
  <c r="DA35" i="14"/>
  <c r="CZ36" i="14"/>
  <c r="CX36" i="14"/>
  <c r="CZ34" i="14"/>
  <c r="DA34" i="14"/>
  <c r="DA38" i="14"/>
  <c r="CY34" i="14"/>
  <c r="CX34" i="14"/>
  <c r="CZ38" i="14"/>
  <c r="G31" i="9"/>
  <c r="CY35" i="14"/>
  <c r="E171" i="8"/>
  <c r="H32" i="9"/>
  <c r="R585" i="1"/>
  <c r="AM43" i="10"/>
  <c r="H171" i="8"/>
  <c r="T1071" i="2"/>
  <c r="D1189" i="2"/>
  <c r="L1182" i="2"/>
  <c r="AQ38" i="14"/>
  <c r="O43" i="2"/>
  <c r="P43" i="2" s="1"/>
  <c r="C72" i="10"/>
  <c r="AZ38" i="14"/>
  <c r="BA38" i="14" s="1"/>
  <c r="L1183" i="2"/>
  <c r="N1191" i="2"/>
  <c r="H356" i="10" s="1"/>
  <c r="J655" i="1"/>
  <c r="D1284" i="2"/>
  <c r="D1252" i="2"/>
  <c r="D1221" i="2"/>
  <c r="D1285" i="2"/>
  <c r="C410" i="1"/>
  <c r="H34" i="9"/>
  <c r="Y211" i="1"/>
  <c r="D527" i="1"/>
  <c r="C20" i="10"/>
  <c r="D1240" i="2"/>
  <c r="AL1118" i="2"/>
  <c r="L66" i="21"/>
  <c r="L67" i="21" s="1"/>
  <c r="C991" i="1"/>
  <c r="V335" i="10"/>
  <c r="C1006" i="2"/>
  <c r="D1259" i="2"/>
  <c r="D1260" i="2"/>
  <c r="Y209" i="1"/>
  <c r="D1196" i="2"/>
  <c r="C920" i="1"/>
  <c r="E340" i="10"/>
  <c r="D340" i="10" s="1"/>
  <c r="B1175" i="2"/>
  <c r="I1175" i="2" s="1"/>
  <c r="P1062" i="2"/>
  <c r="AE31" i="14"/>
  <c r="AD31" i="14"/>
  <c r="O581" i="2"/>
  <c r="J581" i="2" s="1"/>
  <c r="J584" i="2" s="1"/>
  <c r="C132" i="10"/>
  <c r="C151" i="10"/>
  <c r="D171" i="8"/>
  <c r="C170" i="10"/>
  <c r="G24" i="9"/>
  <c r="C1004" i="2"/>
  <c r="C1020" i="2"/>
  <c r="C1012" i="2"/>
  <c r="CY36" i="14"/>
  <c r="F26" i="14"/>
  <c r="G51" i="1" s="1"/>
  <c r="I51" i="1" s="1"/>
  <c r="J174" i="12"/>
  <c r="R581" i="2"/>
  <c r="E181" i="10"/>
  <c r="CC688" i="1"/>
  <c r="AZ113" i="14"/>
  <c r="C1001" i="1"/>
  <c r="D1214" i="2"/>
  <c r="D1258" i="2"/>
  <c r="D1212" i="2"/>
  <c r="D1219" i="2"/>
  <c r="D1203" i="2"/>
  <c r="D956" i="2"/>
  <c r="AL73" i="3" s="1"/>
  <c r="D451" i="1"/>
  <c r="D512" i="1"/>
  <c r="H14" i="9"/>
  <c r="E25" i="9"/>
  <c r="D526" i="1"/>
  <c r="E1080" i="1"/>
  <c r="K1080" i="1" s="1"/>
  <c r="D1205" i="2"/>
  <c r="E67" i="10"/>
  <c r="C1014" i="2"/>
  <c r="S458" i="2"/>
  <c r="D1248" i="2"/>
  <c r="D1279" i="2"/>
  <c r="F63" i="15"/>
  <c r="D1197" i="2"/>
  <c r="BO35" i="14"/>
  <c r="I35" i="14" s="1"/>
  <c r="BQ35" i="14"/>
  <c r="K35" i="14" s="1"/>
  <c r="H15" i="9"/>
  <c r="H30" i="9"/>
  <c r="D15" i="9"/>
  <c r="M93" i="10"/>
  <c r="AH144" i="10"/>
  <c r="AH149" i="10" s="1"/>
  <c r="F149" i="10" s="1"/>
  <c r="B904" i="2"/>
  <c r="P51" i="11"/>
  <c r="DA37" i="14"/>
  <c r="E451" i="1"/>
  <c r="S335" i="10"/>
  <c r="C1021" i="2"/>
  <c r="E341" i="10"/>
  <c r="BP689" i="1"/>
  <c r="BY689" i="1" s="1"/>
  <c r="C1001" i="2"/>
  <c r="C990" i="1"/>
  <c r="R583" i="2"/>
  <c r="D1231" i="2"/>
  <c r="D1267" i="2"/>
  <c r="D1208" i="2"/>
  <c r="D1207" i="2"/>
  <c r="D1226" i="2"/>
  <c r="J112" i="9"/>
  <c r="G22" i="9"/>
  <c r="F34" i="9"/>
  <c r="N1189" i="2"/>
  <c r="S1076" i="2" s="1"/>
  <c r="C55" i="3"/>
  <c r="D1278" i="2"/>
  <c r="L1198" i="2"/>
  <c r="Q1085" i="2" s="1"/>
  <c r="C1009" i="2"/>
  <c r="D1238" i="2"/>
  <c r="Q680" i="1"/>
  <c r="AW761" i="1" s="1"/>
  <c r="C987" i="1"/>
  <c r="C1019" i="2"/>
  <c r="F23" i="9"/>
  <c r="V647" i="1"/>
  <c r="D199" i="10"/>
  <c r="C50" i="3"/>
  <c r="F24" i="9"/>
  <c r="L1176" i="2"/>
  <c r="F341" i="10" s="1"/>
  <c r="B1074" i="2"/>
  <c r="C1000" i="1"/>
  <c r="D1276" i="2"/>
  <c r="D1262" i="2"/>
  <c r="D1272" i="2"/>
  <c r="C52" i="3"/>
  <c r="L202" i="10"/>
  <c r="D1255" i="2"/>
  <c r="D1257" i="2"/>
  <c r="T1074" i="2"/>
  <c r="O559" i="2"/>
  <c r="F559" i="2" s="1"/>
  <c r="H559" i="2" s="1"/>
  <c r="D34" i="9"/>
  <c r="F15" i="9"/>
  <c r="C1005" i="1"/>
  <c r="C1006" i="1"/>
  <c r="C43" i="3"/>
  <c r="C60" i="3" s="1"/>
  <c r="C59" i="3" s="1"/>
  <c r="D1245" i="2"/>
  <c r="M1123" i="2"/>
  <c r="E65" i="1"/>
  <c r="C1018" i="2"/>
  <c r="D1270" i="2"/>
  <c r="C993" i="1"/>
  <c r="B1064" i="2"/>
  <c r="C1064" i="2"/>
  <c r="F228" i="12"/>
  <c r="F242" i="12"/>
  <c r="F261" i="12"/>
  <c r="F287" i="12"/>
  <c r="F309" i="12"/>
  <c r="F245" i="12"/>
  <c r="F229" i="12"/>
  <c r="F262" i="12"/>
  <c r="F310" i="12"/>
  <c r="F248" i="12"/>
  <c r="F265" i="12"/>
  <c r="F290" i="12"/>
  <c r="F311" i="12"/>
  <c r="F251" i="12"/>
  <c r="F313" i="12"/>
  <c r="F273" i="12"/>
  <c r="F282" i="12"/>
  <c r="F234" i="12"/>
  <c r="F252" i="12"/>
  <c r="F286" i="12"/>
  <c r="F315" i="12"/>
  <c r="F294" i="12"/>
  <c r="F302" i="12"/>
  <c r="F253" i="12"/>
  <c r="F295" i="12"/>
  <c r="F303" i="12"/>
  <c r="F235" i="12"/>
  <c r="F256" i="12"/>
  <c r="F296" i="12"/>
  <c r="F276" i="12"/>
  <c r="F308" i="12"/>
  <c r="F278" i="12"/>
  <c r="F298" i="12"/>
  <c r="F279" i="12"/>
  <c r="F312" i="12"/>
  <c r="F260" i="12"/>
  <c r="F297" i="12"/>
  <c r="F240" i="12"/>
  <c r="F280" i="12"/>
  <c r="F300" i="12"/>
  <c r="F241" i="12"/>
  <c r="F301" i="12"/>
  <c r="F249" i="12"/>
  <c r="F250" i="12"/>
  <c r="F291" i="12"/>
  <c r="F266" i="12"/>
  <c r="F267" i="12"/>
  <c r="F268" i="12"/>
  <c r="F236" i="12"/>
  <c r="F226" i="12"/>
  <c r="F293" i="12"/>
  <c r="I1123" i="2"/>
  <c r="C1125" i="2" s="1"/>
  <c r="F1125" i="2" s="1"/>
  <c r="O1123" i="2"/>
  <c r="D1123" i="2" s="1"/>
  <c r="D1185" i="2"/>
  <c r="D1054" i="2"/>
  <c r="D1183" i="2"/>
  <c r="D1216" i="2"/>
  <c r="D1191" i="2"/>
  <c r="I350" i="10"/>
  <c r="O1181" i="2"/>
  <c r="D1204" i="2"/>
  <c r="D1194" i="2"/>
  <c r="I359" i="10"/>
  <c r="D1178" i="2"/>
  <c r="T1081" i="2"/>
  <c r="D1202" i="2"/>
  <c r="D1232" i="2"/>
  <c r="I355" i="10"/>
  <c r="T1077" i="2"/>
  <c r="O1183" i="2"/>
  <c r="T1070" i="2" s="1"/>
  <c r="L153" i="10"/>
  <c r="L156" i="10" s="1"/>
  <c r="I153" i="10"/>
  <c r="I156" i="10" s="1"/>
  <c r="N902" i="2"/>
  <c r="T955" i="2"/>
  <c r="U955" i="2" s="1"/>
  <c r="AF1115" i="2"/>
  <c r="G943" i="2" s="1"/>
  <c r="V882" i="2" s="1"/>
  <c r="D954" i="2"/>
  <c r="AL71" i="3" s="1"/>
  <c r="AP45" i="10"/>
  <c r="N48" i="10" s="1"/>
  <c r="N51" i="10" s="1"/>
  <c r="S153" i="10"/>
  <c r="S156" i="10" s="1"/>
  <c r="D952" i="2"/>
  <c r="AL69" i="3" s="1"/>
  <c r="G71" i="15"/>
  <c r="G62" i="15"/>
  <c r="D50" i="9"/>
  <c r="S50" i="9" s="1"/>
  <c r="S42" i="9"/>
  <c r="H18" i="9" s="1"/>
  <c r="D45" i="9"/>
  <c r="S45" i="9" s="1"/>
  <c r="B11" i="9" s="1"/>
  <c r="D49" i="9"/>
  <c r="S49" i="9" s="1"/>
  <c r="D44" i="9"/>
  <c r="S44" i="9" s="1"/>
  <c r="B20" i="9" s="1"/>
  <c r="D43" i="9"/>
  <c r="S43" i="9" s="1"/>
  <c r="B175" i="1"/>
  <c r="B187" i="1" s="1"/>
  <c r="B174" i="1"/>
  <c r="B186" i="1" s="1"/>
  <c r="AU42" i="10"/>
  <c r="S98" i="10"/>
  <c r="AL1125" i="2"/>
  <c r="G1056" i="8"/>
  <c r="Y218" i="1"/>
  <c r="E147" i="1"/>
  <c r="S618" i="2"/>
  <c r="S617" i="2"/>
  <c r="G1045" i="8"/>
  <c r="S188" i="10"/>
  <c r="AP233" i="10"/>
  <c r="G13" i="9"/>
  <c r="D23" i="9"/>
  <c r="H12" i="9"/>
  <c r="C607" i="1"/>
  <c r="E70" i="10"/>
  <c r="AQ39" i="10"/>
  <c r="AQ44" i="10" s="1"/>
  <c r="O44" i="10" s="1"/>
  <c r="C22" i="18"/>
  <c r="B1071" i="2"/>
  <c r="C1072" i="2"/>
  <c r="H153" i="10"/>
  <c r="H156" i="10" s="1"/>
  <c r="E69" i="1"/>
  <c r="C1078" i="2"/>
  <c r="B1077" i="2"/>
  <c r="AK686" i="1"/>
  <c r="AZ686" i="1" s="1"/>
  <c r="M50" i="8"/>
  <c r="B176" i="1"/>
  <c r="M59" i="8"/>
  <c r="N79" i="8" s="1"/>
  <c r="N80" i="8" s="1"/>
  <c r="F49" i="8"/>
  <c r="E73" i="1"/>
  <c r="D12" i="9"/>
  <c r="X82" i="10"/>
  <c r="Z82" i="10" s="1"/>
  <c r="R67" i="2"/>
  <c r="V38" i="2"/>
  <c r="Y216" i="1"/>
  <c r="R1119" i="2"/>
  <c r="I40" i="8"/>
  <c r="E31" i="9"/>
  <c r="G1052" i="8"/>
  <c r="G1066" i="8" s="1"/>
  <c r="V905" i="2"/>
  <c r="CF1133" i="2" s="1"/>
  <c r="AP232" i="10"/>
  <c r="AN232" i="10" s="1"/>
  <c r="AN233" i="10" s="1"/>
  <c r="AO233" i="10" s="1"/>
  <c r="AR232" i="10"/>
  <c r="J163" i="8"/>
  <c r="D33" i="9"/>
  <c r="G33" i="9"/>
  <c r="D25" i="9"/>
  <c r="E67" i="1"/>
  <c r="S643" i="2"/>
  <c r="U643" i="2" s="1"/>
  <c r="E77" i="10"/>
  <c r="C882" i="1"/>
  <c r="C901" i="1" s="1"/>
  <c r="R44" i="2"/>
  <c r="R582" i="2"/>
  <c r="AJ685" i="1"/>
  <c r="AX685" i="1" s="1"/>
  <c r="F70" i="15"/>
  <c r="E145" i="1"/>
  <c r="M152" i="10"/>
  <c r="M154" i="10"/>
  <c r="M203" i="10"/>
  <c r="AO147" i="10"/>
  <c r="AO144" i="10"/>
  <c r="AO149" i="10" s="1"/>
  <c r="M149" i="10" s="1"/>
  <c r="B1073" i="2"/>
  <c r="C1074" i="2"/>
  <c r="Q661" i="1"/>
  <c r="P660" i="1" s="1"/>
  <c r="D660" i="1" s="1"/>
  <c r="R649" i="1"/>
  <c r="AN1125" i="2"/>
  <c r="I737" i="9"/>
  <c r="AU39" i="10"/>
  <c r="AU44" i="10" s="1"/>
  <c r="S44" i="10" s="1"/>
  <c r="S1118" i="2"/>
  <c r="K153" i="10"/>
  <c r="K156" i="10" s="1"/>
  <c r="E72" i="1"/>
  <c r="S97" i="10"/>
  <c r="S59" i="11"/>
  <c r="S58" i="11"/>
  <c r="S66" i="11"/>
  <c r="S62" i="11"/>
  <c r="S65" i="11"/>
  <c r="S67" i="11"/>
  <c r="S63" i="11"/>
  <c r="S64" i="11"/>
  <c r="S68" i="11"/>
  <c r="S61" i="11"/>
  <c r="L1196" i="2"/>
  <c r="Q1083" i="2" s="1"/>
  <c r="P1083" i="2"/>
  <c r="K10" i="9"/>
  <c r="K11" i="9" s="1"/>
  <c r="H31" i="9"/>
  <c r="Q903" i="2"/>
  <c r="F748" i="8"/>
  <c r="F760" i="8"/>
  <c r="F705" i="8"/>
  <c r="R530" i="8" s="1"/>
  <c r="U76" i="8"/>
  <c r="F740" i="8"/>
  <c r="F439" i="8" s="1"/>
  <c r="F750" i="8"/>
  <c r="E11" i="15" s="1"/>
  <c r="P53" i="11"/>
  <c r="C23" i="18"/>
  <c r="C44" i="10"/>
  <c r="C45" i="10"/>
  <c r="C28" i="10"/>
  <c r="C19" i="10"/>
  <c r="C43" i="10"/>
  <c r="S60" i="11"/>
  <c r="AR233" i="10"/>
  <c r="B685" i="9"/>
  <c r="B712" i="9" s="1"/>
  <c r="F33" i="9"/>
  <c r="H25" i="9"/>
  <c r="H21" i="9"/>
  <c r="G12" i="9"/>
  <c r="L50" i="8"/>
  <c r="C797" i="1"/>
  <c r="Q881" i="2"/>
  <c r="M1118" i="2"/>
  <c r="AB67" i="11"/>
  <c r="AK54" i="10"/>
  <c r="I46" i="10"/>
  <c r="G1044" i="8"/>
  <c r="Q98" i="10"/>
  <c r="AS42" i="10"/>
  <c r="AS39" i="10"/>
  <c r="AS44" i="10" s="1"/>
  <c r="Q44" i="10" s="1"/>
  <c r="G1043" i="8"/>
  <c r="G1057" i="8" s="1"/>
  <c r="W278" i="1"/>
  <c r="D265" i="1" s="1"/>
  <c r="O172" i="4"/>
  <c r="L276" i="8"/>
  <c r="D285" i="8"/>
  <c r="L273" i="8"/>
  <c r="L274" i="8"/>
  <c r="C1036" i="8"/>
  <c r="L271" i="8"/>
  <c r="D283" i="8"/>
  <c r="L272" i="8"/>
  <c r="E143" i="1"/>
  <c r="E74" i="1"/>
  <c r="E144" i="1"/>
  <c r="E146" i="1"/>
  <c r="C413" i="1"/>
  <c r="I687" i="9"/>
  <c r="E75" i="1"/>
  <c r="C240" i="8"/>
  <c r="C367" i="8"/>
  <c r="E367" i="8"/>
  <c r="F279" i="8"/>
  <c r="I112" i="8"/>
  <c r="H112" i="8"/>
  <c r="E279" i="8"/>
  <c r="AU43" i="10"/>
  <c r="S776" i="2"/>
  <c r="S775" i="2"/>
  <c r="K27" i="9"/>
  <c r="X79" i="10"/>
  <c r="D79" i="10" s="1"/>
  <c r="E80" i="4" s="1"/>
  <c r="J46" i="10"/>
  <c r="AL54" i="10"/>
  <c r="C1195" i="2"/>
  <c r="M1195" i="2" s="1"/>
  <c r="G360" i="10" s="1"/>
  <c r="U169" i="2"/>
  <c r="P54" i="11"/>
  <c r="E264" i="8" s="1"/>
  <c r="C24" i="18"/>
  <c r="U738" i="2"/>
  <c r="H24" i="9"/>
  <c r="BO686" i="1"/>
  <c r="BW686" i="1" s="1"/>
  <c r="S69" i="11"/>
  <c r="F435" i="8"/>
  <c r="D16" i="9"/>
  <c r="E12" i="9"/>
  <c r="E16" i="9"/>
  <c r="D24" i="9"/>
  <c r="C786" i="1"/>
  <c r="BP678" i="1"/>
  <c r="BY678" i="1" s="1"/>
  <c r="S1115" i="2"/>
  <c r="G656" i="1"/>
  <c r="G657" i="1"/>
  <c r="G346" i="10"/>
  <c r="R1068" i="2"/>
  <c r="N203" i="10"/>
  <c r="N152" i="10"/>
  <c r="N154" i="10"/>
  <c r="AP144" i="10"/>
  <c r="AP149" i="10" s="1"/>
  <c r="N149" i="10" s="1"/>
  <c r="AP147" i="10"/>
  <c r="B1076" i="2"/>
  <c r="C1077" i="2"/>
  <c r="AT45" i="10"/>
  <c r="R48" i="10" s="1"/>
  <c r="R51" i="10" s="1"/>
  <c r="D280" i="8"/>
  <c r="E171" i="4" s="1"/>
  <c r="Q171" i="4" s="1"/>
  <c r="G171" i="4" s="1"/>
  <c r="J171" i="4" s="1"/>
  <c r="I344" i="10"/>
  <c r="O1186" i="2"/>
  <c r="T1066" i="2"/>
  <c r="D1290" i="2"/>
  <c r="D201" i="10"/>
  <c r="D203" i="10" s="1"/>
  <c r="F25" i="9"/>
  <c r="D514" i="2"/>
  <c r="E23" i="9"/>
  <c r="BD685" i="1"/>
  <c r="CC680" i="1"/>
  <c r="C26" i="18"/>
  <c r="D427" i="1"/>
  <c r="F12" i="9"/>
  <c r="G23" i="9"/>
  <c r="G21" i="9"/>
  <c r="C77" i="10"/>
  <c r="B60" i="8"/>
  <c r="C731" i="1"/>
  <c r="AJ681" i="1"/>
  <c r="AX681" i="1" s="1"/>
  <c r="R1078" i="2"/>
  <c r="S1119" i="2"/>
  <c r="B1079" i="2"/>
  <c r="C1080" i="2"/>
  <c r="K66" i="21"/>
  <c r="K69" i="21"/>
  <c r="E68" i="1"/>
  <c r="N1185" i="2"/>
  <c r="H350" i="10" s="1"/>
  <c r="K1037" i="8"/>
  <c r="K1040" i="8" s="1"/>
  <c r="G1037" i="8"/>
  <c r="M1116" i="2"/>
  <c r="E66" i="1"/>
  <c r="M17" i="2"/>
  <c r="D21" i="9"/>
  <c r="H16" i="9"/>
  <c r="C70" i="10"/>
  <c r="S122" i="2"/>
  <c r="BJ1123" i="2" s="1"/>
  <c r="Q912" i="2"/>
  <c r="C660" i="1"/>
  <c r="BO682" i="1"/>
  <c r="BW682" i="1" s="1"/>
  <c r="D172" i="2"/>
  <c r="K172" i="2" s="1"/>
  <c r="D177" i="2"/>
  <c r="K177" i="2" s="1"/>
  <c r="E623" i="1"/>
  <c r="AC645" i="1"/>
  <c r="E748" i="1"/>
  <c r="AD69" i="11"/>
  <c r="AD65" i="11"/>
  <c r="Z463" i="2" s="1"/>
  <c r="AD63" i="11"/>
  <c r="AH63" i="11" s="1"/>
  <c r="AD60" i="11"/>
  <c r="AD64" i="11"/>
  <c r="AG64" i="11" s="1"/>
  <c r="AD68" i="11"/>
  <c r="E618" i="1"/>
  <c r="AC640" i="1"/>
  <c r="E743" i="1"/>
  <c r="S163" i="2"/>
  <c r="G72" i="15"/>
  <c r="G69" i="15"/>
  <c r="S171" i="2"/>
  <c r="S138" i="2"/>
  <c r="S176" i="2"/>
  <c r="G68" i="15"/>
  <c r="G61" i="15"/>
  <c r="F530" i="8"/>
  <c r="P531" i="8"/>
  <c r="R531" i="8" s="1"/>
  <c r="E747" i="1"/>
  <c r="AC644" i="1"/>
  <c r="E622" i="1"/>
  <c r="G67" i="15"/>
  <c r="S688" i="2"/>
  <c r="G66" i="15"/>
  <c r="S655" i="2"/>
  <c r="D655" i="2" s="1"/>
  <c r="AA58" i="11"/>
  <c r="W678" i="1" s="1"/>
  <c r="AA61" i="11"/>
  <c r="W681" i="1" s="1"/>
  <c r="AS681" i="1" s="1"/>
  <c r="AA59" i="11"/>
  <c r="W679" i="1" s="1"/>
  <c r="AS679" i="1" s="1"/>
  <c r="AA69" i="11"/>
  <c r="B129" i="15" s="1"/>
  <c r="AA65" i="11"/>
  <c r="W685" i="1" s="1"/>
  <c r="BT685" i="1" s="1"/>
  <c r="AA63" i="11"/>
  <c r="B123" i="15" s="1"/>
  <c r="AA60" i="11"/>
  <c r="AA66" i="11"/>
  <c r="W686" i="1" s="1"/>
  <c r="AA64" i="11"/>
  <c r="W684" i="1" s="1"/>
  <c r="BT684" i="1" s="1"/>
  <c r="AA62" i="11"/>
  <c r="B122" i="15" s="1"/>
  <c r="AA68" i="11"/>
  <c r="W688" i="1" s="1"/>
  <c r="AA67" i="11"/>
  <c r="G63" i="15"/>
  <c r="G70" i="15"/>
  <c r="AW769" i="1"/>
  <c r="E751" i="1"/>
  <c r="AC648" i="1"/>
  <c r="AW626" i="1"/>
  <c r="E626" i="1"/>
  <c r="S660" i="2"/>
  <c r="D660" i="2" s="1"/>
  <c r="S143" i="2"/>
  <c r="G65" i="15"/>
  <c r="F529" i="8"/>
  <c r="S166" i="2"/>
  <c r="S165" i="2"/>
  <c r="D165" i="2" s="1"/>
  <c r="G64" i="15"/>
  <c r="AW766" i="1"/>
  <c r="K162" i="2"/>
  <c r="Q95" i="10"/>
  <c r="Q83" i="10"/>
  <c r="Q54" i="10"/>
  <c r="Q93" i="10"/>
  <c r="AS55" i="10"/>
  <c r="Q55" i="10" s="1"/>
  <c r="H94" i="8"/>
  <c r="H89" i="8"/>
  <c r="H97" i="8"/>
  <c r="H90" i="8"/>
  <c r="H91" i="8"/>
  <c r="H98" i="8"/>
  <c r="AB62" i="11"/>
  <c r="Q682" i="1"/>
  <c r="F65" i="15"/>
  <c r="H687" i="9"/>
  <c r="AG44" i="10"/>
  <c r="C53" i="3"/>
  <c r="C51" i="3"/>
  <c r="C36" i="3"/>
  <c r="C49" i="3"/>
  <c r="M150" i="10"/>
  <c r="M153" i="10" s="1"/>
  <c r="M156" i="10" s="1"/>
  <c r="AL26" i="14"/>
  <c r="D51" i="1" s="1"/>
  <c r="D96" i="10"/>
  <c r="K1070" i="1"/>
  <c r="J1070" i="1"/>
  <c r="C1034" i="8"/>
  <c r="C1031" i="8" s="1"/>
  <c r="AK43" i="10"/>
  <c r="I43" i="10" s="1"/>
  <c r="D156" i="10"/>
  <c r="AL144" i="10"/>
  <c r="AL149" i="10" s="1"/>
  <c r="J149" i="10" s="1"/>
  <c r="AL147" i="10"/>
  <c r="J154" i="10"/>
  <c r="J152" i="10"/>
  <c r="J203" i="10"/>
  <c r="D569" i="8"/>
  <c r="D570" i="8" s="1"/>
  <c r="E569" i="8"/>
  <c r="E570" i="8" s="1"/>
  <c r="F17" i="14"/>
  <c r="G42" i="1" s="1"/>
  <c r="I42" i="1" s="1"/>
  <c r="Y17" i="14"/>
  <c r="F18" i="14"/>
  <c r="G43" i="1" s="1"/>
  <c r="I43" i="1" s="1"/>
  <c r="Y18" i="14"/>
  <c r="F20" i="14"/>
  <c r="G45" i="1" s="1"/>
  <c r="I45" i="1" s="1"/>
  <c r="Y19" i="14"/>
  <c r="Y20" i="14"/>
  <c r="F19" i="14"/>
  <c r="G44" i="1" s="1"/>
  <c r="I44" i="1" s="1"/>
  <c r="AL17" i="14"/>
  <c r="C42" i="1" s="1"/>
  <c r="Y215" i="1"/>
  <c r="AL25" i="14"/>
  <c r="D50" i="1" s="1"/>
  <c r="AM42" i="10"/>
  <c r="K98" i="10"/>
  <c r="AM39" i="10"/>
  <c r="AM44" i="10" s="1"/>
  <c r="K44" i="10" s="1"/>
  <c r="U122" i="2"/>
  <c r="C195" i="4"/>
  <c r="C45" i="4"/>
  <c r="C132" i="4"/>
  <c r="C32" i="4"/>
  <c r="K170" i="2"/>
  <c r="AJ159" i="10"/>
  <c r="H151" i="10"/>
  <c r="H100" i="8"/>
  <c r="V85" i="3"/>
  <c r="D60" i="3" s="1"/>
  <c r="K34" i="3" s="1"/>
  <c r="E50" i="9" s="1"/>
  <c r="V83" i="3"/>
  <c r="E51" i="9" s="1"/>
  <c r="K137" i="2"/>
  <c r="Z150" i="10"/>
  <c r="N687" i="9"/>
  <c r="N712" i="9"/>
  <c r="H103" i="8"/>
  <c r="G60" i="8"/>
  <c r="M80" i="8" s="1"/>
  <c r="G80" i="8" s="1"/>
  <c r="G48" i="8"/>
  <c r="L59" i="8"/>
  <c r="D47" i="8"/>
  <c r="G62" i="8"/>
  <c r="G74" i="8" s="1"/>
  <c r="S93" i="10"/>
  <c r="S95" i="10"/>
  <c r="S54" i="10"/>
  <c r="S83" i="10"/>
  <c r="AU55" i="10"/>
  <c r="S55" i="10" s="1"/>
  <c r="CC681" i="1"/>
  <c r="BO681" i="1"/>
  <c r="BW681" i="1" s="1"/>
  <c r="AE120" i="14"/>
  <c r="AD120" i="14"/>
  <c r="C83" i="4"/>
  <c r="R66" i="11"/>
  <c r="T686" i="1" s="1"/>
  <c r="CC689" i="1"/>
  <c r="AQ120" i="14"/>
  <c r="AR120" i="14"/>
  <c r="AS120" i="14" s="1"/>
  <c r="AY120" i="14"/>
  <c r="C254" i="4"/>
  <c r="D94" i="10"/>
  <c r="W577" i="1"/>
  <c r="S151" i="10"/>
  <c r="AD30" i="14"/>
  <c r="AE30" i="14"/>
  <c r="AJ689" i="1"/>
  <c r="AX689" i="1" s="1"/>
  <c r="BD689" i="1"/>
  <c r="W61" i="3"/>
  <c r="AR38" i="3" s="1"/>
  <c r="C94" i="4"/>
  <c r="V640" i="1"/>
  <c r="D21" i="10"/>
  <c r="AZ112" i="14"/>
  <c r="K97" i="10"/>
  <c r="AR29" i="14"/>
  <c r="AS29" i="14" s="1"/>
  <c r="AN159" i="10"/>
  <c r="L200" i="10" s="1"/>
  <c r="D712" i="9"/>
  <c r="H104" i="8"/>
  <c r="K27" i="3"/>
  <c r="T370" i="8"/>
  <c r="Q370" i="8"/>
  <c r="U370" i="8" s="1"/>
  <c r="C374" i="8" s="1"/>
  <c r="E374" i="8" s="1"/>
  <c r="AQ30" i="14"/>
  <c r="AR30" i="14"/>
  <c r="AS30" i="14" s="1"/>
  <c r="S630" i="2"/>
  <c r="R1115" i="2"/>
  <c r="D629" i="2"/>
  <c r="X39" i="10"/>
  <c r="AR235" i="10"/>
  <c r="AH42" i="10"/>
  <c r="AR236" i="10"/>
  <c r="B599" i="2"/>
  <c r="B190" i="2"/>
  <c r="B707" i="2"/>
  <c r="O151" i="10"/>
  <c r="AQ159" i="10"/>
  <c r="B201" i="2"/>
  <c r="B718" i="2"/>
  <c r="BO683" i="1"/>
  <c r="BW683" i="1" s="1"/>
  <c r="CC683" i="1"/>
  <c r="AK159" i="10"/>
  <c r="I151" i="10"/>
  <c r="G348" i="10"/>
  <c r="R1070" i="2"/>
  <c r="E347" i="10"/>
  <c r="D346" i="10" s="1"/>
  <c r="P1069" i="2"/>
  <c r="AH159" i="10"/>
  <c r="F151" i="10"/>
  <c r="D62" i="15"/>
  <c r="X177" i="10"/>
  <c r="C177" i="10"/>
  <c r="AK42" i="10"/>
  <c r="C187" i="10"/>
  <c r="D92" i="4" s="1"/>
  <c r="C207" i="10"/>
  <c r="D80" i="4"/>
  <c r="C82" i="10"/>
  <c r="D81" i="4" s="1"/>
  <c r="C190" i="10"/>
  <c r="C102" i="10"/>
  <c r="C184" i="10"/>
  <c r="D91" i="4" s="1"/>
  <c r="C85" i="10"/>
  <c r="AJ687" i="1"/>
  <c r="AX687" i="1" s="1"/>
  <c r="BD687" i="1"/>
  <c r="AQ118" i="14"/>
  <c r="AZ121" i="14"/>
  <c r="BA121" i="14" s="1"/>
  <c r="H712" i="9"/>
  <c r="Z79" i="10"/>
  <c r="P379" i="10"/>
  <c r="I1161" i="2"/>
  <c r="L1123" i="2"/>
  <c r="U513" i="2"/>
  <c r="J92" i="12"/>
  <c r="I6" i="12"/>
  <c r="J93" i="12"/>
  <c r="F222" i="12"/>
  <c r="D222" i="12"/>
  <c r="I7" i="12"/>
  <c r="E222" i="12"/>
  <c r="C337" i="12"/>
  <c r="O1131" i="2"/>
  <c r="C187" i="4"/>
  <c r="Y210" i="1"/>
  <c r="AM147" i="10"/>
  <c r="K152" i="10"/>
  <c r="K154" i="10"/>
  <c r="AM144" i="10"/>
  <c r="AM149" i="10" s="1"/>
  <c r="K149" i="10" s="1"/>
  <c r="K203" i="10"/>
  <c r="Y463" i="2"/>
  <c r="D463" i="2" s="1"/>
  <c r="D287" i="1" s="1"/>
  <c r="S463" i="2"/>
  <c r="T950" i="2"/>
  <c r="R69" i="11"/>
  <c r="R64" i="11"/>
  <c r="R65" i="11"/>
  <c r="R68" i="11"/>
  <c r="C29" i="18"/>
  <c r="R67" i="11"/>
  <c r="F342" i="10"/>
  <c r="L370" i="10" s="1"/>
  <c r="C56" i="12" s="1"/>
  <c r="Q1064" i="2"/>
  <c r="Y462" i="2"/>
  <c r="D462" i="2" s="1"/>
  <c r="D286" i="1" s="1"/>
  <c r="S462" i="2"/>
  <c r="K6" i="3"/>
  <c r="AK684" i="1"/>
  <c r="AZ684" i="1" s="1"/>
  <c r="F23" i="14"/>
  <c r="G48" i="1" s="1"/>
  <c r="I48" i="1" s="1"/>
  <c r="AL23" i="14"/>
  <c r="D48" i="1" s="1"/>
  <c r="Y26" i="14"/>
  <c r="Y23" i="14"/>
  <c r="Y25" i="14"/>
  <c r="Y24" i="14"/>
  <c r="F343" i="10"/>
  <c r="Q1065" i="2"/>
  <c r="H349" i="10"/>
  <c r="R349" i="10" s="1"/>
  <c r="S1071" i="2"/>
  <c r="AZ36" i="14"/>
  <c r="R63" i="11"/>
  <c r="T683" i="1" s="1"/>
  <c r="C1127" i="2"/>
  <c r="F1127" i="2" s="1"/>
  <c r="AU1149" i="2" s="1"/>
  <c r="AZ102" i="14"/>
  <c r="BA102" i="14" s="1"/>
  <c r="K7" i="3"/>
  <c r="C106" i="4"/>
  <c r="C56" i="4"/>
  <c r="AK688" i="1"/>
  <c r="AZ688" i="1" s="1"/>
  <c r="R58" i="11"/>
  <c r="T678" i="1" s="1"/>
  <c r="V638" i="1"/>
  <c r="AZ114" i="14"/>
  <c r="BB114" i="14" s="1"/>
  <c r="AY118" i="14"/>
  <c r="CC682" i="1"/>
  <c r="AO231" i="10"/>
  <c r="AO238" i="10" s="1"/>
  <c r="K43" i="10"/>
  <c r="X151" i="10"/>
  <c r="X158" i="10" s="1"/>
  <c r="AZ29" i="14"/>
  <c r="BA29" i="14" s="1"/>
  <c r="D737" i="9"/>
  <c r="H102" i="8"/>
  <c r="T952" i="2"/>
  <c r="U952" i="2" s="1"/>
  <c r="S369" i="8"/>
  <c r="T369" i="8"/>
  <c r="Q369" i="8"/>
  <c r="U369" i="8" s="1"/>
  <c r="C373" i="8" s="1"/>
  <c r="E373" i="8" s="1"/>
  <c r="E178" i="10"/>
  <c r="X178" i="10"/>
  <c r="C178" i="10"/>
  <c r="Q1119" i="2"/>
  <c r="U739" i="2"/>
  <c r="K77" i="9"/>
  <c r="F77" i="9" s="1"/>
  <c r="AH136" i="9"/>
  <c r="B99" i="9" s="1"/>
  <c r="AI136" i="9"/>
  <c r="K79" i="9"/>
  <c r="F79" i="9" s="1"/>
  <c r="E77" i="9"/>
  <c r="O644" i="9"/>
  <c r="K80" i="9"/>
  <c r="F80" i="9" s="1"/>
  <c r="AK689" i="1"/>
  <c r="AZ689" i="1" s="1"/>
  <c r="AJ680" i="1"/>
  <c r="AX680" i="1" s="1"/>
  <c r="K1072" i="1"/>
  <c r="J1072" i="1"/>
  <c r="P403" i="1"/>
  <c r="P402" i="1"/>
  <c r="R151" i="10"/>
  <c r="AT159" i="10"/>
  <c r="AS159" i="10"/>
  <c r="Q188" i="10" s="1"/>
  <c r="Q151" i="10"/>
  <c r="V720" i="2"/>
  <c r="N150" i="10"/>
  <c r="N153" i="10" s="1"/>
  <c r="N156" i="10" s="1"/>
  <c r="AB59" i="11"/>
  <c r="F62" i="15"/>
  <c r="Q679" i="1"/>
  <c r="BO687" i="1"/>
  <c r="BW687" i="1" s="1"/>
  <c r="CC687" i="1"/>
  <c r="F918" i="1"/>
  <c r="AL20" i="14"/>
  <c r="C45" i="1" s="1"/>
  <c r="D640" i="2"/>
  <c r="I98" i="10"/>
  <c r="X32" i="10"/>
  <c r="AK679" i="1"/>
  <c r="AZ679" i="1" s="1"/>
  <c r="BD679" i="1"/>
  <c r="R652" i="1"/>
  <c r="R550" i="1"/>
  <c r="Q150" i="10"/>
  <c r="Q153" i="10" s="1"/>
  <c r="Q156" i="10" s="1"/>
  <c r="AE118" i="14"/>
  <c r="AK39" i="10"/>
  <c r="AK44" i="10" s="1"/>
  <c r="I44" i="10" s="1"/>
  <c r="AL19" i="14"/>
  <c r="C44" i="1" s="1"/>
  <c r="I154" i="10"/>
  <c r="I203" i="10"/>
  <c r="D138" i="10"/>
  <c r="E90" i="4" s="1"/>
  <c r="I152" i="10"/>
  <c r="X137" i="10"/>
  <c r="X187" i="10"/>
  <c r="E172" i="10"/>
  <c r="C172" i="10"/>
  <c r="X172" i="10"/>
  <c r="AB58" i="11"/>
  <c r="AD58" i="11" s="1"/>
  <c r="Q678" i="1"/>
  <c r="P70" i="11"/>
  <c r="F61" i="15"/>
  <c r="AZ35" i="14"/>
  <c r="AA22" i="14"/>
  <c r="M31" i="2"/>
  <c r="Q21" i="11"/>
  <c r="AP159" i="10"/>
  <c r="N188" i="10" s="1"/>
  <c r="N151" i="10"/>
  <c r="I1062" i="1"/>
  <c r="P661" i="1"/>
  <c r="D661" i="1" s="1"/>
  <c r="AZ101" i="14"/>
  <c r="BB101" i="14" s="1"/>
  <c r="K687" i="2"/>
  <c r="AJ679" i="1"/>
  <c r="AX679" i="1" s="1"/>
  <c r="H96" i="8"/>
  <c r="E90" i="12"/>
  <c r="E164" i="12"/>
  <c r="C1065" i="2"/>
  <c r="B1065" i="2"/>
  <c r="Z624" i="1"/>
  <c r="C261" i="1"/>
  <c r="C424" i="1"/>
  <c r="C909" i="1"/>
  <c r="C927" i="1"/>
  <c r="C980" i="1"/>
  <c r="C384" i="1"/>
  <c r="C493" i="1"/>
  <c r="C262" i="1"/>
  <c r="C390" i="1"/>
  <c r="C494" i="1"/>
  <c r="C511" i="1"/>
  <c r="C981" i="1"/>
  <c r="C309" i="1"/>
  <c r="C945" i="1"/>
  <c r="C409" i="1"/>
  <c r="C705" i="1"/>
  <c r="C856" i="1"/>
  <c r="C427" i="1"/>
  <c r="C451" i="1" s="1"/>
  <c r="C520" i="1"/>
  <c r="C873" i="1"/>
  <c r="C648" i="1"/>
  <c r="C255" i="1"/>
  <c r="C386" i="1"/>
  <c r="C421" i="1"/>
  <c r="C780" i="1"/>
  <c r="I207" i="1"/>
  <c r="C422" i="1"/>
  <c r="C499" i="1"/>
  <c r="C506" i="1"/>
  <c r="C525" i="1"/>
  <c r="C813" i="1"/>
  <c r="R253" i="1"/>
  <c r="C387" i="1"/>
  <c r="C966" i="1"/>
  <c r="C978" i="1"/>
  <c r="C492" i="1"/>
  <c r="C787" i="1"/>
  <c r="C1011" i="1"/>
  <c r="C818" i="1"/>
  <c r="C972" i="1"/>
  <c r="C1012" i="1"/>
  <c r="C30" i="1"/>
  <c r="C312" i="1"/>
  <c r="C772" i="1"/>
  <c r="C881" i="1"/>
  <c r="C260" i="1"/>
  <c r="C385" i="1"/>
  <c r="H207" i="1"/>
  <c r="C917" i="1"/>
  <c r="C533" i="1"/>
  <c r="C796" i="1"/>
  <c r="C491" i="1"/>
  <c r="C779" i="1"/>
  <c r="C676" i="1"/>
  <c r="C675" i="1" s="1"/>
  <c r="R343" i="10"/>
  <c r="D343" i="10"/>
  <c r="X71" i="10"/>
  <c r="C71" i="10"/>
  <c r="C69" i="4"/>
  <c r="Y213" i="1"/>
  <c r="D222" i="1"/>
  <c r="E176" i="10"/>
  <c r="X176" i="10"/>
  <c r="C176" i="10"/>
  <c r="C211" i="4"/>
  <c r="BD684" i="1"/>
  <c r="AZ103" i="14"/>
  <c r="L712" i="9"/>
  <c r="I144" i="8"/>
  <c r="J144" i="8"/>
  <c r="T16" i="1"/>
  <c r="V16" i="1"/>
  <c r="U16" i="1"/>
  <c r="S16" i="1"/>
  <c r="E175" i="10"/>
  <c r="AH45" i="10"/>
  <c r="F48" i="10" s="1"/>
  <c r="F51" i="10" s="1"/>
  <c r="D51" i="10" s="1"/>
  <c r="E345" i="10"/>
  <c r="D344" i="10" s="1"/>
  <c r="P1067" i="2"/>
  <c r="K5" i="3"/>
  <c r="H92" i="8"/>
  <c r="AQ318" i="10"/>
  <c r="S932" i="2"/>
  <c r="S1123" i="2"/>
  <c r="AJ686" i="1"/>
  <c r="AX686" i="1" s="1"/>
  <c r="AI159" i="10"/>
  <c r="G188" i="10" s="1"/>
  <c r="G151" i="10"/>
  <c r="E76" i="10"/>
  <c r="X76" i="10"/>
  <c r="C76" i="10"/>
  <c r="C112" i="4"/>
  <c r="AJ688" i="1"/>
  <c r="AX688" i="1" s="1"/>
  <c r="R16" i="1"/>
  <c r="CC685" i="1"/>
  <c r="G90" i="12"/>
  <c r="Z21" i="10"/>
  <c r="AZ104" i="14"/>
  <c r="X148" i="10"/>
  <c r="Z148" i="10" s="1"/>
  <c r="S159" i="10"/>
  <c r="AU160" i="10"/>
  <c r="S160" i="10" s="1"/>
  <c r="AD36" i="14"/>
  <c r="N737" i="9"/>
  <c r="H88" i="8"/>
  <c r="L687" i="9"/>
  <c r="F44" i="10"/>
  <c r="F870" i="8"/>
  <c r="E394" i="8"/>
  <c r="S100" i="2"/>
  <c r="S101" i="2"/>
  <c r="Q683" i="1"/>
  <c r="F66" i="15"/>
  <c r="C1040" i="8"/>
  <c r="X122" i="10"/>
  <c r="AJ233" i="10"/>
  <c r="AJ232" i="10"/>
  <c r="AH232" i="10" s="1"/>
  <c r="AH233" i="10" s="1"/>
  <c r="AI233" i="10" s="1"/>
  <c r="AL233" i="10"/>
  <c r="AL232" i="10"/>
  <c r="K654" i="2"/>
  <c r="I818" i="2"/>
  <c r="I824" i="2"/>
  <c r="I842" i="2"/>
  <c r="I849" i="2"/>
  <c r="I837" i="2"/>
  <c r="I829" i="2"/>
  <c r="BP684" i="1"/>
  <c r="BY684" i="1" s="1"/>
  <c r="BO684" i="1"/>
  <c r="BW684" i="1" s="1"/>
  <c r="BO685" i="1"/>
  <c r="BW685" i="1" s="1"/>
  <c r="O150" i="10"/>
  <c r="O153" i="10" s="1"/>
  <c r="O156" i="10" s="1"/>
  <c r="I136" i="15"/>
  <c r="CK3" i="14"/>
  <c r="F136" i="15"/>
  <c r="F143" i="15" s="1"/>
  <c r="R136" i="15"/>
  <c r="C9" i="2"/>
  <c r="C19" i="2"/>
  <c r="E73" i="10"/>
  <c r="X73" i="10"/>
  <c r="C73" i="10"/>
  <c r="AZ118" i="14"/>
  <c r="BA118" i="14" s="1"/>
  <c r="AZ115" i="14"/>
  <c r="AQ35" i="14"/>
  <c r="AS8" i="14" s="1"/>
  <c r="AR35" i="14"/>
  <c r="AS35" i="14" s="1"/>
  <c r="AY35" i="14"/>
  <c r="AZ28" i="14"/>
  <c r="O860" i="2"/>
  <c r="C1119" i="2"/>
  <c r="F1119" i="2" s="1"/>
  <c r="C325" i="12"/>
  <c r="AK682" i="1"/>
  <c r="AZ682" i="1" s="1"/>
  <c r="AO159" i="10"/>
  <c r="M188" i="10" s="1"/>
  <c r="M151" i="10"/>
  <c r="AZ31" i="14"/>
  <c r="BA31" i="14" s="1"/>
  <c r="D771" i="1"/>
  <c r="I1066" i="1" s="1"/>
  <c r="D777" i="1"/>
  <c r="AK680" i="1"/>
  <c r="AZ680" i="1" s="1"/>
  <c r="AZ30" i="14"/>
  <c r="BB30" i="14" s="1"/>
  <c r="D950" i="2"/>
  <c r="AL67" i="3" s="1"/>
  <c r="D945" i="2"/>
  <c r="AL64" i="3" s="1"/>
  <c r="S639" i="2"/>
  <c r="BO679" i="1"/>
  <c r="BW679" i="1" s="1"/>
  <c r="CC679" i="1"/>
  <c r="AG58" i="10"/>
  <c r="E42" i="15"/>
  <c r="B1078" i="2"/>
  <c r="C1079" i="2"/>
  <c r="AZ119" i="14"/>
  <c r="BA119" i="14" s="1"/>
  <c r="AY29" i="14"/>
  <c r="F1192" i="2"/>
  <c r="F1190" i="2"/>
  <c r="N1190" i="2" s="1"/>
  <c r="C149" i="10"/>
  <c r="C150" i="10"/>
  <c r="C160" i="10"/>
  <c r="C148" i="10"/>
  <c r="C133" i="10"/>
  <c r="C125" i="10"/>
  <c r="F355" i="10"/>
  <c r="L374" i="10" s="1"/>
  <c r="C60" i="12" s="1"/>
  <c r="Q1077" i="2"/>
  <c r="C78" i="10"/>
  <c r="E78" i="10"/>
  <c r="X78" i="10"/>
  <c r="AK683" i="1"/>
  <c r="AZ683" i="1" s="1"/>
  <c r="BD683" i="1"/>
  <c r="AL18" i="14"/>
  <c r="C43" i="1" s="1"/>
  <c r="F1122" i="2"/>
  <c r="O862" i="2" s="1"/>
  <c r="E1124" i="2"/>
  <c r="E1122" i="2"/>
  <c r="F1121" i="2"/>
  <c r="E1128" i="2"/>
  <c r="E1125" i="2"/>
  <c r="E1123" i="2"/>
  <c r="O1105" i="2"/>
  <c r="N938" i="2"/>
  <c r="E1121" i="2"/>
  <c r="E1127" i="2"/>
  <c r="E1119" i="2"/>
  <c r="F1126" i="2"/>
  <c r="S466" i="2"/>
  <c r="Y466" i="2"/>
  <c r="D466" i="2" s="1"/>
  <c r="D290" i="1" s="1"/>
  <c r="K142" i="2"/>
  <c r="AL159" i="10"/>
  <c r="J151" i="10"/>
  <c r="X67" i="10"/>
  <c r="C67" i="10"/>
  <c r="AW623" i="1"/>
  <c r="L1195" i="2"/>
  <c r="P1082" i="2"/>
  <c r="E360" i="10"/>
  <c r="D359" i="10" s="1"/>
  <c r="R510" i="1"/>
  <c r="S1117" i="2"/>
  <c r="D33" i="10"/>
  <c r="E79" i="4" s="1"/>
  <c r="V643" i="1"/>
  <c r="Q16" i="1"/>
  <c r="BP687" i="1"/>
  <c r="BY687" i="1" s="1"/>
  <c r="X46" i="10"/>
  <c r="X53" i="10" s="1"/>
  <c r="U90" i="2"/>
  <c r="AZ120" i="14"/>
  <c r="S200" i="10"/>
  <c r="K1123" i="2"/>
  <c r="H101" i="8"/>
  <c r="P188" i="10"/>
  <c r="L331" i="8"/>
  <c r="E71" i="10"/>
  <c r="AB61" i="11"/>
  <c r="AD61" i="11" s="1"/>
  <c r="X681" i="1" s="1"/>
  <c r="Q681" i="1"/>
  <c r="F64" i="15"/>
  <c r="Q689" i="1"/>
  <c r="F72" i="15"/>
  <c r="E24" i="9"/>
  <c r="F31" i="9"/>
  <c r="G25" i="9"/>
  <c r="D13" i="9"/>
  <c r="D31" i="9"/>
  <c r="G34" i="9"/>
  <c r="G30" i="9"/>
  <c r="K3" i="9"/>
  <c r="F14" i="9"/>
  <c r="E34" i="9"/>
  <c r="F22" i="9"/>
  <c r="E15" i="9"/>
  <c r="G32" i="9"/>
  <c r="G16" i="9"/>
  <c r="F21" i="9"/>
  <c r="H22" i="9"/>
  <c r="E32" i="9"/>
  <c r="H33" i="9"/>
  <c r="D32" i="9"/>
  <c r="E33" i="9"/>
  <c r="E14" i="9"/>
  <c r="E22" i="9"/>
  <c r="H23" i="9"/>
  <c r="F13" i="9"/>
  <c r="G14" i="9"/>
  <c r="D22" i="9"/>
  <c r="C128" i="12"/>
  <c r="N128" i="12"/>
  <c r="Q128" i="12" s="1"/>
  <c r="I128" i="12" s="1"/>
  <c r="R596" i="2"/>
  <c r="C596" i="2" s="1"/>
  <c r="R588" i="2"/>
  <c r="C588" i="2" s="1"/>
  <c r="R80" i="2"/>
  <c r="C80" i="2" s="1"/>
  <c r="K18" i="9"/>
  <c r="K19" i="9"/>
  <c r="S1116" i="2"/>
  <c r="AL1122" i="2"/>
  <c r="M1119" i="2"/>
  <c r="P198" i="10"/>
  <c r="P200" i="10"/>
  <c r="P159" i="10"/>
  <c r="AR160" i="10"/>
  <c r="P160" i="10" s="1"/>
  <c r="U640" i="2"/>
  <c r="AL42" i="10"/>
  <c r="J98" i="10"/>
  <c r="AL39" i="10"/>
  <c r="AL44" i="10" s="1"/>
  <c r="J44" i="10" s="1"/>
  <c r="J97" i="10"/>
  <c r="M354" i="8"/>
  <c r="M326" i="8"/>
  <c r="R331" i="8" s="1"/>
  <c r="M348" i="8"/>
  <c r="M333" i="8"/>
  <c r="C330" i="8"/>
  <c r="C352" i="8"/>
  <c r="M342" i="8"/>
  <c r="O265" i="8"/>
  <c r="C346" i="8"/>
  <c r="O273" i="8"/>
  <c r="C357" i="8"/>
  <c r="E326" i="8"/>
  <c r="O271" i="8"/>
  <c r="C1064" i="8" s="1"/>
  <c r="Y214" i="1"/>
  <c r="AL24" i="14"/>
  <c r="D49" i="1" s="1"/>
  <c r="H93" i="8"/>
  <c r="F340" i="10"/>
  <c r="L368" i="10" s="1"/>
  <c r="C54" i="12" s="1"/>
  <c r="Q1062" i="2"/>
  <c r="S555" i="1"/>
  <c r="R655" i="1" s="1"/>
  <c r="R555" i="1"/>
  <c r="V201" i="2"/>
  <c r="V718" i="2"/>
  <c r="V86" i="2"/>
  <c r="V679" i="2"/>
  <c r="V645" i="2"/>
  <c r="V602" i="2"/>
  <c r="F24" i="14"/>
  <c r="G49" i="1" s="1"/>
  <c r="I49" i="1" s="1"/>
  <c r="M350" i="8"/>
  <c r="R338" i="8" s="1"/>
  <c r="AZ37" i="14"/>
  <c r="H95" i="8"/>
  <c r="S1114" i="2"/>
  <c r="R17" i="1"/>
  <c r="F32" i="15" s="1"/>
  <c r="CC17" i="14" s="1"/>
  <c r="I170" i="15" s="1"/>
  <c r="T17" i="1"/>
  <c r="F34" i="15" s="1"/>
  <c r="CC19" i="14" s="1"/>
  <c r="I172" i="15" s="1"/>
  <c r="V17" i="1"/>
  <c r="F36" i="15" s="1"/>
  <c r="CC21" i="14" s="1"/>
  <c r="U17" i="1"/>
  <c r="F35" i="15" s="1"/>
  <c r="CC20" i="14" s="1"/>
  <c r="Q17" i="1"/>
  <c r="F31" i="15" s="1"/>
  <c r="CC16" i="14" s="1"/>
  <c r="S17" i="1"/>
  <c r="F33" i="15" s="1"/>
  <c r="CC18" i="14" s="1"/>
  <c r="AL236" i="10"/>
  <c r="AL235" i="10"/>
  <c r="X144" i="10"/>
  <c r="Z144" i="10" s="1"/>
  <c r="C116" i="4"/>
  <c r="E177" i="10"/>
  <c r="V128" i="2"/>
  <c r="I202" i="10"/>
  <c r="AZ100" i="14"/>
  <c r="I97" i="10"/>
  <c r="AE53" i="14"/>
  <c r="H99" i="8"/>
  <c r="D125" i="10"/>
  <c r="N1183" i="2"/>
  <c r="E1182" i="2"/>
  <c r="N1182" i="2" s="1"/>
  <c r="C275" i="8"/>
  <c r="S370" i="8"/>
  <c r="AL43" i="10"/>
  <c r="Q686" i="1"/>
  <c r="AB66" i="11"/>
  <c r="AD66" i="11" s="1"/>
  <c r="F69" i="15"/>
  <c r="J166" i="8"/>
  <c r="I166" i="8"/>
  <c r="AJ682" i="1"/>
  <c r="AX682" i="1" s="1"/>
  <c r="AK681" i="1"/>
  <c r="AZ681" i="1" s="1"/>
  <c r="AK687" i="1"/>
  <c r="AZ687" i="1" s="1"/>
  <c r="AM159" i="10"/>
  <c r="K151" i="10"/>
  <c r="M1115" i="2"/>
  <c r="R1063" i="2"/>
  <c r="C1176" i="2"/>
  <c r="T951" i="2"/>
  <c r="U951" i="2" s="1"/>
  <c r="D951" i="2"/>
  <c r="AL68" i="3" s="1"/>
  <c r="CP7" i="14"/>
  <c r="I101" i="12"/>
  <c r="I106" i="12" s="1"/>
  <c r="D931" i="2"/>
  <c r="AP318" i="10" s="1"/>
  <c r="AT336" i="10" s="1"/>
  <c r="Q566" i="2"/>
  <c r="S566" i="2" s="1"/>
  <c r="D566" i="2" s="1"/>
  <c r="CE1130" i="2"/>
  <c r="AE1117" i="2"/>
  <c r="F945" i="2" s="1"/>
  <c r="AH1116" i="2"/>
  <c r="Q567" i="2"/>
  <c r="S567" i="2" s="1"/>
  <c r="D567" i="2" s="1"/>
  <c r="AF1117" i="2"/>
  <c r="G945" i="2" s="1"/>
  <c r="T945" i="2" s="1"/>
  <c r="U945" i="2" s="1"/>
  <c r="I945" i="2" s="1"/>
  <c r="N945" i="2" s="1"/>
  <c r="M1002" i="2"/>
  <c r="S551" i="2"/>
  <c r="AG1120" i="2"/>
  <c r="AA1115" i="2"/>
  <c r="R943" i="2" s="1"/>
  <c r="D943" i="2" s="1"/>
  <c r="AD1117" i="2"/>
  <c r="Q945" i="2" s="1"/>
  <c r="Q568" i="2"/>
  <c r="S568" i="2" s="1"/>
  <c r="D568" i="2" s="1"/>
  <c r="X4" i="2"/>
  <c r="AD1116" i="2"/>
  <c r="Q944" i="2" s="1"/>
  <c r="D926" i="2"/>
  <c r="R960" i="2" s="1"/>
  <c r="D960" i="2" s="1"/>
  <c r="AL75" i="3" s="1"/>
  <c r="Q569" i="2"/>
  <c r="S569" i="2" s="1"/>
  <c r="D569" i="2" s="1"/>
  <c r="J1108" i="2"/>
  <c r="D878" i="2" s="1"/>
  <c r="AI1115" i="2"/>
  <c r="S943" i="2" s="1"/>
  <c r="Q570" i="2"/>
  <c r="S570" i="2" s="1"/>
  <c r="D570" i="2" s="1"/>
  <c r="AC1115" i="2"/>
  <c r="AG1121" i="2"/>
  <c r="Q573" i="2"/>
  <c r="S573" i="2" s="1"/>
  <c r="D573" i="2" s="1"/>
  <c r="AG1117" i="2"/>
  <c r="Q571" i="2"/>
  <c r="S571" i="2" s="1"/>
  <c r="D571" i="2" s="1"/>
  <c r="AG1115" i="2"/>
  <c r="AG1122" i="2"/>
  <c r="M987" i="1"/>
  <c r="AI1116" i="2"/>
  <c r="S944" i="2" s="1"/>
  <c r="M1001" i="2"/>
  <c r="AC1116" i="2"/>
  <c r="AE1115" i="2"/>
  <c r="F943" i="2" s="1"/>
  <c r="AC1117" i="2"/>
  <c r="Q574" i="2"/>
  <c r="S574" i="2" s="1"/>
  <c r="D574" i="2" s="1"/>
  <c r="AD1115" i="2"/>
  <c r="Q943" i="2" s="1"/>
  <c r="Q572" i="2"/>
  <c r="S572" i="2" s="1"/>
  <c r="D572" i="2" s="1"/>
  <c r="AG1116" i="2"/>
  <c r="AF1116" i="2"/>
  <c r="G944" i="2" s="1"/>
  <c r="AH1117" i="2"/>
  <c r="AG1123" i="2"/>
  <c r="Q575" i="2"/>
  <c r="S575" i="2" s="1"/>
  <c r="D575" i="2" s="1"/>
  <c r="AB1110" i="2"/>
  <c r="Q576" i="2"/>
  <c r="S576" i="2" s="1"/>
  <c r="D576" i="2" s="1"/>
  <c r="AH1115" i="2"/>
  <c r="Q578" i="2"/>
  <c r="S578" i="2" s="1"/>
  <c r="M1000" i="2"/>
  <c r="B548" i="2"/>
  <c r="AI1117" i="2"/>
  <c r="S945" i="2" s="1"/>
  <c r="AG1119" i="2"/>
  <c r="D1110" i="2"/>
  <c r="D898" i="2" s="1"/>
  <c r="C75" i="4" s="1"/>
  <c r="X3" i="2"/>
  <c r="AE1116" i="2"/>
  <c r="F944" i="2" s="1"/>
  <c r="AG1124" i="2"/>
  <c r="Q565" i="2"/>
  <c r="S565" i="2" s="1"/>
  <c r="D565" i="2" s="1"/>
  <c r="F956" i="2"/>
  <c r="N956" i="2"/>
  <c r="B1050" i="2"/>
  <c r="G956" i="2"/>
  <c r="T956" i="2" s="1"/>
  <c r="G66" i="4"/>
  <c r="J66" i="4" s="1"/>
  <c r="I174" i="12"/>
  <c r="I179" i="12" s="1"/>
  <c r="K179" i="12" s="1"/>
  <c r="I176" i="12"/>
  <c r="I181" i="12" s="1"/>
  <c r="K181" i="12" s="1"/>
  <c r="Q244" i="10"/>
  <c r="AM318" i="10"/>
  <c r="AN319" i="10"/>
  <c r="M234" i="10"/>
  <c r="Q233" i="10"/>
  <c r="W215" i="10"/>
  <c r="Q238" i="10"/>
  <c r="D316" i="10"/>
  <c r="E316" i="10" s="1"/>
  <c r="O266" i="10"/>
  <c r="M231" i="10"/>
  <c r="M238" i="10"/>
  <c r="M241" i="10"/>
  <c r="Q234" i="10"/>
  <c r="M243" i="10"/>
  <c r="Q230" i="10"/>
  <c r="Q235" i="10"/>
  <c r="M239" i="10"/>
  <c r="Q236" i="10"/>
  <c r="O264" i="10"/>
  <c r="M232" i="10"/>
  <c r="M235" i="10"/>
  <c r="Q237" i="10"/>
  <c r="M236" i="10"/>
  <c r="Q239" i="10"/>
  <c r="M233" i="10"/>
  <c r="O90" i="4"/>
  <c r="Q231" i="10"/>
  <c r="K316" i="10"/>
  <c r="L316" i="10" s="1"/>
  <c r="Q240" i="10"/>
  <c r="M237" i="10"/>
  <c r="M240" i="10"/>
  <c r="Q241" i="10"/>
  <c r="O265" i="10"/>
  <c r="M230" i="10"/>
  <c r="Q232" i="10"/>
  <c r="I100" i="12"/>
  <c r="R7" i="12"/>
  <c r="I177" i="12"/>
  <c r="I102" i="12"/>
  <c r="I103" i="12"/>
  <c r="I108" i="12" s="1"/>
  <c r="I104" i="12"/>
  <c r="AG335" i="10"/>
  <c r="G68" i="4"/>
  <c r="J68" i="4" s="1"/>
  <c r="B956" i="2"/>
  <c r="C76" i="4"/>
  <c r="CO8" i="14"/>
  <c r="CO6" i="14"/>
  <c r="CO7" i="14"/>
  <c r="CP6" i="14"/>
  <c r="CO13" i="14"/>
  <c r="T954" i="2"/>
  <c r="U954" i="2" s="1"/>
  <c r="G67" i="4"/>
  <c r="J67" i="4" s="1"/>
  <c r="P909" i="1"/>
  <c r="E909" i="1" s="1"/>
  <c r="CO15" i="14"/>
  <c r="CO16" i="14"/>
  <c r="D953" i="2"/>
  <c r="AL70" i="3" s="1"/>
  <c r="I173" i="12"/>
  <c r="I178" i="12" s="1"/>
  <c r="K178" i="12" s="1"/>
  <c r="A1" i="10"/>
  <c r="A113" i="12"/>
  <c r="A1" i="9"/>
  <c r="A1" i="4"/>
  <c r="A1" i="1"/>
  <c r="A1" i="21"/>
  <c r="A1" i="12"/>
  <c r="A3" i="1"/>
  <c r="A1" i="3"/>
  <c r="A1" i="8"/>
  <c r="A1" i="2"/>
  <c r="D955" i="2"/>
  <c r="AL72" i="3" s="1"/>
  <c r="AP625" i="1"/>
  <c r="AP765" i="1"/>
  <c r="AP616" i="1"/>
  <c r="AP759" i="1"/>
  <c r="AP627" i="1"/>
  <c r="AP762" i="1"/>
  <c r="AP619" i="1"/>
  <c r="AP620" i="1"/>
  <c r="AP761" i="1"/>
  <c r="AP618" i="1"/>
  <c r="AP769" i="1"/>
  <c r="AP763" i="1"/>
  <c r="AP621" i="1"/>
  <c r="AP617" i="1"/>
  <c r="AP622" i="1"/>
  <c r="S178" i="2"/>
  <c r="V179" i="2"/>
  <c r="S179" i="2" s="1"/>
  <c r="AP626" i="1"/>
  <c r="AP766" i="1"/>
  <c r="F539" i="8"/>
  <c r="V174" i="2"/>
  <c r="S173" i="2"/>
  <c r="AP623" i="1"/>
  <c r="AP764" i="1"/>
  <c r="AP767" i="1"/>
  <c r="AP768" i="1"/>
  <c r="AP760" i="1"/>
  <c r="AP770" i="1"/>
  <c r="AP624" i="1"/>
  <c r="P540" i="8"/>
  <c r="F536" i="8"/>
  <c r="AS685" i="1"/>
  <c r="D693" i="2"/>
  <c r="U693" i="2"/>
  <c r="AH64" i="11"/>
  <c r="I360" i="10"/>
  <c r="T1082" i="2"/>
  <c r="U865" i="8"/>
  <c r="U857" i="8"/>
  <c r="R687" i="1"/>
  <c r="I70" i="15"/>
  <c r="C154" i="15" s="1"/>
  <c r="D70" i="15"/>
  <c r="N846" i="8"/>
  <c r="D846" i="8"/>
  <c r="AF86" i="14"/>
  <c r="AG86" i="14"/>
  <c r="K65" i="15"/>
  <c r="E1193" i="2"/>
  <c r="E1192" i="2"/>
  <c r="N1194" i="2"/>
  <c r="F345" i="10"/>
  <c r="Q1067" i="2"/>
  <c r="I356" i="10"/>
  <c r="T1078" i="2"/>
  <c r="M687" i="9"/>
  <c r="M712" i="9"/>
  <c r="M737" i="9"/>
  <c r="G860" i="8"/>
  <c r="I860" i="8" s="1"/>
  <c r="F346" i="10"/>
  <c r="L371" i="10" s="1"/>
  <c r="Q1068" i="2"/>
  <c r="R1067" i="2"/>
  <c r="G345" i="10"/>
  <c r="J66" i="21"/>
  <c r="J69" i="21"/>
  <c r="AF89" i="14"/>
  <c r="AG89" i="14"/>
  <c r="AF36" i="14"/>
  <c r="AG36" i="14"/>
  <c r="D71" i="15"/>
  <c r="Y335" i="10"/>
  <c r="S467" i="2"/>
  <c r="Y467" i="2"/>
  <c r="W179" i="10"/>
  <c r="E179" i="10" s="1"/>
  <c r="X184" i="10"/>
  <c r="H818" i="2"/>
  <c r="H829" i="2"/>
  <c r="H842" i="2"/>
  <c r="AF29" i="14"/>
  <c r="AG29" i="14"/>
  <c r="R684" i="1"/>
  <c r="I67" i="15"/>
  <c r="C151" i="15" s="1"/>
  <c r="D67" i="15"/>
  <c r="C10" i="14"/>
  <c r="M38" i="1"/>
  <c r="T679" i="1"/>
  <c r="E232" i="2"/>
  <c r="W639" i="1"/>
  <c r="X639" i="1"/>
  <c r="Z639" i="1" s="1"/>
  <c r="X175" i="10"/>
  <c r="C175" i="10"/>
  <c r="V642" i="1"/>
  <c r="F357" i="10"/>
  <c r="Q1079" i="2"/>
  <c r="I956" i="2"/>
  <c r="C1050" i="2"/>
  <c r="D1050" i="2"/>
  <c r="AG119" i="14"/>
  <c r="AF119" i="14"/>
  <c r="AH119" i="14" s="1"/>
  <c r="R95" i="10"/>
  <c r="R54" i="10"/>
  <c r="AT55" i="10"/>
  <c r="R55" i="10" s="1"/>
  <c r="R93" i="10"/>
  <c r="R83" i="10"/>
  <c r="X61" i="10"/>
  <c r="Z59" i="10"/>
  <c r="Z61" i="10" s="1"/>
  <c r="K93" i="10"/>
  <c r="K95" i="10"/>
  <c r="AM55" i="10"/>
  <c r="K55" i="10" s="1"/>
  <c r="K83" i="10"/>
  <c r="K54" i="10"/>
  <c r="AF98" i="14"/>
  <c r="AG98" i="14"/>
  <c r="K69" i="15"/>
  <c r="K28" i="9"/>
  <c r="W188" i="1"/>
  <c r="AH188" i="1" s="1"/>
  <c r="AH189" i="1" s="1"/>
  <c r="AI189" i="1" s="1"/>
  <c r="I188" i="1" s="1"/>
  <c r="W190" i="1"/>
  <c r="AH190" i="1" s="1"/>
  <c r="AF37" i="14"/>
  <c r="AG37" i="14"/>
  <c r="L126" i="8"/>
  <c r="D127" i="8" s="1"/>
  <c r="L127" i="8"/>
  <c r="D130" i="8" s="1"/>
  <c r="AG92" i="14"/>
  <c r="AF92" i="14"/>
  <c r="H346" i="10"/>
  <c r="S1068" i="2"/>
  <c r="AJ678" i="1"/>
  <c r="AX678" i="1" s="1"/>
  <c r="O419" i="8"/>
  <c r="O414" i="8"/>
  <c r="O420" i="8"/>
  <c r="E64" i="4"/>
  <c r="O64" i="4" s="1"/>
  <c r="V649" i="1"/>
  <c r="AF84" i="14"/>
  <c r="AG84" i="14"/>
  <c r="K64" i="15"/>
  <c r="M330" i="8"/>
  <c r="D329" i="8"/>
  <c r="T682" i="1"/>
  <c r="E235" i="2"/>
  <c r="K70" i="15"/>
  <c r="N26" i="11"/>
  <c r="W229" i="10" s="1"/>
  <c r="V1" i="3"/>
  <c r="R683" i="1"/>
  <c r="I66" i="15"/>
  <c r="C150" i="15" s="1"/>
  <c r="D66" i="15"/>
  <c r="E857" i="8"/>
  <c r="D864" i="8"/>
  <c r="F857" i="8" s="1"/>
  <c r="T680" i="1"/>
  <c r="E233" i="2"/>
  <c r="W642" i="1"/>
  <c r="X642" i="1"/>
  <c r="Z642" i="1" s="1"/>
  <c r="V645" i="1"/>
  <c r="F358" i="10"/>
  <c r="Q1080" i="2"/>
  <c r="AF56" i="14"/>
  <c r="AG56" i="14"/>
  <c r="BA113" i="14"/>
  <c r="BB113" i="14"/>
  <c r="AF54" i="14"/>
  <c r="AG54" i="14"/>
  <c r="H354" i="10"/>
  <c r="F354" i="10"/>
  <c r="Q1076" i="2"/>
  <c r="K63" i="15"/>
  <c r="C174" i="1"/>
  <c r="AF90" i="14"/>
  <c r="AG90" i="14"/>
  <c r="K68" i="15"/>
  <c r="O798" i="1"/>
  <c r="D914" i="1"/>
  <c r="H68" i="21"/>
  <c r="H67" i="21"/>
  <c r="G818" i="2"/>
  <c r="G842" i="2"/>
  <c r="G829" i="2"/>
  <c r="AF35" i="14"/>
  <c r="AG35" i="14"/>
  <c r="U112" i="2"/>
  <c r="D112" i="2"/>
  <c r="S113" i="2"/>
  <c r="AF102" i="14"/>
  <c r="AG102" i="14"/>
  <c r="J1038" i="8"/>
  <c r="F1039" i="8"/>
  <c r="N849" i="8"/>
  <c r="D849" i="8"/>
  <c r="E849" i="8" s="1"/>
  <c r="I849" i="8" s="1"/>
  <c r="F344" i="10"/>
  <c r="L377" i="10" s="1"/>
  <c r="Q1066" i="2"/>
  <c r="E182" i="10"/>
  <c r="X182" i="10"/>
  <c r="C182" i="10"/>
  <c r="AF88" i="14"/>
  <c r="AG88" i="14"/>
  <c r="W649" i="1"/>
  <c r="X649" i="1"/>
  <c r="Z649" i="1" s="1"/>
  <c r="V648" i="1"/>
  <c r="AG616" i="1"/>
  <c r="AH616" i="1" s="1"/>
  <c r="BA34" i="14"/>
  <c r="BB34" i="14"/>
  <c r="W644" i="1"/>
  <c r="X644" i="1"/>
  <c r="Z644" i="1" s="1"/>
  <c r="P181" i="1"/>
  <c r="D185" i="1"/>
  <c r="F185" i="1"/>
  <c r="E185" i="1"/>
  <c r="C185" i="1"/>
  <c r="BA32" i="14"/>
  <c r="BB32" i="14"/>
  <c r="G342" i="10"/>
  <c r="R1064" i="2"/>
  <c r="AF53" i="14"/>
  <c r="AG53" i="14"/>
  <c r="G347" i="10"/>
  <c r="R1069" i="2"/>
  <c r="W647" i="1"/>
  <c r="X647" i="1"/>
  <c r="Z647" i="1" s="1"/>
  <c r="B1103" i="1"/>
  <c r="BG642" i="1"/>
  <c r="BG643" i="1"/>
  <c r="BG644" i="1"/>
  <c r="BG645" i="1"/>
  <c r="BG646" i="1"/>
  <c r="BG649" i="1"/>
  <c r="BG647" i="1"/>
  <c r="BG648" i="1"/>
  <c r="BG639" i="1"/>
  <c r="BG640" i="1"/>
  <c r="BG641" i="1"/>
  <c r="BG638" i="1"/>
  <c r="R682" i="1"/>
  <c r="I65" i="15"/>
  <c r="C149" i="15" s="1"/>
  <c r="D65" i="15"/>
  <c r="S35" i="2"/>
  <c r="M34" i="2"/>
  <c r="O853" i="2"/>
  <c r="K853" i="2" s="1"/>
  <c r="E239" i="2"/>
  <c r="F359" i="10"/>
  <c r="L375" i="10" s="1"/>
  <c r="Q1081" i="2"/>
  <c r="R341" i="10"/>
  <c r="C1132" i="2"/>
  <c r="F1132" i="2" s="1"/>
  <c r="C1133" i="2"/>
  <c r="F1133" i="2" s="1"/>
  <c r="C1131" i="2"/>
  <c r="F1131" i="2" s="1"/>
  <c r="D223" i="1"/>
  <c r="V208" i="1"/>
  <c r="F349" i="10"/>
  <c r="Q1071" i="2"/>
  <c r="E222" i="1"/>
  <c r="X166" i="10"/>
  <c r="Z165" i="10"/>
  <c r="Z166" i="10" s="1"/>
  <c r="E740" i="1"/>
  <c r="E615" i="1"/>
  <c r="AG83" i="14"/>
  <c r="AF83" i="14"/>
  <c r="M48" i="10"/>
  <c r="M51" i="10" s="1"/>
  <c r="M45" i="10"/>
  <c r="K67" i="15"/>
  <c r="C343" i="8"/>
  <c r="C356" i="8"/>
  <c r="C344" i="8"/>
  <c r="E685" i="9"/>
  <c r="B29" i="9"/>
  <c r="S461" i="2"/>
  <c r="Y461" i="2"/>
  <c r="D358" i="10"/>
  <c r="AK678" i="1"/>
  <c r="AZ678" i="1" s="1"/>
  <c r="E68" i="10"/>
  <c r="X68" i="10"/>
  <c r="C68" i="10"/>
  <c r="B1007" i="8"/>
  <c r="C1007" i="8"/>
  <c r="J645" i="9"/>
  <c r="H646" i="9"/>
  <c r="G87" i="4"/>
  <c r="J87" i="4" s="1"/>
  <c r="G89" i="4"/>
  <c r="J89" i="4" s="1"/>
  <c r="G88" i="4"/>
  <c r="J88" i="4" s="1"/>
  <c r="G93" i="4"/>
  <c r="J93" i="4" s="1"/>
  <c r="G93" i="10"/>
  <c r="G95" i="10"/>
  <c r="G83" i="10"/>
  <c r="G54" i="10"/>
  <c r="AI55" i="10"/>
  <c r="G55" i="10" s="1"/>
  <c r="H345" i="10"/>
  <c r="S1067" i="2"/>
  <c r="BA122" i="14"/>
  <c r="BB122" i="14"/>
  <c r="BA100" i="14"/>
  <c r="BB100" i="14"/>
  <c r="R329" i="10"/>
  <c r="W329" i="10" s="1"/>
  <c r="R326" i="10"/>
  <c r="W326" i="10" s="1"/>
  <c r="R323" i="10"/>
  <c r="W323" i="10" s="1"/>
  <c r="R327" i="10"/>
  <c r="W327" i="10" s="1"/>
  <c r="R333" i="10"/>
  <c r="W333" i="10" s="1"/>
  <c r="R324" i="10"/>
  <c r="W324" i="10" s="1"/>
  <c r="R325" i="10"/>
  <c r="W325" i="10" s="1"/>
  <c r="R332" i="10"/>
  <c r="W332" i="10" s="1"/>
  <c r="R322" i="10"/>
  <c r="W322" i="10" s="1"/>
  <c r="R331" i="10"/>
  <c r="W331" i="10" s="1"/>
  <c r="R330" i="10"/>
  <c r="W330" i="10" s="1"/>
  <c r="R328" i="10"/>
  <c r="W328" i="10" s="1"/>
  <c r="R321" i="10"/>
  <c r="W321" i="10" s="1"/>
  <c r="AN145" i="10"/>
  <c r="AK47" i="10"/>
  <c r="AM41" i="10"/>
  <c r="AI152" i="10"/>
  <c r="AO146" i="10"/>
  <c r="AP145" i="10"/>
  <c r="AM47" i="10"/>
  <c r="AO41" i="10"/>
  <c r="AQ146" i="10"/>
  <c r="AQ145" i="10"/>
  <c r="AN47" i="10"/>
  <c r="AP41" i="10"/>
  <c r="AJ152" i="10"/>
  <c r="AS152" i="10"/>
  <c r="AR146" i="10"/>
  <c r="AR145" i="10"/>
  <c r="AO47" i="10"/>
  <c r="AQ41" i="10"/>
  <c r="AK152" i="10"/>
  <c r="AS146" i="10"/>
  <c r="AJ40" i="10"/>
  <c r="AS145" i="10"/>
  <c r="AP47" i="10"/>
  <c r="AR41" i="10"/>
  <c r="AT152" i="10"/>
  <c r="AT146" i="10"/>
  <c r="AU145" i="10"/>
  <c r="AR47" i="10"/>
  <c r="AT41" i="10"/>
  <c r="AU152" i="10"/>
  <c r="AJ146" i="10"/>
  <c r="AK146" i="10"/>
  <c r="AO40" i="10"/>
  <c r="W318" i="10"/>
  <c r="AL146" i="10"/>
  <c r="AP40" i="10"/>
  <c r="R344" i="10"/>
  <c r="W317" i="10"/>
  <c r="AM146" i="10"/>
  <c r="AQ40" i="10"/>
  <c r="AH47" i="10"/>
  <c r="AN146" i="10"/>
  <c r="AR40" i="10"/>
  <c r="AI145" i="10"/>
  <c r="AI47" i="10"/>
  <c r="AP146" i="10"/>
  <c r="AS40" i="10"/>
  <c r="AK145" i="10"/>
  <c r="AL47" i="10"/>
  <c r="AI41" i="10"/>
  <c r="AN41" i="10"/>
  <c r="D129" i="10"/>
  <c r="AS41" i="10"/>
  <c r="AU41" i="10"/>
  <c r="AH146" i="10"/>
  <c r="D24" i="10"/>
  <c r="AI146" i="10"/>
  <c r="AH40" i="10"/>
  <c r="AL145" i="10"/>
  <c r="AK40" i="10"/>
  <c r="AM40" i="10"/>
  <c r="AN40" i="10"/>
  <c r="AR152" i="10"/>
  <c r="AT40" i="10"/>
  <c r="AJ47" i="10"/>
  <c r="AU40" i="10"/>
  <c r="AQ47" i="10"/>
  <c r="AS47" i="10"/>
  <c r="AJ145" i="10"/>
  <c r="AT47" i="10"/>
  <c r="AU146" i="10"/>
  <c r="AM145" i="10"/>
  <c r="AU47" i="10"/>
  <c r="AO145" i="10"/>
  <c r="AH41" i="10"/>
  <c r="AT145" i="10"/>
  <c r="AJ41" i="10"/>
  <c r="AH145" i="10"/>
  <c r="AK41" i="10"/>
  <c r="AL41" i="10"/>
  <c r="AI40" i="10"/>
  <c r="AL40" i="10"/>
  <c r="C334" i="12"/>
  <c r="M854" i="2"/>
  <c r="BA116" i="14"/>
  <c r="BB116" i="14"/>
  <c r="K72" i="15"/>
  <c r="X69" i="10"/>
  <c r="C69" i="10"/>
  <c r="AF100" i="14"/>
  <c r="AG100" i="14"/>
  <c r="K66" i="15"/>
  <c r="BA115" i="14"/>
  <c r="BB115" i="14"/>
  <c r="S414" i="8"/>
  <c r="S419" i="8"/>
  <c r="S420" i="8"/>
  <c r="D406" i="1"/>
  <c r="M402" i="1"/>
  <c r="B646" i="9"/>
  <c r="D645" i="9"/>
  <c r="O645" i="9" s="1"/>
  <c r="R681" i="1"/>
  <c r="I64" i="15"/>
  <c r="C148" i="15" s="1"/>
  <c r="D64" i="15"/>
  <c r="F347" i="10"/>
  <c r="L372" i="10" s="1"/>
  <c r="Q1069" i="2"/>
  <c r="C183" i="10"/>
  <c r="X183" i="10"/>
  <c r="J160" i="8"/>
  <c r="I160" i="8"/>
  <c r="F350" i="10"/>
  <c r="Q1072" i="2"/>
  <c r="AF82" i="14"/>
  <c r="AG82" i="14"/>
  <c r="G48" i="10"/>
  <c r="G51" i="10" s="1"/>
  <c r="G45" i="10"/>
  <c r="BA103" i="14"/>
  <c r="BB103" i="14"/>
  <c r="AF104" i="14"/>
  <c r="AG104" i="14"/>
  <c r="M66" i="21"/>
  <c r="M69" i="21"/>
  <c r="X638" i="1"/>
  <c r="Z638" i="1" s="1"/>
  <c r="W638" i="1"/>
  <c r="D7" i="2"/>
  <c r="M7" i="2" s="1"/>
  <c r="P1084" i="2"/>
  <c r="L1197" i="2"/>
  <c r="Q1084" i="2" s="1"/>
  <c r="CO18" i="14"/>
  <c r="Q70" i="11"/>
  <c r="R680" i="1"/>
  <c r="I63" i="15"/>
  <c r="C147" i="15" s="1"/>
  <c r="D63" i="15"/>
  <c r="T681" i="1"/>
  <c r="E234" i="2"/>
  <c r="F348" i="10"/>
  <c r="Q1070" i="2"/>
  <c r="AF101" i="14"/>
  <c r="AG101" i="14"/>
  <c r="AF34" i="14"/>
  <c r="AG34" i="14"/>
  <c r="F351" i="10"/>
  <c r="Q1073" i="2"/>
  <c r="B928" i="1"/>
  <c r="B890" i="1"/>
  <c r="AF94" i="14"/>
  <c r="AG94" i="14"/>
  <c r="AF97" i="14"/>
  <c r="AG97" i="14"/>
  <c r="D146" i="15"/>
  <c r="M146" i="15"/>
  <c r="D240" i="8"/>
  <c r="D242" i="8" s="1"/>
  <c r="W645" i="1"/>
  <c r="X645" i="1"/>
  <c r="Z645" i="1" s="1"/>
  <c r="R686" i="1"/>
  <c r="I69" i="15"/>
  <c r="C153" i="15" s="1"/>
  <c r="D69" i="15"/>
  <c r="BB104" i="14"/>
  <c r="BA104" i="14"/>
  <c r="AG118" i="14"/>
  <c r="AF118" i="14"/>
  <c r="AF91" i="14"/>
  <c r="AG91" i="14"/>
  <c r="E859" i="8"/>
  <c r="G859" i="8" s="1"/>
  <c r="W641" i="1"/>
  <c r="X641" i="1"/>
  <c r="Z641" i="1" s="1"/>
  <c r="E173" i="10"/>
  <c r="X173" i="10"/>
  <c r="C173" i="10"/>
  <c r="AF55" i="14"/>
  <c r="AG55" i="14"/>
  <c r="J153" i="8"/>
  <c r="I153" i="8"/>
  <c r="C494" i="2"/>
  <c r="C495" i="2"/>
  <c r="G455" i="2"/>
  <c r="E354" i="10"/>
  <c r="P1076" i="2"/>
  <c r="M419" i="8"/>
  <c r="M414" i="8"/>
  <c r="C414" i="8" s="1"/>
  <c r="C413" i="8"/>
  <c r="M420" i="8"/>
  <c r="C420" i="8" s="1"/>
  <c r="C419" i="8" s="1"/>
  <c r="F531" i="8"/>
  <c r="G75" i="4"/>
  <c r="J75" i="4" s="1"/>
  <c r="G74" i="4"/>
  <c r="J74" i="4" s="1"/>
  <c r="G76" i="4"/>
  <c r="J76" i="4" s="1"/>
  <c r="G78" i="4"/>
  <c r="J78" i="4" s="1"/>
  <c r="CO19" i="14"/>
  <c r="P561" i="2"/>
  <c r="P66" i="2"/>
  <c r="P44" i="2"/>
  <c r="U554" i="2"/>
  <c r="P560" i="2"/>
  <c r="P45" i="2"/>
  <c r="P582" i="2"/>
  <c r="P67" i="2"/>
  <c r="P583" i="2"/>
  <c r="X75" i="10"/>
  <c r="C75" i="10"/>
  <c r="B1058" i="1"/>
  <c r="M193" i="1"/>
  <c r="AH688" i="1"/>
  <c r="Z688" i="1"/>
  <c r="AA688" i="1"/>
  <c r="S602" i="1"/>
  <c r="U275" i="1"/>
  <c r="R602" i="1"/>
  <c r="S572" i="1"/>
  <c r="R572" i="1"/>
  <c r="K71" i="15"/>
  <c r="R685" i="1"/>
  <c r="I68" i="15"/>
  <c r="C152" i="15" s="1"/>
  <c r="D68" i="15"/>
  <c r="E69" i="10"/>
  <c r="R678" i="1"/>
  <c r="I61" i="15"/>
  <c r="C145" i="15" s="1"/>
  <c r="E41" i="15"/>
  <c r="CK4" i="14" s="1"/>
  <c r="D61" i="15"/>
  <c r="O70" i="11"/>
  <c r="E65" i="15" s="1"/>
  <c r="AF122" i="14"/>
  <c r="AG122" i="14"/>
  <c r="V577" i="1"/>
  <c r="F352" i="10"/>
  <c r="Q1074" i="2"/>
  <c r="T1080" i="2"/>
  <c r="I358" i="10"/>
  <c r="D1193" i="2"/>
  <c r="D1225" i="2" s="1"/>
  <c r="AF32" i="14"/>
  <c r="AG32" i="14"/>
  <c r="AF103" i="14"/>
  <c r="AG103" i="14"/>
  <c r="AF52" i="14"/>
  <c r="AG52" i="14"/>
  <c r="AA679" i="1"/>
  <c r="R593" i="1"/>
  <c r="S593" i="1"/>
  <c r="U266" i="1"/>
  <c r="R563" i="1"/>
  <c r="S563" i="1"/>
  <c r="F687" i="9"/>
  <c r="F712" i="9"/>
  <c r="F737" i="9"/>
  <c r="AF28" i="14"/>
  <c r="AG28" i="14"/>
  <c r="X640" i="1"/>
  <c r="Z640" i="1" s="1"/>
  <c r="W640" i="1"/>
  <c r="Q414" i="8"/>
  <c r="Q419" i="8"/>
  <c r="Q420" i="8"/>
  <c r="W646" i="1"/>
  <c r="X646" i="1"/>
  <c r="Z646" i="1" s="1"/>
  <c r="E74" i="10"/>
  <c r="X74" i="10"/>
  <c r="C74" i="10"/>
  <c r="Q1288" i="2"/>
  <c r="E1288" i="2" s="1"/>
  <c r="L516" i="8"/>
  <c r="Q103" i="4"/>
  <c r="G103" i="4" s="1"/>
  <c r="J103" i="4" s="1"/>
  <c r="Q122" i="4"/>
  <c r="G122" i="4" s="1"/>
  <c r="J122" i="4" s="1"/>
  <c r="Q130" i="4"/>
  <c r="G130" i="4" s="1"/>
  <c r="J130" i="4" s="1"/>
  <c r="Q140" i="4"/>
  <c r="G140" i="4" s="1"/>
  <c r="J140" i="4" s="1"/>
  <c r="Q158" i="4"/>
  <c r="G158" i="4" s="1"/>
  <c r="J158" i="4" s="1"/>
  <c r="Q167" i="4"/>
  <c r="G167" i="4" s="1"/>
  <c r="J167" i="4" s="1"/>
  <c r="Q189" i="4"/>
  <c r="G189" i="4" s="1"/>
  <c r="J189" i="4" s="1"/>
  <c r="Q104" i="4"/>
  <c r="G104" i="4" s="1"/>
  <c r="J104" i="4" s="1"/>
  <c r="Q114" i="4"/>
  <c r="G114" i="4" s="1"/>
  <c r="J114" i="4" s="1"/>
  <c r="Q123" i="4"/>
  <c r="G123" i="4" s="1"/>
  <c r="J123" i="4" s="1"/>
  <c r="Q131" i="4"/>
  <c r="G131" i="4" s="1"/>
  <c r="J131" i="4" s="1"/>
  <c r="Q141" i="4"/>
  <c r="G141" i="4" s="1"/>
  <c r="J141" i="4" s="1"/>
  <c r="Q151" i="4"/>
  <c r="G151" i="4" s="1"/>
  <c r="J151" i="4" s="1"/>
  <c r="Q168" i="4"/>
  <c r="G168" i="4" s="1"/>
  <c r="J168" i="4" s="1"/>
  <c r="Q181" i="4"/>
  <c r="Q190" i="4"/>
  <c r="G190" i="4" s="1"/>
  <c r="J190" i="4" s="1"/>
  <c r="Q105" i="4"/>
  <c r="G105" i="4" s="1"/>
  <c r="J105" i="4" s="1"/>
  <c r="Q115" i="4"/>
  <c r="G115" i="4" s="1"/>
  <c r="J115" i="4" s="1"/>
  <c r="Q183" i="4"/>
  <c r="Q124" i="4"/>
  <c r="Q142" i="4"/>
  <c r="G142" i="4" s="1"/>
  <c r="J142" i="4" s="1"/>
  <c r="Q152" i="4"/>
  <c r="G152" i="4" s="1"/>
  <c r="J152" i="4" s="1"/>
  <c r="Q161" i="4"/>
  <c r="G161" i="4" s="1"/>
  <c r="J161" i="4" s="1"/>
  <c r="Q182" i="4"/>
  <c r="Q191" i="4"/>
  <c r="G191" i="4" s="1"/>
  <c r="J191" i="4" s="1"/>
  <c r="Q129" i="4"/>
  <c r="G129" i="4" s="1"/>
  <c r="J129" i="4" s="1"/>
  <c r="Q119" i="4"/>
  <c r="G119" i="4" s="1"/>
  <c r="J119" i="4" s="1"/>
  <c r="Q146" i="4"/>
  <c r="G146" i="4" s="1"/>
  <c r="J146" i="4" s="1"/>
  <c r="Q157" i="4"/>
  <c r="G157" i="4" s="1"/>
  <c r="J157" i="4" s="1"/>
  <c r="Q193" i="4"/>
  <c r="G193" i="4" s="1"/>
  <c r="J193" i="4" s="1"/>
  <c r="Q108" i="4"/>
  <c r="G108" i="4" s="1"/>
  <c r="J108" i="4" s="1"/>
  <c r="Q120" i="4"/>
  <c r="G120" i="4" s="1"/>
  <c r="J120" i="4" s="1"/>
  <c r="Q134" i="4"/>
  <c r="G134" i="4" s="1"/>
  <c r="J134" i="4" s="1"/>
  <c r="Q147" i="4"/>
  <c r="G147" i="4" s="1"/>
  <c r="J147" i="4" s="1"/>
  <c r="Q194" i="4"/>
  <c r="G194" i="4" s="1"/>
  <c r="J194" i="4" s="1"/>
  <c r="Q110" i="4"/>
  <c r="G110" i="4" s="1"/>
  <c r="J110" i="4" s="1"/>
  <c r="Q136" i="4"/>
  <c r="G136" i="4" s="1"/>
  <c r="J136" i="4" s="1"/>
  <c r="Q163" i="4"/>
  <c r="G163" i="4" s="1"/>
  <c r="J163" i="4" s="1"/>
  <c r="Q102" i="4"/>
  <c r="G102" i="4" s="1"/>
  <c r="J102" i="4" s="1"/>
  <c r="Q162" i="4"/>
  <c r="G162" i="4" s="1"/>
  <c r="J162" i="4" s="1"/>
  <c r="Q126" i="4"/>
  <c r="G126" i="4" s="1"/>
  <c r="J126" i="4" s="1"/>
  <c r="Q145" i="4"/>
  <c r="G145" i="4" s="1"/>
  <c r="J145" i="4" s="1"/>
  <c r="Q192" i="4"/>
  <c r="G192" i="4" s="1"/>
  <c r="J192" i="4" s="1"/>
  <c r="Q109" i="4"/>
  <c r="G109" i="4" s="1"/>
  <c r="J109" i="4" s="1"/>
  <c r="Q127" i="4"/>
  <c r="G127" i="4" s="1"/>
  <c r="J127" i="4" s="1"/>
  <c r="Q148" i="4"/>
  <c r="G148" i="4" s="1"/>
  <c r="J148" i="4" s="1"/>
  <c r="Q164" i="4"/>
  <c r="G164" i="4" s="1"/>
  <c r="J164" i="4" s="1"/>
  <c r="Q128" i="4"/>
  <c r="G128" i="4" s="1"/>
  <c r="J128" i="4" s="1"/>
  <c r="Q165" i="4"/>
  <c r="G165" i="4" s="1"/>
  <c r="J165" i="4" s="1"/>
  <c r="Q153" i="4"/>
  <c r="G153" i="4" s="1"/>
  <c r="J153" i="4" s="1"/>
  <c r="Q166" i="4"/>
  <c r="G166" i="4" s="1"/>
  <c r="J166" i="4" s="1"/>
  <c r="Q118" i="4"/>
  <c r="G118" i="4" s="1"/>
  <c r="J118" i="4" s="1"/>
  <c r="Q121" i="4"/>
  <c r="G121" i="4" s="1"/>
  <c r="Q154" i="4"/>
  <c r="G154" i="4" s="1"/>
  <c r="J154" i="4" s="1"/>
  <c r="Q101" i="4"/>
  <c r="G101" i="4" s="1"/>
  <c r="Q139" i="4"/>
  <c r="G139" i="4" s="1"/>
  <c r="J139" i="4" s="1"/>
  <c r="Q135" i="4"/>
  <c r="G135" i="4" s="1"/>
  <c r="J135" i="4" s="1"/>
  <c r="Q187" i="4"/>
  <c r="G187" i="4" s="1"/>
  <c r="J187" i="4" s="1"/>
  <c r="Q111" i="4"/>
  <c r="G111" i="4" s="1"/>
  <c r="J111" i="4" s="1"/>
  <c r="Q188" i="4"/>
  <c r="G188" i="4" s="1"/>
  <c r="J188" i="4" s="1"/>
  <c r="Q155" i="4"/>
  <c r="G155" i="4" s="1"/>
  <c r="J155" i="4" s="1"/>
  <c r="Q184" i="4"/>
  <c r="Q156" i="4"/>
  <c r="G156" i="4" s="1"/>
  <c r="J156" i="4" s="1"/>
  <c r="Q125" i="4"/>
  <c r="G125" i="4" s="1"/>
  <c r="J125" i="4" s="1"/>
  <c r="X648" i="1"/>
  <c r="Z648" i="1" s="1"/>
  <c r="W648" i="1"/>
  <c r="BA28" i="14"/>
  <c r="BB28" i="14"/>
  <c r="F1186" i="2"/>
  <c r="N1188" i="2"/>
  <c r="S686" i="2"/>
  <c r="R689" i="1"/>
  <c r="I72" i="15"/>
  <c r="C156" i="15" s="1"/>
  <c r="D72" i="15"/>
  <c r="N847" i="8"/>
  <c r="D847" i="8"/>
  <c r="E847" i="8" s="1"/>
  <c r="I847" i="8" s="1"/>
  <c r="X643" i="1"/>
  <c r="Z643" i="1" s="1"/>
  <c r="W643" i="1"/>
  <c r="S927" i="2"/>
  <c r="AQ317" i="10"/>
  <c r="X174" i="10"/>
  <c r="C174" i="10"/>
  <c r="C180" i="10"/>
  <c r="X180" i="10"/>
  <c r="B1104" i="1"/>
  <c r="J3" i="14"/>
  <c r="AF96" i="14"/>
  <c r="AG96" i="14"/>
  <c r="F353" i="10"/>
  <c r="L373" i="10" s="1"/>
  <c r="Q1075" i="2"/>
  <c r="C310" i="8"/>
  <c r="AF85" i="14"/>
  <c r="AG85" i="14"/>
  <c r="BA112" i="14"/>
  <c r="BB112" i="14"/>
  <c r="B1080" i="2"/>
  <c r="C1081" i="2"/>
  <c r="AF95" i="14"/>
  <c r="AG95" i="14"/>
  <c r="AF38" i="14"/>
  <c r="AG38" i="14"/>
  <c r="D126" i="2"/>
  <c r="U126" i="2"/>
  <c r="F925" i="1"/>
  <c r="I198" i="8"/>
  <c r="C198" i="8"/>
  <c r="E198" i="8"/>
  <c r="F198" i="8"/>
  <c r="G198" i="8"/>
  <c r="F225" i="8"/>
  <c r="D198" i="8"/>
  <c r="H198" i="8"/>
  <c r="B687" i="9"/>
  <c r="K645" i="9"/>
  <c r="M99" i="15"/>
  <c r="M127" i="15"/>
  <c r="M113" i="15"/>
  <c r="M71" i="15"/>
  <c r="M85" i="15"/>
  <c r="Q85" i="15"/>
  <c r="O127" i="15"/>
  <c r="Q99" i="15"/>
  <c r="R99" i="15"/>
  <c r="S99" i="15"/>
  <c r="R85" i="15"/>
  <c r="P127" i="15"/>
  <c r="S127" i="15"/>
  <c r="T127" i="15"/>
  <c r="S85" i="15"/>
  <c r="Q127" i="15"/>
  <c r="P99" i="15"/>
  <c r="N71" i="15"/>
  <c r="O71" i="15"/>
  <c r="T85" i="15"/>
  <c r="N99" i="15"/>
  <c r="R127" i="15"/>
  <c r="O99" i="15"/>
  <c r="O113" i="15"/>
  <c r="S113" i="15"/>
  <c r="P71" i="15"/>
  <c r="T99" i="15"/>
  <c r="N127" i="15"/>
  <c r="P113" i="15"/>
  <c r="R113" i="15"/>
  <c r="P85" i="15"/>
  <c r="T113" i="15"/>
  <c r="Q71" i="15"/>
  <c r="S71" i="15"/>
  <c r="N85" i="15"/>
  <c r="Q113" i="15"/>
  <c r="O85" i="15"/>
  <c r="R71" i="15"/>
  <c r="T71" i="15"/>
  <c r="N113" i="15"/>
  <c r="AB647" i="1"/>
  <c r="V768" i="1"/>
  <c r="M79" i="15"/>
  <c r="M65" i="15"/>
  <c r="M93" i="15"/>
  <c r="M107" i="15"/>
  <c r="M121" i="15"/>
  <c r="R65" i="15"/>
  <c r="P107" i="15"/>
  <c r="T107" i="15"/>
  <c r="N93" i="15"/>
  <c r="S65" i="15"/>
  <c r="Q107" i="15"/>
  <c r="P79" i="15"/>
  <c r="S79" i="15"/>
  <c r="Q121" i="15"/>
  <c r="T65" i="15"/>
  <c r="N79" i="15"/>
  <c r="R107" i="15"/>
  <c r="N121" i="15"/>
  <c r="Q79" i="15"/>
  <c r="P121" i="15"/>
  <c r="T79" i="15"/>
  <c r="R121" i="15"/>
  <c r="O79" i="15"/>
  <c r="S107" i="15"/>
  <c r="O121" i="15"/>
  <c r="R79" i="15"/>
  <c r="P65" i="15"/>
  <c r="S93" i="15"/>
  <c r="O107" i="15"/>
  <c r="T121" i="15"/>
  <c r="R93" i="15"/>
  <c r="Q65" i="15"/>
  <c r="T93" i="15"/>
  <c r="N107" i="15"/>
  <c r="S121" i="15"/>
  <c r="Q93" i="15"/>
  <c r="O65" i="15"/>
  <c r="O93" i="15"/>
  <c r="P93" i="15"/>
  <c r="N65" i="15"/>
  <c r="R66" i="15"/>
  <c r="R80" i="15"/>
  <c r="R94" i="15"/>
  <c r="R108" i="15"/>
  <c r="R122" i="15"/>
  <c r="S108" i="15"/>
  <c r="O66" i="15"/>
  <c r="O80" i="15"/>
  <c r="O94" i="15"/>
  <c r="O108" i="15"/>
  <c r="O122" i="15"/>
  <c r="S94" i="15"/>
  <c r="S122" i="15"/>
  <c r="T80" i="15"/>
  <c r="T108" i="15"/>
  <c r="P66" i="15"/>
  <c r="P80" i="15"/>
  <c r="P94" i="15"/>
  <c r="P108" i="15"/>
  <c r="P122" i="15"/>
  <c r="T66" i="15"/>
  <c r="T94" i="15"/>
  <c r="Q66" i="15"/>
  <c r="Q80" i="15"/>
  <c r="Q94" i="15"/>
  <c r="Q108" i="15"/>
  <c r="Q122" i="15"/>
  <c r="S66" i="15"/>
  <c r="S80" i="15"/>
  <c r="T122" i="15"/>
  <c r="N94" i="15"/>
  <c r="M108" i="15"/>
  <c r="M66" i="15"/>
  <c r="N66" i="15"/>
  <c r="N108" i="15"/>
  <c r="N122" i="15"/>
  <c r="M80" i="15"/>
  <c r="N80" i="15"/>
  <c r="M94" i="15"/>
  <c r="M122" i="15"/>
  <c r="V200" i="2"/>
  <c r="V205" i="2" s="1"/>
  <c r="V206" i="2" s="1"/>
  <c r="K203" i="2"/>
  <c r="S202" i="2"/>
  <c r="S144" i="2"/>
  <c r="V156" i="2"/>
  <c r="K720" i="2"/>
  <c r="S719" i="2"/>
  <c r="AL688" i="1"/>
  <c r="AW688" i="1" s="1"/>
  <c r="AB638" i="1"/>
  <c r="V759" i="1"/>
  <c r="R72" i="15"/>
  <c r="R86" i="15"/>
  <c r="R100" i="15"/>
  <c r="R114" i="15"/>
  <c r="R128" i="15"/>
  <c r="T72" i="15"/>
  <c r="T100" i="15"/>
  <c r="T128" i="15"/>
  <c r="O72" i="15"/>
  <c r="O86" i="15"/>
  <c r="O100" i="15"/>
  <c r="O114" i="15"/>
  <c r="O128" i="15"/>
  <c r="P72" i="15"/>
  <c r="P86" i="15"/>
  <c r="P100" i="15"/>
  <c r="P114" i="15"/>
  <c r="P128" i="15"/>
  <c r="S86" i="15"/>
  <c r="S114" i="15"/>
  <c r="T114" i="15"/>
  <c r="Q72" i="15"/>
  <c r="Q86" i="15"/>
  <c r="Q100" i="15"/>
  <c r="Q114" i="15"/>
  <c r="Q128" i="15"/>
  <c r="S72" i="15"/>
  <c r="S100" i="15"/>
  <c r="S128" i="15"/>
  <c r="T86" i="15"/>
  <c r="M114" i="15"/>
  <c r="N128" i="15"/>
  <c r="N114" i="15"/>
  <c r="M128" i="15"/>
  <c r="M86" i="15"/>
  <c r="N86" i="15"/>
  <c r="M100" i="15"/>
  <c r="N100" i="15"/>
  <c r="M72" i="15"/>
  <c r="N72" i="15"/>
  <c r="M63" i="15"/>
  <c r="M91" i="15"/>
  <c r="M119" i="15"/>
  <c r="M77" i="15"/>
  <c r="M105" i="15"/>
  <c r="O91" i="15"/>
  <c r="S119" i="15"/>
  <c r="S91" i="15"/>
  <c r="P63" i="15"/>
  <c r="P91" i="15"/>
  <c r="T119" i="15"/>
  <c r="O63" i="15"/>
  <c r="T91" i="15"/>
  <c r="R63" i="15"/>
  <c r="P105" i="15"/>
  <c r="Q91" i="15"/>
  <c r="O105" i="15"/>
  <c r="S63" i="15"/>
  <c r="Q105" i="15"/>
  <c r="T63" i="15"/>
  <c r="N63" i="15"/>
  <c r="R91" i="15"/>
  <c r="N105" i="15"/>
  <c r="Q63" i="15"/>
  <c r="N77" i="15"/>
  <c r="N119" i="15"/>
  <c r="O119" i="15"/>
  <c r="Q119" i="15"/>
  <c r="R119" i="15"/>
  <c r="O77" i="15"/>
  <c r="R105" i="15"/>
  <c r="Q77" i="15"/>
  <c r="R77" i="15"/>
  <c r="S77" i="15"/>
  <c r="P77" i="15"/>
  <c r="S105" i="15"/>
  <c r="T105" i="15"/>
  <c r="T77" i="15"/>
  <c r="P119" i="15"/>
  <c r="N91" i="15"/>
  <c r="V87" i="2"/>
  <c r="S86" i="2"/>
  <c r="V762" i="1"/>
  <c r="AB641" i="1"/>
  <c r="V694" i="2"/>
  <c r="V682" i="2"/>
  <c r="V683" i="2"/>
  <c r="V689" i="2"/>
  <c r="V680" i="2"/>
  <c r="R64" i="15"/>
  <c r="R78" i="15"/>
  <c r="R92" i="15"/>
  <c r="R106" i="15"/>
  <c r="R120" i="15"/>
  <c r="S92" i="15"/>
  <c r="T64" i="15"/>
  <c r="T92" i="15"/>
  <c r="T120" i="15"/>
  <c r="O64" i="15"/>
  <c r="O78" i="15"/>
  <c r="O92" i="15"/>
  <c r="O106" i="15"/>
  <c r="O120" i="15"/>
  <c r="S64" i="15"/>
  <c r="P64" i="15"/>
  <c r="P78" i="15"/>
  <c r="P92" i="15"/>
  <c r="P106" i="15"/>
  <c r="P120" i="15"/>
  <c r="S78" i="15"/>
  <c r="S106" i="15"/>
  <c r="Q64" i="15"/>
  <c r="Q78" i="15"/>
  <c r="Q92" i="15"/>
  <c r="Q106" i="15"/>
  <c r="Q120" i="15"/>
  <c r="S120" i="15"/>
  <c r="T78" i="15"/>
  <c r="T106" i="15"/>
  <c r="M78" i="15"/>
  <c r="N78" i="15"/>
  <c r="N92" i="15"/>
  <c r="M120" i="15"/>
  <c r="N120" i="15"/>
  <c r="M92" i="15"/>
  <c r="M64" i="15"/>
  <c r="M106" i="15"/>
  <c r="N106" i="15"/>
  <c r="N64" i="15"/>
  <c r="V717" i="2"/>
  <c r="V722" i="2" s="1"/>
  <c r="V723" i="2" s="1"/>
  <c r="M109" i="15"/>
  <c r="M123" i="15"/>
  <c r="M81" i="15"/>
  <c r="M67" i="15"/>
  <c r="M95" i="15"/>
  <c r="S81" i="15"/>
  <c r="Q123" i="15"/>
  <c r="R95" i="15"/>
  <c r="O67" i="15"/>
  <c r="P67" i="15"/>
  <c r="Q67" i="15"/>
  <c r="O109" i="15"/>
  <c r="T81" i="15"/>
  <c r="N95" i="15"/>
  <c r="R123" i="15"/>
  <c r="Q95" i="15"/>
  <c r="S95" i="15"/>
  <c r="O95" i="15"/>
  <c r="S123" i="15"/>
  <c r="N67" i="15"/>
  <c r="T95" i="15"/>
  <c r="N109" i="15"/>
  <c r="P95" i="15"/>
  <c r="T123" i="15"/>
  <c r="P109" i="15"/>
  <c r="O81" i="15"/>
  <c r="P81" i="15"/>
  <c r="R81" i="15"/>
  <c r="N123" i="15"/>
  <c r="Q109" i="15"/>
  <c r="R67" i="15"/>
  <c r="O123" i="15"/>
  <c r="S67" i="15"/>
  <c r="P123" i="15"/>
  <c r="T67" i="15"/>
  <c r="N81" i="15"/>
  <c r="R109" i="15"/>
  <c r="S109" i="15"/>
  <c r="Q81" i="15"/>
  <c r="T109" i="15"/>
  <c r="V651" i="2"/>
  <c r="V650" i="2"/>
  <c r="V656" i="2"/>
  <c r="V661" i="2"/>
  <c r="V646" i="2"/>
  <c r="V603" i="2"/>
  <c r="S602" i="2"/>
  <c r="AB639" i="1"/>
  <c r="V760" i="1"/>
  <c r="V139" i="2"/>
  <c r="V135" i="2"/>
  <c r="V132" i="2"/>
  <c r="V145" i="2"/>
  <c r="V129" i="2"/>
  <c r="M69" i="15"/>
  <c r="M83" i="15"/>
  <c r="M97" i="15"/>
  <c r="M125" i="15"/>
  <c r="M111" i="15"/>
  <c r="P69" i="15"/>
  <c r="T97" i="15"/>
  <c r="N111" i="15"/>
  <c r="O83" i="15"/>
  <c r="S111" i="15"/>
  <c r="P83" i="15"/>
  <c r="R83" i="15"/>
  <c r="P125" i="15"/>
  <c r="Q69" i="15"/>
  <c r="O111" i="15"/>
  <c r="R111" i="15"/>
  <c r="T111" i="15"/>
  <c r="R69" i="15"/>
  <c r="P111" i="15"/>
  <c r="T69" i="15"/>
  <c r="Q83" i="15"/>
  <c r="O125" i="15"/>
  <c r="S69" i="15"/>
  <c r="Q111" i="15"/>
  <c r="N83" i="15"/>
  <c r="N125" i="15"/>
  <c r="N69" i="15"/>
  <c r="Q97" i="15"/>
  <c r="T125" i="15"/>
  <c r="O69" i="15"/>
  <c r="R97" i="15"/>
  <c r="S97" i="15"/>
  <c r="S83" i="15"/>
  <c r="O97" i="15"/>
  <c r="S125" i="15"/>
  <c r="N97" i="15"/>
  <c r="Q125" i="15"/>
  <c r="R125" i="15"/>
  <c r="P97" i="15"/>
  <c r="T83" i="15"/>
  <c r="S192" i="2"/>
  <c r="V763" i="1"/>
  <c r="AB642" i="1"/>
  <c r="R70" i="15"/>
  <c r="R84" i="15"/>
  <c r="R98" i="15"/>
  <c r="R112" i="15"/>
  <c r="R126" i="15"/>
  <c r="S70" i="15"/>
  <c r="S98" i="15"/>
  <c r="S126" i="15"/>
  <c r="O70" i="15"/>
  <c r="O84" i="15"/>
  <c r="O98" i="15"/>
  <c r="O112" i="15"/>
  <c r="O126" i="15"/>
  <c r="S84" i="15"/>
  <c r="S112" i="15"/>
  <c r="T70" i="15"/>
  <c r="T98" i="15"/>
  <c r="T126" i="15"/>
  <c r="P70" i="15"/>
  <c r="P84" i="15"/>
  <c r="P98" i="15"/>
  <c r="P112" i="15"/>
  <c r="P126" i="15"/>
  <c r="T84" i="15"/>
  <c r="Q70" i="15"/>
  <c r="Q84" i="15"/>
  <c r="Q98" i="15"/>
  <c r="Q112" i="15"/>
  <c r="Q126" i="15"/>
  <c r="T112" i="15"/>
  <c r="M112" i="15"/>
  <c r="M98" i="15"/>
  <c r="M70" i="15"/>
  <c r="N98" i="15"/>
  <c r="N70" i="15"/>
  <c r="N112" i="15"/>
  <c r="M84" i="15"/>
  <c r="M126" i="15"/>
  <c r="N126" i="15"/>
  <c r="N84" i="15"/>
  <c r="V767" i="1"/>
  <c r="AB646" i="1"/>
  <c r="R68" i="15"/>
  <c r="R82" i="15"/>
  <c r="R96" i="15"/>
  <c r="R110" i="15"/>
  <c r="R124" i="15"/>
  <c r="S82" i="15"/>
  <c r="T82" i="15"/>
  <c r="T110" i="15"/>
  <c r="O68" i="15"/>
  <c r="O82" i="15"/>
  <c r="O96" i="15"/>
  <c r="O110" i="15"/>
  <c r="O124" i="15"/>
  <c r="P68" i="15"/>
  <c r="P82" i="15"/>
  <c r="P96" i="15"/>
  <c r="P110" i="15"/>
  <c r="P124" i="15"/>
  <c r="S68" i="15"/>
  <c r="S96" i="15"/>
  <c r="S124" i="15"/>
  <c r="T124" i="15"/>
  <c r="Q68" i="15"/>
  <c r="Q82" i="15"/>
  <c r="Q96" i="15"/>
  <c r="Q110" i="15"/>
  <c r="Q124" i="15"/>
  <c r="S110" i="15"/>
  <c r="T68" i="15"/>
  <c r="T96" i="15"/>
  <c r="M124" i="15"/>
  <c r="N124" i="15"/>
  <c r="M82" i="15"/>
  <c r="M96" i="15"/>
  <c r="N82" i="15"/>
  <c r="N96" i="15"/>
  <c r="M68" i="15"/>
  <c r="N68" i="15"/>
  <c r="M110" i="15"/>
  <c r="N110" i="15"/>
  <c r="R62" i="15"/>
  <c r="R76" i="15"/>
  <c r="R90" i="15"/>
  <c r="R104" i="15"/>
  <c r="R118" i="15"/>
  <c r="S62" i="15"/>
  <c r="S118" i="15"/>
  <c r="O62" i="15"/>
  <c r="O76" i="15"/>
  <c r="O90" i="15"/>
  <c r="O104" i="15"/>
  <c r="O118" i="15"/>
  <c r="S76" i="15"/>
  <c r="S104" i="15"/>
  <c r="T62" i="15"/>
  <c r="T90" i="15"/>
  <c r="T118" i="15"/>
  <c r="P62" i="15"/>
  <c r="P76" i="15"/>
  <c r="P90" i="15"/>
  <c r="P104" i="15"/>
  <c r="P118" i="15"/>
  <c r="T76" i="15"/>
  <c r="T104" i="15"/>
  <c r="Q62" i="15"/>
  <c r="Q76" i="15"/>
  <c r="Q90" i="15"/>
  <c r="Q104" i="15"/>
  <c r="Q118" i="15"/>
  <c r="S90" i="15"/>
  <c r="M76" i="15"/>
  <c r="N76" i="15"/>
  <c r="M62" i="15"/>
  <c r="N62" i="15"/>
  <c r="N104" i="15"/>
  <c r="M104" i="15"/>
  <c r="N118" i="15"/>
  <c r="M90" i="15"/>
  <c r="M118" i="15"/>
  <c r="N90" i="15"/>
  <c r="M75" i="15"/>
  <c r="M103" i="15"/>
  <c r="M61" i="15"/>
  <c r="M89" i="15"/>
  <c r="M117" i="15"/>
  <c r="T61" i="15"/>
  <c r="N75" i="15"/>
  <c r="R103" i="15"/>
  <c r="R75" i="15"/>
  <c r="R117" i="15"/>
  <c r="O89" i="15"/>
  <c r="T117" i="15"/>
  <c r="O75" i="15"/>
  <c r="S103" i="15"/>
  <c r="T75" i="15"/>
  <c r="S117" i="15"/>
  <c r="P75" i="15"/>
  <c r="T103" i="15"/>
  <c r="N117" i="15"/>
  <c r="Q117" i="15"/>
  <c r="N89" i="15"/>
  <c r="P89" i="15"/>
  <c r="Q75" i="15"/>
  <c r="O117" i="15"/>
  <c r="P117" i="15"/>
  <c r="S75" i="15"/>
  <c r="Q103" i="15"/>
  <c r="O61" i="15"/>
  <c r="S89" i="15"/>
  <c r="P61" i="15"/>
  <c r="T89" i="15"/>
  <c r="Q61" i="15"/>
  <c r="S61" i="15"/>
  <c r="Q89" i="15"/>
  <c r="R89" i="15"/>
  <c r="N103" i="15"/>
  <c r="P103" i="15"/>
  <c r="N61" i="15"/>
  <c r="R61" i="15"/>
  <c r="O103" i="15"/>
  <c r="V709" i="2"/>
  <c r="V191" i="2"/>
  <c r="V764" i="1"/>
  <c r="L61" i="15"/>
  <c r="V673" i="2"/>
  <c r="L62" i="15"/>
  <c r="Y681" i="1"/>
  <c r="AC1127" i="2"/>
  <c r="AB643" i="1"/>
  <c r="V770" i="1"/>
  <c r="S193" i="2"/>
  <c r="V664" i="2"/>
  <c r="AB463" i="2"/>
  <c r="S711" i="2"/>
  <c r="AB649" i="1"/>
  <c r="V695" i="2"/>
  <c r="V690" i="2"/>
  <c r="V657" i="2"/>
  <c r="V662" i="2"/>
  <c r="V140" i="2"/>
  <c r="V146" i="2"/>
  <c r="H9" i="9" l="1"/>
  <c r="H65" i="2"/>
  <c r="T1065" i="2"/>
  <c r="N858" i="8"/>
  <c r="F859" i="8"/>
  <c r="U660" i="2"/>
  <c r="D221" i="2"/>
  <c r="S222" i="2"/>
  <c r="AC1126" i="2"/>
  <c r="D122" i="2"/>
  <c r="AW622" i="1"/>
  <c r="Z112" i="10"/>
  <c r="AQ45" i="10"/>
  <c r="O45" i="10" s="1"/>
  <c r="X43" i="10"/>
  <c r="Z43" i="10" s="1"/>
  <c r="T70" i="11"/>
  <c r="E48" i="15" s="1"/>
  <c r="CK1" i="14" s="1"/>
  <c r="AI5" i="10"/>
  <c r="U38" i="2"/>
  <c r="T1064" i="2"/>
  <c r="P65" i="2"/>
  <c r="T1069" i="2"/>
  <c r="N1186" i="2"/>
  <c r="M321" i="10"/>
  <c r="N321" i="10" s="1"/>
  <c r="M332" i="10"/>
  <c r="N332" i="10" s="1"/>
  <c r="M328" i="10"/>
  <c r="N328" i="10" s="1"/>
  <c r="M322" i="10"/>
  <c r="N322" i="10" s="1"/>
  <c r="M327" i="10"/>
  <c r="N327" i="10" s="1"/>
  <c r="AR50" i="3"/>
  <c r="AJ45" i="10"/>
  <c r="H48" i="10" s="1"/>
  <c r="H51" i="10" s="1"/>
  <c r="L1116" i="2"/>
  <c r="P402" i="8"/>
  <c r="D402" i="8"/>
  <c r="AR39" i="3"/>
  <c r="AS39" i="3" s="1"/>
  <c r="Y39" i="3" s="1"/>
  <c r="AR24" i="3"/>
  <c r="AS24" i="3" s="1"/>
  <c r="Y24" i="3" s="1"/>
  <c r="E896" i="1"/>
  <c r="O900" i="1" s="1"/>
  <c r="F919" i="1"/>
  <c r="AH55" i="10"/>
  <c r="X55" i="10" s="1"/>
  <c r="U70" i="11"/>
  <c r="E49" i="15" s="1"/>
  <c r="CK2" i="14" s="1"/>
  <c r="R584" i="2"/>
  <c r="S1064" i="2"/>
  <c r="AH679" i="1"/>
  <c r="AM679" i="1" s="1"/>
  <c r="X54" i="10"/>
  <c r="AN45" i="10"/>
  <c r="L48" i="10" s="1"/>
  <c r="L51" i="10" s="1"/>
  <c r="AR27" i="3"/>
  <c r="AS27" i="3" s="1"/>
  <c r="Y27" i="3" s="1"/>
  <c r="F43" i="2"/>
  <c r="H43" i="2" s="1"/>
  <c r="F154" i="10"/>
  <c r="R46" i="2"/>
  <c r="R562" i="2"/>
  <c r="P54" i="10"/>
  <c r="P83" i="10"/>
  <c r="P95" i="10"/>
  <c r="P93" i="10"/>
  <c r="AR55" i="10"/>
  <c r="P55" i="10" s="1"/>
  <c r="AR45" i="10"/>
  <c r="P48" i="10" s="1"/>
  <c r="P51" i="10" s="1"/>
  <c r="C127" i="10"/>
  <c r="C532" i="1"/>
  <c r="D305" i="8"/>
  <c r="D306" i="8" s="1"/>
  <c r="I345" i="10"/>
  <c r="E66" i="15"/>
  <c r="J99" i="15" s="1"/>
  <c r="N54" i="10"/>
  <c r="N83" i="10"/>
  <c r="AP55" i="10"/>
  <c r="N55" i="10" s="1"/>
  <c r="N95" i="10"/>
  <c r="N93" i="10"/>
  <c r="F146" i="15"/>
  <c r="G146" i="15" s="1"/>
  <c r="B737" i="9"/>
  <c r="E68" i="15"/>
  <c r="C101" i="15" s="1"/>
  <c r="O54" i="10"/>
  <c r="O83" i="10"/>
  <c r="O95" i="10"/>
  <c r="AQ55" i="10"/>
  <c r="O55" i="10" s="1"/>
  <c r="O93" i="10"/>
  <c r="X684" i="1"/>
  <c r="I341" i="10"/>
  <c r="Q1063" i="2"/>
  <c r="AR12" i="3"/>
  <c r="AS12" i="3" s="1"/>
  <c r="Y12" i="3" s="1"/>
  <c r="D155" i="15"/>
  <c r="AN152" i="10"/>
  <c r="L458" i="8"/>
  <c r="Q1195" i="2" s="1"/>
  <c r="W682" i="1"/>
  <c r="F581" i="2"/>
  <c r="H581" i="2" s="1"/>
  <c r="AG149" i="10"/>
  <c r="AG144" i="10" s="1"/>
  <c r="AJ235" i="10" s="1"/>
  <c r="AJ236" i="10" s="1"/>
  <c r="R539" i="8"/>
  <c r="P559" i="2"/>
  <c r="AL152" i="10"/>
  <c r="AQ152" i="10"/>
  <c r="P581" i="2"/>
  <c r="F54" i="10"/>
  <c r="AR44" i="3"/>
  <c r="AH152" i="10"/>
  <c r="L457" i="8"/>
  <c r="P1195" i="2" s="1"/>
  <c r="F93" i="10"/>
  <c r="AR20" i="3"/>
  <c r="F83" i="10"/>
  <c r="I348" i="10"/>
  <c r="W66" i="10"/>
  <c r="C1124" i="2"/>
  <c r="F1124" i="2" s="1"/>
  <c r="T1063" i="2"/>
  <c r="E64" i="15"/>
  <c r="I97" i="15" s="1"/>
  <c r="X683" i="1"/>
  <c r="AR17" i="3"/>
  <c r="AS17" i="3" s="1"/>
  <c r="Y17" i="3" s="1"/>
  <c r="D144" i="10"/>
  <c r="AH235" i="10" s="1"/>
  <c r="AH236" i="10" s="1"/>
  <c r="AR46" i="3"/>
  <c r="AR9" i="3"/>
  <c r="AG63" i="11"/>
  <c r="E67" i="15"/>
  <c r="C100" i="15" s="1"/>
  <c r="E72" i="15"/>
  <c r="G105" i="15" s="1"/>
  <c r="AM152" i="10"/>
  <c r="Z461" i="2"/>
  <c r="F939" i="1"/>
  <c r="C308" i="8"/>
  <c r="K175" i="12"/>
  <c r="N45" i="10"/>
  <c r="C819" i="1"/>
  <c r="BA101" i="14"/>
  <c r="CP16" i="14" s="1"/>
  <c r="C504" i="1"/>
  <c r="L280" i="8"/>
  <c r="AW618" i="1"/>
  <c r="F152" i="10"/>
  <c r="AG121" i="14"/>
  <c r="C146" i="1" s="1"/>
  <c r="BB38" i="14"/>
  <c r="D63" i="1" s="1"/>
  <c r="F280" i="8"/>
  <c r="E335" i="1"/>
  <c r="E247" i="2"/>
  <c r="E8" i="1"/>
  <c r="C155" i="1" s="1"/>
  <c r="C165" i="1" s="1"/>
  <c r="L188" i="10"/>
  <c r="C919" i="1"/>
  <c r="B121" i="15"/>
  <c r="G128" i="12"/>
  <c r="CD19" i="14"/>
  <c r="K172" i="15" s="1"/>
  <c r="C1100" i="1"/>
  <c r="Q379" i="10" s="1"/>
  <c r="AG65" i="11"/>
  <c r="AZ6" i="14"/>
  <c r="L159" i="10"/>
  <c r="BT681" i="1"/>
  <c r="AN160" i="10"/>
  <c r="L160" i="10" s="1"/>
  <c r="BA114" i="14"/>
  <c r="CP18" i="14" s="1"/>
  <c r="D341" i="10"/>
  <c r="D1127" i="2"/>
  <c r="R529" i="8"/>
  <c r="B1062" i="2"/>
  <c r="C1062" i="2"/>
  <c r="C902" i="1"/>
  <c r="B160" i="1"/>
  <c r="D160" i="1" s="1"/>
  <c r="R68" i="2"/>
  <c r="C518" i="1"/>
  <c r="C900" i="1"/>
  <c r="AF31" i="14"/>
  <c r="AG31" i="14"/>
  <c r="C56" i="1" s="1"/>
  <c r="L198" i="10"/>
  <c r="AO152" i="10"/>
  <c r="C128" i="10"/>
  <c r="S1078" i="2"/>
  <c r="R536" i="8"/>
  <c r="C904" i="2"/>
  <c r="AJ55" i="10"/>
  <c r="H55" i="10" s="1"/>
  <c r="H95" i="10"/>
  <c r="H83" i="10"/>
  <c r="H93" i="10"/>
  <c r="H54" i="10"/>
  <c r="B158" i="1"/>
  <c r="B168" i="1" s="1"/>
  <c r="R196" i="1"/>
  <c r="D201" i="1" s="1"/>
  <c r="D1100" i="1" s="1"/>
  <c r="R379" i="10" s="1"/>
  <c r="C890" i="1"/>
  <c r="BB118" i="14"/>
  <c r="F890" i="1"/>
  <c r="T944" i="2"/>
  <c r="U944" i="2" s="1"/>
  <c r="I944" i="2" s="1"/>
  <c r="N944" i="2" s="1"/>
  <c r="L68" i="21"/>
  <c r="D1124" i="2"/>
  <c r="AE8" i="14"/>
  <c r="AH65" i="11"/>
  <c r="F891" i="1"/>
  <c r="AH92" i="14"/>
  <c r="AK92" i="14" s="1"/>
  <c r="O1108" i="2"/>
  <c r="CO5" i="14"/>
  <c r="BY14" i="14"/>
  <c r="CA14" i="14" s="1"/>
  <c r="AE4" i="14"/>
  <c r="R340" i="10"/>
  <c r="E9" i="1"/>
  <c r="C655" i="1" s="1"/>
  <c r="D1181" i="2"/>
  <c r="T1068" i="2"/>
  <c r="I346" i="10"/>
  <c r="R1082" i="2"/>
  <c r="H27" i="9"/>
  <c r="C891" i="1"/>
  <c r="AU1144" i="2"/>
  <c r="AU1148" i="2"/>
  <c r="T1151" i="2"/>
  <c r="T1139" i="2"/>
  <c r="AU1140" i="2"/>
  <c r="AV1148" i="2"/>
  <c r="AU1145" i="2"/>
  <c r="T1144" i="2"/>
  <c r="AU1141" i="2"/>
  <c r="T1143" i="2"/>
  <c r="F45" i="10"/>
  <c r="K29" i="9"/>
  <c r="AV1141" i="2"/>
  <c r="AU1147" i="2"/>
  <c r="AU1146" i="2"/>
  <c r="AV1146" i="2"/>
  <c r="AV1140" i="2"/>
  <c r="BC104" i="14"/>
  <c r="BG104" i="14" s="1"/>
  <c r="AV1139" i="2"/>
  <c r="K20" i="9"/>
  <c r="AS45" i="10"/>
  <c r="T943" i="2"/>
  <c r="U943" i="2" s="1"/>
  <c r="M814" i="2"/>
  <c r="E76" i="4"/>
  <c r="O76" i="4" s="1"/>
  <c r="G64" i="4"/>
  <c r="J64" i="4" s="1"/>
  <c r="R45" i="10"/>
  <c r="K176" i="12"/>
  <c r="AW768" i="1"/>
  <c r="E750" i="1"/>
  <c r="AW625" i="1"/>
  <c r="AC647" i="1"/>
  <c r="E625" i="1"/>
  <c r="BW1150" i="2"/>
  <c r="BX1150" i="2" s="1"/>
  <c r="BW1148" i="2"/>
  <c r="BX1148" i="2" s="1"/>
  <c r="BW1140" i="2"/>
  <c r="BX1140" i="2" s="1"/>
  <c r="BW1145" i="2"/>
  <c r="BX1145" i="2" s="1"/>
  <c r="BW1139" i="2"/>
  <c r="BW1144" i="2"/>
  <c r="BX1144" i="2" s="1"/>
  <c r="BW1151" i="2"/>
  <c r="BX1151" i="2" s="1"/>
  <c r="BW1141" i="2"/>
  <c r="BX1141" i="2" s="1"/>
  <c r="BW1149" i="2"/>
  <c r="BX1149" i="2" s="1"/>
  <c r="BW1143" i="2"/>
  <c r="BX1143" i="2" s="1"/>
  <c r="BW1146" i="2"/>
  <c r="BX1146" i="2" s="1"/>
  <c r="BW1147" i="2"/>
  <c r="BX1147" i="2" s="1"/>
  <c r="BW1142" i="2"/>
  <c r="BX1142" i="2" s="1"/>
  <c r="S1069" i="2"/>
  <c r="H347" i="10"/>
  <c r="R347" i="10" s="1"/>
  <c r="G1051" i="8"/>
  <c r="G1065" i="8" s="1"/>
  <c r="G1058" i="8"/>
  <c r="S43" i="10"/>
  <c r="AU45" i="10"/>
  <c r="S45" i="10" s="1"/>
  <c r="S48" i="10" s="1"/>
  <c r="S51" i="10" s="1"/>
  <c r="AH86" i="14"/>
  <c r="AL86" i="14" s="1"/>
  <c r="M333" i="10"/>
  <c r="N333" i="10" s="1"/>
  <c r="AS684" i="1"/>
  <c r="M329" i="10"/>
  <c r="N329" i="10" s="1"/>
  <c r="AJ166" i="10"/>
  <c r="AH166" i="10" s="1"/>
  <c r="AI166" i="10" s="1"/>
  <c r="E43" i="15"/>
  <c r="CK9" i="14" s="1"/>
  <c r="AV1151" i="2"/>
  <c r="AV1147" i="2"/>
  <c r="D148" i="10"/>
  <c r="R70" i="11"/>
  <c r="E331" i="1" s="1"/>
  <c r="D151" i="10"/>
  <c r="E236" i="2"/>
  <c r="M331" i="10"/>
  <c r="N331" i="10" s="1"/>
  <c r="AV1145" i="2"/>
  <c r="AU1139" i="2"/>
  <c r="T1147" i="2"/>
  <c r="D166" i="2"/>
  <c r="K174" i="12"/>
  <c r="S465" i="2"/>
  <c r="AM45" i="10"/>
  <c r="K45" i="10" s="1"/>
  <c r="AA1073" i="2"/>
  <c r="U173" i="2" s="1"/>
  <c r="F437" i="8"/>
  <c r="BC112" i="14"/>
  <c r="BF112" i="14" s="1"/>
  <c r="I83" i="10"/>
  <c r="AK55" i="10"/>
  <c r="I55" i="10" s="1"/>
  <c r="I54" i="10"/>
  <c r="I93" i="10"/>
  <c r="I95" i="10"/>
  <c r="E174" i="4"/>
  <c r="Q174" i="4" s="1"/>
  <c r="G174" i="4" s="1"/>
  <c r="J174" i="4" s="1"/>
  <c r="L283" i="8"/>
  <c r="F283" i="8"/>
  <c r="AL1124" i="2"/>
  <c r="C887" i="1"/>
  <c r="T1150" i="2"/>
  <c r="F808" i="8"/>
  <c r="F444" i="8" s="1"/>
  <c r="F811" i="8"/>
  <c r="F445" i="8" s="1"/>
  <c r="E231" i="2"/>
  <c r="AI234" i="10"/>
  <c r="M326" i="10"/>
  <c r="N326" i="10" s="1"/>
  <c r="AV1144" i="2"/>
  <c r="AU1151" i="2"/>
  <c r="T1140" i="2"/>
  <c r="BT679" i="1"/>
  <c r="Y465" i="2"/>
  <c r="D465" i="2" s="1"/>
  <c r="D289" i="1" s="1"/>
  <c r="D625" i="1" s="1"/>
  <c r="X85" i="10"/>
  <c r="D85" i="10" s="1"/>
  <c r="D82" i="10"/>
  <c r="E81" i="4" s="1"/>
  <c r="J93" i="10"/>
  <c r="J83" i="10"/>
  <c r="J95" i="10"/>
  <c r="J54" i="10"/>
  <c r="AL55" i="10"/>
  <c r="J55" i="10" s="1"/>
  <c r="F761" i="8"/>
  <c r="F436" i="8" s="1"/>
  <c r="P403" i="8"/>
  <c r="F685" i="8"/>
  <c r="B177" i="1"/>
  <c r="B188" i="1"/>
  <c r="Q1123" i="2"/>
  <c r="U776" i="2"/>
  <c r="D776" i="2"/>
  <c r="K68" i="21"/>
  <c r="K67" i="21"/>
  <c r="L285" i="8"/>
  <c r="F285" i="8"/>
  <c r="E176" i="4"/>
  <c r="Q176" i="4" s="1"/>
  <c r="G176" i="4" s="1"/>
  <c r="J176" i="4" s="1"/>
  <c r="F804" i="1"/>
  <c r="M330" i="10"/>
  <c r="N330" i="10" s="1"/>
  <c r="AV1143" i="2"/>
  <c r="AU1150" i="2"/>
  <c r="T1149" i="2"/>
  <c r="B119" i="15"/>
  <c r="B126" i="15"/>
  <c r="T1073" i="2"/>
  <c r="D1186" i="2"/>
  <c r="I351" i="10"/>
  <c r="E263" i="4"/>
  <c r="F742" i="8"/>
  <c r="F741" i="8" s="1"/>
  <c r="E12" i="15"/>
  <c r="M60" i="8"/>
  <c r="M324" i="10"/>
  <c r="N324" i="10" s="1"/>
  <c r="M325" i="10"/>
  <c r="N325" i="10" s="1"/>
  <c r="W689" i="1"/>
  <c r="AS689" i="1" s="1"/>
  <c r="C221" i="10"/>
  <c r="T1142" i="2"/>
  <c r="BY15" i="14"/>
  <c r="CA15" i="14" s="1"/>
  <c r="N857" i="8"/>
  <c r="AH37" i="14"/>
  <c r="AL37" i="14" s="1"/>
  <c r="M323" i="10"/>
  <c r="N323" i="10" s="1"/>
  <c r="AV1142" i="2"/>
  <c r="AU1142" i="2"/>
  <c r="T1145" i="2"/>
  <c r="F128" i="12"/>
  <c r="W683" i="1"/>
  <c r="BT683" i="1" s="1"/>
  <c r="AD67" i="11"/>
  <c r="Z465" i="2" s="1"/>
  <c r="T1148" i="2"/>
  <c r="Q142" i="12"/>
  <c r="I142" i="12" s="1"/>
  <c r="B155" i="1"/>
  <c r="D155" i="1" s="1"/>
  <c r="S1072" i="2"/>
  <c r="AP152" i="10"/>
  <c r="M319" i="10"/>
  <c r="O325" i="10" s="1"/>
  <c r="P325" i="10" s="1"/>
  <c r="AV1150" i="2"/>
  <c r="T1146" i="2"/>
  <c r="T1141" i="2"/>
  <c r="BY16" i="14"/>
  <c r="CA16" i="14" s="1"/>
  <c r="CO4" i="14"/>
  <c r="D98" i="10"/>
  <c r="U617" i="2"/>
  <c r="R1114" i="2"/>
  <c r="D617" i="2"/>
  <c r="AU1143" i="2"/>
  <c r="D643" i="2"/>
  <c r="S169" i="2"/>
  <c r="D169" i="2"/>
  <c r="P367" i="10"/>
  <c r="C42" i="12" s="1"/>
  <c r="AV1149" i="2"/>
  <c r="B125" i="15"/>
  <c r="G1046" i="8"/>
  <c r="G1055" i="8"/>
  <c r="G1064" i="8"/>
  <c r="D775" i="2"/>
  <c r="U775" i="2"/>
  <c r="R1123" i="2"/>
  <c r="S70" i="11"/>
  <c r="E263" i="8" s="1"/>
  <c r="Q1114" i="2"/>
  <c r="D618" i="2"/>
  <c r="U618" i="2"/>
  <c r="S145" i="2"/>
  <c r="D145" i="2" s="1"/>
  <c r="S140" i="2"/>
  <c r="S662" i="2"/>
  <c r="D662" i="2" s="1"/>
  <c r="S657" i="2"/>
  <c r="S690" i="2"/>
  <c r="S695" i="2"/>
  <c r="D695" i="2" s="1"/>
  <c r="AC646" i="1"/>
  <c r="E624" i="1"/>
  <c r="E749" i="1"/>
  <c r="AC642" i="1"/>
  <c r="E620" i="1"/>
  <c r="E745" i="1"/>
  <c r="D192" i="2"/>
  <c r="U192" i="2"/>
  <c r="L1117" i="2"/>
  <c r="S129" i="2"/>
  <c r="D144" i="2"/>
  <c r="K144" i="2" s="1"/>
  <c r="S132" i="2"/>
  <c r="V141" i="2"/>
  <c r="V147" i="2"/>
  <c r="BJ1121" i="2" s="1"/>
  <c r="S133" i="2"/>
  <c r="D139" i="2"/>
  <c r="K139" i="2" s="1"/>
  <c r="E742" i="1"/>
  <c r="E617" i="1"/>
  <c r="AC639" i="1"/>
  <c r="U602" i="2"/>
  <c r="D602" i="2"/>
  <c r="V605" i="2"/>
  <c r="S605" i="2" s="1"/>
  <c r="S646" i="2"/>
  <c r="D661" i="2"/>
  <c r="K661" i="2" s="1"/>
  <c r="D656" i="2"/>
  <c r="K656" i="2" s="1"/>
  <c r="S649" i="2"/>
  <c r="V649" i="2" s="1"/>
  <c r="S648" i="2" s="1"/>
  <c r="V658" i="2"/>
  <c r="S658" i="2" s="1"/>
  <c r="V663" i="2"/>
  <c r="S663" i="2" s="1"/>
  <c r="S650" i="2"/>
  <c r="S723" i="2"/>
  <c r="D725" i="2" s="1"/>
  <c r="P1118" i="2" s="1"/>
  <c r="U1118" i="2" s="1"/>
  <c r="S680" i="2"/>
  <c r="D689" i="2"/>
  <c r="K689" i="2" s="1"/>
  <c r="S683" i="2"/>
  <c r="S682" i="2"/>
  <c r="V691" i="2"/>
  <c r="S691" i="2" s="1"/>
  <c r="V696" i="2"/>
  <c r="S696" i="2" s="1"/>
  <c r="D694" i="2"/>
  <c r="K694" i="2" s="1"/>
  <c r="E619" i="1"/>
  <c r="AC641" i="1"/>
  <c r="AW619" i="1"/>
  <c r="AW762" i="1"/>
  <c r="E744" i="1"/>
  <c r="D86" i="2"/>
  <c r="U86" i="2"/>
  <c r="V89" i="2"/>
  <c r="S89" i="2" s="1"/>
  <c r="E741" i="1"/>
  <c r="E616" i="1"/>
  <c r="AC638" i="1"/>
  <c r="BZ688" i="1"/>
  <c r="BX688" i="1"/>
  <c r="D719" i="2"/>
  <c r="U719" i="2"/>
  <c r="U202" i="2"/>
  <c r="D202" i="2"/>
  <c r="S206" i="2"/>
  <c r="I107" i="12"/>
  <c r="K107" i="12" s="1"/>
  <c r="K102" i="12"/>
  <c r="N102" i="12" s="1"/>
  <c r="N175" i="12" s="1"/>
  <c r="BC113" i="14"/>
  <c r="BF113" i="14" s="1"/>
  <c r="B1066" i="2"/>
  <c r="C1067" i="2"/>
  <c r="C913" i="2"/>
  <c r="C882" i="2"/>
  <c r="G32" i="15"/>
  <c r="CF17" i="14" s="1"/>
  <c r="I178" i="15" s="1"/>
  <c r="BY17" i="14"/>
  <c r="CA17" i="14" s="1"/>
  <c r="H105" i="8"/>
  <c r="AW624" i="1"/>
  <c r="AW767" i="1"/>
  <c r="BA120" i="14"/>
  <c r="BC120" i="14" s="1"/>
  <c r="BF120" i="14" s="1"/>
  <c r="BB120" i="14"/>
  <c r="D145" i="1" s="1"/>
  <c r="BA37" i="14"/>
  <c r="BB37" i="14"/>
  <c r="BC37" i="14" s="1"/>
  <c r="BG37" i="14" s="1"/>
  <c r="S464" i="2"/>
  <c r="Y464" i="2"/>
  <c r="D464" i="2" s="1"/>
  <c r="D288" i="1" s="1"/>
  <c r="BC122" i="14"/>
  <c r="BG122" i="14" s="1"/>
  <c r="AR19" i="3"/>
  <c r="AS19" i="3" s="1"/>
  <c r="Y19" i="3" s="1"/>
  <c r="AR55" i="3"/>
  <c r="AS55" i="3" s="1"/>
  <c r="Y55" i="3" s="1"/>
  <c r="AR33" i="3"/>
  <c r="AS33" i="3" s="1"/>
  <c r="Y33" i="3" s="1"/>
  <c r="AR48" i="3"/>
  <c r="AS48" i="3" s="1"/>
  <c r="Y48" i="3" s="1"/>
  <c r="AR22" i="3"/>
  <c r="AS22" i="3" s="1"/>
  <c r="Y22" i="3" s="1"/>
  <c r="AR35" i="3"/>
  <c r="AS35" i="3" s="1"/>
  <c r="Y35" i="3" s="1"/>
  <c r="AR16" i="3"/>
  <c r="AS16" i="3" s="1"/>
  <c r="Y16" i="3" s="1"/>
  <c r="AR30" i="3"/>
  <c r="AS30" i="3" s="1"/>
  <c r="Y30" i="3" s="1"/>
  <c r="AR53" i="3"/>
  <c r="AS53" i="3" s="1"/>
  <c r="Y53" i="3" s="1"/>
  <c r="AR31" i="3"/>
  <c r="AS31" i="3" s="1"/>
  <c r="Y31" i="3" s="1"/>
  <c r="AR49" i="3"/>
  <c r="AS49" i="3" s="1"/>
  <c r="Y49" i="3" s="1"/>
  <c r="AR43" i="3"/>
  <c r="AS43" i="3" s="1"/>
  <c r="Y43" i="3" s="1"/>
  <c r="AR37" i="3"/>
  <c r="AS37" i="3" s="1"/>
  <c r="Y37" i="3" s="1"/>
  <c r="AR11" i="3"/>
  <c r="AS11" i="3" s="1"/>
  <c r="Y11" i="3" s="1"/>
  <c r="AR15" i="3"/>
  <c r="AS15" i="3" s="1"/>
  <c r="Y15" i="3" s="1"/>
  <c r="AR10" i="3"/>
  <c r="AS10" i="3" s="1"/>
  <c r="Y10" i="3" s="1"/>
  <c r="AR13" i="3"/>
  <c r="AS13" i="3" s="1"/>
  <c r="Y13" i="3" s="1"/>
  <c r="AR21" i="3"/>
  <c r="AS21" i="3" s="1"/>
  <c r="Y21" i="3" s="1"/>
  <c r="AR26" i="3"/>
  <c r="AS26" i="3" s="1"/>
  <c r="Y26" i="3" s="1"/>
  <c r="AR47" i="3"/>
  <c r="AS47" i="3" s="1"/>
  <c r="Y47" i="3" s="1"/>
  <c r="AR7" i="3"/>
  <c r="AS7" i="3" s="1"/>
  <c r="Y7" i="3" s="1"/>
  <c r="AR32" i="3"/>
  <c r="AS32" i="3" s="1"/>
  <c r="Y32" i="3" s="1"/>
  <c r="AR41" i="3"/>
  <c r="AS41" i="3" s="1"/>
  <c r="Y41" i="3" s="1"/>
  <c r="AR56" i="3"/>
  <c r="AS56" i="3" s="1"/>
  <c r="Y56" i="3" s="1"/>
  <c r="AR8" i="3"/>
  <c r="AS8" i="3" s="1"/>
  <c r="Y8" i="3" s="1"/>
  <c r="AR23" i="3"/>
  <c r="AS23" i="3" s="1"/>
  <c r="Y23" i="3" s="1"/>
  <c r="AR25" i="3"/>
  <c r="AS25" i="3" s="1"/>
  <c r="Y25" i="3" s="1"/>
  <c r="AR29" i="3"/>
  <c r="AS29" i="3" s="1"/>
  <c r="Y29" i="3" s="1"/>
  <c r="AR14" i="3"/>
  <c r="AS14" i="3" s="1"/>
  <c r="Y14" i="3" s="1"/>
  <c r="AR6" i="3"/>
  <c r="AS6" i="3" s="1"/>
  <c r="Y6" i="3" s="1"/>
  <c r="AR34" i="3"/>
  <c r="AS34" i="3" s="1"/>
  <c r="Y34" i="3" s="1"/>
  <c r="AR42" i="3"/>
  <c r="AS42" i="3" s="1"/>
  <c r="Y42" i="3" s="1"/>
  <c r="AR54" i="3"/>
  <c r="AS54" i="3" s="1"/>
  <c r="Y54" i="3" s="1"/>
  <c r="AR28" i="3"/>
  <c r="AS28" i="3" s="1"/>
  <c r="Y28" i="3" s="1"/>
  <c r="AR18" i="3"/>
  <c r="AS18" i="3" s="1"/>
  <c r="Y18" i="3" s="1"/>
  <c r="AR45" i="3"/>
  <c r="AS45" i="3" s="1"/>
  <c r="Y45" i="3" s="1"/>
  <c r="AR51" i="3"/>
  <c r="AS51" i="3" s="1"/>
  <c r="Y51" i="3" s="1"/>
  <c r="AR36" i="3"/>
  <c r="AS36" i="3" s="1"/>
  <c r="Y36" i="3" s="1"/>
  <c r="AR40" i="3"/>
  <c r="AS40" i="3" s="1"/>
  <c r="Y40" i="3" s="1"/>
  <c r="AR52" i="3"/>
  <c r="AS52" i="3" s="1"/>
  <c r="Y52" i="3" s="1"/>
  <c r="BC118" i="14"/>
  <c r="BG650" i="1"/>
  <c r="D658" i="1" s="1"/>
  <c r="F1064" i="1" s="1"/>
  <c r="O198" i="10"/>
  <c r="O200" i="10"/>
  <c r="AQ160" i="10"/>
  <c r="O160" i="10" s="1"/>
  <c r="O159" i="10"/>
  <c r="O188" i="10"/>
  <c r="Z464" i="2"/>
  <c r="X686" i="1"/>
  <c r="AF66" i="11"/>
  <c r="AG66" i="11"/>
  <c r="AH66" i="11"/>
  <c r="D688" i="2"/>
  <c r="U688" i="2"/>
  <c r="H355" i="10"/>
  <c r="R355" i="10" s="1"/>
  <c r="S1077" i="2"/>
  <c r="X678" i="1"/>
  <c r="AF58" i="11"/>
  <c r="Z456" i="2"/>
  <c r="AG58" i="11"/>
  <c r="AH58" i="11"/>
  <c r="J198" i="10"/>
  <c r="J200" i="10"/>
  <c r="AL160" i="10"/>
  <c r="J160" i="10" s="1"/>
  <c r="J159" i="10"/>
  <c r="J188" i="10"/>
  <c r="Z459" i="2"/>
  <c r="AG61" i="11"/>
  <c r="AF61" i="11"/>
  <c r="AH61" i="11"/>
  <c r="BA688" i="1"/>
  <c r="R633" i="1"/>
  <c r="E649" i="1"/>
  <c r="R337" i="8"/>
  <c r="P376" i="8" s="1"/>
  <c r="M352" i="8"/>
  <c r="D352" i="8" s="1"/>
  <c r="D101" i="2"/>
  <c r="K1114" i="2"/>
  <c r="U101" i="2"/>
  <c r="Q880" i="2"/>
  <c r="O949" i="2"/>
  <c r="N953" i="2" s="1"/>
  <c r="N949" i="2"/>
  <c r="N939" i="2"/>
  <c r="N959" i="2"/>
  <c r="T684" i="1"/>
  <c r="E237" i="2"/>
  <c r="Q1115" i="2"/>
  <c r="D1125" i="2" s="1"/>
  <c r="U630" i="2"/>
  <c r="D630" i="2"/>
  <c r="S460" i="2"/>
  <c r="Y460" i="2"/>
  <c r="D460" i="2" s="1"/>
  <c r="D284" i="1" s="1"/>
  <c r="AH68" i="11"/>
  <c r="X688" i="1"/>
  <c r="AF68" i="11"/>
  <c r="AG68" i="11"/>
  <c r="Z466" i="2"/>
  <c r="AO234" i="10"/>
  <c r="F49" i="10"/>
  <c r="D819" i="1"/>
  <c r="D821" i="1" s="1"/>
  <c r="AH102" i="14"/>
  <c r="AK102" i="14" s="1"/>
  <c r="AF63" i="11"/>
  <c r="L1114" i="2"/>
  <c r="U100" i="2"/>
  <c r="D100" i="2"/>
  <c r="J90" i="12"/>
  <c r="J94" i="12" s="1"/>
  <c r="S189" i="12" s="1"/>
  <c r="T689" i="1"/>
  <c r="E242" i="2"/>
  <c r="J1091" i="1"/>
  <c r="AD62" i="11"/>
  <c r="AH55" i="14"/>
  <c r="AK55" i="14" s="1"/>
  <c r="F55" i="14" s="1"/>
  <c r="G80" i="1" s="1"/>
  <c r="I80" i="1" s="1"/>
  <c r="E69" i="15"/>
  <c r="G102" i="15" s="1"/>
  <c r="B156" i="1"/>
  <c r="D156" i="1" s="1"/>
  <c r="AH54" i="14"/>
  <c r="AL54" i="14" s="1"/>
  <c r="K128" i="2"/>
  <c r="C65" i="12"/>
  <c r="C76" i="12"/>
  <c r="E54" i="12"/>
  <c r="G54" i="12"/>
  <c r="F54" i="12"/>
  <c r="M357" i="8"/>
  <c r="E1118" i="2"/>
  <c r="BA35" i="14"/>
  <c r="BB35" i="14"/>
  <c r="AW617" i="1"/>
  <c r="AW760" i="1"/>
  <c r="K1091" i="1"/>
  <c r="I1113" i="1" s="1"/>
  <c r="D960" i="1" s="1"/>
  <c r="M960" i="1" s="1"/>
  <c r="Z462" i="2"/>
  <c r="AF64" i="11"/>
  <c r="Y457" i="2"/>
  <c r="D457" i="2" s="1"/>
  <c r="D281" i="1" s="1"/>
  <c r="S457" i="2"/>
  <c r="U138" i="2"/>
  <c r="D138" i="2"/>
  <c r="F803" i="1"/>
  <c r="Z467" i="2"/>
  <c r="AH69" i="11"/>
  <c r="AF69" i="11"/>
  <c r="AG69" i="11"/>
  <c r="X689" i="1"/>
  <c r="M159" i="10"/>
  <c r="AO160" i="10"/>
  <c r="M160" i="10" s="1"/>
  <c r="M198" i="10"/>
  <c r="M200" i="10"/>
  <c r="G33" i="15"/>
  <c r="CF18" i="14" s="1"/>
  <c r="BY18" i="14"/>
  <c r="CA18" i="14" s="1"/>
  <c r="AD59" i="11"/>
  <c r="G31" i="15"/>
  <c r="CF16" i="14" s="1"/>
  <c r="CG16" i="14" s="1"/>
  <c r="E61" i="15"/>
  <c r="H94" i="15" s="1"/>
  <c r="AZ7" i="14"/>
  <c r="Z151" i="10"/>
  <c r="AE7" i="14"/>
  <c r="R503" i="1"/>
  <c r="H1101" i="1" s="1"/>
  <c r="K1162" i="2" s="1"/>
  <c r="R517" i="1"/>
  <c r="BA30" i="14"/>
  <c r="AS6" i="14"/>
  <c r="AE5" i="14"/>
  <c r="O48" i="10"/>
  <c r="O51" i="10" s="1"/>
  <c r="H348" i="10"/>
  <c r="R348" i="10" s="1"/>
  <c r="S1070" i="2"/>
  <c r="G35" i="15"/>
  <c r="CF20" i="14" s="1"/>
  <c r="BY20" i="14"/>
  <c r="CA20" i="14" s="1"/>
  <c r="D622" i="1"/>
  <c r="D747" i="1"/>
  <c r="K164" i="2"/>
  <c r="U163" i="2"/>
  <c r="D163" i="2"/>
  <c r="Z458" i="2"/>
  <c r="AF60" i="11"/>
  <c r="AG60" i="11"/>
  <c r="X680" i="1"/>
  <c r="AH60" i="11"/>
  <c r="AW616" i="1"/>
  <c r="AW759" i="1"/>
  <c r="AF120" i="14"/>
  <c r="AG120" i="14"/>
  <c r="W687" i="1"/>
  <c r="B127" i="15"/>
  <c r="AH85" i="14"/>
  <c r="AK85" i="14" s="1"/>
  <c r="F8" i="1"/>
  <c r="C156" i="1" s="1"/>
  <c r="C166" i="1" s="1"/>
  <c r="D751" i="1"/>
  <c r="D626" i="1"/>
  <c r="D171" i="2"/>
  <c r="U171" i="2"/>
  <c r="BB121" i="14"/>
  <c r="BC121" i="14" s="1"/>
  <c r="F47" i="10"/>
  <c r="D748" i="1"/>
  <c r="D623" i="1"/>
  <c r="AZ5" i="14"/>
  <c r="C1069" i="2"/>
  <c r="B1068" i="2"/>
  <c r="AZ4" i="14"/>
  <c r="AH317" i="10"/>
  <c r="W220" i="10"/>
  <c r="AE6" i="14"/>
  <c r="AS7" i="14"/>
  <c r="B118" i="15"/>
  <c r="B128" i="15"/>
  <c r="D43" i="10"/>
  <c r="K679" i="2"/>
  <c r="S459" i="2"/>
  <c r="Y459" i="2"/>
  <c r="D459" i="2" s="1"/>
  <c r="D283" i="1" s="1"/>
  <c r="G1143" i="2"/>
  <c r="G1140" i="2"/>
  <c r="G1141" i="2"/>
  <c r="G1142" i="2"/>
  <c r="G1147" i="2"/>
  <c r="G1146" i="2"/>
  <c r="G1148" i="2"/>
  <c r="G1150" i="2"/>
  <c r="G1151" i="2"/>
  <c r="G1144" i="2"/>
  <c r="G1139" i="2"/>
  <c r="G1145" i="2"/>
  <c r="G1149" i="2"/>
  <c r="G36" i="15"/>
  <c r="CF21" i="14" s="1"/>
  <c r="BY21" i="14"/>
  <c r="CA21" i="14" s="1"/>
  <c r="C266" i="1"/>
  <c r="C265" i="1"/>
  <c r="Z187" i="10"/>
  <c r="D187" i="10"/>
  <c r="E92" i="4" s="1"/>
  <c r="Z32" i="10"/>
  <c r="D32" i="10"/>
  <c r="H51" i="9"/>
  <c r="R51" i="9"/>
  <c r="K51" i="9"/>
  <c r="Y136" i="9"/>
  <c r="G51" i="9"/>
  <c r="W680" i="1"/>
  <c r="B120" i="15"/>
  <c r="B31" i="2"/>
  <c r="I171" i="15"/>
  <c r="CD18" i="14"/>
  <c r="K171" i="15" s="1"/>
  <c r="K85" i="2"/>
  <c r="AL88" i="3"/>
  <c r="C142" i="12"/>
  <c r="C157" i="12"/>
  <c r="I844" i="2"/>
  <c r="D846" i="2"/>
  <c r="H846" i="2"/>
  <c r="G846" i="2"/>
  <c r="J844" i="2"/>
  <c r="J846" i="2"/>
  <c r="K844" i="2"/>
  <c r="H844" i="2"/>
  <c r="I846" i="2"/>
  <c r="F846" i="2"/>
  <c r="E844" i="2"/>
  <c r="K846" i="2"/>
  <c r="F844" i="2"/>
  <c r="D844" i="2"/>
  <c r="G844" i="2"/>
  <c r="G34" i="15"/>
  <c r="CF19" i="14" s="1"/>
  <c r="BY19" i="14"/>
  <c r="CA19" i="14" s="1"/>
  <c r="D137" i="10"/>
  <c r="Z137" i="10"/>
  <c r="Q200" i="10"/>
  <c r="Q198" i="10"/>
  <c r="Q159" i="10"/>
  <c r="AS160" i="10"/>
  <c r="Q160" i="10" s="1"/>
  <c r="BA36" i="14"/>
  <c r="BB36" i="14"/>
  <c r="G56" i="12"/>
  <c r="C78" i="12"/>
  <c r="C67" i="12"/>
  <c r="E56" i="12"/>
  <c r="F56" i="12"/>
  <c r="G50" i="9"/>
  <c r="H50" i="9"/>
  <c r="R50" i="9"/>
  <c r="X136" i="9"/>
  <c r="K50" i="9"/>
  <c r="AG39" i="10"/>
  <c r="AP235" i="10" s="1"/>
  <c r="AP236" i="10" s="1"/>
  <c r="Z44" i="10"/>
  <c r="AZ8" i="14"/>
  <c r="C23" i="10"/>
  <c r="Y456" i="2"/>
  <c r="D456" i="2" s="1"/>
  <c r="D280" i="1" s="1"/>
  <c r="S456" i="2"/>
  <c r="AF30" i="14"/>
  <c r="AG30" i="14"/>
  <c r="X685" i="1"/>
  <c r="AF65" i="11"/>
  <c r="BC115" i="14"/>
  <c r="BG115" i="14" s="1"/>
  <c r="C22" i="10"/>
  <c r="U655" i="2"/>
  <c r="AI236" i="10"/>
  <c r="CD688" i="1"/>
  <c r="W319" i="10"/>
  <c r="BB119" i="14"/>
  <c r="C928" i="1"/>
  <c r="H8" i="1"/>
  <c r="C158" i="1" s="1"/>
  <c r="C168" i="1" s="1"/>
  <c r="AI616" i="1"/>
  <c r="AU625" i="1" s="1"/>
  <c r="AS5" i="14"/>
  <c r="BB31" i="14"/>
  <c r="K198" i="10"/>
  <c r="K188" i="10"/>
  <c r="K200" i="10"/>
  <c r="AM160" i="10"/>
  <c r="K160" i="10" s="1"/>
  <c r="K159" i="10"/>
  <c r="I169" i="15"/>
  <c r="CD16" i="14"/>
  <c r="K169" i="15" s="1"/>
  <c r="M346" i="8"/>
  <c r="R334" i="8"/>
  <c r="L342" i="8"/>
  <c r="L345" i="8"/>
  <c r="F335" i="8" s="1"/>
  <c r="E60" i="12"/>
  <c r="C71" i="12"/>
  <c r="G60" i="12"/>
  <c r="C82" i="12"/>
  <c r="F60" i="12"/>
  <c r="AI160" i="10"/>
  <c r="G160" i="10" s="1"/>
  <c r="G159" i="10"/>
  <c r="G200" i="10"/>
  <c r="G198" i="10"/>
  <c r="R200" i="10"/>
  <c r="AT160" i="10"/>
  <c r="R160" i="10" s="1"/>
  <c r="R159" i="10"/>
  <c r="R198" i="10"/>
  <c r="R188" i="10"/>
  <c r="T687" i="1"/>
  <c r="E240" i="2"/>
  <c r="U143" i="2"/>
  <c r="D143" i="2"/>
  <c r="J43" i="10"/>
  <c r="AL45" i="10"/>
  <c r="AY688" i="1"/>
  <c r="F155" i="15"/>
  <c r="O155" i="15" s="1"/>
  <c r="P155" i="15" s="1"/>
  <c r="E80" i="9"/>
  <c r="E79" i="9"/>
  <c r="C939" i="1"/>
  <c r="AS3" i="14"/>
  <c r="B157" i="1"/>
  <c r="D157" i="1" s="1"/>
  <c r="AS4" i="14"/>
  <c r="BB102" i="14"/>
  <c r="D127" i="1" s="1"/>
  <c r="BB29" i="14"/>
  <c r="D54" i="1" s="1"/>
  <c r="C918" i="1"/>
  <c r="G8" i="1"/>
  <c r="C157" i="1" s="1"/>
  <c r="C167" i="1" s="1"/>
  <c r="C930" i="1"/>
  <c r="K103" i="12"/>
  <c r="N103" i="12" s="1"/>
  <c r="N176" i="12" s="1"/>
  <c r="I173" i="15"/>
  <c r="CD20" i="14"/>
  <c r="Z85" i="10"/>
  <c r="AN235" i="10"/>
  <c r="AN236" i="10" s="1"/>
  <c r="AO236" i="10" s="1"/>
  <c r="D39" i="10"/>
  <c r="Z39" i="10"/>
  <c r="CD17" i="14"/>
  <c r="C196" i="1"/>
  <c r="AK45" i="10"/>
  <c r="I48" i="10" s="1"/>
  <c r="I51" i="10" s="1"/>
  <c r="F1065" i="1"/>
  <c r="I174" i="15"/>
  <c r="CD21" i="14"/>
  <c r="K174" i="15" s="1"/>
  <c r="CE21" i="14"/>
  <c r="K36" i="15" s="1"/>
  <c r="I166" i="15" s="1"/>
  <c r="B1081" i="2"/>
  <c r="C1082" i="2"/>
  <c r="F1142" i="2"/>
  <c r="H1142" i="2" s="1"/>
  <c r="F1140" i="2"/>
  <c r="H1140" i="2" s="1"/>
  <c r="F1147" i="2"/>
  <c r="H1147" i="2" s="1"/>
  <c r="F1150" i="2"/>
  <c r="H1150" i="2" s="1"/>
  <c r="F1144" i="2"/>
  <c r="H1144" i="2" s="1"/>
  <c r="F1148" i="2"/>
  <c r="H1148" i="2" s="1"/>
  <c r="F1145" i="2"/>
  <c r="H1145" i="2" s="1"/>
  <c r="F1141" i="2"/>
  <c r="H1141" i="2" s="1"/>
  <c r="F1143" i="2"/>
  <c r="H1143" i="2" s="1"/>
  <c r="F1146" i="2"/>
  <c r="H1146" i="2" s="1"/>
  <c r="F1149" i="2"/>
  <c r="H1149" i="2" s="1"/>
  <c r="F1151" i="2"/>
  <c r="H1151" i="2" s="1"/>
  <c r="F1139" i="2"/>
  <c r="H1139" i="2" s="1"/>
  <c r="R1116" i="2"/>
  <c r="U639" i="2"/>
  <c r="D639" i="2"/>
  <c r="N159" i="10"/>
  <c r="AP160" i="10"/>
  <c r="N160" i="10" s="1"/>
  <c r="N200" i="10"/>
  <c r="N198" i="10"/>
  <c r="T688" i="1"/>
  <c r="E241" i="2"/>
  <c r="I198" i="10"/>
  <c r="AK160" i="10"/>
  <c r="I160" i="10" s="1"/>
  <c r="I159" i="10"/>
  <c r="I200" i="10"/>
  <c r="I188" i="10"/>
  <c r="H188" i="10"/>
  <c r="H200" i="10"/>
  <c r="H198" i="10"/>
  <c r="AJ160" i="10"/>
  <c r="H160" i="10" s="1"/>
  <c r="H159" i="10"/>
  <c r="AL1123" i="2"/>
  <c r="U176" i="2"/>
  <c r="C286" i="8"/>
  <c r="D177" i="4" s="1"/>
  <c r="C285" i="8"/>
  <c r="D176" i="4" s="1"/>
  <c r="S650" i="1"/>
  <c r="R637" i="1"/>
  <c r="F198" i="10"/>
  <c r="F159" i="10"/>
  <c r="F200" i="10"/>
  <c r="AH160" i="10"/>
  <c r="X159" i="10"/>
  <c r="W171" i="10"/>
  <c r="AG319" i="10"/>
  <c r="D176" i="2"/>
  <c r="Z46" i="10"/>
  <c r="D46" i="10"/>
  <c r="AH91" i="14"/>
  <c r="AK91" i="14" s="1"/>
  <c r="C803" i="1"/>
  <c r="C804" i="1"/>
  <c r="N1192" i="2"/>
  <c r="H357" i="10" s="1"/>
  <c r="B124" i="15"/>
  <c r="F360" i="10"/>
  <c r="L376" i="10" s="1"/>
  <c r="C62" i="12" s="1"/>
  <c r="Q1082" i="2"/>
  <c r="D932" i="2"/>
  <c r="U932" i="2"/>
  <c r="T685" i="1"/>
  <c r="E238" i="2"/>
  <c r="F329" i="10"/>
  <c r="G329" i="10" s="1"/>
  <c r="F319" i="10"/>
  <c r="F328" i="10"/>
  <c r="G328" i="10" s="1"/>
  <c r="F322" i="10"/>
  <c r="G322" i="10" s="1"/>
  <c r="F323" i="10"/>
  <c r="G323" i="10" s="1"/>
  <c r="F327" i="10"/>
  <c r="G327" i="10" s="1"/>
  <c r="F333" i="10"/>
  <c r="G333" i="10" s="1"/>
  <c r="F330" i="10"/>
  <c r="G330" i="10" s="1"/>
  <c r="F324" i="10"/>
  <c r="G324" i="10" s="1"/>
  <c r="F332" i="10"/>
  <c r="G332" i="10" s="1"/>
  <c r="F331" i="10"/>
  <c r="G331" i="10" s="1"/>
  <c r="F325" i="10"/>
  <c r="G325" i="10" s="1"/>
  <c r="F321" i="10"/>
  <c r="F326" i="10"/>
  <c r="G326" i="10" s="1"/>
  <c r="AW620" i="1"/>
  <c r="AW763" i="1"/>
  <c r="Q559" i="2"/>
  <c r="I182" i="12"/>
  <c r="K182" i="12" s="1"/>
  <c r="K177" i="12"/>
  <c r="I105" i="12"/>
  <c r="K100" i="12"/>
  <c r="N100" i="12" s="1"/>
  <c r="D577" i="2"/>
  <c r="M244" i="10"/>
  <c r="AH1113" i="2"/>
  <c r="AD1113" i="2"/>
  <c r="Q941" i="2" s="1"/>
  <c r="AC1114" i="2"/>
  <c r="AG1114" i="2"/>
  <c r="AH1114" i="2"/>
  <c r="AI1113" i="2"/>
  <c r="S941" i="2" s="1"/>
  <c r="AH1112" i="2"/>
  <c r="AI1114" i="2"/>
  <c r="S942" i="2" s="1"/>
  <c r="AC1112" i="2"/>
  <c r="AE1113" i="2"/>
  <c r="F941" i="2" s="1"/>
  <c r="AC1113" i="2"/>
  <c r="AG1113" i="2"/>
  <c r="AD1114" i="2"/>
  <c r="Q942" i="2" s="1"/>
  <c r="AE1112" i="2"/>
  <c r="F940" i="2" s="1"/>
  <c r="AA1112" i="2"/>
  <c r="R940" i="2" s="1"/>
  <c r="AA1114" i="2"/>
  <c r="R942" i="2" s="1"/>
  <c r="AG1112" i="2"/>
  <c r="AE1114" i="2"/>
  <c r="F942" i="2" s="1"/>
  <c r="AD1112" i="2"/>
  <c r="Q940" i="2" s="1"/>
  <c r="AA1113" i="2"/>
  <c r="R941" i="2" s="1"/>
  <c r="AF1113" i="2"/>
  <c r="G941" i="2" s="1"/>
  <c r="AF1114" i="2"/>
  <c r="G942" i="2" s="1"/>
  <c r="W240" i="10"/>
  <c r="AA240" i="10" s="1"/>
  <c r="W236" i="10"/>
  <c r="AA236" i="10" s="1"/>
  <c r="W234" i="10"/>
  <c r="AA234" i="10" s="1"/>
  <c r="W241" i="10"/>
  <c r="AA241" i="10" s="1"/>
  <c r="W235" i="10"/>
  <c r="AA235" i="10" s="1"/>
  <c r="W232" i="10"/>
  <c r="AA232" i="10" s="1"/>
  <c r="W230" i="10"/>
  <c r="AA230" i="10" s="1"/>
  <c r="W233" i="10"/>
  <c r="AA233" i="10" s="1"/>
  <c r="W237" i="10"/>
  <c r="AA237" i="10" s="1"/>
  <c r="W243" i="10"/>
  <c r="X243" i="10" s="1"/>
  <c r="C1130" i="2" s="1"/>
  <c r="W239" i="10"/>
  <c r="AA239" i="10" s="1"/>
  <c r="W231" i="10"/>
  <c r="AA231" i="10" s="1"/>
  <c r="W238" i="10"/>
  <c r="AA238" i="10" s="1"/>
  <c r="D1128" i="2"/>
  <c r="F551" i="2"/>
  <c r="U551" i="2"/>
  <c r="AL62" i="3"/>
  <c r="AP317" i="10"/>
  <c r="AS336" i="10" s="1"/>
  <c r="K101" i="12"/>
  <c r="N101" i="12" s="1"/>
  <c r="N174" i="12" s="1"/>
  <c r="N106" i="12"/>
  <c r="N179" i="12" s="1"/>
  <c r="K106" i="12"/>
  <c r="I109" i="12"/>
  <c r="K104" i="12"/>
  <c r="N104" i="12" s="1"/>
  <c r="N177" i="12" s="1"/>
  <c r="K173" i="12"/>
  <c r="Q560" i="2"/>
  <c r="E560" i="2" s="1"/>
  <c r="G560" i="2" s="1"/>
  <c r="J560" i="2" s="1"/>
  <c r="N108" i="12"/>
  <c r="N181" i="12" s="1"/>
  <c r="K108" i="12"/>
  <c r="Q561" i="2"/>
  <c r="E561" i="2" s="1"/>
  <c r="G561" i="2" s="1"/>
  <c r="J561" i="2" s="1"/>
  <c r="V317" i="10"/>
  <c r="AL1126" i="2"/>
  <c r="D193" i="2"/>
  <c r="U193" i="2"/>
  <c r="D631" i="1"/>
  <c r="AS762" i="1"/>
  <c r="AR681" i="1"/>
  <c r="AB681" i="1"/>
  <c r="AQ681" i="1"/>
  <c r="BR681" i="1"/>
  <c r="BS681" i="1"/>
  <c r="D756" i="1"/>
  <c r="BT682" i="1"/>
  <c r="AS682" i="1"/>
  <c r="BT688" i="1"/>
  <c r="AS688" i="1"/>
  <c r="BT678" i="1"/>
  <c r="AS678" i="1"/>
  <c r="R540" i="8"/>
  <c r="F540" i="8"/>
  <c r="Z1128" i="2"/>
  <c r="D173" i="2"/>
  <c r="AL1128" i="2"/>
  <c r="AL1119" i="2"/>
  <c r="D178" i="2"/>
  <c r="S174" i="2"/>
  <c r="S181" i="2" s="1"/>
  <c r="Z1127" i="2"/>
  <c r="AD641" i="1"/>
  <c r="AS686" i="1"/>
  <c r="BT686" i="1"/>
  <c r="AS619" i="1"/>
  <c r="F98" i="15"/>
  <c r="J98" i="15"/>
  <c r="E98" i="15"/>
  <c r="I98" i="15"/>
  <c r="C98" i="15"/>
  <c r="K98" i="15"/>
  <c r="D98" i="15"/>
  <c r="L98" i="15"/>
  <c r="G98" i="15"/>
  <c r="H98" i="15"/>
  <c r="P382" i="10"/>
  <c r="I1164" i="2"/>
  <c r="F1103" i="1"/>
  <c r="D55" i="1"/>
  <c r="F847" i="8"/>
  <c r="BC101" i="14"/>
  <c r="BG101" i="14" s="1"/>
  <c r="C81" i="1"/>
  <c r="BC119" i="14"/>
  <c r="BG119" i="14" s="1"/>
  <c r="Z684" i="1"/>
  <c r="AA684" i="1"/>
  <c r="R598" i="1"/>
  <c r="S598" i="1"/>
  <c r="AH684" i="1"/>
  <c r="S568" i="1"/>
  <c r="R568" i="1"/>
  <c r="U271" i="1"/>
  <c r="C63" i="1"/>
  <c r="C54" i="1"/>
  <c r="AH34" i="14"/>
  <c r="AL34" i="14" s="1"/>
  <c r="Y639" i="1"/>
  <c r="AZ617" i="1"/>
  <c r="AD639" i="1"/>
  <c r="AH36" i="14"/>
  <c r="AK36" i="14" s="1"/>
  <c r="C120" i="1"/>
  <c r="K1119" i="2"/>
  <c r="U222" i="2"/>
  <c r="D222" i="2"/>
  <c r="C114" i="1"/>
  <c r="AH95" i="14"/>
  <c r="AK95" i="14" s="1"/>
  <c r="AH96" i="14"/>
  <c r="AL96" i="14" s="1"/>
  <c r="AH689" i="1"/>
  <c r="Z689" i="1"/>
  <c r="AA689" i="1"/>
  <c r="S603" i="1"/>
  <c r="R603" i="1"/>
  <c r="R573" i="1"/>
  <c r="S573" i="1"/>
  <c r="U276" i="1"/>
  <c r="D73" i="15"/>
  <c r="D34" i="1" s="1"/>
  <c r="M153" i="15"/>
  <c r="D153" i="15"/>
  <c r="F153" i="15"/>
  <c r="E153" i="15"/>
  <c r="N153" i="15" s="1"/>
  <c r="AH94" i="14"/>
  <c r="AK94" i="14" s="1"/>
  <c r="E746" i="1"/>
  <c r="AW764" i="1"/>
  <c r="J9" i="1"/>
  <c r="N867" i="2"/>
  <c r="W225" i="10"/>
  <c r="D812" i="2" s="1"/>
  <c r="U216" i="10"/>
  <c r="P29" i="2"/>
  <c r="K14" i="12"/>
  <c r="K26" i="12"/>
  <c r="T5" i="12"/>
  <c r="Q43" i="12"/>
  <c r="B40" i="12" s="1"/>
  <c r="W216" i="10"/>
  <c r="P5" i="2"/>
  <c r="Q3" i="2"/>
  <c r="P3" i="2"/>
  <c r="N5" i="12"/>
  <c r="BC28" i="14"/>
  <c r="C62" i="1"/>
  <c r="D184" i="10"/>
  <c r="E91" i="4" s="1"/>
  <c r="X190" i="10"/>
  <c r="Z184" i="10"/>
  <c r="AH89" i="14"/>
  <c r="AL89" i="14" s="1"/>
  <c r="Y646" i="1"/>
  <c r="AZ624" i="1"/>
  <c r="AD646" i="1"/>
  <c r="C143" i="1"/>
  <c r="P383" i="10"/>
  <c r="B1099" i="1"/>
  <c r="P378" i="10" s="1"/>
  <c r="I1165" i="2"/>
  <c r="F1104" i="1"/>
  <c r="F97" i="10"/>
  <c r="M148" i="15"/>
  <c r="E148" i="15"/>
  <c r="N148" i="15" s="1"/>
  <c r="F148" i="15"/>
  <c r="D148" i="15"/>
  <c r="Y647" i="1"/>
  <c r="AZ625" i="1"/>
  <c r="AD647" i="1"/>
  <c r="C60" i="1"/>
  <c r="Z685" i="1"/>
  <c r="AA685" i="1"/>
  <c r="AH685" i="1"/>
  <c r="R599" i="1"/>
  <c r="S599" i="1"/>
  <c r="R569" i="1"/>
  <c r="S569" i="1"/>
  <c r="U272" i="1"/>
  <c r="C129" i="1"/>
  <c r="AH32" i="14"/>
  <c r="AL32" i="14" s="1"/>
  <c r="AZ623" i="1"/>
  <c r="Y645" i="1"/>
  <c r="AD645" i="1"/>
  <c r="AH104" i="14"/>
  <c r="AL104" i="14" s="1"/>
  <c r="C1076" i="2"/>
  <c r="B1075" i="2"/>
  <c r="F960" i="2"/>
  <c r="G960" i="2" s="1"/>
  <c r="T960" i="2" s="1"/>
  <c r="AH98" i="14"/>
  <c r="AK98" i="14" s="1"/>
  <c r="R690" i="1"/>
  <c r="E71" i="15"/>
  <c r="E62" i="15"/>
  <c r="E249" i="2"/>
  <c r="E337" i="1"/>
  <c r="R354" i="10"/>
  <c r="D353" i="10"/>
  <c r="C119" i="1"/>
  <c r="BC116" i="14"/>
  <c r="BG116" i="14" s="1"/>
  <c r="B159" i="1"/>
  <c r="H647" i="9"/>
  <c r="J646" i="9"/>
  <c r="H353" i="10"/>
  <c r="S1075" i="2"/>
  <c r="AH122" i="14"/>
  <c r="AK122" i="14" s="1"/>
  <c r="V180" i="2"/>
  <c r="V183" i="2" s="1"/>
  <c r="D179" i="2"/>
  <c r="U179" i="2"/>
  <c r="C126" i="1"/>
  <c r="E63" i="15"/>
  <c r="C107" i="1"/>
  <c r="Y764" i="1"/>
  <c r="E324" i="1"/>
  <c r="X764" i="1"/>
  <c r="D140" i="1"/>
  <c r="J8" i="1"/>
  <c r="C160" i="1" s="1"/>
  <c r="C170" i="1" s="1"/>
  <c r="D149" i="15"/>
  <c r="E149" i="15"/>
  <c r="N149" i="15" s="1"/>
  <c r="M149" i="15"/>
  <c r="F149" i="15"/>
  <c r="BC34" i="14"/>
  <c r="BF34" i="14" s="1"/>
  <c r="C113" i="1"/>
  <c r="F849" i="8"/>
  <c r="F914" i="1"/>
  <c r="E924" i="1"/>
  <c r="O928" i="1" s="1"/>
  <c r="R356" i="10"/>
  <c r="E320" i="1"/>
  <c r="X760" i="1"/>
  <c r="Y760" i="1"/>
  <c r="X179" i="10"/>
  <c r="C179" i="10"/>
  <c r="C111" i="1"/>
  <c r="F308" i="10"/>
  <c r="D61" i="10"/>
  <c r="C57" i="12"/>
  <c r="D54" i="10"/>
  <c r="D53" i="10" s="1"/>
  <c r="Z54" i="10"/>
  <c r="Y644" i="1"/>
  <c r="AD644" i="1"/>
  <c r="AZ622" i="1"/>
  <c r="F99" i="15"/>
  <c r="D99" i="15"/>
  <c r="L99" i="15"/>
  <c r="G99" i="15"/>
  <c r="H99" i="15"/>
  <c r="AH84" i="14"/>
  <c r="AK84" i="14" s="1"/>
  <c r="R346" i="10"/>
  <c r="D711" i="2"/>
  <c r="U711" i="2"/>
  <c r="Z681" i="1"/>
  <c r="AA681" i="1"/>
  <c r="AH681" i="1"/>
  <c r="R595" i="1"/>
  <c r="S595" i="1"/>
  <c r="S565" i="1"/>
  <c r="R565" i="1"/>
  <c r="U268" i="1"/>
  <c r="AH35" i="14"/>
  <c r="AL35" i="14" s="1"/>
  <c r="N848" i="8"/>
  <c r="N855" i="8" s="1"/>
  <c r="N1193" i="2"/>
  <c r="D150" i="15"/>
  <c r="M150" i="15"/>
  <c r="F150" i="15"/>
  <c r="E150" i="15"/>
  <c r="N150" i="15" s="1"/>
  <c r="AH38" i="14"/>
  <c r="AK38" i="14" s="1"/>
  <c r="E94" i="15"/>
  <c r="I94" i="15"/>
  <c r="D94" i="15"/>
  <c r="U35" i="2"/>
  <c r="C1128" i="2"/>
  <c r="F1128" i="2" s="1"/>
  <c r="F1129" i="2" s="1"/>
  <c r="F35" i="2"/>
  <c r="AZ627" i="1"/>
  <c r="Y649" i="1"/>
  <c r="AH683" i="1"/>
  <c r="AA683" i="1"/>
  <c r="Z683" i="1"/>
  <c r="R597" i="1"/>
  <c r="S597" i="1"/>
  <c r="U270" i="1"/>
  <c r="R567" i="1"/>
  <c r="S567" i="1"/>
  <c r="BC103" i="14"/>
  <c r="BG103" i="14" s="1"/>
  <c r="C147" i="1"/>
  <c r="D137" i="1"/>
  <c r="J101" i="4"/>
  <c r="N1146" i="2"/>
  <c r="N1147" i="2"/>
  <c r="N1142" i="2"/>
  <c r="N1139" i="2"/>
  <c r="N1143" i="2"/>
  <c r="N1149" i="2"/>
  <c r="N1140" i="2"/>
  <c r="N1141" i="2"/>
  <c r="N1150" i="2"/>
  <c r="N1144" i="2"/>
  <c r="N1151" i="2"/>
  <c r="N1145" i="2"/>
  <c r="N1148" i="2"/>
  <c r="D145" i="15"/>
  <c r="C157" i="15"/>
  <c r="F156" i="15" s="1"/>
  <c r="M145" i="15"/>
  <c r="AH101" i="14"/>
  <c r="AK101" i="14" s="1"/>
  <c r="AH82" i="14"/>
  <c r="AK82" i="14" s="1"/>
  <c r="CP13" i="14"/>
  <c r="AS46" i="3"/>
  <c r="Y46" i="3" s="1"/>
  <c r="AS44" i="3"/>
  <c r="Y44" i="3" s="1"/>
  <c r="D139" i="1"/>
  <c r="E155" i="15"/>
  <c r="N155" i="15" s="1"/>
  <c r="D125" i="1"/>
  <c r="I9" i="1"/>
  <c r="H9" i="1"/>
  <c r="R332" i="8"/>
  <c r="Q348" i="8"/>
  <c r="Q347" i="8"/>
  <c r="Q349" i="8" s="1"/>
  <c r="AH88" i="14"/>
  <c r="AL88" i="14" s="1"/>
  <c r="CP14" i="14"/>
  <c r="E321" i="1"/>
  <c r="X761" i="1"/>
  <c r="Y761" i="1"/>
  <c r="Q345" i="8"/>
  <c r="D330" i="8"/>
  <c r="Q346" i="8"/>
  <c r="Q344" i="8"/>
  <c r="E71" i="21"/>
  <c r="E128" i="12"/>
  <c r="O146" i="15"/>
  <c r="P146" i="15" s="1"/>
  <c r="D126" i="1"/>
  <c r="U113" i="2"/>
  <c r="D113" i="2"/>
  <c r="K1115" i="2"/>
  <c r="AH100" i="14"/>
  <c r="AK100" i="14" s="1"/>
  <c r="C109" i="1"/>
  <c r="J6" i="14"/>
  <c r="J8" i="14"/>
  <c r="U8" i="14" s="1"/>
  <c r="E160" i="1" s="1"/>
  <c r="J5" i="14"/>
  <c r="J7" i="14"/>
  <c r="N7" i="14" s="1"/>
  <c r="N3" i="14"/>
  <c r="J4" i="14"/>
  <c r="N4" i="14" s="1"/>
  <c r="R345" i="10"/>
  <c r="D144" i="1"/>
  <c r="Z687" i="1"/>
  <c r="AH687" i="1"/>
  <c r="AA687" i="1"/>
  <c r="R601" i="1"/>
  <c r="S601" i="1"/>
  <c r="S571" i="1"/>
  <c r="R571" i="1"/>
  <c r="U274" i="1"/>
  <c r="Y759" i="1"/>
  <c r="E319" i="1"/>
  <c r="X759" i="1"/>
  <c r="C122" i="1"/>
  <c r="C117" i="1"/>
  <c r="D105" i="15"/>
  <c r="H105" i="15"/>
  <c r="L105" i="15"/>
  <c r="C105" i="15"/>
  <c r="J105" i="15"/>
  <c r="C59" i="1"/>
  <c r="C59" i="12"/>
  <c r="AZ626" i="1"/>
  <c r="Y648" i="1"/>
  <c r="AD648" i="1"/>
  <c r="Y641" i="1"/>
  <c r="AZ619" i="1"/>
  <c r="D646" i="9"/>
  <c r="O646" i="9" s="1"/>
  <c r="B647" i="9"/>
  <c r="D141" i="1"/>
  <c r="AH29" i="14"/>
  <c r="AK29" i="14" s="1"/>
  <c r="C144" i="15"/>
  <c r="E145" i="15" s="1"/>
  <c r="M156" i="15"/>
  <c r="D156" i="15"/>
  <c r="Y762" i="1"/>
  <c r="X762" i="1"/>
  <c r="E322" i="1"/>
  <c r="I859" i="8"/>
  <c r="J859" i="8" s="1"/>
  <c r="C63" i="12"/>
  <c r="C77" i="1"/>
  <c r="AA678" i="1"/>
  <c r="R592" i="1"/>
  <c r="S592" i="1"/>
  <c r="Z678" i="1"/>
  <c r="S562" i="1"/>
  <c r="R562" i="1"/>
  <c r="U265" i="1"/>
  <c r="AH678" i="1"/>
  <c r="M67" i="21"/>
  <c r="M68" i="21"/>
  <c r="V319" i="10"/>
  <c r="BC100" i="14"/>
  <c r="BF100" i="14" s="1"/>
  <c r="F820" i="1"/>
  <c r="C820" i="1"/>
  <c r="E819" i="1"/>
  <c r="E821" i="1" s="1"/>
  <c r="Z682" i="1"/>
  <c r="AA682" i="1"/>
  <c r="AH682" i="1"/>
  <c r="R596" i="1"/>
  <c r="S596" i="1"/>
  <c r="R566" i="1"/>
  <c r="S566" i="1"/>
  <c r="U269" i="1"/>
  <c r="F1050" i="8"/>
  <c r="F1040" i="8"/>
  <c r="F1041" i="8"/>
  <c r="F1042" i="8"/>
  <c r="G1039" i="8"/>
  <c r="F1048" i="8"/>
  <c r="F1062" i="8"/>
  <c r="F1053" i="8"/>
  <c r="C115" i="1"/>
  <c r="D467" i="2"/>
  <c r="D291" i="1" s="1"/>
  <c r="J67" i="21"/>
  <c r="J68" i="21"/>
  <c r="E846" i="8"/>
  <c r="I846" i="8" s="1"/>
  <c r="C866" i="8"/>
  <c r="F1226" i="2" s="1"/>
  <c r="E1226" i="2" s="1"/>
  <c r="C125" i="1"/>
  <c r="X767" i="1"/>
  <c r="Y767" i="1"/>
  <c r="E327" i="1"/>
  <c r="H351" i="10"/>
  <c r="S1073" i="2"/>
  <c r="AH56" i="14"/>
  <c r="AL56" i="14" s="1"/>
  <c r="AH28" i="14"/>
  <c r="AK28" i="14" s="1"/>
  <c r="D152" i="15"/>
  <c r="M152" i="15"/>
  <c r="F152" i="15"/>
  <c r="E152" i="15"/>
  <c r="N152" i="15" s="1"/>
  <c r="M151" i="15"/>
  <c r="D151" i="15"/>
  <c r="E151" i="15"/>
  <c r="N151" i="15" s="1"/>
  <c r="F151" i="15"/>
  <c r="U686" i="2"/>
  <c r="D686" i="2"/>
  <c r="C61" i="1"/>
  <c r="C121" i="1"/>
  <c r="Y638" i="1"/>
  <c r="AZ616" i="1"/>
  <c r="AD638" i="1"/>
  <c r="BC32" i="14"/>
  <c r="BF32" i="14" s="1"/>
  <c r="C1061" i="1"/>
  <c r="D1061" i="1"/>
  <c r="I1061" i="1"/>
  <c r="H1061" i="1" s="1"/>
  <c r="D1058" i="1"/>
  <c r="D1059" i="1"/>
  <c r="F1061" i="1"/>
  <c r="G1061" i="1"/>
  <c r="G1101" i="1"/>
  <c r="J1162" i="2" s="1"/>
  <c r="D1060" i="1"/>
  <c r="G1102" i="1"/>
  <c r="B931" i="2"/>
  <c r="B926" i="2"/>
  <c r="Y642" i="1"/>
  <c r="AZ620" i="1"/>
  <c r="AD642" i="1"/>
  <c r="U927" i="2"/>
  <c r="D927" i="2"/>
  <c r="H960" i="2"/>
  <c r="E14" i="4"/>
  <c r="G14" i="4" s="1"/>
  <c r="E87" i="4"/>
  <c r="F124" i="4"/>
  <c r="G124" i="4" s="1"/>
  <c r="J124" i="4" s="1"/>
  <c r="J121" i="4"/>
  <c r="AH52" i="14"/>
  <c r="AK52" i="14" s="1"/>
  <c r="F52" i="14" s="1"/>
  <c r="G77" i="1" s="1"/>
  <c r="I77" i="1" s="1"/>
  <c r="CP8" i="14"/>
  <c r="R350" i="10"/>
  <c r="E147" i="15"/>
  <c r="N147" i="15" s="1"/>
  <c r="F147" i="15"/>
  <c r="M147" i="15"/>
  <c r="D147" i="15"/>
  <c r="H1006" i="8"/>
  <c r="H1007" i="8"/>
  <c r="H1008" i="8"/>
  <c r="E258" i="8"/>
  <c r="F9" i="1"/>
  <c r="C61" i="12"/>
  <c r="K1038" i="8"/>
  <c r="J1039" i="8"/>
  <c r="AH90" i="14"/>
  <c r="AK90" i="14" s="1"/>
  <c r="CP15" i="14"/>
  <c r="C79" i="1"/>
  <c r="G857" i="8"/>
  <c r="E864" i="8"/>
  <c r="E223" i="1"/>
  <c r="Y208" i="1"/>
  <c r="AM688" i="1"/>
  <c r="BE688" i="1"/>
  <c r="C57" i="1"/>
  <c r="AH97" i="14"/>
  <c r="AK97" i="14" s="1"/>
  <c r="X763" i="1"/>
  <c r="Y763" i="1"/>
  <c r="E323" i="1"/>
  <c r="D461" i="2"/>
  <c r="D285" i="1" s="1"/>
  <c r="N308" i="10"/>
  <c r="D166" i="10"/>
  <c r="D59" i="1"/>
  <c r="K646" i="9"/>
  <c r="M645" i="9"/>
  <c r="C110" i="1"/>
  <c r="AZ621" i="1"/>
  <c r="Y643" i="1"/>
  <c r="R342" i="10"/>
  <c r="C128" i="1"/>
  <c r="C80" i="1"/>
  <c r="E146" i="15"/>
  <c r="N146" i="15" s="1"/>
  <c r="BF118" i="14"/>
  <c r="BG118" i="14"/>
  <c r="D143" i="1"/>
  <c r="AA680" i="1"/>
  <c r="AH680" i="1"/>
  <c r="Z680" i="1"/>
  <c r="R594" i="1"/>
  <c r="S594" i="1"/>
  <c r="S564" i="1"/>
  <c r="R564" i="1"/>
  <c r="U267" i="1"/>
  <c r="AS50" i="3"/>
  <c r="Y50" i="3" s="1"/>
  <c r="AS9" i="3"/>
  <c r="Y9" i="3" s="1"/>
  <c r="AS20" i="3"/>
  <c r="Y20" i="3" s="1"/>
  <c r="AH318" i="10"/>
  <c r="D147" i="1"/>
  <c r="BF122" i="14"/>
  <c r="I1006" i="8"/>
  <c r="I1008" i="8"/>
  <c r="D258" i="8"/>
  <c r="E737" i="9"/>
  <c r="E712" i="9"/>
  <c r="E687" i="9"/>
  <c r="AH83" i="14"/>
  <c r="AL83" i="14" s="1"/>
  <c r="I8" i="1"/>
  <c r="C159" i="1" s="1"/>
  <c r="C169" i="1" s="1"/>
  <c r="F819" i="1"/>
  <c r="C78" i="1"/>
  <c r="C127" i="1"/>
  <c r="M83" i="1"/>
  <c r="M104" i="1"/>
  <c r="M126" i="1"/>
  <c r="M85" i="1"/>
  <c r="M105" i="1"/>
  <c r="M127" i="1"/>
  <c r="M84" i="1"/>
  <c r="M86" i="1"/>
  <c r="M107" i="1"/>
  <c r="M128" i="1"/>
  <c r="M87" i="1"/>
  <c r="M109" i="1"/>
  <c r="M129" i="1"/>
  <c r="M88" i="1"/>
  <c r="M110" i="1"/>
  <c r="M131" i="1"/>
  <c r="M102" i="1"/>
  <c r="M136" i="1"/>
  <c r="M103" i="1"/>
  <c r="M137" i="1"/>
  <c r="M111" i="1"/>
  <c r="M139" i="1"/>
  <c r="M112" i="1"/>
  <c r="M141" i="1"/>
  <c r="M113" i="1"/>
  <c r="M115" i="1"/>
  <c r="M89" i="1"/>
  <c r="M118" i="1"/>
  <c r="M97" i="1"/>
  <c r="M82" i="1"/>
  <c r="M108" i="1"/>
  <c r="M99" i="1"/>
  <c r="M101" i="1"/>
  <c r="M117" i="1"/>
  <c r="M119" i="1"/>
  <c r="M120" i="1"/>
  <c r="M121" i="1"/>
  <c r="M123" i="1"/>
  <c r="M125" i="1"/>
  <c r="M133" i="1"/>
  <c r="M134" i="1"/>
  <c r="M91" i="1"/>
  <c r="M135" i="1"/>
  <c r="M93" i="1"/>
  <c r="M94" i="1"/>
  <c r="M95" i="1"/>
  <c r="M96" i="1"/>
  <c r="M130" i="1"/>
  <c r="M132" i="1"/>
  <c r="M122" i="1"/>
  <c r="M124" i="1"/>
  <c r="M140" i="1"/>
  <c r="M116" i="1"/>
  <c r="M100" i="1"/>
  <c r="M92" i="1"/>
  <c r="M138" i="1"/>
  <c r="M114" i="1"/>
  <c r="M106" i="1"/>
  <c r="M98" i="1"/>
  <c r="M90" i="1"/>
  <c r="AW770" i="1"/>
  <c r="E752" i="1"/>
  <c r="E70" i="15"/>
  <c r="AH118" i="14"/>
  <c r="AK118" i="14" s="1"/>
  <c r="CP19" i="14"/>
  <c r="M154" i="15"/>
  <c r="D154" i="15"/>
  <c r="F154" i="15"/>
  <c r="E154" i="15"/>
  <c r="N154" i="15" s="1"/>
  <c r="C53" i="1"/>
  <c r="H359" i="10"/>
  <c r="S1081" i="2"/>
  <c r="AK119" i="14"/>
  <c r="C144" i="1"/>
  <c r="AL119" i="14"/>
  <c r="E66" i="10"/>
  <c r="X66" i="10"/>
  <c r="C66" i="10"/>
  <c r="C123" i="1"/>
  <c r="V864" i="8"/>
  <c r="V865" i="8"/>
  <c r="F521" i="8" s="1"/>
  <c r="D129" i="1"/>
  <c r="D128" i="1"/>
  <c r="C58" i="12"/>
  <c r="D57" i="1"/>
  <c r="Z686" i="1"/>
  <c r="AA686" i="1"/>
  <c r="AH686" i="1"/>
  <c r="S600" i="1"/>
  <c r="R600" i="1"/>
  <c r="U273" i="1"/>
  <c r="S570" i="1"/>
  <c r="R570" i="1"/>
  <c r="AD643" i="1"/>
  <c r="AC643" i="1"/>
  <c r="E621" i="1"/>
  <c r="AW621" i="1"/>
  <c r="D53" i="1"/>
  <c r="AZ618" i="1"/>
  <c r="Y640" i="1"/>
  <c r="AD640" i="1"/>
  <c r="AH103" i="14"/>
  <c r="AK103" i="14" s="1"/>
  <c r="C116" i="1"/>
  <c r="E338" i="1"/>
  <c r="E250" i="2"/>
  <c r="L369" i="10"/>
  <c r="AS38" i="3"/>
  <c r="Y38" i="3" s="1"/>
  <c r="D811" i="2"/>
  <c r="C108" i="1"/>
  <c r="G9" i="1"/>
  <c r="AH53" i="14"/>
  <c r="AK53" i="14" s="1"/>
  <c r="F53" i="14" s="1"/>
  <c r="G78" i="1" s="1"/>
  <c r="I78" i="1" s="1"/>
  <c r="D138" i="1"/>
  <c r="N860" i="8"/>
  <c r="F858" i="8"/>
  <c r="N859" i="8"/>
  <c r="N861" i="8"/>
  <c r="F860" i="8"/>
  <c r="F861" i="8"/>
  <c r="F862" i="8"/>
  <c r="C1012" i="8"/>
  <c r="F1012" i="8" s="1"/>
  <c r="F1015" i="8" s="1"/>
  <c r="C60" i="14"/>
  <c r="C65" i="14"/>
  <c r="C70" i="14"/>
  <c r="C74" i="14"/>
  <c r="C79" i="14"/>
  <c r="C84" i="14"/>
  <c r="C89" i="14"/>
  <c r="C94" i="14"/>
  <c r="C98" i="14"/>
  <c r="C103" i="14"/>
  <c r="C108" i="14"/>
  <c r="C113" i="14"/>
  <c r="C59" i="14"/>
  <c r="C64" i="14"/>
  <c r="C68" i="14"/>
  <c r="C73" i="14"/>
  <c r="C78" i="14"/>
  <c r="C83" i="14"/>
  <c r="C88" i="14"/>
  <c r="C92" i="14"/>
  <c r="C97" i="14"/>
  <c r="C102" i="14"/>
  <c r="C107" i="14"/>
  <c r="C112" i="14"/>
  <c r="C116" i="14"/>
  <c r="C106" i="14"/>
  <c r="C71" i="14"/>
  <c r="C58" i="14"/>
  <c r="C85" i="14"/>
  <c r="C72" i="14"/>
  <c r="C100" i="14"/>
  <c r="C86" i="14"/>
  <c r="C114" i="14"/>
  <c r="C101" i="14"/>
  <c r="C66" i="14"/>
  <c r="C115" i="14"/>
  <c r="C109" i="14"/>
  <c r="C80" i="14"/>
  <c r="C61" i="14"/>
  <c r="C110" i="14"/>
  <c r="C82" i="14"/>
  <c r="C90" i="14"/>
  <c r="C62" i="14"/>
  <c r="C67" i="14"/>
  <c r="C77" i="14"/>
  <c r="C91" i="14"/>
  <c r="C96" i="14"/>
  <c r="C104" i="14"/>
  <c r="C76" i="14"/>
  <c r="C95" i="14"/>
  <c r="AD649" i="1"/>
  <c r="AW627" i="1"/>
  <c r="AC649" i="1"/>
  <c r="E627" i="1"/>
  <c r="Q28" i="11"/>
  <c r="O28" i="11" s="1"/>
  <c r="AL679" i="1"/>
  <c r="AW679" i="1" s="1"/>
  <c r="Y684" i="1"/>
  <c r="AB461" i="2"/>
  <c r="Y683" i="1"/>
  <c r="AB467" i="2"/>
  <c r="AL681" i="1"/>
  <c r="AW681" i="1" s="1"/>
  <c r="Y678" i="1"/>
  <c r="Y680" i="1"/>
  <c r="AL687" i="1"/>
  <c r="AW687" i="1" s="1"/>
  <c r="AL683" i="1"/>
  <c r="AW683" i="1" s="1"/>
  <c r="AL682" i="1"/>
  <c r="AW682" i="1" s="1"/>
  <c r="AL678" i="1"/>
  <c r="AW678" i="1" s="1"/>
  <c r="Y685" i="1"/>
  <c r="AB465" i="2"/>
  <c r="AL686" i="1"/>
  <c r="AW686" i="1" s="1"/>
  <c r="AB466" i="2"/>
  <c r="AB458" i="2"/>
  <c r="AB456" i="2"/>
  <c r="AY641" i="1"/>
  <c r="AY638" i="1"/>
  <c r="AY644" i="1"/>
  <c r="AY645" i="1"/>
  <c r="AY640" i="1"/>
  <c r="AY649" i="1"/>
  <c r="AY648" i="1"/>
  <c r="AY639" i="1"/>
  <c r="AY646" i="1"/>
  <c r="AY647" i="1"/>
  <c r="AY643" i="1"/>
  <c r="AY642" i="1"/>
  <c r="Y689" i="1"/>
  <c r="AB464" i="2"/>
  <c r="AL689" i="1"/>
  <c r="AW689" i="1" s="1"/>
  <c r="AB462" i="2"/>
  <c r="Y686" i="1"/>
  <c r="AL684" i="1"/>
  <c r="AW684" i="1" s="1"/>
  <c r="S709" i="2"/>
  <c r="Y688" i="1"/>
  <c r="AB459" i="2"/>
  <c r="AL680" i="1"/>
  <c r="AW680" i="1" s="1"/>
  <c r="AL685" i="1"/>
  <c r="AW685" i="1" s="1"/>
  <c r="L69" i="15"/>
  <c r="L63" i="15"/>
  <c r="L70" i="15"/>
  <c r="L71" i="15"/>
  <c r="L67" i="15"/>
  <c r="S674" i="2"/>
  <c r="S675" i="2"/>
  <c r="S710" i="2"/>
  <c r="L64" i="15"/>
  <c r="S194" i="2"/>
  <c r="L72" i="15"/>
  <c r="L65" i="15"/>
  <c r="L68" i="15"/>
  <c r="L66" i="15"/>
  <c r="AH67" i="11" l="1"/>
  <c r="X687" i="1"/>
  <c r="AG67" i="11"/>
  <c r="L100" i="15"/>
  <c r="J97" i="15"/>
  <c r="J100" i="15"/>
  <c r="F97" i="15"/>
  <c r="I100" i="15"/>
  <c r="D100" i="15"/>
  <c r="E97" i="15"/>
  <c r="P45" i="10"/>
  <c r="H100" i="15"/>
  <c r="F100" i="15"/>
  <c r="CD679" i="1"/>
  <c r="D311" i="8"/>
  <c r="AF67" i="11"/>
  <c r="E100" i="15"/>
  <c r="K100" i="15"/>
  <c r="BE679" i="1"/>
  <c r="G100" i="15"/>
  <c r="BB688" i="1"/>
  <c r="BC688" i="1" s="1"/>
  <c r="BG688" i="1" s="1"/>
  <c r="L45" i="10"/>
  <c r="D312" i="8"/>
  <c r="D310" i="8"/>
  <c r="D309" i="8" s="1"/>
  <c r="B170" i="1"/>
  <c r="E1195" i="2"/>
  <c r="N1195" i="2" s="1"/>
  <c r="AE3" i="14"/>
  <c r="D313" i="8"/>
  <c r="BS683" i="1"/>
  <c r="AS764" i="1"/>
  <c r="AR683" i="1"/>
  <c r="AS621" i="1"/>
  <c r="AB683" i="1"/>
  <c r="AS622" i="1"/>
  <c r="AS765" i="1"/>
  <c r="AR684" i="1"/>
  <c r="AB684" i="1"/>
  <c r="AC684" i="1" s="1"/>
  <c r="BR684" i="1"/>
  <c r="AQ684" i="1"/>
  <c r="BS684" i="1"/>
  <c r="BZ679" i="1"/>
  <c r="BA679" i="1"/>
  <c r="AY679" i="1"/>
  <c r="BB679" i="1" s="1"/>
  <c r="BC679" i="1" s="1"/>
  <c r="BG679" i="1" s="1"/>
  <c r="BX679" i="1"/>
  <c r="CA679" i="1" s="1"/>
  <c r="CB679" i="1" s="1"/>
  <c r="CF679" i="1" s="1"/>
  <c r="BR683" i="1"/>
  <c r="F55" i="10"/>
  <c r="L101" i="15"/>
  <c r="AU622" i="1"/>
  <c r="AV622" i="1" s="1"/>
  <c r="BA622" i="1" s="1"/>
  <c r="BB622" i="1" s="1"/>
  <c r="BC622" i="1" s="1"/>
  <c r="AU616" i="1"/>
  <c r="CE19" i="14"/>
  <c r="K34" i="15" s="1"/>
  <c r="I164" i="15" s="1"/>
  <c r="D95" i="10"/>
  <c r="C782" i="1"/>
  <c r="J101" i="15"/>
  <c r="I105" i="15"/>
  <c r="K99" i="15"/>
  <c r="L97" i="15"/>
  <c r="AU619" i="1"/>
  <c r="AV619" i="1" s="1"/>
  <c r="BA619" i="1" s="1"/>
  <c r="BB619" i="1" s="1"/>
  <c r="BC619" i="1" s="1"/>
  <c r="U695" i="2"/>
  <c r="E243" i="2"/>
  <c r="U657" i="2"/>
  <c r="AU624" i="1"/>
  <c r="C847" i="1"/>
  <c r="H45" i="10"/>
  <c r="F101" i="15"/>
  <c r="F105" i="15"/>
  <c r="C94" i="15"/>
  <c r="C99" i="15"/>
  <c r="D97" i="15"/>
  <c r="L316" i="8"/>
  <c r="AU618" i="1"/>
  <c r="I101" i="15"/>
  <c r="H101" i="15"/>
  <c r="H97" i="15"/>
  <c r="K101" i="15"/>
  <c r="E105" i="15"/>
  <c r="K94" i="15"/>
  <c r="I99" i="15"/>
  <c r="K97" i="15"/>
  <c r="AQ683" i="1"/>
  <c r="BJ638" i="1"/>
  <c r="BJ650" i="1" s="1"/>
  <c r="E101" i="15"/>
  <c r="G97" i="15"/>
  <c r="AU621" i="1"/>
  <c r="D158" i="1"/>
  <c r="G101" i="15"/>
  <c r="K105" i="15"/>
  <c r="F94" i="15"/>
  <c r="E99" i="15"/>
  <c r="C97" i="15"/>
  <c r="AS683" i="1"/>
  <c r="AU617" i="1"/>
  <c r="D101" i="15"/>
  <c r="L94" i="15"/>
  <c r="B165" i="1"/>
  <c r="BT689" i="1"/>
  <c r="D93" i="10"/>
  <c r="BG113" i="14"/>
  <c r="AU623" i="1"/>
  <c r="BC114" i="14"/>
  <c r="BC38" i="14"/>
  <c r="BG38" i="14" s="1"/>
  <c r="AH121" i="14"/>
  <c r="AL121" i="14" s="1"/>
  <c r="D146" i="1"/>
  <c r="AL118" i="14"/>
  <c r="AU626" i="1"/>
  <c r="AU627" i="1"/>
  <c r="BF104" i="14"/>
  <c r="BC29" i="14"/>
  <c r="BG29" i="14" s="1"/>
  <c r="AH31" i="14"/>
  <c r="AL31" i="14" s="1"/>
  <c r="M658" i="1"/>
  <c r="D750" i="1"/>
  <c r="AL92" i="14"/>
  <c r="J94" i="15"/>
  <c r="G94" i="15"/>
  <c r="E245" i="2"/>
  <c r="L102" i="15"/>
  <c r="AU620" i="1"/>
  <c r="AG317" i="10"/>
  <c r="C102" i="15"/>
  <c r="BW1137" i="2"/>
  <c r="R843" i="2" s="1"/>
  <c r="B166" i="1"/>
  <c r="Q157" i="12"/>
  <c r="I157" i="12" s="1"/>
  <c r="AL36" i="14"/>
  <c r="F92" i="14"/>
  <c r="G117" i="1" s="1"/>
  <c r="AK32" i="14"/>
  <c r="F32" i="14" s="1"/>
  <c r="G57" i="1" s="1"/>
  <c r="I57" i="1" s="1"/>
  <c r="BC35" i="14"/>
  <c r="BG35" i="14" s="1"/>
  <c r="F97" i="14"/>
  <c r="G122" i="1" s="1"/>
  <c r="AL85" i="14"/>
  <c r="BC102" i="14"/>
  <c r="BG102" i="14" s="1"/>
  <c r="Y16" i="14"/>
  <c r="F91" i="14"/>
  <c r="G116" i="1" s="1"/>
  <c r="AZ3" i="14"/>
  <c r="AZ1" i="14" s="1"/>
  <c r="D175" i="1" s="1"/>
  <c r="CP5" i="14"/>
  <c r="D62" i="1"/>
  <c r="BC30" i="14"/>
  <c r="BG30" i="14" s="1"/>
  <c r="AB243" i="10"/>
  <c r="T1137" i="2"/>
  <c r="R819" i="2" s="1"/>
  <c r="Y22" i="14"/>
  <c r="AU1137" i="2"/>
  <c r="R830" i="2" s="1"/>
  <c r="R838" i="2" s="1"/>
  <c r="O330" i="10"/>
  <c r="P330" i="10" s="1"/>
  <c r="AL100" i="14"/>
  <c r="AL84" i="14"/>
  <c r="N335" i="10"/>
  <c r="BC36" i="14"/>
  <c r="BG36" i="14" s="1"/>
  <c r="AL91" i="14"/>
  <c r="AV1137" i="2"/>
  <c r="R831" i="2" s="1"/>
  <c r="T942" i="2"/>
  <c r="U942" i="2" s="1"/>
  <c r="T941" i="2"/>
  <c r="U941" i="2" s="1"/>
  <c r="N107" i="12"/>
  <c r="N180" i="12" s="1"/>
  <c r="Q48" i="10"/>
  <c r="Q51" i="10" s="1"/>
  <c r="Q45" i="10"/>
  <c r="K177" i="15"/>
  <c r="CH16" i="14"/>
  <c r="H31" i="15" s="1"/>
  <c r="K161" i="15" s="1"/>
  <c r="I45" i="10"/>
  <c r="K48" i="10"/>
  <c r="K51" i="10" s="1"/>
  <c r="O323" i="10"/>
  <c r="P323" i="10" s="1"/>
  <c r="AK54" i="14"/>
  <c r="F54" i="14" s="1"/>
  <c r="G79" i="1" s="1"/>
  <c r="I79" i="1" s="1"/>
  <c r="BX1139" i="2"/>
  <c r="BX1137" i="2" s="1"/>
  <c r="R844" i="2" s="1"/>
  <c r="S146" i="2"/>
  <c r="D146" i="2" s="1"/>
  <c r="AH30" i="14"/>
  <c r="AK30" i="14" s="1"/>
  <c r="M64" i="8"/>
  <c r="M66" i="8"/>
  <c r="M67" i="8"/>
  <c r="M70" i="8"/>
  <c r="M61" i="8"/>
  <c r="M68" i="8"/>
  <c r="M71" i="8"/>
  <c r="M81" i="8"/>
  <c r="M76" i="8" s="1"/>
  <c r="L80" i="8"/>
  <c r="M78" i="8"/>
  <c r="M65" i="8"/>
  <c r="M69" i="8"/>
  <c r="I102" i="15"/>
  <c r="F90" i="14"/>
  <c r="G115" i="1" s="1"/>
  <c r="O327" i="10"/>
  <c r="P327" i="10" s="1"/>
  <c r="AK34" i="14"/>
  <c r="AK86" i="14"/>
  <c r="F86" i="14" s="1"/>
  <c r="G111" i="1" s="1"/>
  <c r="G155" i="15"/>
  <c r="H1137" i="2"/>
  <c r="E1126" i="2" s="1"/>
  <c r="S468" i="2"/>
  <c r="D470" i="2" s="1"/>
  <c r="D294" i="1" s="1"/>
  <c r="D651" i="1" s="1"/>
  <c r="K657" i="1" s="1"/>
  <c r="U145" i="2"/>
  <c r="B167" i="1"/>
  <c r="U662" i="2"/>
  <c r="AK83" i="14"/>
  <c r="F83" i="14" s="1"/>
  <c r="G108" i="1" s="1"/>
  <c r="H102" i="15"/>
  <c r="O322" i="10"/>
  <c r="P322" i="10" s="1"/>
  <c r="CP4" i="14"/>
  <c r="F1137" i="2"/>
  <c r="BF101" i="14"/>
  <c r="F101" i="14" s="1"/>
  <c r="G126" i="1" s="1"/>
  <c r="F145" i="15"/>
  <c r="G145" i="15" s="1"/>
  <c r="U178" i="2"/>
  <c r="D657" i="2"/>
  <c r="G1137" i="2"/>
  <c r="BJ640" i="1"/>
  <c r="F202" i="10"/>
  <c r="O333" i="10"/>
  <c r="P333" i="10" s="1"/>
  <c r="P336" i="10" s="1"/>
  <c r="D146" i="10" s="1"/>
  <c r="C14" i="12"/>
  <c r="C26" i="12" s="1"/>
  <c r="G26" i="12" s="1"/>
  <c r="R26" i="12" s="1"/>
  <c r="D102" i="15"/>
  <c r="O331" i="10"/>
  <c r="P331" i="10" s="1"/>
  <c r="U7" i="14"/>
  <c r="E159" i="1" s="1"/>
  <c r="E169" i="1" s="1"/>
  <c r="F169" i="1" s="1"/>
  <c r="O332" i="10"/>
  <c r="P332" i="10" s="1"/>
  <c r="O328" i="10"/>
  <c r="P328" i="10" s="1"/>
  <c r="J102" i="15"/>
  <c r="AL102" i="14"/>
  <c r="AL55" i="14"/>
  <c r="F102" i="15"/>
  <c r="O324" i="10"/>
  <c r="P324" i="10" s="1"/>
  <c r="AU6" i="3"/>
  <c r="AV6" i="3" s="1"/>
  <c r="AT7" i="3" s="1"/>
  <c r="AU7" i="3" s="1"/>
  <c r="AV7" i="3" s="1"/>
  <c r="AT8" i="3" s="1"/>
  <c r="BG112" i="14"/>
  <c r="O354" i="10"/>
  <c r="AK37" i="14"/>
  <c r="V6" i="14"/>
  <c r="G158" i="1" s="1"/>
  <c r="G1107" i="1" s="1"/>
  <c r="J1168" i="2" s="1"/>
  <c r="CG17" i="14"/>
  <c r="K178" i="15" s="1"/>
  <c r="O326" i="10"/>
  <c r="P326" i="10" s="1"/>
  <c r="F94" i="14"/>
  <c r="G119" i="1" s="1"/>
  <c r="U723" i="2"/>
  <c r="E102" i="15"/>
  <c r="D723" i="2"/>
  <c r="D174" i="1"/>
  <c r="O321" i="10"/>
  <c r="P321" i="10" s="1"/>
  <c r="C844" i="8"/>
  <c r="E844" i="8" s="1"/>
  <c r="K102" i="15"/>
  <c r="AL53" i="14"/>
  <c r="O329" i="10"/>
  <c r="P329" i="10" s="1"/>
  <c r="I177" i="15"/>
  <c r="S1079" i="2"/>
  <c r="BF115" i="14"/>
  <c r="F115" i="14" s="1"/>
  <c r="G140" i="1" s="1"/>
  <c r="AA1075" i="2"/>
  <c r="U166" i="2" s="1"/>
  <c r="U165" i="2"/>
  <c r="D200" i="10"/>
  <c r="G92" i="4" s="1"/>
  <c r="J92" i="4" s="1"/>
  <c r="AY685" i="1"/>
  <c r="BZ685" i="1"/>
  <c r="BA685" i="1"/>
  <c r="BX685" i="1"/>
  <c r="BZ680" i="1"/>
  <c r="BX680" i="1"/>
  <c r="AY680" i="1"/>
  <c r="BA680" i="1"/>
  <c r="AS626" i="1"/>
  <c r="AB688" i="1"/>
  <c r="AC688" i="1" s="1"/>
  <c r="AR688" i="1"/>
  <c r="BS688" i="1"/>
  <c r="AS769" i="1"/>
  <c r="AQ688" i="1"/>
  <c r="BR688" i="1"/>
  <c r="D709" i="2"/>
  <c r="R1117" i="2"/>
  <c r="U709" i="2"/>
  <c r="AY684" i="1"/>
  <c r="BX684" i="1"/>
  <c r="BZ684" i="1"/>
  <c r="BA684" i="1"/>
  <c r="AB686" i="1"/>
  <c r="AC686" i="1" s="1"/>
  <c r="AS767" i="1"/>
  <c r="AS624" i="1"/>
  <c r="AV624" i="1" s="1"/>
  <c r="BA624" i="1" s="1"/>
  <c r="BB624" i="1" s="1"/>
  <c r="BC624" i="1" s="1"/>
  <c r="AQ686" i="1"/>
  <c r="BS686" i="1"/>
  <c r="BR686" i="1"/>
  <c r="AR686" i="1"/>
  <c r="BX689" i="1"/>
  <c r="BZ689" i="1"/>
  <c r="AY689" i="1"/>
  <c r="BA689" i="1"/>
  <c r="AB689" i="1"/>
  <c r="AC689" i="1" s="1"/>
  <c r="AC770" i="1" s="1"/>
  <c r="AQ689" i="1"/>
  <c r="AS770" i="1"/>
  <c r="AS627" i="1"/>
  <c r="AR689" i="1"/>
  <c r="BS689" i="1"/>
  <c r="BR689" i="1"/>
  <c r="AZ642" i="1"/>
  <c r="AZ643" i="1"/>
  <c r="BC643" i="1" s="1"/>
  <c r="AZ647" i="1"/>
  <c r="AZ646" i="1"/>
  <c r="AZ639" i="1"/>
  <c r="AZ648" i="1"/>
  <c r="AZ649" i="1"/>
  <c r="BC649" i="1" s="1"/>
  <c r="AZ640" i="1"/>
  <c r="AZ645" i="1"/>
  <c r="AZ644" i="1"/>
  <c r="AZ638" i="1"/>
  <c r="AZ641" i="1"/>
  <c r="BA686" i="1"/>
  <c r="BZ686" i="1"/>
  <c r="BX686" i="1"/>
  <c r="CA686" i="1" s="1"/>
  <c r="CB686" i="1" s="1"/>
  <c r="CF686" i="1" s="1"/>
  <c r="AY686" i="1"/>
  <c r="BR685" i="1"/>
  <c r="AB685" i="1"/>
  <c r="AC685" i="1" s="1"/>
  <c r="AS766" i="1"/>
  <c r="AS623" i="1"/>
  <c r="BS685" i="1"/>
  <c r="AQ685" i="1"/>
  <c r="AR685" i="1"/>
  <c r="BZ678" i="1"/>
  <c r="BX678" i="1"/>
  <c r="BA678" i="1"/>
  <c r="AY678" i="1"/>
  <c r="BX682" i="1"/>
  <c r="BZ682" i="1"/>
  <c r="BA682" i="1"/>
  <c r="AY682" i="1"/>
  <c r="AY683" i="1"/>
  <c r="BZ683" i="1"/>
  <c r="BX683" i="1"/>
  <c r="BA683" i="1"/>
  <c r="AY687" i="1"/>
  <c r="BA687" i="1"/>
  <c r="BX687" i="1"/>
  <c r="BZ687" i="1"/>
  <c r="AB680" i="1"/>
  <c r="AC680" i="1" s="1"/>
  <c r="AS618" i="1"/>
  <c r="AV618" i="1" s="1"/>
  <c r="BA618" i="1" s="1"/>
  <c r="BB618" i="1" s="1"/>
  <c r="BC618" i="1" s="1"/>
  <c r="AS761" i="1"/>
  <c r="AB678" i="1"/>
  <c r="AC678" i="1" s="1"/>
  <c r="AR678" i="1"/>
  <c r="BS678" i="1"/>
  <c r="AS759" i="1"/>
  <c r="AS616" i="1"/>
  <c r="AQ678" i="1"/>
  <c r="BR678" i="1"/>
  <c r="AY681" i="1"/>
  <c r="BZ681" i="1"/>
  <c r="BX681" i="1"/>
  <c r="BA681" i="1"/>
  <c r="BG121" i="14"/>
  <c r="BF121" i="14"/>
  <c r="AS680" i="1"/>
  <c r="BR680" i="1"/>
  <c r="BS680" i="1"/>
  <c r="BT680" i="1"/>
  <c r="AR680" i="1"/>
  <c r="AQ680" i="1"/>
  <c r="U605" i="2"/>
  <c r="D605" i="2"/>
  <c r="F95" i="14"/>
  <c r="G120" i="1" s="1"/>
  <c r="D159" i="10"/>
  <c r="D158" i="10" s="1"/>
  <c r="Z159" i="10"/>
  <c r="F676" i="9"/>
  <c r="G676" i="9"/>
  <c r="D676" i="9"/>
  <c r="H676" i="9" s="1"/>
  <c r="C676" i="9"/>
  <c r="E676" i="9"/>
  <c r="R339" i="8"/>
  <c r="R340" i="8"/>
  <c r="D357" i="8"/>
  <c r="V697" i="2"/>
  <c r="V701" i="2" s="1"/>
  <c r="D696" i="2"/>
  <c r="U696" i="2"/>
  <c r="AL101" i="14"/>
  <c r="AL29" i="14"/>
  <c r="C84" i="12"/>
  <c r="C73" i="12"/>
  <c r="F62" i="12"/>
  <c r="G62" i="12"/>
  <c r="E62" i="12"/>
  <c r="F160" i="10"/>
  <c r="X160" i="10"/>
  <c r="F677" i="9"/>
  <c r="D677" i="9"/>
  <c r="H677" i="9" s="1"/>
  <c r="E677" i="9"/>
  <c r="G677" i="9"/>
  <c r="C677" i="9"/>
  <c r="BJ645" i="1"/>
  <c r="X770" i="1"/>
  <c r="E330" i="1"/>
  <c r="Y770" i="1"/>
  <c r="CA688" i="1"/>
  <c r="CB688" i="1" s="1"/>
  <c r="CF688" i="1" s="1"/>
  <c r="D691" i="2"/>
  <c r="U691" i="2"/>
  <c r="F82" i="14"/>
  <c r="G107" i="1" s="1"/>
  <c r="AK89" i="14"/>
  <c r="F89" i="14" s="1"/>
  <c r="G114" i="1" s="1"/>
  <c r="K173" i="15"/>
  <c r="CE20" i="14"/>
  <c r="K35" i="15" s="1"/>
  <c r="I165" i="15" s="1"/>
  <c r="I179" i="15"/>
  <c r="CG18" i="14"/>
  <c r="K179" i="15" s="1"/>
  <c r="D682" i="2"/>
  <c r="U682" i="2"/>
  <c r="X171" i="10"/>
  <c r="C171" i="10"/>
  <c r="E171" i="10"/>
  <c r="N950" i="2"/>
  <c r="N958" i="2"/>
  <c r="AL98" i="14"/>
  <c r="CG19" i="14"/>
  <c r="K180" i="15" s="1"/>
  <c r="I180" i="15"/>
  <c r="AS687" i="1"/>
  <c r="BT687" i="1"/>
  <c r="BC31" i="14"/>
  <c r="BG31" i="14" s="1"/>
  <c r="D742" i="1"/>
  <c r="D617" i="1"/>
  <c r="D749" i="1"/>
  <c r="D624" i="1"/>
  <c r="D89" i="2"/>
  <c r="U89" i="2"/>
  <c r="BG32" i="14"/>
  <c r="BF37" i="14"/>
  <c r="D56" i="1"/>
  <c r="H332" i="10"/>
  <c r="I332" i="10" s="1"/>
  <c r="H333" i="10"/>
  <c r="I333" i="10" s="1"/>
  <c r="H336" i="10" s="1"/>
  <c r="H326" i="10"/>
  <c r="I326" i="10" s="1"/>
  <c r="H324" i="10"/>
  <c r="I324" i="10" s="1"/>
  <c r="H325" i="10"/>
  <c r="I325" i="10" s="1"/>
  <c r="H323" i="10"/>
  <c r="I323" i="10" s="1"/>
  <c r="H327" i="10"/>
  <c r="I327" i="10" s="1"/>
  <c r="H322" i="10"/>
  <c r="I322" i="10" s="1"/>
  <c r="H331" i="10"/>
  <c r="I331" i="10" s="1"/>
  <c r="H321" i="10"/>
  <c r="H330" i="10"/>
  <c r="I330" i="10" s="1"/>
  <c r="H328" i="10"/>
  <c r="I328" i="10" s="1"/>
  <c r="H329" i="10"/>
  <c r="I329" i="10" s="1"/>
  <c r="BJ648" i="1"/>
  <c r="C55" i="1"/>
  <c r="CE18" i="14"/>
  <c r="K33" i="15" s="1"/>
  <c r="I163" i="15" s="1"/>
  <c r="AH120" i="14"/>
  <c r="AL120" i="14" s="1"/>
  <c r="BJ643" i="1"/>
  <c r="U650" i="2"/>
  <c r="D650" i="2"/>
  <c r="D133" i="2"/>
  <c r="C145" i="1"/>
  <c r="AC683" i="1"/>
  <c r="AC764" i="1" s="1"/>
  <c r="AD764" i="1" s="1"/>
  <c r="E328" i="1"/>
  <c r="Y768" i="1"/>
  <c r="X768" i="1"/>
  <c r="I181" i="15"/>
  <c r="CG20" i="14"/>
  <c r="K181" i="15" s="1"/>
  <c r="D663" i="2"/>
  <c r="U663" i="2"/>
  <c r="N948" i="2"/>
  <c r="N943" i="2"/>
  <c r="N940" i="2"/>
  <c r="J45" i="10"/>
  <c r="J48" i="10"/>
  <c r="J51" i="10" s="1"/>
  <c r="D620" i="1"/>
  <c r="D745" i="1"/>
  <c r="AH319" i="10"/>
  <c r="Z354" i="10"/>
  <c r="S698" i="2"/>
  <c r="D700" i="2" s="1"/>
  <c r="AL90" i="14"/>
  <c r="BG100" i="14"/>
  <c r="E329" i="1"/>
  <c r="X769" i="1"/>
  <c r="Y769" i="1"/>
  <c r="D619" i="1"/>
  <c r="D744" i="1"/>
  <c r="BJ642" i="1"/>
  <c r="BJ644" i="1"/>
  <c r="K651" i="1"/>
  <c r="BJ639" i="1"/>
  <c r="BJ647" i="1"/>
  <c r="BJ641" i="1"/>
  <c r="BJ646" i="1"/>
  <c r="D658" i="2"/>
  <c r="U658" i="2"/>
  <c r="S141" i="2"/>
  <c r="BJ1120" i="2"/>
  <c r="U690" i="2"/>
  <c r="D690" i="2"/>
  <c r="V5" i="14"/>
  <c r="G157" i="1" s="1"/>
  <c r="G1106" i="1" s="1"/>
  <c r="J1167" i="2" s="1"/>
  <c r="Q376" i="8"/>
  <c r="U376" i="8" s="1"/>
  <c r="C378" i="8" s="1"/>
  <c r="E378" i="8" s="1"/>
  <c r="F182" i="4" s="1"/>
  <c r="G182" i="4" s="1"/>
  <c r="J182" i="4" s="1"/>
  <c r="S376" i="8"/>
  <c r="T376" i="8"/>
  <c r="AL38" i="14"/>
  <c r="Y766" i="1"/>
  <c r="Z766" i="1" s="1"/>
  <c r="AB766" i="1" s="1"/>
  <c r="E326" i="1"/>
  <c r="X766" i="1"/>
  <c r="K170" i="15"/>
  <c r="CE17" i="14"/>
  <c r="K32" i="15" s="1"/>
  <c r="I162" i="15" s="1"/>
  <c r="R335" i="8"/>
  <c r="D346" i="8"/>
  <c r="D616" i="1"/>
  <c r="D741" i="1"/>
  <c r="D61" i="1"/>
  <c r="D198" i="10"/>
  <c r="D649" i="2"/>
  <c r="U649" i="2"/>
  <c r="U132" i="2"/>
  <c r="S128" i="2"/>
  <c r="S131" i="2" s="1"/>
  <c r="D132" i="2"/>
  <c r="F864" i="8"/>
  <c r="AL103" i="14"/>
  <c r="D468" i="2"/>
  <c r="D292" i="1" s="1"/>
  <c r="D753" i="1" s="1"/>
  <c r="CE16" i="14"/>
  <c r="K31" i="15" s="1"/>
  <c r="I161" i="15" s="1"/>
  <c r="I182" i="15"/>
  <c r="CG21" i="14"/>
  <c r="K182" i="15" s="1"/>
  <c r="BJ649" i="1"/>
  <c r="E325" i="1"/>
  <c r="Y765" i="1"/>
  <c r="Z765" i="1" s="1"/>
  <c r="AB765" i="1" s="1"/>
  <c r="X765" i="1"/>
  <c r="AA765" i="1" s="1"/>
  <c r="D206" i="2"/>
  <c r="D208" i="2"/>
  <c r="J1118" i="2" s="1"/>
  <c r="T1118" i="2" s="1"/>
  <c r="U206" i="2"/>
  <c r="AK88" i="14"/>
  <c r="F88" i="14" s="1"/>
  <c r="G113" i="1" s="1"/>
  <c r="G321" i="10"/>
  <c r="G335" i="10" s="1"/>
  <c r="F334" i="10"/>
  <c r="D60" i="1"/>
  <c r="D129" i="2"/>
  <c r="U129" i="2"/>
  <c r="K130" i="2"/>
  <c r="D140" i="2"/>
  <c r="U140" i="2"/>
  <c r="BL1126" i="2"/>
  <c r="D683" i="2"/>
  <c r="K681" i="2"/>
  <c r="D680" i="2"/>
  <c r="U680" i="2"/>
  <c r="AF59" i="11"/>
  <c r="AG59" i="11"/>
  <c r="X679" i="1"/>
  <c r="AH59" i="11"/>
  <c r="Z457" i="2"/>
  <c r="AG62" i="11"/>
  <c r="AF62" i="11"/>
  <c r="AH62" i="11"/>
  <c r="X682" i="1"/>
  <c r="Z460" i="2"/>
  <c r="N962" i="2"/>
  <c r="N960" i="2"/>
  <c r="K647" i="2"/>
  <c r="U646" i="2"/>
  <c r="D646" i="2"/>
  <c r="AS325" i="10"/>
  <c r="AT330" i="10"/>
  <c r="AT321" i="10"/>
  <c r="AS321" i="10"/>
  <c r="AT326" i="10"/>
  <c r="AS324" i="10"/>
  <c r="AT332" i="10"/>
  <c r="AT333" i="10"/>
  <c r="AS327" i="10"/>
  <c r="AT328" i="10"/>
  <c r="AT324" i="10"/>
  <c r="AT323" i="10"/>
  <c r="AS329" i="10"/>
  <c r="AS332" i="10"/>
  <c r="AT322" i="10"/>
  <c r="AS322" i="10"/>
  <c r="AT331" i="10"/>
  <c r="AS330" i="10"/>
  <c r="AS331" i="10"/>
  <c r="AT325" i="10"/>
  <c r="AS328" i="10"/>
  <c r="AS333" i="10"/>
  <c r="AS323" i="10"/>
  <c r="AS326" i="10"/>
  <c r="AT329" i="10"/>
  <c r="AT327" i="10"/>
  <c r="N173" i="12"/>
  <c r="K109" i="12"/>
  <c r="N109" i="12"/>
  <c r="N182" i="12" s="1"/>
  <c r="D244" i="10"/>
  <c r="D246" i="10" s="1"/>
  <c r="K105" i="12"/>
  <c r="N105" i="12"/>
  <c r="N178" i="12" s="1"/>
  <c r="Q562" i="2"/>
  <c r="E559" i="2"/>
  <c r="AL1127" i="2"/>
  <c r="D194" i="2"/>
  <c r="U194" i="2"/>
  <c r="U710" i="2"/>
  <c r="D710" i="2"/>
  <c r="U675" i="2"/>
  <c r="D675" i="2"/>
  <c r="D674" i="2"/>
  <c r="U674" i="2"/>
  <c r="E628" i="1"/>
  <c r="D669" i="2"/>
  <c r="D648" i="2"/>
  <c r="U648" i="2"/>
  <c r="S653" i="2"/>
  <c r="V669" i="2"/>
  <c r="E753" i="1"/>
  <c r="D174" i="2"/>
  <c r="U174" i="2"/>
  <c r="G156" i="15"/>
  <c r="O156" i="15"/>
  <c r="P156" i="15" s="1"/>
  <c r="E59" i="14"/>
  <c r="F84" i="1" s="1"/>
  <c r="G59" i="14"/>
  <c r="H84" i="1" s="1"/>
  <c r="BI59" i="14"/>
  <c r="BJ59" i="14"/>
  <c r="BK59" i="14" s="1"/>
  <c r="O151" i="15"/>
  <c r="P151" i="15" s="1"/>
  <c r="G151" i="15"/>
  <c r="G1040" i="8"/>
  <c r="F1047" i="8"/>
  <c r="F1054" i="8" s="1"/>
  <c r="F1061" i="8"/>
  <c r="BJ67" i="14"/>
  <c r="BK67" i="14" s="1"/>
  <c r="BI67" i="14"/>
  <c r="E67" i="14"/>
  <c r="F92" i="1" s="1"/>
  <c r="G67" i="14"/>
  <c r="H92" i="1" s="1"/>
  <c r="G1050" i="8"/>
  <c r="G1068" i="8" s="1"/>
  <c r="F1068" i="8"/>
  <c r="L296" i="10"/>
  <c r="L290" i="10"/>
  <c r="L304" i="10"/>
  <c r="L305" i="10"/>
  <c r="L306" i="10"/>
  <c r="L289" i="10"/>
  <c r="L292" i="10"/>
  <c r="L301" i="10"/>
  <c r="L294" i="10"/>
  <c r="L291" i="10"/>
  <c r="L293" i="10"/>
  <c r="L287" i="10"/>
  <c r="L288" i="10"/>
  <c r="L303" i="10"/>
  <c r="L298" i="10"/>
  <c r="L297" i="10"/>
  <c r="L300" i="10"/>
  <c r="L302" i="10"/>
  <c r="L299" i="10"/>
  <c r="L295" i="10"/>
  <c r="O148" i="15"/>
  <c r="P148" i="15" s="1"/>
  <c r="G148" i="15"/>
  <c r="O149" i="15"/>
  <c r="P149" i="15" s="1"/>
  <c r="G149" i="15"/>
  <c r="E116" i="14"/>
  <c r="F141" i="1" s="1"/>
  <c r="G116" i="14"/>
  <c r="H141" i="1" s="1"/>
  <c r="AO116" i="14"/>
  <c r="AU116" i="14"/>
  <c r="AW116" i="14" s="1"/>
  <c r="G112" i="14"/>
  <c r="H137" i="1" s="1"/>
  <c r="E112" i="14"/>
  <c r="F137" i="1" s="1"/>
  <c r="AO112" i="14"/>
  <c r="AU112" i="14"/>
  <c r="AW112" i="14" s="1"/>
  <c r="AL94" i="14"/>
  <c r="CD678" i="1"/>
  <c r="AM678" i="1"/>
  <c r="BE678" i="1"/>
  <c r="F113" i="14"/>
  <c r="G138" i="1" s="1"/>
  <c r="G865" i="8"/>
  <c r="I857" i="8"/>
  <c r="I864" i="8" s="1"/>
  <c r="J861" i="8" s="1"/>
  <c r="G864" i="8"/>
  <c r="C1053" i="8"/>
  <c r="C1052" i="8" s="1"/>
  <c r="C1061" i="8" s="1"/>
  <c r="B1014" i="8"/>
  <c r="E1014" i="8" s="1"/>
  <c r="B1012" i="8"/>
  <c r="E1012" i="8" s="1"/>
  <c r="E1015" i="8" s="1"/>
  <c r="C1044" i="8"/>
  <c r="G1084" i="1"/>
  <c r="D989" i="1" s="1"/>
  <c r="C1089" i="1"/>
  <c r="F1089" i="1" s="1"/>
  <c r="I1083" i="1"/>
  <c r="E1085" i="1"/>
  <c r="I1084" i="1"/>
  <c r="H1083" i="1"/>
  <c r="H1115" i="1" s="1"/>
  <c r="H1085" i="1"/>
  <c r="I1085" i="1"/>
  <c r="H1084" i="1"/>
  <c r="G1083" i="1"/>
  <c r="R578" i="1"/>
  <c r="E156" i="15"/>
  <c r="N156" i="15" s="1"/>
  <c r="BF116" i="14"/>
  <c r="F116" i="14" s="1"/>
  <c r="G141" i="1" s="1"/>
  <c r="AL97" i="14"/>
  <c r="C68" i="12"/>
  <c r="C79" i="12"/>
  <c r="G57" i="12"/>
  <c r="E57" i="12"/>
  <c r="F57" i="12"/>
  <c r="V711" i="1"/>
  <c r="V714" i="1"/>
  <c r="V713" i="1"/>
  <c r="V712" i="1"/>
  <c r="V720" i="1"/>
  <c r="V719" i="1"/>
  <c r="V718" i="1"/>
  <c r="V715" i="1"/>
  <c r="V716" i="1"/>
  <c r="V717" i="1"/>
  <c r="V722" i="1"/>
  <c r="V721" i="1"/>
  <c r="Z190" i="10"/>
  <c r="D190" i="10"/>
  <c r="E113" i="14"/>
  <c r="F138" i="1" s="1"/>
  <c r="G113" i="14"/>
  <c r="H138" i="1" s="1"/>
  <c r="AU113" i="14"/>
  <c r="AW113" i="14" s="1"/>
  <c r="AO113" i="14"/>
  <c r="C1109" i="1"/>
  <c r="Q388" i="10" s="1"/>
  <c r="E170" i="1"/>
  <c r="F170" i="1" s="1"/>
  <c r="E62" i="14"/>
  <c r="F87" i="1" s="1"/>
  <c r="BI62" i="14"/>
  <c r="BJ62" i="14"/>
  <c r="BK62" i="14" s="1"/>
  <c r="G62" i="14"/>
  <c r="H87" i="1" s="1"/>
  <c r="E82" i="14"/>
  <c r="F107" i="1" s="1"/>
  <c r="T82" i="14"/>
  <c r="Z82" i="14"/>
  <c r="AB82" i="14" s="1"/>
  <c r="G82" i="14"/>
  <c r="H107" i="1" s="1"/>
  <c r="R351" i="10"/>
  <c r="G94" i="14"/>
  <c r="H119" i="1" s="1"/>
  <c r="T94" i="14"/>
  <c r="Z94" i="14"/>
  <c r="AB94" i="14" s="1"/>
  <c r="E94" i="14"/>
  <c r="F119" i="1" s="1"/>
  <c r="U4" i="14"/>
  <c r="E156" i="1" s="1"/>
  <c r="F156" i="1" s="1"/>
  <c r="N6" i="14"/>
  <c r="U6" i="14"/>
  <c r="E158" i="1" s="1"/>
  <c r="BF103" i="14"/>
  <c r="F103" i="14" s="1"/>
  <c r="G128" i="1" s="1"/>
  <c r="F85" i="14"/>
  <c r="G110" i="1" s="1"/>
  <c r="V7" i="14"/>
  <c r="G159" i="1" s="1"/>
  <c r="G1108" i="1" s="1"/>
  <c r="J1169" i="2" s="1"/>
  <c r="I855" i="8"/>
  <c r="H846" i="8" s="1"/>
  <c r="F846" i="8"/>
  <c r="F855" i="8" s="1"/>
  <c r="AM682" i="1"/>
  <c r="BE682" i="1"/>
  <c r="CD682" i="1"/>
  <c r="S578" i="1"/>
  <c r="F112" i="14"/>
  <c r="G137" i="1" s="1"/>
  <c r="AL122" i="14"/>
  <c r="BG120" i="14"/>
  <c r="Z764" i="1"/>
  <c r="AB764" i="1" s="1"/>
  <c r="AK35" i="14"/>
  <c r="CK8" i="14"/>
  <c r="D33" i="1"/>
  <c r="C103" i="15"/>
  <c r="G103" i="15"/>
  <c r="K103" i="15"/>
  <c r="F103" i="15"/>
  <c r="J103" i="15"/>
  <c r="H103" i="15"/>
  <c r="I103" i="15"/>
  <c r="D103" i="15"/>
  <c r="E103" i="15"/>
  <c r="L103" i="15"/>
  <c r="AK104" i="14"/>
  <c r="H360" i="10"/>
  <c r="S1082" i="2"/>
  <c r="E90" i="14"/>
  <c r="F115" i="1" s="1"/>
  <c r="G90" i="14"/>
  <c r="H115" i="1" s="1"/>
  <c r="T90" i="14"/>
  <c r="Z90" i="14"/>
  <c r="AB90" i="14" s="1"/>
  <c r="G1059" i="1"/>
  <c r="E110" i="14"/>
  <c r="F135" i="1" s="1"/>
  <c r="BJ110" i="14"/>
  <c r="BK110" i="14" s="1"/>
  <c r="BI110" i="14"/>
  <c r="G110" i="14"/>
  <c r="H135" i="1" s="1"/>
  <c r="N5" i="14"/>
  <c r="U5" i="14"/>
  <c r="E157" i="1" s="1"/>
  <c r="F157" i="1" s="1"/>
  <c r="C1057" i="2"/>
  <c r="E80" i="14"/>
  <c r="F105" i="1" s="1"/>
  <c r="G80" i="14"/>
  <c r="H105" i="1" s="1"/>
  <c r="BI80" i="14"/>
  <c r="BJ80" i="14"/>
  <c r="BK80" i="14" s="1"/>
  <c r="AL52" i="14"/>
  <c r="E97" i="14"/>
  <c r="F122" i="1" s="1"/>
  <c r="T97" i="14"/>
  <c r="Z97" i="14"/>
  <c r="AB97" i="14" s="1"/>
  <c r="G97" i="14"/>
  <c r="H122" i="1" s="1"/>
  <c r="E92" i="14"/>
  <c r="F117" i="1" s="1"/>
  <c r="G92" i="14"/>
  <c r="H117" i="1" s="1"/>
  <c r="Z92" i="14"/>
  <c r="AB92" i="14" s="1"/>
  <c r="T92" i="14"/>
  <c r="G88" i="14"/>
  <c r="H113" i="1" s="1"/>
  <c r="E88" i="14"/>
  <c r="F113" i="1" s="1"/>
  <c r="T88" i="14"/>
  <c r="Z88" i="14"/>
  <c r="AB88" i="14" s="1"/>
  <c r="E70" i="14"/>
  <c r="F95" i="1" s="1"/>
  <c r="BJ70" i="14"/>
  <c r="BI70" i="14"/>
  <c r="G70" i="14"/>
  <c r="H95" i="1" s="1"/>
  <c r="D621" i="1"/>
  <c r="D746" i="1"/>
  <c r="G152" i="15"/>
  <c r="O152" i="15"/>
  <c r="P152" i="15" s="1"/>
  <c r="F100" i="14"/>
  <c r="G125" i="1" s="1"/>
  <c r="C74" i="12"/>
  <c r="C85" i="12"/>
  <c r="G63" i="12"/>
  <c r="G74" i="12" s="1"/>
  <c r="E63" i="12"/>
  <c r="E74" i="12" s="1"/>
  <c r="F63" i="12"/>
  <c r="F74" i="12" s="1"/>
  <c r="F84" i="14"/>
  <c r="G109" i="1" s="1"/>
  <c r="P371" i="8"/>
  <c r="P344" i="8"/>
  <c r="R344" i="8" s="1"/>
  <c r="R350" i="8" s="1"/>
  <c r="P367" i="8" s="1"/>
  <c r="P348" i="8"/>
  <c r="R348" i="8" s="1"/>
  <c r="P345" i="8"/>
  <c r="R345" i="8" s="1"/>
  <c r="P347" i="8"/>
  <c r="R347" i="8" s="1"/>
  <c r="P365" i="8"/>
  <c r="P349" i="8"/>
  <c r="R349" i="8" s="1"/>
  <c r="P346" i="8"/>
  <c r="R346" i="8" s="1"/>
  <c r="P373" i="8"/>
  <c r="AM683" i="1"/>
  <c r="BE683" i="1"/>
  <c r="CD683" i="1"/>
  <c r="AC681" i="1"/>
  <c r="AL82" i="14"/>
  <c r="O340" i="10"/>
  <c r="O345" i="10"/>
  <c r="O351" i="10"/>
  <c r="O347" i="10"/>
  <c r="O350" i="10"/>
  <c r="O348" i="10"/>
  <c r="O357" i="10"/>
  <c r="O343" i="10"/>
  <c r="O356" i="10"/>
  <c r="O349" i="10"/>
  <c r="O361" i="10"/>
  <c r="Z349" i="10"/>
  <c r="Z341" i="10"/>
  <c r="O355" i="10"/>
  <c r="O342" i="10"/>
  <c r="O362" i="10"/>
  <c r="Z343" i="10"/>
  <c r="Z356" i="10"/>
  <c r="Z362" i="10"/>
  <c r="O363" i="10"/>
  <c r="Z346" i="10"/>
  <c r="Z357" i="10"/>
  <c r="Z359" i="10"/>
  <c r="Z353" i="10"/>
  <c r="Z358" i="10"/>
  <c r="Z342" i="10"/>
  <c r="Z363" i="10"/>
  <c r="O358" i="10"/>
  <c r="Z355" i="10"/>
  <c r="Z340" i="10"/>
  <c r="O353" i="10"/>
  <c r="O359" i="10"/>
  <c r="O360" i="10"/>
  <c r="Z351" i="10"/>
  <c r="O341" i="10"/>
  <c r="Z345" i="10"/>
  <c r="Z350" i="10"/>
  <c r="Z347" i="10"/>
  <c r="Z348" i="10"/>
  <c r="Z361" i="10"/>
  <c r="Z360" i="10"/>
  <c r="O346" i="10"/>
  <c r="AK56" i="14"/>
  <c r="F56" i="14" s="1"/>
  <c r="G81" i="1" s="1"/>
  <c r="I81" i="1" s="1"/>
  <c r="P3" i="11"/>
  <c r="P4" i="11"/>
  <c r="O4" i="4"/>
  <c r="D12" i="4"/>
  <c r="G1060" i="1"/>
  <c r="I1060" i="1"/>
  <c r="H1060" i="1" s="1"/>
  <c r="E71" i="14"/>
  <c r="F96" i="1" s="1"/>
  <c r="G71" i="14"/>
  <c r="H96" i="1" s="1"/>
  <c r="BI71" i="14"/>
  <c r="BJ71" i="14"/>
  <c r="BK71" i="14" s="1"/>
  <c r="T2" i="3"/>
  <c r="D184" i="2"/>
  <c r="J1117" i="2"/>
  <c r="T1117" i="2" s="1"/>
  <c r="Z1125" i="2"/>
  <c r="Z762" i="1"/>
  <c r="AB762" i="1" s="1"/>
  <c r="D183" i="2"/>
  <c r="U181" i="2"/>
  <c r="D181" i="2"/>
  <c r="BE689" i="1"/>
  <c r="AM689" i="1"/>
  <c r="CD689" i="1"/>
  <c r="R359" i="10"/>
  <c r="M646" i="9"/>
  <c r="K647" i="9"/>
  <c r="BF688" i="1"/>
  <c r="CE688" i="1"/>
  <c r="S607" i="1"/>
  <c r="D290" i="10"/>
  <c r="D288" i="10"/>
  <c r="D289" i="10"/>
  <c r="D293" i="10"/>
  <c r="D291" i="10"/>
  <c r="D294" i="10"/>
  <c r="D301" i="10"/>
  <c r="D304" i="10"/>
  <c r="D305" i="10"/>
  <c r="D306" i="10"/>
  <c r="D296" i="10"/>
  <c r="D287" i="10"/>
  <c r="D292" i="10"/>
  <c r="D300" i="10"/>
  <c r="D297" i="10"/>
  <c r="D298" i="10"/>
  <c r="D299" i="10"/>
  <c r="D303" i="10"/>
  <c r="D295" i="10"/>
  <c r="D302" i="10"/>
  <c r="AM685" i="1"/>
  <c r="BE685" i="1"/>
  <c r="CD685" i="1"/>
  <c r="AL95" i="14"/>
  <c r="Z761" i="1"/>
  <c r="AB761" i="1" s="1"/>
  <c r="G154" i="15"/>
  <c r="O154" i="15"/>
  <c r="P154" i="15" s="1"/>
  <c r="AI102" i="14"/>
  <c r="AJ102" i="14"/>
  <c r="AI95" i="14"/>
  <c r="AJ95" i="14"/>
  <c r="AI88" i="14"/>
  <c r="AJ88" i="14"/>
  <c r="AI52" i="14"/>
  <c r="AI94" i="14"/>
  <c r="BD119" i="14"/>
  <c r="BD101" i="14"/>
  <c r="AJ100" i="14"/>
  <c r="BD112" i="14"/>
  <c r="BH41" i="14"/>
  <c r="F41" i="14" s="1"/>
  <c r="G66" i="1" s="1"/>
  <c r="I66" i="1" s="1"/>
  <c r="BH47" i="14"/>
  <c r="F47" i="14" s="1"/>
  <c r="G72" i="1" s="1"/>
  <c r="I72" i="1" s="1"/>
  <c r="AI89" i="14"/>
  <c r="AI28" i="14"/>
  <c r="BD30" i="14"/>
  <c r="AI85" i="14"/>
  <c r="BH43" i="14"/>
  <c r="F43" i="14" s="1"/>
  <c r="G68" i="1" s="1"/>
  <c r="I68" i="1" s="1"/>
  <c r="BH44" i="14"/>
  <c r="F44" i="14" s="1"/>
  <c r="G69" i="1" s="1"/>
  <c r="I69" i="1" s="1"/>
  <c r="BH35" i="14"/>
  <c r="AI86" i="14"/>
  <c r="AI34" i="14"/>
  <c r="AI120" i="14"/>
  <c r="AJ104" i="14"/>
  <c r="AI118" i="14"/>
  <c r="AJ118" i="14"/>
  <c r="AJ52" i="14"/>
  <c r="AI101" i="14"/>
  <c r="BE120" i="14"/>
  <c r="BH40" i="14"/>
  <c r="F40" i="14" s="1"/>
  <c r="G65" i="1" s="1"/>
  <c r="I65" i="1" s="1"/>
  <c r="BH118" i="14"/>
  <c r="F118" i="14" s="1"/>
  <c r="G143" i="1" s="1"/>
  <c r="I143" i="1" s="1"/>
  <c r="AI55" i="14"/>
  <c r="AJ85" i="14"/>
  <c r="AI98" i="14"/>
  <c r="AJ120" i="14"/>
  <c r="BD37" i="14"/>
  <c r="AJ119" i="14"/>
  <c r="AI53" i="14"/>
  <c r="AI100" i="14"/>
  <c r="BD103" i="14"/>
  <c r="AJ97" i="14"/>
  <c r="BE38" i="14"/>
  <c r="BH120" i="14"/>
  <c r="AJ96" i="14"/>
  <c r="AI30" i="14"/>
  <c r="BD120" i="14"/>
  <c r="BD114" i="14"/>
  <c r="AJ89" i="14"/>
  <c r="BD34" i="14"/>
  <c r="AI38" i="14"/>
  <c r="BH119" i="14"/>
  <c r="BE122" i="14"/>
  <c r="AI31" i="14"/>
  <c r="BD115" i="14"/>
  <c r="BH38" i="14"/>
  <c r="BH121" i="14"/>
  <c r="BH48" i="14"/>
  <c r="F48" i="14" s="1"/>
  <c r="G73" i="1" s="1"/>
  <c r="I73" i="1" s="1"/>
  <c r="AI121" i="14"/>
  <c r="AJ98" i="14"/>
  <c r="BD36" i="14"/>
  <c r="AJ53" i="14"/>
  <c r="AI82" i="14"/>
  <c r="BH34" i="14"/>
  <c r="AI90" i="14"/>
  <c r="AI104" i="14"/>
  <c r="AJ56" i="14"/>
  <c r="AI37" i="14"/>
  <c r="BD102" i="14"/>
  <c r="BH50" i="14"/>
  <c r="F50" i="14" s="1"/>
  <c r="G75" i="1" s="1"/>
  <c r="I75" i="1" s="1"/>
  <c r="AJ37" i="14"/>
  <c r="AI84" i="14"/>
  <c r="AJ55" i="14"/>
  <c r="BH36" i="14"/>
  <c r="AI29" i="14"/>
  <c r="AJ90" i="14"/>
  <c r="AJ34" i="14"/>
  <c r="BD100" i="14"/>
  <c r="BH49" i="14"/>
  <c r="F49" i="14" s="1"/>
  <c r="G74" i="1" s="1"/>
  <c r="I74" i="1" s="1"/>
  <c r="AI54" i="14"/>
  <c r="AI35" i="14"/>
  <c r="BD104" i="14"/>
  <c r="AI119" i="14"/>
  <c r="AI92" i="14"/>
  <c r="BD35" i="14"/>
  <c r="AI122" i="14"/>
  <c r="AJ83" i="14"/>
  <c r="AJ31" i="14"/>
  <c r="BE35" i="14"/>
  <c r="BD116" i="14"/>
  <c r="BH46" i="14"/>
  <c r="F46" i="14" s="1"/>
  <c r="G71" i="1" s="1"/>
  <c r="I71" i="1" s="1"/>
  <c r="AJ35" i="14"/>
  <c r="AI36" i="14"/>
  <c r="AI83" i="14"/>
  <c r="AI56" i="14"/>
  <c r="AI96" i="14"/>
  <c r="BD122" i="14"/>
  <c r="BE116" i="14"/>
  <c r="AJ28" i="14"/>
  <c r="BD32" i="14"/>
  <c r="BD31" i="14"/>
  <c r="AI91" i="14"/>
  <c r="AI103" i="14"/>
  <c r="AI97" i="14"/>
  <c r="AJ30" i="14"/>
  <c r="AI32" i="14"/>
  <c r="BH122" i="14"/>
  <c r="F122" i="14" s="1"/>
  <c r="G147" i="1" s="1"/>
  <c r="I147" i="1" s="1"/>
  <c r="BH37" i="14"/>
  <c r="AJ92" i="14"/>
  <c r="BH42" i="14"/>
  <c r="F42" i="14" s="1"/>
  <c r="G67" i="1" s="1"/>
  <c r="I67" i="1" s="1"/>
  <c r="BE101" i="14"/>
  <c r="BE114" i="14"/>
  <c r="AJ122" i="14"/>
  <c r="BD121" i="14"/>
  <c r="BE36" i="14"/>
  <c r="BE102" i="14"/>
  <c r="AJ121" i="14"/>
  <c r="AJ84" i="14"/>
  <c r="AJ101" i="14"/>
  <c r="AJ32" i="14"/>
  <c r="BD38" i="14"/>
  <c r="BD118" i="14"/>
  <c r="BE104" i="14"/>
  <c r="AJ38" i="14"/>
  <c r="BE118" i="14"/>
  <c r="BE112" i="14"/>
  <c r="AJ86" i="14"/>
  <c r="BE121" i="14"/>
  <c r="BE30" i="14"/>
  <c r="AJ82" i="14"/>
  <c r="BE115" i="14"/>
  <c r="BE32" i="14"/>
  <c r="BD113" i="14"/>
  <c r="BE31" i="14"/>
  <c r="BD28" i="14"/>
  <c r="BE37" i="14"/>
  <c r="BE28" i="14"/>
  <c r="BE29" i="14"/>
  <c r="BD29" i="14"/>
  <c r="BE103" i="14"/>
  <c r="AJ29" i="14"/>
  <c r="AJ54" i="14"/>
  <c r="AJ36" i="14"/>
  <c r="AJ94" i="14"/>
  <c r="BE100" i="14"/>
  <c r="BE34" i="14"/>
  <c r="AJ91" i="14"/>
  <c r="BE113" i="14"/>
  <c r="BE119" i="14"/>
  <c r="AJ103" i="14"/>
  <c r="D159" i="1"/>
  <c r="B169" i="1"/>
  <c r="T98" i="14"/>
  <c r="Z98" i="14"/>
  <c r="AB98" i="14" s="1"/>
  <c r="E98" i="14"/>
  <c r="F123" i="1" s="1"/>
  <c r="G98" i="14"/>
  <c r="H123" i="1" s="1"/>
  <c r="AM680" i="1"/>
  <c r="BE680" i="1"/>
  <c r="CD680" i="1"/>
  <c r="G153" i="15"/>
  <c r="O153" i="15"/>
  <c r="P153" i="15" s="1"/>
  <c r="AM684" i="1"/>
  <c r="BE684" i="1"/>
  <c r="CD684" i="1"/>
  <c r="E61" i="14"/>
  <c r="F86" i="1" s="1"/>
  <c r="G61" i="14"/>
  <c r="H86" i="1" s="1"/>
  <c r="BI61" i="14"/>
  <c r="BJ61" i="14"/>
  <c r="BK61" i="14" s="1"/>
  <c r="E109" i="14"/>
  <c r="F134" i="1" s="1"/>
  <c r="G109" i="14"/>
  <c r="H134" i="1" s="1"/>
  <c r="BI109" i="14"/>
  <c r="BJ109" i="14"/>
  <c r="BK109" i="14" s="1"/>
  <c r="G79" i="14"/>
  <c r="H104" i="1" s="1"/>
  <c r="E79" i="14"/>
  <c r="F104" i="1" s="1"/>
  <c r="BI79" i="14"/>
  <c r="BJ79" i="14"/>
  <c r="BK79" i="14" s="1"/>
  <c r="E115" i="14"/>
  <c r="F140" i="1" s="1"/>
  <c r="G115" i="14"/>
  <c r="H140" i="1" s="1"/>
  <c r="AO115" i="14"/>
  <c r="AU115" i="14"/>
  <c r="AW115" i="14" s="1"/>
  <c r="G74" i="14"/>
  <c r="H99" i="1" s="1"/>
  <c r="E74" i="14"/>
  <c r="F99" i="1" s="1"/>
  <c r="BJ74" i="14"/>
  <c r="BK74" i="14" s="1"/>
  <c r="BI74" i="14"/>
  <c r="E66" i="14"/>
  <c r="F91" i="1" s="1"/>
  <c r="G66" i="14"/>
  <c r="H91" i="1" s="1"/>
  <c r="BI66" i="14"/>
  <c r="BJ66" i="14"/>
  <c r="BK66" i="14" s="1"/>
  <c r="E95" i="14"/>
  <c r="F120" i="1" s="1"/>
  <c r="G95" i="14"/>
  <c r="H120" i="1" s="1"/>
  <c r="T95" i="14"/>
  <c r="Z95" i="14"/>
  <c r="AB95" i="14" s="1"/>
  <c r="G101" i="14"/>
  <c r="H126" i="1" s="1"/>
  <c r="Z101" i="14"/>
  <c r="AB101" i="14" s="1"/>
  <c r="AU101" i="14"/>
  <c r="AW101" i="14" s="1"/>
  <c r="E101" i="14"/>
  <c r="F126" i="1" s="1"/>
  <c r="G83" i="14"/>
  <c r="H108" i="1" s="1"/>
  <c r="E83" i="14"/>
  <c r="F108" i="1" s="1"/>
  <c r="T83" i="14"/>
  <c r="Z83" i="14"/>
  <c r="AB83" i="14" s="1"/>
  <c r="E65" i="14"/>
  <c r="F90" i="1" s="1"/>
  <c r="G65" i="14"/>
  <c r="H90" i="1" s="1"/>
  <c r="BJ65" i="14"/>
  <c r="BK65" i="14" s="1"/>
  <c r="BI65" i="14"/>
  <c r="E76" i="14"/>
  <c r="F101" i="1" s="1"/>
  <c r="G76" i="14"/>
  <c r="H101" i="1" s="1"/>
  <c r="BJ76" i="14"/>
  <c r="BI76" i="14"/>
  <c r="E114" i="14"/>
  <c r="F139" i="1" s="1"/>
  <c r="G114" i="14"/>
  <c r="H139" i="1" s="1"/>
  <c r="AU114" i="14"/>
  <c r="AW114" i="14" s="1"/>
  <c r="AO114" i="14"/>
  <c r="E78" i="14"/>
  <c r="F103" i="1" s="1"/>
  <c r="G78" i="14"/>
  <c r="H103" i="1" s="1"/>
  <c r="BI78" i="14"/>
  <c r="BJ78" i="14"/>
  <c r="BK78" i="14" s="1"/>
  <c r="BI60" i="14"/>
  <c r="BJ60" i="14"/>
  <c r="BK60" i="14" s="1"/>
  <c r="G60" i="14"/>
  <c r="H85" i="1" s="1"/>
  <c r="E60" i="14"/>
  <c r="F85" i="1" s="1"/>
  <c r="C55" i="12"/>
  <c r="I304" i="10"/>
  <c r="J304" i="10" s="1"/>
  <c r="I287" i="10"/>
  <c r="I291" i="10"/>
  <c r="I295" i="10"/>
  <c r="I299" i="10"/>
  <c r="I305" i="10"/>
  <c r="J305" i="10" s="1"/>
  <c r="I300" i="10"/>
  <c r="J300" i="10" s="1"/>
  <c r="I288" i="10"/>
  <c r="I292" i="10"/>
  <c r="I296" i="10"/>
  <c r="I294" i="10"/>
  <c r="I289" i="10"/>
  <c r="I301" i="10"/>
  <c r="J301" i="10" s="1"/>
  <c r="I297" i="10"/>
  <c r="I290" i="10"/>
  <c r="I298" i="10"/>
  <c r="I286" i="10"/>
  <c r="I302" i="10"/>
  <c r="J302" i="10" s="1"/>
  <c r="I293" i="10"/>
  <c r="I303" i="10"/>
  <c r="J303" i="10" s="1"/>
  <c r="Z763" i="1"/>
  <c r="AB763" i="1" s="1"/>
  <c r="F488" i="8"/>
  <c r="K1039" i="8"/>
  <c r="K1041" i="8" s="1"/>
  <c r="I986" i="8" s="1"/>
  <c r="R607" i="1"/>
  <c r="D607" i="1" s="1"/>
  <c r="D647" i="9"/>
  <c r="O647" i="9" s="1"/>
  <c r="B648" i="9"/>
  <c r="BF119" i="14"/>
  <c r="H358" i="10"/>
  <c r="S1080" i="2"/>
  <c r="BI77" i="14"/>
  <c r="BJ77" i="14"/>
  <c r="BK77" i="14" s="1"/>
  <c r="G77" i="14"/>
  <c r="H102" i="1" s="1"/>
  <c r="E77" i="14"/>
  <c r="F102" i="1" s="1"/>
  <c r="BI58" i="14"/>
  <c r="BJ58" i="14"/>
  <c r="E58" i="14"/>
  <c r="F83" i="1" s="1"/>
  <c r="G58" i="14"/>
  <c r="H83" i="1" s="1"/>
  <c r="C72" i="12"/>
  <c r="G61" i="12"/>
  <c r="C83" i="12"/>
  <c r="E61" i="12"/>
  <c r="F61" i="12"/>
  <c r="N145" i="15"/>
  <c r="BI106" i="14"/>
  <c r="BJ106" i="14"/>
  <c r="G106" i="14"/>
  <c r="H131" i="1" s="1"/>
  <c r="E106" i="14"/>
  <c r="F131" i="1" s="1"/>
  <c r="G1058" i="1"/>
  <c r="I1058" i="1"/>
  <c r="H1058" i="1" s="1"/>
  <c r="G102" i="14"/>
  <c r="H127" i="1" s="1"/>
  <c r="E102" i="14"/>
  <c r="F127" i="1" s="1"/>
  <c r="AU102" i="14"/>
  <c r="AW102" i="14" s="1"/>
  <c r="Z102" i="14"/>
  <c r="AB102" i="14" s="1"/>
  <c r="E58" i="12"/>
  <c r="F58" i="12"/>
  <c r="C80" i="12"/>
  <c r="G58" i="12"/>
  <c r="C69" i="12"/>
  <c r="D97" i="10"/>
  <c r="E104" i="14"/>
  <c r="F129" i="1" s="1"/>
  <c r="G104" i="14"/>
  <c r="H129" i="1" s="1"/>
  <c r="Z104" i="14"/>
  <c r="AB104" i="14" s="1"/>
  <c r="AU104" i="14"/>
  <c r="AW104" i="14" s="1"/>
  <c r="G86" i="14"/>
  <c r="H111" i="1" s="1"/>
  <c r="Z86" i="14"/>
  <c r="AB86" i="14" s="1"/>
  <c r="T86" i="14"/>
  <c r="E86" i="14"/>
  <c r="F111" i="1" s="1"/>
  <c r="E73" i="14"/>
  <c r="F98" i="1" s="1"/>
  <c r="G73" i="14"/>
  <c r="H98" i="1" s="1"/>
  <c r="BJ73" i="14"/>
  <c r="BK73" i="14" s="1"/>
  <c r="BI73" i="14"/>
  <c r="BG28" i="14"/>
  <c r="BG34" i="14"/>
  <c r="D752" i="1"/>
  <c r="D627" i="1"/>
  <c r="G1053" i="8"/>
  <c r="G1062" i="8"/>
  <c r="G1048" i="8"/>
  <c r="Z759" i="1"/>
  <c r="AA759" i="1" s="1"/>
  <c r="R353" i="10"/>
  <c r="E85" i="14"/>
  <c r="F110" i="1" s="1"/>
  <c r="G85" i="14"/>
  <c r="H110" i="1" s="1"/>
  <c r="T85" i="14"/>
  <c r="Z85" i="14"/>
  <c r="AB85" i="14" s="1"/>
  <c r="R357" i="10"/>
  <c r="G108" i="14"/>
  <c r="H133" i="1" s="1"/>
  <c r="E108" i="14"/>
  <c r="F133" i="1" s="1"/>
  <c r="BJ108" i="14"/>
  <c r="BK108" i="14" s="1"/>
  <c r="BI108" i="14"/>
  <c r="D158" i="15"/>
  <c r="E141" i="15" s="1"/>
  <c r="O150" i="15"/>
  <c r="P150" i="15" s="1"/>
  <c r="G150" i="15"/>
  <c r="O231" i="2"/>
  <c r="O239" i="2"/>
  <c r="O234" i="2"/>
  <c r="O240" i="2"/>
  <c r="O235" i="2"/>
  <c r="M226" i="2"/>
  <c r="O258" i="2"/>
  <c r="O241" i="2"/>
  <c r="O247" i="2"/>
  <c r="O236" i="2"/>
  <c r="K302" i="2"/>
  <c r="O248" i="2"/>
  <c r="O257" i="2"/>
  <c r="O242" i="2"/>
  <c r="O237" i="2"/>
  <c r="O232" i="2"/>
  <c r="O238" i="2"/>
  <c r="O233" i="2"/>
  <c r="O374" i="2"/>
  <c r="O490" i="2"/>
  <c r="O457" i="2"/>
  <c r="O459" i="2"/>
  <c r="O461" i="2"/>
  <c r="O428" i="2"/>
  <c r="M322" i="2"/>
  <c r="D326" i="2" s="1"/>
  <c r="O429" i="2"/>
  <c r="O319" i="2"/>
  <c r="C323" i="2" s="1"/>
  <c r="O323" i="2" s="1"/>
  <c r="O371" i="2"/>
  <c r="S449" i="2"/>
  <c r="N449" i="2" s="1"/>
  <c r="M273" i="1" s="1"/>
  <c r="O430" i="2"/>
  <c r="S485" i="2"/>
  <c r="O462" i="2"/>
  <c r="O464" i="2"/>
  <c r="O466" i="2"/>
  <c r="P367" i="2"/>
  <c r="M368" i="2" s="1"/>
  <c r="M317" i="2"/>
  <c r="S475" i="2"/>
  <c r="S484" i="2"/>
  <c r="O489" i="2" s="1"/>
  <c r="S478" i="2"/>
  <c r="O460" i="2"/>
  <c r="O458" i="2"/>
  <c r="M316" i="2"/>
  <c r="O431" i="2"/>
  <c r="S474" i="2"/>
  <c r="M485" i="2" s="1"/>
  <c r="O456" i="2"/>
  <c r="O467" i="2"/>
  <c r="S451" i="2"/>
  <c r="Q449" i="2" s="1"/>
  <c r="S450" i="2"/>
  <c r="Q448" i="2" s="1"/>
  <c r="O465" i="2"/>
  <c r="O435" i="2"/>
  <c r="O370" i="2"/>
  <c r="O375" i="2"/>
  <c r="P257" i="2"/>
  <c r="O463" i="2"/>
  <c r="P282" i="2"/>
  <c r="C64" i="25" s="1"/>
  <c r="P270" i="2"/>
  <c r="C52" i="25" s="1"/>
  <c r="P273" i="2"/>
  <c r="C55" i="25" s="1"/>
  <c r="P290" i="2"/>
  <c r="C72" i="25" s="1"/>
  <c r="P286" i="2"/>
  <c r="C68" i="25" s="1"/>
  <c r="P281" i="2"/>
  <c r="C63" i="25" s="1"/>
  <c r="P280" i="2"/>
  <c r="C62" i="25" s="1"/>
  <c r="P291" i="2"/>
  <c r="C73" i="25" s="1"/>
  <c r="P277" i="2"/>
  <c r="C59" i="25" s="1"/>
  <c r="P288" i="2"/>
  <c r="C70" i="25" s="1"/>
  <c r="P279" i="2"/>
  <c r="C61" i="25" s="1"/>
  <c r="P285" i="2"/>
  <c r="C67" i="25" s="1"/>
  <c r="P284" i="2"/>
  <c r="C66" i="25" s="1"/>
  <c r="P287" i="2"/>
  <c r="C69" i="25" s="1"/>
  <c r="O329" i="2"/>
  <c r="P289" i="2"/>
  <c r="C71" i="25" s="1"/>
  <c r="P278" i="2"/>
  <c r="C60" i="25" s="1"/>
  <c r="P272" i="2"/>
  <c r="C54" i="25" s="1"/>
  <c r="O260" i="2"/>
  <c r="P276" i="2"/>
  <c r="C58" i="25" s="1"/>
  <c r="M263" i="2"/>
  <c r="Q258" i="2" s="1"/>
  <c r="P292" i="2"/>
  <c r="C74" i="25" s="1"/>
  <c r="O263" i="2"/>
  <c r="P269" i="2"/>
  <c r="O488" i="2"/>
  <c r="P283" i="2"/>
  <c r="C65" i="25" s="1"/>
  <c r="P294" i="2"/>
  <c r="P271" i="2"/>
  <c r="C53" i="25" s="1"/>
  <c r="P293" i="2"/>
  <c r="C75" i="25" s="1"/>
  <c r="P274" i="2"/>
  <c r="C56" i="25" s="1"/>
  <c r="P275" i="2"/>
  <c r="C57" i="25" s="1"/>
  <c r="E89" i="14"/>
  <c r="F114" i="1" s="1"/>
  <c r="T89" i="14"/>
  <c r="Z89" i="14"/>
  <c r="AB89" i="14" s="1"/>
  <c r="G89" i="14"/>
  <c r="H114" i="1" s="1"/>
  <c r="N8" i="14"/>
  <c r="V8" i="14"/>
  <c r="G160" i="1" s="1"/>
  <c r="G1109" i="1" s="1"/>
  <c r="J1170" i="2" s="1"/>
  <c r="G84" i="14"/>
  <c r="H109" i="1" s="1"/>
  <c r="E84" i="14"/>
  <c r="F109" i="1" s="1"/>
  <c r="T84" i="14"/>
  <c r="Z84" i="14"/>
  <c r="AB84" i="14" s="1"/>
  <c r="F98" i="14"/>
  <c r="G123" i="1" s="1"/>
  <c r="F59" i="12"/>
  <c r="C70" i="12"/>
  <c r="E59" i="12"/>
  <c r="C81" i="12"/>
  <c r="G59" i="12"/>
  <c r="AM687" i="1"/>
  <c r="CD687" i="1"/>
  <c r="BE687" i="1"/>
  <c r="AM681" i="1"/>
  <c r="CD681" i="1"/>
  <c r="BE681" i="1"/>
  <c r="E96" i="14"/>
  <c r="F121" i="1" s="1"/>
  <c r="G96" i="14"/>
  <c r="H121" i="1" s="1"/>
  <c r="Z96" i="14"/>
  <c r="AB96" i="14" s="1"/>
  <c r="T96" i="14"/>
  <c r="E100" i="14"/>
  <c r="F125" i="1" s="1"/>
  <c r="G100" i="14"/>
  <c r="H125" i="1" s="1"/>
  <c r="AU100" i="14"/>
  <c r="AW100" i="14" s="1"/>
  <c r="Z100" i="14"/>
  <c r="AB100" i="14" s="1"/>
  <c r="E68" i="14"/>
  <c r="F93" i="1" s="1"/>
  <c r="G68" i="14"/>
  <c r="H93" i="1" s="1"/>
  <c r="BI68" i="14"/>
  <c r="BJ68" i="14"/>
  <c r="BK68" i="14" s="1"/>
  <c r="BF28" i="14"/>
  <c r="F28" i="14" s="1"/>
  <c r="G53" i="1" s="1"/>
  <c r="I53" i="1" s="1"/>
  <c r="AK121" i="14"/>
  <c r="Z55" i="10"/>
  <c r="D55" i="10"/>
  <c r="C1014" i="8"/>
  <c r="F1014" i="8" s="1"/>
  <c r="C1043" i="8"/>
  <c r="C1056" i="8"/>
  <c r="N2" i="11"/>
  <c r="AK96" i="14"/>
  <c r="F96" i="14" s="1"/>
  <c r="G121" i="1" s="1"/>
  <c r="AE1" i="14"/>
  <c r="C175" i="1" s="1"/>
  <c r="G1042" i="8"/>
  <c r="F1049" i="8"/>
  <c r="F1067" i="8" s="1"/>
  <c r="F1060" i="8"/>
  <c r="M158" i="15"/>
  <c r="M141" i="15" s="1"/>
  <c r="F96" i="15"/>
  <c r="J96" i="15"/>
  <c r="E96" i="15"/>
  <c r="I96" i="15"/>
  <c r="C96" i="15"/>
  <c r="K96" i="15"/>
  <c r="D96" i="15"/>
  <c r="L96" i="15"/>
  <c r="G96" i="15"/>
  <c r="H96" i="15"/>
  <c r="BF679" i="1"/>
  <c r="CE679" i="1"/>
  <c r="E103" i="14"/>
  <c r="F128" i="1" s="1"/>
  <c r="G103" i="14"/>
  <c r="H128" i="1" s="1"/>
  <c r="Z103" i="14"/>
  <c r="AB103" i="14" s="1"/>
  <c r="AU103" i="14"/>
  <c r="AW103" i="14" s="1"/>
  <c r="AM686" i="1"/>
  <c r="BE686" i="1"/>
  <c r="CD686" i="1"/>
  <c r="Z760" i="1"/>
  <c r="AA760" i="1" s="1"/>
  <c r="G147" i="15"/>
  <c r="O147" i="15"/>
  <c r="P147" i="15" s="1"/>
  <c r="E107" i="14"/>
  <c r="F132" i="1" s="1"/>
  <c r="G107" i="14"/>
  <c r="H132" i="1" s="1"/>
  <c r="BJ107" i="14"/>
  <c r="BK107" i="14" s="1"/>
  <c r="BI107" i="14"/>
  <c r="E95" i="15"/>
  <c r="I95" i="15"/>
  <c r="D95" i="15"/>
  <c r="H95" i="15"/>
  <c r="L95" i="15"/>
  <c r="F95" i="15"/>
  <c r="G95" i="15"/>
  <c r="J95" i="15"/>
  <c r="K95" i="15"/>
  <c r="C95" i="15"/>
  <c r="D104" i="15"/>
  <c r="H104" i="15"/>
  <c r="L104" i="15"/>
  <c r="C104" i="15"/>
  <c r="G104" i="15"/>
  <c r="K104" i="15"/>
  <c r="E104" i="15"/>
  <c r="F104" i="15"/>
  <c r="I104" i="15"/>
  <c r="J104" i="15"/>
  <c r="Z91" i="14"/>
  <c r="AB91" i="14" s="1"/>
  <c r="T91" i="14"/>
  <c r="G91" i="14"/>
  <c r="H116" i="1" s="1"/>
  <c r="E91" i="14"/>
  <c r="F116" i="1" s="1"/>
  <c r="E72" i="14"/>
  <c r="F97" i="1" s="1"/>
  <c r="G72" i="14"/>
  <c r="H97" i="1" s="1"/>
  <c r="BI72" i="14"/>
  <c r="BJ72" i="14"/>
  <c r="BK72" i="14" s="1"/>
  <c r="E64" i="14"/>
  <c r="F89" i="1" s="1"/>
  <c r="G64" i="14"/>
  <c r="H89" i="1" s="1"/>
  <c r="BJ64" i="14"/>
  <c r="BI64" i="14"/>
  <c r="AL28" i="14"/>
  <c r="F160" i="1"/>
  <c r="H1102" i="1"/>
  <c r="K1163" i="2" s="1"/>
  <c r="J1163" i="2"/>
  <c r="Z767" i="1"/>
  <c r="AA767" i="1" s="1"/>
  <c r="G1041" i="8"/>
  <c r="G1059" i="8" s="1"/>
  <c r="F1059" i="8"/>
  <c r="V4" i="14"/>
  <c r="G156" i="1" s="1"/>
  <c r="G1105" i="1" s="1"/>
  <c r="J1166" i="2" s="1"/>
  <c r="N1137" i="2"/>
  <c r="J647" i="9"/>
  <c r="H648" i="9"/>
  <c r="O852" i="2"/>
  <c r="P254" i="2"/>
  <c r="O254" i="2"/>
  <c r="Y244" i="2"/>
  <c r="Y687" i="1"/>
  <c r="U66" i="15"/>
  <c r="U80" i="15" s="1"/>
  <c r="U69" i="15"/>
  <c r="U83" i="15" s="1"/>
  <c r="U67" i="15"/>
  <c r="U81" i="15" s="1"/>
  <c r="U68" i="15"/>
  <c r="U82" i="15" s="1"/>
  <c r="U72" i="15"/>
  <c r="U86" i="15" s="1"/>
  <c r="U65" i="15"/>
  <c r="U79" i="15" s="1"/>
  <c r="U64" i="15"/>
  <c r="U78" i="15" s="1"/>
  <c r="U71" i="15"/>
  <c r="U85" i="15" s="1"/>
  <c r="U63" i="15"/>
  <c r="U77" i="15" s="1"/>
  <c r="U70" i="15"/>
  <c r="U84" i="15" s="1"/>
  <c r="U62" i="15"/>
  <c r="U76" i="15" s="1"/>
  <c r="U61" i="15"/>
  <c r="U75" i="15" s="1"/>
  <c r="AB460" i="2"/>
  <c r="Y679" i="1"/>
  <c r="Y682" i="1"/>
  <c r="AB457" i="2"/>
  <c r="S158" i="2"/>
  <c r="S157" i="2"/>
  <c r="AA467" i="2"/>
  <c r="AA461" i="2"/>
  <c r="AA466" i="2"/>
  <c r="AA465" i="2"/>
  <c r="AA459" i="2"/>
  <c r="AA463" i="2"/>
  <c r="AA462" i="2"/>
  <c r="AA460" i="2"/>
  <c r="AD461" i="2"/>
  <c r="AD457" i="2"/>
  <c r="AA458" i="2"/>
  <c r="AC458" i="2"/>
  <c r="AD460" i="2"/>
  <c r="AC457" i="2"/>
  <c r="AC463" i="2"/>
  <c r="AC459" i="2"/>
  <c r="AA457" i="2"/>
  <c r="AD467" i="2"/>
  <c r="AD466" i="2"/>
  <c r="AA464" i="2"/>
  <c r="AA456" i="2"/>
  <c r="AC456" i="2"/>
  <c r="AD463" i="2"/>
  <c r="AD456" i="2"/>
  <c r="AC466" i="2"/>
  <c r="AC464" i="2"/>
  <c r="AC465" i="2"/>
  <c r="AD462" i="2"/>
  <c r="AD458" i="2"/>
  <c r="AD459" i="2"/>
  <c r="AD464" i="2"/>
  <c r="AC467" i="2"/>
  <c r="AC460" i="2"/>
  <c r="AC462" i="2"/>
  <c r="AD465" i="2"/>
  <c r="AC461" i="2"/>
  <c r="T1122" i="2" l="1"/>
  <c r="AS625" i="1"/>
  <c r="AV625" i="1" s="1"/>
  <c r="BA625" i="1" s="1"/>
  <c r="BB625" i="1" s="1"/>
  <c r="BC625" i="1" s="1"/>
  <c r="BR687" i="1"/>
  <c r="AS768" i="1"/>
  <c r="AQ687" i="1"/>
  <c r="AB687" i="1"/>
  <c r="AC687" i="1" s="1"/>
  <c r="AR687" i="1"/>
  <c r="BS687" i="1"/>
  <c r="CA683" i="1"/>
  <c r="CB683" i="1" s="1"/>
  <c r="CF683" i="1" s="1"/>
  <c r="AV621" i="1"/>
  <c r="BA621" i="1" s="1"/>
  <c r="BB621" i="1" s="1"/>
  <c r="BC621" i="1" s="1"/>
  <c r="BF621" i="1" s="1"/>
  <c r="BG621" i="1" s="1"/>
  <c r="F104" i="14"/>
  <c r="G129" i="1" s="1"/>
  <c r="I129" i="1" s="1"/>
  <c r="D108" i="15"/>
  <c r="CH135" i="14" s="1"/>
  <c r="AD683" i="1"/>
  <c r="D628" i="1"/>
  <c r="U683" i="2"/>
  <c r="F26" i="12"/>
  <c r="Q26" i="12" s="1"/>
  <c r="BF38" i="14"/>
  <c r="F38" i="14" s="1"/>
  <c r="G63" i="1" s="1"/>
  <c r="I63" i="1" s="1"/>
  <c r="AB760" i="1"/>
  <c r="BF29" i="14"/>
  <c r="F29" i="14" s="1"/>
  <c r="G54" i="1" s="1"/>
  <c r="I54" i="1" s="1"/>
  <c r="BA649" i="1"/>
  <c r="AE649" i="1" s="1"/>
  <c r="BF35" i="14"/>
  <c r="F35" i="14" s="1"/>
  <c r="G60" i="1" s="1"/>
  <c r="I60" i="1" s="1"/>
  <c r="BG114" i="14"/>
  <c r="F22" i="14" s="1"/>
  <c r="G47" i="1" s="1"/>
  <c r="I47" i="1" s="1"/>
  <c r="BF114" i="14"/>
  <c r="F114" i="14" s="1"/>
  <c r="G139" i="1" s="1"/>
  <c r="I139" i="1" s="1"/>
  <c r="C1108" i="1"/>
  <c r="Q387" i="10" s="1"/>
  <c r="D111" i="15"/>
  <c r="CH138" i="14" s="1"/>
  <c r="BB686" i="1"/>
  <c r="BC686" i="1" s="1"/>
  <c r="BG686" i="1" s="1"/>
  <c r="H111" i="15"/>
  <c r="J857" i="8"/>
  <c r="J864" i="8" s="1"/>
  <c r="L864" i="8" s="1"/>
  <c r="AV626" i="1"/>
  <c r="BA626" i="1" s="1"/>
  <c r="BB626" i="1" s="1"/>
  <c r="BC626" i="1" s="1"/>
  <c r="BF626" i="1" s="1"/>
  <c r="BG626" i="1" s="1"/>
  <c r="AV627" i="1"/>
  <c r="BA627" i="1" s="1"/>
  <c r="BB627" i="1" s="1"/>
  <c r="BC627" i="1" s="1"/>
  <c r="BF627" i="1" s="1"/>
  <c r="BG627" i="1" s="1"/>
  <c r="AK31" i="14"/>
  <c r="E26" i="12"/>
  <c r="P26" i="12" s="1"/>
  <c r="U133" i="2"/>
  <c r="BB678" i="1"/>
  <c r="BC678" i="1" s="1"/>
  <c r="BG678" i="1" s="1"/>
  <c r="CA680" i="1"/>
  <c r="CB680" i="1" s="1"/>
  <c r="CF680" i="1" s="1"/>
  <c r="CH18" i="14"/>
  <c r="H33" i="15" s="1"/>
  <c r="K163" i="15" s="1"/>
  <c r="BF102" i="14"/>
  <c r="F102" i="14" s="1"/>
  <c r="G127" i="1" s="1"/>
  <c r="I127" i="1" s="1"/>
  <c r="BF30" i="14"/>
  <c r="F30" i="14" s="1"/>
  <c r="G55" i="1" s="1"/>
  <c r="I55" i="1" s="1"/>
  <c r="V386" i="2"/>
  <c r="F34" i="14"/>
  <c r="G59" i="1" s="1"/>
  <c r="I59" i="1" s="1"/>
  <c r="BF36" i="14"/>
  <c r="F36" i="14" s="1"/>
  <c r="G61" i="1" s="1"/>
  <c r="I61" i="1" s="1"/>
  <c r="P335" i="10"/>
  <c r="X124" i="10" s="1"/>
  <c r="Z124" i="10" s="1"/>
  <c r="U88" i="15"/>
  <c r="BB138" i="14" s="1"/>
  <c r="BB680" i="1"/>
  <c r="BC680" i="1" s="1"/>
  <c r="BG680" i="1" s="1"/>
  <c r="C109" i="15"/>
  <c r="AL30" i="14"/>
  <c r="F16" i="14" s="1"/>
  <c r="G41" i="1" s="1"/>
  <c r="I41" i="1" s="1"/>
  <c r="D630" i="1"/>
  <c r="N98" i="12"/>
  <c r="D755" i="1"/>
  <c r="BB684" i="1"/>
  <c r="BC684" i="1" s="1"/>
  <c r="BG684" i="1" s="1"/>
  <c r="CH21" i="14"/>
  <c r="H36" i="15" s="1"/>
  <c r="K166" i="15" s="1"/>
  <c r="O336" i="10"/>
  <c r="D121" i="10" s="1"/>
  <c r="O320" i="2"/>
  <c r="T316" i="2" s="1"/>
  <c r="O334" i="10"/>
  <c r="I160" i="1"/>
  <c r="U146" i="2"/>
  <c r="N99" i="12"/>
  <c r="N172" i="12" s="1"/>
  <c r="N171" i="12" s="1"/>
  <c r="D176" i="1"/>
  <c r="D177" i="1" s="1"/>
  <c r="CA687" i="1"/>
  <c r="CB687" i="1" s="1"/>
  <c r="CF687" i="1" s="1"/>
  <c r="E1134" i="2"/>
  <c r="H158" i="1"/>
  <c r="H1107" i="1" s="1"/>
  <c r="K1168" i="2" s="1"/>
  <c r="AL22" i="14"/>
  <c r="D47" i="1" s="1"/>
  <c r="D148" i="1" s="1"/>
  <c r="AB759" i="1"/>
  <c r="I113" i="1"/>
  <c r="M160" i="1"/>
  <c r="M170" i="1" s="1"/>
  <c r="AA766" i="1"/>
  <c r="BF31" i="14"/>
  <c r="M77" i="8"/>
  <c r="L82" i="8" s="1"/>
  <c r="M82" i="8"/>
  <c r="CA682" i="1"/>
  <c r="CB682" i="1" s="1"/>
  <c r="CF682" i="1" s="1"/>
  <c r="H157" i="1"/>
  <c r="H1106" i="1" s="1"/>
  <c r="K1167" i="2" s="1"/>
  <c r="V394" i="2"/>
  <c r="F158" i="15"/>
  <c r="BB681" i="1"/>
  <c r="BC681" i="1" s="1"/>
  <c r="BG681" i="1" s="1"/>
  <c r="H109" i="15"/>
  <c r="C107" i="15"/>
  <c r="O145" i="15"/>
  <c r="P145" i="15" s="1"/>
  <c r="P138" i="15" s="1"/>
  <c r="AA764" i="1"/>
  <c r="AU764" i="1" s="1"/>
  <c r="AV764" i="1" s="1"/>
  <c r="BA764" i="1" s="1"/>
  <c r="BB764" i="1" s="1"/>
  <c r="AA762" i="1"/>
  <c r="CH17" i="14"/>
  <c r="H32" i="15" s="1"/>
  <c r="D157" i="2"/>
  <c r="BJ1125" i="2"/>
  <c r="U157" i="2"/>
  <c r="D158" i="2"/>
  <c r="U158" i="2"/>
  <c r="BJ1126" i="2"/>
  <c r="AS620" i="1"/>
  <c r="AV620" i="1" s="1"/>
  <c r="BA620" i="1" s="1"/>
  <c r="BB620" i="1" s="1"/>
  <c r="BC620" i="1" s="1"/>
  <c r="BF620" i="1" s="1"/>
  <c r="BG620" i="1" s="1"/>
  <c r="AR682" i="1"/>
  <c r="AS763" i="1"/>
  <c r="BS682" i="1"/>
  <c r="AQ682" i="1"/>
  <c r="BR682" i="1"/>
  <c r="AB682" i="1"/>
  <c r="AC682" i="1" s="1"/>
  <c r="AB679" i="1"/>
  <c r="AC679" i="1" s="1"/>
  <c r="AS617" i="1"/>
  <c r="AV617" i="1" s="1"/>
  <c r="BR679" i="1"/>
  <c r="BS679" i="1"/>
  <c r="AQ679" i="1"/>
  <c r="AR679" i="1"/>
  <c r="AS760" i="1"/>
  <c r="AC761" i="1"/>
  <c r="AD761" i="1" s="1"/>
  <c r="AD680" i="1"/>
  <c r="AC766" i="1"/>
  <c r="AD766" i="1" s="1"/>
  <c r="AD685" i="1"/>
  <c r="D701" i="2"/>
  <c r="P1117" i="2"/>
  <c r="U1117" i="2" s="1"/>
  <c r="BB687" i="1"/>
  <c r="BC687" i="1" s="1"/>
  <c r="BG687" i="1" s="1"/>
  <c r="BC646" i="1"/>
  <c r="BA646" i="1"/>
  <c r="BC639" i="1"/>
  <c r="BA639" i="1"/>
  <c r="V396" i="2"/>
  <c r="D41" i="10"/>
  <c r="D16" i="10"/>
  <c r="BI123" i="14"/>
  <c r="CH20" i="14"/>
  <c r="H35" i="15" s="1"/>
  <c r="V152" i="2"/>
  <c r="S148" i="2"/>
  <c r="D150" i="2" s="1"/>
  <c r="D151" i="2" s="1"/>
  <c r="BJ1119" i="2"/>
  <c r="S136" i="2"/>
  <c r="U131" i="2"/>
  <c r="D152" i="2"/>
  <c r="BL1124" i="2"/>
  <c r="D131" i="2"/>
  <c r="I111" i="15"/>
  <c r="CI138" i="14" s="1"/>
  <c r="M358" i="8"/>
  <c r="I108" i="15"/>
  <c r="CI135" i="14" s="1"/>
  <c r="K653" i="1"/>
  <c r="K654" i="1"/>
  <c r="AV623" i="1"/>
  <c r="BA623" i="1" s="1"/>
  <c r="BB623" i="1" s="1"/>
  <c r="BC623" i="1" s="1"/>
  <c r="CH19" i="14"/>
  <c r="H34" i="15" s="1"/>
  <c r="AD688" i="1"/>
  <c r="AC769" i="1"/>
  <c r="AD769" i="1" s="1"/>
  <c r="V393" i="2"/>
  <c r="AD689" i="1"/>
  <c r="AA761" i="1"/>
  <c r="G90" i="4"/>
  <c r="J90" i="4" s="1"/>
  <c r="D202" i="10"/>
  <c r="BB682" i="1"/>
  <c r="BC682" i="1" s="1"/>
  <c r="BG682" i="1" s="1"/>
  <c r="F119" i="14"/>
  <c r="G144" i="1" s="1"/>
  <c r="I144" i="1" s="1"/>
  <c r="BC642" i="1"/>
  <c r="BA642" i="1"/>
  <c r="C108" i="15"/>
  <c r="V388" i="2"/>
  <c r="I107" i="15"/>
  <c r="CI134" i="14" s="1"/>
  <c r="Z768" i="1"/>
  <c r="AA768" i="1" s="1"/>
  <c r="V384" i="2"/>
  <c r="I159" i="1"/>
  <c r="H107" i="15"/>
  <c r="I321" i="10"/>
  <c r="I335" i="10" s="1"/>
  <c r="X19" i="10" s="1"/>
  <c r="H334" i="10"/>
  <c r="BC641" i="1"/>
  <c r="BA641" i="1"/>
  <c r="V385" i="2"/>
  <c r="M159" i="1"/>
  <c r="M169" i="1" s="1"/>
  <c r="AL16" i="14"/>
  <c r="C41" i="1" s="1"/>
  <c r="C148" i="1" s="1"/>
  <c r="Z769" i="1"/>
  <c r="AA769" i="1" s="1"/>
  <c r="AK120" i="14"/>
  <c r="F120" i="14" s="1"/>
  <c r="G145" i="1" s="1"/>
  <c r="I145" i="1" s="1"/>
  <c r="BC638" i="1"/>
  <c r="BA638" i="1"/>
  <c r="AB767" i="1"/>
  <c r="C110" i="15"/>
  <c r="U698" i="2"/>
  <c r="Q293" i="10"/>
  <c r="Q297" i="10"/>
  <c r="Q304" i="10"/>
  <c r="R304" i="10" s="1"/>
  <c r="Q305" i="10"/>
  <c r="R305" i="10" s="1"/>
  <c r="Q296" i="10"/>
  <c r="Q288" i="10"/>
  <c r="Q286" i="10"/>
  <c r="Q300" i="10"/>
  <c r="R300" i="10" s="1"/>
  <c r="Q290" i="10"/>
  <c r="Q287" i="10"/>
  <c r="Q295" i="10"/>
  <c r="Q301" i="10"/>
  <c r="R301" i="10" s="1"/>
  <c r="Q294" i="10"/>
  <c r="Q302" i="10"/>
  <c r="R302" i="10" s="1"/>
  <c r="Q292" i="10"/>
  <c r="Q298" i="10"/>
  <c r="Q303" i="10"/>
  <c r="R303" i="10" s="1"/>
  <c r="Q299" i="10"/>
  <c r="Q289" i="10"/>
  <c r="Q291" i="10"/>
  <c r="Z770" i="1"/>
  <c r="AA770" i="1" s="1"/>
  <c r="BC644" i="1"/>
  <c r="BA644" i="1"/>
  <c r="D160" i="10"/>
  <c r="Z160" i="10"/>
  <c r="D110" i="15"/>
  <c r="CH137" i="14" s="1"/>
  <c r="I120" i="1"/>
  <c r="BB683" i="1"/>
  <c r="BC683" i="1" s="1"/>
  <c r="BG683" i="1" s="1"/>
  <c r="F37" i="14"/>
  <c r="G62" i="1" s="1"/>
  <c r="I62" i="1" s="1"/>
  <c r="I109" i="1"/>
  <c r="E158" i="15"/>
  <c r="I108" i="1"/>
  <c r="D698" i="2"/>
  <c r="AV616" i="1"/>
  <c r="BA616" i="1" s="1"/>
  <c r="BB616" i="1" s="1"/>
  <c r="CA678" i="1"/>
  <c r="CB678" i="1" s="1"/>
  <c r="CF678" i="1" s="1"/>
  <c r="BC645" i="1"/>
  <c r="BA645" i="1"/>
  <c r="BB689" i="1"/>
  <c r="BC689" i="1" s="1"/>
  <c r="BG689" i="1" s="1"/>
  <c r="CA684" i="1"/>
  <c r="CB684" i="1" s="1"/>
  <c r="CF684" i="1" s="1"/>
  <c r="CA685" i="1"/>
  <c r="CB685" i="1" s="1"/>
  <c r="CF685" i="1" s="1"/>
  <c r="CA681" i="1"/>
  <c r="CB681" i="1" s="1"/>
  <c r="CF681" i="1" s="1"/>
  <c r="V390" i="2"/>
  <c r="D107" i="15"/>
  <c r="CH134" i="14" s="1"/>
  <c r="BC640" i="1"/>
  <c r="BA640" i="1"/>
  <c r="N158" i="15"/>
  <c r="K830" i="2"/>
  <c r="I110" i="15"/>
  <c r="CI137" i="14" s="1"/>
  <c r="BC647" i="1"/>
  <c r="BA647" i="1"/>
  <c r="I126" i="1"/>
  <c r="I830" i="2"/>
  <c r="I119" i="1"/>
  <c r="R336" i="8"/>
  <c r="P377" i="8" s="1"/>
  <c r="D141" i="2"/>
  <c r="U141" i="2"/>
  <c r="I116" i="1"/>
  <c r="I109" i="15"/>
  <c r="CI136" i="14" s="1"/>
  <c r="BA643" i="1"/>
  <c r="BB643" i="1" s="1"/>
  <c r="N110" i="12"/>
  <c r="BC648" i="1"/>
  <c r="BA648" i="1"/>
  <c r="CA689" i="1"/>
  <c r="CB689" i="1" s="1"/>
  <c r="CF689" i="1" s="1"/>
  <c r="BB685" i="1"/>
  <c r="BC685" i="1" s="1"/>
  <c r="BG685" i="1" s="1"/>
  <c r="AF461" i="2"/>
  <c r="Z239" i="1"/>
  <c r="AC239" i="1" s="1"/>
  <c r="AF462" i="2"/>
  <c r="AF460" i="2"/>
  <c r="AF467" i="2"/>
  <c r="Z238" i="1"/>
  <c r="AC238" i="1" s="1"/>
  <c r="Z233" i="1"/>
  <c r="AC233" i="1" s="1"/>
  <c r="Z232" i="1"/>
  <c r="AC232" i="1" s="1"/>
  <c r="Z236" i="1"/>
  <c r="AC236" i="1" s="1"/>
  <c r="AF465" i="2"/>
  <c r="AF464" i="2"/>
  <c r="AF466" i="2"/>
  <c r="Z230" i="1"/>
  <c r="AC230" i="1" s="1"/>
  <c r="Z237" i="1"/>
  <c r="AC237" i="1" s="1"/>
  <c r="AF456" i="2"/>
  <c r="AF230" i="1"/>
  <c r="E456" i="2"/>
  <c r="E280" i="1" s="1"/>
  <c r="T456" i="2"/>
  <c r="V456" i="2" s="1"/>
  <c r="E468" i="2"/>
  <c r="E292" i="1" s="1"/>
  <c r="T464" i="2"/>
  <c r="V464" i="2" s="1"/>
  <c r="AF238" i="1"/>
  <c r="E464" i="2"/>
  <c r="E288" i="1" s="1"/>
  <c r="Z240" i="1"/>
  <c r="AC240" i="1" s="1"/>
  <c r="Z241" i="1"/>
  <c r="AC241" i="1" s="1"/>
  <c r="T457" i="2"/>
  <c r="V457" i="2" s="1"/>
  <c r="E457" i="2"/>
  <c r="E281" i="1" s="1"/>
  <c r="AF231" i="1"/>
  <c r="AF459" i="2"/>
  <c r="AF463" i="2"/>
  <c r="AF457" i="2"/>
  <c r="Z234" i="1"/>
  <c r="AC234" i="1" s="1"/>
  <c r="AF458" i="2"/>
  <c r="E458" i="2"/>
  <c r="E282" i="1" s="1"/>
  <c r="T458" i="2"/>
  <c r="V458" i="2" s="1"/>
  <c r="AF232" i="1"/>
  <c r="Z231" i="1"/>
  <c r="AC231" i="1" s="1"/>
  <c r="Z235" i="1"/>
  <c r="AC235" i="1" s="1"/>
  <c r="E460" i="2"/>
  <c r="E284" i="1" s="1"/>
  <c r="AF234" i="1"/>
  <c r="T460" i="2"/>
  <c r="V460" i="2" s="1"/>
  <c r="E462" i="2"/>
  <c r="E286" i="1" s="1"/>
  <c r="AF236" i="1"/>
  <c r="T462" i="2"/>
  <c r="V462" i="2" s="1"/>
  <c r="T463" i="2"/>
  <c r="V463" i="2" s="1"/>
  <c r="E463" i="2"/>
  <c r="E287" i="1" s="1"/>
  <c r="AF237" i="1"/>
  <c r="T459" i="2"/>
  <c r="V459" i="2" s="1"/>
  <c r="E459" i="2"/>
  <c r="E283" i="1" s="1"/>
  <c r="AF233" i="1"/>
  <c r="T465" i="2"/>
  <c r="V465" i="2" s="1"/>
  <c r="E465" i="2"/>
  <c r="E289" i="1" s="1"/>
  <c r="AF239" i="1"/>
  <c r="E466" i="2"/>
  <c r="E290" i="1" s="1"/>
  <c r="T466" i="2"/>
  <c r="V466" i="2" s="1"/>
  <c r="AF240" i="1"/>
  <c r="AF235" i="1"/>
  <c r="E461" i="2"/>
  <c r="E285" i="1" s="1"/>
  <c r="T461" i="2"/>
  <c r="AF241" i="1"/>
  <c r="E467" i="2"/>
  <c r="E291" i="1" s="1"/>
  <c r="T467" i="2"/>
  <c r="V467" i="2" s="1"/>
  <c r="E422" i="2"/>
  <c r="E468" i="1" s="1"/>
  <c r="E419" i="2"/>
  <c r="E465" i="1" s="1"/>
  <c r="E418" i="2"/>
  <c r="E464" i="1" s="1"/>
  <c r="E408" i="2"/>
  <c r="E454" i="1" s="1"/>
  <c r="E412" i="2"/>
  <c r="E458" i="1" s="1"/>
  <c r="E409" i="2"/>
  <c r="E455" i="1" s="1"/>
  <c r="E414" i="2"/>
  <c r="E460" i="1" s="1"/>
  <c r="D248" i="10"/>
  <c r="W222" i="10"/>
  <c r="R352" i="10" s="1"/>
  <c r="Y223" i="10"/>
  <c r="G559" i="2"/>
  <c r="J559" i="2" s="1"/>
  <c r="J562" i="2" s="1"/>
  <c r="E562" i="2"/>
  <c r="V389" i="2"/>
  <c r="V402" i="2"/>
  <c r="V399" i="2"/>
  <c r="I584" i="2"/>
  <c r="I562" i="2"/>
  <c r="V383" i="2"/>
  <c r="AS335" i="10"/>
  <c r="AS319" i="10" s="1"/>
  <c r="P256" i="2"/>
  <c r="E346" i="1" s="1"/>
  <c r="V398" i="2"/>
  <c r="AT335" i="10"/>
  <c r="AT319" i="10" s="1"/>
  <c r="V397" i="2"/>
  <c r="N97" i="12"/>
  <c r="BB649" i="1"/>
  <c r="C111" i="15"/>
  <c r="H110" i="15"/>
  <c r="S665" i="2"/>
  <c r="U653" i="2"/>
  <c r="D653" i="2"/>
  <c r="D670" i="2"/>
  <c r="V670" i="2"/>
  <c r="P1116" i="2" s="1"/>
  <c r="U1116" i="2" s="1"/>
  <c r="H108" i="15"/>
  <c r="D109" i="15"/>
  <c r="CH136" i="14" s="1"/>
  <c r="AU8" i="3"/>
  <c r="AV8" i="3" s="1"/>
  <c r="AT9" i="3" s="1"/>
  <c r="T320" i="2"/>
  <c r="M414" i="1"/>
  <c r="M369" i="2"/>
  <c r="C325" i="2"/>
  <c r="O325" i="2"/>
  <c r="C324" i="2"/>
  <c r="O324" i="2"/>
  <c r="G400" i="2"/>
  <c r="G396" i="2"/>
  <c r="G395" i="2"/>
  <c r="G394" i="2"/>
  <c r="G392" i="2"/>
  <c r="G386" i="2"/>
  <c r="G391" i="2"/>
  <c r="G383" i="2"/>
  <c r="G401" i="2"/>
  <c r="G393" i="2"/>
  <c r="G397" i="2"/>
  <c r="G399" i="2"/>
  <c r="G402" i="2"/>
  <c r="G384" i="2"/>
  <c r="G398" i="2"/>
  <c r="G388" i="2"/>
  <c r="G389" i="2"/>
  <c r="G390" i="2"/>
  <c r="G387" i="2"/>
  <c r="G385" i="2"/>
  <c r="F489" i="8"/>
  <c r="P1287" i="2"/>
  <c r="D482" i="2"/>
  <c r="D306" i="1" s="1"/>
  <c r="D481" i="2"/>
  <c r="M298" i="1"/>
  <c r="U715" i="1"/>
  <c r="AF682" i="1"/>
  <c r="I125" i="1"/>
  <c r="E407" i="2"/>
  <c r="E453" i="1" s="1"/>
  <c r="W464" i="2"/>
  <c r="U464" i="2"/>
  <c r="BH77" i="14"/>
  <c r="F77" i="14" s="1"/>
  <c r="G102" i="1" s="1"/>
  <c r="I102" i="1" s="1"/>
  <c r="E102" i="1"/>
  <c r="J287" i="10"/>
  <c r="G103" i="10" s="1"/>
  <c r="AI102" i="10"/>
  <c r="G102" i="10" s="1"/>
  <c r="I140" i="1"/>
  <c r="F159" i="1"/>
  <c r="H159" i="1"/>
  <c r="H1108" i="1" s="1"/>
  <c r="K1169" i="2" s="1"/>
  <c r="T365" i="8"/>
  <c r="T364" i="8" s="1"/>
  <c r="T363" i="8" s="1"/>
  <c r="T379" i="8" s="1"/>
  <c r="P364" i="8"/>
  <c r="P363" i="8" s="1"/>
  <c r="P379" i="8" s="1"/>
  <c r="Q365" i="8"/>
  <c r="S365" i="8"/>
  <c r="S364" i="8" s="1"/>
  <c r="S363" i="8" s="1"/>
  <c r="S379" i="8" s="1"/>
  <c r="I117" i="1"/>
  <c r="U718" i="1"/>
  <c r="AF685" i="1"/>
  <c r="Y1141" i="2"/>
  <c r="Y1149" i="2"/>
  <c r="Y1142" i="2"/>
  <c r="Y1150" i="2"/>
  <c r="Y1143" i="2"/>
  <c r="Y1151" i="2"/>
  <c r="Y1144" i="2"/>
  <c r="Y1139" i="2"/>
  <c r="Y1137" i="2" s="1"/>
  <c r="Y1140" i="2"/>
  <c r="Y1145" i="2"/>
  <c r="Y1147" i="2"/>
  <c r="Y1148" i="2"/>
  <c r="Y1146" i="2"/>
  <c r="E577" i="1"/>
  <c r="F577" i="1"/>
  <c r="F1062" i="1"/>
  <c r="J288" i="10"/>
  <c r="H103" i="10" s="1"/>
  <c r="AJ102" i="10"/>
  <c r="H102" i="10" s="1"/>
  <c r="O250" i="2"/>
  <c r="O249" i="2"/>
  <c r="P307" i="2"/>
  <c r="P308" i="2"/>
  <c r="P255" i="2"/>
  <c r="O255" i="2"/>
  <c r="M227" i="2"/>
  <c r="E607" i="1"/>
  <c r="F607" i="1"/>
  <c r="R825" i="2"/>
  <c r="I819" i="2"/>
  <c r="K819" i="2"/>
  <c r="BF624" i="1"/>
  <c r="BG624" i="1" s="1"/>
  <c r="BD624" i="1"/>
  <c r="BE624" i="1" s="1"/>
  <c r="W467" i="2"/>
  <c r="U467" i="2"/>
  <c r="J299" i="10"/>
  <c r="S103" i="10" s="1"/>
  <c r="AU102" i="10"/>
  <c r="S102" i="10" s="1"/>
  <c r="AD686" i="1"/>
  <c r="AC767" i="1"/>
  <c r="AD767" i="1" s="1"/>
  <c r="V391" i="2"/>
  <c r="M228" i="2"/>
  <c r="F477" i="8"/>
  <c r="I141" i="1"/>
  <c r="AO102" i="10"/>
  <c r="M102" i="10" s="1"/>
  <c r="J293" i="10"/>
  <c r="M103" i="10" s="1"/>
  <c r="I157" i="1"/>
  <c r="E167" i="1"/>
  <c r="F167" i="1" s="1"/>
  <c r="M157" i="1"/>
  <c r="M167" i="1" s="1"/>
  <c r="C1106" i="1"/>
  <c r="Q385" i="10" s="1"/>
  <c r="C51" i="25"/>
  <c r="E425" i="2"/>
  <c r="E471" i="1" s="1"/>
  <c r="W462" i="2"/>
  <c r="U462" i="2"/>
  <c r="T317" i="2"/>
  <c r="BK106" i="14"/>
  <c r="E131" i="1" s="1"/>
  <c r="CP17" i="14"/>
  <c r="J286" i="10"/>
  <c r="F103" i="10" s="1"/>
  <c r="AH102" i="10"/>
  <c r="CO12" i="14"/>
  <c r="D1105" i="1"/>
  <c r="R384" i="10" s="1"/>
  <c r="BF622" i="1"/>
  <c r="BG622" i="1" s="1"/>
  <c r="BD622" i="1"/>
  <c r="BE622" i="1" s="1"/>
  <c r="U719" i="1"/>
  <c r="AF686" i="1"/>
  <c r="AN102" i="10"/>
  <c r="L102" i="10" s="1"/>
  <c r="J292" i="10"/>
  <c r="L103" i="10" s="1"/>
  <c r="E99" i="1"/>
  <c r="BH74" i="14"/>
  <c r="F74" i="14" s="1"/>
  <c r="G99" i="1" s="1"/>
  <c r="I99" i="1" s="1"/>
  <c r="BF686" i="1"/>
  <c r="CE686" i="1"/>
  <c r="W465" i="2"/>
  <c r="U465" i="2"/>
  <c r="D483" i="2"/>
  <c r="BF685" i="1"/>
  <c r="CE685" i="1"/>
  <c r="I123" i="1"/>
  <c r="F188" i="10"/>
  <c r="W463" i="2"/>
  <c r="U463" i="2"/>
  <c r="F148" i="1"/>
  <c r="Q373" i="8"/>
  <c r="S373" i="8"/>
  <c r="T373" i="8"/>
  <c r="U717" i="1"/>
  <c r="AF684" i="1"/>
  <c r="AD678" i="1"/>
  <c r="AC759" i="1"/>
  <c r="AD759" i="1" s="1"/>
  <c r="I107" i="1"/>
  <c r="V401" i="2"/>
  <c r="J291" i="10"/>
  <c r="K103" i="10" s="1"/>
  <c r="AM102" i="10"/>
  <c r="K102" i="10" s="1"/>
  <c r="E86" i="1"/>
  <c r="BH61" i="14"/>
  <c r="F61" i="14" s="1"/>
  <c r="G86" i="1" s="1"/>
  <c r="I86" i="1" s="1"/>
  <c r="U461" i="2"/>
  <c r="W461" i="2"/>
  <c r="CO17" i="14"/>
  <c r="AT102" i="10"/>
  <c r="R102" i="10" s="1"/>
  <c r="J298" i="10"/>
  <c r="R103" i="10" s="1"/>
  <c r="C77" i="12"/>
  <c r="F55" i="12"/>
  <c r="G55" i="12"/>
  <c r="C66" i="12"/>
  <c r="E55" i="12"/>
  <c r="BK76" i="14"/>
  <c r="BH76" i="14" s="1"/>
  <c r="F76" i="14" s="1"/>
  <c r="G101" i="1" s="1"/>
  <c r="I101" i="1" s="1"/>
  <c r="CP12" i="14"/>
  <c r="BH79" i="14"/>
  <c r="F79" i="14" s="1"/>
  <c r="G104" i="1" s="1"/>
  <c r="I104" i="1" s="1"/>
  <c r="E104" i="1"/>
  <c r="H156" i="1"/>
  <c r="H1105" i="1" s="1"/>
  <c r="K1166" i="2" s="1"/>
  <c r="BF689" i="1"/>
  <c r="CE689" i="1"/>
  <c r="C1105" i="1"/>
  <c r="Q384" i="10" s="1"/>
  <c r="M156" i="1"/>
  <c r="E166" i="1"/>
  <c r="F166" i="1" s="1"/>
  <c r="I156" i="1"/>
  <c r="I138" i="1"/>
  <c r="U720" i="1"/>
  <c r="AF687" i="1"/>
  <c r="BK64" i="14"/>
  <c r="E89" i="1" s="1"/>
  <c r="CP10" i="14"/>
  <c r="E133" i="1"/>
  <c r="BH108" i="14"/>
  <c r="F108" i="14" s="1"/>
  <c r="G133" i="1" s="1"/>
  <c r="I133" i="1" s="1"/>
  <c r="E168" i="1"/>
  <c r="F168" i="1" s="1"/>
  <c r="C1107" i="1"/>
  <c r="Q386" i="10" s="1"/>
  <c r="I158" i="1"/>
  <c r="M158" i="1"/>
  <c r="M168" i="1" s="1"/>
  <c r="W456" i="2"/>
  <c r="U456" i="2"/>
  <c r="J295" i="10"/>
  <c r="O103" i="10" s="1"/>
  <c r="AQ102" i="10"/>
  <c r="O102" i="10" s="1"/>
  <c r="U716" i="1"/>
  <c r="AF683" i="1"/>
  <c r="V400" i="2"/>
  <c r="V395" i="2"/>
  <c r="E410" i="2"/>
  <c r="E456" i="1" s="1"/>
  <c r="E411" i="2"/>
  <c r="E457" i="1" s="1"/>
  <c r="E420" i="2"/>
  <c r="E466" i="1" s="1"/>
  <c r="U459" i="2"/>
  <c r="W459" i="2"/>
  <c r="AA763" i="1"/>
  <c r="BJ123" i="14"/>
  <c r="J290" i="10"/>
  <c r="J103" i="10" s="1"/>
  <c r="AL102" i="10"/>
  <c r="J102" i="10" s="1"/>
  <c r="K648" i="9"/>
  <c r="M647" i="9"/>
  <c r="BH71" i="14"/>
  <c r="F71" i="14" s="1"/>
  <c r="G96" i="1" s="1"/>
  <c r="I96" i="1" s="1"/>
  <c r="E96" i="1"/>
  <c r="U712" i="1"/>
  <c r="AF679" i="1"/>
  <c r="E92" i="1"/>
  <c r="BH67" i="14"/>
  <c r="F67" i="14" s="1"/>
  <c r="G92" i="1" s="1"/>
  <c r="I92" i="1" s="1"/>
  <c r="C176" i="1"/>
  <c r="BH107" i="14"/>
  <c r="F107" i="14" s="1"/>
  <c r="G132" i="1" s="1"/>
  <c r="I132" i="1" s="1"/>
  <c r="E132" i="1"/>
  <c r="E93" i="1"/>
  <c r="BH68" i="14"/>
  <c r="F68" i="14" s="1"/>
  <c r="G93" i="1" s="1"/>
  <c r="I93" i="1" s="1"/>
  <c r="BF687" i="1"/>
  <c r="CE687" i="1"/>
  <c r="U721" i="1"/>
  <c r="AF688" i="1"/>
  <c r="H148" i="1"/>
  <c r="BF678" i="1"/>
  <c r="CE678" i="1"/>
  <c r="W466" i="2"/>
  <c r="U466" i="2"/>
  <c r="H160" i="1"/>
  <c r="H1109" i="1" s="1"/>
  <c r="K1170" i="2" s="1"/>
  <c r="O327" i="2"/>
  <c r="G1049" i="8"/>
  <c r="G1067" i="8" s="1"/>
  <c r="G1060" i="8"/>
  <c r="I121" i="1"/>
  <c r="V392" i="2"/>
  <c r="W458" i="2"/>
  <c r="U458" i="2"/>
  <c r="U457" i="2"/>
  <c r="W457" i="2"/>
  <c r="BK58" i="14"/>
  <c r="BH58" i="14" s="1"/>
  <c r="F58" i="14" s="1"/>
  <c r="G83" i="1" s="1"/>
  <c r="I83" i="1" s="1"/>
  <c r="CP9" i="14"/>
  <c r="J297" i="10"/>
  <c r="Q103" i="10" s="1"/>
  <c r="AS102" i="10"/>
  <c r="Q102" i="10" s="1"/>
  <c r="BF684" i="1"/>
  <c r="CE684" i="1"/>
  <c r="V58" i="3"/>
  <c r="AJ171" i="10"/>
  <c r="AH171" i="10" s="1"/>
  <c r="AI171" i="10" s="1"/>
  <c r="E319" i="10"/>
  <c r="P188" i="12"/>
  <c r="L319" i="10"/>
  <c r="L333" i="10" s="1"/>
  <c r="AI67" i="10"/>
  <c r="AH67" i="10" s="1"/>
  <c r="O79" i="4"/>
  <c r="O168" i="12"/>
  <c r="H43" i="12"/>
  <c r="Q46" i="12" s="1"/>
  <c r="R2" i="1"/>
  <c r="P368" i="8"/>
  <c r="Q367" i="8"/>
  <c r="U367" i="8" s="1"/>
  <c r="C372" i="8" s="1"/>
  <c r="E372" i="8" s="1"/>
  <c r="T367" i="8"/>
  <c r="S367" i="8"/>
  <c r="I122" i="1"/>
  <c r="E135" i="1"/>
  <c r="BH110" i="14"/>
  <c r="F110" i="14" s="1"/>
  <c r="G135" i="1" s="1"/>
  <c r="I135" i="1" s="1"/>
  <c r="I115" i="1"/>
  <c r="U713" i="1"/>
  <c r="AF680" i="1"/>
  <c r="F1018" i="8"/>
  <c r="E1016" i="8"/>
  <c r="J296" i="10"/>
  <c r="P103" i="10" s="1"/>
  <c r="AR102" i="10"/>
  <c r="P102" i="10" s="1"/>
  <c r="AC765" i="1"/>
  <c r="AD684" i="1"/>
  <c r="BH80" i="14"/>
  <c r="F80" i="14" s="1"/>
  <c r="G105" i="1" s="1"/>
  <c r="I105" i="1" s="1"/>
  <c r="E105" i="1"/>
  <c r="I111" i="1"/>
  <c r="BF680" i="1"/>
  <c r="CE680" i="1"/>
  <c r="BF683" i="1"/>
  <c r="CE683" i="1"/>
  <c r="BF618" i="1"/>
  <c r="BG618" i="1" s="1"/>
  <c r="BD618" i="1"/>
  <c r="BE618" i="1" s="1"/>
  <c r="P297" i="2"/>
  <c r="P298" i="2"/>
  <c r="P295" i="2"/>
  <c r="P296" i="2"/>
  <c r="P299" i="2"/>
  <c r="C76" i="25"/>
  <c r="G138" i="15"/>
  <c r="H151" i="15" s="1"/>
  <c r="E97" i="1"/>
  <c r="BH72" i="14"/>
  <c r="F72" i="14" s="1"/>
  <c r="G97" i="1" s="1"/>
  <c r="I97" i="1" s="1"/>
  <c r="U722" i="1"/>
  <c r="AF689" i="1"/>
  <c r="U2" i="10"/>
  <c r="M29" i="2"/>
  <c r="E415" i="2"/>
  <c r="E461" i="1" s="1"/>
  <c r="D648" i="9"/>
  <c r="O648" i="9" s="1"/>
  <c r="B649" i="9"/>
  <c r="D1109" i="1"/>
  <c r="R388" i="10" s="1"/>
  <c r="P856" i="2"/>
  <c r="N856" i="2" s="1"/>
  <c r="P859" i="2"/>
  <c r="N859" i="2" s="1"/>
  <c r="P858" i="2"/>
  <c r="N858" i="2" s="1"/>
  <c r="P860" i="2"/>
  <c r="N860" i="2" s="1"/>
  <c r="N857" i="2"/>
  <c r="P861" i="2"/>
  <c r="N861" i="2" s="1"/>
  <c r="F1016" i="8"/>
  <c r="E1018" i="8" s="1"/>
  <c r="V382" i="2"/>
  <c r="E424" i="2"/>
  <c r="E470" i="1" s="1"/>
  <c r="E416" i="2"/>
  <c r="E462" i="1" s="1"/>
  <c r="CO9" i="14"/>
  <c r="BI3" i="14"/>
  <c r="E90" i="1"/>
  <c r="BH65" i="14"/>
  <c r="F65" i="14" s="1"/>
  <c r="G90" i="1" s="1"/>
  <c r="I90" i="1" s="1"/>
  <c r="C1117" i="2"/>
  <c r="Q372" i="10"/>
  <c r="AM58" i="3"/>
  <c r="P884" i="2"/>
  <c r="T4" i="12"/>
  <c r="C63" i="4"/>
  <c r="AC762" i="1"/>
  <c r="AD762" i="1" s="1"/>
  <c r="AD681" i="1"/>
  <c r="P372" i="8"/>
  <c r="S371" i="8"/>
  <c r="Q371" i="8"/>
  <c r="U371" i="8" s="1"/>
  <c r="C375" i="8" s="1"/>
  <c r="E375" i="8" s="1"/>
  <c r="T371" i="8"/>
  <c r="AF681" i="1"/>
  <c r="U714" i="1"/>
  <c r="E1062" i="1"/>
  <c r="D577" i="1"/>
  <c r="BF681" i="1"/>
  <c r="CE681" i="1"/>
  <c r="E85" i="1"/>
  <c r="BH60" i="14"/>
  <c r="F60" i="14" s="1"/>
  <c r="G85" i="1" s="1"/>
  <c r="I85" i="1" s="1"/>
  <c r="BF619" i="1"/>
  <c r="BG619" i="1" s="1"/>
  <c r="BD619" i="1"/>
  <c r="BE619" i="1" s="1"/>
  <c r="BF682" i="1"/>
  <c r="CE682" i="1"/>
  <c r="R850" i="2"/>
  <c r="I843" i="2"/>
  <c r="K843" i="2"/>
  <c r="E328" i="8"/>
  <c r="T75" i="3"/>
  <c r="T76" i="3" s="1"/>
  <c r="T77" i="3"/>
  <c r="H854" i="8"/>
  <c r="F485" i="8" s="1"/>
  <c r="H851" i="8"/>
  <c r="F482" i="8" s="1"/>
  <c r="H853" i="8"/>
  <c r="F484" i="8" s="1"/>
  <c r="H850" i="8"/>
  <c r="F481" i="8" s="1"/>
  <c r="H848" i="8"/>
  <c r="F479" i="8" s="1"/>
  <c r="H852" i="8"/>
  <c r="F483" i="8" s="1"/>
  <c r="H849" i="8"/>
  <c r="F480" i="8" s="1"/>
  <c r="H847" i="8"/>
  <c r="F478" i="8" s="1"/>
  <c r="Q259" i="2"/>
  <c r="Q260" i="2" s="1"/>
  <c r="E423" i="2"/>
  <c r="E469" i="1" s="1"/>
  <c r="E406" i="2"/>
  <c r="E452" i="1" s="1"/>
  <c r="E421" i="2"/>
  <c r="E467" i="1" s="1"/>
  <c r="E426" i="2"/>
  <c r="E472" i="1" s="1"/>
  <c r="I110" i="1"/>
  <c r="E98" i="1"/>
  <c r="BH73" i="14"/>
  <c r="F73" i="14" s="1"/>
  <c r="G98" i="1" s="1"/>
  <c r="I98" i="1" s="1"/>
  <c r="J289" i="10"/>
  <c r="I103" i="10" s="1"/>
  <c r="AK102" i="10"/>
  <c r="I102" i="10" s="1"/>
  <c r="E91" i="1"/>
  <c r="BH66" i="14"/>
  <c r="F66" i="14" s="1"/>
  <c r="G91" i="1" s="1"/>
  <c r="I91" i="1" s="1"/>
  <c r="BH109" i="14"/>
  <c r="F109" i="14" s="1"/>
  <c r="G134" i="1" s="1"/>
  <c r="I134" i="1" s="1"/>
  <c r="E134" i="1"/>
  <c r="CO11" i="14"/>
  <c r="R360" i="10"/>
  <c r="F158" i="1"/>
  <c r="E87" i="1"/>
  <c r="BH62" i="14"/>
  <c r="F62" i="14" s="1"/>
  <c r="G87" i="1" s="1"/>
  <c r="I87" i="1" s="1"/>
  <c r="W724" i="1"/>
  <c r="O5" i="15" s="1"/>
  <c r="W723" i="1"/>
  <c r="AF678" i="1"/>
  <c r="U711" i="1"/>
  <c r="I137" i="1"/>
  <c r="I838" i="2"/>
  <c r="K838" i="2"/>
  <c r="BH78" i="14"/>
  <c r="F78" i="14" s="1"/>
  <c r="G103" i="1" s="1"/>
  <c r="I103" i="1" s="1"/>
  <c r="E103" i="1"/>
  <c r="BH59" i="14"/>
  <c r="F59" i="14" s="1"/>
  <c r="G84" i="1" s="1"/>
  <c r="I84" i="1" s="1"/>
  <c r="E84" i="1"/>
  <c r="I114" i="1"/>
  <c r="O321" i="2"/>
  <c r="B99" i="25"/>
  <c r="I128" i="1"/>
  <c r="J648" i="9"/>
  <c r="H649" i="9"/>
  <c r="CO10" i="14"/>
  <c r="D1106" i="1"/>
  <c r="R385" i="10" s="1"/>
  <c r="F121" i="14"/>
  <c r="G146" i="1" s="1"/>
  <c r="I146" i="1" s="1"/>
  <c r="V387" i="2"/>
  <c r="E417" i="2"/>
  <c r="E463" i="1" s="1"/>
  <c r="U460" i="2"/>
  <c r="W460" i="2"/>
  <c r="E413" i="2"/>
  <c r="E459" i="1" s="1"/>
  <c r="AD770" i="1"/>
  <c r="R358" i="10"/>
  <c r="J294" i="10"/>
  <c r="N103" i="10" s="1"/>
  <c r="AP102" i="10"/>
  <c r="N102" i="10" s="1"/>
  <c r="AD687" i="1"/>
  <c r="AC768" i="1"/>
  <c r="BK70" i="14"/>
  <c r="BH70" i="14" s="1"/>
  <c r="F70" i="14" s="1"/>
  <c r="G95" i="1" s="1"/>
  <c r="I95" i="1" s="1"/>
  <c r="CP11" i="14"/>
  <c r="K30" i="15"/>
  <c r="BJ21" i="14"/>
  <c r="BJ22" i="14" s="1"/>
  <c r="BO62" i="14" s="1"/>
  <c r="I62" i="14" s="1"/>
  <c r="CK7" i="14"/>
  <c r="CL7" i="14" s="1"/>
  <c r="D988" i="1"/>
  <c r="G73" i="4"/>
  <c r="G1061" i="8"/>
  <c r="G1047" i="8"/>
  <c r="G1054" i="8" s="1"/>
  <c r="AF649" i="1"/>
  <c r="W62" i="15"/>
  <c r="W76" i="15" s="1"/>
  <c r="W61" i="15"/>
  <c r="W75" i="15" s="1"/>
  <c r="W69" i="15"/>
  <c r="W83" i="15" s="1"/>
  <c r="W66" i="15"/>
  <c r="W80" i="15" s="1"/>
  <c r="W70" i="15"/>
  <c r="W84" i="15" s="1"/>
  <c r="W71" i="15"/>
  <c r="W85" i="15" s="1"/>
  <c r="W72" i="15"/>
  <c r="W86" i="15" s="1"/>
  <c r="W63" i="15"/>
  <c r="W77" i="15" s="1"/>
  <c r="W64" i="15"/>
  <c r="W78" i="15" s="1"/>
  <c r="W67" i="15"/>
  <c r="W81" i="15" s="1"/>
  <c r="W68" i="15"/>
  <c r="W82" i="15" s="1"/>
  <c r="W65" i="15"/>
  <c r="W79" i="15" s="1"/>
  <c r="Z62" i="15"/>
  <c r="Z76" i="15" s="1"/>
  <c r="Z61" i="15"/>
  <c r="Z75" i="15" s="1"/>
  <c r="Z67" i="15"/>
  <c r="Z81" i="15" s="1"/>
  <c r="Z64" i="15"/>
  <c r="Z78" i="15" s="1"/>
  <c r="Z66" i="15"/>
  <c r="Z80" i="15" s="1"/>
  <c r="Z72" i="15"/>
  <c r="Z86" i="15" s="1"/>
  <c r="Z69" i="15"/>
  <c r="Z83" i="15" s="1"/>
  <c r="Z63" i="15"/>
  <c r="Z77" i="15" s="1"/>
  <c r="Z68" i="15"/>
  <c r="Z82" i="15" s="1"/>
  <c r="Z70" i="15"/>
  <c r="Z84" i="15" s="1"/>
  <c r="Z65" i="15"/>
  <c r="Z79" i="15" s="1"/>
  <c r="Z71" i="15"/>
  <c r="Z85" i="15" s="1"/>
  <c r="V68" i="15"/>
  <c r="V82" i="15" s="1"/>
  <c r="V70" i="15"/>
  <c r="V84" i="15" s="1"/>
  <c r="V65" i="15"/>
  <c r="V79" i="15" s="1"/>
  <c r="V71" i="15"/>
  <c r="V85" i="15" s="1"/>
  <c r="V63" i="15"/>
  <c r="V77" i="15" s="1"/>
  <c r="V67" i="15"/>
  <c r="V81" i="15" s="1"/>
  <c r="V69" i="15"/>
  <c r="V83" i="15" s="1"/>
  <c r="V64" i="15"/>
  <c r="V78" i="15" s="1"/>
  <c r="V66" i="15"/>
  <c r="V80" i="15" s="1"/>
  <c r="V72" i="15"/>
  <c r="V86" i="15" s="1"/>
  <c r="V61" i="15"/>
  <c r="V75" i="15" s="1"/>
  <c r="V62" i="15"/>
  <c r="V76" i="15" s="1"/>
  <c r="Y63" i="15"/>
  <c r="Y77" i="15" s="1"/>
  <c r="Y71" i="15"/>
  <c r="Y85" i="15" s="1"/>
  <c r="Y69" i="15"/>
  <c r="Y83" i="15" s="1"/>
  <c r="Y67" i="15"/>
  <c r="Y81" i="15" s="1"/>
  <c r="Y70" i="15"/>
  <c r="Y84" i="15" s="1"/>
  <c r="Y66" i="15"/>
  <c r="Y80" i="15" s="1"/>
  <c r="Y68" i="15"/>
  <c r="Y82" i="15" s="1"/>
  <c r="Y65" i="15"/>
  <c r="Y79" i="15" s="1"/>
  <c r="Y72" i="15"/>
  <c r="Y86" i="15" s="1"/>
  <c r="Y64" i="15"/>
  <c r="Y78" i="15" s="1"/>
  <c r="Y62" i="15"/>
  <c r="Y76" i="15" s="1"/>
  <c r="Y61" i="15"/>
  <c r="Y75" i="15" s="1"/>
  <c r="X70" i="15"/>
  <c r="X84" i="15" s="1"/>
  <c r="X64" i="15"/>
  <c r="X78" i="15" s="1"/>
  <c r="X68" i="15"/>
  <c r="X82" i="15" s="1"/>
  <c r="X67" i="15"/>
  <c r="X81" i="15" s="1"/>
  <c r="X63" i="15"/>
  <c r="X77" i="15" s="1"/>
  <c r="X72" i="15"/>
  <c r="X86" i="15" s="1"/>
  <c r="X71" i="15"/>
  <c r="X85" i="15" s="1"/>
  <c r="X69" i="15"/>
  <c r="X83" i="15" s="1"/>
  <c r="X66" i="15"/>
  <c r="X80" i="15" s="1"/>
  <c r="X65" i="15"/>
  <c r="X79" i="15" s="1"/>
  <c r="X62" i="15"/>
  <c r="X76" i="15" s="1"/>
  <c r="X61" i="15"/>
  <c r="X75" i="15" s="1"/>
  <c r="BD621" i="1" l="1"/>
  <c r="BE621" i="1" s="1"/>
  <c r="AE643" i="1"/>
  <c r="BB137" i="14"/>
  <c r="AB768" i="1"/>
  <c r="J174" i="15"/>
  <c r="CX21" i="14" s="1"/>
  <c r="BC135" i="14"/>
  <c r="BC137" i="14"/>
  <c r="BB134" i="14"/>
  <c r="BC138" i="14"/>
  <c r="BC134" i="14"/>
  <c r="BA617" i="1"/>
  <c r="BB617" i="1" s="1"/>
  <c r="BC617" i="1" s="1"/>
  <c r="BF617" i="1" s="1"/>
  <c r="BG617" i="1" s="1"/>
  <c r="O158" i="15"/>
  <c r="L178" i="15" s="1"/>
  <c r="DA17" i="14" s="1"/>
  <c r="AU761" i="1"/>
  <c r="AV761" i="1" s="1"/>
  <c r="BA761" i="1" s="1"/>
  <c r="BB761" i="1" s="1"/>
  <c r="R141" i="15"/>
  <c r="W88" i="15"/>
  <c r="AG649" i="1"/>
  <c r="AH649" i="1" s="1"/>
  <c r="AJ649" i="1" s="1"/>
  <c r="AK649" i="1" s="1"/>
  <c r="L166" i="15"/>
  <c r="CK21" i="14" s="1"/>
  <c r="J161" i="15"/>
  <c r="CJ16" i="14" s="1"/>
  <c r="BC136" i="14"/>
  <c r="BN65" i="14"/>
  <c r="H65" i="14" s="1"/>
  <c r="I141" i="15"/>
  <c r="BB136" i="14"/>
  <c r="L174" i="15"/>
  <c r="CY21" i="14" s="1"/>
  <c r="D124" i="10"/>
  <c r="J162" i="15"/>
  <c r="CJ17" i="14" s="1"/>
  <c r="H147" i="15"/>
  <c r="A120" i="15" s="1"/>
  <c r="X149" i="10"/>
  <c r="D147" i="10" s="1"/>
  <c r="L169" i="15"/>
  <c r="CY16" i="14" s="1"/>
  <c r="BD626" i="1"/>
  <c r="BE626" i="1" s="1"/>
  <c r="AB770" i="1"/>
  <c r="AU770" i="1" s="1"/>
  <c r="AV770" i="1" s="1"/>
  <c r="BA770" i="1" s="1"/>
  <c r="BJ770" i="1" s="1"/>
  <c r="F31" i="14"/>
  <c r="G56" i="1" s="1"/>
  <c r="I56" i="1" s="1"/>
  <c r="J173" i="15"/>
  <c r="CX20" i="14" s="1"/>
  <c r="J163" i="15"/>
  <c r="CP3" i="14"/>
  <c r="BD627" i="1"/>
  <c r="BE627" i="1" s="1"/>
  <c r="J169" i="15"/>
  <c r="CX16" i="14" s="1"/>
  <c r="CU38" i="14" s="1"/>
  <c r="L173" i="15"/>
  <c r="CY20" i="14" s="1"/>
  <c r="BB135" i="14"/>
  <c r="L172" i="15"/>
  <c r="CY19" i="14" s="1"/>
  <c r="T318" i="2"/>
  <c r="T325" i="2" s="1"/>
  <c r="R374" i="2" s="1"/>
  <c r="E83" i="1"/>
  <c r="V88" i="15"/>
  <c r="Z88" i="15"/>
  <c r="J157" i="1"/>
  <c r="BN73" i="14"/>
  <c r="H73" i="14" s="1"/>
  <c r="J166" i="15"/>
  <c r="CJ21" i="14" s="1"/>
  <c r="J164" i="15"/>
  <c r="CJ19" i="14" s="1"/>
  <c r="BO71" i="14"/>
  <c r="I71" i="14" s="1"/>
  <c r="N183" i="12"/>
  <c r="BO108" i="14"/>
  <c r="I108" i="14" s="1"/>
  <c r="K162" i="15"/>
  <c r="J172" i="15"/>
  <c r="CX19" i="14" s="1"/>
  <c r="H145" i="15"/>
  <c r="A118" i="15" s="1"/>
  <c r="J170" i="15"/>
  <c r="CX17" i="14" s="1"/>
  <c r="BN107" i="14"/>
  <c r="H107" i="14" s="1"/>
  <c r="J171" i="15"/>
  <c r="CX18" i="14" s="1"/>
  <c r="N184" i="12"/>
  <c r="BO73" i="14"/>
  <c r="I73" i="14" s="1"/>
  <c r="BO78" i="14"/>
  <c r="I78" i="14" s="1"/>
  <c r="J165" i="15"/>
  <c r="CJ20" i="14" s="1"/>
  <c r="BN71" i="14"/>
  <c r="H71" i="14" s="1"/>
  <c r="L171" i="15"/>
  <c r="CY18" i="14" s="1"/>
  <c r="AB769" i="1"/>
  <c r="AU769" i="1" s="1"/>
  <c r="AV769" i="1" s="1"/>
  <c r="BA769" i="1" s="1"/>
  <c r="BO72" i="14"/>
  <c r="I72" i="14" s="1"/>
  <c r="L170" i="15"/>
  <c r="CY17" i="14" s="1"/>
  <c r="BN62" i="14"/>
  <c r="H62" i="14" s="1"/>
  <c r="X44" i="10"/>
  <c r="D44" i="10" s="1"/>
  <c r="X88" i="15"/>
  <c r="Y88" i="15"/>
  <c r="BF623" i="1"/>
  <c r="BG623" i="1" s="1"/>
  <c r="BD623" i="1"/>
  <c r="BE623" i="1" s="1"/>
  <c r="BD625" i="1"/>
  <c r="BE625" i="1" s="1"/>
  <c r="BF625" i="1"/>
  <c r="BG625" i="1" s="1"/>
  <c r="BC616" i="1"/>
  <c r="BB629" i="1"/>
  <c r="BO59" i="14"/>
  <c r="I59" i="14" s="1"/>
  <c r="AU766" i="1"/>
  <c r="AV766" i="1" s="1"/>
  <c r="BA766" i="1" s="1"/>
  <c r="BB766" i="1" s="1"/>
  <c r="R287" i="10"/>
  <c r="G208" i="10" s="1"/>
  <c r="AI207" i="10"/>
  <c r="G207" i="10" s="1"/>
  <c r="R290" i="10"/>
  <c r="J208" i="10" s="1"/>
  <c r="AL207" i="10"/>
  <c r="J207" i="10" s="1"/>
  <c r="D148" i="2"/>
  <c r="U148" i="2"/>
  <c r="AE638" i="1"/>
  <c r="BB638" i="1"/>
  <c r="AE644" i="1"/>
  <c r="BB644" i="1"/>
  <c r="BN77" i="14"/>
  <c r="H77" i="14" s="1"/>
  <c r="H153" i="15"/>
  <c r="Q367" i="10"/>
  <c r="H26" i="12"/>
  <c r="H14" i="12" s="1"/>
  <c r="S14" i="12" s="1"/>
  <c r="BN67" i="14"/>
  <c r="H67" i="14" s="1"/>
  <c r="CP2" i="14"/>
  <c r="H156" i="15"/>
  <c r="A129" i="15" s="1"/>
  <c r="AE648" i="1"/>
  <c r="BB648" i="1"/>
  <c r="R291" i="10"/>
  <c r="K208" i="10" s="1"/>
  <c r="AM207" i="10"/>
  <c r="K207" i="10" s="1"/>
  <c r="R295" i="10"/>
  <c r="O208" i="10" s="1"/>
  <c r="AQ207" i="10"/>
  <c r="O207" i="10" s="1"/>
  <c r="K164" i="15"/>
  <c r="L164" i="15" s="1"/>
  <c r="CK19" i="14" s="1"/>
  <c r="R288" i="10"/>
  <c r="H208" i="10" s="1"/>
  <c r="AJ207" i="10"/>
  <c r="H207" i="10" s="1"/>
  <c r="D226" i="10"/>
  <c r="D225" i="10" s="1"/>
  <c r="BN61" i="14"/>
  <c r="H61" i="14" s="1"/>
  <c r="BD620" i="1"/>
  <c r="BE620" i="1" s="1"/>
  <c r="R289" i="10"/>
  <c r="I208" i="10" s="1"/>
  <c r="AK207" i="10"/>
  <c r="I207" i="10" s="1"/>
  <c r="BN78" i="14"/>
  <c r="H78" i="14" s="1"/>
  <c r="BB641" i="1"/>
  <c r="AE641" i="1"/>
  <c r="BO80" i="14"/>
  <c r="I80" i="14" s="1"/>
  <c r="R299" i="10"/>
  <c r="S208" i="10" s="1"/>
  <c r="AU207" i="10"/>
  <c r="S207" i="10" s="1"/>
  <c r="AS207" i="10"/>
  <c r="Q207" i="10" s="1"/>
  <c r="R297" i="10"/>
  <c r="Q208" i="10" s="1"/>
  <c r="D19" i="10"/>
  <c r="Z19" i="10"/>
  <c r="D358" i="8"/>
  <c r="P375" i="8"/>
  <c r="P380" i="8" s="1"/>
  <c r="P374" i="8"/>
  <c r="R294" i="10"/>
  <c r="N208" i="10" s="1"/>
  <c r="AP207" i="10"/>
  <c r="N207" i="10" s="1"/>
  <c r="D136" i="2"/>
  <c r="U136" i="2"/>
  <c r="V153" i="2"/>
  <c r="D153" i="2"/>
  <c r="BN66" i="14"/>
  <c r="H66" i="14" s="1"/>
  <c r="BN74" i="14"/>
  <c r="H74" i="14" s="1"/>
  <c r="BB640" i="1"/>
  <c r="AE640" i="1"/>
  <c r="R293" i="10"/>
  <c r="M208" i="10" s="1"/>
  <c r="AO207" i="10"/>
  <c r="M207" i="10" s="1"/>
  <c r="BB639" i="1"/>
  <c r="AE639" i="1"/>
  <c r="K165" i="15"/>
  <c r="L857" i="8"/>
  <c r="M865" i="8" s="1"/>
  <c r="R296" i="10"/>
  <c r="P208" i="10" s="1"/>
  <c r="AR207" i="10"/>
  <c r="P207" i="10" s="1"/>
  <c r="BN72" i="14"/>
  <c r="H72" i="14" s="1"/>
  <c r="BN110" i="14"/>
  <c r="H110" i="14" s="1"/>
  <c r="R298" i="10"/>
  <c r="R208" i="10" s="1"/>
  <c r="AT207" i="10"/>
  <c r="R207" i="10" s="1"/>
  <c r="AC760" i="1"/>
  <c r="AD679" i="1"/>
  <c r="T377" i="8"/>
  <c r="S377" i="8"/>
  <c r="Q377" i="8"/>
  <c r="U377" i="8" s="1"/>
  <c r="C379" i="8" s="1"/>
  <c r="E379" i="8" s="1"/>
  <c r="F183" i="4" s="1"/>
  <c r="G183" i="4" s="1"/>
  <c r="J183" i="4" s="1"/>
  <c r="AE645" i="1"/>
  <c r="BB645" i="1"/>
  <c r="BN106" i="14"/>
  <c r="H106" i="14" s="1"/>
  <c r="BO77" i="14"/>
  <c r="I77" i="14" s="1"/>
  <c r="BO74" i="14"/>
  <c r="I74" i="14" s="1"/>
  <c r="L181" i="15"/>
  <c r="DA20" i="14" s="1"/>
  <c r="R292" i="10"/>
  <c r="L208" i="10" s="1"/>
  <c r="AN207" i="10"/>
  <c r="L207" i="10" s="1"/>
  <c r="AE646" i="1"/>
  <c r="BB646" i="1"/>
  <c r="AD682" i="1"/>
  <c r="AC763" i="1"/>
  <c r="AD763" i="1" s="1"/>
  <c r="R286" i="10"/>
  <c r="F208" i="10" s="1"/>
  <c r="AH207" i="10"/>
  <c r="BB647" i="1"/>
  <c r="AE647" i="1"/>
  <c r="BB642" i="1"/>
  <c r="AE642" i="1"/>
  <c r="BN109" i="14"/>
  <c r="H109" i="14" s="1"/>
  <c r="L182" i="15"/>
  <c r="DA21" i="14" s="1"/>
  <c r="T468" i="2"/>
  <c r="D471" i="2" s="1"/>
  <c r="D295" i="1" s="1"/>
  <c r="V461" i="2"/>
  <c r="V468" i="2" s="1"/>
  <c r="J85" i="12"/>
  <c r="D667" i="2"/>
  <c r="D668" i="2" s="1"/>
  <c r="D665" i="2"/>
  <c r="U665" i="2"/>
  <c r="BJ764" i="1"/>
  <c r="BI764" i="1"/>
  <c r="AU759" i="1"/>
  <c r="AV759" i="1" s="1"/>
  <c r="BA759" i="1" s="1"/>
  <c r="AU9" i="3"/>
  <c r="AV9" i="3" s="1"/>
  <c r="AT10" i="3" s="1"/>
  <c r="A124" i="15"/>
  <c r="H390" i="2"/>
  <c r="H414" i="2"/>
  <c r="H460" i="1" s="1"/>
  <c r="G436" i="1"/>
  <c r="Q233" i="2"/>
  <c r="R233" i="2" s="1"/>
  <c r="Q239" i="2"/>
  <c r="R239" i="2" s="1"/>
  <c r="Q234" i="2"/>
  <c r="R234" i="2" s="1"/>
  <c r="Q240" i="2"/>
  <c r="R240" i="2" s="1"/>
  <c r="Q235" i="2"/>
  <c r="R235" i="2" s="1"/>
  <c r="Q241" i="2"/>
  <c r="R241" i="2" s="1"/>
  <c r="Q236" i="2"/>
  <c r="R236" i="2" s="1"/>
  <c r="Q231" i="2"/>
  <c r="R231" i="2" s="1"/>
  <c r="Q242" i="2"/>
  <c r="R242" i="2" s="1"/>
  <c r="Q237" i="2"/>
  <c r="R237" i="2" s="1"/>
  <c r="Q232" i="2"/>
  <c r="R232" i="2" s="1"/>
  <c r="Q238" i="2"/>
  <c r="R238" i="2" s="1"/>
  <c r="P245" i="2"/>
  <c r="A126" i="15"/>
  <c r="H388" i="2"/>
  <c r="G434" i="1"/>
  <c r="H412" i="2"/>
  <c r="H458" i="1" s="1"/>
  <c r="BZ52" i="14"/>
  <c r="O4" i="15"/>
  <c r="CV37" i="14"/>
  <c r="CT38" i="14"/>
  <c r="U373" i="8"/>
  <c r="AD765" i="1"/>
  <c r="AU765" i="1"/>
  <c r="AV765" i="1" s="1"/>
  <c r="BA765" i="1" s="1"/>
  <c r="M648" i="9"/>
  <c r="K649" i="9"/>
  <c r="U764" i="1"/>
  <c r="BH683" i="1"/>
  <c r="BI683" i="1" s="1"/>
  <c r="BJ683" i="1" s="1"/>
  <c r="BL683" i="1" s="1"/>
  <c r="CG683" i="1"/>
  <c r="J158" i="12"/>
  <c r="G37" i="12"/>
  <c r="U25" i="12" s="1"/>
  <c r="D37" i="12"/>
  <c r="F25" i="12"/>
  <c r="F143" i="12" s="1"/>
  <c r="J37" i="12"/>
  <c r="F37" i="12"/>
  <c r="T25" i="12" s="1"/>
  <c r="K25" i="12"/>
  <c r="K37" i="12"/>
  <c r="E37" i="12"/>
  <c r="S25" i="12" s="1"/>
  <c r="D25" i="12"/>
  <c r="E25" i="12"/>
  <c r="E143" i="12" s="1"/>
  <c r="G25" i="12"/>
  <c r="G143" i="12" s="1"/>
  <c r="J25" i="12"/>
  <c r="C78" i="25"/>
  <c r="C85" i="25"/>
  <c r="U769" i="1"/>
  <c r="CG688" i="1"/>
  <c r="BH688" i="1"/>
  <c r="H154" i="15"/>
  <c r="R720" i="1"/>
  <c r="S720" i="1"/>
  <c r="D307" i="1"/>
  <c r="H393" i="2"/>
  <c r="H417" i="2"/>
  <c r="H463" i="1" s="1"/>
  <c r="G439" i="1"/>
  <c r="H1003" i="8"/>
  <c r="I1001" i="8"/>
  <c r="H1004" i="8"/>
  <c r="H1009" i="8"/>
  <c r="H1001" i="8"/>
  <c r="I1004" i="8"/>
  <c r="E333" i="10"/>
  <c r="AZ329" i="10"/>
  <c r="K329" i="10" s="1"/>
  <c r="L329" i="10" s="1"/>
  <c r="AZ330" i="10"/>
  <c r="K330" i="10" s="1"/>
  <c r="L330" i="10" s="1"/>
  <c r="AZ331" i="10"/>
  <c r="K331" i="10" s="1"/>
  <c r="L331" i="10" s="1"/>
  <c r="AZ324" i="10"/>
  <c r="K324" i="10" s="1"/>
  <c r="L324" i="10" s="1"/>
  <c r="AZ323" i="10"/>
  <c r="K323" i="10" s="1"/>
  <c r="L323" i="10" s="1"/>
  <c r="AZ321" i="10"/>
  <c r="K321" i="10" s="1"/>
  <c r="L321" i="10" s="1"/>
  <c r="AZ332" i="10"/>
  <c r="K332" i="10" s="1"/>
  <c r="L332" i="10" s="1"/>
  <c r="AZ325" i="10"/>
  <c r="K325" i="10" s="1"/>
  <c r="L325" i="10" s="1"/>
  <c r="AZ327" i="10"/>
  <c r="K327" i="10" s="1"/>
  <c r="L327" i="10" s="1"/>
  <c r="AZ328" i="10"/>
  <c r="K328" i="10" s="1"/>
  <c r="L328" i="10" s="1"/>
  <c r="AZ326" i="10"/>
  <c r="K326" i="10" s="1"/>
  <c r="L326" i="10" s="1"/>
  <c r="AZ322" i="10"/>
  <c r="K322" i="10" s="1"/>
  <c r="L322" i="10" s="1"/>
  <c r="BN48" i="14"/>
  <c r="H48" i="14" s="1"/>
  <c r="BO42" i="14"/>
  <c r="I42" i="14" s="1"/>
  <c r="BN40" i="14"/>
  <c r="H40" i="14" s="1"/>
  <c r="BN49" i="14"/>
  <c r="H49" i="14" s="1"/>
  <c r="BO43" i="14"/>
  <c r="I43" i="14" s="1"/>
  <c r="BO119" i="14"/>
  <c r="I119" i="14" s="1"/>
  <c r="BN41" i="14"/>
  <c r="H41" i="14" s="1"/>
  <c r="BN50" i="14"/>
  <c r="H50" i="14" s="1"/>
  <c r="BO44" i="14"/>
  <c r="I44" i="14" s="1"/>
  <c r="BO120" i="14"/>
  <c r="I120" i="14" s="1"/>
  <c r="BN42" i="14"/>
  <c r="H42" i="14" s="1"/>
  <c r="BO46" i="14"/>
  <c r="I46" i="14" s="1"/>
  <c r="BO121" i="14"/>
  <c r="I121" i="14" s="1"/>
  <c r="BN46" i="14"/>
  <c r="H46" i="14" s="1"/>
  <c r="BN121" i="14"/>
  <c r="H121" i="14" s="1"/>
  <c r="BO40" i="14"/>
  <c r="I40" i="14" s="1"/>
  <c r="BN47" i="14"/>
  <c r="H47" i="14" s="1"/>
  <c r="BN122" i="14"/>
  <c r="H122" i="14" s="1"/>
  <c r="BJ23" i="14"/>
  <c r="BQ76" i="14" s="1"/>
  <c r="K76" i="14" s="1"/>
  <c r="BO41" i="14"/>
  <c r="I41" i="14" s="1"/>
  <c r="BO47" i="14"/>
  <c r="I47" i="14" s="1"/>
  <c r="BO122" i="14"/>
  <c r="I122" i="14" s="1"/>
  <c r="BO48" i="14"/>
  <c r="I48" i="14" s="1"/>
  <c r="BN44" i="14"/>
  <c r="H44" i="14" s="1"/>
  <c r="BO49" i="14"/>
  <c r="I49" i="14" s="1"/>
  <c r="BN43" i="14"/>
  <c r="H43" i="14" s="1"/>
  <c r="BO50" i="14"/>
  <c r="I50" i="14" s="1"/>
  <c r="BN119" i="14"/>
  <c r="H119" i="14" s="1"/>
  <c r="BN120" i="14"/>
  <c r="H120" i="14" s="1"/>
  <c r="D1107" i="1"/>
  <c r="R386" i="10" s="1"/>
  <c r="J158" i="1"/>
  <c r="AM88" i="3"/>
  <c r="AM63" i="3"/>
  <c r="AM62" i="3"/>
  <c r="AM64" i="3"/>
  <c r="AM73" i="3"/>
  <c r="E174" i="1"/>
  <c r="U3" i="14"/>
  <c r="E155" i="1" s="1"/>
  <c r="U861" i="2"/>
  <c r="W861" i="2"/>
  <c r="V861" i="2"/>
  <c r="C84" i="25"/>
  <c r="C77" i="25"/>
  <c r="R721" i="1"/>
  <c r="S721" i="1"/>
  <c r="BN79" i="14"/>
  <c r="H79" i="14" s="1"/>
  <c r="J179" i="15"/>
  <c r="CZ18" i="14" s="1"/>
  <c r="U763" i="1"/>
  <c r="BH682" i="1"/>
  <c r="BI682" i="1" s="1"/>
  <c r="CG682" i="1"/>
  <c r="H401" i="2"/>
  <c r="H425" i="2"/>
  <c r="H471" i="1" s="1"/>
  <c r="G447" i="1"/>
  <c r="H396" i="2"/>
  <c r="H420" i="2"/>
  <c r="H466" i="1" s="1"/>
  <c r="G442" i="1"/>
  <c r="R717" i="1"/>
  <c r="S717" i="1"/>
  <c r="U759" i="1"/>
  <c r="R694" i="1"/>
  <c r="R693" i="1"/>
  <c r="CG678" i="1"/>
  <c r="BH678" i="1"/>
  <c r="BI678" i="1" s="1"/>
  <c r="C327" i="2"/>
  <c r="C326" i="2"/>
  <c r="C330" i="2"/>
  <c r="BO106" i="14"/>
  <c r="I106" i="14" s="1"/>
  <c r="I825" i="2"/>
  <c r="K825" i="2"/>
  <c r="Z857" i="2" s="1"/>
  <c r="U762" i="1"/>
  <c r="BH681" i="1"/>
  <c r="BI681" i="1" s="1"/>
  <c r="BJ681" i="1" s="1"/>
  <c r="BL681" i="1" s="1"/>
  <c r="CG681" i="1"/>
  <c r="C81" i="25"/>
  <c r="C88" i="25"/>
  <c r="Q370" i="10"/>
  <c r="Q369" i="10"/>
  <c r="Q371" i="10"/>
  <c r="BN58" i="14"/>
  <c r="H58" i="14" s="1"/>
  <c r="U857" i="2"/>
  <c r="W857" i="2"/>
  <c r="P857" i="2"/>
  <c r="V857" i="2"/>
  <c r="C87" i="25"/>
  <c r="C80" i="25"/>
  <c r="BN80" i="14"/>
  <c r="H80" i="14" s="1"/>
  <c r="BO68" i="14"/>
  <c r="I68" i="14" s="1"/>
  <c r="BO79" i="14"/>
  <c r="I79" i="14" s="1"/>
  <c r="AU767" i="1"/>
  <c r="AV767" i="1" s="1"/>
  <c r="BA767" i="1" s="1"/>
  <c r="U365" i="8"/>
  <c r="C370" i="8" s="1"/>
  <c r="E370" i="8" s="1"/>
  <c r="Q364" i="8"/>
  <c r="L165" i="15"/>
  <c r="CK20" i="14" s="1"/>
  <c r="R715" i="1"/>
  <c r="S715" i="1"/>
  <c r="H383" i="2"/>
  <c r="H407" i="2"/>
  <c r="H453" i="1" s="1"/>
  <c r="G429" i="1"/>
  <c r="D104" i="10"/>
  <c r="F102" i="10"/>
  <c r="R726" i="1"/>
  <c r="R727" i="1"/>
  <c r="R711" i="1"/>
  <c r="S711" i="1"/>
  <c r="G81" i="4"/>
  <c r="J81" i="4" s="1"/>
  <c r="G79" i="4"/>
  <c r="J79" i="4" s="1"/>
  <c r="AX328" i="10"/>
  <c r="AX326" i="10"/>
  <c r="AX331" i="10"/>
  <c r="AX332" i="10"/>
  <c r="AX327" i="10"/>
  <c r="AX329" i="10"/>
  <c r="AX330" i="10"/>
  <c r="AX323" i="10"/>
  <c r="AX321" i="10"/>
  <c r="AX325" i="10"/>
  <c r="AX324" i="10"/>
  <c r="AX322" i="10"/>
  <c r="K300" i="2"/>
  <c r="K387" i="1" s="1"/>
  <c r="AA232" i="2"/>
  <c r="AA241" i="2"/>
  <c r="AA240" i="2"/>
  <c r="AA242" i="2"/>
  <c r="AA236" i="2"/>
  <c r="AA235" i="2"/>
  <c r="AA233" i="2"/>
  <c r="AA239" i="2"/>
  <c r="AA231" i="2"/>
  <c r="AA237" i="2"/>
  <c r="AA234" i="2"/>
  <c r="AA238" i="2"/>
  <c r="J73" i="4"/>
  <c r="G13" i="4"/>
  <c r="H143" i="15"/>
  <c r="H146" i="15"/>
  <c r="H155" i="15"/>
  <c r="D996" i="1"/>
  <c r="Q993" i="1" s="1"/>
  <c r="G203" i="4" s="1"/>
  <c r="U768" i="1"/>
  <c r="BH687" i="1"/>
  <c r="CG687" i="1"/>
  <c r="H397" i="2"/>
  <c r="H421" i="2"/>
  <c r="H467" i="1" s="1"/>
  <c r="G443" i="1"/>
  <c r="BO70" i="14"/>
  <c r="I70" i="14" s="1"/>
  <c r="BQ70" i="14"/>
  <c r="K70" i="14" s="1"/>
  <c r="BO65" i="14"/>
  <c r="I65" i="14" s="1"/>
  <c r="G1110" i="2"/>
  <c r="F1108" i="2"/>
  <c r="V876" i="2" s="1"/>
  <c r="I1108" i="2"/>
  <c r="E1110" i="2"/>
  <c r="S899" i="2" s="1"/>
  <c r="M1108" i="2"/>
  <c r="C1107" i="2"/>
  <c r="O1107" i="2" s="1"/>
  <c r="H1110" i="2"/>
  <c r="N1110" i="2" s="1"/>
  <c r="I1107" i="2"/>
  <c r="E1109" i="2"/>
  <c r="S895" i="2" s="1"/>
  <c r="H1109" i="2"/>
  <c r="N1109" i="2" s="1"/>
  <c r="N1107" i="2"/>
  <c r="D1107" i="2"/>
  <c r="E1108" i="2"/>
  <c r="H1108" i="2"/>
  <c r="H1107" i="2"/>
  <c r="C1109" i="2"/>
  <c r="D1109" i="2"/>
  <c r="D894" i="2" s="1"/>
  <c r="C74" i="4" s="1"/>
  <c r="W860" i="2"/>
  <c r="Z860" i="2"/>
  <c r="K1116" i="2"/>
  <c r="Q1116" i="2"/>
  <c r="C79" i="25"/>
  <c r="C86" i="25"/>
  <c r="U760" i="1"/>
  <c r="BH679" i="1"/>
  <c r="CG679" i="1"/>
  <c r="BH106" i="14"/>
  <c r="F106" i="14" s="1"/>
  <c r="G131" i="1" s="1"/>
  <c r="I131" i="1" s="1"/>
  <c r="E258" i="2"/>
  <c r="H391" i="2"/>
  <c r="G437" i="1"/>
  <c r="H415" i="2"/>
  <c r="H461" i="1" s="1"/>
  <c r="X264" i="2"/>
  <c r="W264" i="2"/>
  <c r="AC264" i="2"/>
  <c r="AA264" i="2"/>
  <c r="T264" i="2"/>
  <c r="Y264" i="2"/>
  <c r="U264" i="2"/>
  <c r="R264" i="2"/>
  <c r="Z264" i="2"/>
  <c r="S264" i="2"/>
  <c r="AB264" i="2"/>
  <c r="Q264" i="2"/>
  <c r="V264" i="2"/>
  <c r="U761" i="1"/>
  <c r="CG680" i="1"/>
  <c r="CH680" i="1" s="1"/>
  <c r="BH680" i="1"/>
  <c r="BI680" i="1" s="1"/>
  <c r="D103" i="10"/>
  <c r="D106" i="10" s="1"/>
  <c r="H389" i="2"/>
  <c r="G435" i="1"/>
  <c r="H413" i="2"/>
  <c r="H459" i="1" s="1"/>
  <c r="H384" i="2"/>
  <c r="G430" i="1"/>
  <c r="H408" i="2"/>
  <c r="H454" i="1" s="1"/>
  <c r="H402" i="2"/>
  <c r="H426" i="2"/>
  <c r="H472" i="1" s="1"/>
  <c r="G448" i="1"/>
  <c r="R714" i="1"/>
  <c r="S714" i="1"/>
  <c r="G1023" i="1"/>
  <c r="G1091" i="1" s="1"/>
  <c r="H399" i="2"/>
  <c r="G445" i="1"/>
  <c r="H423" i="2"/>
  <c r="H469" i="1" s="1"/>
  <c r="BO110" i="14"/>
  <c r="I110" i="14" s="1"/>
  <c r="W858" i="2"/>
  <c r="Z858" i="2"/>
  <c r="K1117" i="2"/>
  <c r="Q1117" i="2"/>
  <c r="BO67" i="14"/>
  <c r="I67" i="14" s="1"/>
  <c r="R712" i="1"/>
  <c r="S712" i="1"/>
  <c r="M161" i="1"/>
  <c r="M166" i="1"/>
  <c r="BN76" i="14"/>
  <c r="H76" i="14" s="1"/>
  <c r="J177" i="15"/>
  <c r="CZ16" i="14" s="1"/>
  <c r="H386" i="2"/>
  <c r="H410" i="2"/>
  <c r="H456" i="1" s="1"/>
  <c r="G432" i="1"/>
  <c r="J649" i="9"/>
  <c r="H650" i="9"/>
  <c r="E855" i="8"/>
  <c r="H400" i="2"/>
  <c r="G446" i="1"/>
  <c r="H424" i="2"/>
  <c r="H470" i="1" s="1"/>
  <c r="Z327" i="10"/>
  <c r="Z324" i="10"/>
  <c r="Z321" i="10"/>
  <c r="Z331" i="10"/>
  <c r="Z325" i="10"/>
  <c r="Z328" i="10"/>
  <c r="Z333" i="10"/>
  <c r="Z329" i="10"/>
  <c r="Z332" i="10"/>
  <c r="Z330" i="10"/>
  <c r="Z326" i="10"/>
  <c r="Z322" i="10"/>
  <c r="Q333" i="10"/>
  <c r="Z323" i="10"/>
  <c r="L336" i="10"/>
  <c r="M1204" i="1"/>
  <c r="N1204" i="1" s="1"/>
  <c r="X333" i="10"/>
  <c r="K299" i="2"/>
  <c r="K386" i="1" s="1"/>
  <c r="AB232" i="2"/>
  <c r="AB231" i="2"/>
  <c r="AB234" i="2"/>
  <c r="AB242" i="2"/>
  <c r="AB238" i="2"/>
  <c r="AB236" i="2"/>
  <c r="AB233" i="2"/>
  <c r="AB240" i="2"/>
  <c r="AB241" i="2"/>
  <c r="AB239" i="2"/>
  <c r="AB237" i="2"/>
  <c r="AB235" i="2"/>
  <c r="M415" i="1"/>
  <c r="R718" i="1"/>
  <c r="S718" i="1"/>
  <c r="H150" i="15"/>
  <c r="CI20" i="14"/>
  <c r="CI19" i="14"/>
  <c r="CI17" i="14"/>
  <c r="CI18" i="14"/>
  <c r="CI16" i="14"/>
  <c r="CI21" i="14"/>
  <c r="R716" i="1"/>
  <c r="S716" i="1"/>
  <c r="AD768" i="1"/>
  <c r="AU768" i="1"/>
  <c r="AV768" i="1" s="1"/>
  <c r="BA768" i="1" s="1"/>
  <c r="BN70" i="14"/>
  <c r="H70" i="14" s="1"/>
  <c r="I850" i="2"/>
  <c r="K850" i="2"/>
  <c r="Z861" i="2" s="1"/>
  <c r="BO109" i="14"/>
  <c r="I109" i="14" s="1"/>
  <c r="U859" i="2"/>
  <c r="W859" i="2"/>
  <c r="V859" i="2"/>
  <c r="Z859" i="2"/>
  <c r="U770" i="1"/>
  <c r="BH689" i="1"/>
  <c r="BI689" i="1" s="1"/>
  <c r="CG689" i="1"/>
  <c r="BO107" i="14"/>
  <c r="I107" i="14" s="1"/>
  <c r="Q368" i="8"/>
  <c r="U368" i="8" s="1"/>
  <c r="T368" i="8"/>
  <c r="S368" i="8"/>
  <c r="C177" i="1"/>
  <c r="U767" i="1"/>
  <c r="BH686" i="1"/>
  <c r="CG686" i="1"/>
  <c r="CH686" i="1" s="1"/>
  <c r="H855" i="8"/>
  <c r="L179" i="15"/>
  <c r="DA18" i="14" s="1"/>
  <c r="Q1287" i="2"/>
  <c r="E1287" i="2" s="1"/>
  <c r="H392" i="2"/>
  <c r="H416" i="2"/>
  <c r="H462" i="1" s="1"/>
  <c r="G438" i="1"/>
  <c r="AU762" i="1"/>
  <c r="AV762" i="1" s="1"/>
  <c r="BA762" i="1" s="1"/>
  <c r="U765" i="1"/>
  <c r="CG684" i="1"/>
  <c r="CH684" i="1" s="1"/>
  <c r="BH684" i="1"/>
  <c r="CJ18" i="14"/>
  <c r="R713" i="1"/>
  <c r="S713" i="1"/>
  <c r="U766" i="1"/>
  <c r="CG685" i="1"/>
  <c r="CH685" i="1" s="1"/>
  <c r="BH685" i="1"/>
  <c r="H149" i="15"/>
  <c r="J182" i="15"/>
  <c r="CZ21" i="14" s="1"/>
  <c r="U65" i="3"/>
  <c r="U70" i="3"/>
  <c r="U72" i="3"/>
  <c r="U69" i="3"/>
  <c r="U71" i="3"/>
  <c r="U62" i="3"/>
  <c r="U67" i="3"/>
  <c r="AA67" i="3" s="1"/>
  <c r="U61" i="3"/>
  <c r="U66" i="3"/>
  <c r="AA66" i="3" s="1"/>
  <c r="U59" i="3"/>
  <c r="U68" i="3"/>
  <c r="AA68" i="3" s="1"/>
  <c r="U64" i="3"/>
  <c r="J156" i="1"/>
  <c r="L180" i="15"/>
  <c r="DA19" i="14" s="1"/>
  <c r="BN64" i="14"/>
  <c r="H64" i="14" s="1"/>
  <c r="W856" i="2"/>
  <c r="Z856" i="2"/>
  <c r="N862" i="2"/>
  <c r="R722" i="1"/>
  <c r="S722" i="1"/>
  <c r="BO58" i="14"/>
  <c r="I58" i="14" s="1"/>
  <c r="BQ58" i="14"/>
  <c r="K58" i="14" s="1"/>
  <c r="BK3" i="14"/>
  <c r="U468" i="2"/>
  <c r="BO76" i="14"/>
  <c r="I76" i="14" s="1"/>
  <c r="BO61" i="14"/>
  <c r="I61" i="14" s="1"/>
  <c r="R719" i="1"/>
  <c r="S719" i="1"/>
  <c r="D855" i="8"/>
  <c r="D305" i="1"/>
  <c r="AG464" i="2"/>
  <c r="AH464" i="2" s="1"/>
  <c r="AI464" i="2" s="1"/>
  <c r="U238" i="1" s="1"/>
  <c r="AG466" i="2"/>
  <c r="AH466" i="2" s="1"/>
  <c r="AI466" i="2" s="1"/>
  <c r="U240" i="1" s="1"/>
  <c r="AG463" i="2"/>
  <c r="AH463" i="2" s="1"/>
  <c r="AI463" i="2" s="1"/>
  <c r="U237" i="1" s="1"/>
  <c r="AG460" i="2"/>
  <c r="AH460" i="2" s="1"/>
  <c r="AI460" i="2" s="1"/>
  <c r="U234" i="1" s="1"/>
  <c r="AG465" i="2"/>
  <c r="AH465" i="2" s="1"/>
  <c r="AI465" i="2" s="1"/>
  <c r="U239" i="1" s="1"/>
  <c r="AG458" i="2"/>
  <c r="AH458" i="2" s="1"/>
  <c r="AI458" i="2" s="1"/>
  <c r="U232" i="1" s="1"/>
  <c r="AG456" i="2"/>
  <c r="AH456" i="2" s="1"/>
  <c r="AI456" i="2" s="1"/>
  <c r="U230" i="1" s="1"/>
  <c r="AG462" i="2"/>
  <c r="AH462" i="2" s="1"/>
  <c r="AI462" i="2" s="1"/>
  <c r="U236" i="1" s="1"/>
  <c r="AG457" i="2"/>
  <c r="AH457" i="2" s="1"/>
  <c r="AI457" i="2" s="1"/>
  <c r="U231" i="1" s="1"/>
  <c r="AG459" i="2"/>
  <c r="AH459" i="2" s="1"/>
  <c r="AI459" i="2" s="1"/>
  <c r="U233" i="1" s="1"/>
  <c r="AG467" i="2"/>
  <c r="AH467" i="2" s="1"/>
  <c r="AI467" i="2" s="1"/>
  <c r="U241" i="1" s="1"/>
  <c r="AG461" i="2"/>
  <c r="AH461" i="2" s="1"/>
  <c r="AI461" i="2" s="1"/>
  <c r="U235" i="1" s="1"/>
  <c r="H385" i="2"/>
  <c r="H409" i="2"/>
  <c r="H455" i="1" s="1"/>
  <c r="G431" i="1"/>
  <c r="H394" i="2"/>
  <c r="H418" i="2"/>
  <c r="H464" i="1" s="1"/>
  <c r="G440" i="1"/>
  <c r="D1108" i="1"/>
  <c r="R387" i="10" s="1"/>
  <c r="J159" i="1"/>
  <c r="Q372" i="8"/>
  <c r="U372" i="8" s="1"/>
  <c r="T372" i="8"/>
  <c r="S372" i="8"/>
  <c r="D649" i="9"/>
  <c r="O649" i="9" s="1"/>
  <c r="B650" i="9"/>
  <c r="BO64" i="14"/>
  <c r="I64" i="14" s="1"/>
  <c r="H398" i="2"/>
  <c r="G444" i="1"/>
  <c r="H422" i="2"/>
  <c r="H468" i="1" s="1"/>
  <c r="G1069" i="8"/>
  <c r="I987" i="8" s="1"/>
  <c r="I989" i="8" s="1"/>
  <c r="C1038" i="8" s="1"/>
  <c r="Q143" i="15"/>
  <c r="Q146" i="15"/>
  <c r="Q155" i="15"/>
  <c r="Q145" i="15"/>
  <c r="Q149" i="15"/>
  <c r="Q148" i="15"/>
  <c r="Q151" i="15"/>
  <c r="Q147" i="15"/>
  <c r="Q152" i="15"/>
  <c r="Q150" i="15"/>
  <c r="Q154" i="15"/>
  <c r="Q153" i="15"/>
  <c r="Q156" i="15"/>
  <c r="BO60" i="14"/>
  <c r="I60" i="14" s="1"/>
  <c r="BH64" i="14"/>
  <c r="F64" i="14" s="1"/>
  <c r="G89" i="1" s="1"/>
  <c r="I89" i="1" s="1"/>
  <c r="BN59" i="14"/>
  <c r="H59" i="14" s="1"/>
  <c r="H148" i="15"/>
  <c r="E95" i="1"/>
  <c r="BN60" i="14"/>
  <c r="H60" i="14" s="1"/>
  <c r="BO66" i="14"/>
  <c r="I66" i="14" s="1"/>
  <c r="J160" i="1"/>
  <c r="J168" i="12"/>
  <c r="K46" i="12"/>
  <c r="BN68" i="14"/>
  <c r="H68" i="14" s="1"/>
  <c r="W468" i="2"/>
  <c r="BN108" i="14"/>
  <c r="H108" i="14" s="1"/>
  <c r="H152" i="15"/>
  <c r="E101" i="1"/>
  <c r="T1120" i="2"/>
  <c r="P309" i="2"/>
  <c r="J1120" i="2" s="1"/>
  <c r="H387" i="2"/>
  <c r="H411" i="2"/>
  <c r="H457" i="1" s="1"/>
  <c r="G433" i="1"/>
  <c r="H395" i="2"/>
  <c r="G441" i="1"/>
  <c r="H419" i="2"/>
  <c r="H465" i="1" s="1"/>
  <c r="AF643" i="1"/>
  <c r="AL649" i="1"/>
  <c r="AF647" i="1"/>
  <c r="AF638" i="1"/>
  <c r="AF640" i="1"/>
  <c r="AF639" i="1"/>
  <c r="AF648" i="1"/>
  <c r="AF644" i="1"/>
  <c r="AF645" i="1"/>
  <c r="AF641" i="1"/>
  <c r="AF646" i="1"/>
  <c r="AF642" i="1"/>
  <c r="BA27" i="3" l="1"/>
  <c r="BA37" i="3"/>
  <c r="BA32" i="3"/>
  <c r="BA43" i="3"/>
  <c r="BA25" i="3"/>
  <c r="BA24" i="3"/>
  <c r="BA20" i="3"/>
  <c r="BA40" i="3"/>
  <c r="BA34" i="3"/>
  <c r="BA11" i="3"/>
  <c r="BA38" i="3"/>
  <c r="BA47" i="3"/>
  <c r="BA45" i="3"/>
  <c r="BA41" i="3"/>
  <c r="BA13" i="3"/>
  <c r="BA49" i="3"/>
  <c r="BA56" i="3"/>
  <c r="BA33" i="3"/>
  <c r="BA46" i="3"/>
  <c r="BA10" i="3"/>
  <c r="BA53" i="3"/>
  <c r="BA12" i="3"/>
  <c r="BA18" i="3"/>
  <c r="BA28" i="3"/>
  <c r="BA55" i="3"/>
  <c r="BA36" i="3"/>
  <c r="BA42" i="3"/>
  <c r="BA48" i="3"/>
  <c r="BA44" i="3"/>
  <c r="BA50" i="3"/>
  <c r="BA14" i="3"/>
  <c r="BA15" i="3"/>
  <c r="BA21" i="3"/>
  <c r="BA35" i="3"/>
  <c r="BA23" i="3"/>
  <c r="BA22" i="3"/>
  <c r="BA51" i="3"/>
  <c r="BA31" i="3"/>
  <c r="BA54" i="3"/>
  <c r="BA52" i="3"/>
  <c r="BA39" i="3"/>
  <c r="BA7" i="3"/>
  <c r="BA8" i="3"/>
  <c r="BA19" i="3"/>
  <c r="BA9" i="3"/>
  <c r="BA29" i="3"/>
  <c r="BA30" i="3"/>
  <c r="BA17" i="3"/>
  <c r="AG643" i="1"/>
  <c r="AH643" i="1" s="1"/>
  <c r="BJ761" i="1"/>
  <c r="AI649" i="1"/>
  <c r="BB770" i="1"/>
  <c r="Z149" i="10"/>
  <c r="J180" i="15"/>
  <c r="CZ19" i="14" s="1"/>
  <c r="D149" i="10"/>
  <c r="CU34" i="14"/>
  <c r="BD617" i="1"/>
  <c r="BE617" i="1" s="1"/>
  <c r="J178" i="15"/>
  <c r="CZ17" i="14" s="1"/>
  <c r="L162" i="15"/>
  <c r="CK17" i="14" s="1"/>
  <c r="J181" i="15"/>
  <c r="CZ20" i="14" s="1"/>
  <c r="L177" i="15"/>
  <c r="DA16" i="14" s="1"/>
  <c r="CR35" i="14" s="1"/>
  <c r="BI770" i="1"/>
  <c r="BI761" i="1"/>
  <c r="L161" i="15"/>
  <c r="CK16" i="14" s="1"/>
  <c r="CO38" i="14"/>
  <c r="R38" i="14" s="1"/>
  <c r="L38" i="14" s="1"/>
  <c r="CP35" i="14"/>
  <c r="Y35" i="14" s="1"/>
  <c r="Z35" i="14" s="1"/>
  <c r="M35" i="14" s="1"/>
  <c r="CO36" i="14"/>
  <c r="R36" i="14" s="1"/>
  <c r="CP34" i="14"/>
  <c r="Y34" i="14" s="1"/>
  <c r="Z34" i="14" s="1"/>
  <c r="L163" i="15"/>
  <c r="CK18" i="14" s="1"/>
  <c r="CP36" i="14"/>
  <c r="Y36" i="14" s="1"/>
  <c r="Z36" i="14" s="1"/>
  <c r="CW38" i="14"/>
  <c r="CO34" i="14"/>
  <c r="R34" i="14" s="1"/>
  <c r="L34" i="14" s="1"/>
  <c r="H134" i="14"/>
  <c r="BO134" i="14" s="1"/>
  <c r="AM28" i="14" s="1"/>
  <c r="N28" i="14" s="1"/>
  <c r="CU36" i="14"/>
  <c r="CV38" i="14"/>
  <c r="AM649" i="1"/>
  <c r="AN649" i="1" s="1"/>
  <c r="AP649" i="1" s="1"/>
  <c r="AQ649" i="1" s="1"/>
  <c r="CW34" i="14"/>
  <c r="CW35" i="14"/>
  <c r="CT34" i="14"/>
  <c r="CW36" i="14"/>
  <c r="CO35" i="14"/>
  <c r="R35" i="14" s="1"/>
  <c r="CU37" i="14"/>
  <c r="CV36" i="14"/>
  <c r="CO37" i="14"/>
  <c r="R37" i="14" s="1"/>
  <c r="L37" i="14" s="1"/>
  <c r="M864" i="8"/>
  <c r="F495" i="8" s="1"/>
  <c r="CV34" i="14"/>
  <c r="CU35" i="14"/>
  <c r="CW37" i="14"/>
  <c r="CT36" i="14"/>
  <c r="CT35" i="14"/>
  <c r="Q370" i="2"/>
  <c r="S370" i="2" s="1"/>
  <c r="CV35" i="14"/>
  <c r="CP38" i="14"/>
  <c r="Y38" i="14" s="1"/>
  <c r="Z38" i="14" s="1"/>
  <c r="R370" i="2"/>
  <c r="CP37" i="14"/>
  <c r="Y37" i="14" s="1"/>
  <c r="Z37" i="14" s="1"/>
  <c r="CT37" i="14"/>
  <c r="F1107" i="2"/>
  <c r="V870" i="2" s="1"/>
  <c r="E61" i="4" s="1"/>
  <c r="G61" i="4" s="1"/>
  <c r="D876" i="2"/>
  <c r="H943" i="2" s="1"/>
  <c r="C1054" i="2" s="1"/>
  <c r="E62" i="4"/>
  <c r="D868" i="2"/>
  <c r="D942" i="2" s="1"/>
  <c r="AL61" i="3" s="1"/>
  <c r="P127" i="12"/>
  <c r="BQ106" i="14"/>
  <c r="K106" i="14" s="1"/>
  <c r="BJ766" i="1"/>
  <c r="D42" i="10"/>
  <c r="BQ64" i="14"/>
  <c r="K64" i="14" s="1"/>
  <c r="AU763" i="1"/>
  <c r="AV763" i="1" s="1"/>
  <c r="BA763" i="1" s="1"/>
  <c r="BB763" i="1" s="1"/>
  <c r="BI766" i="1"/>
  <c r="AG642" i="1"/>
  <c r="AH642" i="1" s="1"/>
  <c r="AG646" i="1"/>
  <c r="AH646" i="1" s="1"/>
  <c r="AG641" i="1"/>
  <c r="AH641" i="1" s="1"/>
  <c r="AG645" i="1"/>
  <c r="AH645" i="1" s="1"/>
  <c r="AG644" i="1"/>
  <c r="AH644" i="1" s="1"/>
  <c r="AG648" i="1"/>
  <c r="AH648" i="1" s="1"/>
  <c r="AG639" i="1"/>
  <c r="AH639" i="1" s="1"/>
  <c r="AG640" i="1"/>
  <c r="AH640" i="1" s="1"/>
  <c r="AG638" i="1"/>
  <c r="AH638" i="1" s="1"/>
  <c r="AG647" i="1"/>
  <c r="AH647" i="1" s="1"/>
  <c r="BB769" i="1"/>
  <c r="BI769" i="1"/>
  <c r="BJ769" i="1"/>
  <c r="W234" i="2"/>
  <c r="S234" i="2" s="1"/>
  <c r="Q374" i="8"/>
  <c r="U374" i="8" s="1"/>
  <c r="C377" i="8" s="1"/>
  <c r="E377" i="8" s="1"/>
  <c r="F181" i="4" s="1"/>
  <c r="G181" i="4" s="1"/>
  <c r="J181" i="4" s="1"/>
  <c r="S374" i="8"/>
  <c r="T374" i="8"/>
  <c r="T375" i="8"/>
  <c r="T380" i="8" s="1"/>
  <c r="S375" i="8"/>
  <c r="S380" i="8" s="1"/>
  <c r="Q375" i="8"/>
  <c r="U375" i="8" s="1"/>
  <c r="E148" i="1"/>
  <c r="BJ1124" i="2"/>
  <c r="J1116" i="2"/>
  <c r="T1116" i="2" s="1"/>
  <c r="F207" i="10"/>
  <c r="D209" i="10"/>
  <c r="BF616" i="1"/>
  <c r="BG616" i="1" s="1"/>
  <c r="BG629" i="1" s="1"/>
  <c r="BD616" i="1"/>
  <c r="BE616" i="1" s="1"/>
  <c r="BE628" i="1" s="1"/>
  <c r="D208" i="10"/>
  <c r="S26" i="12"/>
  <c r="G80" i="4"/>
  <c r="J80" i="4" s="1"/>
  <c r="AD760" i="1"/>
  <c r="AU760" i="1"/>
  <c r="AV760" i="1" s="1"/>
  <c r="BA760" i="1" s="1"/>
  <c r="AD231" i="1"/>
  <c r="AE231" i="1" s="1"/>
  <c r="AK231" i="1" s="1"/>
  <c r="AD230" i="1"/>
  <c r="AE230" i="1" s="1"/>
  <c r="AK230" i="1" s="1"/>
  <c r="W240" i="2"/>
  <c r="BI762" i="1"/>
  <c r="BJ762" i="1"/>
  <c r="AD240" i="1"/>
  <c r="AE240" i="1" s="1"/>
  <c r="AK240" i="1" s="1"/>
  <c r="BB762" i="1"/>
  <c r="BF762" i="1" s="1"/>
  <c r="BM762" i="1" s="1"/>
  <c r="BN762" i="1" s="1"/>
  <c r="BI767" i="1"/>
  <c r="BJ767" i="1"/>
  <c r="BI759" i="1"/>
  <c r="BI771" i="1" s="1"/>
  <c r="BJ759" i="1"/>
  <c r="BJ771" i="1" s="1"/>
  <c r="BJ773" i="1" s="1"/>
  <c r="E769" i="1" s="1"/>
  <c r="AD237" i="1"/>
  <c r="AE237" i="1" s="1"/>
  <c r="AK237" i="1" s="1"/>
  <c r="BI765" i="1"/>
  <c r="BJ765" i="1"/>
  <c r="BB759" i="1"/>
  <c r="AI643" i="1"/>
  <c r="AJ643" i="1"/>
  <c r="AK643" i="1" s="1"/>
  <c r="BB767" i="1"/>
  <c r="AD239" i="1"/>
  <c r="AE239" i="1" s="1"/>
  <c r="AK239" i="1" s="1"/>
  <c r="BI768" i="1"/>
  <c r="BJ768" i="1"/>
  <c r="CH683" i="1"/>
  <c r="CI683" i="1" s="1"/>
  <c r="CK683" i="1" s="1"/>
  <c r="AJ466" i="2"/>
  <c r="AL466" i="2" s="1"/>
  <c r="AM466" i="2" s="1"/>
  <c r="AJ464" i="2"/>
  <c r="AL464" i="2" s="1"/>
  <c r="AM464" i="2" s="1"/>
  <c r="CH689" i="1"/>
  <c r="CI689" i="1" s="1"/>
  <c r="CK689" i="1" s="1"/>
  <c r="CI685" i="1"/>
  <c r="CK685" i="1" s="1"/>
  <c r="BJ678" i="1"/>
  <c r="BL678" i="1" s="1"/>
  <c r="BL759" i="1" s="1"/>
  <c r="BI684" i="1"/>
  <c r="BJ684" i="1" s="1"/>
  <c r="BL684" i="1" s="1"/>
  <c r="BJ689" i="1"/>
  <c r="BL689" i="1" s="1"/>
  <c r="BH770" i="1" s="1"/>
  <c r="CI680" i="1"/>
  <c r="CK680" i="1" s="1"/>
  <c r="BF764" i="1"/>
  <c r="BM764" i="1" s="1"/>
  <c r="BN764" i="1" s="1"/>
  <c r="T764" i="1"/>
  <c r="BL764" i="1"/>
  <c r="BH764" i="1"/>
  <c r="T762" i="1"/>
  <c r="BH762" i="1"/>
  <c r="BL762" i="1"/>
  <c r="CH687" i="1"/>
  <c r="CI687" i="1" s="1"/>
  <c r="CK687" i="1" s="1"/>
  <c r="W64" i="3"/>
  <c r="I123" i="14"/>
  <c r="R53" i="14"/>
  <c r="T53" i="14" s="1"/>
  <c r="R52" i="14"/>
  <c r="T52" i="14" s="1"/>
  <c r="Y54" i="14"/>
  <c r="Z54" i="14" s="1"/>
  <c r="AB54" i="14" s="1"/>
  <c r="R55" i="14"/>
  <c r="T55" i="14" s="1"/>
  <c r="Y52" i="14"/>
  <c r="Z52" i="14" s="1"/>
  <c r="AB52" i="14" s="1"/>
  <c r="Y53" i="14"/>
  <c r="Z53" i="14" s="1"/>
  <c r="AB53" i="14" s="1"/>
  <c r="R54" i="14"/>
  <c r="T54" i="14" s="1"/>
  <c r="Y55" i="14"/>
  <c r="Z55" i="14" s="1"/>
  <c r="AB55" i="14" s="1"/>
  <c r="Y56" i="14"/>
  <c r="Z56" i="14" s="1"/>
  <c r="AB56" i="14" s="1"/>
  <c r="R56" i="14"/>
  <c r="T56" i="14" s="1"/>
  <c r="Q328" i="10"/>
  <c r="G237" i="10" s="1"/>
  <c r="M1199" i="1"/>
  <c r="N1199" i="1" s="1"/>
  <c r="X328" i="10"/>
  <c r="AH328" i="10" s="1"/>
  <c r="AI328" i="10" s="1"/>
  <c r="AY328" i="10"/>
  <c r="D328" i="10" s="1"/>
  <c r="E328" i="10" s="1"/>
  <c r="V239" i="1"/>
  <c r="W239" i="1"/>
  <c r="H436" i="1"/>
  <c r="I414" i="2"/>
  <c r="AD263" i="2"/>
  <c r="AD264" i="2" s="1"/>
  <c r="R245" i="2"/>
  <c r="V237" i="1"/>
  <c r="W237" i="1"/>
  <c r="E175" i="1"/>
  <c r="E176" i="1" s="1"/>
  <c r="V3" i="14"/>
  <c r="G155" i="1" s="1"/>
  <c r="I155" i="1" s="1"/>
  <c r="M36" i="14"/>
  <c r="M37" i="14"/>
  <c r="Y286" i="2"/>
  <c r="Y283" i="2"/>
  <c r="Y273" i="2"/>
  <c r="Y271" i="2"/>
  <c r="Y292" i="2"/>
  <c r="Y291" i="2"/>
  <c r="Y289" i="2"/>
  <c r="Y275" i="2"/>
  <c r="Y281" i="2"/>
  <c r="Y278" i="2"/>
  <c r="Y276" i="2"/>
  <c r="Y269" i="2"/>
  <c r="Y293" i="2"/>
  <c r="Y280" i="2"/>
  <c r="Y277" i="2"/>
  <c r="Y295" i="2"/>
  <c r="Y285" i="2"/>
  <c r="Y282" i="2"/>
  <c r="Y296" i="2"/>
  <c r="Y297" i="2"/>
  <c r="Y294" i="2"/>
  <c r="Y290" i="2"/>
  <c r="Y279" i="2"/>
  <c r="Y284" i="2"/>
  <c r="Y274" i="2"/>
  <c r="Y287" i="2"/>
  <c r="Y272" i="2"/>
  <c r="Y299" i="2"/>
  <c r="Y288" i="2"/>
  <c r="Y270" i="2"/>
  <c r="Y298" i="2"/>
  <c r="BI679" i="1"/>
  <c r="BJ679" i="1" s="1"/>
  <c r="BL679" i="1" s="1"/>
  <c r="S730" i="1"/>
  <c r="J340" i="10"/>
  <c r="J343" i="10"/>
  <c r="K347" i="10"/>
  <c r="K340" i="10"/>
  <c r="K343" i="10"/>
  <c r="J351" i="10"/>
  <c r="J348" i="10"/>
  <c r="K351" i="10"/>
  <c r="J345" i="10"/>
  <c r="K345" i="10"/>
  <c r="J350" i="10"/>
  <c r="K350" i="10"/>
  <c r="J347" i="10"/>
  <c r="K348" i="10"/>
  <c r="K342" i="10"/>
  <c r="K349" i="10"/>
  <c r="J342" i="10"/>
  <c r="J349" i="10"/>
  <c r="K358" i="10"/>
  <c r="J361" i="10"/>
  <c r="V345" i="10"/>
  <c r="U360" i="10"/>
  <c r="V351" i="10"/>
  <c r="U340" i="10"/>
  <c r="U346" i="10"/>
  <c r="V360" i="10"/>
  <c r="U347" i="10"/>
  <c r="K361" i="10"/>
  <c r="V358" i="10"/>
  <c r="U342" i="10"/>
  <c r="V350" i="10"/>
  <c r="U363" i="10"/>
  <c r="V361" i="10"/>
  <c r="U343" i="10"/>
  <c r="J363" i="10"/>
  <c r="K363" i="10"/>
  <c r="V362" i="10"/>
  <c r="V348" i="10"/>
  <c r="U356" i="10"/>
  <c r="U353" i="10"/>
  <c r="V342" i="10"/>
  <c r="V340" i="10"/>
  <c r="V353" i="10"/>
  <c r="U345" i="10"/>
  <c r="U358" i="10"/>
  <c r="U349" i="10"/>
  <c r="U350" i="10"/>
  <c r="U362" i="10"/>
  <c r="V346" i="10"/>
  <c r="U348" i="10"/>
  <c r="V363" i="10"/>
  <c r="U355" i="10"/>
  <c r="V349" i="10"/>
  <c r="U351" i="10"/>
  <c r="V347" i="10"/>
  <c r="V355" i="10"/>
  <c r="J362" i="10"/>
  <c r="K362" i="10"/>
  <c r="V352" i="10"/>
  <c r="V343" i="10"/>
  <c r="U361" i="10"/>
  <c r="V356" i="10"/>
  <c r="U352" i="10"/>
  <c r="U357" i="10"/>
  <c r="V357" i="10"/>
  <c r="K360" i="10"/>
  <c r="J360" i="10"/>
  <c r="J352" i="10"/>
  <c r="J356" i="10"/>
  <c r="K357" i="10"/>
  <c r="J355" i="10"/>
  <c r="K356" i="10"/>
  <c r="J353" i="10"/>
  <c r="J346" i="10"/>
  <c r="K355" i="10"/>
  <c r="J357" i="10"/>
  <c r="K352" i="10"/>
  <c r="K353" i="10"/>
  <c r="K346" i="10"/>
  <c r="J358" i="10"/>
  <c r="K344" i="10"/>
  <c r="U341" i="10"/>
  <c r="K359" i="10"/>
  <c r="U359" i="10"/>
  <c r="V344" i="10"/>
  <c r="V359" i="10"/>
  <c r="K341" i="10"/>
  <c r="V341" i="10"/>
  <c r="J344" i="10"/>
  <c r="U344" i="10"/>
  <c r="J341" i="10"/>
  <c r="J359" i="10"/>
  <c r="J354" i="10"/>
  <c r="K354" i="10"/>
  <c r="U354" i="10"/>
  <c r="V354" i="10"/>
  <c r="Q323" i="10"/>
  <c r="G232" i="10" s="1"/>
  <c r="M1194" i="1"/>
  <c r="N1194" i="1" s="1"/>
  <c r="X323" i="10"/>
  <c r="AH323" i="10" s="1"/>
  <c r="AI323" i="10" s="1"/>
  <c r="AJ456" i="2"/>
  <c r="W238" i="2"/>
  <c r="H437" i="1"/>
  <c r="I415" i="2"/>
  <c r="AJ467" i="2"/>
  <c r="M34" i="14"/>
  <c r="AB277" i="2"/>
  <c r="AB281" i="2"/>
  <c r="AB288" i="2"/>
  <c r="AB294" i="2"/>
  <c r="AB284" i="2"/>
  <c r="AB292" i="2"/>
  <c r="AB282" i="2"/>
  <c r="AB289" i="2"/>
  <c r="AB297" i="2"/>
  <c r="AB271" i="2"/>
  <c r="AB272" i="2"/>
  <c r="AB279" i="2"/>
  <c r="AB287" i="2"/>
  <c r="AB280" i="2"/>
  <c r="AB275" i="2"/>
  <c r="AB290" i="2"/>
  <c r="AB276" i="2"/>
  <c r="AB286" i="2"/>
  <c r="AB274" i="2"/>
  <c r="AB283" i="2"/>
  <c r="AB296" i="2"/>
  <c r="AB278" i="2"/>
  <c r="AB285" i="2"/>
  <c r="AB273" i="2"/>
  <c r="AB299" i="2"/>
  <c r="AB293" i="2"/>
  <c r="AB269" i="2"/>
  <c r="AB291" i="2"/>
  <c r="AB270" i="2"/>
  <c r="AB295" i="2"/>
  <c r="AB298" i="2"/>
  <c r="W230" i="1"/>
  <c r="V230" i="1"/>
  <c r="H439" i="1"/>
  <c r="I417" i="2"/>
  <c r="CQ35" i="14"/>
  <c r="Z294" i="2"/>
  <c r="Z299" i="2"/>
  <c r="Z279" i="2"/>
  <c r="Z291" i="2"/>
  <c r="Z288" i="2"/>
  <c r="Z277" i="2"/>
  <c r="Z298" i="2"/>
  <c r="Z297" i="2"/>
  <c r="Z290" i="2"/>
  <c r="Z271" i="2"/>
  <c r="Z287" i="2"/>
  <c r="Z293" i="2"/>
  <c r="Z295" i="2"/>
  <c r="Z292" i="2"/>
  <c r="Z296" i="2"/>
  <c r="Z276" i="2"/>
  <c r="Z283" i="2"/>
  <c r="Z289" i="2"/>
  <c r="Z270" i="2"/>
  <c r="Z275" i="2"/>
  <c r="Z278" i="2"/>
  <c r="Z281" i="2"/>
  <c r="Z272" i="2"/>
  <c r="Z273" i="2"/>
  <c r="Z269" i="2"/>
  <c r="Z274" i="2"/>
  <c r="Z285" i="2"/>
  <c r="Z284" i="2"/>
  <c r="Z282" i="2"/>
  <c r="Z280" i="2"/>
  <c r="Z286" i="2"/>
  <c r="BB765" i="1"/>
  <c r="A125" i="15"/>
  <c r="A122" i="15"/>
  <c r="A119" i="15"/>
  <c r="U275" i="2"/>
  <c r="U298" i="2"/>
  <c r="U280" i="2"/>
  <c r="U272" i="2"/>
  <c r="U295" i="2"/>
  <c r="U292" i="2"/>
  <c r="U273" i="2"/>
  <c r="U288" i="2"/>
  <c r="U294" i="2"/>
  <c r="U279" i="2"/>
  <c r="U299" i="2"/>
  <c r="U278" i="2"/>
  <c r="U291" i="2"/>
  <c r="U289" i="2"/>
  <c r="U276" i="2"/>
  <c r="U297" i="2"/>
  <c r="U287" i="2"/>
  <c r="U274" i="2"/>
  <c r="U293" i="2"/>
  <c r="U270" i="2"/>
  <c r="U296" i="2"/>
  <c r="U282" i="2"/>
  <c r="U283" i="2"/>
  <c r="U271" i="2"/>
  <c r="U290" i="2"/>
  <c r="U286" i="2"/>
  <c r="U269" i="2"/>
  <c r="U284" i="2"/>
  <c r="U281" i="2"/>
  <c r="U285" i="2"/>
  <c r="U277" i="2"/>
  <c r="Q380" i="8"/>
  <c r="U380" i="8" s="1"/>
  <c r="C380" i="8" s="1"/>
  <c r="V240" i="1"/>
  <c r="W240" i="1"/>
  <c r="AH333" i="10"/>
  <c r="AI333" i="10" s="1"/>
  <c r="I423" i="2"/>
  <c r="H445" i="1"/>
  <c r="T281" i="2"/>
  <c r="T286" i="2"/>
  <c r="T277" i="2"/>
  <c r="T296" i="2"/>
  <c r="T295" i="2"/>
  <c r="T276" i="2"/>
  <c r="T278" i="2"/>
  <c r="T287" i="2"/>
  <c r="T292" i="2"/>
  <c r="T291" i="2"/>
  <c r="T272" i="2"/>
  <c r="T293" i="2"/>
  <c r="T290" i="2"/>
  <c r="T284" i="2"/>
  <c r="T275" i="2"/>
  <c r="T274" i="2"/>
  <c r="T294" i="2"/>
  <c r="T285" i="2"/>
  <c r="T269" i="2"/>
  <c r="T289" i="2"/>
  <c r="T283" i="2"/>
  <c r="T270" i="2"/>
  <c r="T273" i="2"/>
  <c r="T282" i="2"/>
  <c r="T279" i="2"/>
  <c r="T288" i="2"/>
  <c r="T280" i="2"/>
  <c r="T298" i="2"/>
  <c r="T299" i="2"/>
  <c r="T271" i="2"/>
  <c r="T297" i="2"/>
  <c r="BJ680" i="1"/>
  <c r="BL680" i="1" s="1"/>
  <c r="AY322" i="10"/>
  <c r="D322" i="10" s="1"/>
  <c r="E322" i="10" s="1"/>
  <c r="R730" i="1"/>
  <c r="D731" i="1" s="1"/>
  <c r="CH678" i="1"/>
  <c r="CI678" i="1" s="1"/>
  <c r="CK678" i="1" s="1"/>
  <c r="Q324" i="10"/>
  <c r="G233" i="10" s="1"/>
  <c r="M1195" i="1"/>
  <c r="N1195" i="1" s="1"/>
  <c r="X324" i="10"/>
  <c r="AH324" i="10" s="1"/>
  <c r="AI324" i="10" s="1"/>
  <c r="AJ462" i="2"/>
  <c r="W232" i="2"/>
  <c r="I420" i="2"/>
  <c r="H442" i="1"/>
  <c r="H953" i="2"/>
  <c r="C1049" i="2" s="1"/>
  <c r="U899" i="2"/>
  <c r="D899" i="2"/>
  <c r="E75" i="4"/>
  <c r="O75" i="4" s="1"/>
  <c r="M649" i="9"/>
  <c r="K650" i="9"/>
  <c r="E52" i="9"/>
  <c r="E54" i="9" s="1"/>
  <c r="D17" i="3"/>
  <c r="K21" i="3" s="1"/>
  <c r="K54" i="3"/>
  <c r="H430" i="1"/>
  <c r="I408" i="2"/>
  <c r="F210" i="4"/>
  <c r="G210" i="4" s="1"/>
  <c r="J210" i="4" s="1"/>
  <c r="J203" i="4"/>
  <c r="G148" i="1"/>
  <c r="I148" i="1" s="1"/>
  <c r="Q363" i="8"/>
  <c r="U364" i="8"/>
  <c r="C369" i="8" s="1"/>
  <c r="E369" i="8" s="1"/>
  <c r="AD236" i="1"/>
  <c r="AE236" i="1" s="1"/>
  <c r="AK236" i="1" s="1"/>
  <c r="S63" i="12"/>
  <c r="S159" i="12"/>
  <c r="S144" i="12"/>
  <c r="S74" i="12"/>
  <c r="S129" i="12"/>
  <c r="S85" i="12"/>
  <c r="S158" i="12"/>
  <c r="S143" i="12"/>
  <c r="V238" i="1"/>
  <c r="W238" i="1"/>
  <c r="H158" i="15"/>
  <c r="I152" i="15" s="1"/>
  <c r="AA287" i="2"/>
  <c r="AA290" i="2"/>
  <c r="AA297" i="2"/>
  <c r="AA272" i="2"/>
  <c r="AA296" i="2"/>
  <c r="AA288" i="2"/>
  <c r="AA295" i="2"/>
  <c r="AA283" i="2"/>
  <c r="AA270" i="2"/>
  <c r="AA279" i="2"/>
  <c r="AA274" i="2"/>
  <c r="AA292" i="2"/>
  <c r="AA281" i="2"/>
  <c r="AA278" i="2"/>
  <c r="AA286" i="2"/>
  <c r="AA276" i="2"/>
  <c r="AA285" i="2"/>
  <c r="AA275" i="2"/>
  <c r="AA282" i="2"/>
  <c r="AA280" i="2"/>
  <c r="AA269" i="2"/>
  <c r="AA291" i="2"/>
  <c r="AA298" i="2"/>
  <c r="AA294" i="2"/>
  <c r="AA284" i="2"/>
  <c r="AA273" i="2"/>
  <c r="AA277" i="2"/>
  <c r="AA293" i="2"/>
  <c r="AA271" i="2"/>
  <c r="AA299" i="2"/>
  <c r="AA289" i="2"/>
  <c r="AY324" i="10"/>
  <c r="D324" i="10" s="1"/>
  <c r="E324" i="10" s="1"/>
  <c r="D727" i="1"/>
  <c r="U727" i="1"/>
  <c r="CH681" i="1"/>
  <c r="CI681" i="1" s="1"/>
  <c r="CK681" i="1" s="1"/>
  <c r="D693" i="1"/>
  <c r="AK693" i="1"/>
  <c r="C1104" i="1"/>
  <c r="Q383" i="10" s="1"/>
  <c r="E165" i="1"/>
  <c r="F165" i="1" s="1"/>
  <c r="F155" i="1"/>
  <c r="Q331" i="10"/>
  <c r="G240" i="10" s="1"/>
  <c r="M1202" i="1"/>
  <c r="N1202" i="1" s="1"/>
  <c r="X331" i="10"/>
  <c r="AH331" i="10" s="1"/>
  <c r="AI331" i="10" s="1"/>
  <c r="AJ461" i="2"/>
  <c r="W237" i="2"/>
  <c r="CI684" i="1"/>
  <c r="CK684" i="1" s="1"/>
  <c r="A121" i="15"/>
  <c r="AE6" i="3"/>
  <c r="K16" i="3"/>
  <c r="H447" i="1"/>
  <c r="I425" i="2"/>
  <c r="BI686" i="1"/>
  <c r="BJ686" i="1" s="1"/>
  <c r="BL686" i="1" s="1"/>
  <c r="Q332" i="10"/>
  <c r="G241" i="10" s="1"/>
  <c r="M1203" i="1"/>
  <c r="N1203" i="1" s="1"/>
  <c r="X332" i="10"/>
  <c r="AH332" i="10" s="1"/>
  <c r="AI332" i="10" s="1"/>
  <c r="G136" i="14"/>
  <c r="F136" i="14"/>
  <c r="F134" i="14"/>
  <c r="G138" i="14"/>
  <c r="F138" i="14"/>
  <c r="G134" i="14"/>
  <c r="G137" i="14"/>
  <c r="G135" i="14"/>
  <c r="F135" i="14"/>
  <c r="F137" i="14"/>
  <c r="I418" i="2"/>
  <c r="H440" i="1"/>
  <c r="BI685" i="1"/>
  <c r="BJ685" i="1" s="1"/>
  <c r="BL685" i="1" s="1"/>
  <c r="G15" i="4"/>
  <c r="D985" i="1"/>
  <c r="AC281" i="2"/>
  <c r="AC288" i="2"/>
  <c r="AC284" i="2"/>
  <c r="AC292" i="2"/>
  <c r="AC273" i="2"/>
  <c r="AC277" i="2"/>
  <c r="AC286" i="2"/>
  <c r="AC271" i="2"/>
  <c r="AC290" i="2"/>
  <c r="AC289" i="2"/>
  <c r="AC295" i="2"/>
  <c r="AC299" i="2"/>
  <c r="AC291" i="2"/>
  <c r="AC278" i="2"/>
  <c r="AC285" i="2"/>
  <c r="AC274" i="2"/>
  <c r="AC272" i="2"/>
  <c r="AC296" i="2"/>
  <c r="AC297" i="2"/>
  <c r="AC279" i="2"/>
  <c r="AC294" i="2"/>
  <c r="AC276" i="2"/>
  <c r="AC280" i="2"/>
  <c r="AC275" i="2"/>
  <c r="AC269" i="2"/>
  <c r="AC287" i="2"/>
  <c r="AC293" i="2"/>
  <c r="AC270" i="2"/>
  <c r="AC282" i="2"/>
  <c r="AC298" i="2"/>
  <c r="AC283" i="2"/>
  <c r="AY325" i="10"/>
  <c r="D325" i="10" s="1"/>
  <c r="E325" i="10" s="1"/>
  <c r="D726" i="1"/>
  <c r="U726" i="1"/>
  <c r="D694" i="1"/>
  <c r="AK694" i="1"/>
  <c r="R992" i="1"/>
  <c r="Q330" i="10"/>
  <c r="G239" i="10" s="1"/>
  <c r="M1201" i="1"/>
  <c r="N1201" i="1" s="1"/>
  <c r="X330" i="10"/>
  <c r="AH330" i="10" s="1"/>
  <c r="AI330" i="10" s="1"/>
  <c r="U332" i="10"/>
  <c r="U326" i="10"/>
  <c r="U323" i="10"/>
  <c r="U328" i="10"/>
  <c r="U331" i="10"/>
  <c r="U324" i="10"/>
  <c r="U325" i="10"/>
  <c r="U321" i="10"/>
  <c r="U329" i="10"/>
  <c r="U330" i="10"/>
  <c r="U322" i="10"/>
  <c r="U327" i="10"/>
  <c r="J333" i="10"/>
  <c r="E336" i="10"/>
  <c r="U333" i="10"/>
  <c r="G1204" i="1"/>
  <c r="H1204" i="1" s="1"/>
  <c r="AJ458" i="2"/>
  <c r="A127" i="15"/>
  <c r="W242" i="2"/>
  <c r="CI686" i="1"/>
  <c r="CK686" i="1" s="1"/>
  <c r="T78" i="3"/>
  <c r="V84" i="3"/>
  <c r="E47" i="9" s="1"/>
  <c r="I426" i="2"/>
  <c r="H448" i="1"/>
  <c r="AY327" i="10"/>
  <c r="D327" i="10" s="1"/>
  <c r="E327" i="10" s="1"/>
  <c r="AU10" i="3"/>
  <c r="AV10" i="3" s="1"/>
  <c r="AT11" i="3" s="1"/>
  <c r="D650" i="9"/>
  <c r="O650" i="9" s="1"/>
  <c r="B651" i="9"/>
  <c r="BB768" i="1"/>
  <c r="BI687" i="1"/>
  <c r="BJ687" i="1" s="1"/>
  <c r="BL687" i="1" s="1"/>
  <c r="H433" i="1"/>
  <c r="I411" i="2"/>
  <c r="M38" i="14"/>
  <c r="I412" i="2"/>
  <c r="H434" i="1"/>
  <c r="S900" i="2"/>
  <c r="S596" i="2"/>
  <c r="S588" i="2"/>
  <c r="CH682" i="1"/>
  <c r="CI682" i="1" s="1"/>
  <c r="CK682" i="1" s="1"/>
  <c r="AD232" i="1"/>
  <c r="AE232" i="1" s="1"/>
  <c r="AK232" i="1" s="1"/>
  <c r="V234" i="1"/>
  <c r="W234" i="1"/>
  <c r="Z335" i="10"/>
  <c r="B45" i="3"/>
  <c r="G32" i="3"/>
  <c r="H438" i="1"/>
  <c r="I416" i="2"/>
  <c r="H446" i="1"/>
  <c r="I424" i="2"/>
  <c r="H435" i="1"/>
  <c r="I413" i="2"/>
  <c r="W269" i="2"/>
  <c r="W285" i="2"/>
  <c r="W299" i="2"/>
  <c r="W289" i="2"/>
  <c r="W293" i="2"/>
  <c r="W270" i="2"/>
  <c r="W271" i="2"/>
  <c r="W297" i="2"/>
  <c r="W272" i="2"/>
  <c r="W281" i="2"/>
  <c r="W273" i="2"/>
  <c r="W290" i="2"/>
  <c r="W277" i="2"/>
  <c r="W283" i="2"/>
  <c r="W292" i="2"/>
  <c r="W274" i="2"/>
  <c r="W278" i="2"/>
  <c r="W276" i="2"/>
  <c r="W284" i="2"/>
  <c r="W288" i="2"/>
  <c r="W287" i="2"/>
  <c r="W275" i="2"/>
  <c r="W291" i="2"/>
  <c r="W286" i="2"/>
  <c r="W279" i="2"/>
  <c r="W282" i="2"/>
  <c r="W294" i="2"/>
  <c r="W298" i="2"/>
  <c r="W296" i="2"/>
  <c r="W280" i="2"/>
  <c r="W295" i="2"/>
  <c r="E74" i="4"/>
  <c r="E12" i="4"/>
  <c r="H950" i="2"/>
  <c r="U895" i="2"/>
  <c r="D895" i="2"/>
  <c r="AY321" i="10"/>
  <c r="D321" i="10" s="1"/>
  <c r="F174" i="1"/>
  <c r="Q329" i="10"/>
  <c r="G238" i="10" s="1"/>
  <c r="M1200" i="1"/>
  <c r="N1200" i="1" s="1"/>
  <c r="X329" i="10"/>
  <c r="AH329" i="10" s="1"/>
  <c r="AI329" i="10" s="1"/>
  <c r="AD233" i="1"/>
  <c r="AE233" i="1" s="1"/>
  <c r="AK233" i="1" s="1"/>
  <c r="BI688" i="1"/>
  <c r="BJ688" i="1" s="1"/>
  <c r="BL688" i="1" s="1"/>
  <c r="R243" i="2"/>
  <c r="K298" i="2" s="1"/>
  <c r="W231" i="2"/>
  <c r="W14" i="3"/>
  <c r="AY14" i="3" s="1"/>
  <c r="AZ14" i="3" s="1"/>
  <c r="W22" i="3"/>
  <c r="AY22" i="3" s="1"/>
  <c r="AZ22" i="3" s="1"/>
  <c r="W30" i="3"/>
  <c r="AY30" i="3" s="1"/>
  <c r="AZ30" i="3" s="1"/>
  <c r="W38" i="3"/>
  <c r="AY38" i="3" s="1"/>
  <c r="AZ38" i="3" s="1"/>
  <c r="W46" i="3"/>
  <c r="AY46" i="3" s="1"/>
  <c r="AZ46" i="3" s="1"/>
  <c r="W27" i="3"/>
  <c r="AY27" i="3" s="1"/>
  <c r="AZ27" i="3" s="1"/>
  <c r="W36" i="3"/>
  <c r="AY36" i="3" s="1"/>
  <c r="AZ36" i="3" s="1"/>
  <c r="W55" i="3"/>
  <c r="AY55" i="3" s="1"/>
  <c r="AZ55" i="3" s="1"/>
  <c r="W18" i="3"/>
  <c r="AY18" i="3" s="1"/>
  <c r="AZ18" i="3" s="1"/>
  <c r="W40" i="3"/>
  <c r="AY40" i="3" s="1"/>
  <c r="AZ40" i="3" s="1"/>
  <c r="W9" i="3"/>
  <c r="AY9" i="3" s="1"/>
  <c r="AZ9" i="3" s="1"/>
  <c r="W31" i="3"/>
  <c r="AY31" i="3" s="1"/>
  <c r="AZ31" i="3" s="1"/>
  <c r="W56" i="3"/>
  <c r="AY56" i="3" s="1"/>
  <c r="AZ56" i="3" s="1"/>
  <c r="W13" i="3"/>
  <c r="AY13" i="3" s="1"/>
  <c r="AZ13" i="3" s="1"/>
  <c r="W35" i="3"/>
  <c r="AY35" i="3" s="1"/>
  <c r="AZ35" i="3" s="1"/>
  <c r="W26" i="3"/>
  <c r="AY26" i="3" s="1"/>
  <c r="AZ26" i="3" s="1"/>
  <c r="W45" i="3"/>
  <c r="AY45" i="3" s="1"/>
  <c r="AZ45" i="3" s="1"/>
  <c r="W8" i="3"/>
  <c r="AY8" i="3" s="1"/>
  <c r="AZ8" i="3" s="1"/>
  <c r="W17" i="3"/>
  <c r="AY17" i="3" s="1"/>
  <c r="AZ17" i="3" s="1"/>
  <c r="W39" i="3"/>
  <c r="AY39" i="3" s="1"/>
  <c r="AZ39" i="3" s="1"/>
  <c r="W21" i="3"/>
  <c r="AY21" i="3" s="1"/>
  <c r="AZ21" i="3" s="1"/>
  <c r="W52" i="3"/>
  <c r="AY52" i="3" s="1"/>
  <c r="AZ52" i="3" s="1"/>
  <c r="W24" i="3"/>
  <c r="AY24" i="3" s="1"/>
  <c r="AZ24" i="3" s="1"/>
  <c r="W28" i="3"/>
  <c r="AY28" i="3" s="1"/>
  <c r="AZ28" i="3" s="1"/>
  <c r="W20" i="3"/>
  <c r="AY20" i="3" s="1"/>
  <c r="AZ20" i="3" s="1"/>
  <c r="W16" i="3"/>
  <c r="AY16" i="3" s="1"/>
  <c r="AZ16" i="3" s="1"/>
  <c r="W43" i="3"/>
  <c r="AY43" i="3" s="1"/>
  <c r="AZ43" i="3" s="1"/>
  <c r="W12" i="3"/>
  <c r="AY12" i="3" s="1"/>
  <c r="AZ12" i="3" s="1"/>
  <c r="W37" i="3"/>
  <c r="AY37" i="3" s="1"/>
  <c r="AZ37" i="3" s="1"/>
  <c r="W41" i="3"/>
  <c r="AY41" i="3" s="1"/>
  <c r="AZ41" i="3" s="1"/>
  <c r="W49" i="3"/>
  <c r="AY49" i="3" s="1"/>
  <c r="AZ49" i="3" s="1"/>
  <c r="W51" i="3"/>
  <c r="AY51" i="3" s="1"/>
  <c r="AZ51" i="3" s="1"/>
  <c r="W25" i="3"/>
  <c r="AY25" i="3" s="1"/>
  <c r="AZ25" i="3" s="1"/>
  <c r="W47" i="3"/>
  <c r="AY47" i="3" s="1"/>
  <c r="AZ47" i="3" s="1"/>
  <c r="W11" i="3"/>
  <c r="AY11" i="3" s="1"/>
  <c r="AZ11" i="3" s="1"/>
  <c r="W34" i="3"/>
  <c r="AY34" i="3" s="1"/>
  <c r="AZ34" i="3" s="1"/>
  <c r="W15" i="3"/>
  <c r="AY15" i="3" s="1"/>
  <c r="AZ15" i="3" s="1"/>
  <c r="W7" i="3"/>
  <c r="AY7" i="3" s="1"/>
  <c r="AZ7" i="3" s="1"/>
  <c r="W29" i="3"/>
  <c r="AY29" i="3" s="1"/>
  <c r="AZ29" i="3" s="1"/>
  <c r="W32" i="3"/>
  <c r="AY32" i="3" s="1"/>
  <c r="AZ32" i="3" s="1"/>
  <c r="W10" i="3"/>
  <c r="AY10" i="3" s="1"/>
  <c r="AZ10" i="3" s="1"/>
  <c r="W33" i="3"/>
  <c r="AY33" i="3" s="1"/>
  <c r="AZ33" i="3" s="1"/>
  <c r="W53" i="3"/>
  <c r="AY53" i="3" s="1"/>
  <c r="AZ53" i="3" s="1"/>
  <c r="W50" i="3"/>
  <c r="AY50" i="3" s="1"/>
  <c r="AZ50" i="3" s="1"/>
  <c r="W23" i="3"/>
  <c r="AY23" i="3" s="1"/>
  <c r="AZ23" i="3" s="1"/>
  <c r="W44" i="3"/>
  <c r="AY44" i="3" s="1"/>
  <c r="AZ44" i="3" s="1"/>
  <c r="W42" i="3"/>
  <c r="AY42" i="3" s="1"/>
  <c r="AZ42" i="3" s="1"/>
  <c r="AK30" i="3"/>
  <c r="AK38" i="3"/>
  <c r="AK46" i="3"/>
  <c r="AK54" i="3"/>
  <c r="AK31" i="3"/>
  <c r="AK39" i="3"/>
  <c r="AK47" i="3"/>
  <c r="AK55" i="3"/>
  <c r="AK32" i="3"/>
  <c r="AK40" i="3"/>
  <c r="AK48" i="3"/>
  <c r="AK56" i="3"/>
  <c r="AK49" i="3"/>
  <c r="W54" i="3"/>
  <c r="AY54" i="3" s="1"/>
  <c r="AZ54" i="3" s="1"/>
  <c r="AK36" i="3"/>
  <c r="AK50" i="3"/>
  <c r="W19" i="3"/>
  <c r="AY19" i="3" s="1"/>
  <c r="AZ19" i="3" s="1"/>
  <c r="AK37" i="3"/>
  <c r="AK51" i="3"/>
  <c r="AK27" i="3"/>
  <c r="AK52" i="3"/>
  <c r="W48" i="3"/>
  <c r="AY48" i="3" s="1"/>
  <c r="AZ48" i="3" s="1"/>
  <c r="AK35" i="3"/>
  <c r="AK41" i="3"/>
  <c r="AK42" i="3"/>
  <c r="AK43" i="3"/>
  <c r="AK44" i="3"/>
  <c r="AK33" i="3"/>
  <c r="AK34" i="3"/>
  <c r="AK45" i="3"/>
  <c r="AK28" i="3"/>
  <c r="AK29" i="3"/>
  <c r="AK53" i="3"/>
  <c r="G21" i="3"/>
  <c r="AK26" i="3"/>
  <c r="AK21" i="3"/>
  <c r="AK14" i="3"/>
  <c r="AK13" i="3"/>
  <c r="AK12" i="3"/>
  <c r="AK11" i="3"/>
  <c r="AK10" i="3"/>
  <c r="AK9" i="3"/>
  <c r="AK8" i="3"/>
  <c r="AK7" i="3"/>
  <c r="AK16" i="3"/>
  <c r="AK20" i="3"/>
  <c r="AK22" i="3"/>
  <c r="AK15" i="3"/>
  <c r="AK17" i="3"/>
  <c r="AK23" i="3"/>
  <c r="AK25" i="3"/>
  <c r="AK18" i="3"/>
  <c r="AK24" i="3"/>
  <c r="AK19" i="3"/>
  <c r="W233" i="1"/>
  <c r="V233" i="1"/>
  <c r="Q276" i="2"/>
  <c r="Q281" i="2"/>
  <c r="Q273" i="2"/>
  <c r="Q291" i="2"/>
  <c r="Q294" i="2"/>
  <c r="Q295" i="2"/>
  <c r="Q270" i="2"/>
  <c r="Q299" i="2"/>
  <c r="Q286" i="2"/>
  <c r="Q289" i="2"/>
  <c r="Q283" i="2"/>
  <c r="Q284" i="2"/>
  <c r="Q279" i="2"/>
  <c r="Q271" i="2"/>
  <c r="Q282" i="2"/>
  <c r="Q287" i="2"/>
  <c r="Q293" i="2"/>
  <c r="Q298" i="2"/>
  <c r="Q285" i="2"/>
  <c r="Q297" i="2"/>
  <c r="Q274" i="2"/>
  <c r="Q292" i="2"/>
  <c r="Q288" i="2"/>
  <c r="Q272" i="2"/>
  <c r="Q296" i="2"/>
  <c r="Q280" i="2"/>
  <c r="Q290" i="2"/>
  <c r="Q269" i="2"/>
  <c r="Q275" i="2"/>
  <c r="Q278" i="2"/>
  <c r="Q277" i="2"/>
  <c r="AY331" i="10"/>
  <c r="D331" i="10" s="1"/>
  <c r="E331" i="10" s="1"/>
  <c r="Q326" i="10"/>
  <c r="G235" i="10" s="1"/>
  <c r="M1197" i="1"/>
  <c r="N1197" i="1" s="1"/>
  <c r="X326" i="10"/>
  <c r="AH326" i="10" s="1"/>
  <c r="AI326" i="10" s="1"/>
  <c r="W239" i="2"/>
  <c r="W233" i="2"/>
  <c r="C367" i="2"/>
  <c r="D381" i="2"/>
  <c r="O379" i="2" s="1"/>
  <c r="L335" i="10"/>
  <c r="P882" i="1" s="1"/>
  <c r="Q321" i="10"/>
  <c r="M1192" i="1"/>
  <c r="N1192" i="1" s="1"/>
  <c r="X321" i="10"/>
  <c r="L36" i="14"/>
  <c r="Q336" i="10"/>
  <c r="G244" i="10"/>
  <c r="O244" i="10" s="1"/>
  <c r="L492" i="8"/>
  <c r="O855" i="8"/>
  <c r="X272" i="2"/>
  <c r="X291" i="2"/>
  <c r="X278" i="2"/>
  <c r="X269" i="2"/>
  <c r="X297" i="2"/>
  <c r="X280" i="2"/>
  <c r="X273" i="2"/>
  <c r="X270" i="2"/>
  <c r="X274" i="2"/>
  <c r="X271" i="2"/>
  <c r="X295" i="2"/>
  <c r="X287" i="2"/>
  <c r="X288" i="2"/>
  <c r="X298" i="2"/>
  <c r="X296" i="2"/>
  <c r="X292" i="2"/>
  <c r="X284" i="2"/>
  <c r="X286" i="2"/>
  <c r="X293" i="2"/>
  <c r="X275" i="2"/>
  <c r="X277" i="2"/>
  <c r="X289" i="2"/>
  <c r="X299" i="2"/>
  <c r="X279" i="2"/>
  <c r="X285" i="2"/>
  <c r="X290" i="2"/>
  <c r="X276" i="2"/>
  <c r="X281" i="2"/>
  <c r="X283" i="2"/>
  <c r="X282" i="2"/>
  <c r="X294" i="2"/>
  <c r="AY323" i="10"/>
  <c r="D323" i="10" s="1"/>
  <c r="E323" i="10" s="1"/>
  <c r="E1019" i="8"/>
  <c r="E1020" i="8"/>
  <c r="E1021" i="8" s="1"/>
  <c r="C1049" i="8"/>
  <c r="AD238" i="1"/>
  <c r="AE238" i="1" s="1"/>
  <c r="AK238" i="1" s="1"/>
  <c r="AJ463" i="2"/>
  <c r="CH688" i="1"/>
  <c r="CI688" i="1" s="1"/>
  <c r="CK688" i="1" s="1"/>
  <c r="W236" i="2"/>
  <c r="C1050" i="8"/>
  <c r="F1020" i="8"/>
  <c r="F1021" i="8" s="1"/>
  <c r="F1019" i="8"/>
  <c r="Q322" i="10"/>
  <c r="G231" i="10" s="1"/>
  <c r="M1193" i="1"/>
  <c r="N1193" i="1" s="1"/>
  <c r="X322" i="10"/>
  <c r="AH322" i="10" s="1"/>
  <c r="AI322" i="10" s="1"/>
  <c r="S297" i="2"/>
  <c r="S275" i="2"/>
  <c r="S295" i="2"/>
  <c r="S299" i="2"/>
  <c r="S281" i="2"/>
  <c r="S282" i="2"/>
  <c r="S289" i="2"/>
  <c r="S272" i="2"/>
  <c r="S279" i="2"/>
  <c r="S296" i="2"/>
  <c r="S286" i="2"/>
  <c r="S269" i="2"/>
  <c r="S283" i="2"/>
  <c r="S294" i="2"/>
  <c r="S276" i="2"/>
  <c r="S287" i="2"/>
  <c r="S270" i="2"/>
  <c r="S285" i="2"/>
  <c r="S284" i="2"/>
  <c r="S278" i="2"/>
  <c r="S277" i="2"/>
  <c r="S280" i="2"/>
  <c r="S271" i="2"/>
  <c r="S292" i="2"/>
  <c r="S298" i="2"/>
  <c r="S290" i="2"/>
  <c r="S273" i="2"/>
  <c r="S288" i="2"/>
  <c r="S293" i="2"/>
  <c r="S274" i="2"/>
  <c r="S291" i="2"/>
  <c r="Q327" i="10"/>
  <c r="G236" i="10" s="1"/>
  <c r="M1198" i="1"/>
  <c r="N1198" i="1" s="1"/>
  <c r="X327" i="10"/>
  <c r="AH327" i="10" s="1"/>
  <c r="AI327" i="10" s="1"/>
  <c r="AD241" i="1"/>
  <c r="AE241" i="1" s="1"/>
  <c r="AK241" i="1" s="1"/>
  <c r="V232" i="1"/>
  <c r="W232" i="1"/>
  <c r="Q325" i="10"/>
  <c r="G234" i="10" s="1"/>
  <c r="M1196" i="1"/>
  <c r="N1196" i="1" s="1"/>
  <c r="X325" i="10"/>
  <c r="AH325" i="10" s="1"/>
  <c r="AI325" i="10" s="1"/>
  <c r="R278" i="2"/>
  <c r="R298" i="2"/>
  <c r="R279" i="2"/>
  <c r="R295" i="2"/>
  <c r="R274" i="2"/>
  <c r="R275" i="2"/>
  <c r="R299" i="2"/>
  <c r="R292" i="2"/>
  <c r="R276" i="2"/>
  <c r="R269" i="2"/>
  <c r="R287" i="2"/>
  <c r="R297" i="2"/>
  <c r="R296" i="2"/>
  <c r="R283" i="2"/>
  <c r="R291" i="2"/>
  <c r="R281" i="2"/>
  <c r="R270" i="2"/>
  <c r="R284" i="2"/>
  <c r="R293" i="2"/>
  <c r="R282" i="2"/>
  <c r="R280" i="2"/>
  <c r="R272" i="2"/>
  <c r="R285" i="2"/>
  <c r="R294" i="2"/>
  <c r="R271" i="2"/>
  <c r="R277" i="2"/>
  <c r="R289" i="2"/>
  <c r="R273" i="2"/>
  <c r="R286" i="2"/>
  <c r="R288" i="2"/>
  <c r="R290" i="2"/>
  <c r="CH679" i="1"/>
  <c r="CI679" i="1" s="1"/>
  <c r="CK679" i="1" s="1"/>
  <c r="I422" i="2"/>
  <c r="H444" i="1"/>
  <c r="H431" i="1"/>
  <c r="I409" i="2"/>
  <c r="N863" i="2"/>
  <c r="P862" i="2"/>
  <c r="K1107" i="2" s="1"/>
  <c r="D869" i="2" s="1"/>
  <c r="T845" i="2"/>
  <c r="T850" i="2"/>
  <c r="T825" i="2"/>
  <c r="T833" i="2"/>
  <c r="T839" i="2"/>
  <c r="T851" i="2"/>
  <c r="T843" i="2"/>
  <c r="T831" i="2"/>
  <c r="T846" i="2"/>
  <c r="W862" i="2"/>
  <c r="T844" i="2"/>
  <c r="T832" i="2"/>
  <c r="T830" i="2"/>
  <c r="T819" i="2"/>
  <c r="T834" i="2"/>
  <c r="T820" i="2"/>
  <c r="T838" i="2"/>
  <c r="T821" i="2"/>
  <c r="T826" i="2"/>
  <c r="Z862" i="2"/>
  <c r="I421" i="2"/>
  <c r="H443" i="1"/>
  <c r="AY330" i="10"/>
  <c r="D330" i="10" s="1"/>
  <c r="E330" i="10" s="1"/>
  <c r="BJ682" i="1"/>
  <c r="BL682" i="1" s="1"/>
  <c r="L350" i="10"/>
  <c r="L347" i="10"/>
  <c r="M350" i="10"/>
  <c r="L343" i="10"/>
  <c r="M347" i="10"/>
  <c r="L340" i="10"/>
  <c r="M343" i="10"/>
  <c r="M340" i="10"/>
  <c r="L345" i="10"/>
  <c r="M348" i="10"/>
  <c r="M349" i="10"/>
  <c r="M345" i="10"/>
  <c r="L351" i="10"/>
  <c r="M351" i="10"/>
  <c r="L342" i="10"/>
  <c r="M342" i="10"/>
  <c r="L348" i="10"/>
  <c r="L349" i="10"/>
  <c r="X352" i="10"/>
  <c r="X340" i="10"/>
  <c r="W352" i="10"/>
  <c r="W361" i="10"/>
  <c r="X342" i="10"/>
  <c r="X345" i="10"/>
  <c r="X361" i="10"/>
  <c r="X362" i="10"/>
  <c r="W358" i="10"/>
  <c r="W356" i="10"/>
  <c r="L361" i="10"/>
  <c r="W348" i="10"/>
  <c r="W345" i="10"/>
  <c r="X347" i="10"/>
  <c r="X348" i="10"/>
  <c r="W353" i="10"/>
  <c r="W347" i="10"/>
  <c r="W349" i="10"/>
  <c r="W351" i="10"/>
  <c r="L363" i="10"/>
  <c r="X349" i="10"/>
  <c r="M363" i="10"/>
  <c r="X356" i="10"/>
  <c r="W340" i="10"/>
  <c r="M362" i="10"/>
  <c r="W357" i="10"/>
  <c r="X343" i="10"/>
  <c r="X357" i="10"/>
  <c r="W342" i="10"/>
  <c r="X350" i="10"/>
  <c r="W360" i="10"/>
  <c r="W346" i="10"/>
  <c r="X360" i="10"/>
  <c r="X353" i="10"/>
  <c r="X358" i="10"/>
  <c r="W362" i="10"/>
  <c r="X363" i="10"/>
  <c r="W363" i="10"/>
  <c r="X351" i="10"/>
  <c r="W355" i="10"/>
  <c r="W343" i="10"/>
  <c r="X355" i="10"/>
  <c r="W350" i="10"/>
  <c r="L362" i="10"/>
  <c r="X346" i="10"/>
  <c r="M361" i="10"/>
  <c r="L358" i="10"/>
  <c r="M358" i="10"/>
  <c r="L357" i="10"/>
  <c r="L360" i="10"/>
  <c r="M360" i="10"/>
  <c r="M353" i="10"/>
  <c r="M355" i="10"/>
  <c r="L346" i="10"/>
  <c r="L353" i="10"/>
  <c r="M346" i="10"/>
  <c r="L356" i="10"/>
  <c r="L352" i="10"/>
  <c r="M357" i="10"/>
  <c r="L355" i="10"/>
  <c r="M356" i="10"/>
  <c r="M352" i="10"/>
  <c r="M344" i="10"/>
  <c r="W344" i="10"/>
  <c r="M359" i="10"/>
  <c r="L344" i="10"/>
  <c r="X341" i="10"/>
  <c r="M341" i="10"/>
  <c r="L359" i="10"/>
  <c r="L341" i="10"/>
  <c r="W341" i="10"/>
  <c r="W359" i="10"/>
  <c r="X359" i="10"/>
  <c r="X344" i="10"/>
  <c r="L354" i="10"/>
  <c r="M354" i="10"/>
  <c r="W354" i="10"/>
  <c r="X354" i="10"/>
  <c r="BQ40" i="14"/>
  <c r="K40" i="14" s="1"/>
  <c r="BQ49" i="14"/>
  <c r="K49" i="14" s="1"/>
  <c r="BP40" i="14"/>
  <c r="J40" i="14" s="1"/>
  <c r="BP49" i="14"/>
  <c r="J49" i="14" s="1"/>
  <c r="BQ41" i="14"/>
  <c r="K41" i="14" s="1"/>
  <c r="BQ50" i="14"/>
  <c r="K50" i="14" s="1"/>
  <c r="BP41" i="14"/>
  <c r="J41" i="14" s="1"/>
  <c r="BP50" i="14"/>
  <c r="J50" i="14" s="1"/>
  <c r="BQ42" i="14"/>
  <c r="K42" i="14" s="1"/>
  <c r="BP42" i="14"/>
  <c r="J42" i="14" s="1"/>
  <c r="BQ43" i="14"/>
  <c r="K43" i="14" s="1"/>
  <c r="BQ119" i="14"/>
  <c r="K119" i="14" s="1"/>
  <c r="BP43" i="14"/>
  <c r="J43" i="14" s="1"/>
  <c r="BP119" i="14"/>
  <c r="J119" i="14" s="1"/>
  <c r="BP46" i="14"/>
  <c r="J46" i="14" s="1"/>
  <c r="BP121" i="14"/>
  <c r="J121" i="14" s="1"/>
  <c r="BP47" i="14"/>
  <c r="J47" i="14" s="1"/>
  <c r="BP122" i="14"/>
  <c r="J122" i="14" s="1"/>
  <c r="BP48" i="14"/>
  <c r="J48" i="14" s="1"/>
  <c r="BQ44" i="14"/>
  <c r="K44" i="14" s="1"/>
  <c r="BQ120" i="14"/>
  <c r="K120" i="14" s="1"/>
  <c r="BQ46" i="14"/>
  <c r="K46" i="14" s="1"/>
  <c r="BQ121" i="14"/>
  <c r="K121" i="14" s="1"/>
  <c r="BQ122" i="14"/>
  <c r="K122" i="14" s="1"/>
  <c r="BP120" i="14"/>
  <c r="J120" i="14" s="1"/>
  <c r="BQ47" i="14"/>
  <c r="K47" i="14" s="1"/>
  <c r="BP44" i="14"/>
  <c r="J44" i="14" s="1"/>
  <c r="BQ48" i="14"/>
  <c r="K48" i="14" s="1"/>
  <c r="BP64" i="14"/>
  <c r="J64" i="14" s="1"/>
  <c r="BQ80" i="14"/>
  <c r="K80" i="14" s="1"/>
  <c r="BP67" i="14"/>
  <c r="J67" i="14" s="1"/>
  <c r="BQ59" i="14"/>
  <c r="K59" i="14" s="1"/>
  <c r="BQ78" i="14"/>
  <c r="K78" i="14" s="1"/>
  <c r="BQ109" i="14"/>
  <c r="K109" i="14" s="1"/>
  <c r="BP70" i="14"/>
  <c r="J70" i="14" s="1"/>
  <c r="BQ60" i="14"/>
  <c r="K60" i="14" s="1"/>
  <c r="BP109" i="14"/>
  <c r="J109" i="14" s="1"/>
  <c r="BP59" i="14"/>
  <c r="J59" i="14" s="1"/>
  <c r="BP76" i="14"/>
  <c r="J76" i="14" s="1"/>
  <c r="BQ61" i="14"/>
  <c r="K61" i="14" s="1"/>
  <c r="BQ108" i="14"/>
  <c r="K108" i="14" s="1"/>
  <c r="BP61" i="14"/>
  <c r="J61" i="14" s="1"/>
  <c r="BQ107" i="14"/>
  <c r="K107" i="14" s="1"/>
  <c r="BQ65" i="14"/>
  <c r="K65" i="14" s="1"/>
  <c r="BQ74" i="14"/>
  <c r="K74" i="14" s="1"/>
  <c r="BP107" i="14"/>
  <c r="J107" i="14" s="1"/>
  <c r="BP72" i="14"/>
  <c r="J72" i="14" s="1"/>
  <c r="BQ67" i="14"/>
  <c r="K67" i="14" s="1"/>
  <c r="BP80" i="14"/>
  <c r="J80" i="14" s="1"/>
  <c r="BP58" i="14"/>
  <c r="J58" i="14" s="1"/>
  <c r="BQ110" i="14"/>
  <c r="K110" i="14" s="1"/>
  <c r="BP110" i="14"/>
  <c r="J110" i="14" s="1"/>
  <c r="BQ73" i="14"/>
  <c r="K73" i="14" s="1"/>
  <c r="BP62" i="14"/>
  <c r="J62" i="14" s="1"/>
  <c r="BQ72" i="14"/>
  <c r="K72" i="14" s="1"/>
  <c r="BP78" i="14"/>
  <c r="J78" i="14" s="1"/>
  <c r="BP71" i="14"/>
  <c r="J71" i="14" s="1"/>
  <c r="BP108" i="14"/>
  <c r="J108" i="14" s="1"/>
  <c r="BP79" i="14"/>
  <c r="J79" i="14" s="1"/>
  <c r="BP74" i="14"/>
  <c r="J74" i="14" s="1"/>
  <c r="BQ77" i="14"/>
  <c r="K77" i="14" s="1"/>
  <c r="BQ79" i="14"/>
  <c r="K79" i="14" s="1"/>
  <c r="BQ68" i="14"/>
  <c r="K68" i="14" s="1"/>
  <c r="BQ62" i="14"/>
  <c r="K62" i="14" s="1"/>
  <c r="BP65" i="14"/>
  <c r="J65" i="14" s="1"/>
  <c r="BQ66" i="14"/>
  <c r="K66" i="14" s="1"/>
  <c r="BP60" i="14"/>
  <c r="J60" i="14" s="1"/>
  <c r="BP106" i="14"/>
  <c r="J106" i="14" s="1"/>
  <c r="BP66" i="14"/>
  <c r="J66" i="14" s="1"/>
  <c r="BP77" i="14"/>
  <c r="J77" i="14" s="1"/>
  <c r="BP73" i="14"/>
  <c r="J73" i="14" s="1"/>
  <c r="BQ71" i="14"/>
  <c r="K71" i="14" s="1"/>
  <c r="BP68" i="14"/>
  <c r="J68" i="14" s="1"/>
  <c r="H123" i="14"/>
  <c r="AD234" i="1"/>
  <c r="AE234" i="1" s="1"/>
  <c r="AK234" i="1" s="1"/>
  <c r="AJ465" i="2"/>
  <c r="W241" i="2"/>
  <c r="V241" i="1"/>
  <c r="W241" i="1"/>
  <c r="V290" i="2"/>
  <c r="V271" i="2"/>
  <c r="V285" i="2"/>
  <c r="V270" i="2"/>
  <c r="V297" i="2"/>
  <c r="V280" i="2"/>
  <c r="V293" i="2"/>
  <c r="V299" i="2"/>
  <c r="V281" i="2"/>
  <c r="V272" i="2"/>
  <c r="V286" i="2"/>
  <c r="V277" i="2"/>
  <c r="V291" i="2"/>
  <c r="V275" i="2"/>
  <c r="V292" i="2"/>
  <c r="V279" i="2"/>
  <c r="V269" i="2"/>
  <c r="V294" i="2"/>
  <c r="V298" i="2"/>
  <c r="V284" i="2"/>
  <c r="V287" i="2"/>
  <c r="V289" i="2"/>
  <c r="V282" i="2"/>
  <c r="V278" i="2"/>
  <c r="V288" i="2"/>
  <c r="V296" i="2"/>
  <c r="V274" i="2"/>
  <c r="V273" i="2"/>
  <c r="V276" i="2"/>
  <c r="V283" i="2"/>
  <c r="V295" i="2"/>
  <c r="AY332" i="10"/>
  <c r="D332" i="10" s="1"/>
  <c r="E332" i="10" s="1"/>
  <c r="AJ459" i="2"/>
  <c r="W231" i="1"/>
  <c r="V231" i="1"/>
  <c r="AJ457" i="2"/>
  <c r="V236" i="1"/>
  <c r="W236" i="1"/>
  <c r="I410" i="2"/>
  <c r="H432" i="1"/>
  <c r="AY326" i="10"/>
  <c r="D326" i="10" s="1"/>
  <c r="E326" i="10" s="1"/>
  <c r="L35" i="14"/>
  <c r="A128" i="15"/>
  <c r="C1025" i="8"/>
  <c r="C1028" i="8"/>
  <c r="C1026" i="8" s="1"/>
  <c r="H441" i="1"/>
  <c r="I419" i="2"/>
  <c r="Q158" i="15"/>
  <c r="R155" i="15" s="1"/>
  <c r="V235" i="1"/>
  <c r="W235" i="1"/>
  <c r="V13" i="3"/>
  <c r="V21" i="3"/>
  <c r="V29" i="3"/>
  <c r="AB32" i="3"/>
  <c r="V37" i="3"/>
  <c r="AB40" i="3"/>
  <c r="V45" i="3"/>
  <c r="AB48" i="3"/>
  <c r="AF8" i="3"/>
  <c r="AC9" i="3"/>
  <c r="AA10" i="3"/>
  <c r="U15" i="3"/>
  <c r="AF16" i="3"/>
  <c r="AC17" i="3"/>
  <c r="AA18" i="3"/>
  <c r="U23" i="3"/>
  <c r="AF24" i="3"/>
  <c r="AC25" i="3"/>
  <c r="AA26" i="3"/>
  <c r="U31" i="3"/>
  <c r="AF32" i="3"/>
  <c r="AC33" i="3"/>
  <c r="AA34" i="3"/>
  <c r="U39" i="3"/>
  <c r="AF40" i="3"/>
  <c r="AC41" i="3"/>
  <c r="AA42" i="3"/>
  <c r="U47" i="3"/>
  <c r="AF48" i="3"/>
  <c r="AC49" i="3"/>
  <c r="AA50" i="3"/>
  <c r="V7" i="3"/>
  <c r="V8" i="3"/>
  <c r="V16" i="3"/>
  <c r="V24" i="3"/>
  <c r="V32" i="3"/>
  <c r="AB35" i="3"/>
  <c r="V40" i="3"/>
  <c r="AB43" i="3"/>
  <c r="V48" i="3"/>
  <c r="V10" i="3"/>
  <c r="V18" i="3"/>
  <c r="V26" i="3"/>
  <c r="V34" i="3"/>
  <c r="AB37" i="3"/>
  <c r="V11" i="3"/>
  <c r="V19" i="3"/>
  <c r="V27" i="3"/>
  <c r="V35" i="3"/>
  <c r="AB38" i="3"/>
  <c r="V43" i="3"/>
  <c r="AB46" i="3"/>
  <c r="U9" i="3"/>
  <c r="AA11" i="3"/>
  <c r="U18" i="3"/>
  <c r="AF25" i="3"/>
  <c r="AC29" i="3"/>
  <c r="AA33" i="3"/>
  <c r="U40" i="3"/>
  <c r="AC43" i="3"/>
  <c r="AF44" i="3"/>
  <c r="U46" i="3"/>
  <c r="AA49" i="3"/>
  <c r="AC50" i="3"/>
  <c r="AA51" i="3"/>
  <c r="U56" i="3"/>
  <c r="AF7" i="3"/>
  <c r="V9" i="3"/>
  <c r="AC11" i="3"/>
  <c r="AA15" i="3"/>
  <c r="AC20" i="3"/>
  <c r="U22" i="3"/>
  <c r="AA24" i="3"/>
  <c r="AF29" i="3"/>
  <c r="V31" i="3"/>
  <c r="AB33" i="3"/>
  <c r="AF38" i="3"/>
  <c r="V46" i="3"/>
  <c r="AB49" i="3"/>
  <c r="AB51" i="3"/>
  <c r="V56" i="3"/>
  <c r="U13" i="3"/>
  <c r="AF20" i="3"/>
  <c r="V22" i="3"/>
  <c r="AC24" i="3"/>
  <c r="AA28" i="3"/>
  <c r="U35" i="3"/>
  <c r="AA37" i="3"/>
  <c r="AB42" i="3"/>
  <c r="AF43" i="3"/>
  <c r="AF50" i="3"/>
  <c r="AC51" i="3"/>
  <c r="AA52" i="3"/>
  <c r="AF11" i="3"/>
  <c r="AC15" i="3"/>
  <c r="U17" i="3"/>
  <c r="AA19" i="3"/>
  <c r="U26" i="3"/>
  <c r="AF33" i="3"/>
  <c r="AC37" i="3"/>
  <c r="AC42" i="3"/>
  <c r="U45" i="3"/>
  <c r="AA48" i="3"/>
  <c r="AF49" i="3"/>
  <c r="AB52" i="3"/>
  <c r="AF6" i="3"/>
  <c r="U8" i="3"/>
  <c r="AF15" i="3"/>
  <c r="V17" i="3"/>
  <c r="AC19" i="3"/>
  <c r="AA23" i="3"/>
  <c r="AC28" i="3"/>
  <c r="U30" i="3"/>
  <c r="AA32" i="3"/>
  <c r="AF37" i="3"/>
  <c r="V39" i="3"/>
  <c r="AA41" i="3"/>
  <c r="AF42" i="3"/>
  <c r="AC48" i="3"/>
  <c r="AF51" i="3"/>
  <c r="AC52" i="3"/>
  <c r="AA53" i="3"/>
  <c r="AC10" i="3"/>
  <c r="U12" i="3"/>
  <c r="AA14" i="3"/>
  <c r="U21" i="3"/>
  <c r="AF28" i="3"/>
  <c r="V30" i="3"/>
  <c r="AC32" i="3"/>
  <c r="AA36" i="3"/>
  <c r="AB41" i="3"/>
  <c r="U44" i="3"/>
  <c r="AA47" i="3"/>
  <c r="AB53" i="3"/>
  <c r="AA7" i="3"/>
  <c r="AF10" i="3"/>
  <c r="V12" i="3"/>
  <c r="AC14" i="3"/>
  <c r="AF19" i="3"/>
  <c r="AC23" i="3"/>
  <c r="U25" i="3"/>
  <c r="AA27" i="3"/>
  <c r="U34" i="3"/>
  <c r="AB36" i="3"/>
  <c r="V44" i="3"/>
  <c r="AB47" i="3"/>
  <c r="U50" i="3"/>
  <c r="U51" i="3"/>
  <c r="AF52" i="3"/>
  <c r="AC53" i="3"/>
  <c r="AA54" i="3"/>
  <c r="AA13" i="3"/>
  <c r="U20" i="3"/>
  <c r="U24" i="3"/>
  <c r="V28" i="3"/>
  <c r="AC36" i="3"/>
  <c r="AA38" i="3"/>
  <c r="AB44" i="3"/>
  <c r="AA46" i="3"/>
  <c r="AF53" i="3"/>
  <c r="U55" i="3"/>
  <c r="AC13" i="3"/>
  <c r="V20" i="3"/>
  <c r="AB34" i="3"/>
  <c r="AF36" i="3"/>
  <c r="AC38" i="3"/>
  <c r="AC44" i="3"/>
  <c r="AC46" i="3"/>
  <c r="V55" i="3"/>
  <c r="AA9" i="3"/>
  <c r="AF13" i="3"/>
  <c r="U16" i="3"/>
  <c r="AF17" i="3"/>
  <c r="AA30" i="3"/>
  <c r="AC34" i="3"/>
  <c r="U43" i="3"/>
  <c r="AA56" i="3"/>
  <c r="AC30" i="3"/>
  <c r="AF34" i="3"/>
  <c r="U41" i="3"/>
  <c r="AF46" i="3"/>
  <c r="U49" i="3"/>
  <c r="AB50" i="3"/>
  <c r="AB56" i="3"/>
  <c r="AA22" i="3"/>
  <c r="AC26" i="3"/>
  <c r="U33" i="3"/>
  <c r="U37" i="3"/>
  <c r="V41" i="3"/>
  <c r="V49" i="3"/>
  <c r="V51" i="3"/>
  <c r="U54" i="3"/>
  <c r="AC56" i="3"/>
  <c r="AF9" i="3"/>
  <c r="U14" i="3"/>
  <c r="AC22" i="3"/>
  <c r="AF26" i="3"/>
  <c r="U29" i="3"/>
  <c r="AF30" i="3"/>
  <c r="V33" i="3"/>
  <c r="V54" i="3"/>
  <c r="AA55" i="3"/>
  <c r="AC18" i="3"/>
  <c r="AA20" i="3"/>
  <c r="AF22" i="3"/>
  <c r="AB39" i="3"/>
  <c r="AA45" i="3"/>
  <c r="AC55" i="3"/>
  <c r="V14" i="3"/>
  <c r="U27" i="3"/>
  <c r="AF39" i="3"/>
  <c r="AF45" i="3"/>
  <c r="AF23" i="3"/>
  <c r="U36" i="3"/>
  <c r="U11" i="3"/>
  <c r="V36" i="3"/>
  <c r="U52" i="3"/>
  <c r="AB54" i="3"/>
  <c r="AC27" i="3"/>
  <c r="V52" i="3"/>
  <c r="AC54" i="3"/>
  <c r="AF14" i="3"/>
  <c r="AA17" i="3"/>
  <c r="AF56" i="3"/>
  <c r="U7" i="3"/>
  <c r="AA8" i="3"/>
  <c r="V15" i="3"/>
  <c r="AF18" i="3"/>
  <c r="AC21" i="3"/>
  <c r="U28" i="3"/>
  <c r="AC31" i="3"/>
  <c r="V38" i="3"/>
  <c r="AC8" i="3"/>
  <c r="AA44" i="3"/>
  <c r="U10" i="3"/>
  <c r="V25" i="3"/>
  <c r="AF41" i="3"/>
  <c r="AB55" i="3"/>
  <c r="U38" i="3"/>
  <c r="U53" i="3"/>
  <c r="AC7" i="3"/>
  <c r="AB45" i="3"/>
  <c r="V53" i="3"/>
  <c r="AF55" i="3"/>
  <c r="U42" i="3"/>
  <c r="AC45" i="3"/>
  <c r="V50" i="3"/>
  <c r="AA21" i="3"/>
  <c r="V42" i="3"/>
  <c r="AA12" i="3"/>
  <c r="AA16" i="3"/>
  <c r="AF27" i="3"/>
  <c r="AA39" i="3"/>
  <c r="AC39" i="3"/>
  <c r="AF54" i="3"/>
  <c r="AC16" i="3"/>
  <c r="V23" i="3"/>
  <c r="AA29" i="3"/>
  <c r="AA40" i="3"/>
  <c r="AC40" i="3"/>
  <c r="V47" i="3"/>
  <c r="AA35" i="3"/>
  <c r="AF12" i="3"/>
  <c r="AC35" i="3"/>
  <c r="AA43" i="3"/>
  <c r="AF21" i="3"/>
  <c r="AF35" i="3"/>
  <c r="AA31" i="3"/>
  <c r="U32" i="3"/>
  <c r="AA25" i="3"/>
  <c r="U19" i="3"/>
  <c r="AC47" i="3"/>
  <c r="AF47" i="3"/>
  <c r="U48" i="3"/>
  <c r="AF31" i="3"/>
  <c r="AC12" i="3"/>
  <c r="BD14" i="3"/>
  <c r="BD8" i="3"/>
  <c r="BD43" i="3"/>
  <c r="BD23" i="3"/>
  <c r="BC41" i="3"/>
  <c r="BC33" i="3"/>
  <c r="BC26" i="3"/>
  <c r="BD20" i="3"/>
  <c r="BD48" i="3"/>
  <c r="BC36" i="3"/>
  <c r="BC52" i="3"/>
  <c r="BD54" i="3"/>
  <c r="BC15" i="3"/>
  <c r="BD24" i="3"/>
  <c r="BC43" i="3"/>
  <c r="BD11" i="3"/>
  <c r="BC55" i="3"/>
  <c r="BD33" i="3"/>
  <c r="BD13" i="3"/>
  <c r="BC8" i="3"/>
  <c r="BC44" i="3"/>
  <c r="BD46" i="3"/>
  <c r="BD55" i="3"/>
  <c r="BC47" i="3"/>
  <c r="BC10" i="3"/>
  <c r="BD45" i="3"/>
  <c r="BD52" i="3"/>
  <c r="BC21" i="3"/>
  <c r="BC38" i="3"/>
  <c r="BD9" i="3"/>
  <c r="BD30" i="3"/>
  <c r="BC14" i="3"/>
  <c r="BD16" i="3"/>
  <c r="BD41" i="3"/>
  <c r="BC12" i="3"/>
  <c r="BC37" i="3"/>
  <c r="BC16" i="3"/>
  <c r="BD17" i="3"/>
  <c r="BD29" i="3"/>
  <c r="BD21" i="3"/>
  <c r="BD10" i="3"/>
  <c r="BC23" i="3"/>
  <c r="BC28" i="3"/>
  <c r="BD53" i="3"/>
  <c r="BC18" i="3"/>
  <c r="BC32" i="3"/>
  <c r="BC35" i="3"/>
  <c r="BC25" i="3"/>
  <c r="BC20" i="3"/>
  <c r="BD40" i="3"/>
  <c r="BD36" i="3"/>
  <c r="BC9" i="3"/>
  <c r="BD28" i="3"/>
  <c r="BD44" i="3"/>
  <c r="BD39" i="3"/>
  <c r="BC11" i="3"/>
  <c r="BC45" i="3"/>
  <c r="BD56" i="3"/>
  <c r="BD42" i="3"/>
  <c r="BC7" i="3"/>
  <c r="BD49" i="3"/>
  <c r="C115" i="9"/>
  <c r="BC46" i="3"/>
  <c r="BD47" i="3"/>
  <c r="BD50" i="3"/>
  <c r="BC6" i="3"/>
  <c r="BD35" i="3"/>
  <c r="BC31" i="3"/>
  <c r="BC40" i="3"/>
  <c r="BD34" i="3"/>
  <c r="D408" i="8"/>
  <c r="BC48" i="3"/>
  <c r="BC53" i="3"/>
  <c r="BC22" i="3"/>
  <c r="BC56" i="3"/>
  <c r="BD19" i="3"/>
  <c r="BD25" i="3"/>
  <c r="BC13" i="3"/>
  <c r="BD27" i="3"/>
  <c r="BD12" i="3"/>
  <c r="BC17" i="3"/>
  <c r="B41" i="3"/>
  <c r="BD15" i="3"/>
  <c r="BD38" i="3"/>
  <c r="BC54" i="3"/>
  <c r="BC19" i="3"/>
  <c r="E408" i="8"/>
  <c r="BC29" i="3"/>
  <c r="BD22" i="3"/>
  <c r="BD6" i="3"/>
  <c r="BD32" i="3"/>
  <c r="BC51" i="3"/>
  <c r="BC27" i="3"/>
  <c r="BC24" i="3"/>
  <c r="BC34" i="3"/>
  <c r="BD7" i="3"/>
  <c r="BD51" i="3"/>
  <c r="BD26" i="3"/>
  <c r="AF134" i="9"/>
  <c r="E644" i="9" s="1"/>
  <c r="AF136" i="9"/>
  <c r="BD18" i="3"/>
  <c r="BC30" i="3"/>
  <c r="BC39" i="3"/>
  <c r="BC42" i="3"/>
  <c r="BC50" i="3"/>
  <c r="BC49" i="3"/>
  <c r="BD31" i="3"/>
  <c r="BD37" i="3"/>
  <c r="A123" i="15"/>
  <c r="H651" i="9"/>
  <c r="J650" i="9"/>
  <c r="AY329" i="10"/>
  <c r="D329" i="10" s="1"/>
  <c r="E329" i="10" s="1"/>
  <c r="I407" i="2"/>
  <c r="H429" i="1"/>
  <c r="AD235" i="1"/>
  <c r="AE235" i="1" s="1"/>
  <c r="AK235" i="1" s="1"/>
  <c r="AJ460" i="2"/>
  <c r="W235" i="2"/>
  <c r="AR649" i="1"/>
  <c r="AL643" i="1"/>
  <c r="V242" i="1" l="1"/>
  <c r="W242" i="1" s="1"/>
  <c r="I134" i="14"/>
  <c r="BS134" i="14" s="1"/>
  <c r="AT28" i="14" s="1"/>
  <c r="AU28" i="14" s="1"/>
  <c r="O28" i="14" s="1"/>
  <c r="H136" i="14"/>
  <c r="BO136" i="14" s="1"/>
  <c r="AM30" i="14" s="1"/>
  <c r="N30" i="14" s="1"/>
  <c r="I138" i="14"/>
  <c r="BS138" i="14" s="1"/>
  <c r="AT32" i="14" s="1"/>
  <c r="AU32" i="14" s="1"/>
  <c r="O32" i="14" s="1"/>
  <c r="H137" i="14"/>
  <c r="BO137" i="14" s="1"/>
  <c r="AM31" i="14" s="1"/>
  <c r="N31" i="14" s="1"/>
  <c r="H138" i="14"/>
  <c r="BO138" i="14" s="1"/>
  <c r="AM32" i="14" s="1"/>
  <c r="N32" i="14" s="1"/>
  <c r="I136" i="14"/>
  <c r="BS136" i="14" s="1"/>
  <c r="AT30" i="14" s="1"/>
  <c r="AU30" i="14" s="1"/>
  <c r="O30" i="14" s="1"/>
  <c r="CR36" i="14"/>
  <c r="CR38" i="14"/>
  <c r="CQ34" i="14"/>
  <c r="CQ38" i="14"/>
  <c r="CQ36" i="14"/>
  <c r="CR34" i="14"/>
  <c r="I137" i="14"/>
  <c r="BS137" i="14" s="1"/>
  <c r="AT31" i="14" s="1"/>
  <c r="AU31" i="14" s="1"/>
  <c r="O31" i="14" s="1"/>
  <c r="CR37" i="14"/>
  <c r="I135" i="14"/>
  <c r="BS135" i="14" s="1"/>
  <c r="AT29" i="14" s="1"/>
  <c r="AU29" i="14" s="1"/>
  <c r="O29" i="14" s="1"/>
  <c r="O123" i="14" s="1"/>
  <c r="AV34" i="14" s="1"/>
  <c r="AW34" i="14" s="1"/>
  <c r="BI763" i="1"/>
  <c r="CQ37" i="14"/>
  <c r="H135" i="14"/>
  <c r="BO135" i="14" s="1"/>
  <c r="AM29" i="14" s="1"/>
  <c r="N29" i="14" s="1"/>
  <c r="D941" i="2"/>
  <c r="AL60" i="3" s="1"/>
  <c r="AO649" i="1"/>
  <c r="AS649" i="1"/>
  <c r="AT649" i="1" s="1"/>
  <c r="AV649" i="1" s="1"/>
  <c r="BD649" i="1"/>
  <c r="R145" i="15"/>
  <c r="T759" i="1"/>
  <c r="P341" i="10"/>
  <c r="Q341" i="10" s="1"/>
  <c r="M369" i="10" s="1"/>
  <c r="Q55" i="12" s="1"/>
  <c r="Q77" i="12" s="1"/>
  <c r="I77" i="12" s="1"/>
  <c r="E11" i="4"/>
  <c r="G11" i="4" s="1"/>
  <c r="AK464" i="2"/>
  <c r="AL238" i="1"/>
  <c r="AM238" i="1" s="1"/>
  <c r="C1060" i="8"/>
  <c r="C1062" i="8" s="1"/>
  <c r="D940" i="2"/>
  <c r="AL59" i="3" s="1"/>
  <c r="AL66" i="3" s="1"/>
  <c r="D870" i="2"/>
  <c r="H940" i="2" s="1"/>
  <c r="P346" i="10"/>
  <c r="Q346" i="10" s="1"/>
  <c r="P353" i="10"/>
  <c r="Q353" i="10" s="1"/>
  <c r="AD8" i="3"/>
  <c r="P360" i="10"/>
  <c r="Q360" i="10" s="1"/>
  <c r="M376" i="10" s="1"/>
  <c r="Q62" i="12" s="1"/>
  <c r="Q84" i="12" s="1"/>
  <c r="I84" i="12" s="1"/>
  <c r="P363" i="10"/>
  <c r="Q363" i="10" s="1"/>
  <c r="P361" i="10"/>
  <c r="Q361" i="10" s="1"/>
  <c r="P349" i="10"/>
  <c r="Q349" i="10" s="1"/>
  <c r="P343" i="10"/>
  <c r="Q343" i="10" s="1"/>
  <c r="P345" i="10"/>
  <c r="Q345" i="10" s="1"/>
  <c r="P351" i="10"/>
  <c r="Q351" i="10" s="1"/>
  <c r="P342" i="10"/>
  <c r="Q342" i="10" s="1"/>
  <c r="M370" i="10" s="1"/>
  <c r="Q56" i="12" s="1"/>
  <c r="P340" i="10"/>
  <c r="Q340" i="10" s="1"/>
  <c r="M368" i="10" s="1"/>
  <c r="Q54" i="12" s="1"/>
  <c r="AD27" i="3"/>
  <c r="P358" i="10"/>
  <c r="Q358" i="10" s="1"/>
  <c r="M375" i="10" s="1"/>
  <c r="Q61" i="12" s="1"/>
  <c r="E127" i="12"/>
  <c r="N334" i="12"/>
  <c r="N333" i="12"/>
  <c r="C127" i="12"/>
  <c r="N335" i="12"/>
  <c r="N332" i="12"/>
  <c r="G127" i="12"/>
  <c r="N127" i="12"/>
  <c r="N330" i="12"/>
  <c r="N327" i="12"/>
  <c r="F127" i="12"/>
  <c r="AD44" i="3"/>
  <c r="AG44" i="3" s="1"/>
  <c r="P355" i="10"/>
  <c r="Q355" i="10" s="1"/>
  <c r="O62" i="4"/>
  <c r="G62" i="4"/>
  <c r="J62" i="4" s="1"/>
  <c r="P350" i="10"/>
  <c r="Q350" i="10" s="1"/>
  <c r="AD30" i="3"/>
  <c r="P362" i="10"/>
  <c r="Q362" i="10" s="1"/>
  <c r="P354" i="10"/>
  <c r="Q354" i="10" s="1"/>
  <c r="P347" i="10"/>
  <c r="Q347" i="10" s="1"/>
  <c r="P348" i="10"/>
  <c r="Q348" i="10" s="1"/>
  <c r="P356" i="10"/>
  <c r="Q356" i="10" s="1"/>
  <c r="AD22" i="3"/>
  <c r="P359" i="10"/>
  <c r="Q359" i="10" s="1"/>
  <c r="P357" i="10"/>
  <c r="Q357" i="10" s="1"/>
  <c r="J61" i="4"/>
  <c r="I146" i="15"/>
  <c r="R146" i="15"/>
  <c r="M155" i="1"/>
  <c r="M165" i="1" s="1"/>
  <c r="AD9" i="3"/>
  <c r="I148" i="15"/>
  <c r="I155" i="15"/>
  <c r="X38" i="3"/>
  <c r="Z38" i="3" s="1"/>
  <c r="AD23" i="3"/>
  <c r="I149" i="15"/>
  <c r="AD7" i="3"/>
  <c r="R151" i="15"/>
  <c r="BJ763" i="1"/>
  <c r="X10" i="3"/>
  <c r="Z10" i="3" s="1"/>
  <c r="I154" i="15"/>
  <c r="X18" i="3"/>
  <c r="Z18" i="3" s="1"/>
  <c r="S697" i="1"/>
  <c r="BF759" i="1"/>
  <c r="BM759" i="1" s="1"/>
  <c r="BM771" i="1" s="1"/>
  <c r="AI638" i="1"/>
  <c r="AJ638" i="1"/>
  <c r="AK638" i="1" s="1"/>
  <c r="AJ640" i="1"/>
  <c r="AK640" i="1" s="1"/>
  <c r="AI640" i="1"/>
  <c r="AI648" i="1"/>
  <c r="AJ648" i="1"/>
  <c r="AK648" i="1" s="1"/>
  <c r="AJ647" i="1"/>
  <c r="AK647" i="1" s="1"/>
  <c r="AI647" i="1"/>
  <c r="X39" i="3"/>
  <c r="Z39" i="3" s="1"/>
  <c r="S240" i="2"/>
  <c r="T240" i="2" s="1"/>
  <c r="AJ644" i="1"/>
  <c r="AK644" i="1" s="1"/>
  <c r="AI644" i="1"/>
  <c r="BH1148" i="2"/>
  <c r="BH1141" i="2"/>
  <c r="BH1149" i="2"/>
  <c r="BH1139" i="2"/>
  <c r="BH1137" i="2" s="1"/>
  <c r="BH1142" i="2"/>
  <c r="BH1144" i="2"/>
  <c r="BH1140" i="2"/>
  <c r="BH1150" i="2"/>
  <c r="BH1143" i="2"/>
  <c r="BH1146" i="2"/>
  <c r="BH1145" i="2"/>
  <c r="BH1147" i="2"/>
  <c r="BH1151" i="2"/>
  <c r="I150" i="15"/>
  <c r="AG6" i="3"/>
  <c r="BJ760" i="1"/>
  <c r="BI760" i="1"/>
  <c r="AJ645" i="1"/>
  <c r="AK645" i="1" s="1"/>
  <c r="AI645" i="1"/>
  <c r="G91" i="4"/>
  <c r="D211" i="10"/>
  <c r="AI639" i="1"/>
  <c r="AJ639" i="1"/>
  <c r="AK639" i="1" s="1"/>
  <c r="BB760" i="1"/>
  <c r="BF760" i="1" s="1"/>
  <c r="BM760" i="1" s="1"/>
  <c r="BN760" i="1" s="1"/>
  <c r="AJ641" i="1"/>
  <c r="AK641" i="1" s="1"/>
  <c r="AI641" i="1"/>
  <c r="X41" i="3"/>
  <c r="Z41" i="3" s="1"/>
  <c r="X40" i="3"/>
  <c r="Z40" i="3" s="1"/>
  <c r="AJ646" i="1"/>
  <c r="AK646" i="1" s="1"/>
  <c r="AI646" i="1"/>
  <c r="AI642" i="1"/>
  <c r="AJ642" i="1"/>
  <c r="AK642" i="1" s="1"/>
  <c r="T243" i="2"/>
  <c r="X45" i="3"/>
  <c r="Z45" i="3" s="1"/>
  <c r="AD49" i="3"/>
  <c r="AG49" i="3" s="1"/>
  <c r="X14" i="3"/>
  <c r="Z14" i="3" s="1"/>
  <c r="AD50" i="3"/>
  <c r="AD43" i="3"/>
  <c r="AG43" i="3" s="1"/>
  <c r="AD38" i="3"/>
  <c r="AG38" i="3" s="1"/>
  <c r="AD16" i="3"/>
  <c r="AD45" i="3"/>
  <c r="AG45" i="3" s="1"/>
  <c r="AD37" i="3"/>
  <c r="AG37" i="3" s="1"/>
  <c r="AD21" i="3"/>
  <c r="AD25" i="3"/>
  <c r="AD36" i="3"/>
  <c r="AG36" i="3" s="1"/>
  <c r="AD35" i="3"/>
  <c r="AG35" i="3" s="1"/>
  <c r="AD31" i="3"/>
  <c r="S358" i="10"/>
  <c r="U335" i="10"/>
  <c r="S340" i="10"/>
  <c r="AD46" i="3"/>
  <c r="AG46" i="3" s="1"/>
  <c r="AD13" i="3"/>
  <c r="X43" i="3"/>
  <c r="Z43" i="3" s="1"/>
  <c r="AG50" i="3"/>
  <c r="AD17" i="3"/>
  <c r="AD28" i="3"/>
  <c r="X55" i="3"/>
  <c r="Z55" i="3" s="1"/>
  <c r="AD40" i="3"/>
  <c r="AG40" i="3" s="1"/>
  <c r="AD42" i="3"/>
  <c r="AG42" i="3" s="1"/>
  <c r="X27" i="3"/>
  <c r="Z27" i="3" s="1"/>
  <c r="X35" i="3"/>
  <c r="Z35" i="3" s="1"/>
  <c r="AD32" i="3"/>
  <c r="AG32" i="3" s="1"/>
  <c r="AD18" i="3"/>
  <c r="X23" i="3"/>
  <c r="Z23" i="3" s="1"/>
  <c r="AD52" i="3"/>
  <c r="AG52" i="3" s="1"/>
  <c r="AD10" i="3"/>
  <c r="AD48" i="3"/>
  <c r="AG48" i="3" s="1"/>
  <c r="AD47" i="3"/>
  <c r="AG47" i="3" s="1"/>
  <c r="AD19" i="3"/>
  <c r="AD39" i="3"/>
  <c r="AG39" i="3" s="1"/>
  <c r="T770" i="1"/>
  <c r="BC770" i="1" s="1"/>
  <c r="BF770" i="1"/>
  <c r="BM770" i="1" s="1"/>
  <c r="BN770" i="1" s="1"/>
  <c r="R697" i="1"/>
  <c r="D698" i="1" s="1"/>
  <c r="N123" i="14"/>
  <c r="AN28" i="14" s="1"/>
  <c r="AO28" i="14" s="1"/>
  <c r="AM643" i="1"/>
  <c r="AN643" i="1" s="1"/>
  <c r="AK466" i="2"/>
  <c r="AL240" i="1"/>
  <c r="AM240" i="1" s="1"/>
  <c r="T765" i="1"/>
  <c r="BC765" i="1" s="1"/>
  <c r="BF765" i="1"/>
  <c r="BM765" i="1" s="1"/>
  <c r="BN765" i="1" s="1"/>
  <c r="BL765" i="1"/>
  <c r="BH765" i="1"/>
  <c r="BL770" i="1"/>
  <c r="BH759" i="1"/>
  <c r="T767" i="1"/>
  <c r="BF767" i="1"/>
  <c r="BM767" i="1" s="1"/>
  <c r="BN767" i="1" s="1"/>
  <c r="BH767" i="1"/>
  <c r="BL767" i="1"/>
  <c r="J651" i="9"/>
  <c r="H652" i="9"/>
  <c r="I455" i="1"/>
  <c r="B102" i="25"/>
  <c r="AU11" i="3"/>
  <c r="AV11" i="3" s="1"/>
  <c r="AT12" i="3" s="1"/>
  <c r="K54" i="9"/>
  <c r="H54" i="9"/>
  <c r="R54" i="9"/>
  <c r="AB136" i="9"/>
  <c r="G54" i="9"/>
  <c r="T769" i="1"/>
  <c r="BF769" i="1"/>
  <c r="BM769" i="1" s="1"/>
  <c r="BN769" i="1" s="1"/>
  <c r="BH769" i="1"/>
  <c r="BL769" i="1"/>
  <c r="O240" i="10"/>
  <c r="AE240" i="10"/>
  <c r="T760" i="1"/>
  <c r="BL760" i="1"/>
  <c r="BH760" i="1"/>
  <c r="J331" i="10"/>
  <c r="I240" i="10" s="1"/>
  <c r="G1202" i="1"/>
  <c r="H1202" i="1" s="1"/>
  <c r="J322" i="10"/>
  <c r="I231" i="10" s="1"/>
  <c r="G1193" i="1"/>
  <c r="H1193" i="1" s="1"/>
  <c r="O238" i="10"/>
  <c r="AE238" i="10"/>
  <c r="S236" i="2"/>
  <c r="I462" i="1"/>
  <c r="B109" i="25"/>
  <c r="J323" i="10"/>
  <c r="I232" i="10" s="1"/>
  <c r="G1194" i="1"/>
  <c r="H1194" i="1" s="1"/>
  <c r="G230" i="10"/>
  <c r="Q335" i="10"/>
  <c r="AL233" i="1"/>
  <c r="AM233" i="1" s="1"/>
  <c r="AL459" i="2"/>
  <c r="AM459" i="2" s="1"/>
  <c r="AK459" i="2"/>
  <c r="T768" i="1"/>
  <c r="BC768" i="1" s="1"/>
  <c r="BF768" i="1"/>
  <c r="BM768" i="1" s="1"/>
  <c r="BN768" i="1" s="1"/>
  <c r="BL768" i="1"/>
  <c r="BH768" i="1"/>
  <c r="C236" i="10"/>
  <c r="E236" i="10"/>
  <c r="T766" i="1"/>
  <c r="BF766" i="1"/>
  <c r="BM766" i="1" s="1"/>
  <c r="BN766" i="1" s="1"/>
  <c r="BH766" i="1"/>
  <c r="BL766" i="1"/>
  <c r="K123" i="14"/>
  <c r="J325" i="10"/>
  <c r="I234" i="10" s="1"/>
  <c r="G1196" i="1"/>
  <c r="H1196" i="1" s="1"/>
  <c r="C241" i="10"/>
  <c r="E241" i="10"/>
  <c r="X30" i="3"/>
  <c r="Z30" i="3" s="1"/>
  <c r="B1012" i="2"/>
  <c r="B999" i="1"/>
  <c r="AL467" i="2"/>
  <c r="AM467" i="2" s="1"/>
  <c r="AL241" i="1"/>
  <c r="AM241" i="1" s="1"/>
  <c r="AK467" i="2"/>
  <c r="X34" i="3"/>
  <c r="Z34" i="3" s="1"/>
  <c r="AL465" i="2"/>
  <c r="AM465" i="2" s="1"/>
  <c r="AL239" i="1"/>
  <c r="AM239" i="1" s="1"/>
  <c r="AK465" i="2"/>
  <c r="I468" i="1"/>
  <c r="B115" i="25"/>
  <c r="D287" i="8"/>
  <c r="D281" i="8"/>
  <c r="O241" i="10"/>
  <c r="AE241" i="10"/>
  <c r="AA262" i="2"/>
  <c r="AA265" i="2"/>
  <c r="E282" i="2" s="1"/>
  <c r="C232" i="10"/>
  <c r="E232" i="10"/>
  <c r="X33" i="3"/>
  <c r="Z33" i="3" s="1"/>
  <c r="X13" i="3"/>
  <c r="Z13" i="3" s="1"/>
  <c r="X56" i="3"/>
  <c r="Z56" i="3" s="1"/>
  <c r="X47" i="3"/>
  <c r="Z47" i="3" s="1"/>
  <c r="X15" i="3"/>
  <c r="Z15" i="3" s="1"/>
  <c r="R149" i="15"/>
  <c r="E234" i="10"/>
  <c r="C234" i="10"/>
  <c r="AM333" i="10"/>
  <c r="R866" i="2"/>
  <c r="R156" i="15"/>
  <c r="S239" i="2"/>
  <c r="S231" i="2"/>
  <c r="I470" i="1"/>
  <c r="B117" i="25"/>
  <c r="AD55" i="3"/>
  <c r="AG55" i="3" s="1"/>
  <c r="AD51" i="3"/>
  <c r="AG51" i="3" s="1"/>
  <c r="AD20" i="3"/>
  <c r="R152" i="15"/>
  <c r="D588" i="2"/>
  <c r="U588" i="2"/>
  <c r="F212" i="4"/>
  <c r="G212" i="4" s="1"/>
  <c r="U262" i="2"/>
  <c r="U265" i="2"/>
  <c r="E276" i="2" s="1"/>
  <c r="B652" i="9"/>
  <c r="D651" i="9"/>
  <c r="O651" i="9" s="1"/>
  <c r="S353" i="10"/>
  <c r="J326" i="10"/>
  <c r="I235" i="10" s="1"/>
  <c r="G1197" i="1"/>
  <c r="H1197" i="1" s="1"/>
  <c r="AL462" i="2"/>
  <c r="AM462" i="2" s="1"/>
  <c r="AL236" i="1"/>
  <c r="AM236" i="1" s="1"/>
  <c r="AN236" i="1" s="1"/>
  <c r="Y271" i="1" s="1"/>
  <c r="AK462" i="2"/>
  <c r="X37" i="3"/>
  <c r="Z37" i="3" s="1"/>
  <c r="S262" i="2"/>
  <c r="S265" i="2"/>
  <c r="E274" i="2" s="1"/>
  <c r="D492" i="8"/>
  <c r="F1287" i="2" s="1"/>
  <c r="D488" i="8"/>
  <c r="D489" i="8"/>
  <c r="E321" i="10"/>
  <c r="D335" i="10"/>
  <c r="P910" i="1" s="1"/>
  <c r="C239" i="10"/>
  <c r="E239" i="10"/>
  <c r="S237" i="2"/>
  <c r="I461" i="1"/>
  <c r="B108" i="25"/>
  <c r="S351" i="10"/>
  <c r="S360" i="10"/>
  <c r="I453" i="1"/>
  <c r="B100" i="25"/>
  <c r="X25" i="3"/>
  <c r="Z25" i="3" s="1"/>
  <c r="X21" i="3"/>
  <c r="Z21" i="3" s="1"/>
  <c r="X17" i="3"/>
  <c r="Z17" i="3" s="1"/>
  <c r="I456" i="1"/>
  <c r="B103" i="25"/>
  <c r="R154" i="15"/>
  <c r="Y112" i="10"/>
  <c r="AI112" i="10"/>
  <c r="X112" i="10" s="1"/>
  <c r="C235" i="10"/>
  <c r="E235" i="10"/>
  <c r="K385" i="1"/>
  <c r="P301" i="2"/>
  <c r="K301" i="2"/>
  <c r="AD54" i="3"/>
  <c r="AG54" i="3" s="1"/>
  <c r="AD24" i="3"/>
  <c r="AD12" i="3"/>
  <c r="U596" i="2"/>
  <c r="D596" i="2"/>
  <c r="O239" i="10"/>
  <c r="AE239" i="10"/>
  <c r="T234" i="2"/>
  <c r="I466" i="1"/>
  <c r="B113" i="25"/>
  <c r="E233" i="10"/>
  <c r="C233" i="10"/>
  <c r="AB262" i="2"/>
  <c r="AB265" i="2"/>
  <c r="E283" i="2" s="1"/>
  <c r="O232" i="10"/>
  <c r="AE232" i="10"/>
  <c r="S359" i="10"/>
  <c r="S355" i="10"/>
  <c r="O237" i="10"/>
  <c r="AE237" i="10"/>
  <c r="AF764" i="1"/>
  <c r="BC764" i="1"/>
  <c r="AL458" i="2"/>
  <c r="AM458" i="2" s="1"/>
  <c r="AL232" i="1"/>
  <c r="AM232" i="1" s="1"/>
  <c r="AN232" i="1" s="1"/>
  <c r="Y267" i="1" s="1"/>
  <c r="AK458" i="2"/>
  <c r="BF761" i="1"/>
  <c r="BM761" i="1" s="1"/>
  <c r="BN761" i="1" s="1"/>
  <c r="T761" i="1"/>
  <c r="BH761" i="1"/>
  <c r="BL761" i="1"/>
  <c r="C1046" i="8"/>
  <c r="N275" i="8" s="1"/>
  <c r="C1029" i="8"/>
  <c r="X9" i="3"/>
  <c r="Z9" i="3" s="1"/>
  <c r="S241" i="2"/>
  <c r="C377" i="2"/>
  <c r="D405" i="2"/>
  <c r="E405" i="2" s="1"/>
  <c r="O366" i="2"/>
  <c r="Z262" i="2"/>
  <c r="Z265" i="2"/>
  <c r="E281" i="2" s="1"/>
  <c r="E645" i="9"/>
  <c r="X24" i="3"/>
  <c r="Z24" i="3" s="1"/>
  <c r="X12" i="3"/>
  <c r="Z12" i="3" s="1"/>
  <c r="E231" i="10"/>
  <c r="C231" i="10"/>
  <c r="O235" i="10"/>
  <c r="AE235" i="10"/>
  <c r="AD14" i="3"/>
  <c r="AD33" i="3"/>
  <c r="AG33" i="3" s="1"/>
  <c r="AD34" i="3"/>
  <c r="AG34" i="3" s="1"/>
  <c r="K12" i="3"/>
  <c r="AU649" i="1"/>
  <c r="I454" i="1"/>
  <c r="B101" i="25"/>
  <c r="O233" i="10"/>
  <c r="AE233" i="10"/>
  <c r="S341" i="10"/>
  <c r="S348" i="10"/>
  <c r="S343" i="10"/>
  <c r="S346" i="10"/>
  <c r="J330" i="10"/>
  <c r="I239" i="10" s="1"/>
  <c r="G1201" i="1"/>
  <c r="H1201" i="1" s="1"/>
  <c r="I955" i="2"/>
  <c r="I954" i="2"/>
  <c r="I953" i="2"/>
  <c r="AM70" i="3" s="1"/>
  <c r="D900" i="2"/>
  <c r="D1049" i="2"/>
  <c r="U900" i="2"/>
  <c r="J327" i="10"/>
  <c r="I236" i="10" s="1"/>
  <c r="G1198" i="1"/>
  <c r="H1198" i="1" s="1"/>
  <c r="I244" i="10"/>
  <c r="P244" i="10" s="1"/>
  <c r="R244" i="10" s="1"/>
  <c r="AL333" i="10" s="1"/>
  <c r="J336" i="10"/>
  <c r="AI6" i="10" s="1"/>
  <c r="AL461" i="2"/>
  <c r="AM461" i="2" s="1"/>
  <c r="AL235" i="1"/>
  <c r="AM235" i="1" s="1"/>
  <c r="AN235" i="1" s="1"/>
  <c r="Y270" i="1" s="1"/>
  <c r="AK461" i="2"/>
  <c r="X11" i="3"/>
  <c r="Z11" i="3" s="1"/>
  <c r="X20" i="3"/>
  <c r="Z20" i="3" s="1"/>
  <c r="X46" i="3"/>
  <c r="Z46" i="3" s="1"/>
  <c r="I465" i="1"/>
  <c r="B112" i="25"/>
  <c r="AL457" i="2"/>
  <c r="AM457" i="2" s="1"/>
  <c r="AL231" i="1"/>
  <c r="AK457" i="2"/>
  <c r="I467" i="1"/>
  <c r="B114" i="25"/>
  <c r="R148" i="15"/>
  <c r="AD56" i="3"/>
  <c r="AG56" i="3" s="1"/>
  <c r="AD11" i="3"/>
  <c r="AD26" i="3"/>
  <c r="I457" i="1"/>
  <c r="B104" i="25"/>
  <c r="G98" i="4"/>
  <c r="J98" i="4" s="1"/>
  <c r="O15" i="4"/>
  <c r="Q98" i="4" s="1"/>
  <c r="Q97" i="4" s="1"/>
  <c r="R147" i="15"/>
  <c r="R153" i="15"/>
  <c r="M150" i="1"/>
  <c r="AL230" i="1"/>
  <c r="AM230" i="1" s="1"/>
  <c r="AN230" i="1" s="1"/>
  <c r="Y265" i="1" s="1"/>
  <c r="AL456" i="2"/>
  <c r="AM456" i="2" s="1"/>
  <c r="AK456" i="2"/>
  <c r="I459" i="1"/>
  <c r="B106" i="25"/>
  <c r="J329" i="10"/>
  <c r="I238" i="10" s="1"/>
  <c r="G1200" i="1"/>
  <c r="H1200" i="1" s="1"/>
  <c r="X52" i="3"/>
  <c r="Z52" i="3" s="1"/>
  <c r="X36" i="3"/>
  <c r="Z36" i="3" s="1"/>
  <c r="X49" i="3"/>
  <c r="Z49" i="3" s="1"/>
  <c r="X8" i="3"/>
  <c r="Z8" i="3" s="1"/>
  <c r="AH321" i="10"/>
  <c r="AI321" i="10" s="1"/>
  <c r="X335" i="10"/>
  <c r="S233" i="2"/>
  <c r="E238" i="10"/>
  <c r="C238" i="10"/>
  <c r="I458" i="1"/>
  <c r="B105" i="25"/>
  <c r="I472" i="1"/>
  <c r="B119" i="25"/>
  <c r="R150" i="15"/>
  <c r="C240" i="10"/>
  <c r="E240" i="10"/>
  <c r="T262" i="2"/>
  <c r="T265" i="2"/>
  <c r="E275" i="2" s="1"/>
  <c r="S357" i="10"/>
  <c r="S362" i="10"/>
  <c r="S363" i="10"/>
  <c r="I460" i="1"/>
  <c r="B107" i="25"/>
  <c r="W262" i="2"/>
  <c r="W265" i="2"/>
  <c r="E278" i="2" s="1"/>
  <c r="T763" i="1"/>
  <c r="BF763" i="1"/>
  <c r="BM763" i="1" s="1"/>
  <c r="BN763" i="1" s="1"/>
  <c r="BL763" i="1"/>
  <c r="BH763" i="1"/>
  <c r="S356" i="10"/>
  <c r="O234" i="10"/>
  <c r="AE234" i="10"/>
  <c r="X28" i="3"/>
  <c r="Z28" i="3" s="1"/>
  <c r="X29" i="3"/>
  <c r="Z29" i="3" s="1"/>
  <c r="R262" i="2"/>
  <c r="R265" i="2"/>
  <c r="E273" i="2" s="1"/>
  <c r="O231" i="10"/>
  <c r="AE231" i="10"/>
  <c r="X48" i="3"/>
  <c r="Z48" i="3" s="1"/>
  <c r="X42" i="3"/>
  <c r="Z42" i="3" s="1"/>
  <c r="N1205" i="1"/>
  <c r="P887" i="1" s="1"/>
  <c r="U136" i="9"/>
  <c r="R47" i="9"/>
  <c r="G47" i="9"/>
  <c r="H47" i="9"/>
  <c r="K47" i="9"/>
  <c r="I153" i="15"/>
  <c r="M166" i="15"/>
  <c r="I151" i="15"/>
  <c r="I156" i="15"/>
  <c r="M163" i="15"/>
  <c r="M165" i="15"/>
  <c r="M162" i="15"/>
  <c r="M161" i="15"/>
  <c r="I147" i="15"/>
  <c r="M164" i="15"/>
  <c r="I145" i="15"/>
  <c r="D1012" i="2"/>
  <c r="D999" i="1"/>
  <c r="A131" i="15"/>
  <c r="G130" i="15" s="1"/>
  <c r="S354" i="10"/>
  <c r="S350" i="10"/>
  <c r="F731" i="1"/>
  <c r="E731" i="1"/>
  <c r="Y262" i="2"/>
  <c r="Y265" i="2"/>
  <c r="E280" i="2" s="1"/>
  <c r="H52" i="9"/>
  <c r="R52" i="9"/>
  <c r="G52" i="9"/>
  <c r="Z136" i="9"/>
  <c r="K52" i="9"/>
  <c r="E53" i="9"/>
  <c r="S349" i="10"/>
  <c r="X31" i="3"/>
  <c r="Z31" i="3" s="1"/>
  <c r="Q882" i="1"/>
  <c r="E1055" i="1"/>
  <c r="E1084" i="1" s="1"/>
  <c r="D890" i="1"/>
  <c r="D892" i="1" s="1"/>
  <c r="D882" i="1"/>
  <c r="D887" i="1" s="1"/>
  <c r="D1104" i="1"/>
  <c r="R383" i="10" s="1"/>
  <c r="F161" i="1"/>
  <c r="J324" i="10"/>
  <c r="I233" i="10" s="1"/>
  <c r="G1195" i="1"/>
  <c r="H1195" i="1" s="1"/>
  <c r="I463" i="1"/>
  <c r="B110" i="25"/>
  <c r="S361" i="10"/>
  <c r="J871" i="8"/>
  <c r="G871" i="8"/>
  <c r="G872" i="8"/>
  <c r="G869" i="8" s="1"/>
  <c r="N411" i="8" s="1"/>
  <c r="H871" i="8"/>
  <c r="H872" i="8"/>
  <c r="H869" i="8" s="1"/>
  <c r="J872" i="8"/>
  <c r="X19" i="3"/>
  <c r="Z19" i="3" s="1"/>
  <c r="O236" i="10"/>
  <c r="AE236" i="10"/>
  <c r="B1006" i="1"/>
  <c r="B1019" i="2"/>
  <c r="S242" i="2"/>
  <c r="I464" i="1"/>
  <c r="B111" i="25"/>
  <c r="M650" i="9"/>
  <c r="K651" i="9"/>
  <c r="I469" i="1"/>
  <c r="B116" i="25"/>
  <c r="S345" i="10"/>
  <c r="G1104" i="1"/>
  <c r="J1165" i="2" s="1"/>
  <c r="H155" i="1"/>
  <c r="J155" i="1" s="1"/>
  <c r="J161" i="1" s="1"/>
  <c r="F175" i="1"/>
  <c r="P187" i="1"/>
  <c r="P188" i="1" s="1"/>
  <c r="F187" i="1" s="1"/>
  <c r="AI191" i="1" s="1"/>
  <c r="AJ191" i="1" s="1"/>
  <c r="AK182" i="1" s="1"/>
  <c r="AJ182" i="1" s="1"/>
  <c r="S342" i="10"/>
  <c r="S235" i="2"/>
  <c r="T235" i="2" s="1"/>
  <c r="X7" i="3"/>
  <c r="Z7" i="3" s="1"/>
  <c r="X51" i="3"/>
  <c r="Z51" i="3" s="1"/>
  <c r="X44" i="3"/>
  <c r="Z44" i="3" s="1"/>
  <c r="X22" i="3"/>
  <c r="Z22" i="3" s="1"/>
  <c r="J332" i="10"/>
  <c r="I241" i="10" s="1"/>
  <c r="G1203" i="1"/>
  <c r="H1203" i="1" s="1"/>
  <c r="V262" i="2"/>
  <c r="V265" i="2"/>
  <c r="E277" i="2" s="1"/>
  <c r="J123" i="14"/>
  <c r="X262" i="2"/>
  <c r="X265" i="2"/>
  <c r="E279" i="2" s="1"/>
  <c r="AC262" i="2"/>
  <c r="AC265" i="2"/>
  <c r="E284" i="2" s="1"/>
  <c r="I471" i="1"/>
  <c r="B118" i="25"/>
  <c r="AJ333" i="10"/>
  <c r="E243" i="10"/>
  <c r="L243" i="10" s="1"/>
  <c r="N243" i="10" s="1"/>
  <c r="AK333" i="10" s="1"/>
  <c r="D1151" i="2" s="1"/>
  <c r="I1151" i="2" s="1"/>
  <c r="E380" i="8"/>
  <c r="C381" i="8"/>
  <c r="S347" i="10"/>
  <c r="AL460" i="2"/>
  <c r="AM460" i="2" s="1"/>
  <c r="AL234" i="1"/>
  <c r="AM234" i="1" s="1"/>
  <c r="AK460" i="2"/>
  <c r="X32" i="3"/>
  <c r="Z32" i="3" s="1"/>
  <c r="X53" i="3"/>
  <c r="Z53" i="3" s="1"/>
  <c r="X54" i="3"/>
  <c r="Z54" i="3" s="1"/>
  <c r="X50" i="3"/>
  <c r="Z50" i="3" s="1"/>
  <c r="Q50" i="2"/>
  <c r="S50" i="2" s="1"/>
  <c r="D50" i="2" s="1"/>
  <c r="Q54" i="2"/>
  <c r="S54" i="2" s="1"/>
  <c r="D54" i="2" s="1"/>
  <c r="Q58" i="2"/>
  <c r="S58" i="2" s="1"/>
  <c r="D58" i="2" s="1"/>
  <c r="Q56" i="2"/>
  <c r="S56" i="2" s="1"/>
  <c r="D56" i="2" s="1"/>
  <c r="Q57" i="2"/>
  <c r="S57" i="2" s="1"/>
  <c r="D57" i="2" s="1"/>
  <c r="Q52" i="2"/>
  <c r="S52" i="2" s="1"/>
  <c r="D52" i="2" s="1"/>
  <c r="Q60" i="2"/>
  <c r="S60" i="2" s="1"/>
  <c r="D60" i="2" s="1"/>
  <c r="Q53" i="2"/>
  <c r="S53" i="2" s="1"/>
  <c r="D53" i="2" s="1"/>
  <c r="Q62" i="2"/>
  <c r="S62" i="2" s="1"/>
  <c r="Q49" i="2"/>
  <c r="S49" i="2" s="1"/>
  <c r="Q51" i="2"/>
  <c r="S51" i="2" s="1"/>
  <c r="D51" i="2" s="1"/>
  <c r="Q59" i="2"/>
  <c r="S59" i="2" s="1"/>
  <c r="D59" i="2" s="1"/>
  <c r="Q55" i="2"/>
  <c r="S55" i="2" s="1"/>
  <c r="D55" i="2" s="1"/>
  <c r="AL463" i="2"/>
  <c r="AM463" i="2" s="1"/>
  <c r="AL237" i="1"/>
  <c r="AM237" i="1" s="1"/>
  <c r="AK463" i="2"/>
  <c r="Q262" i="2"/>
  <c r="Q265" i="2"/>
  <c r="E272" i="2" s="1"/>
  <c r="E177" i="1"/>
  <c r="F176" i="1"/>
  <c r="F177" i="1" s="1"/>
  <c r="AD53" i="3"/>
  <c r="AG53" i="3" s="1"/>
  <c r="AD41" i="3"/>
  <c r="AG41" i="3" s="1"/>
  <c r="AD29" i="3"/>
  <c r="AD15" i="3"/>
  <c r="U363" i="8"/>
  <c r="C368" i="8" s="1"/>
  <c r="Q379" i="8"/>
  <c r="U379" i="8" s="1"/>
  <c r="S232" i="2"/>
  <c r="T232" i="2" s="1"/>
  <c r="U232" i="2" s="1"/>
  <c r="S238" i="2"/>
  <c r="T238" i="2" s="1"/>
  <c r="U238" i="2" s="1"/>
  <c r="J328" i="10"/>
  <c r="I237" i="10" s="1"/>
  <c r="G1199" i="1"/>
  <c r="H1199" i="1" s="1"/>
  <c r="AF759" i="1"/>
  <c r="BC759" i="1"/>
  <c r="BC771" i="1" s="1"/>
  <c r="AF762" i="1"/>
  <c r="BC762" i="1"/>
  <c r="AD289" i="2"/>
  <c r="AD294" i="2"/>
  <c r="AD282" i="2"/>
  <c r="AD295" i="2"/>
  <c r="AD278" i="2"/>
  <c r="AD297" i="2"/>
  <c r="AD290" i="2"/>
  <c r="AD299" i="2"/>
  <c r="AD271" i="2"/>
  <c r="AD269" i="2"/>
  <c r="AD262" i="2" s="1"/>
  <c r="AD287" i="2"/>
  <c r="AD285" i="2"/>
  <c r="AD284" i="2"/>
  <c r="AD275" i="2"/>
  <c r="AD279" i="2"/>
  <c r="AD280" i="2"/>
  <c r="AD288" i="2"/>
  <c r="AD292" i="2"/>
  <c r="AD286" i="2"/>
  <c r="AD272" i="2"/>
  <c r="AD283" i="2"/>
  <c r="AD274" i="2"/>
  <c r="AD276" i="2"/>
  <c r="AD273" i="2"/>
  <c r="AD293" i="2"/>
  <c r="AD291" i="2"/>
  <c r="AD270" i="2"/>
  <c r="AD298" i="2"/>
  <c r="AD277" i="2"/>
  <c r="AD296" i="2"/>
  <c r="AD281" i="2"/>
  <c r="E237" i="10"/>
  <c r="C237" i="10"/>
  <c r="AL642" i="1"/>
  <c r="AL640" i="1"/>
  <c r="AL645" i="1"/>
  <c r="AL639" i="1"/>
  <c r="AL647" i="1"/>
  <c r="AL641" i="1"/>
  <c r="AL638" i="1"/>
  <c r="AL648" i="1"/>
  <c r="AL644" i="1"/>
  <c r="AL646" i="1"/>
  <c r="AM468" i="2" l="1"/>
  <c r="D493" i="2" s="1"/>
  <c r="M372" i="10"/>
  <c r="Q58" i="12" s="1"/>
  <c r="Q80" i="12" s="1"/>
  <c r="I80" i="12" s="1"/>
  <c r="Z273" i="1"/>
  <c r="N55" i="12"/>
  <c r="Q66" i="12"/>
  <c r="I66" i="12" s="1"/>
  <c r="I55" i="12"/>
  <c r="AN238" i="1"/>
  <c r="Y273" i="1" s="1"/>
  <c r="D786" i="1"/>
  <c r="F1069" i="1"/>
  <c r="AN31" i="14"/>
  <c r="AO31" i="14" s="1"/>
  <c r="BN759" i="1"/>
  <c r="BN771" i="1" s="1"/>
  <c r="D785" i="1" s="1"/>
  <c r="F1068" i="1" s="1"/>
  <c r="AN32" i="14"/>
  <c r="AO32" i="14" s="1"/>
  <c r="I62" i="12"/>
  <c r="N62" i="12"/>
  <c r="M374" i="10"/>
  <c r="Q60" i="12" s="1"/>
  <c r="I60" i="12" s="1"/>
  <c r="Q73" i="12"/>
  <c r="I73" i="12" s="1"/>
  <c r="M371" i="10"/>
  <c r="Q57" i="12" s="1"/>
  <c r="Q68" i="12" s="1"/>
  <c r="I68" i="12" s="1"/>
  <c r="F1066" i="1"/>
  <c r="F1083" i="1" s="1"/>
  <c r="E803" i="1" s="1"/>
  <c r="E805" i="1" s="1"/>
  <c r="AN34" i="14"/>
  <c r="AO34" i="14" s="1"/>
  <c r="AH41" i="3"/>
  <c r="BE41" i="3" s="1"/>
  <c r="AH35" i="3"/>
  <c r="BE35" i="3" s="1"/>
  <c r="C156" i="12"/>
  <c r="AL87" i="3"/>
  <c r="C141" i="12"/>
  <c r="N114" i="12"/>
  <c r="AI46" i="3"/>
  <c r="O46" i="3" s="1"/>
  <c r="E1066" i="1"/>
  <c r="E1083" i="1" s="1"/>
  <c r="D803" i="1" s="1"/>
  <c r="D805" i="1" s="1"/>
  <c r="AN234" i="1"/>
  <c r="Y269" i="1" s="1"/>
  <c r="N412" i="8"/>
  <c r="D412" i="8" s="1"/>
  <c r="AH38" i="3"/>
  <c r="AW38" i="3" s="1"/>
  <c r="D787" i="1"/>
  <c r="AI32" i="3"/>
  <c r="O32" i="3" s="1"/>
  <c r="AH43" i="3"/>
  <c r="AW43" i="3" s="1"/>
  <c r="E698" i="1"/>
  <c r="AH47" i="3"/>
  <c r="AW47" i="3" s="1"/>
  <c r="AN29" i="14"/>
  <c r="AO29" i="14" s="1"/>
  <c r="AI44" i="3"/>
  <c r="O44" i="3" s="1"/>
  <c r="AH37" i="3"/>
  <c r="AW37" i="3" s="1"/>
  <c r="F188" i="1"/>
  <c r="AM646" i="1"/>
  <c r="AN646" i="1" s="1"/>
  <c r="AM644" i="1"/>
  <c r="AN644" i="1" s="1"/>
  <c r="AM648" i="1"/>
  <c r="AN648" i="1" s="1"/>
  <c r="AM638" i="1"/>
  <c r="AN638" i="1" s="1"/>
  <c r="AM641" i="1"/>
  <c r="AN641" i="1" s="1"/>
  <c r="AM647" i="1"/>
  <c r="AN647" i="1" s="1"/>
  <c r="AM639" i="1"/>
  <c r="AN639" i="1" s="1"/>
  <c r="AM645" i="1"/>
  <c r="AN645" i="1" s="1"/>
  <c r="AM640" i="1"/>
  <c r="AN640" i="1" s="1"/>
  <c r="AM642" i="1"/>
  <c r="AN642" i="1" s="1"/>
  <c r="E188" i="1"/>
  <c r="AF770" i="1"/>
  <c r="AG770" i="1" s="1"/>
  <c r="AH770" i="1" s="1"/>
  <c r="AI770" i="1" s="1"/>
  <c r="R158" i="15"/>
  <c r="U240" i="2"/>
  <c r="V240" i="2" s="1"/>
  <c r="F328" i="1" s="1"/>
  <c r="AV30" i="14"/>
  <c r="AW30" i="14" s="1"/>
  <c r="J91" i="4"/>
  <c r="J96" i="4" s="1"/>
  <c r="I96" i="4" s="1"/>
  <c r="G96" i="4"/>
  <c r="D1002" i="2"/>
  <c r="C52" i="9"/>
  <c r="AV32" i="14"/>
  <c r="AW32" i="14" s="1"/>
  <c r="E187" i="1"/>
  <c r="J130" i="15"/>
  <c r="J125" i="15" s="1"/>
  <c r="AV31" i="14"/>
  <c r="AW31" i="14" s="1"/>
  <c r="AH45" i="3"/>
  <c r="N45" i="3" s="1"/>
  <c r="AI45" i="3"/>
  <c r="O45" i="3" s="1"/>
  <c r="AH48" i="3"/>
  <c r="BE48" i="3" s="1"/>
  <c r="AH56" i="3"/>
  <c r="AW56" i="3" s="1"/>
  <c r="AH50" i="3"/>
  <c r="BE50" i="3" s="1"/>
  <c r="AH39" i="3"/>
  <c r="AW39" i="3" s="1"/>
  <c r="AI39" i="3"/>
  <c r="O39" i="3" s="1"/>
  <c r="AH40" i="3"/>
  <c r="AI40" i="3"/>
  <c r="O40" i="3" s="1"/>
  <c r="AH53" i="3"/>
  <c r="BE53" i="3" s="1"/>
  <c r="AI49" i="3"/>
  <c r="O49" i="3" s="1"/>
  <c r="AH33" i="3"/>
  <c r="AW33" i="3" s="1"/>
  <c r="AI36" i="3"/>
  <c r="BF36" i="3" s="1"/>
  <c r="AH54" i="3"/>
  <c r="AW54" i="3" s="1"/>
  <c r="AH34" i="3"/>
  <c r="N34" i="3" s="1"/>
  <c r="AI42" i="3"/>
  <c r="O42" i="3" s="1"/>
  <c r="AI52" i="3"/>
  <c r="O52" i="3" s="1"/>
  <c r="AI43" i="3"/>
  <c r="BF43" i="3" s="1"/>
  <c r="AI51" i="3"/>
  <c r="O51" i="3" s="1"/>
  <c r="AI50" i="3"/>
  <c r="BF50" i="3" s="1"/>
  <c r="AI35" i="3"/>
  <c r="O35" i="3" s="1"/>
  <c r="AF765" i="1"/>
  <c r="AG765" i="1" s="1"/>
  <c r="AH765" i="1" s="1"/>
  <c r="AI765" i="1" s="1"/>
  <c r="AN38" i="14"/>
  <c r="AO38" i="14" s="1"/>
  <c r="AV36" i="14"/>
  <c r="AW36" i="14" s="1"/>
  <c r="AV29" i="14"/>
  <c r="AW29" i="14" s="1"/>
  <c r="F698" i="1"/>
  <c r="AN240" i="1"/>
  <c r="Y275" i="1" s="1"/>
  <c r="AN36" i="14"/>
  <c r="AO36" i="14" s="1"/>
  <c r="AV38" i="14"/>
  <c r="AW38" i="14" s="1"/>
  <c r="AP643" i="1"/>
  <c r="AQ643" i="1" s="1"/>
  <c r="AO643" i="1"/>
  <c r="AN30" i="14"/>
  <c r="AO30" i="14" s="1"/>
  <c r="Z275" i="1"/>
  <c r="AC275" i="1" s="1"/>
  <c r="AV28" i="14"/>
  <c r="AW28" i="14" s="1"/>
  <c r="AN237" i="1"/>
  <c r="Y272" i="1" s="1"/>
  <c r="AN35" i="14"/>
  <c r="AO35" i="14" s="1"/>
  <c r="AV35" i="14"/>
  <c r="AW35" i="14" s="1"/>
  <c r="AN37" i="14"/>
  <c r="AO37" i="14" s="1"/>
  <c r="AV37" i="14"/>
  <c r="AW37" i="14" s="1"/>
  <c r="AN241" i="1"/>
  <c r="Y276" i="1" s="1"/>
  <c r="AU12" i="3"/>
  <c r="AV12" i="3" s="1"/>
  <c r="AT13" i="3" s="1"/>
  <c r="AH55" i="3"/>
  <c r="AI55" i="3"/>
  <c r="G126" i="15"/>
  <c r="G129" i="15"/>
  <c r="G118" i="15"/>
  <c r="G120" i="15"/>
  <c r="G124" i="15"/>
  <c r="G123" i="15"/>
  <c r="G127" i="15"/>
  <c r="G128" i="15"/>
  <c r="G121" i="15"/>
  <c r="G122" i="15"/>
  <c r="G125" i="15"/>
  <c r="G119" i="15"/>
  <c r="O304" i="2"/>
  <c r="K388" i="1"/>
  <c r="K303" i="2"/>
  <c r="K390" i="1" s="1"/>
  <c r="R302" i="2"/>
  <c r="Q43" i="2"/>
  <c r="Q44" i="2"/>
  <c r="E44" i="2" s="1"/>
  <c r="G44" i="2" s="1"/>
  <c r="J44" i="2" s="1"/>
  <c r="Q45" i="2"/>
  <c r="E45" i="2" s="1"/>
  <c r="G45" i="2" s="1"/>
  <c r="J45" i="2" s="1"/>
  <c r="D49" i="2"/>
  <c r="D61" i="2" s="1"/>
  <c r="D918" i="1"/>
  <c r="D910" i="1"/>
  <c r="E1076" i="1"/>
  <c r="Q910" i="1"/>
  <c r="E335" i="10"/>
  <c r="J321" i="10"/>
  <c r="G1192" i="1"/>
  <c r="H1192" i="1" s="1"/>
  <c r="H1205" i="1" s="1"/>
  <c r="P915" i="1" s="1"/>
  <c r="C382" i="8"/>
  <c r="E368" i="8"/>
  <c r="E382" i="8" s="1"/>
  <c r="AI48" i="3"/>
  <c r="AG759" i="1"/>
  <c r="AH759" i="1" s="1"/>
  <c r="AI759" i="1" s="1"/>
  <c r="AJ759" i="1"/>
  <c r="AH52" i="3"/>
  <c r="E646" i="9"/>
  <c r="G645" i="9"/>
  <c r="BN1151" i="2"/>
  <c r="Z1151" i="2"/>
  <c r="AE1151" i="2"/>
  <c r="BO1151" i="2"/>
  <c r="O1151" i="2"/>
  <c r="BI1151" i="2"/>
  <c r="U235" i="2"/>
  <c r="V235" i="2" s="1"/>
  <c r="F323" i="1" s="1"/>
  <c r="B55" i="25"/>
  <c r="E361" i="1"/>
  <c r="AM330" i="10"/>
  <c r="AF239" i="10"/>
  <c r="CB1043" i="2"/>
  <c r="E178" i="4"/>
  <c r="F287" i="8"/>
  <c r="AM329" i="10"/>
  <c r="CB1042" i="2"/>
  <c r="AF238" i="10"/>
  <c r="AM331" i="10"/>
  <c r="AF240" i="10"/>
  <c r="CB1044" i="2"/>
  <c r="H653" i="9"/>
  <c r="J652" i="9"/>
  <c r="E887" i="1"/>
  <c r="E890" i="1"/>
  <c r="E892" i="1" s="1"/>
  <c r="F887" i="1"/>
  <c r="AW649" i="1"/>
  <c r="BF649" i="1"/>
  <c r="BI649" i="1" s="1"/>
  <c r="AC273" i="1"/>
  <c r="AA273" i="1"/>
  <c r="P233" i="10"/>
  <c r="R233" i="10" s="1"/>
  <c r="AC233" i="10"/>
  <c r="L235" i="10"/>
  <c r="N235" i="10" s="1"/>
  <c r="AJ326" i="10"/>
  <c r="T242" i="2"/>
  <c r="U242" i="2" s="1"/>
  <c r="V242" i="2" s="1"/>
  <c r="F330" i="1" s="1"/>
  <c r="C130" i="15"/>
  <c r="AI56" i="3"/>
  <c r="AF760" i="1"/>
  <c r="BC760" i="1"/>
  <c r="L236" i="10"/>
  <c r="N236" i="10" s="1"/>
  <c r="AJ327" i="10"/>
  <c r="P237" i="10"/>
  <c r="R237" i="10" s="1"/>
  <c r="AC237" i="10"/>
  <c r="F1055" i="1"/>
  <c r="F1084" i="1" s="1"/>
  <c r="D1084" i="1" s="1"/>
  <c r="E900" i="1"/>
  <c r="E903" i="1" s="1"/>
  <c r="E882" i="1"/>
  <c r="I158" i="15"/>
  <c r="G673" i="9"/>
  <c r="F673" i="9"/>
  <c r="E673" i="9"/>
  <c r="C673" i="9"/>
  <c r="D673" i="9"/>
  <c r="H673" i="9" s="1"/>
  <c r="K48" i="9"/>
  <c r="I58" i="12"/>
  <c r="N58" i="12"/>
  <c r="E1151" i="2"/>
  <c r="J1151" i="2" s="1"/>
  <c r="X260" i="10"/>
  <c r="AH46" i="3"/>
  <c r="AM328" i="10"/>
  <c r="CB1041" i="2"/>
  <c r="AF237" i="10"/>
  <c r="AI37" i="3"/>
  <c r="L130" i="15"/>
  <c r="AI41" i="3"/>
  <c r="P232" i="10"/>
  <c r="R232" i="10" s="1"/>
  <c r="AC232" i="10"/>
  <c r="Z274" i="1"/>
  <c r="E367" i="1"/>
  <c r="B61" i="25"/>
  <c r="J212" i="4"/>
  <c r="J213" i="4" s="1"/>
  <c r="I213" i="4" s="1"/>
  <c r="G213" i="4"/>
  <c r="K19" i="3" s="1"/>
  <c r="E43" i="9" s="1"/>
  <c r="T236" i="2"/>
  <c r="U236" i="2" s="1"/>
  <c r="T231" i="2"/>
  <c r="Z272" i="1"/>
  <c r="V238" i="2"/>
  <c r="F326" i="1" s="1"/>
  <c r="B62" i="25"/>
  <c r="E368" i="1"/>
  <c r="T233" i="2"/>
  <c r="U233" i="2" s="1"/>
  <c r="V233" i="2" s="1"/>
  <c r="F321" i="1" s="1"/>
  <c r="D282" i="8"/>
  <c r="E270" i="8"/>
  <c r="F270" i="8" s="1"/>
  <c r="D276" i="8"/>
  <c r="D284" i="8" s="1"/>
  <c r="D275" i="8"/>
  <c r="D286" i="8" s="1"/>
  <c r="T239" i="2"/>
  <c r="U239" i="2" s="1"/>
  <c r="J128" i="15"/>
  <c r="L241" i="10"/>
  <c r="N241" i="10" s="1"/>
  <c r="AJ332" i="10"/>
  <c r="AI38" i="3"/>
  <c r="AM71" i="3"/>
  <c r="N954" i="2"/>
  <c r="AM72" i="3"/>
  <c r="N955" i="2"/>
  <c r="Z268" i="1"/>
  <c r="E364" i="1"/>
  <c r="B58" i="25"/>
  <c r="I130" i="15"/>
  <c r="AM322" i="10"/>
  <c r="AF231" i="10"/>
  <c r="CB1035" i="2"/>
  <c r="AF761" i="1"/>
  <c r="BC761" i="1"/>
  <c r="E172" i="4"/>
  <c r="F281" i="8"/>
  <c r="B59" i="25"/>
  <c r="E365" i="1"/>
  <c r="M651" i="9"/>
  <c r="K652" i="9"/>
  <c r="N414" i="8"/>
  <c r="B60" i="25"/>
  <c r="E366" i="1"/>
  <c r="P236" i="10"/>
  <c r="R236" i="10" s="1"/>
  <c r="AC236" i="10"/>
  <c r="AM326" i="10"/>
  <c r="CB1039" i="2"/>
  <c r="AF235" i="10"/>
  <c r="B63" i="25"/>
  <c r="E369" i="1"/>
  <c r="AI33" i="3"/>
  <c r="P231" i="10"/>
  <c r="R231" i="10" s="1"/>
  <c r="AC231" i="10"/>
  <c r="AF763" i="1"/>
  <c r="BC763" i="1"/>
  <c r="AH49" i="3"/>
  <c r="B54" i="25"/>
  <c r="E360" i="1"/>
  <c r="Z276" i="1"/>
  <c r="AM332" i="10"/>
  <c r="AF241" i="10"/>
  <c r="CB1045" i="2"/>
  <c r="P239" i="10"/>
  <c r="R239" i="10" s="1"/>
  <c r="AC239" i="10"/>
  <c r="AH36" i="3"/>
  <c r="F184" i="4"/>
  <c r="G184" i="4" s="1"/>
  <c r="J184" i="4" s="1"/>
  <c r="E381" i="8"/>
  <c r="P238" i="10"/>
  <c r="R238" i="10" s="1"/>
  <c r="AC238" i="10"/>
  <c r="AM327" i="10"/>
  <c r="AF236" i="10"/>
  <c r="CB1040" i="2"/>
  <c r="E363" i="1"/>
  <c r="B57" i="25"/>
  <c r="AM324" i="10"/>
  <c r="CB1037" i="2"/>
  <c r="AF233" i="10"/>
  <c r="I61" i="12"/>
  <c r="N61" i="12"/>
  <c r="Q83" i="12"/>
  <c r="I83" i="12" s="1"/>
  <c r="Q72" i="12"/>
  <c r="I72" i="12" s="1"/>
  <c r="Z267" i="1"/>
  <c r="AH42" i="3"/>
  <c r="T237" i="2"/>
  <c r="U237" i="2" s="1"/>
  <c r="Z271" i="1"/>
  <c r="S20" i="2"/>
  <c r="E927" i="2"/>
  <c r="E932" i="2"/>
  <c r="E21" i="2"/>
  <c r="E10" i="2"/>
  <c r="AF768" i="1"/>
  <c r="U234" i="2"/>
  <c r="V234" i="2" s="1"/>
  <c r="F322" i="1" s="1"/>
  <c r="B64" i="25"/>
  <c r="E370" i="1"/>
  <c r="AJ764" i="1"/>
  <c r="AG764" i="1"/>
  <c r="AH764" i="1" s="1"/>
  <c r="AI764" i="1" s="1"/>
  <c r="Z269" i="1"/>
  <c r="E680" i="9"/>
  <c r="F680" i="9"/>
  <c r="C680" i="9"/>
  <c r="G680" i="9"/>
  <c r="D680" i="9"/>
  <c r="H680" i="9" s="1"/>
  <c r="AI47" i="3"/>
  <c r="D130" i="15"/>
  <c r="AF766" i="1"/>
  <c r="BC766" i="1"/>
  <c r="E130" i="15"/>
  <c r="D411" i="8"/>
  <c r="E411" i="8"/>
  <c r="P411" i="8"/>
  <c r="T411" i="8" s="1"/>
  <c r="R411" i="8"/>
  <c r="L238" i="10"/>
  <c r="N238" i="10" s="1"/>
  <c r="AJ329" i="10"/>
  <c r="L237" i="10"/>
  <c r="N237" i="10" s="1"/>
  <c r="AJ328" i="10"/>
  <c r="AI54" i="3"/>
  <c r="F130" i="15"/>
  <c r="Q78" i="12"/>
  <c r="I78" i="12" s="1"/>
  <c r="N56" i="12"/>
  <c r="Q67" i="12"/>
  <c r="I67" i="12" s="1"/>
  <c r="I56" i="12"/>
  <c r="E230" i="10"/>
  <c r="C230" i="10"/>
  <c r="X383" i="2"/>
  <c r="X393" i="2"/>
  <c r="X385" i="2"/>
  <c r="X390" i="2"/>
  <c r="X398" i="2"/>
  <c r="X402" i="2"/>
  <c r="X395" i="2"/>
  <c r="X391" i="2"/>
  <c r="X400" i="2"/>
  <c r="X396" i="2"/>
  <c r="X394" i="2"/>
  <c r="X399" i="2"/>
  <c r="X387" i="2"/>
  <c r="X392" i="2"/>
  <c r="X384" i="2"/>
  <c r="X388" i="2"/>
  <c r="X401" i="2"/>
  <c r="X386" i="2"/>
  <c r="X397" i="2"/>
  <c r="X389" i="2"/>
  <c r="X382" i="2"/>
  <c r="O367" i="2"/>
  <c r="AM323" i="10"/>
  <c r="AF232" i="10"/>
  <c r="CB1036" i="2"/>
  <c r="AH51" i="3"/>
  <c r="AN333" i="10"/>
  <c r="AP333" i="10" s="1"/>
  <c r="X262" i="10"/>
  <c r="AH32" i="3"/>
  <c r="AF767" i="1"/>
  <c r="BC767" i="1"/>
  <c r="L239" i="10"/>
  <c r="N239" i="10" s="1"/>
  <c r="AJ330" i="10"/>
  <c r="L233" i="10"/>
  <c r="N233" i="10" s="1"/>
  <c r="AJ324" i="10"/>
  <c r="AH44" i="3"/>
  <c r="Z270" i="1"/>
  <c r="K130" i="15"/>
  <c r="H130" i="15"/>
  <c r="E362" i="1"/>
  <c r="B56" i="25"/>
  <c r="AI53" i="3"/>
  <c r="B66" i="25"/>
  <c r="E372" i="1"/>
  <c r="P241" i="10"/>
  <c r="R241" i="10" s="1"/>
  <c r="AC241" i="10"/>
  <c r="G53" i="9"/>
  <c r="H53" i="9"/>
  <c r="AA136" i="9"/>
  <c r="K53" i="9"/>
  <c r="R53" i="9"/>
  <c r="B32" i="9" s="1"/>
  <c r="AM325" i="10"/>
  <c r="AF234" i="10"/>
  <c r="CB1038" i="2"/>
  <c r="L240" i="10"/>
  <c r="N240" i="10" s="1"/>
  <c r="AJ331" i="10"/>
  <c r="L231" i="10"/>
  <c r="N231" i="10" s="1"/>
  <c r="AJ322" i="10"/>
  <c r="E371" i="1"/>
  <c r="B65" i="25"/>
  <c r="AI34" i="3"/>
  <c r="O230" i="10"/>
  <c r="AE230" i="10"/>
  <c r="AF243" i="10" s="1"/>
  <c r="P240" i="10"/>
  <c r="R240" i="10" s="1"/>
  <c r="AC240" i="10"/>
  <c r="AF769" i="1"/>
  <c r="BC769" i="1"/>
  <c r="P235" i="10"/>
  <c r="R235" i="10" s="1"/>
  <c r="AC235" i="10"/>
  <c r="Z265" i="1"/>
  <c r="T241" i="2"/>
  <c r="U241" i="2" s="1"/>
  <c r="V241" i="2" s="1"/>
  <c r="F329" i="1" s="1"/>
  <c r="B653" i="9"/>
  <c r="D652" i="9"/>
  <c r="O652" i="9" s="1"/>
  <c r="H1104" i="1"/>
  <c r="K1165" i="2" s="1"/>
  <c r="H161" i="1"/>
  <c r="AG762" i="1"/>
  <c r="AH762" i="1" s="1"/>
  <c r="AI762" i="1" s="1"/>
  <c r="AJ762" i="1"/>
  <c r="V232" i="2"/>
  <c r="F320" i="1" s="1"/>
  <c r="D187" i="1"/>
  <c r="C186" i="1"/>
  <c r="D186" i="1"/>
  <c r="C187" i="1"/>
  <c r="D188" i="1"/>
  <c r="C188" i="1"/>
  <c r="E186" i="1"/>
  <c r="F186" i="1"/>
  <c r="AI190" i="1" s="1"/>
  <c r="AJ190" i="1" s="1"/>
  <c r="AK181" i="1" s="1"/>
  <c r="AJ181" i="1" s="1"/>
  <c r="F678" i="9"/>
  <c r="C678" i="9"/>
  <c r="D678" i="9"/>
  <c r="H678" i="9" s="1"/>
  <c r="G678" i="9"/>
  <c r="E678" i="9"/>
  <c r="AM231" i="1"/>
  <c r="N54" i="12"/>
  <c r="Q76" i="12"/>
  <c r="Q65" i="12"/>
  <c r="I54" i="12"/>
  <c r="L234" i="10"/>
  <c r="N234" i="10" s="1"/>
  <c r="AJ325" i="10"/>
  <c r="L232" i="10"/>
  <c r="N232" i="10" s="1"/>
  <c r="AJ323" i="10"/>
  <c r="AN239" i="1"/>
  <c r="Y274" i="1" s="1"/>
  <c r="P234" i="10"/>
  <c r="R234" i="10" s="1"/>
  <c r="AC234" i="10"/>
  <c r="AN233" i="1"/>
  <c r="Y268" i="1" s="1"/>
  <c r="C54" i="9"/>
  <c r="AD273" i="1"/>
  <c r="AR643" i="1"/>
  <c r="BF32" i="3" l="1"/>
  <c r="Q69" i="12"/>
  <c r="I69" i="12" s="1"/>
  <c r="D312" i="1"/>
  <c r="V499" i="2"/>
  <c r="J1122" i="2" s="1"/>
  <c r="C1123" i="2" s="1"/>
  <c r="F1123" i="2" s="1"/>
  <c r="M785" i="1"/>
  <c r="K10" i="3"/>
  <c r="G43" i="9"/>
  <c r="R43" i="9"/>
  <c r="Q136" i="9"/>
  <c r="H43" i="9"/>
  <c r="K43" i="9"/>
  <c r="N41" i="3"/>
  <c r="AW41" i="3"/>
  <c r="Q79" i="12"/>
  <c r="I79" i="12" s="1"/>
  <c r="AW35" i="3"/>
  <c r="Q71" i="12"/>
  <c r="I71" i="12" s="1"/>
  <c r="N35" i="3"/>
  <c r="AW50" i="3"/>
  <c r="N50" i="3"/>
  <c r="Q82" i="12"/>
  <c r="I82" i="12" s="1"/>
  <c r="N60" i="12"/>
  <c r="N57" i="12"/>
  <c r="I57" i="12"/>
  <c r="AK762" i="1"/>
  <c r="AL762" i="1" s="1"/>
  <c r="O43" i="3"/>
  <c r="BF51" i="3"/>
  <c r="BE56" i="3"/>
  <c r="N56" i="3"/>
  <c r="BF46" i="3"/>
  <c r="D1083" i="1"/>
  <c r="M988" i="1" s="1"/>
  <c r="N48" i="3"/>
  <c r="AW48" i="3"/>
  <c r="N37" i="3"/>
  <c r="BE37" i="3"/>
  <c r="N38" i="3"/>
  <c r="N43" i="3"/>
  <c r="BE38" i="3"/>
  <c r="P412" i="8"/>
  <c r="T412" i="8" s="1"/>
  <c r="R412" i="8"/>
  <c r="N33" i="3"/>
  <c r="J124" i="15"/>
  <c r="BE47" i="3"/>
  <c r="N47" i="3"/>
  <c r="BF40" i="3"/>
  <c r="BE43" i="3"/>
  <c r="BE33" i="3"/>
  <c r="J126" i="15"/>
  <c r="BF44" i="3"/>
  <c r="J120" i="15"/>
  <c r="AW53" i="3"/>
  <c r="J118" i="15"/>
  <c r="N53" i="3"/>
  <c r="J122" i="15"/>
  <c r="J121" i="15"/>
  <c r="AP639" i="1"/>
  <c r="AQ639" i="1" s="1"/>
  <c r="AO639" i="1"/>
  <c r="AP640" i="1"/>
  <c r="AQ640" i="1" s="1"/>
  <c r="AO640" i="1"/>
  <c r="BF45" i="3"/>
  <c r="AP647" i="1"/>
  <c r="AQ647" i="1" s="1"/>
  <c r="AO647" i="1"/>
  <c r="AW45" i="3"/>
  <c r="AP641" i="1"/>
  <c r="AQ641" i="1" s="1"/>
  <c r="AO641" i="1"/>
  <c r="AP642" i="1"/>
  <c r="AQ642" i="1" s="1"/>
  <c r="AO642" i="1"/>
  <c r="J129" i="15"/>
  <c r="AJ770" i="1"/>
  <c r="AK770" i="1" s="1"/>
  <c r="AL770" i="1" s="1"/>
  <c r="J127" i="15"/>
  <c r="AJ765" i="1"/>
  <c r="AK765" i="1" s="1"/>
  <c r="AL765" i="1" s="1"/>
  <c r="J123" i="15"/>
  <c r="BE45" i="3"/>
  <c r="AO123" i="14"/>
  <c r="AO638" i="1"/>
  <c r="AP638" i="1"/>
  <c r="AQ638" i="1" s="1"/>
  <c r="AO645" i="1"/>
  <c r="AP645" i="1"/>
  <c r="AQ645" i="1" s="1"/>
  <c r="J119" i="15"/>
  <c r="AP648" i="1"/>
  <c r="AQ648" i="1" s="1"/>
  <c r="AO648" i="1"/>
  <c r="AO644" i="1"/>
  <c r="AP644" i="1"/>
  <c r="AQ644" i="1" s="1"/>
  <c r="AO646" i="1"/>
  <c r="AP646" i="1"/>
  <c r="AQ646" i="1" s="1"/>
  <c r="E901" i="1"/>
  <c r="F901" i="1" s="1"/>
  <c r="BE39" i="3"/>
  <c r="BF39" i="3"/>
  <c r="N39" i="3"/>
  <c r="V236" i="2"/>
  <c r="F324" i="1" s="1"/>
  <c r="BF52" i="3"/>
  <c r="AA275" i="1"/>
  <c r="AW34" i="3"/>
  <c r="BE34" i="3"/>
  <c r="O50" i="3"/>
  <c r="O36" i="3"/>
  <c r="BF49" i="3"/>
  <c r="N54" i="3"/>
  <c r="BF35" i="3"/>
  <c r="BE54" i="3"/>
  <c r="N40" i="3"/>
  <c r="BE40" i="3"/>
  <c r="AW40" i="3"/>
  <c r="C53" i="9"/>
  <c r="BF42" i="3"/>
  <c r="BD643" i="1"/>
  <c r="AS643" i="1"/>
  <c r="AT643" i="1" s="1"/>
  <c r="AK759" i="1"/>
  <c r="AL759" i="1" s="1"/>
  <c r="AW123" i="14"/>
  <c r="AE273" i="1"/>
  <c r="U258" i="1" s="1"/>
  <c r="V258" i="1" s="1"/>
  <c r="F288" i="1" s="1"/>
  <c r="G131" i="15"/>
  <c r="CF138" i="14" s="1"/>
  <c r="C1096" i="1"/>
  <c r="Q375" i="10" s="1"/>
  <c r="D1096" i="1"/>
  <c r="R375" i="10" s="1"/>
  <c r="S370" i="10" s="1"/>
  <c r="Y74" i="3" s="1"/>
  <c r="H1097" i="1"/>
  <c r="K1158" i="2" s="1"/>
  <c r="M989" i="1"/>
  <c r="G1097" i="1"/>
  <c r="J1158" i="2" s="1"/>
  <c r="AU13" i="3"/>
  <c r="AV13" i="3" s="1"/>
  <c r="AT14" i="3" s="1"/>
  <c r="AL325" i="10"/>
  <c r="E1143" i="2" s="1"/>
  <c r="J1143" i="2" s="1"/>
  <c r="CC1038" i="2"/>
  <c r="AD234" i="10"/>
  <c r="F1076" i="1"/>
  <c r="E910" i="1"/>
  <c r="E928" i="1"/>
  <c r="O402" i="2"/>
  <c r="O389" i="2"/>
  <c r="O388" i="2"/>
  <c r="O392" i="2"/>
  <c r="T319" i="2"/>
  <c r="O398" i="2"/>
  <c r="O391" i="2"/>
  <c r="O383" i="2"/>
  <c r="O390" i="2"/>
  <c r="O401" i="2"/>
  <c r="O393" i="2"/>
  <c r="O385" i="2"/>
  <c r="O387" i="2"/>
  <c r="O394" i="2"/>
  <c r="O397" i="2"/>
  <c r="O396" i="2"/>
  <c r="O400" i="2"/>
  <c r="O386" i="2"/>
  <c r="O384" i="2"/>
  <c r="O395" i="2"/>
  <c r="O399" i="2"/>
  <c r="O382" i="2"/>
  <c r="U231" i="2"/>
  <c r="V231" i="2" s="1"/>
  <c r="Y398" i="2"/>
  <c r="AA398" i="2" s="1"/>
  <c r="AB398" i="2"/>
  <c r="B153" i="25"/>
  <c r="AB390" i="2"/>
  <c r="Y390" i="2"/>
  <c r="AA390" i="2" s="1"/>
  <c r="B145" i="25"/>
  <c r="M15" i="2"/>
  <c r="U20" i="2"/>
  <c r="D20" i="2"/>
  <c r="C15" i="2"/>
  <c r="E173" i="4"/>
  <c r="L282" i="8"/>
  <c r="F282" i="8"/>
  <c r="Y393" i="2"/>
  <c r="AA393" i="2" s="1"/>
  <c r="AB393" i="2"/>
  <c r="B148" i="25"/>
  <c r="BZ1151" i="2"/>
  <c r="BM1151" i="2"/>
  <c r="N32" i="3"/>
  <c r="BE32" i="3"/>
  <c r="AW32" i="3"/>
  <c r="AB401" i="2"/>
  <c r="Y401" i="2"/>
  <c r="B156" i="25"/>
  <c r="Y383" i="2"/>
  <c r="AB383" i="2"/>
  <c r="B138" i="25"/>
  <c r="O38" i="3"/>
  <c r="BF38" i="3"/>
  <c r="AL323" i="10"/>
  <c r="E1141" i="2" s="1"/>
  <c r="J1141" i="2" s="1"/>
  <c r="AD232" i="10"/>
  <c r="CC1036" i="2"/>
  <c r="C674" i="9"/>
  <c r="E674" i="9"/>
  <c r="G674" i="9"/>
  <c r="F674" i="9"/>
  <c r="D674" i="9"/>
  <c r="H674" i="9" s="1"/>
  <c r="V239" i="2"/>
  <c r="F327" i="1" s="1"/>
  <c r="AG766" i="1"/>
  <c r="AH766" i="1" s="1"/>
  <c r="AI766" i="1" s="1"/>
  <c r="AJ766" i="1"/>
  <c r="AW49" i="3"/>
  <c r="N49" i="3"/>
  <c r="BE49" i="3"/>
  <c r="K1151" i="2"/>
  <c r="X1151" i="2" s="1"/>
  <c r="BQ1151" i="2"/>
  <c r="Q1151" i="2"/>
  <c r="CE1151" i="2" s="1"/>
  <c r="CF1151" i="2" s="1"/>
  <c r="BR1151" i="2"/>
  <c r="BS1151" i="2"/>
  <c r="S1151" i="2"/>
  <c r="AL1151" i="2"/>
  <c r="AM1151" i="2"/>
  <c r="AI1151" i="2"/>
  <c r="AK330" i="10"/>
  <c r="D1148" i="2" s="1"/>
  <c r="CA1043" i="2"/>
  <c r="AB239" i="10"/>
  <c r="F129" i="15"/>
  <c r="F120" i="15"/>
  <c r="F126" i="15"/>
  <c r="F124" i="15"/>
  <c r="F118" i="15"/>
  <c r="F122" i="15"/>
  <c r="F127" i="15"/>
  <c r="F128" i="15"/>
  <c r="F123" i="15"/>
  <c r="F121" i="15"/>
  <c r="F119" i="15"/>
  <c r="F125" i="15"/>
  <c r="N52" i="3"/>
  <c r="AW52" i="3"/>
  <c r="BE52" i="3"/>
  <c r="AN231" i="1"/>
  <c r="Y266" i="1" s="1"/>
  <c r="Y385" i="2"/>
  <c r="AB385" i="2"/>
  <c r="B140" i="25"/>
  <c r="AN326" i="10"/>
  <c r="AP326" i="10" s="1"/>
  <c r="AK328" i="10"/>
  <c r="D1146" i="2" s="1"/>
  <c r="CA1041" i="2"/>
  <c r="AB237" i="10"/>
  <c r="AK331" i="10"/>
  <c r="D1149" i="2" s="1"/>
  <c r="AB240" i="10"/>
  <c r="CA1044" i="2"/>
  <c r="Y388" i="2"/>
  <c r="AB388" i="2"/>
  <c r="B143" i="25"/>
  <c r="AW42" i="3"/>
  <c r="BE42" i="3"/>
  <c r="N42" i="3"/>
  <c r="AL322" i="10"/>
  <c r="E1140" i="2" s="1"/>
  <c r="J1140" i="2" s="1"/>
  <c r="AD231" i="10"/>
  <c r="CC1035" i="2"/>
  <c r="AL327" i="10"/>
  <c r="E1145" i="2" s="1"/>
  <c r="J1145" i="2" s="1"/>
  <c r="CC1040" i="2"/>
  <c r="AD236" i="10"/>
  <c r="Q172" i="4"/>
  <c r="G172" i="4" s="1"/>
  <c r="Z266" i="1"/>
  <c r="K653" i="9"/>
  <c r="M652" i="9"/>
  <c r="AN323" i="10"/>
  <c r="AP323" i="10" s="1"/>
  <c r="O56" i="3"/>
  <c r="BF56" i="3"/>
  <c r="AN324" i="10"/>
  <c r="AP324" i="10" s="1"/>
  <c r="L284" i="8"/>
  <c r="E175" i="4"/>
  <c r="F284" i="8"/>
  <c r="AL329" i="10"/>
  <c r="E1147" i="2" s="1"/>
  <c r="J1147" i="2" s="1"/>
  <c r="AD238" i="10"/>
  <c r="CC1042" i="2"/>
  <c r="AA274" i="1"/>
  <c r="AC274" i="1"/>
  <c r="N44" i="3"/>
  <c r="BE44" i="3"/>
  <c r="AW44" i="3"/>
  <c r="AA268" i="1"/>
  <c r="AC268" i="1"/>
  <c r="O34" i="3"/>
  <c r="BF34" i="3"/>
  <c r="H126" i="15"/>
  <c r="H129" i="15"/>
  <c r="H124" i="15"/>
  <c r="H118" i="15"/>
  <c r="H120" i="15"/>
  <c r="H128" i="15"/>
  <c r="H125" i="15"/>
  <c r="H122" i="15"/>
  <c r="H123" i="15"/>
  <c r="H127" i="15"/>
  <c r="H119" i="15"/>
  <c r="H121" i="15"/>
  <c r="AK329" i="10"/>
  <c r="D1147" i="2" s="1"/>
  <c r="AB238" i="10"/>
  <c r="CA1042" i="2"/>
  <c r="Y384" i="2"/>
  <c r="AB384" i="2"/>
  <c r="B139" i="25"/>
  <c r="AK764" i="1"/>
  <c r="AL764" i="1" s="1"/>
  <c r="AC267" i="1"/>
  <c r="AA267" i="1"/>
  <c r="BE36" i="3"/>
  <c r="AW36" i="3"/>
  <c r="N36" i="3"/>
  <c r="AK332" i="10"/>
  <c r="D1150" i="2" s="1"/>
  <c r="CA1045" i="2"/>
  <c r="AB241" i="10"/>
  <c r="L120" i="15"/>
  <c r="L124" i="15"/>
  <c r="L126" i="15"/>
  <c r="L118" i="15"/>
  <c r="L129" i="15"/>
  <c r="L119" i="15"/>
  <c r="L125" i="15"/>
  <c r="L123" i="15"/>
  <c r="L121" i="15"/>
  <c r="L122" i="15"/>
  <c r="L127" i="15"/>
  <c r="L128" i="15"/>
  <c r="J653" i="9"/>
  <c r="H654" i="9"/>
  <c r="AN322" i="10"/>
  <c r="AP322" i="10" s="1"/>
  <c r="Z260" i="10"/>
  <c r="P252" i="10"/>
  <c r="AN330" i="10"/>
  <c r="AP330" i="10" s="1"/>
  <c r="AL326" i="10"/>
  <c r="E1144" i="2" s="1"/>
  <c r="J1144" i="2" s="1"/>
  <c r="AD235" i="10"/>
  <c r="CC1039" i="2"/>
  <c r="Y402" i="2"/>
  <c r="AA402" i="2" s="1"/>
  <c r="AB402" i="2"/>
  <c r="B157" i="25"/>
  <c r="BE649" i="1"/>
  <c r="BH649" i="1" s="1"/>
  <c r="AX649" i="1"/>
  <c r="D653" i="9"/>
  <c r="O653" i="9" s="1"/>
  <c r="B654" i="9"/>
  <c r="AB382" i="2"/>
  <c r="Y382" i="2"/>
  <c r="B137" i="25"/>
  <c r="O330" i="2"/>
  <c r="AK323" i="10"/>
  <c r="D1141" i="2" s="1"/>
  <c r="AB232" i="10"/>
  <c r="CA1036" i="2"/>
  <c r="AG767" i="1"/>
  <c r="AH767" i="1" s="1"/>
  <c r="AI767" i="1" s="1"/>
  <c r="AJ767" i="1"/>
  <c r="AG763" i="1"/>
  <c r="AH763" i="1" s="1"/>
  <c r="AI763" i="1" s="1"/>
  <c r="AJ763" i="1"/>
  <c r="Q178" i="4"/>
  <c r="G178" i="4" s="1"/>
  <c r="J178" i="4" s="1"/>
  <c r="AB386" i="2"/>
  <c r="Y386" i="2"/>
  <c r="AA386" i="2" s="1"/>
  <c r="B141" i="25"/>
  <c r="Z262" i="10"/>
  <c r="R252" i="10"/>
  <c r="Y392" i="2"/>
  <c r="AB392" i="2"/>
  <c r="B147" i="25"/>
  <c r="AJ761" i="1"/>
  <c r="AG761" i="1"/>
  <c r="AH761" i="1" s="1"/>
  <c r="AI761" i="1" s="1"/>
  <c r="O37" i="3"/>
  <c r="BF37" i="3"/>
  <c r="F370" i="8"/>
  <c r="F380" i="8"/>
  <c r="F379" i="8"/>
  <c r="F375" i="8"/>
  <c r="F368" i="8"/>
  <c r="F377" i="8"/>
  <c r="F382" i="8"/>
  <c r="F374" i="8"/>
  <c r="F378" i="8"/>
  <c r="F369" i="8"/>
  <c r="F373" i="8"/>
  <c r="F372" i="8"/>
  <c r="AC265" i="1"/>
  <c r="AA265" i="1"/>
  <c r="AB400" i="2"/>
  <c r="Y400" i="2"/>
  <c r="AA400" i="2" s="1"/>
  <c r="B155" i="25"/>
  <c r="AJ760" i="1"/>
  <c r="AG760" i="1"/>
  <c r="AH760" i="1" s="1"/>
  <c r="AI760" i="1" s="1"/>
  <c r="AN329" i="10"/>
  <c r="AP329" i="10" s="1"/>
  <c r="AA272" i="1"/>
  <c r="AC272" i="1"/>
  <c r="AB395" i="2"/>
  <c r="Y395" i="2"/>
  <c r="AA395" i="2" s="1"/>
  <c r="B150" i="25"/>
  <c r="D920" i="1"/>
  <c r="D1095" i="1" s="1"/>
  <c r="R374" i="10" s="1"/>
  <c r="C1095" i="1"/>
  <c r="AL331" i="10"/>
  <c r="E1149" i="2" s="1"/>
  <c r="J1149" i="2" s="1"/>
  <c r="CC1044" i="2"/>
  <c r="AD240" i="10"/>
  <c r="Y397" i="2"/>
  <c r="AB397" i="2"/>
  <c r="B152" i="25"/>
  <c r="O47" i="3"/>
  <c r="BF47" i="3"/>
  <c r="O48" i="3"/>
  <c r="BF48" i="3"/>
  <c r="AN325" i="10"/>
  <c r="AP325" i="10" s="1"/>
  <c r="I65" i="12"/>
  <c r="B34" i="9"/>
  <c r="B31" i="9"/>
  <c r="B30" i="9"/>
  <c r="B33" i="9"/>
  <c r="AO333" i="10"/>
  <c r="AQ333" i="10" s="1"/>
  <c r="AR333" i="10" s="1"/>
  <c r="Y387" i="2"/>
  <c r="AB387" i="2"/>
  <c r="B142" i="25"/>
  <c r="L230" i="10"/>
  <c r="E244" i="10"/>
  <c r="C244" i="10" s="1"/>
  <c r="AJ321" i="10"/>
  <c r="AJ335" i="10" s="1"/>
  <c r="E246" i="10" s="1"/>
  <c r="K37" i="2"/>
  <c r="K553" i="2"/>
  <c r="E412" i="8"/>
  <c r="AL330" i="10"/>
  <c r="E1148" i="2" s="1"/>
  <c r="J1148" i="2" s="1"/>
  <c r="CC1043" i="2"/>
  <c r="AD239" i="10"/>
  <c r="O33" i="3"/>
  <c r="BF33" i="3"/>
  <c r="AK327" i="10"/>
  <c r="D1145" i="2" s="1"/>
  <c r="AB236" i="10"/>
  <c r="CA1040" i="2"/>
  <c r="AK326" i="10"/>
  <c r="D1144" i="2" s="1"/>
  <c r="CA1039" i="2"/>
  <c r="AB235" i="10"/>
  <c r="O55" i="3"/>
  <c r="BF55" i="3"/>
  <c r="AA270" i="1"/>
  <c r="AC270" i="1"/>
  <c r="AK322" i="10"/>
  <c r="D1140" i="2" s="1"/>
  <c r="CA1035" i="2"/>
  <c r="AB231" i="10"/>
  <c r="D120" i="15"/>
  <c r="D126" i="15"/>
  <c r="D129" i="15"/>
  <c r="D124" i="15"/>
  <c r="D118" i="15"/>
  <c r="D122" i="15"/>
  <c r="D119" i="15"/>
  <c r="D121" i="15"/>
  <c r="D125" i="15"/>
  <c r="D127" i="15"/>
  <c r="D123" i="15"/>
  <c r="D128" i="15"/>
  <c r="O54" i="3"/>
  <c r="BF54" i="3"/>
  <c r="AA276" i="1"/>
  <c r="AC276" i="1"/>
  <c r="C679" i="9"/>
  <c r="G679" i="9"/>
  <c r="D679" i="9"/>
  <c r="H679" i="9" s="1"/>
  <c r="E679" i="9"/>
  <c r="F679" i="9"/>
  <c r="AK324" i="10"/>
  <c r="D1142" i="2" s="1"/>
  <c r="AB233" i="10"/>
  <c r="CA1037" i="2"/>
  <c r="AB399" i="2"/>
  <c r="Y399" i="2"/>
  <c r="AA399" i="2" s="1"/>
  <c r="B154" i="25"/>
  <c r="V237" i="2"/>
  <c r="F325" i="1" s="1"/>
  <c r="O41" i="3"/>
  <c r="BF41" i="3"/>
  <c r="AN331" i="10"/>
  <c r="AP331" i="10" s="1"/>
  <c r="F915" i="1"/>
  <c r="F929" i="1" s="1"/>
  <c r="E918" i="1"/>
  <c r="E915" i="1"/>
  <c r="BE55" i="3"/>
  <c r="AW55" i="3"/>
  <c r="N55" i="3"/>
  <c r="BU1151" i="2"/>
  <c r="BY1151" i="2"/>
  <c r="BL1151" i="2"/>
  <c r="AL332" i="10"/>
  <c r="E1150" i="2" s="1"/>
  <c r="J1150" i="2" s="1"/>
  <c r="AD241" i="10"/>
  <c r="CC1045" i="2"/>
  <c r="Y389" i="2"/>
  <c r="AB389" i="2"/>
  <c r="B144" i="25"/>
  <c r="AK325" i="10"/>
  <c r="D1143" i="2" s="1"/>
  <c r="AB234" i="10"/>
  <c r="CA1038" i="2"/>
  <c r="AL328" i="10"/>
  <c r="E1146" i="2" s="1"/>
  <c r="J1146" i="2" s="1"/>
  <c r="AD237" i="10"/>
  <c r="CC1041" i="2"/>
  <c r="I76" i="12"/>
  <c r="N51" i="3"/>
  <c r="BE51" i="3"/>
  <c r="AW51" i="3"/>
  <c r="Y394" i="2"/>
  <c r="AB394" i="2"/>
  <c r="B149" i="25"/>
  <c r="E120" i="15"/>
  <c r="E124" i="15"/>
  <c r="E126" i="15"/>
  <c r="E129" i="15"/>
  <c r="E118" i="15"/>
  <c r="E125" i="15"/>
  <c r="E121" i="15"/>
  <c r="E122" i="15"/>
  <c r="E127" i="15"/>
  <c r="E128" i="15"/>
  <c r="E119" i="15"/>
  <c r="E123" i="15"/>
  <c r="AG768" i="1"/>
  <c r="AH768" i="1" s="1"/>
  <c r="AI768" i="1" s="1"/>
  <c r="AJ768" i="1"/>
  <c r="AN328" i="10"/>
  <c r="AP328" i="10" s="1"/>
  <c r="AL324" i="10"/>
  <c r="E1142" i="2" s="1"/>
  <c r="J1142" i="2" s="1"/>
  <c r="CC1037" i="2"/>
  <c r="AD233" i="10"/>
  <c r="G646" i="9"/>
  <c r="E647" i="9"/>
  <c r="I230" i="10"/>
  <c r="J335" i="10"/>
  <c r="Q46" i="2"/>
  <c r="E43" i="2"/>
  <c r="AB391" i="2"/>
  <c r="Y391" i="2"/>
  <c r="B146" i="25"/>
  <c r="I120" i="15"/>
  <c r="I126" i="15"/>
  <c r="I129" i="15"/>
  <c r="I124" i="15"/>
  <c r="I118" i="15"/>
  <c r="I122" i="15"/>
  <c r="I128" i="15"/>
  <c r="I123" i="15"/>
  <c r="I121" i="15"/>
  <c r="I125" i="15"/>
  <c r="I127" i="15"/>
  <c r="I119" i="15"/>
  <c r="AJ1151" i="2"/>
  <c r="BB1151" i="2"/>
  <c r="BC1151" i="2"/>
  <c r="AH1151" i="2"/>
  <c r="AF1151" i="2" s="1"/>
  <c r="AG769" i="1"/>
  <c r="AH769" i="1" s="1"/>
  <c r="AI769" i="1" s="1"/>
  <c r="AJ769" i="1"/>
  <c r="E177" i="4"/>
  <c r="L286" i="8"/>
  <c r="F286" i="8"/>
  <c r="C129" i="15"/>
  <c r="C120" i="15"/>
  <c r="C124" i="15"/>
  <c r="C118" i="15"/>
  <c r="C126" i="15"/>
  <c r="C127" i="15"/>
  <c r="C122" i="15"/>
  <c r="C121" i="15"/>
  <c r="C128" i="15"/>
  <c r="C123" i="15"/>
  <c r="C119" i="15"/>
  <c r="C125" i="15"/>
  <c r="D797" i="1"/>
  <c r="E797" i="1" s="1"/>
  <c r="D915" i="1"/>
  <c r="O53" i="3"/>
  <c r="BF53" i="3"/>
  <c r="AC271" i="1"/>
  <c r="AA271" i="1"/>
  <c r="AC269" i="1"/>
  <c r="AA269" i="1"/>
  <c r="AM321" i="10"/>
  <c r="CB1034" i="2"/>
  <c r="AF230" i="10"/>
  <c r="K129" i="15"/>
  <c r="K118" i="15"/>
  <c r="K126" i="15"/>
  <c r="K120" i="15"/>
  <c r="K124" i="15"/>
  <c r="K121" i="15"/>
  <c r="K125" i="15"/>
  <c r="K127" i="15"/>
  <c r="K119" i="15"/>
  <c r="K128" i="15"/>
  <c r="K123" i="15"/>
  <c r="K122" i="15"/>
  <c r="AB396" i="2"/>
  <c r="Y396" i="2"/>
  <c r="AA396" i="2" s="1"/>
  <c r="B151" i="25"/>
  <c r="AN327" i="10"/>
  <c r="AP327" i="10" s="1"/>
  <c r="AN332" i="10"/>
  <c r="AP332" i="10" s="1"/>
  <c r="P414" i="8"/>
  <c r="N419" i="8"/>
  <c r="D419" i="8" s="1"/>
  <c r="R414" i="8"/>
  <c r="R419" i="8" s="1"/>
  <c r="D414" i="8"/>
  <c r="AW46" i="3"/>
  <c r="N46" i="3"/>
  <c r="BE46" i="3"/>
  <c r="D391" i="1"/>
  <c r="D303" i="2"/>
  <c r="D390" i="1" s="1"/>
  <c r="AR647" i="1"/>
  <c r="AR639" i="1"/>
  <c r="AR638" i="1"/>
  <c r="AR641" i="1"/>
  <c r="AR645" i="1"/>
  <c r="AR648" i="1"/>
  <c r="AR642" i="1"/>
  <c r="AR644" i="1"/>
  <c r="AR640" i="1"/>
  <c r="AR646" i="1"/>
  <c r="AD275" i="1"/>
  <c r="AD269" i="1"/>
  <c r="AD267" i="1"/>
  <c r="AD270" i="1"/>
  <c r="AD276" i="1"/>
  <c r="AD274" i="1"/>
  <c r="AD268" i="1"/>
  <c r="AD272" i="1"/>
  <c r="AD265" i="1"/>
  <c r="AD271" i="1"/>
  <c r="E1107" i="2" l="1"/>
  <c r="P1140" i="2"/>
  <c r="W1149" i="2"/>
  <c r="W1142" i="2"/>
  <c r="W1140" i="2"/>
  <c r="P1139" i="2"/>
  <c r="P1143" i="2"/>
  <c r="K856" i="2"/>
  <c r="P1145" i="2"/>
  <c r="W1141" i="2"/>
  <c r="W1139" i="2"/>
  <c r="P1144" i="2"/>
  <c r="P1148" i="2"/>
  <c r="P1142" i="2"/>
  <c r="W1143" i="2"/>
  <c r="P1149" i="2"/>
  <c r="W1147" i="2"/>
  <c r="W1150" i="2"/>
  <c r="P1146" i="2"/>
  <c r="P1151" i="2"/>
  <c r="L1151" i="2" s="1"/>
  <c r="W1148" i="2"/>
  <c r="P1147" i="2"/>
  <c r="P1150" i="2"/>
  <c r="W1151" i="2"/>
  <c r="P1141" i="2"/>
  <c r="W1145" i="2"/>
  <c r="W1146" i="2"/>
  <c r="W1144" i="2"/>
  <c r="M1151" i="2"/>
  <c r="AG1151" i="2"/>
  <c r="AK1151" i="2" s="1"/>
  <c r="AQ1151" i="2" s="1"/>
  <c r="E669" i="9"/>
  <c r="D669" i="9"/>
  <c r="H669" i="9" s="1"/>
  <c r="G669" i="9"/>
  <c r="C669" i="9"/>
  <c r="F669" i="9"/>
  <c r="AK769" i="1"/>
  <c r="AL769" i="1" s="1"/>
  <c r="AO323" i="10"/>
  <c r="AQ323" i="10" s="1"/>
  <c r="AR323" i="10" s="1"/>
  <c r="O73" i="4"/>
  <c r="O13" i="4" s="1"/>
  <c r="O12" i="4" s="1"/>
  <c r="Z387" i="2"/>
  <c r="H1094" i="1"/>
  <c r="K1155" i="2" s="1"/>
  <c r="G1094" i="1"/>
  <c r="J1155" i="2" s="1"/>
  <c r="D1094" i="1"/>
  <c r="R373" i="10" s="1"/>
  <c r="C1094" i="1"/>
  <c r="Q373" i="10" s="1"/>
  <c r="O352" i="10" s="1"/>
  <c r="P352" i="10" s="1"/>
  <c r="Q352" i="10" s="1"/>
  <c r="M373" i="10" s="1"/>
  <c r="Z397" i="2"/>
  <c r="AO329" i="10"/>
  <c r="AQ329" i="10" s="1"/>
  <c r="AR329" i="10" s="1"/>
  <c r="Z394" i="2"/>
  <c r="J131" i="15"/>
  <c r="CG136" i="14" s="1"/>
  <c r="BK136" i="14" s="1"/>
  <c r="Y30" i="14" s="1"/>
  <c r="Z30" i="14" s="1"/>
  <c r="M30" i="14" s="1"/>
  <c r="AK766" i="1"/>
  <c r="AL766" i="1" s="1"/>
  <c r="BD646" i="1"/>
  <c r="AS646" i="1"/>
  <c r="AT646" i="1" s="1"/>
  <c r="AS640" i="1"/>
  <c r="AT640" i="1" s="1"/>
  <c r="BD640" i="1"/>
  <c r="AS644" i="1"/>
  <c r="AT644" i="1" s="1"/>
  <c r="BD644" i="1"/>
  <c r="AS642" i="1"/>
  <c r="AT642" i="1" s="1"/>
  <c r="BD642" i="1"/>
  <c r="BD648" i="1"/>
  <c r="AS648" i="1"/>
  <c r="AT648" i="1" s="1"/>
  <c r="AS645" i="1"/>
  <c r="AT645" i="1" s="1"/>
  <c r="BD645" i="1"/>
  <c r="BD641" i="1"/>
  <c r="AS641" i="1"/>
  <c r="AT641" i="1" s="1"/>
  <c r="BD638" i="1"/>
  <c r="AS638" i="1"/>
  <c r="AT638" i="1" s="1"/>
  <c r="BD639" i="1"/>
  <c r="AS639" i="1"/>
  <c r="AT639" i="1" s="1"/>
  <c r="AS647" i="1"/>
  <c r="AT647" i="1" s="1"/>
  <c r="BD647" i="1"/>
  <c r="Z389" i="2"/>
  <c r="Z392" i="2"/>
  <c r="Z401" i="2"/>
  <c r="AE275" i="1"/>
  <c r="U260" i="1" s="1"/>
  <c r="AO327" i="10"/>
  <c r="AQ327" i="10" s="1"/>
  <c r="AR327" i="10" s="1"/>
  <c r="AO330" i="10"/>
  <c r="AQ330" i="10" s="1"/>
  <c r="AR330" i="10" s="1"/>
  <c r="Z384" i="2"/>
  <c r="AO328" i="10"/>
  <c r="AQ328" i="10" s="1"/>
  <c r="AR328" i="10" s="1"/>
  <c r="Z388" i="2"/>
  <c r="AA394" i="2"/>
  <c r="AD394" i="2" s="1"/>
  <c r="Z383" i="2"/>
  <c r="AO322" i="10"/>
  <c r="AQ322" i="10" s="1"/>
  <c r="AR322" i="10" s="1"/>
  <c r="AO326" i="10"/>
  <c r="AQ326" i="10" s="1"/>
  <c r="AR326" i="10" s="1"/>
  <c r="AE271" i="1"/>
  <c r="U256" i="1" s="1"/>
  <c r="V256" i="1" s="1"/>
  <c r="F286" i="1" s="1"/>
  <c r="AE265" i="1"/>
  <c r="U250" i="1" s="1"/>
  <c r="V250" i="1" s="1"/>
  <c r="AE267" i="1"/>
  <c r="U252" i="1" s="1"/>
  <c r="W252" i="1" s="1"/>
  <c r="AE269" i="1"/>
  <c r="U254" i="1" s="1"/>
  <c r="V254" i="1" s="1"/>
  <c r="F284" i="1" s="1"/>
  <c r="D131" i="15"/>
  <c r="CF135" i="14" s="1"/>
  <c r="I131" i="15"/>
  <c r="CG135" i="14" s="1"/>
  <c r="BK135" i="14" s="1"/>
  <c r="Y29" i="14" s="1"/>
  <c r="Z29" i="14" s="1"/>
  <c r="M29" i="14" s="1"/>
  <c r="E131" i="15"/>
  <c r="CF136" i="14" s="1"/>
  <c r="L131" i="15"/>
  <c r="CG138" i="14" s="1"/>
  <c r="BK138" i="14" s="1"/>
  <c r="Y32" i="14" s="1"/>
  <c r="Z32" i="14" s="1"/>
  <c r="M32" i="14" s="1"/>
  <c r="X258" i="1"/>
  <c r="Y258" i="1" s="1"/>
  <c r="Z258" i="1" s="1"/>
  <c r="AC258" i="1" s="1"/>
  <c r="AE258" i="1" s="1"/>
  <c r="AF258" i="1" s="1"/>
  <c r="K131" i="15"/>
  <c r="CG137" i="14" s="1"/>
  <c r="BK137" i="14" s="1"/>
  <c r="Y31" i="14" s="1"/>
  <c r="Z31" i="14" s="1"/>
  <c r="M31" i="14" s="1"/>
  <c r="AE272" i="1"/>
  <c r="U257" i="1" s="1"/>
  <c r="X257" i="1" s="1"/>
  <c r="Y257" i="1" s="1"/>
  <c r="Z257" i="1" s="1"/>
  <c r="AC257" i="1" s="1"/>
  <c r="H131" i="15"/>
  <c r="CG134" i="14" s="1"/>
  <c r="BK134" i="14" s="1"/>
  <c r="Y28" i="14" s="1"/>
  <c r="Z28" i="14" s="1"/>
  <c r="M28" i="14" s="1"/>
  <c r="W258" i="1"/>
  <c r="AU643" i="1"/>
  <c r="AV643" i="1"/>
  <c r="AE268" i="1"/>
  <c r="U253" i="1" s="1"/>
  <c r="X253" i="1" s="1"/>
  <c r="Y253" i="1" s="1"/>
  <c r="Z253" i="1" s="1"/>
  <c r="AC253" i="1" s="1"/>
  <c r="F131" i="15"/>
  <c r="CF137" i="14" s="1"/>
  <c r="BG137" i="14" s="1"/>
  <c r="R31" i="14" s="1"/>
  <c r="AE274" i="1"/>
  <c r="U259" i="1" s="1"/>
  <c r="V259" i="1" s="1"/>
  <c r="F289" i="1" s="1"/>
  <c r="BG138" i="14"/>
  <c r="R32" i="14" s="1"/>
  <c r="L32" i="14" s="1"/>
  <c r="AE276" i="1"/>
  <c r="U261" i="1" s="1"/>
  <c r="V261" i="1" s="1"/>
  <c r="F291" i="1" s="1"/>
  <c r="AE270" i="1"/>
  <c r="U255" i="1" s="1"/>
  <c r="V255" i="1" s="1"/>
  <c r="F285" i="1" s="1"/>
  <c r="C131" i="15"/>
  <c r="CF134" i="14" s="1"/>
  <c r="F288" i="8"/>
  <c r="AK768" i="1"/>
  <c r="AL768" i="1" s="1"/>
  <c r="J172" i="4"/>
  <c r="AD396" i="2"/>
  <c r="C151" i="25"/>
  <c r="AC396" i="2"/>
  <c r="AU14" i="3"/>
  <c r="AV14" i="3" s="1"/>
  <c r="AT15" i="3" s="1"/>
  <c r="AD400" i="2"/>
  <c r="C155" i="25"/>
  <c r="AC400" i="2"/>
  <c r="AA266" i="1"/>
  <c r="AC266" i="1"/>
  <c r="AN321" i="10"/>
  <c r="AO321" i="10" s="1"/>
  <c r="X132" i="10"/>
  <c r="AM335" i="10"/>
  <c r="AD390" i="2"/>
  <c r="C145" i="25"/>
  <c r="AC390" i="2"/>
  <c r="AD386" i="2"/>
  <c r="C141" i="25"/>
  <c r="AC386" i="2"/>
  <c r="G65" i="2"/>
  <c r="J65" i="2" s="1"/>
  <c r="J68" i="2" s="1"/>
  <c r="I68" i="2"/>
  <c r="I46" i="2"/>
  <c r="AF1112" i="2"/>
  <c r="K1146" i="2"/>
  <c r="X1146" i="2" s="1"/>
  <c r="Q1146" i="2"/>
  <c r="CE1146" i="2" s="1"/>
  <c r="CF1146" i="2" s="1"/>
  <c r="BR1146" i="2"/>
  <c r="S1146" i="2"/>
  <c r="BS1146" i="2"/>
  <c r="BQ1146" i="2"/>
  <c r="AL1146" i="2"/>
  <c r="AM1146" i="2"/>
  <c r="AI1146" i="2"/>
  <c r="Z395" i="2"/>
  <c r="B655" i="9"/>
  <c r="D654" i="9"/>
  <c r="O654" i="9" s="1"/>
  <c r="H655" i="9"/>
  <c r="J654" i="9"/>
  <c r="K1145" i="2"/>
  <c r="X1145" i="2" s="1"/>
  <c r="Q1145" i="2"/>
  <c r="CE1145" i="2" s="1"/>
  <c r="CF1145" i="2" s="1"/>
  <c r="S1145" i="2"/>
  <c r="BR1145" i="2"/>
  <c r="BS1145" i="2"/>
  <c r="AL1145" i="2"/>
  <c r="BQ1145" i="2"/>
  <c r="AM1145" i="2"/>
  <c r="AI1145" i="2"/>
  <c r="AA384" i="2"/>
  <c r="I1142" i="2"/>
  <c r="Z382" i="2"/>
  <c r="BG135" i="14"/>
  <c r="R29" i="14" s="1"/>
  <c r="I1150" i="2"/>
  <c r="AO1151" i="2"/>
  <c r="AP1151" i="2" s="1"/>
  <c r="AC1151" i="2"/>
  <c r="AD1151" i="2" s="1"/>
  <c r="BF1151" i="2"/>
  <c r="BE1151" i="2" s="1"/>
  <c r="K1143" i="2"/>
  <c r="X1143" i="2" s="1"/>
  <c r="BR1143" i="2"/>
  <c r="BS1143" i="2"/>
  <c r="BQ1143" i="2"/>
  <c r="Q1143" i="2"/>
  <c r="CE1143" i="2" s="1"/>
  <c r="CF1143" i="2" s="1"/>
  <c r="S1143" i="2"/>
  <c r="AL1143" i="2"/>
  <c r="AM1143" i="2"/>
  <c r="AI1143" i="2"/>
  <c r="AK760" i="1"/>
  <c r="AL760" i="1" s="1"/>
  <c r="AD398" i="2"/>
  <c r="C153" i="25"/>
  <c r="AC398" i="2"/>
  <c r="Z391" i="2"/>
  <c r="Z400" i="2"/>
  <c r="Q374" i="10"/>
  <c r="P419" i="8"/>
  <c r="T414" i="8"/>
  <c r="T419" i="8" s="1"/>
  <c r="AO332" i="10"/>
  <c r="AQ332" i="10" s="1"/>
  <c r="AR332" i="10" s="1"/>
  <c r="P230" i="10"/>
  <c r="AC230" i="10"/>
  <c r="I1144" i="2"/>
  <c r="AO325" i="10"/>
  <c r="AQ325" i="10" s="1"/>
  <c r="AR325" i="10" s="1"/>
  <c r="I1146" i="2"/>
  <c r="BD1151" i="2"/>
  <c r="AA1151" i="2"/>
  <c r="AB1151" i="2" s="1"/>
  <c r="K1141" i="2"/>
  <c r="X1141" i="2" s="1"/>
  <c r="S1141" i="2"/>
  <c r="AL1141" i="2"/>
  <c r="AM1141" i="2"/>
  <c r="Q1141" i="2"/>
  <c r="CE1141" i="2" s="1"/>
  <c r="CF1141" i="2" s="1"/>
  <c r="BR1141" i="2"/>
  <c r="BS1141" i="2"/>
  <c r="BQ1141" i="2"/>
  <c r="AI1141" i="2"/>
  <c r="AA383" i="2"/>
  <c r="AA392" i="2"/>
  <c r="K1148" i="2"/>
  <c r="X1148" i="2" s="1"/>
  <c r="Q1148" i="2"/>
  <c r="CE1148" i="2" s="1"/>
  <c r="CF1148" i="2" s="1"/>
  <c r="S1148" i="2"/>
  <c r="BQ1148" i="2"/>
  <c r="AL1148" i="2"/>
  <c r="AM1148" i="2"/>
  <c r="BR1148" i="2"/>
  <c r="BS1148" i="2"/>
  <c r="AI1148" i="2"/>
  <c r="AD395" i="2"/>
  <c r="C150" i="25"/>
  <c r="AC395" i="2"/>
  <c r="Q177" i="4"/>
  <c r="G177" i="4" s="1"/>
  <c r="J177" i="4" s="1"/>
  <c r="G647" i="9"/>
  <c r="E648" i="9"/>
  <c r="Z399" i="2"/>
  <c r="J245" i="10"/>
  <c r="AK763" i="1"/>
  <c r="AL763" i="1" s="1"/>
  <c r="K1147" i="2"/>
  <c r="X1147" i="2" s="1"/>
  <c r="Q1147" i="2"/>
  <c r="CE1147" i="2" s="1"/>
  <c r="CF1147" i="2" s="1"/>
  <c r="S1147" i="2"/>
  <c r="BS1147" i="2"/>
  <c r="BQ1147" i="2"/>
  <c r="BR1147" i="2"/>
  <c r="AM1147" i="2"/>
  <c r="AL1147" i="2"/>
  <c r="AI1147" i="2"/>
  <c r="K1140" i="2"/>
  <c r="X1140" i="2" s="1"/>
  <c r="Q1140" i="2"/>
  <c r="CE1140" i="2" s="1"/>
  <c r="CF1140" i="2" s="1"/>
  <c r="S1140" i="2"/>
  <c r="AL1140" i="2"/>
  <c r="AM1140" i="2"/>
  <c r="BQ1140" i="2"/>
  <c r="BR1140" i="2"/>
  <c r="BS1140" i="2"/>
  <c r="AI1140" i="2"/>
  <c r="AD393" i="2"/>
  <c r="C148" i="25"/>
  <c r="AC393" i="2"/>
  <c r="AA389" i="2"/>
  <c r="E931" i="1"/>
  <c r="H1096" i="1" s="1"/>
  <c r="K1157" i="2" s="1"/>
  <c r="G1096" i="1"/>
  <c r="J1157" i="2" s="1"/>
  <c r="I1140" i="2"/>
  <c r="Q373" i="2"/>
  <c r="S373" i="2"/>
  <c r="U373" i="2"/>
  <c r="T373" i="2"/>
  <c r="T322" i="2"/>
  <c r="T323" i="2" s="1"/>
  <c r="T324" i="2" s="1"/>
  <c r="R373" i="2"/>
  <c r="Q394" i="2" s="1"/>
  <c r="I1148" i="2"/>
  <c r="AA387" i="2"/>
  <c r="R961" i="2"/>
  <c r="P88" i="4"/>
  <c r="E88" i="4" s="1"/>
  <c r="O88" i="4" s="1"/>
  <c r="H961" i="2"/>
  <c r="N961" i="2"/>
  <c r="V243" i="2"/>
  <c r="F319" i="1"/>
  <c r="F331" i="1" s="1"/>
  <c r="I1149" i="2"/>
  <c r="E248" i="10"/>
  <c r="K654" i="9"/>
  <c r="M653" i="9"/>
  <c r="E929" i="1"/>
  <c r="K1142" i="2"/>
  <c r="X1142" i="2" s="1"/>
  <c r="AL1142" i="2"/>
  <c r="AM1142" i="2"/>
  <c r="BQ1142" i="2"/>
  <c r="BR1142" i="2"/>
  <c r="BS1142" i="2"/>
  <c r="S1142" i="2"/>
  <c r="AI1142" i="2"/>
  <c r="Q1142" i="2"/>
  <c r="CE1142" i="2" s="1"/>
  <c r="CF1142" i="2" s="1"/>
  <c r="AD399" i="2"/>
  <c r="C154" i="25"/>
  <c r="AC399" i="2"/>
  <c r="AA401" i="2"/>
  <c r="AA388" i="2"/>
  <c r="E795" i="1"/>
  <c r="P798" i="1"/>
  <c r="F797" i="1" s="1"/>
  <c r="E920" i="1"/>
  <c r="H1095" i="1" s="1"/>
  <c r="K1156" i="2" s="1"/>
  <c r="G1095" i="1"/>
  <c r="J1156" i="2" s="1"/>
  <c r="I1145" i="2"/>
  <c r="AK761" i="1"/>
  <c r="AL761" i="1" s="1"/>
  <c r="AK767" i="1"/>
  <c r="AL767" i="1" s="1"/>
  <c r="I1147" i="2"/>
  <c r="Q175" i="4"/>
  <c r="G175" i="4" s="1"/>
  <c r="J175" i="4" s="1"/>
  <c r="K1150" i="2"/>
  <c r="X1150" i="2" s="1"/>
  <c r="BQ1150" i="2"/>
  <c r="AL1150" i="2"/>
  <c r="AM1150" i="2"/>
  <c r="Q1150" i="2"/>
  <c r="CE1150" i="2" s="1"/>
  <c r="CF1150" i="2" s="1"/>
  <c r="AI1150" i="2"/>
  <c r="S1150" i="2"/>
  <c r="BR1150" i="2"/>
  <c r="BS1150" i="2"/>
  <c r="K1144" i="2"/>
  <c r="X1144" i="2" s="1"/>
  <c r="BQ1144" i="2"/>
  <c r="S1144" i="2"/>
  <c r="BR1144" i="2"/>
  <c r="BS1144" i="2"/>
  <c r="AM1144" i="2"/>
  <c r="Q1144" i="2"/>
  <c r="CE1144" i="2" s="1"/>
  <c r="CF1144" i="2" s="1"/>
  <c r="AL1144" i="2"/>
  <c r="AI1144" i="2"/>
  <c r="BT1151" i="2"/>
  <c r="BV1151" i="2"/>
  <c r="BJ1151" i="2"/>
  <c r="BK1151" i="2" s="1"/>
  <c r="D410" i="1"/>
  <c r="D330" i="2"/>
  <c r="O434" i="2"/>
  <c r="Z386" i="2"/>
  <c r="AA382" i="2"/>
  <c r="F1058" i="1"/>
  <c r="E391" i="1"/>
  <c r="N230" i="10"/>
  <c r="L244" i="10"/>
  <c r="D253" i="10"/>
  <c r="D252" i="10"/>
  <c r="AN1151" i="2"/>
  <c r="Z393" i="2"/>
  <c r="Z398" i="2"/>
  <c r="AA391" i="2"/>
  <c r="I1143" i="2"/>
  <c r="Q173" i="4"/>
  <c r="G173" i="4" s="1"/>
  <c r="I1141" i="2"/>
  <c r="K1149" i="2"/>
  <c r="X1149" i="2" s="1"/>
  <c r="AL1149" i="2"/>
  <c r="AM1149" i="2"/>
  <c r="BQ1149" i="2"/>
  <c r="Q1149" i="2"/>
  <c r="CE1149" i="2" s="1"/>
  <c r="CF1149" i="2" s="1"/>
  <c r="S1149" i="2"/>
  <c r="BS1149" i="2"/>
  <c r="BR1149" i="2"/>
  <c r="AI1149" i="2"/>
  <c r="AA397" i="2"/>
  <c r="AD402" i="2"/>
  <c r="C157" i="25"/>
  <c r="AC402" i="2"/>
  <c r="G43" i="2"/>
  <c r="J43" i="2" s="1"/>
  <c r="J46" i="2" s="1"/>
  <c r="E46" i="2"/>
  <c r="Z390" i="2"/>
  <c r="Z396" i="2"/>
  <c r="AO331" i="10"/>
  <c r="AQ331" i="10" s="1"/>
  <c r="AR331" i="10" s="1"/>
  <c r="AO324" i="10"/>
  <c r="AQ324" i="10" s="1"/>
  <c r="AR324" i="10" s="1"/>
  <c r="Z385" i="2"/>
  <c r="AA385" i="2"/>
  <c r="AD266" i="1"/>
  <c r="W1137" i="2" l="1"/>
  <c r="R821" i="2" s="1"/>
  <c r="K821" i="2" s="1"/>
  <c r="K859" i="2"/>
  <c r="K858" i="2"/>
  <c r="K857" i="2"/>
  <c r="K860" i="2"/>
  <c r="K861" i="2"/>
  <c r="P1137" i="2"/>
  <c r="U1151" i="2"/>
  <c r="V1151" i="2"/>
  <c r="R1151" i="2"/>
  <c r="O74" i="4"/>
  <c r="O82" i="4"/>
  <c r="G82" i="4" s="1"/>
  <c r="J82" i="4" s="1"/>
  <c r="AE390" i="2"/>
  <c r="D145" i="25" s="1"/>
  <c r="BF136" i="14"/>
  <c r="X250" i="1"/>
  <c r="Y250" i="1" s="1"/>
  <c r="Z250" i="1" s="1"/>
  <c r="AC250" i="1" s="1"/>
  <c r="W250" i="1"/>
  <c r="V253" i="1"/>
  <c r="F283" i="1" s="1"/>
  <c r="Q391" i="2"/>
  <c r="AE400" i="2"/>
  <c r="D155" i="25" s="1"/>
  <c r="AI1112" i="2"/>
  <c r="S940" i="2" s="1"/>
  <c r="G940" i="2"/>
  <c r="V252" i="1"/>
  <c r="F282" i="1" s="1"/>
  <c r="W253" i="1"/>
  <c r="AE386" i="2"/>
  <c r="D141" i="25" s="1"/>
  <c r="AE396" i="2"/>
  <c r="D151" i="25" s="1"/>
  <c r="BF135" i="14"/>
  <c r="BG136" i="14"/>
  <c r="R30" i="14" s="1"/>
  <c r="L30" i="14" s="1"/>
  <c r="W257" i="1"/>
  <c r="X255" i="1"/>
  <c r="Y255" i="1" s="1"/>
  <c r="Z255" i="1" s="1"/>
  <c r="AC255" i="1" s="1"/>
  <c r="AE255" i="1" s="1"/>
  <c r="AF255" i="1" s="1"/>
  <c r="V257" i="1"/>
  <c r="F287" i="1" s="1"/>
  <c r="X259" i="1"/>
  <c r="Y259" i="1" s="1"/>
  <c r="Z259" i="1" s="1"/>
  <c r="AC259" i="1" s="1"/>
  <c r="AD259" i="1" s="1"/>
  <c r="W259" i="1"/>
  <c r="AE393" i="2"/>
  <c r="D148" i="25" s="1"/>
  <c r="M123" i="14"/>
  <c r="AA30" i="14" s="1"/>
  <c r="AB30" i="14" s="1"/>
  <c r="AU638" i="1"/>
  <c r="AV638" i="1"/>
  <c r="AU642" i="1"/>
  <c r="AV642" i="1"/>
  <c r="AV645" i="1"/>
  <c r="AU645" i="1"/>
  <c r="Q400" i="2"/>
  <c r="AC394" i="2"/>
  <c r="AE394" i="2" s="1"/>
  <c r="D149" i="25" s="1"/>
  <c r="BF137" i="14"/>
  <c r="C149" i="25"/>
  <c r="AV644" i="1"/>
  <c r="AU644" i="1"/>
  <c r="AU641" i="1"/>
  <c r="AV641" i="1"/>
  <c r="W255" i="1"/>
  <c r="AE399" i="2"/>
  <c r="D154" i="25" s="1"/>
  <c r="AV647" i="1"/>
  <c r="AU647" i="1"/>
  <c r="AU640" i="1"/>
  <c r="AV640" i="1"/>
  <c r="AU639" i="1"/>
  <c r="AV639" i="1"/>
  <c r="AU646" i="1"/>
  <c r="AV646" i="1"/>
  <c r="BF134" i="14"/>
  <c r="AU648" i="1"/>
  <c r="AV648" i="1"/>
  <c r="X261" i="1"/>
  <c r="Y261" i="1" s="1"/>
  <c r="Z261" i="1" s="1"/>
  <c r="AC261" i="1" s="1"/>
  <c r="AD261" i="1" s="1"/>
  <c r="X254" i="1"/>
  <c r="Y254" i="1" s="1"/>
  <c r="Z254" i="1" s="1"/>
  <c r="AC254" i="1" s="1"/>
  <c r="AD254" i="1" s="1"/>
  <c r="AN1140" i="2"/>
  <c r="X256" i="1"/>
  <c r="Y256" i="1" s="1"/>
  <c r="Z256" i="1" s="1"/>
  <c r="AC256" i="1" s="1"/>
  <c r="AD256" i="1" s="1"/>
  <c r="W261" i="1"/>
  <c r="W256" i="1"/>
  <c r="W254" i="1"/>
  <c r="AN1146" i="2"/>
  <c r="Q402" i="2"/>
  <c r="AE402" i="2"/>
  <c r="D157" i="25" s="1"/>
  <c r="X252" i="1"/>
  <c r="Y252" i="1" s="1"/>
  <c r="Z252" i="1" s="1"/>
  <c r="AC252" i="1" s="1"/>
  <c r="AD252" i="1" s="1"/>
  <c r="AE398" i="2"/>
  <c r="D153" i="25" s="1"/>
  <c r="Q401" i="2"/>
  <c r="Q393" i="2"/>
  <c r="AE395" i="2"/>
  <c r="D150" i="25" s="1"/>
  <c r="V260" i="1"/>
  <c r="F290" i="1" s="1"/>
  <c r="W260" i="1"/>
  <c r="X260" i="1"/>
  <c r="Y260" i="1" s="1"/>
  <c r="Z260" i="1" s="1"/>
  <c r="AC260" i="1" s="1"/>
  <c r="AN1149" i="2"/>
  <c r="BF138" i="14"/>
  <c r="AD258" i="1"/>
  <c r="AW643" i="1"/>
  <c r="BF643" i="1"/>
  <c r="BI643" i="1" s="1"/>
  <c r="AE266" i="1"/>
  <c r="U251" i="1" s="1"/>
  <c r="X251" i="1" s="1"/>
  <c r="Y251" i="1" s="1"/>
  <c r="Z251" i="1" s="1"/>
  <c r="AC251" i="1" s="1"/>
  <c r="BG134" i="14"/>
  <c r="R28" i="14" s="1"/>
  <c r="L28" i="14" s="1"/>
  <c r="AN1148" i="2"/>
  <c r="AN1142" i="2"/>
  <c r="AN1147" i="2"/>
  <c r="AN1144" i="2"/>
  <c r="J173" i="4"/>
  <c r="AU15" i="3"/>
  <c r="AV15" i="3" s="1"/>
  <c r="AT16" i="3" s="1"/>
  <c r="AK321" i="10"/>
  <c r="N244" i="10"/>
  <c r="AB230" i="10"/>
  <c r="CA1034" i="2"/>
  <c r="AD253" i="1"/>
  <c r="AE253" i="1"/>
  <c r="AF253" i="1" s="1"/>
  <c r="AD388" i="2"/>
  <c r="C143" i="25"/>
  <c r="AC388" i="2"/>
  <c r="AD387" i="2"/>
  <c r="C142" i="25"/>
  <c r="AC387" i="2"/>
  <c r="BF1141" i="2"/>
  <c r="BE1141" i="2" s="1"/>
  <c r="AC1141" i="2"/>
  <c r="AD1141" i="2" s="1"/>
  <c r="AO1141" i="2"/>
  <c r="AP1141" i="2" s="1"/>
  <c r="AD382" i="2"/>
  <c r="C137" i="25"/>
  <c r="AC382" i="2"/>
  <c r="Q395" i="2"/>
  <c r="AO1150" i="2"/>
  <c r="AP1150" i="2" s="1"/>
  <c r="BF1150" i="2"/>
  <c r="BE1150" i="2" s="1"/>
  <c r="AC1150" i="2"/>
  <c r="AD1150" i="2" s="1"/>
  <c r="Q387" i="2"/>
  <c r="AA1148" i="2"/>
  <c r="AB1148" i="2" s="1"/>
  <c r="BD1148" i="2"/>
  <c r="AD385" i="2"/>
  <c r="C140" i="25"/>
  <c r="AC385" i="2"/>
  <c r="AD391" i="2"/>
  <c r="C146" i="25"/>
  <c r="AC391" i="2"/>
  <c r="Q388" i="2"/>
  <c r="AA1150" i="2"/>
  <c r="AB1150" i="2" s="1"/>
  <c r="BD1150" i="2"/>
  <c r="AD401" i="2"/>
  <c r="C156" i="25"/>
  <c r="AC401" i="2"/>
  <c r="BT1147" i="2"/>
  <c r="BJ1147" i="2"/>
  <c r="BK1147" i="2" s="1"/>
  <c r="BT1148" i="2"/>
  <c r="BJ1148" i="2"/>
  <c r="BK1148" i="2" s="1"/>
  <c r="AO1143" i="2"/>
  <c r="AP1143" i="2" s="1"/>
  <c r="BF1143" i="2"/>
  <c r="BE1143" i="2" s="1"/>
  <c r="AC1143" i="2"/>
  <c r="AD1143" i="2" s="1"/>
  <c r="BD1146" i="2"/>
  <c r="AA1146" i="2"/>
  <c r="AB1146" i="2" s="1"/>
  <c r="AA1147" i="2"/>
  <c r="AB1147" i="2" s="1"/>
  <c r="BD1147" i="2"/>
  <c r="AA1141" i="2"/>
  <c r="AB1141" i="2" s="1"/>
  <c r="BD1141" i="2"/>
  <c r="AA1142" i="2"/>
  <c r="AB1142" i="2" s="1"/>
  <c r="BD1142" i="2"/>
  <c r="AA1149" i="2"/>
  <c r="AB1149" i="2" s="1"/>
  <c r="BD1149" i="2"/>
  <c r="U372" i="2"/>
  <c r="T385" i="2" s="1"/>
  <c r="T372" i="2"/>
  <c r="S401" i="2" s="1"/>
  <c r="Q371" i="2"/>
  <c r="R371" i="2"/>
  <c r="R372" i="2" s="1"/>
  <c r="R375" i="2" s="1"/>
  <c r="Q389" i="2"/>
  <c r="Q397" i="2"/>
  <c r="Q396" i="2"/>
  <c r="Z1149" i="2"/>
  <c r="AG1149" i="2"/>
  <c r="AK1149" i="2" s="1"/>
  <c r="AQ1149" i="2" s="1"/>
  <c r="L1149" i="2"/>
  <c r="M1149" i="2"/>
  <c r="BN1149" i="2"/>
  <c r="BV1149" i="2" s="1"/>
  <c r="BO1149" i="2"/>
  <c r="AE1149" i="2"/>
  <c r="O1149" i="2"/>
  <c r="BI1149" i="2"/>
  <c r="T389" i="2"/>
  <c r="AD383" i="2"/>
  <c r="C138" i="25"/>
  <c r="AC383" i="2"/>
  <c r="AA1143" i="2"/>
  <c r="AB1143" i="2" s="1"/>
  <c r="BD1143" i="2"/>
  <c r="Q398" i="2"/>
  <c r="Q392" i="2"/>
  <c r="K655" i="9"/>
  <c r="M654" i="9"/>
  <c r="BD1145" i="2"/>
  <c r="AA1145" i="2"/>
  <c r="AB1145" i="2" s="1"/>
  <c r="BT1142" i="2"/>
  <c r="BJ1142" i="2"/>
  <c r="BK1142" i="2" s="1"/>
  <c r="G12" i="4"/>
  <c r="F18" i="4" s="1"/>
  <c r="BF1148" i="2"/>
  <c r="BE1148" i="2" s="1"/>
  <c r="AC1148" i="2"/>
  <c r="AD1148" i="2" s="1"/>
  <c r="AO1148" i="2"/>
  <c r="AP1148" i="2" s="1"/>
  <c r="BT1146" i="2"/>
  <c r="BJ1146" i="2"/>
  <c r="BK1146" i="2" s="1"/>
  <c r="Q399" i="2"/>
  <c r="AN1150" i="2"/>
  <c r="Q390" i="2"/>
  <c r="BT1145" i="2"/>
  <c r="BJ1145" i="2"/>
  <c r="BK1145" i="2" s="1"/>
  <c r="AD389" i="2"/>
  <c r="C144" i="25"/>
  <c r="AC389" i="2"/>
  <c r="E649" i="9"/>
  <c r="G648" i="9"/>
  <c r="AN1145" i="2"/>
  <c r="BN1143" i="2"/>
  <c r="M1143" i="2"/>
  <c r="Z1143" i="2"/>
  <c r="BO1143" i="2"/>
  <c r="AG1143" i="2"/>
  <c r="AK1143" i="2" s="1"/>
  <c r="AQ1143" i="2" s="1"/>
  <c r="L1143" i="2"/>
  <c r="AE1143" i="2"/>
  <c r="O1143" i="2"/>
  <c r="BI1143" i="2"/>
  <c r="AO1144" i="2"/>
  <c r="AP1144" i="2" s="1"/>
  <c r="BF1144" i="2"/>
  <c r="BE1144" i="2" s="1"/>
  <c r="AC1144" i="2"/>
  <c r="AD1144" i="2" s="1"/>
  <c r="AE1147" i="2"/>
  <c r="BO1147" i="2"/>
  <c r="L1147" i="2"/>
  <c r="M1147" i="2"/>
  <c r="AG1147" i="2"/>
  <c r="AK1147" i="2" s="1"/>
  <c r="AQ1147" i="2" s="1"/>
  <c r="BN1147" i="2"/>
  <c r="BV1147" i="2" s="1"/>
  <c r="Z1147" i="2"/>
  <c r="O1147" i="2"/>
  <c r="BI1147" i="2"/>
  <c r="BT1150" i="2"/>
  <c r="BJ1150" i="2"/>
  <c r="BK1150" i="2" s="1"/>
  <c r="BN1145" i="2"/>
  <c r="AE1145" i="2"/>
  <c r="M1145" i="2"/>
  <c r="AG1145" i="2"/>
  <c r="AK1145" i="2" s="1"/>
  <c r="AQ1145" i="2" s="1"/>
  <c r="BO1145" i="2"/>
  <c r="L1145" i="2"/>
  <c r="Z1145" i="2"/>
  <c r="O1145" i="2"/>
  <c r="BI1145" i="2"/>
  <c r="D377" i="2"/>
  <c r="D423" i="1" s="1"/>
  <c r="AA35" i="14"/>
  <c r="AB35" i="14" s="1"/>
  <c r="AA28" i="14"/>
  <c r="AB28" i="14" s="1"/>
  <c r="Q384" i="2"/>
  <c r="BN1150" i="2"/>
  <c r="BV1150" i="2" s="1"/>
  <c r="Z1150" i="2"/>
  <c r="AE1150" i="2"/>
  <c r="L1150" i="2"/>
  <c r="AG1150" i="2"/>
  <c r="AK1150" i="2" s="1"/>
  <c r="AQ1150" i="2" s="1"/>
  <c r="BO1150" i="2"/>
  <c r="M1150" i="2"/>
  <c r="O1150" i="2"/>
  <c r="BI1150" i="2"/>
  <c r="AD257" i="1"/>
  <c r="AE257" i="1"/>
  <c r="AF257" i="1" s="1"/>
  <c r="Q59" i="12"/>
  <c r="AP321" i="10"/>
  <c r="AN335" i="10"/>
  <c r="S14" i="2" s="1"/>
  <c r="AD392" i="2"/>
  <c r="C147" i="25"/>
  <c r="AC392" i="2"/>
  <c r="R230" i="10"/>
  <c r="X27" i="10"/>
  <c r="X28" i="10"/>
  <c r="F280" i="1"/>
  <c r="Q382" i="2"/>
  <c r="BT1140" i="2"/>
  <c r="BJ1140" i="2"/>
  <c r="BK1140" i="2" s="1"/>
  <c r="M1146" i="2"/>
  <c r="AG1146" i="2"/>
  <c r="AK1146" i="2" s="1"/>
  <c r="AQ1146" i="2" s="1"/>
  <c r="AE1146" i="2"/>
  <c r="BO1146" i="2"/>
  <c r="BN1146" i="2"/>
  <c r="L1146" i="2"/>
  <c r="Z1146" i="2"/>
  <c r="O1146" i="2"/>
  <c r="BI1146" i="2"/>
  <c r="Q385" i="2"/>
  <c r="BN1142" i="2"/>
  <c r="Z1142" i="2"/>
  <c r="L1142" i="2"/>
  <c r="AG1142" i="2"/>
  <c r="AK1142" i="2" s="1"/>
  <c r="AQ1142" i="2" s="1"/>
  <c r="M1142" i="2"/>
  <c r="BO1142" i="2"/>
  <c r="AE1142" i="2"/>
  <c r="O1142" i="2"/>
  <c r="BI1142" i="2"/>
  <c r="J655" i="9"/>
  <c r="H656" i="9"/>
  <c r="AO1142" i="2"/>
  <c r="AP1142" i="2" s="1"/>
  <c r="BF1142" i="2"/>
  <c r="BE1142" i="2" s="1"/>
  <c r="AC1142" i="2"/>
  <c r="AD1142" i="2" s="1"/>
  <c r="Q383" i="2"/>
  <c r="Z352" i="10"/>
  <c r="S352" i="10" s="1"/>
  <c r="S369" i="10"/>
  <c r="Y73" i="3" s="1"/>
  <c r="Q386" i="2"/>
  <c r="BT1141" i="2"/>
  <c r="BJ1141" i="2"/>
  <c r="BK1141" i="2" s="1"/>
  <c r="AN1143" i="2"/>
  <c r="L29" i="14"/>
  <c r="AD384" i="2"/>
  <c r="C139" i="25"/>
  <c r="AC384" i="2"/>
  <c r="F961" i="2"/>
  <c r="G961" i="2" s="1"/>
  <c r="T961" i="2" s="1"/>
  <c r="D961" i="2"/>
  <c r="AL76" i="3" s="1"/>
  <c r="U1085" i="2"/>
  <c r="U1084" i="2"/>
  <c r="AQ321" i="10"/>
  <c r="AQ335" i="10" s="1"/>
  <c r="AO335" i="10"/>
  <c r="S25" i="2" s="1"/>
  <c r="AC1146" i="2"/>
  <c r="AD1146" i="2" s="1"/>
  <c r="AO1146" i="2"/>
  <c r="AP1146" i="2" s="1"/>
  <c r="BF1146" i="2"/>
  <c r="BE1146" i="2" s="1"/>
  <c r="F1086" i="1"/>
  <c r="BT1149" i="2"/>
  <c r="BJ1149" i="2"/>
  <c r="BK1149" i="2" s="1"/>
  <c r="BD1144" i="2"/>
  <c r="AA1144" i="2"/>
  <c r="AB1144" i="2" s="1"/>
  <c r="BF1147" i="2"/>
  <c r="BE1147" i="2" s="1"/>
  <c r="AC1147" i="2"/>
  <c r="AD1147" i="2" s="1"/>
  <c r="AO1147" i="2"/>
  <c r="AP1147" i="2" s="1"/>
  <c r="BF1149" i="2"/>
  <c r="BE1149" i="2" s="1"/>
  <c r="AC1149" i="2"/>
  <c r="AD1149" i="2" s="1"/>
  <c r="AO1149" i="2"/>
  <c r="AP1149" i="2" s="1"/>
  <c r="AD397" i="2"/>
  <c r="C152" i="25"/>
  <c r="AC397" i="2"/>
  <c r="Z1141" i="2"/>
  <c r="AG1141" i="2"/>
  <c r="AK1141" i="2" s="1"/>
  <c r="AQ1141" i="2" s="1"/>
  <c r="L1141" i="2"/>
  <c r="BO1141" i="2"/>
  <c r="AE1141" i="2"/>
  <c r="BN1141" i="2"/>
  <c r="BV1141" i="2" s="1"/>
  <c r="M1141" i="2"/>
  <c r="O1141" i="2"/>
  <c r="BI1141" i="2"/>
  <c r="L31" i="14"/>
  <c r="C1058" i="2"/>
  <c r="H962" i="2"/>
  <c r="AG1140" i="2"/>
  <c r="AK1140" i="2" s="1"/>
  <c r="AQ1140" i="2" s="1"/>
  <c r="L1140" i="2"/>
  <c r="AE1140" i="2"/>
  <c r="BN1140" i="2"/>
  <c r="Z1140" i="2"/>
  <c r="M1140" i="2"/>
  <c r="BO1140" i="2"/>
  <c r="O1140" i="2"/>
  <c r="BI1140" i="2"/>
  <c r="BF1140" i="2"/>
  <c r="BE1140" i="2" s="1"/>
  <c r="AC1140" i="2"/>
  <c r="AD1140" i="2" s="1"/>
  <c r="AO1140" i="2"/>
  <c r="AP1140" i="2" s="1"/>
  <c r="AN1141" i="2"/>
  <c r="BT1143" i="2"/>
  <c r="BV1143" i="2"/>
  <c r="BJ1143" i="2"/>
  <c r="BK1143" i="2" s="1"/>
  <c r="D655" i="9"/>
  <c r="O655" i="9" s="1"/>
  <c r="B656" i="9"/>
  <c r="X263" i="10"/>
  <c r="X133" i="10"/>
  <c r="R867" i="2"/>
  <c r="L1148" i="2"/>
  <c r="AG1148" i="2"/>
  <c r="AK1148" i="2" s="1"/>
  <c r="AQ1148" i="2" s="1"/>
  <c r="AE1148" i="2"/>
  <c r="BN1148" i="2"/>
  <c r="BO1148" i="2"/>
  <c r="Z1148" i="2"/>
  <c r="M1148" i="2"/>
  <c r="O1148" i="2"/>
  <c r="BI1148" i="2"/>
  <c r="BT1144" i="2"/>
  <c r="BJ1144" i="2"/>
  <c r="BK1144" i="2" s="1"/>
  <c r="AA1140" i="2"/>
  <c r="AB1140" i="2" s="1"/>
  <c r="BD1140" i="2"/>
  <c r="BN1144" i="2"/>
  <c r="BV1144" i="2" s="1"/>
  <c r="BO1144" i="2"/>
  <c r="M1144" i="2"/>
  <c r="Z1144" i="2"/>
  <c r="AE1144" i="2"/>
  <c r="L1144" i="2"/>
  <c r="AG1144" i="2"/>
  <c r="AK1144" i="2" s="1"/>
  <c r="AQ1144" i="2" s="1"/>
  <c r="O1144" i="2"/>
  <c r="BI1144" i="2"/>
  <c r="AO1145" i="2"/>
  <c r="AP1145" i="2" s="1"/>
  <c r="BF1145" i="2"/>
  <c r="BE1145" i="2" s="1"/>
  <c r="AC1145" i="2"/>
  <c r="AD1145" i="2" s="1"/>
  <c r="Z132" i="10"/>
  <c r="D132" i="10"/>
  <c r="I821" i="2" l="1"/>
  <c r="Z262" i="1"/>
  <c r="T398" i="2"/>
  <c r="AE388" i="2"/>
  <c r="AD255" i="1"/>
  <c r="T940" i="2"/>
  <c r="U940" i="2" s="1"/>
  <c r="V883" i="2"/>
  <c r="AA36" i="14"/>
  <c r="AB36" i="14" s="1"/>
  <c r="AA38" i="14"/>
  <c r="AB38" i="14" s="1"/>
  <c r="AE256" i="1"/>
  <c r="AF256" i="1" s="1"/>
  <c r="AA34" i="14"/>
  <c r="AB34" i="14" s="1"/>
  <c r="AF393" i="2"/>
  <c r="AA29" i="14"/>
  <c r="AB29" i="14" s="1"/>
  <c r="AA37" i="14"/>
  <c r="AB37" i="14" s="1"/>
  <c r="AA32" i="14"/>
  <c r="AB32" i="14" s="1"/>
  <c r="AA31" i="14"/>
  <c r="AB31" i="14" s="1"/>
  <c r="AB123" i="14" s="1"/>
  <c r="AE383" i="2"/>
  <c r="D138" i="25" s="1"/>
  <c r="AE254" i="1"/>
  <c r="AF254" i="1" s="1"/>
  <c r="AE259" i="1"/>
  <c r="AF259" i="1" s="1"/>
  <c r="AE261" i="1"/>
  <c r="AF261" i="1" s="1"/>
  <c r="T386" i="2"/>
  <c r="AE382" i="2"/>
  <c r="D137" i="25" s="1"/>
  <c r="T382" i="2"/>
  <c r="AW646" i="1"/>
  <c r="BF646" i="1"/>
  <c r="BI646" i="1" s="1"/>
  <c r="AW644" i="1"/>
  <c r="BF644" i="1"/>
  <c r="BI644" i="1" s="1"/>
  <c r="L123" i="14"/>
  <c r="S28" i="14" s="1"/>
  <c r="T28" i="14" s="1"/>
  <c r="T387" i="2"/>
  <c r="BF645" i="1"/>
  <c r="BI645" i="1" s="1"/>
  <c r="AW645" i="1"/>
  <c r="AW648" i="1"/>
  <c r="BF648" i="1"/>
  <c r="BI648" i="1" s="1"/>
  <c r="T391" i="2"/>
  <c r="S391" i="2"/>
  <c r="AW639" i="1"/>
  <c r="BF639" i="1"/>
  <c r="BI639" i="1" s="1"/>
  <c r="BF641" i="1"/>
  <c r="BI641" i="1" s="1"/>
  <c r="AW641" i="1"/>
  <c r="T390" i="2"/>
  <c r="S386" i="2"/>
  <c r="T394" i="2"/>
  <c r="S387" i="2"/>
  <c r="AW640" i="1"/>
  <c r="BF640" i="1"/>
  <c r="BI640" i="1" s="1"/>
  <c r="BF642" i="1"/>
  <c r="BI642" i="1" s="1"/>
  <c r="AW642" i="1"/>
  <c r="T399" i="2"/>
  <c r="BF647" i="1"/>
  <c r="BI647" i="1" s="1"/>
  <c r="AW647" i="1"/>
  <c r="T402" i="2"/>
  <c r="AF399" i="2"/>
  <c r="BF638" i="1"/>
  <c r="AW638" i="1"/>
  <c r="AE392" i="2"/>
  <c r="D147" i="25" s="1"/>
  <c r="S397" i="2"/>
  <c r="AE252" i="1"/>
  <c r="AF252" i="1" s="1"/>
  <c r="AE389" i="2"/>
  <c r="AF388" i="2" s="1"/>
  <c r="AE401" i="2"/>
  <c r="D156" i="25" s="1"/>
  <c r="T388" i="2"/>
  <c r="T384" i="2"/>
  <c r="AF395" i="2"/>
  <c r="T393" i="2"/>
  <c r="S398" i="2"/>
  <c r="AE397" i="2"/>
  <c r="AF397" i="2" s="1"/>
  <c r="T397" i="2"/>
  <c r="S390" i="2"/>
  <c r="AE391" i="2"/>
  <c r="AF390" i="2" s="1"/>
  <c r="AF398" i="2"/>
  <c r="T401" i="2"/>
  <c r="S393" i="2"/>
  <c r="W251" i="1"/>
  <c r="S384" i="2"/>
  <c r="T400" i="2"/>
  <c r="S395" i="2"/>
  <c r="V251" i="1"/>
  <c r="AD260" i="1"/>
  <c r="AE260" i="1"/>
  <c r="AF260" i="1" s="1"/>
  <c r="AE384" i="2"/>
  <c r="D139" i="25" s="1"/>
  <c r="T396" i="2"/>
  <c r="S396" i="2"/>
  <c r="AE385" i="2"/>
  <c r="AE387" i="2"/>
  <c r="AF386" i="2" s="1"/>
  <c r="AF394" i="2"/>
  <c r="BE643" i="1"/>
  <c r="BH643" i="1" s="1"/>
  <c r="AX643" i="1"/>
  <c r="AU16" i="3"/>
  <c r="AV16" i="3" s="1"/>
  <c r="AT17" i="3" s="1"/>
  <c r="D143" i="25"/>
  <c r="BZ1148" i="2"/>
  <c r="BM1148" i="2"/>
  <c r="U1143" i="2"/>
  <c r="V1143" i="2"/>
  <c r="R1143" i="2"/>
  <c r="D28" i="10"/>
  <c r="Z28" i="10"/>
  <c r="BZ1143" i="2"/>
  <c r="BM1143" i="2"/>
  <c r="Z27" i="10"/>
  <c r="D27" i="10"/>
  <c r="D1139" i="2"/>
  <c r="AK335" i="10"/>
  <c r="N253" i="10" s="1"/>
  <c r="N252" i="10"/>
  <c r="BM1145" i="2"/>
  <c r="BZ1145" i="2"/>
  <c r="BM1146" i="2"/>
  <c r="BZ1146" i="2"/>
  <c r="S371" i="2"/>
  <c r="Q372" i="2"/>
  <c r="S392" i="2"/>
  <c r="S382" i="2"/>
  <c r="BU1143" i="2"/>
  <c r="BY1143" i="2"/>
  <c r="BL1143" i="2"/>
  <c r="J656" i="9"/>
  <c r="H657" i="9"/>
  <c r="U1145" i="2"/>
  <c r="V1145" i="2"/>
  <c r="R1145" i="2"/>
  <c r="BB1142" i="2"/>
  <c r="BC1142" i="2"/>
  <c r="AH1142" i="2"/>
  <c r="AF1142" i="2" s="1"/>
  <c r="AJ1142" i="2"/>
  <c r="BL1146" i="2"/>
  <c r="BU1146" i="2"/>
  <c r="BY1146" i="2"/>
  <c r="E650" i="9"/>
  <c r="G649" i="9"/>
  <c r="K656" i="9"/>
  <c r="M655" i="9"/>
  <c r="S388" i="2"/>
  <c r="S402" i="2"/>
  <c r="BB1148" i="2"/>
  <c r="BC1148" i="2"/>
  <c r="AH1148" i="2"/>
  <c r="AF1148" i="2" s="1"/>
  <c r="AJ1148" i="2"/>
  <c r="V1147" i="2"/>
  <c r="U1147" i="2"/>
  <c r="R1147" i="2"/>
  <c r="V1150" i="2"/>
  <c r="U1150" i="2"/>
  <c r="R1150" i="2"/>
  <c r="BL1145" i="2"/>
  <c r="BU1145" i="2"/>
  <c r="BY1145" i="2"/>
  <c r="S933" i="2"/>
  <c r="U25" i="2"/>
  <c r="D25" i="2"/>
  <c r="E25" i="2"/>
  <c r="AJ1144" i="2"/>
  <c r="BC1144" i="2"/>
  <c r="AH1144" i="2"/>
  <c r="AF1144" i="2" s="1"/>
  <c r="BB1144" i="2"/>
  <c r="BL1140" i="2"/>
  <c r="BU1140" i="2"/>
  <c r="BY1140" i="2"/>
  <c r="V1141" i="2"/>
  <c r="U1141" i="2"/>
  <c r="R1141" i="2"/>
  <c r="AH1146" i="2"/>
  <c r="AF1146" i="2" s="1"/>
  <c r="AJ1146" i="2"/>
  <c r="BB1146" i="2"/>
  <c r="BC1146" i="2"/>
  <c r="S400" i="2"/>
  <c r="S385" i="2"/>
  <c r="BZ1142" i="2"/>
  <c r="BM1142" i="2"/>
  <c r="U1140" i="2"/>
  <c r="V1140" i="2"/>
  <c r="R1140" i="2"/>
  <c r="BU1142" i="2"/>
  <c r="BY1142" i="2"/>
  <c r="BL1142" i="2"/>
  <c r="U14" i="2"/>
  <c r="E14" i="2"/>
  <c r="D14" i="2"/>
  <c r="S928" i="2"/>
  <c r="BZ1150" i="2"/>
  <c r="BM1150" i="2"/>
  <c r="BB1149" i="2"/>
  <c r="BC1149" i="2"/>
  <c r="AH1149" i="2"/>
  <c r="AF1149" i="2" s="1"/>
  <c r="AJ1149" i="2"/>
  <c r="S394" i="2"/>
  <c r="AD251" i="1"/>
  <c r="AE251" i="1"/>
  <c r="AF251" i="1" s="1"/>
  <c r="BB1150" i="2"/>
  <c r="BC1150" i="2"/>
  <c r="AH1150" i="2"/>
  <c r="AF1150" i="2" s="1"/>
  <c r="AJ1150" i="2"/>
  <c r="U1144" i="2"/>
  <c r="V1144" i="2"/>
  <c r="R1144" i="2"/>
  <c r="E928" i="2"/>
  <c r="E933" i="2"/>
  <c r="BZ1141" i="2"/>
  <c r="BM1141" i="2"/>
  <c r="BL1144" i="2"/>
  <c r="BU1144" i="2"/>
  <c r="BY1144" i="2"/>
  <c r="U1142" i="2"/>
  <c r="V1142" i="2"/>
  <c r="R1142" i="2"/>
  <c r="AR321" i="10"/>
  <c r="AR335" i="10" s="1"/>
  <c r="AP335" i="10"/>
  <c r="AJ1143" i="2"/>
  <c r="BB1143" i="2"/>
  <c r="BC1143" i="2"/>
  <c r="AH1143" i="2"/>
  <c r="AF1143" i="2" s="1"/>
  <c r="BV1146" i="2"/>
  <c r="T395" i="2"/>
  <c r="BY1149" i="2"/>
  <c r="BL1149" i="2"/>
  <c r="BU1149" i="2"/>
  <c r="S383" i="2"/>
  <c r="AD250" i="1"/>
  <c r="AE250" i="1"/>
  <c r="AF250" i="1" s="1"/>
  <c r="BV1142" i="2"/>
  <c r="AL321" i="10"/>
  <c r="AD230" i="10"/>
  <c r="AC243" i="10" s="1"/>
  <c r="AD243" i="10" s="1"/>
  <c r="CC1034" i="2"/>
  <c r="BB1141" i="2"/>
  <c r="BC1141" i="2"/>
  <c r="AH1141" i="2"/>
  <c r="AF1141" i="2" s="1"/>
  <c r="AJ1141" i="2"/>
  <c r="V1148" i="2"/>
  <c r="U1148" i="2"/>
  <c r="R1148" i="2"/>
  <c r="BZ1140" i="2"/>
  <c r="BM1140" i="2"/>
  <c r="T392" i="2"/>
  <c r="BZ1149" i="2"/>
  <c r="BM1149" i="2"/>
  <c r="S399" i="2"/>
  <c r="BU1150" i="2"/>
  <c r="BY1150" i="2"/>
  <c r="BL1150" i="2"/>
  <c r="AH1147" i="2"/>
  <c r="AF1147" i="2" s="1"/>
  <c r="BB1147" i="2"/>
  <c r="BC1147" i="2"/>
  <c r="AJ1147" i="2"/>
  <c r="S32" i="14"/>
  <c r="T32" i="14" s="1"/>
  <c r="S35" i="14"/>
  <c r="T35" i="14" s="1"/>
  <c r="Z133" i="10"/>
  <c r="D133" i="10"/>
  <c r="BZ1144" i="2"/>
  <c r="BM1144" i="2"/>
  <c r="Z263" i="10"/>
  <c r="R253" i="10"/>
  <c r="BY1141" i="2"/>
  <c r="BL1141" i="2"/>
  <c r="BU1141" i="2"/>
  <c r="D656" i="9"/>
  <c r="O656" i="9" s="1"/>
  <c r="B657" i="9"/>
  <c r="Q81" i="12"/>
  <c r="N59" i="12"/>
  <c r="Q70" i="12"/>
  <c r="I59" i="12"/>
  <c r="T383" i="2"/>
  <c r="V1149" i="2"/>
  <c r="U1149" i="2"/>
  <c r="R1149" i="2"/>
  <c r="S389" i="2"/>
  <c r="G18" i="4"/>
  <c r="F19" i="4" s="1"/>
  <c r="G19" i="4" s="1"/>
  <c r="BV1148" i="2"/>
  <c r="BL1147" i="2"/>
  <c r="BY1147" i="2"/>
  <c r="BU1147" i="2"/>
  <c r="AH1145" i="2"/>
  <c r="AF1145" i="2" s="1"/>
  <c r="AJ1145" i="2"/>
  <c r="BB1145" i="2"/>
  <c r="BC1145" i="2"/>
  <c r="U1146" i="2"/>
  <c r="V1146" i="2"/>
  <c r="R1146" i="2"/>
  <c r="BB1140" i="2"/>
  <c r="BC1140" i="2"/>
  <c r="AH1140" i="2"/>
  <c r="AF1140" i="2" s="1"/>
  <c r="AJ1140" i="2"/>
  <c r="BL1148" i="2"/>
  <c r="BU1148" i="2"/>
  <c r="BY1148" i="2"/>
  <c r="BV1140" i="2"/>
  <c r="BM1147" i="2"/>
  <c r="BZ1147" i="2"/>
  <c r="BV1145" i="2"/>
  <c r="AF384" i="2" l="1"/>
  <c r="F281" i="1"/>
  <c r="V262" i="1"/>
  <c r="AF262" i="1"/>
  <c r="AD262" i="1"/>
  <c r="S36" i="14"/>
  <c r="T36" i="14" s="1"/>
  <c r="AF389" i="2"/>
  <c r="AF392" i="2"/>
  <c r="AF401" i="2"/>
  <c r="D144" i="25"/>
  <c r="AF400" i="2"/>
  <c r="AF382" i="2"/>
  <c r="AF403" i="2" s="1"/>
  <c r="O438" i="2" s="1"/>
  <c r="AF391" i="2"/>
  <c r="AF383" i="2"/>
  <c r="BE648" i="1"/>
  <c r="BH648" i="1" s="1"/>
  <c r="AX648" i="1"/>
  <c r="BE645" i="1"/>
  <c r="BH645" i="1" s="1"/>
  <c r="AX645" i="1"/>
  <c r="AX640" i="1"/>
  <c r="BE640" i="1"/>
  <c r="BH640" i="1" s="1"/>
  <c r="S34" i="14"/>
  <c r="T34" i="14" s="1"/>
  <c r="S31" i="14"/>
  <c r="T31" i="14" s="1"/>
  <c r="BE644" i="1"/>
  <c r="BH644" i="1" s="1"/>
  <c r="AX644" i="1"/>
  <c r="S30" i="14"/>
  <c r="T30" i="14" s="1"/>
  <c r="S38" i="14"/>
  <c r="T38" i="14" s="1"/>
  <c r="AF385" i="2"/>
  <c r="BE647" i="1"/>
  <c r="BH647" i="1" s="1"/>
  <c r="AX647" i="1"/>
  <c r="AX642" i="1"/>
  <c r="BE642" i="1"/>
  <c r="BH642" i="1" s="1"/>
  <c r="D140" i="25"/>
  <c r="BE646" i="1"/>
  <c r="BH646" i="1" s="1"/>
  <c r="AX646" i="1"/>
  <c r="S29" i="14"/>
  <c r="T29" i="14" s="1"/>
  <c r="S37" i="14"/>
  <c r="T37" i="14" s="1"/>
  <c r="AW650" i="1"/>
  <c r="BE638" i="1"/>
  <c r="BH638" i="1" s="1"/>
  <c r="BH650" i="1" s="1"/>
  <c r="AX638" i="1"/>
  <c r="AX650" i="1" s="1"/>
  <c r="AX641" i="1"/>
  <c r="BE641" i="1"/>
  <c r="BH641" i="1" s="1"/>
  <c r="BF650" i="1"/>
  <c r="T656" i="1" s="1"/>
  <c r="K656" i="1" s="1"/>
  <c r="BI638" i="1"/>
  <c r="BI650" i="1" s="1"/>
  <c r="D152" i="25"/>
  <c r="BE639" i="1"/>
  <c r="BH639" i="1" s="1"/>
  <c r="AX639" i="1"/>
  <c r="D146" i="25"/>
  <c r="AF387" i="2"/>
  <c r="D142" i="25"/>
  <c r="AF396" i="2"/>
  <c r="AU17" i="3"/>
  <c r="AV17" i="3" s="1"/>
  <c r="AT18" i="3" s="1"/>
  <c r="P866" i="2"/>
  <c r="I1139" i="2"/>
  <c r="D1137" i="2"/>
  <c r="P867" i="2" s="1"/>
  <c r="S372" i="2"/>
  <c r="D376" i="2"/>
  <c r="D422" i="1" s="1"/>
  <c r="P387" i="2"/>
  <c r="F387" i="2" s="1"/>
  <c r="P396" i="2"/>
  <c r="F396" i="2" s="1"/>
  <c r="P383" i="2"/>
  <c r="F383" i="2" s="1"/>
  <c r="P395" i="2"/>
  <c r="F395" i="2" s="1"/>
  <c r="P388" i="2"/>
  <c r="F388" i="2" s="1"/>
  <c r="P400" i="2"/>
  <c r="F400" i="2" s="1"/>
  <c r="P398" i="2"/>
  <c r="F398" i="2" s="1"/>
  <c r="P385" i="2"/>
  <c r="F385" i="2" s="1"/>
  <c r="P393" i="2"/>
  <c r="F393" i="2" s="1"/>
  <c r="P397" i="2"/>
  <c r="F397" i="2" s="1"/>
  <c r="P399" i="2"/>
  <c r="F399" i="2" s="1"/>
  <c r="P386" i="2"/>
  <c r="F386" i="2" s="1"/>
  <c r="P391" i="2"/>
  <c r="F391" i="2" s="1"/>
  <c r="P401" i="2"/>
  <c r="F401" i="2" s="1"/>
  <c r="P402" i="2"/>
  <c r="P390" i="2"/>
  <c r="F390" i="2" s="1"/>
  <c r="P394" i="2"/>
  <c r="F394" i="2" s="1"/>
  <c r="P384" i="2"/>
  <c r="F384" i="2" s="1"/>
  <c r="P392" i="2"/>
  <c r="F392" i="2" s="1"/>
  <c r="P382" i="2"/>
  <c r="F382" i="2" s="1"/>
  <c r="P389" i="2"/>
  <c r="F389" i="2" s="1"/>
  <c r="D657" i="9"/>
  <c r="O657" i="9" s="1"/>
  <c r="B658" i="9"/>
  <c r="E651" i="9"/>
  <c r="G650" i="9"/>
  <c r="I960" i="2"/>
  <c r="U928" i="2"/>
  <c r="D928" i="2"/>
  <c r="S960" i="2"/>
  <c r="E1139" i="2"/>
  <c r="AL335" i="10"/>
  <c r="X261" i="10" s="1"/>
  <c r="H658" i="9"/>
  <c r="J657" i="9"/>
  <c r="K657" i="9"/>
  <c r="M656" i="9"/>
  <c r="I81" i="12"/>
  <c r="I70" i="12"/>
  <c r="I961" i="2"/>
  <c r="U933" i="2"/>
  <c r="D933" i="2"/>
  <c r="S961" i="2"/>
  <c r="Z74" i="3" l="1"/>
  <c r="X474" i="1"/>
  <c r="K652" i="1"/>
  <c r="K655" i="1" s="1"/>
  <c r="T123" i="14"/>
  <c r="AU18" i="3"/>
  <c r="AV18" i="3" s="1"/>
  <c r="AT19" i="3" s="1"/>
  <c r="F431" i="1"/>
  <c r="G409" i="2"/>
  <c r="G455" i="1" s="1"/>
  <c r="M657" i="9"/>
  <c r="K658" i="9"/>
  <c r="B659" i="9"/>
  <c r="D658" i="9"/>
  <c r="O658" i="9" s="1"/>
  <c r="G407" i="2"/>
  <c r="G453" i="1" s="1"/>
  <c r="F429" i="1"/>
  <c r="F436" i="1"/>
  <c r="G414" i="2"/>
  <c r="G460" i="1" s="1"/>
  <c r="D378" i="2"/>
  <c r="F402" i="2"/>
  <c r="R401" i="2"/>
  <c r="R385" i="2"/>
  <c r="R397" i="2"/>
  <c r="R392" i="2"/>
  <c r="R390" i="2"/>
  <c r="R398" i="2"/>
  <c r="R393" i="2"/>
  <c r="R402" i="2"/>
  <c r="R400" i="2"/>
  <c r="R399" i="2"/>
  <c r="R383" i="2"/>
  <c r="R387" i="2"/>
  <c r="R384" i="2"/>
  <c r="R388" i="2"/>
  <c r="R382" i="2"/>
  <c r="R389" i="2"/>
  <c r="R395" i="2"/>
  <c r="R386" i="2"/>
  <c r="R391" i="2"/>
  <c r="R396" i="2"/>
  <c r="R394" i="2"/>
  <c r="H659" i="9"/>
  <c r="J658" i="9"/>
  <c r="G419" i="2"/>
  <c r="G465" i="1" s="1"/>
  <c r="F441" i="1"/>
  <c r="G411" i="2"/>
  <c r="G457" i="1" s="1"/>
  <c r="F433" i="1"/>
  <c r="U961" i="2"/>
  <c r="AM76" i="3"/>
  <c r="D1058" i="2"/>
  <c r="F447" i="1"/>
  <c r="G425" i="2"/>
  <c r="G471" i="1" s="1"/>
  <c r="F444" i="1"/>
  <c r="G422" i="2"/>
  <c r="G468" i="1" s="1"/>
  <c r="F428" i="1"/>
  <c r="G406" i="2"/>
  <c r="G452" i="1" s="1"/>
  <c r="G420" i="2"/>
  <c r="G466" i="1" s="1"/>
  <c r="F442" i="1"/>
  <c r="F437" i="1"/>
  <c r="G415" i="2"/>
  <c r="G461" i="1" s="1"/>
  <c r="E783" i="2"/>
  <c r="E443" i="2"/>
  <c r="E507" i="2"/>
  <c r="E755" i="2"/>
  <c r="E791" i="2"/>
  <c r="E727" i="2"/>
  <c r="E611" i="2"/>
  <c r="E500" i="2"/>
  <c r="E763" i="2"/>
  <c r="E762" i="2"/>
  <c r="E799" i="2"/>
  <c r="E623" i="2"/>
  <c r="E154" i="2"/>
  <c r="E671" i="2"/>
  <c r="E188" i="2"/>
  <c r="E705" i="2"/>
  <c r="E209" i="2"/>
  <c r="E877" i="2"/>
  <c r="E545" i="2"/>
  <c r="E807" i="2"/>
  <c r="E106" i="2"/>
  <c r="E871" i="2"/>
  <c r="D1053" i="2" s="1"/>
  <c r="E726" i="2"/>
  <c r="E732" i="2"/>
  <c r="E746" i="2"/>
  <c r="E769" i="2"/>
  <c r="E754" i="2"/>
  <c r="E885" i="2"/>
  <c r="E310" i="2"/>
  <c r="E215" i="2"/>
  <c r="E94" i="2"/>
  <c r="E537" i="2"/>
  <c r="E521" i="2"/>
  <c r="E529" i="2"/>
  <c r="Z261" i="10"/>
  <c r="P253" i="10"/>
  <c r="F438" i="1"/>
  <c r="G416" i="2"/>
  <c r="G462" i="1" s="1"/>
  <c r="F440" i="1"/>
  <c r="G418" i="2"/>
  <c r="G464" i="1" s="1"/>
  <c r="G410" i="2"/>
  <c r="G456" i="1" s="1"/>
  <c r="F432" i="1"/>
  <c r="V724" i="2" a="1"/>
  <c r="V724" i="2" s="1"/>
  <c r="K724" i="2" s="1"/>
  <c r="S93" i="2" a="1"/>
  <c r="S93" i="2" s="1"/>
  <c r="K93" i="2" s="1"/>
  <c r="S105" i="2" a="1"/>
  <c r="S105" i="2" s="1"/>
  <c r="K105" i="2" s="1"/>
  <c r="V610" i="2" a="1"/>
  <c r="V610" i="2" s="1"/>
  <c r="K610" i="2" s="1"/>
  <c r="V185" i="2" a="1"/>
  <c r="V185" i="2" s="1"/>
  <c r="K185" i="2" s="1"/>
  <c r="V634" i="2" a="1"/>
  <c r="V634" i="2" s="1"/>
  <c r="K634" i="2" s="1"/>
  <c r="K670" i="2" s="1"/>
  <c r="AG1139" i="2"/>
  <c r="AE1139" i="2"/>
  <c r="BN1139" i="2"/>
  <c r="V214" i="2" a="1"/>
  <c r="V214" i="2" s="1"/>
  <c r="K214" i="2" s="1"/>
  <c r="M1139" i="2"/>
  <c r="V768" i="2" a="1"/>
  <c r="V768" i="2" s="1"/>
  <c r="K768" i="2" s="1"/>
  <c r="V207" i="2" a="1"/>
  <c r="V207" i="2" s="1"/>
  <c r="K207" i="2" s="1"/>
  <c r="V702" i="2" a="1"/>
  <c r="V702" i="2" s="1"/>
  <c r="K702" i="2" s="1"/>
  <c r="BO1139" i="2"/>
  <c r="V622" i="2" a="1"/>
  <c r="V622" i="2" s="1"/>
  <c r="K622" i="2" s="1"/>
  <c r="Z1139" i="2"/>
  <c r="Z1137" i="2" s="1"/>
  <c r="L1139" i="2"/>
  <c r="L1137" i="2" s="1"/>
  <c r="V506" i="2" a="1"/>
  <c r="V506" i="2" s="1"/>
  <c r="K506" i="2" s="1"/>
  <c r="V731" i="2" a="1"/>
  <c r="V731" i="2" s="1"/>
  <c r="K731" i="2" s="1"/>
  <c r="S117" i="2" a="1"/>
  <c r="S117" i="2" s="1"/>
  <c r="K117" i="2" s="1"/>
  <c r="K153" i="2" s="1"/>
  <c r="I1137" i="2"/>
  <c r="O1139" i="2"/>
  <c r="O1137" i="2" s="1"/>
  <c r="BI1139" i="2"/>
  <c r="BI1137" i="2" s="1"/>
  <c r="E652" i="9"/>
  <c r="G651" i="9"/>
  <c r="G412" i="2"/>
  <c r="G458" i="1" s="1"/>
  <c r="F434" i="1"/>
  <c r="G408" i="2"/>
  <c r="G454" i="1" s="1"/>
  <c r="F430" i="1"/>
  <c r="X483" i="1"/>
  <c r="Y483" i="1" s="1"/>
  <c r="X476" i="1"/>
  <c r="Y476" i="1" s="1"/>
  <c r="Y489" i="1" s="1"/>
  <c r="X484" i="1"/>
  <c r="Y484" i="1" s="1"/>
  <c r="X477" i="1"/>
  <c r="Y477" i="1" s="1"/>
  <c r="X485" i="1"/>
  <c r="Y485" i="1" s="1"/>
  <c r="X487" i="1"/>
  <c r="Y487" i="1" s="1"/>
  <c r="X478" i="1"/>
  <c r="Y478" i="1" s="1"/>
  <c r="X479" i="1"/>
  <c r="Y479" i="1" s="1"/>
  <c r="X480" i="1"/>
  <c r="Y480" i="1" s="1"/>
  <c r="X481" i="1"/>
  <c r="Y481" i="1" s="1"/>
  <c r="X482" i="1"/>
  <c r="Y482" i="1" s="1"/>
  <c r="X486" i="1"/>
  <c r="Y486" i="1" s="1"/>
  <c r="G423" i="2"/>
  <c r="G469" i="1" s="1"/>
  <c r="F445" i="1"/>
  <c r="D883" i="2"/>
  <c r="E668" i="2"/>
  <c r="E876" i="2"/>
  <c r="E183" i="2"/>
  <c r="E306" i="2"/>
  <c r="E803" i="2"/>
  <c r="E730" i="2"/>
  <c r="E742" i="2"/>
  <c r="E525" i="2"/>
  <c r="E779" i="2"/>
  <c r="E439" i="2"/>
  <c r="E633" i="2"/>
  <c r="E104" i="2"/>
  <c r="E257" i="2"/>
  <c r="E116" i="2"/>
  <c r="E700" i="2"/>
  <c r="E517" i="2"/>
  <c r="E153" i="2"/>
  <c r="E541" i="2"/>
  <c r="E496" i="2"/>
  <c r="E533" i="2"/>
  <c r="E151" i="2"/>
  <c r="E701" i="2"/>
  <c r="E345" i="1"/>
  <c r="E92" i="2"/>
  <c r="E150" i="2"/>
  <c r="E152" i="2"/>
  <c r="E767" i="2"/>
  <c r="E609" i="2"/>
  <c r="E184" i="2"/>
  <c r="E621" i="2"/>
  <c r="E884" i="2"/>
  <c r="E669" i="2"/>
  <c r="E670" i="2"/>
  <c r="E787" i="2"/>
  <c r="E667" i="2"/>
  <c r="E795" i="2"/>
  <c r="E750" i="2"/>
  <c r="E505" i="2"/>
  <c r="E725" i="2"/>
  <c r="E870" i="2"/>
  <c r="C1053" i="2" s="1"/>
  <c r="E208" i="2"/>
  <c r="E213" i="2"/>
  <c r="E758" i="2"/>
  <c r="G424" i="2"/>
  <c r="G470" i="1" s="1"/>
  <c r="F446" i="1"/>
  <c r="U960" i="2"/>
  <c r="D1057" i="2"/>
  <c r="I962" i="2"/>
  <c r="D54" i="3" s="1"/>
  <c r="AM75" i="3"/>
  <c r="G421" i="2"/>
  <c r="G467" i="1" s="1"/>
  <c r="F443" i="1"/>
  <c r="F435" i="1"/>
  <c r="G413" i="2"/>
  <c r="G459" i="1" s="1"/>
  <c r="Q866" i="2"/>
  <c r="E1137" i="2"/>
  <c r="Q867" i="2" s="1"/>
  <c r="J1139" i="2"/>
  <c r="F439" i="1"/>
  <c r="G417" i="2"/>
  <c r="G463" i="1" s="1"/>
  <c r="D889" i="2" l="1"/>
  <c r="D879" i="2"/>
  <c r="U1139" i="2"/>
  <c r="V1139" i="2"/>
  <c r="V1137" i="2" s="1"/>
  <c r="R820" i="2" s="1"/>
  <c r="M1137" i="2"/>
  <c r="D820" i="2" s="1"/>
  <c r="G426" i="2"/>
  <c r="G472" i="1" s="1"/>
  <c r="F448" i="1"/>
  <c r="E896" i="2"/>
  <c r="E906" i="2"/>
  <c r="E900" i="2"/>
  <c r="E916" i="2"/>
  <c r="E588" i="2"/>
  <c r="E596" i="2"/>
  <c r="E776" i="2"/>
  <c r="E899" i="2"/>
  <c r="E630" i="2"/>
  <c r="E895" i="2"/>
  <c r="C1048" i="2" s="1"/>
  <c r="E72" i="2"/>
  <c r="E905" i="2"/>
  <c r="E79" i="2"/>
  <c r="E101" i="2"/>
  <c r="E514" i="2"/>
  <c r="E739" i="2"/>
  <c r="E123" i="2"/>
  <c r="E595" i="2"/>
  <c r="E194" i="2"/>
  <c r="V904" i="2"/>
  <c r="E915" i="2"/>
  <c r="E587" i="2"/>
  <c r="E710" i="2"/>
  <c r="E618" i="2"/>
  <c r="E193" i="2"/>
  <c r="E113" i="2"/>
  <c r="E222" i="2"/>
  <c r="E711" i="2"/>
  <c r="E675" i="2"/>
  <c r="E674" i="2"/>
  <c r="E158" i="2"/>
  <c r="E157" i="2"/>
  <c r="BL1139" i="2"/>
  <c r="BL1137" i="2" s="1"/>
  <c r="D845" i="2" s="1"/>
  <c r="BU1139" i="2"/>
  <c r="BU1137" i="2" s="1"/>
  <c r="P845" i="2" s="1"/>
  <c r="G845" i="2" s="1"/>
  <c r="BY1139" i="2"/>
  <c r="BY1137" i="2" s="1"/>
  <c r="R845" i="2" s="1"/>
  <c r="G652" i="9"/>
  <c r="E653" i="9"/>
  <c r="BZ1139" i="2"/>
  <c r="BZ1137" i="2" s="1"/>
  <c r="R846" i="2" s="1"/>
  <c r="BM1139" i="2"/>
  <c r="BM1137" i="2" s="1"/>
  <c r="D424" i="1"/>
  <c r="D434" i="2"/>
  <c r="D843" i="2"/>
  <c r="F843" i="2" s="1"/>
  <c r="E843" i="2"/>
  <c r="AH1139" i="2"/>
  <c r="AF1139" i="2" s="1"/>
  <c r="AF1137" i="2" s="1"/>
  <c r="AJ1139" i="2"/>
  <c r="AJ1137" i="2" s="1"/>
  <c r="P832" i="2" s="1"/>
  <c r="G832" i="2" s="1"/>
  <c r="BC1139" i="2"/>
  <c r="BC1137" i="2" s="1"/>
  <c r="R833" i="2" s="1"/>
  <c r="BB1139" i="2"/>
  <c r="BB1137" i="2" s="1"/>
  <c r="R832" i="2" s="1"/>
  <c r="AE1137" i="2"/>
  <c r="D832" i="2" s="1"/>
  <c r="F832" i="2" s="1"/>
  <c r="F839" i="2" s="1"/>
  <c r="D821" i="2"/>
  <c r="E821" i="2"/>
  <c r="AK1139" i="2"/>
  <c r="D830" i="2"/>
  <c r="F830" i="2" s="1"/>
  <c r="E830" i="2"/>
  <c r="K1139" i="2"/>
  <c r="J1137" i="2"/>
  <c r="Q1139" i="2"/>
  <c r="Q1137" i="2" s="1"/>
  <c r="P819" i="2" s="1"/>
  <c r="S1139" i="2"/>
  <c r="S1137" i="2" s="1"/>
  <c r="P821" i="2" s="1"/>
  <c r="G821" i="2" s="1"/>
  <c r="BQ1139" i="2"/>
  <c r="R1139" i="2"/>
  <c r="R1137" i="2" s="1"/>
  <c r="P820" i="2" s="1"/>
  <c r="G820" i="2" s="1"/>
  <c r="BS1139" i="2"/>
  <c r="BS1137" i="2" s="1"/>
  <c r="P843" i="2" s="1"/>
  <c r="AL1139" i="2"/>
  <c r="AM1139" i="2"/>
  <c r="BR1139" i="2"/>
  <c r="BR1137" i="2" s="1"/>
  <c r="AI1139" i="2"/>
  <c r="AI1137" i="2" s="1"/>
  <c r="P830" i="2" s="1"/>
  <c r="F820" i="2"/>
  <c r="F826" i="2" s="1"/>
  <c r="D819" i="2"/>
  <c r="F819" i="2" s="1"/>
  <c r="B660" i="9"/>
  <c r="D659" i="9"/>
  <c r="O659" i="9" s="1"/>
  <c r="M658" i="9"/>
  <c r="K659" i="9"/>
  <c r="J659" i="9"/>
  <c r="H660" i="9"/>
  <c r="AU19" i="3"/>
  <c r="AV19" i="3" s="1"/>
  <c r="AT20" i="3" s="1"/>
  <c r="AN1139" i="2" l="1"/>
  <c r="AN1137" i="2" s="1"/>
  <c r="P834" i="2" s="1"/>
  <c r="G834" i="2" s="1"/>
  <c r="CE1139" i="2"/>
  <c r="AU20" i="3"/>
  <c r="AV20" i="3" s="1"/>
  <c r="AT21" i="3" s="1"/>
  <c r="F825" i="2"/>
  <c r="T857" i="2" s="1"/>
  <c r="T856" i="2"/>
  <c r="F838" i="2"/>
  <c r="T859" i="2" s="1"/>
  <c r="T858" i="2"/>
  <c r="F850" i="2"/>
  <c r="T861" i="2" s="1"/>
  <c r="T860" i="2"/>
  <c r="D851" i="2"/>
  <c r="D850" i="2"/>
  <c r="R860" i="2"/>
  <c r="B661" i="9"/>
  <c r="D660" i="9"/>
  <c r="O660" i="9" s="1"/>
  <c r="K1137" i="2"/>
  <c r="F1134" i="2" s="1"/>
  <c r="G1109" i="2" s="1"/>
  <c r="X1139" i="2"/>
  <c r="X1137" i="2" s="1"/>
  <c r="F845" i="2"/>
  <c r="F851" i="2" s="1"/>
  <c r="Q830" i="2"/>
  <c r="Q819" i="2"/>
  <c r="Q845" i="2"/>
  <c r="H845" i="2" s="1"/>
  <c r="Q832" i="2"/>
  <c r="H832" i="2" s="1"/>
  <c r="Q843" i="2"/>
  <c r="Q821" i="2"/>
  <c r="H821" i="2" s="1"/>
  <c r="Q820" i="2"/>
  <c r="H820" i="2" s="1"/>
  <c r="Q834" i="2"/>
  <c r="H834" i="2" s="1"/>
  <c r="D497" i="1"/>
  <c r="I1059" i="1" s="1"/>
  <c r="H1059" i="1" s="1"/>
  <c r="E434" i="2"/>
  <c r="E497" i="1" s="1"/>
  <c r="D436" i="2"/>
  <c r="D499" i="1" s="1"/>
  <c r="M911" i="2"/>
  <c r="CF1139" i="2"/>
  <c r="CF1137" i="2" s="1"/>
  <c r="CE1137" i="2"/>
  <c r="F821" i="2"/>
  <c r="K845" i="2"/>
  <c r="I845" i="2"/>
  <c r="R851" i="2"/>
  <c r="G830" i="2"/>
  <c r="U858" i="2"/>
  <c r="H661" i="9"/>
  <c r="J660" i="9"/>
  <c r="E838" i="2"/>
  <c r="S859" i="2" s="1"/>
  <c r="S858" i="2"/>
  <c r="G843" i="2"/>
  <c r="U860" i="2"/>
  <c r="BT1139" i="2"/>
  <c r="BT1137" i="2" s="1"/>
  <c r="P844" i="2" s="1"/>
  <c r="Q844" i="2" s="1"/>
  <c r="BV1139" i="2"/>
  <c r="BV1137" i="2" s="1"/>
  <c r="P846" i="2" s="1"/>
  <c r="Q846" i="2" s="1"/>
  <c r="BJ1139" i="2"/>
  <c r="E850" i="2"/>
  <c r="S861" i="2" s="1"/>
  <c r="S860" i="2"/>
  <c r="I832" i="2"/>
  <c r="R839" i="2"/>
  <c r="K832" i="2"/>
  <c r="G819" i="2"/>
  <c r="U856" i="2"/>
  <c r="U862" i="2" s="1"/>
  <c r="M1107" i="2" s="1"/>
  <c r="M659" i="9"/>
  <c r="K660" i="9"/>
  <c r="D838" i="2"/>
  <c r="R858" i="2"/>
  <c r="BF1139" i="2"/>
  <c r="AC1139" i="2"/>
  <c r="AO1139" i="2"/>
  <c r="E654" i="9"/>
  <c r="G653" i="9"/>
  <c r="D826" i="2"/>
  <c r="D839" i="2"/>
  <c r="D825" i="2"/>
  <c r="R856" i="2"/>
  <c r="E819" i="2"/>
  <c r="AA1139" i="2"/>
  <c r="BD1139" i="2"/>
  <c r="BD1137" i="2" s="1"/>
  <c r="R834" i="2" s="1"/>
  <c r="AK1137" i="2"/>
  <c r="P833" i="2" s="1"/>
  <c r="Q833" i="2" s="1"/>
  <c r="AQ1139" i="2"/>
  <c r="K820" i="2"/>
  <c r="I820" i="2"/>
  <c r="R826" i="2"/>
  <c r="T862" i="2" l="1"/>
  <c r="S896" i="2"/>
  <c r="S80" i="2"/>
  <c r="S73" i="2"/>
  <c r="BK1139" i="2"/>
  <c r="BK1137" i="2" s="1"/>
  <c r="BJ1137" i="2"/>
  <c r="V900" i="2"/>
  <c r="S906" i="2" s="1"/>
  <c r="R861" i="2"/>
  <c r="H662" i="9"/>
  <c r="J661" i="9"/>
  <c r="R857" i="2"/>
  <c r="R862" i="2" s="1"/>
  <c r="G1107" i="2" s="1"/>
  <c r="I851" i="2"/>
  <c r="K851" i="2"/>
  <c r="K826" i="2"/>
  <c r="I826" i="2"/>
  <c r="E825" i="2"/>
  <c r="S857" i="2" s="1"/>
  <c r="S856" i="2"/>
  <c r="P77" i="4"/>
  <c r="X7" i="2"/>
  <c r="G957" i="2"/>
  <c r="T957" i="2" s="1"/>
  <c r="F957" i="2"/>
  <c r="N957" i="2"/>
  <c r="D1001" i="2"/>
  <c r="H819" i="2"/>
  <c r="V856" i="2"/>
  <c r="V862" i="2" s="1"/>
  <c r="K839" i="2"/>
  <c r="I839" i="2"/>
  <c r="B662" i="9"/>
  <c r="D661" i="9"/>
  <c r="O661" i="9" s="1"/>
  <c r="BE1139" i="2"/>
  <c r="BE1137" i="2" s="1"/>
  <c r="BF1137" i="2"/>
  <c r="H830" i="2"/>
  <c r="V858" i="2"/>
  <c r="K661" i="9"/>
  <c r="M660" i="9"/>
  <c r="AO1137" i="2"/>
  <c r="AP1139" i="2"/>
  <c r="AP1137" i="2" s="1"/>
  <c r="P831" i="2" s="1"/>
  <c r="Q831" i="2" s="1"/>
  <c r="K834" i="2"/>
  <c r="I834" i="2"/>
  <c r="AC1137" i="2"/>
  <c r="AD1139" i="2"/>
  <c r="AD1137" i="2" s="1"/>
  <c r="AA1137" i="2"/>
  <c r="AB1139" i="2"/>
  <c r="AB1137" i="2" s="1"/>
  <c r="D834" i="2" s="1"/>
  <c r="H843" i="2"/>
  <c r="V860" i="2"/>
  <c r="E655" i="9"/>
  <c r="G654" i="9"/>
  <c r="R859" i="2"/>
  <c r="AU21" i="3"/>
  <c r="AV21" i="3" s="1"/>
  <c r="AT22" i="3" s="1"/>
  <c r="S862" i="2" l="1"/>
  <c r="J1107" i="2" s="1"/>
  <c r="D444" i="2" s="1"/>
  <c r="D438" i="2" s="1"/>
  <c r="D746" i="2"/>
  <c r="D310" i="2"/>
  <c r="D304" i="2" s="1"/>
  <c r="D106" i="2"/>
  <c r="D807" i="2"/>
  <c r="D799" i="2"/>
  <c r="D154" i="2"/>
  <c r="D529" i="2"/>
  <c r="D769" i="2"/>
  <c r="D94" i="2"/>
  <c r="D623" i="2"/>
  <c r="D762" i="2"/>
  <c r="D545" i="2"/>
  <c r="D732" i="2"/>
  <c r="D754" i="2"/>
  <c r="D521" i="2"/>
  <c r="D500" i="2"/>
  <c r="D443" i="2"/>
  <c r="D437" i="2" s="1"/>
  <c r="D500" i="1" s="1"/>
  <c r="D726" i="2"/>
  <c r="D791" i="2"/>
  <c r="D671" i="2"/>
  <c r="D209" i="2"/>
  <c r="O494" i="2"/>
  <c r="D871" i="2"/>
  <c r="D537" i="2"/>
  <c r="D783" i="2"/>
  <c r="D215" i="2"/>
  <c r="D705" i="2"/>
  <c r="D507" i="2"/>
  <c r="D188" i="2"/>
  <c r="D611" i="2"/>
  <c r="Q127" i="12"/>
  <c r="N331" i="12" s="1"/>
  <c r="U73" i="2"/>
  <c r="D73" i="2"/>
  <c r="E73" i="2"/>
  <c r="U80" i="2"/>
  <c r="D80" i="2"/>
  <c r="E80" i="2"/>
  <c r="D896" i="2"/>
  <c r="I950" i="2"/>
  <c r="AM67" i="3" s="1"/>
  <c r="U896" i="2"/>
  <c r="I952" i="2"/>
  <c r="I951" i="2"/>
  <c r="D1048" i="2"/>
  <c r="V906" i="2"/>
  <c r="S956" i="2" s="1"/>
  <c r="U906" i="2"/>
  <c r="D906" i="2"/>
  <c r="V914" i="2"/>
  <c r="S914" i="2" s="1"/>
  <c r="AU22" i="3"/>
  <c r="AV22" i="3" s="1"/>
  <c r="AT23" i="3" s="1"/>
  <c r="F834" i="2"/>
  <c r="E834" i="2"/>
  <c r="B663" i="9"/>
  <c r="D662" i="9"/>
  <c r="O662" i="9" s="1"/>
  <c r="K662" i="9"/>
  <c r="M661" i="9"/>
  <c r="G655" i="9"/>
  <c r="E656" i="9"/>
  <c r="H663" i="9"/>
  <c r="J662" i="9"/>
  <c r="X235" i="2" l="1"/>
  <c r="Y235" i="2" s="1"/>
  <c r="X242" i="2"/>
  <c r="Y242" i="2" s="1"/>
  <c r="X241" i="2"/>
  <c r="Y241" i="2" s="1"/>
  <c r="D530" i="2"/>
  <c r="D808" i="2"/>
  <c r="D508" i="2"/>
  <c r="D784" i="2"/>
  <c r="D501" i="2"/>
  <c r="D763" i="2"/>
  <c r="D672" i="2"/>
  <c r="O495" i="2"/>
  <c r="AN460" i="2" s="1"/>
  <c r="D973" i="2"/>
  <c r="D95" i="2"/>
  <c r="D546" i="2"/>
  <c r="D612" i="2"/>
  <c r="X231" i="2"/>
  <c r="Y231" i="2" s="1"/>
  <c r="X233" i="2"/>
  <c r="Y233" i="2" s="1"/>
  <c r="D706" i="2"/>
  <c r="X240" i="2"/>
  <c r="Y240" i="2" s="1"/>
  <c r="D624" i="2"/>
  <c r="D747" i="2"/>
  <c r="D522" i="2"/>
  <c r="D538" i="2"/>
  <c r="D800" i="2"/>
  <c r="D189" i="2"/>
  <c r="X237" i="2"/>
  <c r="Y237" i="2" s="1"/>
  <c r="D216" i="2"/>
  <c r="D872" i="2"/>
  <c r="I947" i="2" s="1"/>
  <c r="D33" i="3" s="1"/>
  <c r="D155" i="2"/>
  <c r="D311" i="2"/>
  <c r="D305" i="2" s="1"/>
  <c r="X232" i="2"/>
  <c r="Y232" i="2" s="1"/>
  <c r="D210" i="2"/>
  <c r="D770" i="2"/>
  <c r="D733" i="2"/>
  <c r="X238" i="2"/>
  <c r="Y238" i="2" s="1"/>
  <c r="X236" i="2"/>
  <c r="Y236" i="2" s="1"/>
  <c r="X234" i="2"/>
  <c r="Y234" i="2" s="1"/>
  <c r="D107" i="2"/>
  <c r="D727" i="2"/>
  <c r="X239" i="2"/>
  <c r="Y239" i="2" s="1"/>
  <c r="D755" i="2"/>
  <c r="D792" i="2"/>
  <c r="I941" i="2"/>
  <c r="I942" i="2"/>
  <c r="I940" i="2"/>
  <c r="D885" i="2"/>
  <c r="M880" i="2" s="1"/>
  <c r="N951" i="2"/>
  <c r="AM68" i="3"/>
  <c r="D313" i="1"/>
  <c r="AM69" i="3"/>
  <c r="N952" i="2"/>
  <c r="Q141" i="12"/>
  <c r="N329" i="12"/>
  <c r="AM87" i="3"/>
  <c r="I127" i="12"/>
  <c r="E500" i="1"/>
  <c r="F1059" i="1"/>
  <c r="AU23" i="3"/>
  <c r="AV23" i="3" s="1"/>
  <c r="AT24" i="3" s="1"/>
  <c r="B664" i="9"/>
  <c r="D663" i="9"/>
  <c r="O663" i="9" s="1"/>
  <c r="G656" i="9"/>
  <c r="E657" i="9"/>
  <c r="D914" i="2"/>
  <c r="U914" i="2"/>
  <c r="K663" i="9"/>
  <c r="M662" i="9"/>
  <c r="J663" i="9"/>
  <c r="H664" i="9"/>
  <c r="AN467" i="2" l="1"/>
  <c r="AN465" i="2"/>
  <c r="AN466" i="2"/>
  <c r="AN457" i="2"/>
  <c r="AN463" i="2"/>
  <c r="AN459" i="2"/>
  <c r="AN461" i="2"/>
  <c r="AN462" i="2"/>
  <c r="AN456" i="2"/>
  <c r="AN458" i="2"/>
  <c r="AN464" i="2"/>
  <c r="AM66" i="3"/>
  <c r="N947" i="2"/>
  <c r="Y243" i="2"/>
  <c r="G234" i="2" s="1"/>
  <c r="G243" i="2"/>
  <c r="W243" i="2" s="1"/>
  <c r="F243" i="2" s="1"/>
  <c r="Q156" i="12"/>
  <c r="I156" i="12" s="1"/>
  <c r="I141" i="12"/>
  <c r="E168" i="12"/>
  <c r="E313" i="1"/>
  <c r="F292" i="1"/>
  <c r="F1060" i="1"/>
  <c r="F1088" i="1" s="1"/>
  <c r="V885" i="2"/>
  <c r="S946" i="2" s="1"/>
  <c r="Z72" i="3" s="1"/>
  <c r="D1000" i="2"/>
  <c r="H946" i="2"/>
  <c r="G946" i="2"/>
  <c r="I946" i="2"/>
  <c r="I948" i="2" s="1"/>
  <c r="R946" i="2"/>
  <c r="P63" i="4"/>
  <c r="F1087" i="1"/>
  <c r="AM59" i="3"/>
  <c r="AM61" i="3"/>
  <c r="N942" i="2"/>
  <c r="AM60" i="3"/>
  <c r="N941" i="2"/>
  <c r="AU24" i="3"/>
  <c r="AV24" i="3" s="1"/>
  <c r="AT25" i="3" s="1"/>
  <c r="K664" i="9"/>
  <c r="M663" i="9"/>
  <c r="G657" i="9"/>
  <c r="E658" i="9"/>
  <c r="D910" i="2"/>
  <c r="V915" i="2"/>
  <c r="S916" i="2"/>
  <c r="D664" i="9"/>
  <c r="O664" i="9" s="1"/>
  <c r="C644" i="9" a="1"/>
  <c r="J664" i="9"/>
  <c r="I644" i="9" a="1"/>
  <c r="AN468" i="2" l="1"/>
  <c r="O469" i="2"/>
  <c r="G464" i="2" s="1"/>
  <c r="O468" i="2"/>
  <c r="V814" i="2" s="1"/>
  <c r="D34" i="3" s="1"/>
  <c r="K31" i="3" s="1"/>
  <c r="D1018" i="2" s="1"/>
  <c r="M1018" i="2" s="1"/>
  <c r="G241" i="2"/>
  <c r="G237" i="2"/>
  <c r="B1088" i="1"/>
  <c r="G239" i="2"/>
  <c r="G232" i="2"/>
  <c r="G459" i="2"/>
  <c r="G463" i="2"/>
  <c r="G233" i="2"/>
  <c r="G238" i="2"/>
  <c r="G240" i="2"/>
  <c r="G236" i="2"/>
  <c r="G235" i="2"/>
  <c r="G231" i="2"/>
  <c r="J832" i="2"/>
  <c r="G242" i="2"/>
  <c r="G467" i="2"/>
  <c r="B1086" i="1"/>
  <c r="C1090" i="1" s="1"/>
  <c r="B1089" i="1"/>
  <c r="B1087" i="1"/>
  <c r="F946" i="2"/>
  <c r="H1236" i="2"/>
  <c r="H1253" i="2"/>
  <c r="H1286" i="2"/>
  <c r="H1287" i="2"/>
  <c r="G1189" i="2"/>
  <c r="G1206" i="2"/>
  <c r="G1223" i="2"/>
  <c r="G1256" i="2"/>
  <c r="G1278" i="2"/>
  <c r="H1183" i="2"/>
  <c r="G1258" i="2"/>
  <c r="G1228" i="2"/>
  <c r="H1199" i="2"/>
  <c r="G1276" i="2"/>
  <c r="H1196" i="2"/>
  <c r="H1204" i="2"/>
  <c r="G1214" i="2"/>
  <c r="H1252" i="2"/>
  <c r="H1269" i="2"/>
  <c r="G1186" i="2"/>
  <c r="G1188" i="2"/>
  <c r="G1205" i="2"/>
  <c r="G1222" i="2"/>
  <c r="G1239" i="2"/>
  <c r="G1272" i="2"/>
  <c r="H1202" i="2"/>
  <c r="G1261" i="2"/>
  <c r="G1291" i="2"/>
  <c r="G1260" i="2"/>
  <c r="H1219" i="2"/>
  <c r="H1230" i="2"/>
  <c r="H1185" i="2"/>
  <c r="H1280" i="2"/>
  <c r="H1175" i="2"/>
  <c r="H1184" i="2"/>
  <c r="H1225" i="2"/>
  <c r="H1201" i="2"/>
  <c r="G1230" i="2"/>
  <c r="H1258" i="2"/>
  <c r="H1218" i="2"/>
  <c r="H1222" i="2"/>
  <c r="H1274" i="2"/>
  <c r="G1176" i="2"/>
  <c r="H1256" i="2"/>
  <c r="H1277" i="2"/>
  <c r="H1255" i="2"/>
  <c r="G1224" i="2"/>
  <c r="H1198" i="2"/>
  <c r="H1270" i="2"/>
  <c r="G1240" i="2"/>
  <c r="H1282" i="2"/>
  <c r="H1268" i="2"/>
  <c r="H1285" i="2"/>
  <c r="G1203" i="2"/>
  <c r="G1204" i="2"/>
  <c r="G1221" i="2"/>
  <c r="G1238" i="2"/>
  <c r="G1255" i="2"/>
  <c r="G1288" i="2"/>
  <c r="H1234" i="2"/>
  <c r="H1212" i="2"/>
  <c r="H1216" i="2"/>
  <c r="G1229" i="2"/>
  <c r="G1177" i="2"/>
  <c r="G1198" i="2"/>
  <c r="G1231" i="2"/>
  <c r="H1193" i="2"/>
  <c r="H1260" i="2"/>
  <c r="H1209" i="2"/>
  <c r="G1197" i="2"/>
  <c r="G1281" i="2"/>
  <c r="H1235" i="2"/>
  <c r="H1206" i="2"/>
  <c r="H1233" i="2"/>
  <c r="H1229" i="2"/>
  <c r="H1240" i="2"/>
  <c r="G1183" i="2"/>
  <c r="G1232" i="2"/>
  <c r="H1291" i="2"/>
  <c r="H1254" i="2"/>
  <c r="G1248" i="2"/>
  <c r="G1200" i="2"/>
  <c r="H1237" i="2"/>
  <c r="G1196" i="2"/>
  <c r="H1284" i="2"/>
  <c r="G1185" i="2"/>
  <c r="G1219" i="2"/>
  <c r="G1220" i="2"/>
  <c r="G1237" i="2"/>
  <c r="G1254" i="2"/>
  <c r="G1271" i="2"/>
  <c r="H1200" i="2"/>
  <c r="H1266" i="2"/>
  <c r="H1244" i="2"/>
  <c r="H1181" i="2"/>
  <c r="H1217" i="2"/>
  <c r="G1244" i="2"/>
  <c r="G1264" i="2"/>
  <c r="G1241" i="2"/>
  <c r="H1176" i="2"/>
  <c r="G1227" i="2"/>
  <c r="H1259" i="2"/>
  <c r="G1275" i="2"/>
  <c r="H1242" i="2"/>
  <c r="H1180" i="2"/>
  <c r="H1251" i="2"/>
  <c r="H1241" i="2"/>
  <c r="H1267" i="2"/>
  <c r="H1223" i="2"/>
  <c r="G1192" i="2"/>
  <c r="H1215" i="2"/>
  <c r="H1273" i="2"/>
  <c r="G1243" i="2"/>
  <c r="H1221" i="2"/>
  <c r="H1279" i="2"/>
  <c r="H1271" i="2"/>
  <c r="G1226" i="2"/>
  <c r="G1274" i="2"/>
  <c r="G1184" i="2"/>
  <c r="G1202" i="2"/>
  <c r="G1235" i="2"/>
  <c r="G1236" i="2"/>
  <c r="G1253" i="2"/>
  <c r="G1270" i="2"/>
  <c r="G1287" i="2"/>
  <c r="H1232" i="2"/>
  <c r="G1182" i="2"/>
  <c r="H1276" i="2"/>
  <c r="H1214" i="2"/>
  <c r="H1283" i="2"/>
  <c r="H1261" i="2"/>
  <c r="G1211" i="2"/>
  <c r="G1245" i="2"/>
  <c r="G1265" i="2"/>
  <c r="H1203" i="2"/>
  <c r="H1275" i="2"/>
  <c r="H1262" i="2"/>
  <c r="G1175" i="2"/>
  <c r="H1197" i="2"/>
  <c r="G1263" i="2"/>
  <c r="H1239" i="2"/>
  <c r="H1247" i="2"/>
  <c r="H1290" i="2"/>
  <c r="G1194" i="2"/>
  <c r="G1280" i="2"/>
  <c r="G1201" i="2"/>
  <c r="G1218" i="2"/>
  <c r="G1251" i="2"/>
  <c r="G1252" i="2"/>
  <c r="G1269" i="2"/>
  <c r="G1286" i="2"/>
  <c r="H1195" i="2"/>
  <c r="H1264" i="2"/>
  <c r="G1215" i="2"/>
  <c r="G1193" i="2"/>
  <c r="H1246" i="2"/>
  <c r="G1242" i="2"/>
  <c r="H1228" i="2"/>
  <c r="G1212" i="2"/>
  <c r="G1266" i="2"/>
  <c r="H1243" i="2"/>
  <c r="G1273" i="2"/>
  <c r="H1192" i="2"/>
  <c r="G1277" i="2"/>
  <c r="H1191" i="2"/>
  <c r="H1238" i="2"/>
  <c r="G1181" i="2"/>
  <c r="H1272" i="2"/>
  <c r="H1263" i="2"/>
  <c r="H1288" i="2"/>
  <c r="G1207" i="2"/>
  <c r="H1281" i="2"/>
  <c r="G1217" i="2"/>
  <c r="G1234" i="2"/>
  <c r="G1267" i="2"/>
  <c r="G1268" i="2"/>
  <c r="G1285" i="2"/>
  <c r="H1178" i="2"/>
  <c r="H1211" i="2"/>
  <c r="G1180" i="2"/>
  <c r="G1247" i="2"/>
  <c r="G1225" i="2"/>
  <c r="H1278" i="2"/>
  <c r="G1209" i="2"/>
  <c r="G1178" i="2"/>
  <c r="H1231" i="2"/>
  <c r="H1210" i="2"/>
  <c r="H1250" i="2"/>
  <c r="H1226" i="2"/>
  <c r="G1259" i="2"/>
  <c r="H1208" i="2"/>
  <c r="H1248" i="2"/>
  <c r="H1207" i="2"/>
  <c r="H1182" i="2"/>
  <c r="H1265" i="2"/>
  <c r="H1188" i="2"/>
  <c r="G1216" i="2"/>
  <c r="H1220" i="2"/>
  <c r="G1190" i="2"/>
  <c r="G1233" i="2"/>
  <c r="G1250" i="2"/>
  <c r="G1283" i="2"/>
  <c r="G1284" i="2"/>
  <c r="H1177" i="2"/>
  <c r="H1194" i="2"/>
  <c r="H1227" i="2"/>
  <c r="G1213" i="2"/>
  <c r="G1279" i="2"/>
  <c r="G1257" i="2"/>
  <c r="G1195" i="2"/>
  <c r="G1210" i="2"/>
  <c r="G1262" i="2"/>
  <c r="G1199" i="2"/>
  <c r="G1249" i="2"/>
  <c r="G1290" i="2"/>
  <c r="G1282" i="2"/>
  <c r="H1186" i="2"/>
  <c r="H1190" i="2"/>
  <c r="H1224" i="2"/>
  <c r="H1213" i="2"/>
  <c r="H1189" i="2"/>
  <c r="H1257" i="2"/>
  <c r="H1245" i="2"/>
  <c r="H1205" i="2"/>
  <c r="G1208" i="2"/>
  <c r="H1249" i="2"/>
  <c r="G1191" i="2"/>
  <c r="G1246" i="2"/>
  <c r="G1187" i="2"/>
  <c r="G1179" i="2"/>
  <c r="D946" i="2"/>
  <c r="AL65" i="3" s="1"/>
  <c r="T946" i="2"/>
  <c r="K55" i="3"/>
  <c r="AM65" i="3"/>
  <c r="D1055" i="2"/>
  <c r="N168" i="12"/>
  <c r="Q168" i="12"/>
  <c r="I168" i="12" s="1"/>
  <c r="K168" i="12"/>
  <c r="E63" i="4"/>
  <c r="C1055" i="2"/>
  <c r="N946" i="2"/>
  <c r="H948" i="2"/>
  <c r="M1089" i="1"/>
  <c r="D1004" i="2"/>
  <c r="E1000" i="2" s="1"/>
  <c r="G456" i="2"/>
  <c r="G468" i="2"/>
  <c r="D495" i="2"/>
  <c r="D494" i="2"/>
  <c r="G457" i="2"/>
  <c r="M664" i="9"/>
  <c r="L644" i="9" a="1"/>
  <c r="I647" i="9"/>
  <c r="I655" i="9"/>
  <c r="I663" i="9"/>
  <c r="I648" i="9"/>
  <c r="I650" i="9"/>
  <c r="I652" i="9"/>
  <c r="I657" i="9"/>
  <c r="I656" i="9"/>
  <c r="I644" i="9"/>
  <c r="I660" i="9"/>
  <c r="I649" i="9"/>
  <c r="I661" i="9"/>
  <c r="I658" i="9"/>
  <c r="I664" i="9"/>
  <c r="I646" i="9"/>
  <c r="I645" i="9"/>
  <c r="I654" i="9"/>
  <c r="I662" i="9"/>
  <c r="I651" i="9"/>
  <c r="I659" i="9"/>
  <c r="I653" i="9"/>
  <c r="E659" i="9"/>
  <c r="G658" i="9"/>
  <c r="C650" i="9"/>
  <c r="N650" i="9" s="1"/>
  <c r="C653" i="9"/>
  <c r="N653" i="9" s="1"/>
  <c r="C651" i="9"/>
  <c r="N651" i="9" s="1"/>
  <c r="C654" i="9"/>
  <c r="N654" i="9" s="1"/>
  <c r="C661" i="9"/>
  <c r="N661" i="9" s="1"/>
  <c r="C644" i="9"/>
  <c r="N644" i="9" s="1"/>
  <c r="C658" i="9"/>
  <c r="N658" i="9" s="1"/>
  <c r="C647" i="9"/>
  <c r="N647" i="9" s="1"/>
  <c r="C652" i="9"/>
  <c r="N652" i="9" s="1"/>
  <c r="C656" i="9"/>
  <c r="N656" i="9" s="1"/>
  <c r="C664" i="9"/>
  <c r="N664" i="9" s="1"/>
  <c r="C645" i="9"/>
  <c r="N645" i="9" s="1"/>
  <c r="C655" i="9"/>
  <c r="N655" i="9" s="1"/>
  <c r="C663" i="9"/>
  <c r="N663" i="9" s="1"/>
  <c r="C659" i="9"/>
  <c r="N659" i="9" s="1"/>
  <c r="C648" i="9"/>
  <c r="N648" i="9" s="1"/>
  <c r="C646" i="9"/>
  <c r="N646" i="9" s="1"/>
  <c r="C662" i="9"/>
  <c r="N662" i="9" s="1"/>
  <c r="C649" i="9"/>
  <c r="N649" i="9" s="1"/>
  <c r="C660" i="9"/>
  <c r="N660" i="9" s="1"/>
  <c r="C657" i="9"/>
  <c r="N657" i="9" s="1"/>
  <c r="E77" i="4"/>
  <c r="O77" i="4" s="1"/>
  <c r="G77" i="4" s="1"/>
  <c r="V919" i="2"/>
  <c r="S957" i="2" s="1"/>
  <c r="H1187" i="2" s="1"/>
  <c r="U916" i="2"/>
  <c r="D916" i="2"/>
  <c r="C920" i="2"/>
  <c r="H957" i="2"/>
  <c r="AU25" i="3"/>
  <c r="AV25" i="3" s="1"/>
  <c r="AT26" i="3" s="1"/>
  <c r="E46" i="9" l="1"/>
  <c r="D35" i="3"/>
  <c r="D1005" i="1"/>
  <c r="M1005" i="1" s="1"/>
  <c r="AB27" i="3"/>
  <c r="AG27" i="3" s="1"/>
  <c r="AB10" i="3"/>
  <c r="AG10" i="3" s="1"/>
  <c r="AB18" i="3"/>
  <c r="AG18" i="3" s="1"/>
  <c r="AB23" i="3"/>
  <c r="AG23" i="3" s="1"/>
  <c r="AB16" i="3"/>
  <c r="AG16" i="3" s="1"/>
  <c r="AB20" i="3"/>
  <c r="AG20" i="3" s="1"/>
  <c r="AB14" i="3"/>
  <c r="AG14" i="3" s="1"/>
  <c r="AB22" i="3"/>
  <c r="AG22" i="3" s="1"/>
  <c r="AB30" i="3"/>
  <c r="AG30" i="3" s="1"/>
  <c r="AB8" i="3"/>
  <c r="AG8" i="3" s="1"/>
  <c r="AB13" i="3"/>
  <c r="AG13" i="3" s="1"/>
  <c r="AB15" i="3"/>
  <c r="AG15" i="3" s="1"/>
  <c r="AB25" i="3"/>
  <c r="AG25" i="3" s="1"/>
  <c r="AB9" i="3"/>
  <c r="AG9" i="3" s="1"/>
  <c r="AB26" i="3"/>
  <c r="AG26" i="3" s="1"/>
  <c r="AB7" i="3"/>
  <c r="AG7" i="3" s="1"/>
  <c r="AB12" i="3"/>
  <c r="AG12" i="3" s="1"/>
  <c r="AB28" i="3"/>
  <c r="AG28" i="3" s="1"/>
  <c r="AB21" i="3"/>
  <c r="AG21" i="3" s="1"/>
  <c r="AB11" i="3"/>
  <c r="AG11" i="3" s="1"/>
  <c r="AB19" i="3"/>
  <c r="AG19" i="3" s="1"/>
  <c r="AB17" i="3"/>
  <c r="AG17" i="3" s="1"/>
  <c r="AB31" i="3"/>
  <c r="AG31" i="3" s="1"/>
  <c r="AB24" i="3"/>
  <c r="AG24" i="3" s="1"/>
  <c r="AB29" i="3"/>
  <c r="AG29" i="3" s="1"/>
  <c r="J820" i="2"/>
  <c r="J851" i="2"/>
  <c r="J845" i="2"/>
  <c r="J850" i="2"/>
  <c r="X861" i="2" s="1"/>
  <c r="J830" i="2"/>
  <c r="X858" i="2" s="1"/>
  <c r="J843" i="2"/>
  <c r="X860" i="2" s="1"/>
  <c r="J839" i="2"/>
  <c r="G465" i="2"/>
  <c r="J821" i="2"/>
  <c r="G458" i="2"/>
  <c r="G461" i="2"/>
  <c r="J826" i="2"/>
  <c r="G466" i="2"/>
  <c r="G460" i="2"/>
  <c r="J819" i="2"/>
  <c r="X856" i="2" s="1"/>
  <c r="F468" i="2"/>
  <c r="J834" i="2"/>
  <c r="J825" i="2"/>
  <c r="X857" i="2" s="1"/>
  <c r="X862" i="2" s="1"/>
  <c r="J838" i="2"/>
  <c r="X859" i="2" s="1"/>
  <c r="G462" i="2"/>
  <c r="A1283" i="2"/>
  <c r="A1255" i="2"/>
  <c r="A1272" i="2"/>
  <c r="A1209" i="2"/>
  <c r="A1222" i="2"/>
  <c r="A1225" i="2"/>
  <c r="A1274" i="2"/>
  <c r="A1191" i="2"/>
  <c r="O63" i="4"/>
  <c r="C61" i="4" s="1"/>
  <c r="G63" i="4"/>
  <c r="A1195" i="2"/>
  <c r="A1273" i="2"/>
  <c r="A1201" i="2"/>
  <c r="A1264" i="2"/>
  <c r="A1200" i="2"/>
  <c r="A1231" i="2"/>
  <c r="A1240" i="2"/>
  <c r="A1238" i="2"/>
  <c r="A1282" i="2"/>
  <c r="A1220" i="2"/>
  <c r="A1188" i="2"/>
  <c r="A1180" i="2"/>
  <c r="A1208" i="2"/>
  <c r="A1257" i="2"/>
  <c r="A1285" i="2"/>
  <c r="A1280" i="2"/>
  <c r="A1243" i="2"/>
  <c r="A1244" i="2"/>
  <c r="A1248" i="2"/>
  <c r="A1198" i="2"/>
  <c r="A1214" i="2"/>
  <c r="A1236" i="2"/>
  <c r="A1178" i="2"/>
  <c r="A1233" i="2"/>
  <c r="A1190" i="2"/>
  <c r="A1281" i="2"/>
  <c r="A1265" i="2"/>
  <c r="A1185" i="2"/>
  <c r="A1187" i="2"/>
  <c r="A1211" i="2"/>
  <c r="W4" i="12"/>
  <c r="A1279" i="2"/>
  <c r="A1268" i="2"/>
  <c r="A1266" i="2"/>
  <c r="A1194" i="2"/>
  <c r="A1177" i="2"/>
  <c r="A1215" i="2"/>
  <c r="A1256" i="2"/>
  <c r="A1184" i="2"/>
  <c r="A1249" i="2"/>
  <c r="A1205" i="2"/>
  <c r="A1199" i="2"/>
  <c r="A1227" i="2"/>
  <c r="A1251" i="2"/>
  <c r="A1213" i="2"/>
  <c r="A1267" i="2"/>
  <c r="A1212" i="2"/>
  <c r="A1182" i="2"/>
  <c r="A1229" i="2"/>
  <c r="A1224" i="2"/>
  <c r="A1254" i="2"/>
  <c r="A1235" i="2"/>
  <c r="A1286" i="2"/>
  <c r="A1204" i="2"/>
  <c r="A1230" i="2"/>
  <c r="A1216" i="2"/>
  <c r="A1226" i="2"/>
  <c r="A1259" i="2"/>
  <c r="A1234" i="2"/>
  <c r="A1192" i="2"/>
  <c r="A1232" i="2"/>
  <c r="A1276" i="2"/>
  <c r="A1250" i="2"/>
  <c r="A1278" i="2"/>
  <c r="A1202" i="2"/>
  <c r="A1239" i="2"/>
  <c r="A1290" i="2"/>
  <c r="A1219" i="2"/>
  <c r="A1269" i="2"/>
  <c r="A1206" i="2"/>
  <c r="A1245" i="2"/>
  <c r="A1262" i="2"/>
  <c r="A1186" i="2"/>
  <c r="A1218" i="2"/>
  <c r="A1217" i="2"/>
  <c r="A1242" i="2"/>
  <c r="A1287" i="2"/>
  <c r="A1183" i="2"/>
  <c r="A1260" i="2"/>
  <c r="B1113" i="1"/>
  <c r="C1113" i="1" s="1"/>
  <c r="I1090" i="1"/>
  <c r="F1090" i="1"/>
  <c r="F1113" i="1" s="1"/>
  <c r="H1090" i="1"/>
  <c r="E1113" i="1" s="1"/>
  <c r="E1004" i="2"/>
  <c r="E1003" i="2"/>
  <c r="E1002" i="2"/>
  <c r="E1001" i="2"/>
  <c r="A1237" i="2"/>
  <c r="A1179" i="2"/>
  <c r="A1275" i="2"/>
  <c r="A1197" i="2"/>
  <c r="A1247" i="2"/>
  <c r="A1246" i="2"/>
  <c r="A1241" i="2"/>
  <c r="H46" i="9"/>
  <c r="R46" i="9"/>
  <c r="T136" i="9"/>
  <c r="G46" i="9"/>
  <c r="K46" i="9"/>
  <c r="A1263" i="2"/>
  <c r="A1270" i="2"/>
  <c r="A1291" i="2"/>
  <c r="A1228" i="2"/>
  <c r="A1289" i="2"/>
  <c r="A1175" i="2"/>
  <c r="A1221" i="2"/>
  <c r="A1181" i="2"/>
  <c r="A1223" i="2"/>
  <c r="A1203" i="2"/>
  <c r="A1252" i="2"/>
  <c r="A1189" i="2"/>
  <c r="A1277" i="2"/>
  <c r="A1196" i="2"/>
  <c r="A1210" i="2"/>
  <c r="A1284" i="2"/>
  <c r="A1207" i="2"/>
  <c r="A1193" i="2"/>
  <c r="A1253" i="2"/>
  <c r="A1271" i="2"/>
  <c r="A1288" i="2"/>
  <c r="A1176" i="2"/>
  <c r="A1261" i="2"/>
  <c r="A1258" i="2"/>
  <c r="AU26" i="3"/>
  <c r="AV26" i="3" s="1"/>
  <c r="AT27" i="3" s="1"/>
  <c r="D1051" i="2"/>
  <c r="C1051" i="2"/>
  <c r="I957" i="2"/>
  <c r="H958" i="2"/>
  <c r="E660" i="9"/>
  <c r="G659" i="9"/>
  <c r="L664" i="9"/>
  <c r="L650" i="9"/>
  <c r="L658" i="9"/>
  <c r="L653" i="9"/>
  <c r="L647" i="9"/>
  <c r="L660" i="9"/>
  <c r="L651" i="9"/>
  <c r="L644" i="9"/>
  <c r="L655" i="9"/>
  <c r="L661" i="9"/>
  <c r="L662" i="9"/>
  <c r="L648" i="9"/>
  <c r="L656" i="9"/>
  <c r="L645" i="9"/>
  <c r="L652" i="9"/>
  <c r="L646" i="9"/>
  <c r="L654" i="9"/>
  <c r="L659" i="9"/>
  <c r="L663" i="9"/>
  <c r="L649" i="9"/>
  <c r="L657" i="9"/>
  <c r="Z73" i="3"/>
  <c r="Z75" i="3" s="1"/>
  <c r="S964" i="2"/>
  <c r="J77" i="4"/>
  <c r="J85" i="4" s="1"/>
  <c r="I85" i="4" s="1"/>
  <c r="G85" i="4"/>
  <c r="K9" i="3" s="1"/>
  <c r="AI8" i="3" l="1"/>
  <c r="AH8" i="3"/>
  <c r="AH24" i="3"/>
  <c r="AI24" i="3"/>
  <c r="AH23" i="3"/>
  <c r="AI23" i="3"/>
  <c r="AI9" i="3"/>
  <c r="AH9" i="3"/>
  <c r="AI13" i="3"/>
  <c r="AH13" i="3"/>
  <c r="AI29" i="3"/>
  <c r="AH29" i="3"/>
  <c r="AH31" i="3"/>
  <c r="AI31" i="3"/>
  <c r="AH17" i="3"/>
  <c r="AI17" i="3"/>
  <c r="AI21" i="3"/>
  <c r="AH21" i="3"/>
  <c r="AH18" i="3"/>
  <c r="AI18" i="3"/>
  <c r="AI22" i="3"/>
  <c r="AH22" i="3"/>
  <c r="AH11" i="3"/>
  <c r="AI11" i="3"/>
  <c r="AI28" i="3"/>
  <c r="AH28" i="3"/>
  <c r="AI10" i="3"/>
  <c r="AH10" i="3"/>
  <c r="AH25" i="3"/>
  <c r="AI25" i="3"/>
  <c r="AH30" i="3"/>
  <c r="AI30" i="3"/>
  <c r="AI14" i="3"/>
  <c r="AH14" i="3"/>
  <c r="AH19" i="3"/>
  <c r="AI19" i="3"/>
  <c r="AH12" i="3"/>
  <c r="AI12" i="3"/>
  <c r="AH27" i="3"/>
  <c r="AI27" i="3"/>
  <c r="AH15" i="3"/>
  <c r="AI15" i="3"/>
  <c r="AH20" i="3"/>
  <c r="AI20" i="3"/>
  <c r="AI7" i="3"/>
  <c r="AH7" i="3"/>
  <c r="J63" i="4"/>
  <c r="J71" i="4" s="1"/>
  <c r="I71" i="4" s="1"/>
  <c r="G71" i="4"/>
  <c r="K8" i="3" s="1"/>
  <c r="M1090" i="1"/>
  <c r="D536" i="1" s="1"/>
  <c r="D1113" i="1"/>
  <c r="F196" i="4"/>
  <c r="G196" i="4" s="1"/>
  <c r="F672" i="9"/>
  <c r="C672" i="9"/>
  <c r="G672" i="9"/>
  <c r="E672" i="9"/>
  <c r="D672" i="9"/>
  <c r="H672" i="9" s="1"/>
  <c r="F1157" i="2"/>
  <c r="B1155" i="2"/>
  <c r="C1159" i="2"/>
  <c r="B1163" i="2"/>
  <c r="E1160" i="2"/>
  <c r="E1159" i="2"/>
  <c r="F1158" i="2"/>
  <c r="B1157" i="2"/>
  <c r="E1162" i="2"/>
  <c r="C1155" i="2"/>
  <c r="C1162" i="2"/>
  <c r="F1161" i="2"/>
  <c r="E1163" i="2"/>
  <c r="F1159" i="2"/>
  <c r="D1162" i="2"/>
  <c r="B1160" i="2"/>
  <c r="C1161" i="2"/>
  <c r="B1164" i="2"/>
  <c r="B1159" i="2"/>
  <c r="C1164" i="2"/>
  <c r="D1155" i="2"/>
  <c r="D1159" i="2"/>
  <c r="F1163" i="2"/>
  <c r="E1157" i="2"/>
  <c r="D1161" i="2"/>
  <c r="E1156" i="2"/>
  <c r="D1163" i="2"/>
  <c r="F1156" i="2"/>
  <c r="C1156" i="2"/>
  <c r="D1164" i="2"/>
  <c r="F1164" i="2"/>
  <c r="E1164" i="2"/>
  <c r="D1157" i="2"/>
  <c r="B1162" i="2"/>
  <c r="B1156" i="2"/>
  <c r="A1173" i="2"/>
  <c r="E1161" i="2"/>
  <c r="E1158" i="2"/>
  <c r="F1160" i="2"/>
  <c r="C1158" i="2"/>
  <c r="C1163" i="2"/>
  <c r="B1161" i="2"/>
  <c r="B1158" i="2"/>
  <c r="F1162" i="2"/>
  <c r="C1157" i="2"/>
  <c r="E1155" i="2"/>
  <c r="C1160" i="2"/>
  <c r="F1155" i="2"/>
  <c r="D1156" i="2"/>
  <c r="D1160" i="2"/>
  <c r="D1158" i="2"/>
  <c r="G660" i="9"/>
  <c r="E661" i="9"/>
  <c r="AM74" i="3"/>
  <c r="I958" i="2"/>
  <c r="D52" i="3" s="1"/>
  <c r="AU27" i="3"/>
  <c r="AV27" i="3" s="1"/>
  <c r="AT28" i="3" s="1"/>
  <c r="O15" i="3" l="1"/>
  <c r="BF15" i="3"/>
  <c r="O7" i="3"/>
  <c r="BF7" i="3"/>
  <c r="BE17" i="3"/>
  <c r="AW17" i="3"/>
  <c r="N17" i="3"/>
  <c r="AW31" i="3"/>
  <c r="N31" i="3"/>
  <c r="BE31" i="3"/>
  <c r="O20" i="3"/>
  <c r="BF20" i="3"/>
  <c r="BF10" i="3"/>
  <c r="O10" i="3"/>
  <c r="BE28" i="3"/>
  <c r="AW28" i="3"/>
  <c r="N28" i="3"/>
  <c r="O13" i="3"/>
  <c r="BF13" i="3"/>
  <c r="BF19" i="3"/>
  <c r="O19" i="3"/>
  <c r="N30" i="3"/>
  <c r="AW30" i="3"/>
  <c r="BE30" i="3"/>
  <c r="O31" i="3"/>
  <c r="BF31" i="3"/>
  <c r="AW10" i="3"/>
  <c r="N10" i="3"/>
  <c r="BE10" i="3"/>
  <c r="O29" i="3"/>
  <c r="BF29" i="3"/>
  <c r="AW13" i="3"/>
  <c r="BE13" i="3"/>
  <c r="N13" i="3"/>
  <c r="BE15" i="3"/>
  <c r="AW15" i="3"/>
  <c r="N15" i="3"/>
  <c r="BF28" i="3"/>
  <c r="O28" i="3"/>
  <c r="AW27" i="3"/>
  <c r="N27" i="3"/>
  <c r="BE27" i="3"/>
  <c r="BF9" i="3"/>
  <c r="O9" i="3"/>
  <c r="O12" i="3"/>
  <c r="BF12" i="3"/>
  <c r="AW22" i="3"/>
  <c r="BE22" i="3"/>
  <c r="N22" i="3"/>
  <c r="O23" i="3"/>
  <c r="BF23" i="3"/>
  <c r="AW12" i="3"/>
  <c r="N12" i="3"/>
  <c r="BE12" i="3"/>
  <c r="O22" i="3"/>
  <c r="BF22" i="3"/>
  <c r="AW23" i="3"/>
  <c r="N23" i="3"/>
  <c r="BE23" i="3"/>
  <c r="N19" i="3"/>
  <c r="BE19" i="3"/>
  <c r="AW19" i="3"/>
  <c r="O17" i="3"/>
  <c r="BF17" i="3"/>
  <c r="N7" i="3"/>
  <c r="AW7" i="3"/>
  <c r="BE7" i="3"/>
  <c r="BE29" i="3"/>
  <c r="AW29" i="3"/>
  <c r="N29" i="3"/>
  <c r="O27" i="3"/>
  <c r="BF27" i="3"/>
  <c r="O11" i="3"/>
  <c r="BF11" i="3"/>
  <c r="AW9" i="3"/>
  <c r="BE9" i="3"/>
  <c r="N9" i="3"/>
  <c r="AW11" i="3"/>
  <c r="N11" i="3"/>
  <c r="BE11" i="3"/>
  <c r="O18" i="3"/>
  <c r="BF18" i="3"/>
  <c r="BF24" i="3"/>
  <c r="O24" i="3"/>
  <c r="BE14" i="3"/>
  <c r="AW14" i="3"/>
  <c r="N14" i="3"/>
  <c r="AW21" i="3"/>
  <c r="N21" i="3"/>
  <c r="BE21" i="3"/>
  <c r="AW8" i="3"/>
  <c r="N8" i="3"/>
  <c r="BE8" i="3"/>
  <c r="O30" i="3"/>
  <c r="BF30" i="3"/>
  <c r="O25" i="3"/>
  <c r="BF25" i="3"/>
  <c r="BE25" i="3"/>
  <c r="N25" i="3"/>
  <c r="AW25" i="3"/>
  <c r="N20" i="3"/>
  <c r="BE20" i="3"/>
  <c r="AW20" i="3"/>
  <c r="AW18" i="3"/>
  <c r="BE18" i="3"/>
  <c r="N18" i="3"/>
  <c r="AW24" i="3"/>
  <c r="N24" i="3"/>
  <c r="BE24" i="3"/>
  <c r="O14" i="3"/>
  <c r="BF14" i="3"/>
  <c r="BF21" i="3"/>
  <c r="O21" i="3"/>
  <c r="O8" i="3"/>
  <c r="BF8" i="3"/>
  <c r="G1161" i="2"/>
  <c r="Q123" i="12" s="1"/>
  <c r="G1159" i="2"/>
  <c r="Q121" i="12" s="1"/>
  <c r="G1156" i="2"/>
  <c r="Q118" i="12" s="1"/>
  <c r="G1160" i="2"/>
  <c r="Q122" i="12" s="1"/>
  <c r="G1158" i="2"/>
  <c r="Q120" i="12" s="1"/>
  <c r="G1162" i="2"/>
  <c r="Q124" i="12" s="1"/>
  <c r="AM84" i="3" s="1"/>
  <c r="E223" i="4"/>
  <c r="D25" i="8"/>
  <c r="C20" i="8"/>
  <c r="D218" i="4"/>
  <c r="G1163" i="2"/>
  <c r="Q125" i="12" s="1"/>
  <c r="I120" i="12"/>
  <c r="AM80" i="3"/>
  <c r="D217" i="4"/>
  <c r="C19" i="8"/>
  <c r="D215" i="4"/>
  <c r="C17" i="8"/>
  <c r="F20" i="8"/>
  <c r="H1158" i="2"/>
  <c r="F218" i="4" s="1"/>
  <c r="D21" i="8"/>
  <c r="E219" i="4"/>
  <c r="F21" i="8"/>
  <c r="H1159" i="2"/>
  <c r="F219" i="4" s="1"/>
  <c r="I118" i="12"/>
  <c r="AM78" i="3"/>
  <c r="H1155" i="2"/>
  <c r="F215" i="4" s="1"/>
  <c r="F17" i="8"/>
  <c r="C18" i="8"/>
  <c r="D216" i="4"/>
  <c r="D222" i="4"/>
  <c r="C24" i="8"/>
  <c r="E221" i="4"/>
  <c r="D23" i="8"/>
  <c r="F23" i="8"/>
  <c r="H1161" i="2"/>
  <c r="F221" i="4" s="1"/>
  <c r="M1161" i="2"/>
  <c r="N1161" i="2" s="1"/>
  <c r="M1156" i="2"/>
  <c r="N1156" i="2" s="1"/>
  <c r="M1162" i="2"/>
  <c r="N1162" i="2" s="1"/>
  <c r="M1163" i="2"/>
  <c r="N1163" i="2" s="1"/>
  <c r="M1160" i="2"/>
  <c r="N1160" i="2" s="1"/>
  <c r="M1159" i="2"/>
  <c r="N1159" i="2" s="1"/>
  <c r="M1155" i="2"/>
  <c r="N1155" i="2" s="1"/>
  <c r="M1158" i="2"/>
  <c r="N1158" i="2" s="1"/>
  <c r="M1157" i="2"/>
  <c r="N1157" i="2" s="1"/>
  <c r="M1164" i="2"/>
  <c r="N1164" i="2" s="1"/>
  <c r="D224" i="4"/>
  <c r="C26" i="8"/>
  <c r="B25" i="8"/>
  <c r="C223" i="4"/>
  <c r="C125" i="12" s="1"/>
  <c r="R539" i="1"/>
  <c r="G1103" i="1" s="1"/>
  <c r="J1164" i="2" s="1"/>
  <c r="F1057" i="1"/>
  <c r="F1085" i="1" s="1"/>
  <c r="D1085" i="1" s="1"/>
  <c r="E536" i="1"/>
  <c r="M530" i="1"/>
  <c r="H1163" i="2"/>
  <c r="F223" i="4" s="1"/>
  <c r="F25" i="8"/>
  <c r="F18" i="8"/>
  <c r="H1156" i="2"/>
  <c r="F216" i="4" s="1"/>
  <c r="C25" i="8"/>
  <c r="D223" i="4"/>
  <c r="E218" i="4"/>
  <c r="D20" i="8"/>
  <c r="B18" i="8"/>
  <c r="C216" i="4"/>
  <c r="C118" i="12" s="1"/>
  <c r="C219" i="4"/>
  <c r="C121" i="12" s="1"/>
  <c r="B21" i="8"/>
  <c r="C21" i="8"/>
  <c r="D219" i="4"/>
  <c r="D26" i="8"/>
  <c r="E224" i="4"/>
  <c r="C218" i="4"/>
  <c r="C120" i="12" s="1"/>
  <c r="B20" i="8"/>
  <c r="F19" i="8"/>
  <c r="H1157" i="2"/>
  <c r="F217" i="4" s="1"/>
  <c r="D22" i="8"/>
  <c r="E220" i="4"/>
  <c r="C222" i="4"/>
  <c r="C124" i="12" s="1"/>
  <c r="B24" i="8"/>
  <c r="B26" i="8"/>
  <c r="C224" i="4"/>
  <c r="C126" i="12" s="1"/>
  <c r="B17" i="8"/>
  <c r="C215" i="4"/>
  <c r="C117" i="12" s="1"/>
  <c r="B19" i="8"/>
  <c r="C217" i="4"/>
  <c r="C119" i="12" s="1"/>
  <c r="D18" i="8"/>
  <c r="E216" i="4"/>
  <c r="E217" i="4"/>
  <c r="D19" i="8"/>
  <c r="D221" i="4"/>
  <c r="C23" i="8"/>
  <c r="G1157" i="2"/>
  <c r="Q119" i="12" s="1"/>
  <c r="I123" i="12"/>
  <c r="AM83" i="3"/>
  <c r="B23" i="8"/>
  <c r="C221" i="4"/>
  <c r="C123" i="12" s="1"/>
  <c r="H1162" i="2"/>
  <c r="F222" i="4" s="1"/>
  <c r="F24" i="8"/>
  <c r="F22" i="8"/>
  <c r="H1160" i="2"/>
  <c r="F220" i="4" s="1"/>
  <c r="G1155" i="2"/>
  <c r="Q117" i="12" s="1"/>
  <c r="F26" i="8"/>
  <c r="E26" i="8" s="1"/>
  <c r="H1164" i="2"/>
  <c r="F224" i="4" s="1"/>
  <c r="C220" i="4"/>
  <c r="C122" i="12" s="1"/>
  <c r="B22" i="8"/>
  <c r="I122" i="12"/>
  <c r="AM82" i="3"/>
  <c r="E215" i="4"/>
  <c r="D17" i="8"/>
  <c r="D220" i="4"/>
  <c r="C22" i="8"/>
  <c r="G1164" i="2"/>
  <c r="Q126" i="12" s="1"/>
  <c r="D24" i="8"/>
  <c r="E222" i="4"/>
  <c r="AM81" i="3"/>
  <c r="I121" i="12"/>
  <c r="J196" i="4"/>
  <c r="E662" i="9"/>
  <c r="G661" i="9"/>
  <c r="F197" i="4"/>
  <c r="AU28" i="3"/>
  <c r="AV28" i="3" s="1"/>
  <c r="AT29" i="3" s="1"/>
  <c r="I124" i="12" l="1"/>
  <c r="E25" i="8"/>
  <c r="E17" i="8"/>
  <c r="E24" i="8"/>
  <c r="E21" i="8"/>
  <c r="E23" i="8"/>
  <c r="E19" i="8"/>
  <c r="E22" i="8"/>
  <c r="H24" i="8"/>
  <c r="I24" i="8" s="1"/>
  <c r="L24" i="8"/>
  <c r="G222" i="4"/>
  <c r="J222" i="4" s="1"/>
  <c r="O222" i="4"/>
  <c r="I126" i="12"/>
  <c r="AM86" i="3"/>
  <c r="Q137" i="12"/>
  <c r="C152" i="12"/>
  <c r="F123" i="12"/>
  <c r="E123" i="12"/>
  <c r="AL83" i="3"/>
  <c r="C137" i="12"/>
  <c r="G123" i="12"/>
  <c r="E18" i="8"/>
  <c r="G121" i="12"/>
  <c r="E121" i="12"/>
  <c r="F121" i="12"/>
  <c r="Q135" i="12"/>
  <c r="C150" i="12"/>
  <c r="AL81" i="3"/>
  <c r="C135" i="12"/>
  <c r="G216" i="4"/>
  <c r="J216" i="4" s="1"/>
  <c r="O216" i="4"/>
  <c r="I117" i="12"/>
  <c r="Q130" i="12"/>
  <c r="AM77" i="3"/>
  <c r="F119" i="12"/>
  <c r="AL79" i="3"/>
  <c r="E119" i="12"/>
  <c r="G119" i="12"/>
  <c r="C133" i="12"/>
  <c r="C148" i="12"/>
  <c r="Q133" i="12"/>
  <c r="N119" i="12" s="1"/>
  <c r="N314" i="12"/>
  <c r="N237" i="12"/>
  <c r="N287" i="12"/>
  <c r="N262" i="12"/>
  <c r="N294" i="12"/>
  <c r="N213" i="12"/>
  <c r="N279" i="12"/>
  <c r="D143" i="12"/>
  <c r="N247" i="12"/>
  <c r="AL77" i="3"/>
  <c r="N227" i="12"/>
  <c r="N295" i="12"/>
  <c r="N289" i="12"/>
  <c r="N211" i="12"/>
  <c r="N297" i="12"/>
  <c r="N221" i="12"/>
  <c r="E117" i="12"/>
  <c r="N253" i="12"/>
  <c r="N303" i="12"/>
  <c r="N292" i="12"/>
  <c r="G117" i="12"/>
  <c r="N243" i="12"/>
  <c r="N257" i="12"/>
  <c r="N226" i="12"/>
  <c r="N286" i="12"/>
  <c r="C131" i="12"/>
  <c r="N234" i="12"/>
  <c r="N250" i="12"/>
  <c r="N224" i="12"/>
  <c r="N255" i="12"/>
  <c r="N222" i="12"/>
  <c r="N216" i="12"/>
  <c r="N219" i="12"/>
  <c r="N269" i="12"/>
  <c r="F117" i="12"/>
  <c r="N229" i="12"/>
  <c r="N246" i="12"/>
  <c r="N273" i="12"/>
  <c r="N281" i="12"/>
  <c r="N311" i="12"/>
  <c r="N242" i="12"/>
  <c r="N236" i="12"/>
  <c r="N252" i="12"/>
  <c r="N259" i="12"/>
  <c r="N276" i="12"/>
  <c r="N266" i="12"/>
  <c r="N282" i="12"/>
  <c r="N232" i="12"/>
  <c r="N235" i="12"/>
  <c r="N285" i="12"/>
  <c r="N208" i="12"/>
  <c r="N230" i="12"/>
  <c r="N217" i="12"/>
  <c r="N296" i="12"/>
  <c r="N290" i="12"/>
  <c r="N265" i="12"/>
  <c r="N291" i="12"/>
  <c r="N274" i="12"/>
  <c r="N309" i="12"/>
  <c r="N251" i="12"/>
  <c r="N301" i="12"/>
  <c r="N240" i="12"/>
  <c r="N210" i="12"/>
  <c r="N225" i="12"/>
  <c r="N306" i="12"/>
  <c r="N215" i="12"/>
  <c r="N315" i="12"/>
  <c r="N212" i="12"/>
  <c r="N220" i="12"/>
  <c r="N231" i="12"/>
  <c r="N302" i="12"/>
  <c r="N268" i="12"/>
  <c r="N239" i="12"/>
  <c r="N313" i="12"/>
  <c r="N267" i="12"/>
  <c r="C146" i="12"/>
  <c r="N256" i="12"/>
  <c r="N233" i="12"/>
  <c r="N249" i="12"/>
  <c r="N277" i="12"/>
  <c r="N245" i="12"/>
  <c r="N270" i="12"/>
  <c r="N310" i="12"/>
  <c r="N258" i="12"/>
  <c r="N223" i="12"/>
  <c r="N307" i="12"/>
  <c r="N241" i="12"/>
  <c r="N271" i="12"/>
  <c r="N283" i="12"/>
  <c r="O90" i="12"/>
  <c r="Q90" i="12" s="1"/>
  <c r="N272" i="12"/>
  <c r="N263" i="12"/>
  <c r="N280" i="12"/>
  <c r="Q131" i="12"/>
  <c r="N117" i="12" s="1"/>
  <c r="N275" i="12"/>
  <c r="N254" i="12"/>
  <c r="N308" i="12"/>
  <c r="N312" i="12"/>
  <c r="N218" i="12"/>
  <c r="N244" i="12"/>
  <c r="N278" i="12"/>
  <c r="N209" i="12"/>
  <c r="N264" i="12"/>
  <c r="N299" i="12"/>
  <c r="N238" i="12"/>
  <c r="N288" i="12"/>
  <c r="N293" i="12"/>
  <c r="N228" i="12"/>
  <c r="N248" i="12"/>
  <c r="N305" i="12"/>
  <c r="N304" i="12"/>
  <c r="N260" i="12"/>
  <c r="N261" i="12"/>
  <c r="N214" i="12"/>
  <c r="N207" i="12"/>
  <c r="N284" i="12"/>
  <c r="N300" i="12"/>
  <c r="N298" i="12"/>
  <c r="Q143" i="12"/>
  <c r="L17" i="8"/>
  <c r="H17" i="8"/>
  <c r="I17" i="8" s="1"/>
  <c r="C155" i="12"/>
  <c r="C140" i="12"/>
  <c r="G126" i="12"/>
  <c r="F126" i="12"/>
  <c r="Q140" i="12"/>
  <c r="N126" i="12" s="1"/>
  <c r="E126" i="12"/>
  <c r="AL86" i="3"/>
  <c r="E118" i="12"/>
  <c r="AL78" i="3"/>
  <c r="C147" i="12"/>
  <c r="F118" i="12"/>
  <c r="Q132" i="12"/>
  <c r="C132" i="12"/>
  <c r="G118" i="12"/>
  <c r="M1" i="1"/>
  <c r="R531" i="1"/>
  <c r="H1103" i="1" s="1"/>
  <c r="K1164" i="2" s="1"/>
  <c r="G1057" i="1"/>
  <c r="G1085" i="1" s="1"/>
  <c r="D987" i="1" s="1"/>
  <c r="O224" i="4"/>
  <c r="G224" i="4"/>
  <c r="J224" i="4" s="1"/>
  <c r="H26" i="8"/>
  <c r="I26" i="8" s="1"/>
  <c r="L26" i="8"/>
  <c r="O215" i="4"/>
  <c r="G215" i="4"/>
  <c r="G219" i="4"/>
  <c r="J219" i="4" s="1"/>
  <c r="O219" i="4"/>
  <c r="AM85" i="3"/>
  <c r="I125" i="12"/>
  <c r="E120" i="12"/>
  <c r="AL80" i="3"/>
  <c r="C134" i="12"/>
  <c r="Q134" i="12"/>
  <c r="G120" i="12"/>
  <c r="C149" i="12"/>
  <c r="F120" i="12"/>
  <c r="AM79" i="3"/>
  <c r="I119" i="12"/>
  <c r="L20" i="8"/>
  <c r="H20" i="8"/>
  <c r="I20" i="8" s="1"/>
  <c r="G1098" i="1"/>
  <c r="J1159" i="2" s="1"/>
  <c r="C1097" i="1"/>
  <c r="D1097" i="1"/>
  <c r="H21" i="8"/>
  <c r="I21" i="8" s="1"/>
  <c r="L21" i="8"/>
  <c r="O217" i="4"/>
  <c r="G217" i="4"/>
  <c r="J217" i="4" s="1"/>
  <c r="AL84" i="3"/>
  <c r="G124" i="12"/>
  <c r="C153" i="12"/>
  <c r="C138" i="12"/>
  <c r="E124" i="12"/>
  <c r="F124" i="12"/>
  <c r="Q138" i="12"/>
  <c r="G218" i="4"/>
  <c r="J218" i="4" s="1"/>
  <c r="O218" i="4"/>
  <c r="L18" i="8"/>
  <c r="H18" i="8"/>
  <c r="I18" i="8" s="1"/>
  <c r="G220" i="4"/>
  <c r="J220" i="4" s="1"/>
  <c r="O220" i="4"/>
  <c r="C154" i="12"/>
  <c r="E125" i="12"/>
  <c r="F125" i="12"/>
  <c r="AL85" i="3"/>
  <c r="C139" i="12"/>
  <c r="G125" i="12"/>
  <c r="Q139" i="12"/>
  <c r="H23" i="8"/>
  <c r="I23" i="8" s="1"/>
  <c r="L23" i="8"/>
  <c r="E20" i="8"/>
  <c r="L25" i="8"/>
  <c r="H25" i="8"/>
  <c r="I25" i="8" s="1"/>
  <c r="Q136" i="12"/>
  <c r="AL82" i="3"/>
  <c r="C136" i="12"/>
  <c r="E122" i="12"/>
  <c r="C151" i="12"/>
  <c r="G122" i="12"/>
  <c r="F122" i="12"/>
  <c r="L19" i="8"/>
  <c r="H19" i="8"/>
  <c r="I19" i="8" s="1"/>
  <c r="H22" i="8"/>
  <c r="I22" i="8" s="1"/>
  <c r="L22" i="8"/>
  <c r="G221" i="4"/>
  <c r="J221" i="4" s="1"/>
  <c r="O221" i="4"/>
  <c r="O223" i="4"/>
  <c r="G223" i="4"/>
  <c r="J223" i="4" s="1"/>
  <c r="AU29" i="3"/>
  <c r="AV29" i="3" s="1"/>
  <c r="AT30" i="3" s="1"/>
  <c r="E663" i="9"/>
  <c r="G662" i="9"/>
  <c r="G197" i="4"/>
  <c r="AK86" i="3" l="1"/>
  <c r="L16" i="8"/>
  <c r="I138" i="12"/>
  <c r="Q153" i="12"/>
  <c r="I153" i="12" s="1"/>
  <c r="N124" i="12"/>
  <c r="J1092" i="1"/>
  <c r="Q376" i="10"/>
  <c r="O344" i="10" s="1"/>
  <c r="N125" i="12"/>
  <c r="I139" i="12"/>
  <c r="Q154" i="12"/>
  <c r="I154" i="12" s="1"/>
  <c r="G225" i="4"/>
  <c r="J215" i="4"/>
  <c r="J225" i="4" s="1"/>
  <c r="I225" i="4" s="1"/>
  <c r="I132" i="12"/>
  <c r="Q147" i="12"/>
  <c r="I147" i="12" s="1"/>
  <c r="N118" i="12"/>
  <c r="D123" i="12"/>
  <c r="D121" i="12"/>
  <c r="D120" i="12"/>
  <c r="D122" i="12"/>
  <c r="N130" i="12"/>
  <c r="D128" i="12"/>
  <c r="D119" i="12"/>
  <c r="D125" i="12"/>
  <c r="D118" i="12"/>
  <c r="I130" i="12"/>
  <c r="D127" i="12"/>
  <c r="D126" i="12"/>
  <c r="D124" i="12"/>
  <c r="D117" i="12"/>
  <c r="AK79" i="3"/>
  <c r="O214" i="4"/>
  <c r="AK70" i="3"/>
  <c r="AK72" i="3"/>
  <c r="AK83" i="3"/>
  <c r="AK71" i="3"/>
  <c r="AK59" i="3"/>
  <c r="AK74" i="3"/>
  <c r="AK60" i="3"/>
  <c r="AK65" i="3"/>
  <c r="AK67" i="3"/>
  <c r="AK88" i="3"/>
  <c r="AK66" i="3"/>
  <c r="AK61" i="3"/>
  <c r="AK84" i="3"/>
  <c r="AK76" i="3"/>
  <c r="AK87" i="3"/>
  <c r="AK62" i="3"/>
  <c r="AK80" i="3"/>
  <c r="AK75" i="3"/>
  <c r="AK82" i="3"/>
  <c r="AK63" i="3"/>
  <c r="AK64" i="3"/>
  <c r="AK77" i="3"/>
  <c r="AK69" i="3"/>
  <c r="AK78" i="3"/>
  <c r="AK68" i="3"/>
  <c r="AK73" i="3"/>
  <c r="I134" i="12"/>
  <c r="Q149" i="12"/>
  <c r="I149" i="12" s="1"/>
  <c r="N120" i="12"/>
  <c r="Q155" i="12"/>
  <c r="I155" i="12" s="1"/>
  <c r="I140" i="12"/>
  <c r="Q91" i="12"/>
  <c r="I90" i="12"/>
  <c r="Q92" i="12"/>
  <c r="K90" i="12"/>
  <c r="N90" i="12"/>
  <c r="Q94" i="12"/>
  <c r="AK85" i="3"/>
  <c r="Q146" i="12"/>
  <c r="I131" i="12"/>
  <c r="Q145" i="12"/>
  <c r="I145" i="12" s="1"/>
  <c r="Q148" i="12"/>
  <c r="I148" i="12" s="1"/>
  <c r="I133" i="12"/>
  <c r="H202" i="12"/>
  <c r="I137" i="12"/>
  <c r="Q152" i="12"/>
  <c r="I152" i="12" s="1"/>
  <c r="N123" i="12"/>
  <c r="I135" i="12"/>
  <c r="Q150" i="12"/>
  <c r="I150" i="12" s="1"/>
  <c r="N121" i="12"/>
  <c r="J143" i="12"/>
  <c r="K143" i="12" s="1"/>
  <c r="D158" i="12"/>
  <c r="Q158" i="12"/>
  <c r="N143" i="12"/>
  <c r="I143" i="12"/>
  <c r="D991" i="1"/>
  <c r="R376" i="10"/>
  <c r="D1110" i="1"/>
  <c r="D1004" i="1" s="1"/>
  <c r="N122" i="12"/>
  <c r="Q151" i="12"/>
  <c r="I151" i="12" s="1"/>
  <c r="I136" i="12"/>
  <c r="H1098" i="1"/>
  <c r="AK81" i="3"/>
  <c r="AU30" i="3"/>
  <c r="AV30" i="3" s="1"/>
  <c r="AT31" i="3" s="1"/>
  <c r="E664" i="9"/>
  <c r="G663" i="9"/>
  <c r="J197" i="4"/>
  <c r="J198" i="4" s="1"/>
  <c r="G198" i="4"/>
  <c r="K13" i="3" s="1"/>
  <c r="K14" i="3" s="1"/>
  <c r="G199" i="4"/>
  <c r="F254" i="4" s="1"/>
  <c r="G254" i="4" s="1"/>
  <c r="J254" i="4" l="1"/>
  <c r="K25" i="3"/>
  <c r="I8" i="3"/>
  <c r="I13" i="3"/>
  <c r="I9" i="3"/>
  <c r="BE6" i="3"/>
  <c r="I7" i="3"/>
  <c r="I10" i="3"/>
  <c r="E42" i="9"/>
  <c r="AN6" i="3"/>
  <c r="I6" i="3"/>
  <c r="BF6" i="3"/>
  <c r="AL6" i="3"/>
  <c r="I5" i="3"/>
  <c r="I11" i="3"/>
  <c r="D14" i="3"/>
  <c r="T6" i="3" s="1"/>
  <c r="AO6" i="3"/>
  <c r="I12" i="3"/>
  <c r="L4" i="9" a="1"/>
  <c r="E985" i="1"/>
  <c r="E988" i="1"/>
  <c r="E993" i="1"/>
  <c r="E990" i="1"/>
  <c r="E986" i="1"/>
  <c r="E989" i="1"/>
  <c r="J122" i="12"/>
  <c r="D136" i="12"/>
  <c r="Q160" i="12"/>
  <c r="I160" i="12" s="1"/>
  <c r="I146" i="12"/>
  <c r="D131" i="12"/>
  <c r="J117" i="12"/>
  <c r="D130" i="12"/>
  <c r="E130" i="12"/>
  <c r="F130" i="12"/>
  <c r="G130" i="12"/>
  <c r="I92" i="12"/>
  <c r="K92" i="12"/>
  <c r="J124" i="12"/>
  <c r="D138" i="12"/>
  <c r="J123" i="12"/>
  <c r="D137" i="12"/>
  <c r="K94" i="12"/>
  <c r="I94" i="12"/>
  <c r="AK58" i="3"/>
  <c r="J126" i="12"/>
  <c r="D140" i="12"/>
  <c r="Q95" i="12"/>
  <c r="K91" i="12"/>
  <c r="Q93" i="12"/>
  <c r="I91" i="12"/>
  <c r="D141" i="12"/>
  <c r="J127" i="12"/>
  <c r="J121" i="12"/>
  <c r="D135" i="12"/>
  <c r="K158" i="12"/>
  <c r="I158" i="12"/>
  <c r="N158" i="12"/>
  <c r="N129" i="12" s="1"/>
  <c r="J120" i="12"/>
  <c r="D134" i="12"/>
  <c r="H1110" i="1"/>
  <c r="D998" i="1" s="1"/>
  <c r="K1159" i="2"/>
  <c r="H1179" i="2" s="1"/>
  <c r="H1173" i="2" s="1"/>
  <c r="N413" i="8"/>
  <c r="N164" i="12"/>
  <c r="J165" i="12"/>
  <c r="J164" i="12"/>
  <c r="J118" i="12"/>
  <c r="D132" i="12"/>
  <c r="O225" i="4"/>
  <c r="Y344" i="10"/>
  <c r="N344" i="10"/>
  <c r="P344" i="10" s="1"/>
  <c r="S371" i="10"/>
  <c r="Y72" i="3" s="1"/>
  <c r="D50" i="3" s="1"/>
  <c r="D55" i="3" s="1"/>
  <c r="K33" i="3" s="1"/>
  <c r="E49" i="9" s="1"/>
  <c r="Z344" i="10"/>
  <c r="J125" i="12"/>
  <c r="D139" i="12"/>
  <c r="D142" i="12"/>
  <c r="J128" i="12"/>
  <c r="E987" i="1"/>
  <c r="J119" i="12"/>
  <c r="D133" i="12"/>
  <c r="AU31" i="3"/>
  <c r="AV31" i="3" s="1"/>
  <c r="AT32" i="3" s="1"/>
  <c r="G664" i="9"/>
  <c r="F644" i="9" a="1"/>
  <c r="J199" i="4"/>
  <c r="I199" i="4" s="1"/>
  <c r="I198" i="4"/>
  <c r="H199" i="4"/>
  <c r="H198" i="4"/>
  <c r="H48" i="4"/>
  <c r="H98" i="4"/>
  <c r="H96" i="4"/>
  <c r="H59" i="4"/>
  <c r="H85" i="4"/>
  <c r="H71" i="4"/>
  <c r="H35" i="4"/>
  <c r="G25" i="3" l="1"/>
  <c r="BA16" i="3"/>
  <c r="X16" i="3" s="1"/>
  <c r="BA26" i="3"/>
  <c r="X26" i="3" s="1"/>
  <c r="G49" i="9"/>
  <c r="R49" i="9"/>
  <c r="W136" i="9"/>
  <c r="K49" i="9"/>
  <c r="H49" i="9"/>
  <c r="AJ6" i="3"/>
  <c r="X6" i="3"/>
  <c r="G42" i="9"/>
  <c r="H42" i="9"/>
  <c r="P136" i="9"/>
  <c r="R42" i="9"/>
  <c r="K42" i="9"/>
  <c r="AP6" i="3"/>
  <c r="AL7" i="3" s="1"/>
  <c r="AM6" i="3"/>
  <c r="I14" i="3"/>
  <c r="D13" i="3"/>
  <c r="L38" i="9" a="1"/>
  <c r="J166" i="12"/>
  <c r="I93" i="12"/>
  <c r="K93" i="12"/>
  <c r="S118" i="12"/>
  <c r="J147" i="12"/>
  <c r="K118" i="12"/>
  <c r="D149" i="12"/>
  <c r="J134" i="12"/>
  <c r="J140" i="12"/>
  <c r="D155" i="12"/>
  <c r="J136" i="12"/>
  <c r="D151" i="12"/>
  <c r="D148" i="12"/>
  <c r="J133" i="12"/>
  <c r="J148" i="12"/>
  <c r="K119" i="12"/>
  <c r="S119" i="12"/>
  <c r="B83" i="3"/>
  <c r="C83" i="3" s="1"/>
  <c r="B74" i="3"/>
  <c r="C74" i="3" s="1"/>
  <c r="B71" i="3"/>
  <c r="C71" i="3" s="1"/>
  <c r="B82" i="3"/>
  <c r="C82" i="3" s="1"/>
  <c r="B76" i="3"/>
  <c r="C76" i="3" s="1"/>
  <c r="B73" i="3"/>
  <c r="C73" i="3" s="1"/>
  <c r="B70" i="3"/>
  <c r="C70" i="3" s="1"/>
  <c r="D64" i="3" s="1"/>
  <c r="D66" i="3" s="1"/>
  <c r="K35" i="3" s="1"/>
  <c r="B86" i="3"/>
  <c r="C86" i="3" s="1"/>
  <c r="B75" i="3"/>
  <c r="C75" i="3" s="1"/>
  <c r="B78" i="3"/>
  <c r="C78" i="3" s="1"/>
  <c r="B77" i="3"/>
  <c r="C77" i="3" s="1"/>
  <c r="B79" i="3"/>
  <c r="C79" i="3" s="1"/>
  <c r="B72" i="3"/>
  <c r="C72" i="3" s="1"/>
  <c r="B81" i="3"/>
  <c r="C81" i="3" s="1"/>
  <c r="B85" i="3"/>
  <c r="C85" i="3" s="1"/>
  <c r="B87" i="3"/>
  <c r="C87" i="3" s="1"/>
  <c r="B80" i="3"/>
  <c r="C80" i="3" s="1"/>
  <c r="B84" i="3"/>
  <c r="C84" i="3" s="1"/>
  <c r="J130" i="12"/>
  <c r="K130" i="12" s="1"/>
  <c r="K122" i="12"/>
  <c r="J151" i="12"/>
  <c r="S122" i="12"/>
  <c r="N420" i="8"/>
  <c r="N410" i="8"/>
  <c r="J869" i="8"/>
  <c r="R413" i="8"/>
  <c r="D413" i="8"/>
  <c r="P413" i="8"/>
  <c r="T413" i="8" s="1"/>
  <c r="J157" i="12"/>
  <c r="K128" i="12"/>
  <c r="S128" i="12"/>
  <c r="J146" i="12"/>
  <c r="K117" i="12"/>
  <c r="S117" i="12"/>
  <c r="S124" i="12"/>
  <c r="J153" i="12"/>
  <c r="K124" i="12"/>
  <c r="I95" i="12"/>
  <c r="K95" i="12"/>
  <c r="J142" i="12"/>
  <c r="D157" i="12"/>
  <c r="C344" i="10"/>
  <c r="C340" i="10"/>
  <c r="C356" i="10"/>
  <c r="C363" i="10"/>
  <c r="C352" i="10"/>
  <c r="Q344" i="10"/>
  <c r="M377" i="10" s="1"/>
  <c r="C361" i="10"/>
  <c r="C362" i="10"/>
  <c r="C359" i="10"/>
  <c r="C348" i="10"/>
  <c r="C345" i="10"/>
  <c r="C349" i="10"/>
  <c r="C358" i="10"/>
  <c r="C342" i="10"/>
  <c r="C350" i="10"/>
  <c r="C354" i="10"/>
  <c r="C346" i="10"/>
  <c r="C351" i="10"/>
  <c r="C353" i="10"/>
  <c r="C343" i="10"/>
  <c r="C357" i="10"/>
  <c r="C355" i="10"/>
  <c r="C341" i="10"/>
  <c r="C347" i="10"/>
  <c r="C360" i="10"/>
  <c r="D146" i="12"/>
  <c r="J131" i="12"/>
  <c r="E145" i="12"/>
  <c r="F145" i="12"/>
  <c r="D145" i="12"/>
  <c r="G145" i="12"/>
  <c r="J139" i="12"/>
  <c r="D154" i="12"/>
  <c r="S344" i="10"/>
  <c r="D150" i="12"/>
  <c r="J135" i="12"/>
  <c r="J137" i="12"/>
  <c r="D152" i="12"/>
  <c r="S120" i="12"/>
  <c r="K120" i="12"/>
  <c r="J149" i="12"/>
  <c r="S121" i="12"/>
  <c r="K121" i="12"/>
  <c r="J150" i="12"/>
  <c r="S123" i="12"/>
  <c r="J152" i="12"/>
  <c r="K123" i="12"/>
  <c r="J138" i="12"/>
  <c r="D153" i="12"/>
  <c r="K20" i="3"/>
  <c r="S125" i="12"/>
  <c r="K125" i="12"/>
  <c r="J154" i="12"/>
  <c r="S126" i="12"/>
  <c r="J155" i="12"/>
  <c r="K126" i="12"/>
  <c r="S127" i="12"/>
  <c r="K127" i="12"/>
  <c r="J156" i="12"/>
  <c r="J132" i="12"/>
  <c r="D147" i="12"/>
  <c r="D156" i="12"/>
  <c r="J141" i="12"/>
  <c r="E991" i="1"/>
  <c r="AU32" i="3"/>
  <c r="AV32" i="3" s="1"/>
  <c r="AT33" i="3" s="1"/>
  <c r="F652" i="9"/>
  <c r="F660" i="9"/>
  <c r="F647" i="9"/>
  <c r="F645" i="9"/>
  <c r="F663" i="9"/>
  <c r="F649" i="9"/>
  <c r="F654" i="9"/>
  <c r="F653" i="9"/>
  <c r="F655" i="9"/>
  <c r="F657" i="9"/>
  <c r="F662" i="9"/>
  <c r="F646" i="9"/>
  <c r="F661" i="9"/>
  <c r="F644" i="9"/>
  <c r="F651" i="9"/>
  <c r="F659" i="9"/>
  <c r="F648" i="9"/>
  <c r="F664" i="9"/>
  <c r="F656" i="9"/>
  <c r="F650" i="9"/>
  <c r="F658" i="9"/>
  <c r="Z26" i="3" l="1"/>
  <c r="AI26" i="3" s="1"/>
  <c r="AH26" i="3"/>
  <c r="Z16" i="3"/>
  <c r="AI16" i="3" s="1"/>
  <c r="AH16" i="3"/>
  <c r="C675" i="9"/>
  <c r="G675" i="9"/>
  <c r="F675" i="9"/>
  <c r="E675" i="9"/>
  <c r="D675" i="9"/>
  <c r="H675" i="9" s="1"/>
  <c r="F10" i="9"/>
  <c r="F19" i="9"/>
  <c r="F28" i="9"/>
  <c r="AO7" i="3"/>
  <c r="AN7" i="3"/>
  <c r="AQ7" i="3" s="1"/>
  <c r="AM7" i="3"/>
  <c r="E668" i="9"/>
  <c r="F668" i="9"/>
  <c r="D668" i="9"/>
  <c r="H668" i="9" s="1"/>
  <c r="C668" i="9"/>
  <c r="G668" i="9"/>
  <c r="AH6" i="3"/>
  <c r="Z6" i="3"/>
  <c r="AI6" i="3" s="1"/>
  <c r="O6" i="3" s="1"/>
  <c r="J145" i="12"/>
  <c r="K145" i="12" s="1"/>
  <c r="P420" i="8"/>
  <c r="T420" i="8" s="1"/>
  <c r="D420" i="8"/>
  <c r="R420" i="8"/>
  <c r="Q164" i="12"/>
  <c r="K140" i="12"/>
  <c r="S140" i="12"/>
  <c r="S141" i="12"/>
  <c r="K141" i="12"/>
  <c r="K133" i="12"/>
  <c r="S133" i="12"/>
  <c r="K150" i="12"/>
  <c r="S150" i="12"/>
  <c r="K134" i="12"/>
  <c r="S134" i="12"/>
  <c r="J374" i="10"/>
  <c r="G236" i="4" s="1"/>
  <c r="G371" i="10"/>
  <c r="C233" i="4" s="1"/>
  <c r="J380" i="10"/>
  <c r="G242" i="4" s="1"/>
  <c r="G385" i="10"/>
  <c r="C247" i="4" s="1"/>
  <c r="I373" i="10"/>
  <c r="E235" i="4" s="1"/>
  <c r="O235" i="4" s="1"/>
  <c r="J370" i="10"/>
  <c r="G232" i="4" s="1"/>
  <c r="H385" i="10"/>
  <c r="D247" i="4" s="1"/>
  <c r="H374" i="10"/>
  <c r="D236" i="4" s="1"/>
  <c r="H372" i="10"/>
  <c r="D234" i="4" s="1"/>
  <c r="I368" i="10"/>
  <c r="E230" i="4" s="1"/>
  <c r="O230" i="4" s="1"/>
  <c r="J377" i="10"/>
  <c r="G239" i="4" s="1"/>
  <c r="I370" i="10"/>
  <c r="E232" i="4" s="1"/>
  <c r="O232" i="4" s="1"/>
  <c r="G382" i="10"/>
  <c r="C244" i="4" s="1"/>
  <c r="J383" i="10"/>
  <c r="G245" i="4" s="1"/>
  <c r="I367" i="10"/>
  <c r="E229" i="4" s="1"/>
  <c r="O229" i="4" s="1"/>
  <c r="I376" i="10"/>
  <c r="E238" i="4" s="1"/>
  <c r="O238" i="4" s="1"/>
  <c r="H384" i="10"/>
  <c r="D246" i="4" s="1"/>
  <c r="H367" i="10"/>
  <c r="D229" i="4" s="1"/>
  <c r="I372" i="10"/>
  <c r="E234" i="4" s="1"/>
  <c r="O234" i="4" s="1"/>
  <c r="I382" i="10"/>
  <c r="E244" i="4" s="1"/>
  <c r="O244" i="4" s="1"/>
  <c r="J382" i="10"/>
  <c r="G244" i="4" s="1"/>
  <c r="H386" i="10"/>
  <c r="D248" i="4" s="1"/>
  <c r="I388" i="10"/>
  <c r="E250" i="4" s="1"/>
  <c r="O250" i="4" s="1"/>
  <c r="I384" i="10"/>
  <c r="E246" i="4" s="1"/>
  <c r="O246" i="4" s="1"/>
  <c r="I369" i="10"/>
  <c r="E231" i="4" s="1"/>
  <c r="O231" i="4" s="1"/>
  <c r="I386" i="10"/>
  <c r="E248" i="4" s="1"/>
  <c r="O248" i="4" s="1"/>
  <c r="J368" i="10"/>
  <c r="G230" i="4" s="1"/>
  <c r="H375" i="10"/>
  <c r="D237" i="4" s="1"/>
  <c r="G369" i="10"/>
  <c r="C231" i="4" s="1"/>
  <c r="J381" i="10"/>
  <c r="G243" i="4" s="1"/>
  <c r="G384" i="10"/>
  <c r="C246" i="4" s="1"/>
  <c r="G368" i="10"/>
  <c r="C230" i="4" s="1"/>
  <c r="J367" i="10"/>
  <c r="H369" i="10"/>
  <c r="D231" i="4" s="1"/>
  <c r="I374" i="10"/>
  <c r="E236" i="4" s="1"/>
  <c r="O236" i="4" s="1"/>
  <c r="H377" i="10"/>
  <c r="D239" i="4" s="1"/>
  <c r="H387" i="10"/>
  <c r="D249" i="4" s="1"/>
  <c r="I385" i="10"/>
  <c r="E247" i="4" s="1"/>
  <c r="O247" i="4" s="1"/>
  <c r="G383" i="10"/>
  <c r="C245" i="4" s="1"/>
  <c r="H381" i="10"/>
  <c r="D243" i="4" s="1"/>
  <c r="G375" i="10"/>
  <c r="C237" i="4" s="1"/>
  <c r="J386" i="10"/>
  <c r="G248" i="4" s="1"/>
  <c r="J369" i="10"/>
  <c r="G231" i="4" s="1"/>
  <c r="H383" i="10"/>
  <c r="D245" i="4" s="1"/>
  <c r="G386" i="10"/>
  <c r="C248" i="4" s="1"/>
  <c r="H368" i="10"/>
  <c r="D230" i="4" s="1"/>
  <c r="J387" i="10"/>
  <c r="G249" i="4" s="1"/>
  <c r="J379" i="10"/>
  <c r="G241" i="4" s="1"/>
  <c r="I371" i="10"/>
  <c r="E233" i="4" s="1"/>
  <c r="O233" i="4" s="1"/>
  <c r="G387" i="10"/>
  <c r="C249" i="4" s="1"/>
  <c r="G381" i="10"/>
  <c r="C243" i="4" s="1"/>
  <c r="H380" i="10"/>
  <c r="D242" i="4" s="1"/>
  <c r="H373" i="10"/>
  <c r="D235" i="4" s="1"/>
  <c r="H388" i="10"/>
  <c r="D250" i="4" s="1"/>
  <c r="G373" i="10"/>
  <c r="C235" i="4" s="1"/>
  <c r="J385" i="10"/>
  <c r="G247" i="4" s="1"/>
  <c r="J371" i="10"/>
  <c r="G233" i="4" s="1"/>
  <c r="H371" i="10"/>
  <c r="D233" i="4" s="1"/>
  <c r="G374" i="10"/>
  <c r="C236" i="4" s="1"/>
  <c r="G367" i="10"/>
  <c r="C229" i="4" s="1"/>
  <c r="I387" i="10"/>
  <c r="E249" i="4" s="1"/>
  <c r="O249" i="4" s="1"/>
  <c r="J384" i="10"/>
  <c r="G246" i="4" s="1"/>
  <c r="F246" i="4" s="1"/>
  <c r="H376" i="10"/>
  <c r="D238" i="4" s="1"/>
  <c r="G388" i="10"/>
  <c r="C250" i="4" s="1"/>
  <c r="G377" i="10"/>
  <c r="C239" i="4" s="1"/>
  <c r="I378" i="10"/>
  <c r="E240" i="4" s="1"/>
  <c r="O240" i="4" s="1"/>
  <c r="G370" i="10"/>
  <c r="C232" i="4" s="1"/>
  <c r="J375" i="10"/>
  <c r="G237" i="4" s="1"/>
  <c r="J378" i="10"/>
  <c r="G240" i="4" s="1"/>
  <c r="J372" i="10"/>
  <c r="G234" i="4" s="1"/>
  <c r="H379" i="10"/>
  <c r="D241" i="4" s="1"/>
  <c r="G376" i="10"/>
  <c r="C238" i="4" s="1"/>
  <c r="C365" i="10"/>
  <c r="I377" i="10"/>
  <c r="E239" i="4" s="1"/>
  <c r="O239" i="4" s="1"/>
  <c r="J388" i="10"/>
  <c r="G250" i="4" s="1"/>
  <c r="I375" i="10"/>
  <c r="E237" i="4" s="1"/>
  <c r="O237" i="4" s="1"/>
  <c r="G372" i="10"/>
  <c r="C234" i="4" s="1"/>
  <c r="G380" i="10"/>
  <c r="C242" i="4" s="1"/>
  <c r="I381" i="10"/>
  <c r="E243" i="4" s="1"/>
  <c r="O243" i="4" s="1"/>
  <c r="H382" i="10"/>
  <c r="D244" i="4" s="1"/>
  <c r="I379" i="10"/>
  <c r="E241" i="4" s="1"/>
  <c r="O241" i="4" s="1"/>
  <c r="I380" i="10"/>
  <c r="E242" i="4" s="1"/>
  <c r="O242" i="4" s="1"/>
  <c r="G379" i="10"/>
  <c r="C241" i="4" s="1"/>
  <c r="I383" i="10"/>
  <c r="E245" i="4" s="1"/>
  <c r="O245" i="4" s="1"/>
  <c r="J376" i="10"/>
  <c r="G238" i="4" s="1"/>
  <c r="G378" i="10"/>
  <c r="C240" i="4" s="1"/>
  <c r="J373" i="10"/>
  <c r="G235" i="4" s="1"/>
  <c r="F235" i="4" s="1"/>
  <c r="H370" i="10"/>
  <c r="D232" i="4" s="1"/>
  <c r="H378" i="10"/>
  <c r="D240" i="4" s="1"/>
  <c r="S148" i="12"/>
  <c r="K148" i="12"/>
  <c r="S153" i="12"/>
  <c r="K153" i="12"/>
  <c r="S130" i="12"/>
  <c r="S151" i="12"/>
  <c r="K151" i="12"/>
  <c r="K139" i="12"/>
  <c r="S139" i="12"/>
  <c r="K131" i="12"/>
  <c r="S131" i="12"/>
  <c r="K155" i="12"/>
  <c r="S155" i="12"/>
  <c r="K147" i="12"/>
  <c r="S147" i="12"/>
  <c r="K152" i="12"/>
  <c r="S152" i="12"/>
  <c r="K142" i="12"/>
  <c r="S142" i="12"/>
  <c r="K132" i="12"/>
  <c r="S132" i="12"/>
  <c r="J160" i="12"/>
  <c r="K154" i="12"/>
  <c r="S154" i="12"/>
  <c r="K137" i="12"/>
  <c r="S137" i="12"/>
  <c r="K146" i="12"/>
  <c r="S146" i="12"/>
  <c r="Q63" i="12"/>
  <c r="M378" i="10"/>
  <c r="K138" i="12"/>
  <c r="S138" i="12"/>
  <c r="K135" i="12"/>
  <c r="S135" i="12"/>
  <c r="D160" i="12"/>
  <c r="K136" i="12"/>
  <c r="S136" i="12"/>
  <c r="K156" i="12"/>
  <c r="S156" i="12"/>
  <c r="P410" i="8"/>
  <c r="T410" i="8" s="1"/>
  <c r="D410" i="8"/>
  <c r="R410" i="8"/>
  <c r="H868" i="8"/>
  <c r="K149" i="12"/>
  <c r="S149" i="12"/>
  <c r="E44" i="9"/>
  <c r="D1011" i="2"/>
  <c r="K22" i="3"/>
  <c r="S157" i="12"/>
  <c r="K157" i="12"/>
  <c r="T189" i="12"/>
  <c r="AU33" i="3"/>
  <c r="AV33" i="3" s="1"/>
  <c r="AT34" i="3" s="1"/>
  <c r="AP7" i="3" l="1"/>
  <c r="AL8" i="3" s="1"/>
  <c r="AN8" i="3" s="1"/>
  <c r="AQ8" i="3" s="1"/>
  <c r="AW16" i="3"/>
  <c r="BE16" i="3"/>
  <c r="N16" i="3"/>
  <c r="O16" i="3"/>
  <c r="BF16" i="3"/>
  <c r="AW26" i="3"/>
  <c r="N26" i="3"/>
  <c r="BE26" i="3"/>
  <c r="O26" i="3"/>
  <c r="K50" i="3" s="1"/>
  <c r="BF26" i="3"/>
  <c r="F245" i="4"/>
  <c r="F234" i="4"/>
  <c r="AO8" i="3"/>
  <c r="AM8" i="3"/>
  <c r="N6" i="3"/>
  <c r="AW6" i="3"/>
  <c r="AQ6" i="3"/>
  <c r="G28" i="9"/>
  <c r="E28" i="9"/>
  <c r="H28" i="9"/>
  <c r="D28" i="9"/>
  <c r="H19" i="9"/>
  <c r="D19" i="9"/>
  <c r="G19" i="9"/>
  <c r="E19" i="9"/>
  <c r="E10" i="9"/>
  <c r="D10" i="9"/>
  <c r="H10" i="9"/>
  <c r="G10" i="9"/>
  <c r="AA63" i="3"/>
  <c r="P6" i="3"/>
  <c r="F248" i="4"/>
  <c r="F249" i="4"/>
  <c r="F236" i="4"/>
  <c r="F250" i="4"/>
  <c r="F231" i="4"/>
  <c r="F247" i="4"/>
  <c r="S160" i="12"/>
  <c r="Q190" i="12" s="1"/>
  <c r="F190" i="12" s="1"/>
  <c r="F244" i="4"/>
  <c r="F243" i="4"/>
  <c r="D1014" i="2"/>
  <c r="D1001" i="1"/>
  <c r="F230" i="4"/>
  <c r="F239" i="4"/>
  <c r="G44" i="9"/>
  <c r="R44" i="9"/>
  <c r="B23" i="9" s="1"/>
  <c r="H44" i="9"/>
  <c r="K44" i="9"/>
  <c r="R136" i="9"/>
  <c r="R6" i="12"/>
  <c r="N10" i="12" s="1"/>
  <c r="Q85" i="12"/>
  <c r="Q74" i="12"/>
  <c r="N63" i="12"/>
  <c r="I63" i="12"/>
  <c r="Q64" i="12"/>
  <c r="M969" i="2"/>
  <c r="F385" i="10"/>
  <c r="F384" i="10"/>
  <c r="F370" i="10"/>
  <c r="F377" i="10"/>
  <c r="F376" i="10"/>
  <c r="F374" i="10"/>
  <c r="F368" i="10"/>
  <c r="F378" i="10"/>
  <c r="F369" i="10"/>
  <c r="F386" i="10"/>
  <c r="F380" i="10"/>
  <c r="F371" i="10"/>
  <c r="F383" i="10"/>
  <c r="F375" i="10"/>
  <c r="F367" i="10"/>
  <c r="F372" i="10"/>
  <c r="F379" i="10"/>
  <c r="F373" i="10"/>
  <c r="F387" i="10"/>
  <c r="F382" i="10"/>
  <c r="F381" i="10"/>
  <c r="F388" i="10"/>
  <c r="F233" i="4"/>
  <c r="Q189" i="12"/>
  <c r="K160" i="12"/>
  <c r="G229" i="4"/>
  <c r="J365" i="10"/>
  <c r="Y75" i="3" s="1"/>
  <c r="N375" i="10"/>
  <c r="N376" i="10"/>
  <c r="N369" i="10"/>
  <c r="N377" i="10"/>
  <c r="N373" i="10"/>
  <c r="N371" i="10"/>
  <c r="N374" i="10"/>
  <c r="N372" i="10"/>
  <c r="N370" i="10"/>
  <c r="N368" i="10"/>
  <c r="F232" i="4"/>
  <c r="I164" i="12"/>
  <c r="Q166" i="12"/>
  <c r="Q165" i="12"/>
  <c r="K164" i="12"/>
  <c r="O227" i="4"/>
  <c r="F238" i="4"/>
  <c r="F240" i="4"/>
  <c r="S145" i="12"/>
  <c r="F237" i="4"/>
  <c r="F241" i="4"/>
  <c r="F242" i="4"/>
  <c r="AU34" i="3"/>
  <c r="AV34" i="3" s="1"/>
  <c r="AT35" i="3" s="1"/>
  <c r="AA62" i="3" l="1"/>
  <c r="K41" i="3" s="1"/>
  <c r="D1011" i="1" s="1"/>
  <c r="AA65" i="3"/>
  <c r="Y87" i="3" s="1"/>
  <c r="AA64" i="3"/>
  <c r="K42" i="3" s="1"/>
  <c r="AP8" i="3"/>
  <c r="AL9" i="3" s="1"/>
  <c r="AN9" i="3" s="1"/>
  <c r="AQ9" i="3" s="1"/>
  <c r="K51" i="3"/>
  <c r="K53" i="3"/>
  <c r="AA87" i="3"/>
  <c r="AX6" i="3"/>
  <c r="P7" i="3"/>
  <c r="K44" i="3"/>
  <c r="X87" i="3"/>
  <c r="I165" i="12"/>
  <c r="K165" i="12"/>
  <c r="Q86" i="12"/>
  <c r="I86" i="12" s="1"/>
  <c r="I85" i="12"/>
  <c r="K85" i="12"/>
  <c r="I166" i="12"/>
  <c r="K166" i="12"/>
  <c r="K169" i="12" s="1"/>
  <c r="B22" i="9"/>
  <c r="B25" i="9"/>
  <c r="B21" i="9"/>
  <c r="B24" i="9"/>
  <c r="D60" i="12"/>
  <c r="D55" i="12"/>
  <c r="D62" i="12"/>
  <c r="N336" i="12"/>
  <c r="I64" i="12"/>
  <c r="W5" i="12"/>
  <c r="D57" i="12"/>
  <c r="D56" i="12"/>
  <c r="D61" i="12"/>
  <c r="D59" i="12"/>
  <c r="N64" i="12"/>
  <c r="D54" i="12"/>
  <c r="D58" i="12"/>
  <c r="G251" i="4"/>
  <c r="F229" i="4"/>
  <c r="D1017" i="2"/>
  <c r="K30" i="3"/>
  <c r="I74" i="12"/>
  <c r="Q75" i="12"/>
  <c r="I75" i="12" s="1"/>
  <c r="D670" i="9"/>
  <c r="H670" i="9" s="1"/>
  <c r="G670" i="9"/>
  <c r="F670" i="9"/>
  <c r="E670" i="9"/>
  <c r="C670" i="9"/>
  <c r="O251" i="4"/>
  <c r="O228" i="4"/>
  <c r="O252" i="4"/>
  <c r="O2" i="4"/>
  <c r="N1" i="12"/>
  <c r="D63" i="12"/>
  <c r="AU35" i="3"/>
  <c r="AV35" i="3" s="1"/>
  <c r="AT36" i="3" s="1"/>
  <c r="K45" i="3" l="1"/>
  <c r="AM9" i="3"/>
  <c r="AO9" i="3"/>
  <c r="D1024" i="2"/>
  <c r="AP9" i="3"/>
  <c r="AL10" i="3" s="1"/>
  <c r="AO10" i="3" s="1"/>
  <c r="D1025" i="2"/>
  <c r="D1012" i="1"/>
  <c r="L4" i="9"/>
  <c r="AX7" i="3"/>
  <c r="P8" i="3"/>
  <c r="D85" i="12"/>
  <c r="J63" i="12"/>
  <c r="K63" i="12" s="1"/>
  <c r="D74" i="12"/>
  <c r="J74" i="12" s="1"/>
  <c r="K74" i="12" s="1"/>
  <c r="E45" i="9"/>
  <c r="D76" i="12"/>
  <c r="G64" i="12"/>
  <c r="E64" i="12"/>
  <c r="D64" i="12"/>
  <c r="E75" i="12"/>
  <c r="J54" i="12"/>
  <c r="F64" i="12"/>
  <c r="D65" i="12"/>
  <c r="G75" i="12"/>
  <c r="F75" i="12"/>
  <c r="D72" i="12"/>
  <c r="J72" i="12" s="1"/>
  <c r="J61" i="12"/>
  <c r="D83" i="12"/>
  <c r="D80" i="12"/>
  <c r="D69" i="12"/>
  <c r="J69" i="12" s="1"/>
  <c r="J58" i="12"/>
  <c r="J56" i="12"/>
  <c r="D78" i="12"/>
  <c r="D67" i="12"/>
  <c r="J67" i="12" s="1"/>
  <c r="D73" i="12"/>
  <c r="J73" i="12" s="1"/>
  <c r="D84" i="12"/>
  <c r="J62" i="12"/>
  <c r="D77" i="12"/>
  <c r="D66" i="12"/>
  <c r="J66" i="12" s="1"/>
  <c r="J55" i="12"/>
  <c r="D71" i="12"/>
  <c r="J71" i="12" s="1"/>
  <c r="J60" i="12"/>
  <c r="D82" i="12"/>
  <c r="K183" i="12"/>
  <c r="F189" i="12" s="1"/>
  <c r="K167" i="12"/>
  <c r="J57" i="12"/>
  <c r="D68" i="12"/>
  <c r="J68" i="12" s="1"/>
  <c r="D79" i="12"/>
  <c r="D70" i="12"/>
  <c r="J70" i="12" s="1"/>
  <c r="J59" i="12"/>
  <c r="D81" i="12"/>
  <c r="AU36" i="3"/>
  <c r="AV36" i="3" s="1"/>
  <c r="AT37" i="3" s="1"/>
  <c r="AM10" i="3" l="1"/>
  <c r="AN10" i="3"/>
  <c r="P9" i="3"/>
  <c r="AX8" i="3"/>
  <c r="S62" i="12"/>
  <c r="J84" i="12"/>
  <c r="K62" i="12"/>
  <c r="S68" i="12"/>
  <c r="K68" i="12"/>
  <c r="X16" i="12"/>
  <c r="X17" i="12" s="1"/>
  <c r="D977" i="2"/>
  <c r="D964" i="1"/>
  <c r="S56" i="12"/>
  <c r="K56" i="12"/>
  <c r="J78" i="12"/>
  <c r="K58" i="12"/>
  <c r="S58" i="12"/>
  <c r="J80" i="12"/>
  <c r="K59" i="12"/>
  <c r="J81" i="12"/>
  <c r="S59" i="12"/>
  <c r="S70" i="12"/>
  <c r="K70" i="12"/>
  <c r="J79" i="12"/>
  <c r="K57" i="12"/>
  <c r="S57" i="12"/>
  <c r="K45" i="9"/>
  <c r="H45" i="9"/>
  <c r="G45" i="9"/>
  <c r="R45" i="9"/>
  <c r="B14" i="9" s="1"/>
  <c r="S136" i="9"/>
  <c r="D86" i="12"/>
  <c r="S71" i="12"/>
  <c r="K71" i="12"/>
  <c r="J65" i="12"/>
  <c r="D75" i="12"/>
  <c r="K67" i="12"/>
  <c r="S67" i="12"/>
  <c r="K69" i="12"/>
  <c r="S69" i="12"/>
  <c r="S61" i="12"/>
  <c r="K61" i="12"/>
  <c r="J83" i="12"/>
  <c r="S72" i="12"/>
  <c r="K72" i="12"/>
  <c r="S73" i="12"/>
  <c r="K73" i="12"/>
  <c r="J64" i="12"/>
  <c r="K64" i="12" s="1"/>
  <c r="S60" i="12"/>
  <c r="K60" i="12"/>
  <c r="J82" i="12"/>
  <c r="S55" i="12"/>
  <c r="J77" i="12"/>
  <c r="K55" i="12"/>
  <c r="S66" i="12"/>
  <c r="K66" i="12"/>
  <c r="K54" i="12"/>
  <c r="S54" i="12"/>
  <c r="J76" i="12"/>
  <c r="AU37" i="3"/>
  <c r="AV37" i="3" s="1"/>
  <c r="AT38" i="3" s="1"/>
  <c r="AQ10" i="3" l="1"/>
  <c r="AP10" i="3"/>
  <c r="AL11" i="3" s="1"/>
  <c r="P10" i="3"/>
  <c r="AX9" i="3"/>
  <c r="G671" i="9"/>
  <c r="F671" i="9"/>
  <c r="C671" i="9"/>
  <c r="D671" i="9"/>
  <c r="H671" i="9" s="1"/>
  <c r="E671" i="9"/>
  <c r="K82" i="12"/>
  <c r="S82" i="12"/>
  <c r="S83" i="12"/>
  <c r="K83" i="12"/>
  <c r="B12" i="9"/>
  <c r="B13" i="9"/>
  <c r="B15" i="9"/>
  <c r="B16" i="9"/>
  <c r="S78" i="12"/>
  <c r="K78" i="12"/>
  <c r="S76" i="12"/>
  <c r="K76" i="12"/>
  <c r="K77" i="12"/>
  <c r="S77" i="12"/>
  <c r="J75" i="12"/>
  <c r="K75" i="12" s="1"/>
  <c r="K65" i="12"/>
  <c r="S65" i="12"/>
  <c r="S75" i="12" s="1"/>
  <c r="S79" i="12"/>
  <c r="K79" i="12"/>
  <c r="J86" i="12"/>
  <c r="S84" i="12"/>
  <c r="K84" i="12"/>
  <c r="S64" i="12"/>
  <c r="S81" i="12"/>
  <c r="K81" i="12"/>
  <c r="K80" i="12"/>
  <c r="S80" i="12"/>
  <c r="AU38" i="3"/>
  <c r="AV38" i="3" s="1"/>
  <c r="AT39" i="3" s="1"/>
  <c r="AO11" i="3" l="1"/>
  <c r="AN11" i="3"/>
  <c r="AQ11" i="3" s="1"/>
  <c r="AM11" i="3"/>
  <c r="P11" i="3"/>
  <c r="AX10" i="3"/>
  <c r="S86" i="12"/>
  <c r="P190" i="12" s="1"/>
  <c r="E190" i="12" s="1"/>
  <c r="I190" i="12" s="1"/>
  <c r="K190" i="12" s="1"/>
  <c r="P189" i="12"/>
  <c r="E189" i="12" s="1"/>
  <c r="K86" i="12"/>
  <c r="K96" i="12" s="1"/>
  <c r="K110" i="12" s="1"/>
  <c r="B671" i="9"/>
  <c r="B679" i="9"/>
  <c r="B668" i="9"/>
  <c r="B676" i="9"/>
  <c r="B672" i="9"/>
  <c r="B678" i="9"/>
  <c r="B674" i="9"/>
  <c r="B673" i="9"/>
  <c r="B670" i="9"/>
  <c r="B680" i="9"/>
  <c r="B669" i="9"/>
  <c r="B677" i="9"/>
  <c r="B675" i="9"/>
  <c r="AU39" i="3"/>
  <c r="AV39" i="3" s="1"/>
  <c r="AT40" i="3" s="1"/>
  <c r="AP11" i="3" l="1"/>
  <c r="AL12" i="3" s="1"/>
  <c r="AO12" i="3" s="1"/>
  <c r="P12" i="3"/>
  <c r="AX11" i="3"/>
  <c r="I678" i="9"/>
  <c r="J679" i="9"/>
  <c r="I671" i="9"/>
  <c r="J676" i="9"/>
  <c r="J677" i="9"/>
  <c r="J669" i="9"/>
  <c r="J670" i="9"/>
  <c r="I674" i="9"/>
  <c r="I669" i="9"/>
  <c r="I676" i="9"/>
  <c r="I668" i="9"/>
  <c r="J673" i="9"/>
  <c r="J672" i="9"/>
  <c r="J680" i="9"/>
  <c r="J668" i="9"/>
  <c r="I673" i="9"/>
  <c r="J674" i="9"/>
  <c r="J678" i="9"/>
  <c r="I679" i="9"/>
  <c r="I680" i="9"/>
  <c r="I677" i="9"/>
  <c r="I672" i="9"/>
  <c r="J671" i="9"/>
  <c r="J675" i="9"/>
  <c r="I670" i="9"/>
  <c r="I675" i="9"/>
  <c r="D963" i="1"/>
  <c r="D976" i="2"/>
  <c r="I189" i="12"/>
  <c r="K189" i="12" s="1"/>
  <c r="AU40" i="3"/>
  <c r="AV40" i="3" s="1"/>
  <c r="AT41" i="3" s="1"/>
  <c r="AM12" i="3" l="1"/>
  <c r="AN12" i="3"/>
  <c r="AP12" i="3" s="1"/>
  <c r="AL13" i="3" s="1"/>
  <c r="P13" i="3"/>
  <c r="AX12" i="3"/>
  <c r="D40" i="3"/>
  <c r="E193" i="12"/>
  <c r="H193" i="12" s="1"/>
  <c r="K32" i="3"/>
  <c r="D967" i="1"/>
  <c r="F967" i="1" s="1"/>
  <c r="D965" i="1"/>
  <c r="D978" i="2"/>
  <c r="D980" i="2"/>
  <c r="F980" i="2" s="1"/>
  <c r="AU41" i="3"/>
  <c r="AV41" i="3" s="1"/>
  <c r="AT42" i="3" s="1"/>
  <c r="AQ12" i="3" l="1"/>
  <c r="AO13" i="3"/>
  <c r="AM13" i="3"/>
  <c r="AN13" i="3"/>
  <c r="AX13" i="3"/>
  <c r="P14" i="3"/>
  <c r="D1019" i="2"/>
  <c r="D1006" i="1"/>
  <c r="D1008" i="1" s="1"/>
  <c r="S993" i="1" s="1"/>
  <c r="R993" i="1" s="1"/>
  <c r="D43" i="3"/>
  <c r="K36" i="3"/>
  <c r="K47" i="3" s="1"/>
  <c r="D45" i="3"/>
  <c r="D41" i="3"/>
  <c r="K56" i="3" s="1"/>
  <c r="AU42" i="3"/>
  <c r="AV42" i="3" s="1"/>
  <c r="AT43" i="3" s="1"/>
  <c r="AQ13" i="3" l="1"/>
  <c r="AP13" i="3"/>
  <c r="AL14" i="3" s="1"/>
  <c r="P15" i="3"/>
  <c r="AX14" i="3"/>
  <c r="E48" i="9"/>
  <c r="L37" i="9" s="1" a="1"/>
  <c r="W84" i="3"/>
  <c r="M1019" i="2"/>
  <c r="M2" i="2" s="1"/>
  <c r="D1021" i="2"/>
  <c r="D1013" i="1"/>
  <c r="D1026" i="2"/>
  <c r="AU43" i="3"/>
  <c r="AV43" i="3" s="1"/>
  <c r="AT44" i="3" s="1"/>
  <c r="AM14" i="3" l="1"/>
  <c r="AN14" i="3"/>
  <c r="AQ14" i="3" s="1"/>
  <c r="AO14" i="3"/>
  <c r="P16" i="3"/>
  <c r="AX15" i="3"/>
  <c r="G48" i="9"/>
  <c r="R48" i="9"/>
  <c r="K37" i="9"/>
  <c r="V136" i="9"/>
  <c r="H48" i="9"/>
  <c r="AU44" i="3"/>
  <c r="AV44" i="3" s="1"/>
  <c r="AT45" i="3" s="1"/>
  <c r="AP14" i="3" l="1"/>
  <c r="AL15" i="3" s="1"/>
  <c r="AN15" i="3" s="1"/>
  <c r="P17" i="3"/>
  <c r="AX16" i="3"/>
  <c r="AU45" i="3"/>
  <c r="AV45" i="3" s="1"/>
  <c r="AT46" i="3" s="1"/>
  <c r="AO15" i="3" l="1"/>
  <c r="AM15" i="3"/>
  <c r="AQ15" i="3"/>
  <c r="AP15" i="3"/>
  <c r="AL16" i="3" s="1"/>
  <c r="AN16" i="3" s="1"/>
  <c r="P18" i="3"/>
  <c r="AX17" i="3"/>
  <c r="AU46" i="3"/>
  <c r="AV46" i="3" s="1"/>
  <c r="AT47" i="3" s="1"/>
  <c r="AM16" i="3" l="1"/>
  <c r="AO16" i="3"/>
  <c r="AQ16" i="3"/>
  <c r="AP16" i="3"/>
  <c r="AL17" i="3" s="1"/>
  <c r="AN17" i="3" s="1"/>
  <c r="P19" i="3"/>
  <c r="AX18" i="3"/>
  <c r="AU47" i="3"/>
  <c r="AV47" i="3" s="1"/>
  <c r="AT48" i="3" s="1"/>
  <c r="AO17" i="3" l="1"/>
  <c r="AM17" i="3"/>
  <c r="AQ17" i="3"/>
  <c r="AP17" i="3"/>
  <c r="AL18" i="3" s="1"/>
  <c r="AO18" i="3" s="1"/>
  <c r="P20" i="3"/>
  <c r="AX19" i="3"/>
  <c r="AU48" i="3"/>
  <c r="AV48" i="3" s="1"/>
  <c r="AT49" i="3" s="1"/>
  <c r="AN18" i="3" l="1"/>
  <c r="AQ18" i="3" s="1"/>
  <c r="AM18" i="3"/>
  <c r="P21" i="3"/>
  <c r="AX20" i="3"/>
  <c r="AU49" i="3"/>
  <c r="AV49" i="3" s="1"/>
  <c r="AT50" i="3" s="1"/>
  <c r="AP18" i="3" l="1"/>
  <c r="AL19" i="3" s="1"/>
  <c r="AO19" i="3" s="1"/>
  <c r="AX21" i="3"/>
  <c r="P22" i="3"/>
  <c r="AU50" i="3"/>
  <c r="AV50" i="3" s="1"/>
  <c r="AT51" i="3" s="1"/>
  <c r="AN19" i="3" l="1"/>
  <c r="AQ19" i="3" s="1"/>
  <c r="AM19" i="3"/>
  <c r="P23" i="3"/>
  <c r="AX22" i="3"/>
  <c r="AU51" i="3"/>
  <c r="AV51" i="3" s="1"/>
  <c r="AT52" i="3" s="1"/>
  <c r="AP19" i="3" l="1"/>
  <c r="AL20" i="3" s="1"/>
  <c r="AO20" i="3" s="1"/>
  <c r="AM20" i="3"/>
  <c r="P24" i="3"/>
  <c r="AX23" i="3"/>
  <c r="AU52" i="3"/>
  <c r="AV52" i="3" s="1"/>
  <c r="AT53" i="3" s="1"/>
  <c r="AN20" i="3" l="1"/>
  <c r="AQ20" i="3" s="1"/>
  <c r="AO21" i="3"/>
  <c r="AM21" i="3"/>
  <c r="P25" i="3"/>
  <c r="AX24" i="3"/>
  <c r="AU53" i="3"/>
  <c r="AV53" i="3" s="1"/>
  <c r="AT54" i="3" s="1"/>
  <c r="AP20" i="3" l="1"/>
  <c r="AL21" i="3" s="1"/>
  <c r="AN21" i="3" s="1"/>
  <c r="AQ21" i="3" s="1"/>
  <c r="P26" i="3"/>
  <c r="AX25" i="3"/>
  <c r="AU54" i="3"/>
  <c r="AV54" i="3" s="1"/>
  <c r="AT55" i="3" s="1"/>
  <c r="AP21" i="3" l="1"/>
  <c r="AL22" i="3" s="1"/>
  <c r="AM22" i="3" s="1"/>
  <c r="AO22" i="3"/>
  <c r="AX26" i="3"/>
  <c r="P27" i="3"/>
  <c r="AU55" i="3"/>
  <c r="AV55" i="3" s="1"/>
  <c r="AT56" i="3" s="1"/>
  <c r="AN22" i="3" l="1"/>
  <c r="AQ22" i="3" s="1"/>
  <c r="AO23" i="3"/>
  <c r="AM23" i="3"/>
  <c r="P28" i="3"/>
  <c r="AX27" i="3"/>
  <c r="AU56" i="3"/>
  <c r="AV56" i="3" s="1"/>
  <c r="AP22" i="3" l="1"/>
  <c r="AL23" i="3" s="1"/>
  <c r="AN23" i="3" s="1"/>
  <c r="AQ23" i="3" s="1"/>
  <c r="AX28" i="3"/>
  <c r="P29" i="3"/>
  <c r="AP23" i="3" l="1"/>
  <c r="AL24" i="3" s="1"/>
  <c r="AN24" i="3" s="1"/>
  <c r="AQ24" i="3" s="1"/>
  <c r="AM24" i="3"/>
  <c r="AO24" i="3"/>
  <c r="AX29" i="3"/>
  <c r="P30" i="3"/>
  <c r="AP24" i="3" l="1"/>
  <c r="AL25" i="3" s="1"/>
  <c r="AN25" i="3" s="1"/>
  <c r="AQ25" i="3" s="1"/>
  <c r="AO25" i="3"/>
  <c r="AM25" i="3"/>
  <c r="AX30" i="3"/>
  <c r="P31" i="3"/>
  <c r="AP25" i="3" l="1"/>
  <c r="AL26" i="3" s="1"/>
  <c r="AN26" i="3" s="1"/>
  <c r="AQ26" i="3" s="1"/>
  <c r="AO26" i="3"/>
  <c r="AM26" i="3"/>
  <c r="P32" i="3"/>
  <c r="AX31" i="3"/>
  <c r="AP26" i="3" l="1"/>
  <c r="AL27" i="3" s="1"/>
  <c r="AM27" i="3" s="1"/>
  <c r="AO27" i="3"/>
  <c r="AX32" i="3"/>
  <c r="P33" i="3"/>
  <c r="AN27" i="3" l="1"/>
  <c r="AQ27" i="3" s="1"/>
  <c r="P34" i="3"/>
  <c r="AX33" i="3"/>
  <c r="AP27" i="3" l="1"/>
  <c r="AL28" i="3" s="1"/>
  <c r="AM28" i="3" s="1"/>
  <c r="AO28" i="3"/>
  <c r="P35" i="3"/>
  <c r="AX34" i="3"/>
  <c r="AN28" i="3" l="1"/>
  <c r="AQ28" i="3" s="1"/>
  <c r="AX35" i="3"/>
  <c r="P36" i="3"/>
  <c r="AP28" i="3" l="1"/>
  <c r="AL29" i="3" s="1"/>
  <c r="AO29" i="3" s="1"/>
  <c r="AM29" i="3"/>
  <c r="AX36" i="3"/>
  <c r="P37" i="3"/>
  <c r="AN29" i="3" l="1"/>
  <c r="AQ29" i="3" s="1"/>
  <c r="AO30" i="3"/>
  <c r="AX37" i="3"/>
  <c r="P38" i="3"/>
  <c r="AP29" i="3" l="1"/>
  <c r="AL30" i="3" s="1"/>
  <c r="P39" i="3"/>
  <c r="AX38" i="3"/>
  <c r="AM30" i="3" l="1"/>
  <c r="AN30" i="3"/>
  <c r="AQ30" i="3" s="1"/>
  <c r="P40" i="3"/>
  <c r="AX39" i="3"/>
  <c r="AP30" i="3" l="1"/>
  <c r="AL31" i="3" s="1"/>
  <c r="P41" i="3"/>
  <c r="AX40" i="3"/>
  <c r="AN31" i="3" l="1"/>
  <c r="AQ31" i="3" s="1"/>
  <c r="AO31" i="3"/>
  <c r="AM31" i="3"/>
  <c r="AX41" i="3"/>
  <c r="P42" i="3"/>
  <c r="AP31" i="3" l="1"/>
  <c r="AL32" i="3" s="1"/>
  <c r="AN32" i="3" s="1"/>
  <c r="AM32" i="3"/>
  <c r="AX42" i="3"/>
  <c r="P43" i="3"/>
  <c r="AO32" i="3" l="1"/>
  <c r="AQ32" i="3"/>
  <c r="AP32" i="3"/>
  <c r="AL33" i="3" s="1"/>
  <c r="AM33" i="3" s="1"/>
  <c r="AN33" i="3"/>
  <c r="AX43" i="3"/>
  <c r="P44" i="3"/>
  <c r="AO33" i="3" l="1"/>
  <c r="AQ33" i="3"/>
  <c r="AP33" i="3"/>
  <c r="AL34" i="3" s="1"/>
  <c r="AX44" i="3"/>
  <c r="P45" i="3"/>
  <c r="AM34" i="3" l="1"/>
  <c r="AN34" i="3"/>
  <c r="AO34" i="3"/>
  <c r="AX45" i="3"/>
  <c r="P46" i="3"/>
  <c r="AP34" i="3" l="1"/>
  <c r="AL35" i="3" s="1"/>
  <c r="AQ34" i="3"/>
  <c r="P47" i="3"/>
  <c r="AX46" i="3"/>
  <c r="AM35" i="3" l="1"/>
  <c r="AO35" i="3"/>
  <c r="AN35" i="3"/>
  <c r="P48" i="3"/>
  <c r="AX47" i="3"/>
  <c r="AQ35" i="3" l="1"/>
  <c r="AP35" i="3"/>
  <c r="AL36" i="3" s="1"/>
  <c r="AX48" i="3"/>
  <c r="P49" i="3"/>
  <c r="AM36" i="3" l="1"/>
  <c r="AN36" i="3"/>
  <c r="AQ36" i="3" s="1"/>
  <c r="AO36" i="3"/>
  <c r="AP36" i="3"/>
  <c r="AL37" i="3" s="1"/>
  <c r="AO37" i="3" s="1"/>
  <c r="AX49" i="3"/>
  <c r="P50" i="3"/>
  <c r="AN37" i="3" l="1"/>
  <c r="AP37" i="3" s="1"/>
  <c r="AL38" i="3" s="1"/>
  <c r="AM37" i="3"/>
  <c r="AQ37" i="3"/>
  <c r="AM38" i="3"/>
  <c r="AN38" i="3"/>
  <c r="AQ38" i="3" s="1"/>
  <c r="AO38" i="3"/>
  <c r="P51" i="3"/>
  <c r="AX50" i="3"/>
  <c r="AP38" i="3" l="1"/>
  <c r="AL39" i="3" s="1"/>
  <c r="AM39" i="3" s="1"/>
  <c r="P52" i="3"/>
  <c r="AX51" i="3"/>
  <c r="AN39" i="3" l="1"/>
  <c r="AQ39" i="3" s="1"/>
  <c r="AO39" i="3"/>
  <c r="AP39" i="3"/>
  <c r="AL40" i="3" s="1"/>
  <c r="AX52" i="3"/>
  <c r="P53" i="3"/>
  <c r="AO40" i="3" l="1"/>
  <c r="AN40" i="3"/>
  <c r="AM40" i="3"/>
  <c r="AX53" i="3"/>
  <c r="P54" i="3"/>
  <c r="AQ40" i="3" l="1"/>
  <c r="AP40" i="3"/>
  <c r="AL41" i="3" s="1"/>
  <c r="AX54" i="3"/>
  <c r="P55" i="3"/>
  <c r="AO41" i="3" l="1"/>
  <c r="AN41" i="3"/>
  <c r="AM41" i="3"/>
  <c r="AX55" i="3"/>
  <c r="P56" i="3"/>
  <c r="AQ41" i="3" l="1"/>
  <c r="AP41" i="3"/>
  <c r="AL42" i="3" s="1"/>
  <c r="AX56" i="3"/>
  <c r="AF85" i="3"/>
  <c r="AM42" i="3" l="1"/>
  <c r="AO42" i="3"/>
  <c r="AN42" i="3"/>
  <c r="AQ42" i="3" s="1"/>
  <c r="AF84" i="3"/>
  <c r="AG84" i="3" s="1"/>
  <c r="AG85" i="3"/>
  <c r="AF86" i="3" l="1"/>
  <c r="K48" i="3" s="1"/>
  <c r="D1014" i="1" s="1"/>
  <c r="AP42" i="3"/>
  <c r="AL43" i="3" s="1"/>
  <c r="D1027" i="2" l="1"/>
  <c r="Z87" i="3"/>
  <c r="K4" i="9" s="1"/>
  <c r="L38" i="9"/>
  <c r="K38" i="9"/>
  <c r="L37" i="9"/>
  <c r="AN43" i="3"/>
  <c r="AQ43" i="3" s="1"/>
  <c r="AM43" i="3"/>
  <c r="AO43" i="3"/>
  <c r="AP43" i="3" l="1"/>
  <c r="AL44" i="3" s="1"/>
  <c r="AM44" i="3" s="1"/>
  <c r="AO44" i="3" l="1"/>
  <c r="AN44" i="3"/>
  <c r="AQ44" i="3" l="1"/>
  <c r="AP44" i="3"/>
  <c r="AL45" i="3" s="1"/>
  <c r="AO45" i="3" l="1"/>
  <c r="AN45" i="3"/>
  <c r="AQ45" i="3" s="1"/>
  <c r="AM45" i="3"/>
  <c r="AP45" i="3" l="1"/>
  <c r="AL46" i="3" s="1"/>
  <c r="AO46" i="3" l="1"/>
  <c r="AM46" i="3"/>
  <c r="AN46" i="3"/>
  <c r="AQ46" i="3" s="1"/>
  <c r="AP46" i="3" l="1"/>
  <c r="AL47" i="3" s="1"/>
  <c r="AM47" i="3" s="1"/>
  <c r="AN47" i="3" l="1"/>
  <c r="AQ47" i="3" s="1"/>
  <c r="AO47" i="3"/>
  <c r="AP47" i="3" l="1"/>
  <c r="AL48" i="3" s="1"/>
  <c r="AM48" i="3" s="1"/>
  <c r="AN48" i="3" l="1"/>
  <c r="AQ48" i="3" s="1"/>
  <c r="AO48" i="3"/>
  <c r="AP48" i="3" l="1"/>
  <c r="AL49" i="3" s="1"/>
  <c r="AM49" i="3" s="1"/>
  <c r="AO49" i="3" l="1"/>
  <c r="AN49" i="3"/>
  <c r="AQ49" i="3" s="1"/>
  <c r="AP49" i="3" l="1"/>
  <c r="AL50" i="3" s="1"/>
  <c r="AN50" i="3" s="1"/>
  <c r="AQ50" i="3" s="1"/>
  <c r="AP50" i="3" l="1"/>
  <c r="AL51" i="3" s="1"/>
  <c r="AN51" i="3" s="1"/>
  <c r="AQ51" i="3" s="1"/>
  <c r="AO50" i="3"/>
  <c r="AM50" i="3"/>
  <c r="AP51" i="3" l="1"/>
  <c r="AL52" i="3" s="1"/>
  <c r="AO52" i="3" s="1"/>
  <c r="AM51" i="3"/>
  <c r="AO51" i="3"/>
  <c r="AM52" i="3" l="1"/>
  <c r="AN52" i="3"/>
  <c r="AQ52" i="3" s="1"/>
  <c r="AP52" i="3" l="1"/>
  <c r="AL53" i="3" s="1"/>
  <c r="AO53" i="3" l="1"/>
  <c r="AM53" i="3"/>
  <c r="AN53" i="3"/>
  <c r="AQ53" i="3" s="1"/>
  <c r="AP53" i="3" l="1"/>
  <c r="AL54" i="3" s="1"/>
  <c r="AO54" i="3" s="1"/>
  <c r="AM54" i="3" l="1"/>
  <c r="AN54" i="3"/>
  <c r="AQ54" i="3" s="1"/>
  <c r="AP54" i="3"/>
  <c r="AL55" i="3" s="1"/>
  <c r="AO55" i="3" s="1"/>
  <c r="AN55" i="3" l="1"/>
  <c r="AQ55" i="3" s="1"/>
  <c r="AM55" i="3"/>
  <c r="AP55" i="3" l="1"/>
  <c r="AL56" i="3" s="1"/>
  <c r="AO56" i="3" s="1"/>
  <c r="AM56" i="3"/>
  <c r="AN56" i="3"/>
  <c r="AQ56" i="3" s="1"/>
  <c r="AP56" i="3" l="1"/>
</calcChain>
</file>

<file path=xl/sharedStrings.xml><?xml version="1.0" encoding="utf-8"?>
<sst xmlns="http://schemas.openxmlformats.org/spreadsheetml/2006/main" count="13829" uniqueCount="8856">
  <si>
    <t>Cinema</t>
  </si>
  <si>
    <t>Capita</t>
  </si>
  <si>
    <t>Ceramic</t>
  </si>
  <si>
    <t>Brick</t>
  </si>
  <si>
    <t>Alumina</t>
  </si>
  <si>
    <t>Oceania</t>
  </si>
  <si>
    <t>Mountain</t>
  </si>
  <si>
    <t>Pacific</t>
  </si>
  <si>
    <t>Canada - Quebec</t>
  </si>
  <si>
    <t>Dominica</t>
  </si>
  <si>
    <t>Albania</t>
  </si>
  <si>
    <t>Andorra</t>
  </si>
  <si>
    <t>Argentina</t>
  </si>
  <si>
    <t>Armenia</t>
  </si>
  <si>
    <t>Bahrain</t>
  </si>
  <si>
    <t>Barbados</t>
  </si>
  <si>
    <t>Benin</t>
  </si>
  <si>
    <t>Bermuda</t>
  </si>
  <si>
    <t>Bosnia-Herzegovina</t>
  </si>
  <si>
    <t>Brunei Darussalam</t>
  </si>
  <si>
    <t>Chile</t>
  </si>
  <si>
    <t>China</t>
  </si>
  <si>
    <t>Colombia</t>
  </si>
  <si>
    <t>Fiji</t>
  </si>
  <si>
    <t>Grenada</t>
  </si>
  <si>
    <t>Haiti</t>
  </si>
  <si>
    <t>India</t>
  </si>
  <si>
    <t>Israel</t>
  </si>
  <si>
    <t>Jamaica</t>
  </si>
  <si>
    <t>Kuwait</t>
  </si>
  <si>
    <t>Malta</t>
  </si>
  <si>
    <t>Nepal</t>
  </si>
  <si>
    <t>Niue</t>
  </si>
  <si>
    <t>Palau</t>
  </si>
  <si>
    <t>Peru</t>
  </si>
  <si>
    <t>San Marino</t>
  </si>
  <si>
    <t>Senegal</t>
  </si>
  <si>
    <t>Taiwan</t>
  </si>
  <si>
    <t>Tokelau</t>
  </si>
  <si>
    <t>Uganda</t>
  </si>
  <si>
    <t>Zambia</t>
  </si>
  <si>
    <t>Biodiesel</t>
  </si>
  <si>
    <t>Sequoia</t>
  </si>
  <si>
    <t>/gal</t>
  </si>
  <si>
    <t>°C-d/d</t>
  </si>
  <si>
    <t>°F-d</t>
  </si>
  <si>
    <t>gal</t>
  </si>
  <si>
    <t>MJ/gal</t>
  </si>
  <si>
    <t>CPM</t>
  </si>
  <si>
    <t>Power Equipment</t>
  </si>
  <si>
    <t>FrUL
(W/m2/C)</t>
  </si>
  <si>
    <t>txtBaseOpPressure</t>
  </si>
  <si>
    <t>PAB</t>
  </si>
  <si>
    <t>PGK</t>
  </si>
  <si>
    <t>txtBQ1M1</t>
  </si>
  <si>
    <t>txtBQ11M1</t>
  </si>
  <si>
    <t>multBuild_spaceProcessHeat</t>
  </si>
  <si>
    <t>Prop coeff 3</t>
  </si>
  <si>
    <t>Delta T</t>
  </si>
  <si>
    <t>defaultRETPath</t>
  </si>
  <si>
    <t>Minimum</t>
  </si>
  <si>
    <t>Valid prop sched 5</t>
  </si>
  <si>
    <t>Valid prop sched 6</t>
  </si>
  <si>
    <t>Die RETScreen Software benutzt Microsoft Excel Makros. Aufgrund von Makro-Sicherheitseinstellungen auf manchen Computern müssen Sie möglicherweise "Makros aktivieren" wenn Sie die RETScreen-Datei in Excel öffnen.</t>
  </si>
  <si>
    <t>aHDD base case</t>
  </si>
  <si>
    <t>aHDD proposed case</t>
  </si>
  <si>
    <t>aCDD base case</t>
  </si>
  <si>
    <t>aCDD proposed case</t>
  </si>
  <si>
    <t>Operating Efficiency 3
(%)</t>
  </si>
  <si>
    <t>malawi</t>
  </si>
  <si>
    <t>txtBLF1M1</t>
  </si>
  <si>
    <t>Prop
Syst 12</t>
  </si>
  <si>
    <t>(update form)</t>
  </si>
  <si>
    <t>Refrigeration #5</t>
  </si>
  <si>
    <t>t/MWh</t>
  </si>
  <si>
    <t>Electr kW</t>
  </si>
  <si>
    <t>combHeatPw</t>
  </si>
  <si>
    <t>combCoolPw</t>
  </si>
  <si>
    <t>combHeatCool</t>
  </si>
  <si>
    <t>combCoolHeatPw</t>
  </si>
  <si>
    <t>Dutch - Nederlands</t>
  </si>
  <si>
    <t>HYBR array
sizing
(m2)</t>
  </si>
  <si>
    <t>Heating system</t>
  </si>
  <si>
    <t>Interm.</t>
  </si>
  <si>
    <t>h/d</t>
  </si>
  <si>
    <t>h/m</t>
  </si>
  <si>
    <t>L/d</t>
  </si>
  <si>
    <t>m³/d</t>
  </si>
  <si>
    <t>MJ/m²/d</t>
  </si>
  <si>
    <t>mph</t>
  </si>
  <si>
    <t>gal/min</t>
  </si>
  <si>
    <t>Motor</t>
  </si>
  <si>
    <t>txtS2WIOM</t>
  </si>
  <si>
    <t>Tc-Ta
Evans fig. 1
(C)</t>
  </si>
  <si>
    <t>N/A</t>
  </si>
  <si>
    <t>Average Daytime Temp Rise 3
(ºC)</t>
  </si>
  <si>
    <t>txtPCOpHours10</t>
  </si>
  <si>
    <t>txtPCOpHours8</t>
  </si>
  <si>
    <t>GHG Analysis</t>
  </si>
  <si>
    <t>m³/h</t>
  </si>
  <si>
    <t>r406aHCFC</t>
  </si>
  <si>
    <t>txtHR8p</t>
  </si>
  <si>
    <t>kgCO2/kg</t>
  </si>
  <si>
    <t>fiji</t>
  </si>
  <si>
    <t>finland</t>
  </si>
  <si>
    <t>Selain itu, pada beberapa komputer, Level Macro Security di Excel secara otomatis diset sangat tinggi. Dalam kasus ini anda perlu mengatur ulang security level menjadi medium atau tinggi dengan menggunakan "Tools, Macro, Security..." menu sebelum menggunakan RETScreen. Kalau tidak, software tidak akan beroperasi dengan benar</t>
  </si>
  <si>
    <t>Perangkat lunak RETScreen menggunakan macros Microsoft Excel. Oleh karena setting keamanan terdapat pada beberapa komputer, mungkin anda harus lakukan "enable macros (perkenankan macros)" ketika membuka file (berkas) RETScreen di Excel.</t>
  </si>
  <si>
    <t>ProcessElectricity</t>
  </si>
  <si>
    <t>lenght</t>
  </si>
  <si>
    <t>cboProp7TV2</t>
  </si>
  <si>
    <t>Scheduled Operating Hours Per Month (h)</t>
  </si>
  <si>
    <t>txtEnNOU</t>
  </si>
  <si>
    <t>txtEnDesc</t>
  </si>
  <si>
    <t>Base case energy consumption</t>
  </si>
  <si>
    <t>L</t>
  </si>
  <si>
    <t>lastHelpFilePath</t>
  </si>
  <si>
    <t>Prop
Sch 6</t>
  </si>
  <si>
    <t>Prop
Sch 7</t>
  </si>
  <si>
    <t>baseLoadHeatSys</t>
  </si>
  <si>
    <t>seasonEff</t>
  </si>
  <si>
    <t>soilType</t>
  </si>
  <si>
    <t>highPressSodium</t>
  </si>
  <si>
    <t>crossFlow</t>
  </si>
  <si>
    <t>freeCooling</t>
  </si>
  <si>
    <t>penstock1</t>
  </si>
  <si>
    <t>msgDBOpenError</t>
  </si>
  <si>
    <t>lithuania</t>
  </si>
  <si>
    <t>luxembourg</t>
  </si>
  <si>
    <t>macao</t>
  </si>
  <si>
    <t>Destrat Temperature</t>
  </si>
  <si>
    <t>Emission factors</t>
  </si>
  <si>
    <t>txtPOH6M1</t>
  </si>
  <si>
    <t>txtPOH5M1</t>
  </si>
  <si>
    <t>FL no extraction, heat available</t>
  </si>
  <si>
    <t>GWP</t>
  </si>
  <si>
    <t>Equivalent DC energy demand (kWh/d)</t>
  </si>
  <si>
    <t>Demand met through battery (kWh/d)</t>
  </si>
  <si>
    <t>GHG_Types</t>
  </si>
  <si>
    <t>S_Type</t>
  </si>
  <si>
    <t>insulatedongrade</t>
  </si>
  <si>
    <t>Appears in HotWater Method 1</t>
  </si>
  <si>
    <t>ES_Hydro_MFM</t>
  </si>
  <si>
    <t>m³/s</t>
  </si>
  <si>
    <t>K</t>
  </si>
  <si>
    <t>C</t>
  </si>
  <si>
    <t>txtBEL11M1</t>
  </si>
  <si>
    <t>WDWindheight</t>
  </si>
  <si>
    <t>Compressor</t>
  </si>
  <si>
    <t>Wind Speed</t>
  </si>
  <si>
    <t>Temp #5</t>
  </si>
  <si>
    <t>=HideCodeEM_Power_Back</t>
  </si>
  <si>
    <t>errorContactRETScreenFile</t>
  </si>
  <si>
    <t>Battery
temperature
(C)</t>
  </si>
  <si>
    <t>FuelConsumAsFired</t>
  </si>
  <si>
    <t>Tax Analysis</t>
  </si>
  <si>
    <t>RE credit</t>
  </si>
  <si>
    <t>climateDB</t>
  </si>
  <si>
    <t>visitNASADataSite</t>
  </si>
  <si>
    <t>help</t>
  </si>
  <si>
    <t>pasteData</t>
  </si>
  <si>
    <t>close</t>
  </si>
  <si>
    <t>concreteBlockL</t>
  </si>
  <si>
    <t>earthPlaster</t>
  </si>
  <si>
    <t>txtPSWinUV</t>
  </si>
  <si>
    <t>czech_republic</t>
  </si>
  <si>
    <t>Valid prop sched 1</t>
  </si>
  <si>
    <t>Valid prop sched 2</t>
  </si>
  <si>
    <t>pwOnly</t>
  </si>
  <si>
    <t>coolOnly</t>
  </si>
  <si>
    <t>megaJouleSymbol</t>
  </si>
  <si>
    <t>antarctica</t>
  </si>
  <si>
    <t>gibraltar</t>
  </si>
  <si>
    <t>greece</t>
  </si>
  <si>
    <t>txtIIC5M1</t>
  </si>
  <si>
    <t>cboSSW2W</t>
  </si>
  <si>
    <t>Intro pictures</t>
  </si>
  <si>
    <t>plywood</t>
  </si>
  <si>
    <t>polyisoFoil</t>
  </si>
  <si>
    <t>polysType1</t>
  </si>
  <si>
    <t>Wood - pellets</t>
  </si>
  <si>
    <t>congo_democratic_rep</t>
  </si>
  <si>
    <t>ES_Hydro_HM</t>
  </si>
  <si>
    <t>missingDataMsg</t>
  </si>
  <si>
    <t>pasteUnsucces</t>
  </si>
  <si>
    <t>externCnxMsg</t>
  </si>
  <si>
    <t>Base
EDH
1-6</t>
  </si>
  <si>
    <t>PV 3</t>
  </si>
  <si>
    <t>Project Type</t>
  </si>
  <si>
    <t>turks_and_caicos_islands</t>
  </si>
  <si>
    <t>Btu IT</t>
  </si>
  <si>
    <t>Length H</t>
  </si>
  <si>
    <t>HFC-413A</t>
  </si>
  <si>
    <t xml:space="preserve">HFC-417A </t>
  </si>
  <si>
    <t xml:space="preserve">HFC-419A </t>
  </si>
  <si>
    <t>Phần mềm RETScreen sử dụng macro Excel Microsoft. Do các tham số an toàn của một số máy tính , có thể bạn khởi động những "macro" khi mở tập tin RETScreen bằng Excel.</t>
  </si>
  <si>
    <t>miles</t>
  </si>
  <si>
    <t>Program RETScreen używa makr programu Microsoft Excel. Ze względu na ustawienia opcji bezpieczeństwa, na niektórych komputerach, trzeba użyć opcji "włącz makra" w trakcie uruchamiania plików RETScreen w programie Excel.</t>
  </si>
  <si>
    <t>iran</t>
  </si>
  <si>
    <t>iraq</t>
  </si>
  <si>
    <t>txtBaseOpHours</t>
  </si>
  <si>
    <t>txtPCQte10</t>
  </si>
  <si>
    <t>txtPCQte9</t>
  </si>
  <si>
    <t>txtPCQte8</t>
  </si>
  <si>
    <t>XOF</t>
  </si>
  <si>
    <t>BMD</t>
  </si>
  <si>
    <t>1000- 1875</t>
  </si>
  <si>
    <t>Start sheet value</t>
  </si>
  <si>
    <t>chkSS</t>
  </si>
  <si>
    <t>cboProp6SV2</t>
  </si>
  <si>
    <t>PLF no extract</t>
  </si>
  <si>
    <t>latitude</t>
  </si>
  <si>
    <t>longitude</t>
  </si>
  <si>
    <t>Messages</t>
  </si>
  <si>
    <t>txtPWURM21</t>
  </si>
  <si>
    <t>txtPWURM210</t>
  </si>
  <si>
    <t>heatingTempUnitFactor</t>
  </si>
  <si>
    <t>txtS2SIIC</t>
  </si>
  <si>
    <t>txtS2SIOM</t>
  </si>
  <si>
    <t>cboUnitOpHoursO2O1</t>
  </si>
  <si>
    <t>cboRCLUnit</t>
  </si>
  <si>
    <t>Base valid schedule method 1</t>
  </si>
  <si>
    <t>One Product</t>
  </si>
  <si>
    <t>First Solar</t>
  </si>
  <si>
    <t>pakistan</t>
  </si>
  <si>
    <t>FS_Declinning</t>
  </si>
  <si>
    <t>Engineering</t>
  </si>
  <si>
    <t>txtBHRM1</t>
  </si>
  <si>
    <t>txtHRM1IOM</t>
  </si>
  <si>
    <t>fuelRateAsFired</t>
  </si>
  <si>
    <t>meter</t>
  </si>
  <si>
    <t>Offgrid</t>
  </si>
  <si>
    <t>ref. p74 ref2 @ 45 EWT</t>
  </si>
  <si>
    <t>3-3</t>
  </si>
  <si>
    <t>3 gpm/ton</t>
  </si>
  <si>
    <t>Tbrh</t>
  </si>
  <si>
    <t>3-2</t>
  </si>
  <si>
    <t>EWTsum</t>
  </si>
  <si>
    <t>3-1</t>
  </si>
  <si>
    <t>txtPLF1M1</t>
  </si>
  <si>
    <t>%Local</t>
  </si>
  <si>
    <t>Foreign</t>
  </si>
  <si>
    <t>% of month above changeover temp</t>
  </si>
  <si>
    <t>Factor2</t>
  </si>
  <si>
    <t>Degreedays modified</t>
  </si>
  <si>
    <t>Base COT</t>
  </si>
  <si>
    <t>Base SET</t>
  </si>
  <si>
    <t>Temp</t>
  </si>
  <si>
    <t>Modifier temp</t>
  </si>
  <si>
    <t>HDD18</t>
  </si>
  <si>
    <t>CDD10</t>
  </si>
  <si>
    <t>Base
Coeff 12</t>
  </si>
  <si>
    <t>Prop
Coeff 1</t>
  </si>
  <si>
    <t>txtPCQte11</t>
  </si>
  <si>
    <t>txtPCQte1</t>
  </si>
  <si>
    <t>washer</t>
  </si>
  <si>
    <t>person</t>
  </si>
  <si>
    <t>Ref PC select</t>
  </si>
  <si>
    <t>Sky temperature</t>
  </si>
  <si>
    <t>KGS</t>
  </si>
  <si>
    <t>LAK</t>
  </si>
  <si>
    <t>LVL</t>
  </si>
  <si>
    <t>LBP</t>
  </si>
  <si>
    <t>guizhou</t>
  </si>
  <si>
    <t>Hainan</t>
  </si>
  <si>
    <t>Hebei</t>
  </si>
  <si>
    <t>Heilongjiang</t>
  </si>
  <si>
    <t>Henan</t>
  </si>
  <si>
    <t>Hubei</t>
  </si>
  <si>
    <t>Hunan</t>
  </si>
  <si>
    <t>Jiangsu</t>
  </si>
  <si>
    <t>Jiangxi</t>
  </si>
  <si>
    <t>Jilin</t>
  </si>
  <si>
    <t>Liaoning</t>
  </si>
  <si>
    <t>Neimenggu</t>
  </si>
  <si>
    <t>Ningxia</t>
  </si>
  <si>
    <t>Peking</t>
  </si>
  <si>
    <t>Leningrad</t>
  </si>
  <si>
    <t>leningrad</t>
  </si>
  <si>
    <t>Kursk</t>
  </si>
  <si>
    <t>kursk</t>
  </si>
  <si>
    <t>Kurgan</t>
  </si>
  <si>
    <t>kurgan</t>
  </si>
  <si>
    <t>Krasnoyarsk</t>
  </si>
  <si>
    <t>krasnoyarsk</t>
  </si>
  <si>
    <t>Khakasia</t>
  </si>
  <si>
    <t>khakasia</t>
  </si>
  <si>
    <t>Khabarovsk Krai</t>
  </si>
  <si>
    <t>khabarovskKrai</t>
  </si>
  <si>
    <t>Kemerovo</t>
  </si>
  <si>
    <t>kemerovo</t>
  </si>
  <si>
    <t>Karelia</t>
  </si>
  <si>
    <t>karelia</t>
  </si>
  <si>
    <t>Karachai-Cherkess Republic</t>
  </si>
  <si>
    <t>karachaiCherkessRepublic</t>
  </si>
  <si>
    <t>Average relative humidity</t>
  </si>
  <si>
    <t>kazakhstan</t>
  </si>
  <si>
    <t>kenya</t>
  </si>
  <si>
    <t>Slope b</t>
  </si>
  <si>
    <t>Impact graph</t>
  </si>
  <si>
    <t>Pumps #3</t>
  </si>
  <si>
    <t>Pumps #4</t>
  </si>
  <si>
    <t>Pumps #5</t>
  </si>
  <si>
    <t>Fans #1</t>
  </si>
  <si>
    <t>france</t>
  </si>
  <si>
    <t>haiti</t>
  </si>
  <si>
    <t>Methane content</t>
  </si>
  <si>
    <t>System 1</t>
  </si>
  <si>
    <t>shgcCg</t>
  </si>
  <si>
    <t>/tCO2</t>
  </si>
  <si>
    <t>/lb</t>
  </si>
  <si>
    <t>cboBase3TV2</t>
  </si>
  <si>
    <t>cboBase2TV2</t>
  </si>
  <si>
    <t>PLF, Output of gas turbine</t>
  </si>
  <si>
    <t>Soil properties PA-4, ref3</t>
  </si>
  <si>
    <t>L/s</t>
  </si>
  <si>
    <t>guinea_bissau</t>
  </si>
  <si>
    <t>nicaragua</t>
  </si>
  <si>
    <t>CA</t>
  </si>
  <si>
    <t>GHG</t>
  </si>
  <si>
    <t>Energy reduction</t>
  </si>
  <si>
    <t>Chageover</t>
  </si>
  <si>
    <t>txtVCICV1</t>
  </si>
  <si>
    <t>txtBWWinSHGC</t>
  </si>
  <si>
    <t>txtBEWinSHGC</t>
  </si>
  <si>
    <t>txtPSWinSSW</t>
  </si>
  <si>
    <t>txtPWWinA</t>
  </si>
  <si>
    <t>txtPEWinA</t>
  </si>
  <si>
    <t>cfmSymbol</t>
  </si>
  <si>
    <t>txtPLoading8</t>
  </si>
  <si>
    <t>txtPLoading7</t>
  </si>
  <si>
    <t>chkFBGBCPC</t>
  </si>
  <si>
    <t>txtPropSEH2M1</t>
  </si>
  <si>
    <t>Volume of excavation - rock</t>
  </si>
  <si>
    <t>txtPLoading3</t>
  </si>
  <si>
    <t>Wood land clearing</t>
  </si>
  <si>
    <t>glazed</t>
  </si>
  <si>
    <t>fixed</t>
  </si>
  <si>
    <t>temp</t>
  </si>
  <si>
    <t>totalPowerCapGTCC</t>
  </si>
  <si>
    <t>ns</t>
  </si>
  <si>
    <t>p2</t>
  </si>
  <si>
    <t>T2</t>
  </si>
  <si>
    <t>loadtype</t>
  </si>
  <si>
    <t>reopenMsg</t>
  </si>
  <si>
    <t>details</t>
  </si>
  <si>
    <t>earthGreenRoof</t>
  </si>
  <si>
    <t>clickHereToAccessFormMsg</t>
  </si>
  <si>
    <t>heatRecovered</t>
  </si>
  <si>
    <t>hotWaterUse</t>
  </si>
  <si>
    <t>hoursOfUseAirDem</t>
  </si>
  <si>
    <t>txtPRRM1</t>
  </si>
  <si>
    <t>Average albedo</t>
  </si>
  <si>
    <t>hydroTurb</t>
  </si>
  <si>
    <t>Fans #3</t>
  </si>
  <si>
    <t>costAnalysis</t>
  </si>
  <si>
    <t>Saturation
Vapor
Pressure
at pool temp.
(Pa)</t>
  </si>
  <si>
    <t>txtBEL10M1</t>
  </si>
  <si>
    <t>txtBEL9M1</t>
  </si>
  <si>
    <t>txtBEL8M1</t>
  </si>
  <si>
    <t>newMexico</t>
  </si>
  <si>
    <t>Nevada</t>
  </si>
  <si>
    <t>nevada</t>
  </si>
  <si>
    <t>newYork</t>
  </si>
  <si>
    <t>Ohio</t>
  </si>
  <si>
    <t>ohio</t>
  </si>
  <si>
    <t>Oklahoma</t>
  </si>
  <si>
    <t>kgCO2bykgSymbol</t>
  </si>
  <si>
    <t>barbados</t>
  </si>
  <si>
    <t>belarus</t>
  </si>
  <si>
    <t>belgium</t>
  </si>
  <si>
    <t>papua_new_guinea</t>
  </si>
  <si>
    <t>paraguay</t>
  </si>
  <si>
    <t>peru</t>
  </si>
  <si>
    <t>philippines</t>
  </si>
  <si>
    <t>squareMeterSymbol</t>
  </si>
  <si>
    <t>frULCoef</t>
  </si>
  <si>
    <t>HeatRecovery</t>
  </si>
  <si>
    <t>txtBLoading5</t>
  </si>
  <si>
    <t>flowControlType</t>
  </si>
  <si>
    <t>ground</t>
  </si>
  <si>
    <t>custom2</t>
  </si>
  <si>
    <t>custom3</t>
  </si>
  <si>
    <t>biomass</t>
  </si>
  <si>
    <t>belize</t>
  </si>
  <si>
    <t>txtF4p</t>
  </si>
  <si>
    <t>txtF3p</t>
  </si>
  <si>
    <t>txtF2p</t>
  </si>
  <si>
    <t>Важно известие</t>
  </si>
  <si>
    <t>Důležité upozornění</t>
  </si>
  <si>
    <t>optPlume</t>
  </si>
  <si>
    <t>Transmission line (7)</t>
  </si>
  <si>
    <t>HLF with extraction, power consumed</t>
  </si>
  <si>
    <t>txtBLF3M1</t>
  </si>
  <si>
    <t>txtBLF2M1</t>
  </si>
  <si>
    <t>Monthly average
daily clearness 
index (KT bar)
()</t>
  </si>
  <si>
    <t>Utilization
(%)</t>
  </si>
  <si>
    <t>Ave. G. Head</t>
  </si>
  <si>
    <t>txtBaseInstalledCapacity</t>
  </si>
  <si>
    <t>AOA</t>
  </si>
  <si>
    <t>furnace</t>
  </si>
  <si>
    <t>heater</t>
  </si>
  <si>
    <t>heatPump</t>
  </si>
  <si>
    <t>cboUnitOpHoursW2W1</t>
  </si>
  <si>
    <t>cboUnitOpHoursS2W1</t>
  </si>
  <si>
    <t>cboPS</t>
  </si>
  <si>
    <t>cboNAIM</t>
  </si>
  <si>
    <t>txtBCECL</t>
  </si>
  <si>
    <t>txtPCECL</t>
  </si>
  <si>
    <t>cboPCD</t>
  </si>
  <si>
    <t>Civil works foreign cost factor</t>
  </si>
  <si>
    <t>Heat only system</t>
  </si>
  <si>
    <t>txtELp</t>
  </si>
  <si>
    <t>txtLFb</t>
  </si>
  <si>
    <t>temp rise C</t>
  </si>
  <si>
    <t>txtPTM27</t>
  </si>
  <si>
    <t>the last curve type ID pasted by the hydro form</t>
  </si>
  <si>
    <t>offGrid</t>
  </si>
  <si>
    <t>txtBLoadSize6</t>
  </si>
  <si>
    <t>GHG use</t>
  </si>
  <si>
    <t>Power sales</t>
  </si>
  <si>
    <t>Energy Inc</t>
  </si>
  <si>
    <t>txtBNDA</t>
  </si>
  <si>
    <t>txtBSDRV</t>
  </si>
  <si>
    <t>txtDescription</t>
  </si>
  <si>
    <t>txtHR5p</t>
  </si>
  <si>
    <t>=HideCodeES_Cool_Peak</t>
  </si>
  <si>
    <t>south</t>
  </si>
  <si>
    <t>proxyGauge</t>
  </si>
  <si>
    <t>modelCopyright</t>
  </si>
  <si>
    <t>For heating and cooling impact</t>
  </si>
  <si>
    <t>Renewable energy delivered (seas. of use) (kWh)</t>
  </si>
  <si>
    <t>meterPerSecond</t>
  </si>
  <si>
    <t>Prop coeff</t>
  </si>
  <si>
    <t>usesPerDay</t>
  </si>
  <si>
    <t>variable</t>
  </si>
  <si>
    <t>watertowater</t>
  </si>
  <si>
    <t>Micro</t>
  </si>
  <si>
    <t>VarTab08</t>
  </si>
  <si>
    <t>Prop
Coeff 2</t>
  </si>
  <si>
    <t>coolongTempUnitFactor</t>
  </si>
  <si>
    <t>compEquipSheet</t>
  </si>
  <si>
    <t>BuildingEnvelope</t>
  </si>
  <si>
    <t>Percent of nominal 25C discharge capacity delivered by battery as a function of discharge rate and battery temperature</t>
  </si>
  <si>
    <t>lang_tool_landfillGas</t>
  </si>
  <si>
    <t>3-5</t>
  </si>
  <si>
    <t>3-4</t>
  </si>
  <si>
    <t>tuvalu</t>
  </si>
  <si>
    <t>Energy savings</t>
  </si>
  <si>
    <t>Resistance</t>
  </si>
  <si>
    <t>minerFiberL</t>
  </si>
  <si>
    <t>minerFiberM</t>
  </si>
  <si>
    <t>polyur</t>
  </si>
  <si>
    <t>Equivalent DC demand (kWh/day)</t>
  </si>
  <si>
    <t>Cooling Project</t>
  </si>
  <si>
    <t>BatTemp index</t>
  </si>
  <si>
    <t>PLF with extraction to heat load</t>
  </si>
  <si>
    <t>txtPWWA</t>
  </si>
  <si>
    <t>txtPEWA</t>
  </si>
  <si>
    <t>This row contains formulae that are copied below</t>
  </si>
  <si>
    <t>cboProp5TV2</t>
  </si>
  <si>
    <t>country</t>
  </si>
  <si>
    <t>provState</t>
  </si>
  <si>
    <t>r218FC</t>
  </si>
  <si>
    <t>strawbale</t>
  </si>
  <si>
    <t>txtPWWinSHGC</t>
  </si>
  <si>
    <t>txtPEWinSHGC</t>
  </si>
  <si>
    <t>txtPNWinSHGC</t>
  </si>
  <si>
    <t>txtHR4p</t>
  </si>
  <si>
    <t>customAnaly</t>
  </si>
  <si>
    <t>Heat generated by Interm #2</t>
  </si>
  <si>
    <t>Önemli uyarı</t>
  </si>
  <si>
    <t>Air density</t>
  </si>
  <si>
    <t>kg/m³</t>
  </si>
  <si>
    <t>DN 250</t>
  </si>
  <si>
    <t>kg/m3 @ 0C</t>
  </si>
  <si>
    <t>Cool single</t>
  </si>
  <si>
    <t>cboROHUnit</t>
  </si>
  <si>
    <t>txtOM</t>
  </si>
  <si>
    <t>Bin width</t>
  </si>
  <si>
    <t>txtSTIIC</t>
  </si>
  <si>
    <t>txtSTIOMS</t>
  </si>
  <si>
    <t>apply</t>
  </si>
  <si>
    <t>Peak heating load</t>
  </si>
  <si>
    <t>Total fuel if same</t>
  </si>
  <si>
    <t>F</t>
  </si>
  <si>
    <t>SC - PLF no extraction</t>
  </si>
  <si>
    <t>WDRegion</t>
  </si>
  <si>
    <t>Unit switch</t>
  </si>
  <si>
    <t>r12CFC</t>
  </si>
  <si>
    <t>r22HCFC</t>
  </si>
  <si>
    <t>r23HFC</t>
  </si>
  <si>
    <t>colombia</t>
  </si>
  <si>
    <t>r32HFC</t>
  </si>
  <si>
    <t>r113CFC</t>
  </si>
  <si>
    <t>r409aHCFC</t>
  </si>
  <si>
    <t>r410aHFC</t>
  </si>
  <si>
    <t>refrigerantrate</t>
  </si>
  <si>
    <t>mozambique</t>
  </si>
  <si>
    <t>Bulgarian - Български</t>
  </si>
  <si>
    <t>Daytime Weekend Operating Hours Per Month (h)</t>
  </si>
  <si>
    <t>Incentive</t>
  </si>
  <si>
    <t>Life end</t>
  </si>
  <si>
    <t>cboSSM2</t>
  </si>
  <si>
    <t>wattPerMeter2Symbol</t>
  </si>
  <si>
    <t>Efficiency</t>
  </si>
  <si>
    <t>txtIC6</t>
  </si>
  <si>
    <t>txtIC5</t>
  </si>
  <si>
    <t>txtDescH2M1</t>
  </si>
  <si>
    <t>txtIncrCostH2M1</t>
  </si>
  <si>
    <t>Hide cooling process monthly</t>
  </si>
  <si>
    <t>BuildingEnvelope #4</t>
  </si>
  <si>
    <t>Language selection</t>
  </si>
  <si>
    <t>LangList</t>
  </si>
  <si>
    <t>cbbxMakeUpWRedUnit</t>
  </si>
  <si>
    <t>txtBaseSteamFlow</t>
  </si>
  <si>
    <t>Dagdag, sa ilang komputer, ang antas ng Macro Security sa Excel ay otomatikong nasa "pinakamataas". Kung sakali, bago gamitin ang RETScreen, maaring mailagay ito a "katamtaman" o "mataas" gamit ang "Tools, Macro, Security…" menu. Kungdi, hindi magiging maayos ang takbo ng sopwayr.</t>
  </si>
  <si>
    <t>CZK</t>
  </si>
  <si>
    <t>N2O</t>
  </si>
  <si>
    <t>Additional calculations and conditional formats</t>
  </si>
  <si>
    <t>X
(DB 20.2.1)</t>
  </si>
  <si>
    <t>puerto_rico</t>
  </si>
  <si>
    <t>qatar</t>
  </si>
  <si>
    <t>korea_south</t>
  </si>
  <si>
    <t>moldova</t>
  </si>
  <si>
    <t>reunion</t>
  </si>
  <si>
    <t>romania</t>
  </si>
  <si>
    <t>building North base case</t>
  </si>
  <si>
    <t>cboBaseSSV1</t>
  </si>
  <si>
    <t>WDAveragetemp</t>
  </si>
  <si>
    <t>txtDesc6</t>
  </si>
  <si>
    <t xml:space="preserve"> [%RH]</t>
  </si>
  <si>
    <t>s/m</t>
  </si>
  <si>
    <t>txtPLF11M1</t>
  </si>
  <si>
    <t>Monthly average daily utilizability 
(DB 2.24.2a)
( )</t>
  </si>
  <si>
    <t>Sizing load
(MJ)</t>
  </si>
  <si>
    <t>casement</t>
  </si>
  <si>
    <t>perliteLoos</t>
  </si>
  <si>
    <t>turnValveLowUnload</t>
  </si>
  <si>
    <t>processHeat</t>
  </si>
  <si>
    <t>optLeak</t>
  </si>
  <si>
    <t>East window PC</t>
  </si>
  <si>
    <t>Combined cooling &amp; power</t>
  </si>
  <si>
    <t>Currency symbols</t>
  </si>
  <si>
    <t>cantUseFeatureMsg</t>
  </si>
  <si>
    <t>dbFileNotFoundMsg</t>
  </si>
  <si>
    <t>retCHPProj</t>
  </si>
  <si>
    <t>txtPropCombustionAir</t>
  </si>
  <si>
    <t>txtHR2b</t>
  </si>
  <si>
    <t>txtHR1b</t>
  </si>
  <si>
    <t>cboProp1TV2</t>
  </si>
  <si>
    <t>% / °F</t>
  </si>
  <si>
    <t>VarTab10</t>
  </si>
  <si>
    <t>Max Extraction</t>
  </si>
  <si>
    <t>cboRAUnit</t>
  </si>
  <si>
    <t>txtBNValueB</t>
  </si>
  <si>
    <t>thailand</t>
  </si>
  <si>
    <t>timor_leste</t>
  </si>
  <si>
    <t>togo</t>
  </si>
  <si>
    <t>Vertical Rs</t>
  </si>
  <si>
    <t>Cp</t>
  </si>
  <si>
    <t>Cosine of zenith angle 2.5 hours from noon (DB 1.6.5)
( )</t>
  </si>
  <si>
    <t>Total EEM savings</t>
  </si>
  <si>
    <t>solarWaterHeater</t>
  </si>
  <si>
    <t>honduras</t>
  </si>
  <si>
    <t>cboPT</t>
  </si>
  <si>
    <t>cboBT</t>
  </si>
  <si>
    <t>d</t>
  </si>
  <si>
    <t>Cash Inflows</t>
  </si>
  <si>
    <t>kJ/KWh</t>
  </si>
  <si>
    <t>txtHEEp</t>
  </si>
  <si>
    <t>Project Costs and Savings</t>
  </si>
  <si>
    <t>Heating Equipment</t>
  </si>
  <si>
    <t>Proposed heating system</t>
  </si>
  <si>
    <t>SteamLosses #4</t>
  </si>
  <si>
    <t>chkRBCPC</t>
  </si>
  <si>
    <t>goalSeek</t>
  </si>
  <si>
    <t>txtBFBGRV</t>
  </si>
  <si>
    <t>cboProp11TV2</t>
  </si>
  <si>
    <t>HideES_PV_DLC</t>
  </si>
  <si>
    <t>cboBase9SV2</t>
  </si>
  <si>
    <t>cboBase8SV2</t>
  </si>
  <si>
    <t>saudi_arabia</t>
  </si>
  <si>
    <t>txtPLoadSize4</t>
  </si>
  <si>
    <t>Average day of the month</t>
  </si>
  <si>
    <t>Summary - all types</t>
  </si>
  <si>
    <t>HideCodeCA_heat</t>
  </si>
  <si>
    <t>trainingSupport</t>
  </si>
  <si>
    <t>internForums</t>
  </si>
  <si>
    <t>Motors #3</t>
  </si>
  <si>
    <t>Motors #4</t>
  </si>
  <si>
    <t>heatDelivered</t>
  </si>
  <si>
    <t>Combined heating &amp; cooling</t>
  </si>
  <si>
    <t>cboProp11SV2</t>
  </si>
  <si>
    <t>None</t>
  </si>
  <si>
    <t>Define power system</t>
  </si>
  <si>
    <t>Customer premium income (rebate)</t>
  </si>
  <si>
    <t>PC HD MWh</t>
  </si>
  <si>
    <t>PC HP</t>
  </si>
  <si>
    <t>PC FT</t>
  </si>
  <si>
    <t>txtHEEb</t>
  </si>
  <si>
    <t>txtFAp</t>
  </si>
  <si>
    <t>hungary</t>
  </si>
  <si>
    <t>txtS2SHEE</t>
  </si>
  <si>
    <t>heatSys4</t>
  </si>
  <si>
    <t>TOP</t>
  </si>
  <si>
    <t>txtDM22</t>
  </si>
  <si>
    <t>aquaculture</t>
  </si>
  <si>
    <t>obCoolingImpactNo</t>
  </si>
  <si>
    <t>txtBLoading10</t>
  </si>
  <si>
    <t>txtBLoading9</t>
  </si>
  <si>
    <t>txtF10b</t>
  </si>
  <si>
    <t>As-fired calorific value of fuel Btu/lb</t>
  </si>
  <si>
    <t>=HideCodeEM_Heat_Peak</t>
  </si>
  <si>
    <t>HideCodeCA_cool</t>
  </si>
  <si>
    <t>Genset</t>
  </si>
  <si>
    <t>gasTurb</t>
  </si>
  <si>
    <t>Drop-down list -heating fuel type</t>
  </si>
  <si>
    <t>iceland</t>
  </si>
  <si>
    <t>india</t>
  </si>
  <si>
    <t>samoa</t>
  </si>
  <si>
    <t>EE_CB20</t>
  </si>
  <si>
    <t>minOutputRange</t>
  </si>
  <si>
    <t>cboHeatingSysO2O</t>
  </si>
  <si>
    <t>Including degree-day independent heating</t>
  </si>
  <si>
    <t xml:space="preserve">   </t>
  </si>
  <si>
    <t>Conductivity</t>
  </si>
  <si>
    <t>Diffusivity</t>
  </si>
  <si>
    <t>Appliances #1</t>
  </si>
  <si>
    <t>Appliances #2</t>
  </si>
  <si>
    <t>Type</t>
  </si>
  <si>
    <t>cp * cv</t>
  </si>
  <si>
    <t>m3</t>
  </si>
  <si>
    <t>chkFAM2</t>
  </si>
  <si>
    <t>PC fuel demand MWh</t>
  </si>
  <si>
    <t>Turbine runner diameter (d) - Trial</t>
  </si>
  <si>
    <t>°N</t>
  </si>
  <si>
    <t>T3</t>
  </si>
  <si>
    <t>-</t>
  </si>
  <si>
    <t>MJ/t</t>
  </si>
  <si>
    <t>Крім того, на деяких комп'ютерах рівень безпеки на макроси автоматично налаштований на "дуже високий". В цьому випадку перед тим як використовувати RETscreen, слід змінити налаштування рівня безпеки на "середній" або "високий " шляхом входу в меню.</t>
  </si>
  <si>
    <t>absorption</t>
  </si>
  <si>
    <t>Valid prop schedule</t>
  </si>
  <si>
    <t>Pipe size and cost calculations</t>
  </si>
  <si>
    <t>mJPerM2PerDay</t>
  </si>
  <si>
    <t>emisAnalysis</t>
  </si>
  <si>
    <t>finAnalysis</t>
  </si>
  <si>
    <t>tools</t>
  </si>
  <si>
    <t>sheet1</t>
  </si>
  <si>
    <t>sheet2</t>
  </si>
  <si>
    <t>Fuel cost PC</t>
  </si>
  <si>
    <t>Fuel cost BC</t>
  </si>
  <si>
    <t>cool_list</t>
  </si>
  <si>
    <t>solarCollEff</t>
  </si>
  <si>
    <t>Lang_Yr</t>
  </si>
  <si>
    <t>Discount rate</t>
  </si>
  <si>
    <t xml:space="preserve">Програмата RETScreen използва макроси за Microsoft Еxcel. Заради настройките на макро защитата на някои компютри може да се наложи да се избере опция "разреши макроси", когато отваряте RETScreen file в Excel. </t>
  </si>
  <si>
    <t>Power                                  (kW)</t>
  </si>
  <si>
    <t>Sched 4</t>
  </si>
  <si>
    <t>Sched 5</t>
  </si>
  <si>
    <t>Sched 6</t>
  </si>
  <si>
    <t>Base
Sch 10</t>
  </si>
  <si>
    <t>Design conditions:</t>
  </si>
  <si>
    <t>HeatingSystem #1</t>
  </si>
  <si>
    <t>Project capacity</t>
  </si>
  <si>
    <t>EER</t>
  </si>
  <si>
    <t>Base system select</t>
  </si>
  <si>
    <t>txtPWDA</t>
  </si>
  <si>
    <t>txtPEDA</t>
  </si>
  <si>
    <t>Min temp</t>
  </si>
  <si>
    <t>Actual Temp Rise 1
(ºC)</t>
  </si>
  <si>
    <t>txtPLF3M1</t>
  </si>
  <si>
    <t>txtPLF2M1</t>
  </si>
  <si>
    <t>Bangladesh</t>
  </si>
  <si>
    <t>Botswana</t>
  </si>
  <si>
    <t>SteamP</t>
  </si>
  <si>
    <t>t</t>
  </si>
  <si>
    <t>ISK</t>
  </si>
  <si>
    <t>INR</t>
  </si>
  <si>
    <t>fluot12highMB</t>
  </si>
  <si>
    <t>fluot8magnetic</t>
  </si>
  <si>
    <t>Επιπλέον, σε κάποιους υπολογιστές, το επίπεδο ασφαλείας Μακροεντολών στο Excel, έχει αυτομάτως ρυθμιστεί "πολύ υψηλό". Σε αυτή την περίπτωση, θα χρειαστεί να επανα-ρυθμίσετε το επίπεδο ασφαλείας σε "μέτριο" ή "υψηλό" με τη χρήση της επιλογής μενού "Εργαλεία, Μακροεντολές, Ασφάλεια...", πριν τη χρήση του RETScreen. Διαφορετικά, το λογισμικό δεν θα λειτουργήσει σωστά.</t>
  </si>
  <si>
    <t>txtBTM24</t>
  </si>
  <si>
    <t>txtF11b</t>
  </si>
  <si>
    <t>txtDescriptionM1</t>
  </si>
  <si>
    <t>cboOHUnitM2</t>
  </si>
  <si>
    <t>txtPELM2</t>
  </si>
  <si>
    <t>txtBELM2</t>
  </si>
  <si>
    <t>germany</t>
  </si>
  <si>
    <t>ghana</t>
  </si>
  <si>
    <t>saint_vincent_and_the_grenadines</t>
  </si>
  <si>
    <t>Air vapor 
pressure
(Pa)</t>
  </si>
  <si>
    <t>Financial Parameters</t>
  </si>
  <si>
    <t>txtBEL3M1</t>
  </si>
  <si>
    <t>Pipe thickness at intake</t>
  </si>
  <si>
    <t>°K</t>
  </si>
  <si>
    <t>Base
Coeff 10</t>
  </si>
  <si>
    <t>Base
Coeff 11</t>
  </si>
  <si>
    <t>cboBaseSRCV1</t>
  </si>
  <si>
    <t>cboBaseHSV1</t>
  </si>
  <si>
    <t>Lux</t>
  </si>
  <si>
    <t>next</t>
  </si>
  <si>
    <t>somalia</t>
  </si>
  <si>
    <t>cboPLFTM2</t>
  </si>
  <si>
    <t>cboBLFTM2</t>
  </si>
  <si>
    <t>The last valid path for the user's .ret file (note: default RETScreen.ret file in defaultDBPath)</t>
  </si>
  <si>
    <t>the last gauge ID pasted by the hydro form</t>
  </si>
  <si>
    <t>Appears in many model</t>
  </si>
  <si>
    <t>English - Anglais</t>
  </si>
  <si>
    <t xml:space="preserve"> </t>
  </si>
  <si>
    <t>$</t>
  </si>
  <si>
    <t>Units</t>
  </si>
  <si>
    <t>chkWBCPC</t>
  </si>
  <si>
    <t>txtIICELM2</t>
  </si>
  <si>
    <t>Matched demand met directly by PV (kWh/d)</t>
  </si>
  <si>
    <t>mm Hg (0°C)</t>
  </si>
  <si>
    <t>weight</t>
  </si>
  <si>
    <t>Average Daytime Temp Rise 
(ºC)</t>
  </si>
  <si>
    <t>Heat kW</t>
  </si>
  <si>
    <t>VALUE</t>
  </si>
  <si>
    <t>=IF(H140=R140,"","check")</t>
  </si>
  <si>
    <t>El software RETScreen utiliza macros de Microsoft Excel. Debido a los ajustes de seguridad de macros en algunas computadoras, usted podría  tener que "habilitar macros" cuando abra el archivo Excel de RETScreen.</t>
  </si>
  <si>
    <t>mailToURL</t>
  </si>
  <si>
    <t>etextbookURL</t>
  </si>
  <si>
    <t>calendarURL</t>
  </si>
  <si>
    <t>B=TSR backend turbine flow</t>
  </si>
  <si>
    <t>Off-grid</t>
  </si>
  <si>
    <t>Cooling</t>
  </si>
  <si>
    <t>Absorption</t>
  </si>
  <si>
    <t>Desiccant</t>
  </si>
  <si>
    <t>Evaporation
coefficient,
pool cover off
(kg/m2/Pa)</t>
  </si>
  <si>
    <t>yard3Symbol</t>
  </si>
  <si>
    <t>seeMaps</t>
  </si>
  <si>
    <t>Hours</t>
  </si>
  <si>
    <t>txtHR12b</t>
  </si>
  <si>
    <t>txtHR11b</t>
  </si>
  <si>
    <t>Actual Temp Rise 
(ºC)</t>
  </si>
  <si>
    <t>Average temp</t>
  </si>
  <si>
    <t>Location ID</t>
  </si>
  <si>
    <t>Load duration calculations</t>
  </si>
  <si>
    <t>%</t>
  </si>
  <si>
    <t>kWh/m²/d</t>
  </si>
  <si>
    <t>kPa</t>
  </si>
  <si>
    <t>°C-d</t>
  </si>
  <si>
    <t>m/s</t>
  </si>
  <si>
    <t>Energy</t>
  </si>
  <si>
    <t>hp</t>
  </si>
  <si>
    <r>
      <t>Hydrogen sulphide H</t>
    </r>
    <r>
      <rPr>
        <vertAlign val="subscript"/>
        <sz val="10"/>
        <rFont val="Arial"/>
        <family val="2"/>
      </rPr>
      <t>2</t>
    </r>
    <r>
      <rPr>
        <sz val="10"/>
        <rFont val="Arial"/>
        <family val="2"/>
      </rPr>
      <t>S</t>
    </r>
  </si>
  <si>
    <t>heatCap</t>
  </si>
  <si>
    <t>Mayotte</t>
  </si>
  <si>
    <t>Honduras</t>
  </si>
  <si>
    <t>Hong Kong</t>
  </si>
  <si>
    <t>if greater than 0 electricity used</t>
  </si>
  <si>
    <t>PDEmail_Button</t>
  </si>
  <si>
    <t>ref1:IGSHPA</t>
  </si>
  <si>
    <t>pump</t>
  </si>
  <si>
    <t>MRO</t>
  </si>
  <si>
    <t>MUR</t>
  </si>
  <si>
    <t>BP 3160 S</t>
  </si>
  <si>
    <t>windURL</t>
  </si>
  <si>
    <t>webregistrationURL</t>
  </si>
  <si>
    <t>txtBRA</t>
  </si>
  <si>
    <t>RETScreen4 2012-06-01</t>
  </si>
  <si>
    <t>RETScreen4.xls - 1:27:08 PM - 6/1/2012</t>
  </si>
  <si>
    <t>gal/d</t>
  </si>
  <si>
    <t>Gas</t>
  </si>
  <si>
    <t>Net Head Range (min)</t>
  </si>
  <si>
    <t>Net Head Range (max)</t>
  </si>
  <si>
    <t>Maximum gate flow (at min head )</t>
  </si>
  <si>
    <t>Maximum gate flow (at max head )</t>
  </si>
  <si>
    <t>Output Range (shaft) (min)</t>
  </si>
  <si>
    <t>Output Range (shaft) (max)</t>
  </si>
  <si>
    <t>Tower Weight</t>
  </si>
  <si>
    <t>Cut-in Wind Speed</t>
  </si>
  <si>
    <t>Cut-out Wind Speed</t>
  </si>
  <si>
    <t>Wind Turbine Rated Power</t>
  </si>
  <si>
    <t>Turbine Weight</t>
  </si>
  <si>
    <t>Rotor Speed</t>
  </si>
  <si>
    <t>Quebec</t>
  </si>
  <si>
    <t>All-season swimming pool</t>
  </si>
  <si>
    <t>Anaerobic Digestion Biogass Engine</t>
  </si>
  <si>
    <t>Biogas Fired Microturbine at Hog Farm</t>
  </si>
  <si>
    <t>Biomass Combustion System</t>
  </si>
  <si>
    <t>Biomass Power Plant at Sawmill</t>
  </si>
  <si>
    <t>Biphase geothermal turbine</t>
  </si>
  <si>
    <t>Cattle water pumping</t>
  </si>
  <si>
    <t>CDM Landfill Gas Power Plant</t>
  </si>
  <si>
    <t>Chilled Water Storage for Government Complex</t>
  </si>
  <si>
    <t>Commercial Building with Efficient Chiller</t>
  </si>
  <si>
    <t>Community - District Heating</t>
  </si>
  <si>
    <t>Community water pumping</t>
  </si>
  <si>
    <t>Connecting to district heating</t>
  </si>
  <si>
    <t>District heating retrofit</t>
  </si>
  <si>
    <t>Gas-Fired Absorption Chillers in Times Square</t>
  </si>
  <si>
    <t>Grid-connected wind farm</t>
  </si>
  <si>
    <t>Grid-connected windfarm</t>
  </si>
  <si>
    <t>Heat Pump with Independant Fresh Air Circuit</t>
  </si>
  <si>
    <t>Heat Recovery with Boiler Stack Economizers</t>
  </si>
  <si>
    <t>High Efficiency Boilers at City Hall</t>
  </si>
  <si>
    <t>High-Head</t>
  </si>
  <si>
    <t>Hotel</t>
  </si>
  <si>
    <t>Hydro Quebec Geothermal Heat Pump</t>
  </si>
  <si>
    <t>Landfill Power Plant</t>
  </si>
  <si>
    <t>Large BIPV system</t>
  </si>
  <si>
    <t>Large wind turbines</t>
  </si>
  <si>
    <t>Local - District heating</t>
  </si>
  <si>
    <t>Microturbine for Utilities</t>
  </si>
  <si>
    <t>Milk Processing Plant Retrofit</t>
  </si>
  <si>
    <t>Multi-unit condominium</t>
  </si>
  <si>
    <t>Municipal swimming pool</t>
  </si>
  <si>
    <t>Off-grid cottage</t>
  </si>
  <si>
    <t>Office and warehouse</t>
  </si>
  <si>
    <t>Offshore windfarm</t>
  </si>
  <si>
    <t>Pre-fabricated house</t>
  </si>
  <si>
    <t>Remote school</t>
  </si>
  <si>
    <t>Residential off-grid micro hydro system</t>
  </si>
  <si>
    <t>Telecom (battery)</t>
  </si>
  <si>
    <t>Telecom (genset battery)</t>
  </si>
  <si>
    <t>Thermal Power Plant (Exhaust Reburning)</t>
  </si>
  <si>
    <t>University District Heating and Cooling</t>
  </si>
  <si>
    <t>Wind farm integrated into hydroelectric power system</t>
  </si>
  <si>
    <t>Wind farm repowering</t>
  </si>
  <si>
    <t>Window comparison</t>
  </si>
  <si>
    <t>BIOH 3</t>
  </si>
  <si>
    <t>GSHP 3</t>
  </si>
  <si>
    <t>PSH 3</t>
  </si>
  <si>
    <t>SAH 3</t>
  </si>
  <si>
    <t>SWH 3</t>
  </si>
  <si>
    <t>WIND 3</t>
  </si>
  <si>
    <t>Out</t>
  </si>
  <si>
    <t>Makeup water preheating</t>
  </si>
  <si>
    <t>Dairy plant</t>
  </si>
  <si>
    <t>Montenegro</t>
  </si>
  <si>
    <t>Australian Capital Territory</t>
  </si>
  <si>
    <t>Metal</t>
  </si>
  <si>
    <t>Methyl bromide</t>
  </si>
  <si>
    <t>Methyl chloroform</t>
  </si>
  <si>
    <t>Sulphur hexafluoride</t>
  </si>
  <si>
    <t>Nitrogen trifluoride</t>
  </si>
  <si>
    <t>Dimethylether</t>
  </si>
  <si>
    <t xml:space="preserve">HCFC-420A </t>
  </si>
  <si>
    <t>kg/gal</t>
  </si>
  <si>
    <t>t/gal</t>
  </si>
  <si>
    <t>Weather buoy</t>
  </si>
  <si>
    <t>kWh/household</t>
  </si>
  <si>
    <t>kWh/capita</t>
  </si>
  <si>
    <t>NH3</t>
  </si>
  <si>
    <t>Nuclear</t>
  </si>
  <si>
    <t>Solar</t>
  </si>
  <si>
    <t>a=extracted steam flow</t>
  </si>
  <si>
    <t>DN 400 +</t>
  </si>
  <si>
    <t>l/day</t>
  </si>
  <si>
    <t>Monthly average
daily radiation
on horizontal
surface
(kWh/m²/d)</t>
  </si>
  <si>
    <t>EE_CB25</t>
  </si>
  <si>
    <t>txtBaseTemp</t>
  </si>
  <si>
    <t>^enq</t>
  </si>
  <si>
    <t>cboProp9SV2</t>
  </si>
  <si>
    <t>txtF6b</t>
  </si>
  <si>
    <t>txtF5b</t>
  </si>
  <si>
    <t>txtBLoadSize3</t>
  </si>
  <si>
    <t>txtBLoadSize2</t>
  </si>
  <si>
    <t>cboBaseMTF</t>
  </si>
  <si>
    <t>indoor</t>
  </si>
  <si>
    <t>txtBAM1</t>
  </si>
  <si>
    <t>txtBARLM1</t>
  </si>
  <si>
    <t>canada2006</t>
  </si>
  <si>
    <t>Hawaii</t>
  </si>
  <si>
    <t>hawaii</t>
  </si>
  <si>
    <t>Yevenki</t>
  </si>
  <si>
    <t>yevenki</t>
  </si>
  <si>
    <t>Yaroslavl</t>
  </si>
  <si>
    <t>yaroslavl</t>
  </si>
  <si>
    <t>Yamalo-Nenets</t>
  </si>
  <si>
    <t>yamaloNenets</t>
  </si>
  <si>
    <t>Yakutia</t>
  </si>
  <si>
    <t>yakutia</t>
  </si>
  <si>
    <t>Voronezh</t>
  </si>
  <si>
    <t>voronezh</t>
  </si>
  <si>
    <t>Vologda</t>
  </si>
  <si>
    <t>vologda</t>
  </si>
  <si>
    <t>Volgograd</t>
  </si>
  <si>
    <t>volgograd</t>
  </si>
  <si>
    <t>Vladimir</t>
  </si>
  <si>
    <t>vladimir</t>
  </si>
  <si>
    <t>Ust-Ordyn Buryat</t>
  </si>
  <si>
    <t>ustOrdynBuryat</t>
  </si>
  <si>
    <t>Ulyanovsk</t>
  </si>
  <si>
    <t>ulyanovsk</t>
  </si>
  <si>
    <t>Udmurtia</t>
  </si>
  <si>
    <t>udmurtia</t>
  </si>
  <si>
    <t>Tyva</t>
  </si>
  <si>
    <t>tyva</t>
  </si>
  <si>
    <t>Tyumen</t>
  </si>
  <si>
    <t>tyumen</t>
  </si>
  <si>
    <t>Tver</t>
  </si>
  <si>
    <t>tver</t>
  </si>
  <si>
    <t>Tula</t>
  </si>
  <si>
    <t>tula</t>
  </si>
  <si>
    <t>Tomsk</t>
  </si>
  <si>
    <t>tomsk</t>
  </si>
  <si>
    <t>Taymir</t>
  </si>
  <si>
    <t>taymir</t>
  </si>
  <si>
    <t>Tatarstan</t>
  </si>
  <si>
    <t>tatarstan</t>
  </si>
  <si>
    <t>Tambov</t>
  </si>
  <si>
    <t>tambov</t>
  </si>
  <si>
    <t>Sverdlovsk</t>
  </si>
  <si>
    <t>sverdlovsk</t>
  </si>
  <si>
    <t>Stavropol</t>
  </si>
  <si>
    <t>stavropol</t>
  </si>
  <si>
    <t>Smolensk</t>
  </si>
  <si>
    <t>smolensk</t>
  </si>
  <si>
    <t>r402bHCFC</t>
  </si>
  <si>
    <t>r403aHCFC</t>
  </si>
  <si>
    <t xml:space="preserve">
Available 
PV array
output
(kWh/d)</t>
  </si>
  <si>
    <t>lang_tool_firedFuel</t>
  </si>
  <si>
    <t>Warning messages</t>
  </si>
  <si>
    <t>April</t>
  </si>
  <si>
    <t>May</t>
  </si>
  <si>
    <t>EnergyStar</t>
  </si>
  <si>
    <t>txtBOH9M1</t>
  </si>
  <si>
    <t>French  -  Français</t>
  </si>
  <si>
    <t>Energy used for matched load (kWh)</t>
  </si>
  <si>
    <t>Wood waste - demolition</t>
  </si>
  <si>
    <t>Wood waste - plywood</t>
  </si>
  <si>
    <t>HideCodeES_Extract_ST2</t>
  </si>
  <si>
    <t>Fuel cost</t>
  </si>
  <si>
    <t>SI values</t>
  </si>
  <si>
    <t>IP units</t>
  </si>
  <si>
    <t>IP values</t>
  </si>
  <si>
    <r>
      <t xml:space="preserve">◄ </t>
    </r>
    <r>
      <rPr>
        <sz val="10"/>
        <rFont val="Arial"/>
        <family val="2"/>
      </rPr>
      <t>SensRecalc</t>
    </r>
  </si>
  <si>
    <t>Evaporative
losses
(MJ/d)</t>
  </si>
  <si>
    <t>Heating intermediate</t>
  </si>
  <si>
    <t>From TSSA Ontario</t>
  </si>
  <si>
    <t>Prop total solar gain</t>
  </si>
  <si>
    <t>literPerDaySymbol</t>
  </si>
  <si>
    <t>literPerMinuteSymbol</t>
  </si>
  <si>
    <t>lux</t>
  </si>
  <si>
    <t>txtBCOpHours2</t>
  </si>
  <si>
    <t>txtBLoadSize11</t>
  </si>
  <si>
    <t>txtBLoadSize1</t>
  </si>
  <si>
    <t>r142bHCFC</t>
  </si>
  <si>
    <t>r143HFC</t>
  </si>
  <si>
    <t>¤</t>
  </si>
  <si>
    <t>¡</t>
  </si>
  <si>
    <t>txtPNOFM2</t>
  </si>
  <si>
    <t>cape_verde</t>
  </si>
  <si>
    <t>cayman_islands</t>
  </si>
  <si>
    <t>central_african_republic</t>
  </si>
  <si>
    <t>chad</t>
  </si>
  <si>
    <t>Heating impact</t>
  </si>
  <si>
    <t>Cooling impact</t>
  </si>
  <si>
    <t>Geothermal power #1</t>
  </si>
  <si>
    <t>zoomIn</t>
  </si>
  <si>
    <t>zoomOut</t>
  </si>
  <si>
    <t>autoAshRemoval</t>
  </si>
  <si>
    <t>Conditional format</t>
  </si>
  <si>
    <t>Off-grid power</t>
  </si>
  <si>
    <t>sawdust</t>
  </si>
  <si>
    <t>3-6</t>
  </si>
  <si>
    <t>txtPropFlueGas1</t>
  </si>
  <si>
    <t>Feb</t>
  </si>
  <si>
    <t>intervalRange</t>
  </si>
  <si>
    <t>manufacturer</t>
  </si>
  <si>
    <t>Pumps</t>
  </si>
  <si>
    <t>Fans</t>
  </si>
  <si>
    <t>Overall
PV array
efficiency
(%)</t>
  </si>
  <si>
    <t>km/h</t>
  </si>
  <si>
    <t>Feasibility study (1)</t>
  </si>
  <si>
    <t>no carry</t>
  </si>
  <si>
    <t>Method 2</t>
  </si>
  <si>
    <t>Double, Clear</t>
  </si>
  <si>
    <t>btuPerHourPerSquareFeet</t>
  </si>
  <si>
    <t>hpElectric</t>
  </si>
  <si>
    <t>Prop
Coeff 4</t>
  </si>
  <si>
    <t>Prop
Coeff 5</t>
  </si>
  <si>
    <t>Arabic -   العربية</t>
  </si>
  <si>
    <t>Bengali - বাংলা</t>
  </si>
  <si>
    <t>checbox</t>
  </si>
  <si>
    <t>logs</t>
  </si>
  <si>
    <t>combCyclePlant</t>
  </si>
  <si>
    <t>coolCapkW</t>
  </si>
  <si>
    <t>COPclg @ 77 F EWT ARI 330</t>
  </si>
  <si>
    <t>Heavy Soil - Dry</t>
  </si>
  <si>
    <t>Equivalent cool.cap. with Lh</t>
  </si>
  <si>
    <t>Theoretical</t>
  </si>
  <si>
    <t>sanMarino</t>
  </si>
  <si>
    <t>svalbardIsland</t>
  </si>
  <si>
    <t>kg</t>
  </si>
  <si>
    <t>Equipment selection</t>
  </si>
  <si>
    <t>Intermediate power load</t>
  </si>
  <si>
    <t>LN_zero</t>
  </si>
  <si>
    <t>LN_FD</t>
  </si>
  <si>
    <t>Delaware</t>
  </si>
  <si>
    <t>Florida</t>
  </si>
  <si>
    <t>Idaho</t>
  </si>
  <si>
    <t>idaho</t>
  </si>
  <si>
    <t>tasmania</t>
  </si>
  <si>
    <t>Victoria</t>
  </si>
  <si>
    <t>victoria</t>
  </si>
  <si>
    <t>HFC-508A</t>
  </si>
  <si>
    <t>HFC-508B</t>
  </si>
  <si>
    <t>westernAustralia</t>
  </si>
  <si>
    <t>Alagoas</t>
  </si>
  <si>
    <t>alagoas</t>
  </si>
  <si>
    <t>australianCapitalTerritory</t>
  </si>
  <si>
    <t>peakHeatLoad</t>
  </si>
  <si>
    <t>Intro Sheet</t>
  </si>
  <si>
    <t>cboUnitOpHoursO2O2</t>
  </si>
  <si>
    <t>OMR</t>
  </si>
  <si>
    <t>overwriteMsg</t>
  </si>
  <si>
    <t>As fired fuel consumption</t>
  </si>
  <si>
    <t>ZMK</t>
  </si>
  <si>
    <t>Minimum steam pressure for formulas</t>
  </si>
  <si>
    <t>US ton</t>
  </si>
  <si>
    <t>¥</t>
  </si>
  <si>
    <t>IDR</t>
  </si>
  <si>
    <t>IQD</t>
  </si>
  <si>
    <t>ILS</t>
  </si>
  <si>
    <t>JMD</t>
  </si>
  <si>
    <t>DN 125</t>
  </si>
  <si>
    <t>Fuel/el.</t>
  </si>
  <si>
    <t>Monthly average
daily radiation
on horizontal
surface 
(seas. of use)
(MJ/m²)</t>
  </si>
  <si>
    <t>AJ</t>
  </si>
  <si>
    <t>AK</t>
  </si>
  <si>
    <t>BG</t>
  </si>
  <si>
    <t>Gas calculation</t>
  </si>
  <si>
    <t>coolingload</t>
  </si>
  <si>
    <t>txtD9M1</t>
  </si>
  <si>
    <t>systemselection</t>
  </si>
  <si>
    <t>Clear sky
radiation
(Swinbank)
(W/m2)</t>
  </si>
  <si>
    <t>txtPEWinSSS</t>
  </si>
  <si>
    <t>txtPNWinSSS</t>
  </si>
  <si>
    <t>VarTab06</t>
  </si>
  <si>
    <t>VarTab07</t>
  </si>
  <si>
    <t>torontoCan</t>
  </si>
  <si>
    <t>txtFAValueM1</t>
  </si>
  <si>
    <t>CDD</t>
  </si>
  <si>
    <t>HDD</t>
  </si>
  <si>
    <t>Quantity</t>
  </si>
  <si>
    <t>GJ/h available</t>
  </si>
  <si>
    <t>cboOpHoursUnit</t>
  </si>
  <si>
    <t>PC seasonal eff</t>
  </si>
  <si>
    <t>transpiredPlate</t>
  </si>
  <si>
    <t>Number of Weekend Days (2005 as ref year)</t>
  </si>
  <si>
    <t>$/GJ</t>
  </si>
  <si>
    <t>RSI ceiling</t>
  </si>
  <si>
    <t>txtPWWinSSS</t>
  </si>
  <si>
    <t>DC</t>
  </si>
  <si>
    <t>Initial Flowrate Estimate (L/s/m²)</t>
  </si>
  <si>
    <t>Custom</t>
  </si>
  <si>
    <t>/mmBtu</t>
  </si>
  <si>
    <t>/MWh</t>
  </si>
  <si>
    <t>/t</t>
  </si>
  <si>
    <t>r600aIsobutane</t>
  </si>
  <si>
    <t>r717Ammonia</t>
  </si>
  <si>
    <t>r744CarbonDiox</t>
  </si>
  <si>
    <t>pTrip</t>
  </si>
  <si>
    <t>rtSymbol</t>
  </si>
  <si>
    <t>rtPer1000ft2Symbol</t>
  </si>
  <si>
    <t>atmPressureUnitFactor</t>
  </si>
  <si>
    <t>txtBLoading4</t>
  </si>
  <si>
    <t>txtBLoading3</t>
  </si>
  <si>
    <t>Japanese - 日本語</t>
  </si>
  <si>
    <t>Korean - 한국어</t>
  </si>
  <si>
    <t>cdd</t>
  </si>
  <si>
    <t>Unit</t>
  </si>
  <si>
    <t>Battery sizing</t>
  </si>
  <si>
    <t>FL no extraction max produced</t>
  </si>
  <si>
    <t>Min heat</t>
  </si>
  <si>
    <t>ProcessHeat #2</t>
  </si>
  <si>
    <t>HideCodeES_HeatST2</t>
  </si>
  <si>
    <t>txtHRM1IIC</t>
  </si>
  <si>
    <t>cboSTMM1</t>
  </si>
  <si>
    <t>cboODM1Unit</t>
  </si>
  <si>
    <t>rotaryScrew</t>
  </si>
  <si>
    <t>high</t>
  </si>
  <si>
    <t>hospital</t>
  </si>
  <si>
    <t>hotelmotel</t>
  </si>
  <si>
    <t>cell P231 used to be K231 it was moved to correct the result in K231</t>
  </si>
  <si>
    <t>Building Envelope #2</t>
  </si>
  <si>
    <t>Building Envelope #3</t>
  </si>
  <si>
    <t>Ratio of tilted rad. to horz. rad. at noon (DB 2.24.2) ( )</t>
  </si>
  <si>
    <t>txtNOUM23</t>
  </si>
  <si>
    <t>language3Translate</t>
  </si>
  <si>
    <t>fuelRate</t>
  </si>
  <si>
    <t>=HideCodeEM_Heat_Int2H</t>
  </si>
  <si>
    <t>GHG reduction credit rate</t>
  </si>
  <si>
    <t>Serbian - Srpski</t>
  </si>
  <si>
    <t>Swahili - Kiswahili</t>
  </si>
  <si>
    <t>Ukranian - Украї́нська</t>
  </si>
  <si>
    <t>Urdu - اردو</t>
  </si>
  <si>
    <t>Average Daytime Temp Rise 2
(ºC)</t>
  </si>
  <si>
    <t>Cooling Equipment</t>
  </si>
  <si>
    <t>Light Soil - Damp</t>
  </si>
  <si>
    <t>cbbxS1FlowUnitO2O</t>
  </si>
  <si>
    <t>Electricity impact</t>
  </si>
  <si>
    <t>m³/h/m²</t>
  </si>
  <si>
    <t>900 - 1500</t>
  </si>
  <si>
    <t>80 - 300</t>
  </si>
  <si>
    <t>txtUPDM26</t>
  </si>
  <si>
    <t>cboS2HeatCapacityUnitO2O</t>
  </si>
  <si>
    <t>cboS2UnitDensity</t>
  </si>
  <si>
    <t>txtW2WS1Tmp</t>
  </si>
  <si>
    <t>diesel2Oil</t>
  </si>
  <si>
    <t>oil6</t>
  </si>
  <si>
    <t>fiberglass</t>
  </si>
  <si>
    <t>Cost of fuel units</t>
  </si>
  <si>
    <t>ref3 table6.1 ex. 6.1</t>
  </si>
  <si>
    <t>EWTwin</t>
  </si>
  <si>
    <t>floor area</t>
  </si>
  <si>
    <t>Cp Air</t>
  </si>
  <si>
    <t>Hours of Sunlight</t>
  </si>
  <si>
    <t>Utilization</t>
  </si>
  <si>
    <t>Critical PV absorption level (W)</t>
  </si>
  <si>
    <t>Fuel savings MWh</t>
  </si>
  <si>
    <t>txtBWDA</t>
  </si>
  <si>
    <t>Power not deliverable due to size -FL</t>
  </si>
  <si>
    <t>HotWater #1</t>
  </si>
  <si>
    <t>cboAM1Unit</t>
  </si>
  <si>
    <t>BC H FC</t>
  </si>
  <si>
    <t>HideCodeCA_BP</t>
  </si>
  <si>
    <t>CountryRegion</t>
  </si>
  <si>
    <t>millimeterSymbol</t>
  </si>
  <si>
    <t>inchSymbol</t>
  </si>
  <si>
    <t>ventilation</t>
  </si>
  <si>
    <t>systemreheat</t>
  </si>
  <si>
    <t>freshair</t>
  </si>
  <si>
    <t>txtPLoading5</t>
  </si>
  <si>
    <t>Ventilation #2</t>
  </si>
  <si>
    <t>yes</t>
  </si>
  <si>
    <t>Full power output, with extraction</t>
  </si>
  <si>
    <t>ft²</t>
  </si>
  <si>
    <t>cboUnitOpHoursS2S2</t>
  </si>
  <si>
    <t>D142</t>
  </si>
  <si>
    <t>IIC</t>
  </si>
  <si>
    <t>IOM</t>
  </si>
  <si>
    <t>Service
hot water 
monthly load
including losses
(MJ)</t>
  </si>
  <si>
    <t>Power for cooling</t>
  </si>
  <si>
    <t>Heavy Soil - Damp</t>
  </si>
  <si>
    <t>Negative symbol</t>
  </si>
  <si>
    <t>txtPCOpHours11</t>
  </si>
  <si>
    <t>COPhtg @ 32 F EWT ARI 330</t>
  </si>
  <si>
    <t>saint_kitts_and_nevis</t>
  </si>
  <si>
    <t>Valid base sched 11</t>
  </si>
  <si>
    <t>txtCD</t>
  </si>
  <si>
    <t>txtCBPCL</t>
  </si>
  <si>
    <t>txtCPPCL</t>
  </si>
  <si>
    <t>MW/unit (for purposes of formula only)</t>
  </si>
  <si>
    <t>detailedType</t>
  </si>
  <si>
    <t>Evaporative
losses,
pool cover on
(MJ/d)</t>
  </si>
  <si>
    <t>stdAnaly</t>
  </si>
  <si>
    <t>Valid prop cooling system</t>
  </si>
  <si>
    <t>Suggested 
collector 
area 
(pool)
(m2)</t>
  </si>
  <si>
    <r>
      <t>◄</t>
    </r>
    <r>
      <rPr>
        <sz val="10"/>
        <rFont val="Arial"/>
        <family val="2"/>
      </rPr>
      <t xml:space="preserve"> </t>
    </r>
    <r>
      <rPr>
        <sz val="10"/>
        <rFont val="Arial"/>
        <family val="2"/>
      </rPr>
      <t>SensRange</t>
    </r>
  </si>
  <si>
    <t>Valid base sched 1</t>
  </si>
  <si>
    <t>milePerHour</t>
  </si>
  <si>
    <t>singBuild_multiSpaceCool</t>
  </si>
  <si>
    <t>Permafrost 1</t>
  </si>
  <si>
    <t>depth</t>
  </si>
  <si>
    <t>Frequency</t>
  </si>
  <si>
    <t>galonSymbol</t>
  </si>
  <si>
    <t>gigaJouleSymbol</t>
  </si>
  <si>
    <t>hourSymbol</t>
  </si>
  <si>
    <t>carByDaySymbol</t>
  </si>
  <si>
    <t>apartment</t>
  </si>
  <si>
    <t>feet</t>
  </si>
  <si>
    <t>System Characteristics</t>
  </si>
  <si>
    <t>Factor for reaction turbine (i.e. not impulse) - (0.46 if d&lt;1.8, 0.41 if d&gt;1.8)</t>
  </si>
  <si>
    <t>Inlet water
temperature
(C)</t>
  </si>
  <si>
    <t>Site conditions section</t>
  </si>
  <si>
    <t>◄ RiskParam</t>
  </si>
  <si>
    <r>
      <t>▼</t>
    </r>
    <r>
      <rPr>
        <sz val="10"/>
        <rFont val="Arial"/>
        <family val="2"/>
      </rPr>
      <t>S_Param</t>
    </r>
  </si>
  <si>
    <t>kg CO2/GJ based on LHV</t>
  </si>
  <si>
    <t>3500 - 5500</t>
  </si>
  <si>
    <t>commercial</t>
  </si>
  <si>
    <t>airConditioner</t>
  </si>
  <si>
    <t>lang_tool_UserDefiniedFuel</t>
  </si>
  <si>
    <t>txtPOH10M1</t>
  </si>
  <si>
    <t>txtPOH9M1</t>
  </si>
  <si>
    <t>txtPOH8M1</t>
  </si>
  <si>
    <t>cementStucco</t>
  </si>
  <si>
    <t>Fuel consumption -HLF</t>
  </si>
  <si>
    <t>km</t>
  </si>
  <si>
    <t>Wood waste (average)</t>
  </si>
  <si>
    <t>compMonthInputs</t>
  </si>
  <si>
    <t>B</t>
  </si>
  <si>
    <t>A</t>
  </si>
  <si>
    <t>txtD2M1</t>
  </si>
  <si>
    <t>Therm UK, From The Units of Measurement Regulations</t>
  </si>
  <si>
    <t>Actual Temp Rise 2
(ºC)</t>
  </si>
  <si>
    <t>Factor</t>
  </si>
  <si>
    <t>&gt; 625 kW</t>
  </si>
  <si>
    <t>Nat gas</t>
  </si>
  <si>
    <t>Biogas production m3/kg</t>
  </si>
  <si>
    <t>coolingsystemdesc</t>
  </si>
  <si>
    <t>crack</t>
  </si>
  <si>
    <t>squareFeetSymbol</t>
  </si>
  <si>
    <t>Monthly average
daily radiation
on horizontal
surface
(MJ/m²/d)</t>
  </si>
  <si>
    <t>Amount</t>
  </si>
  <si>
    <t>txtPWURM25</t>
  </si>
  <si>
    <t>txtPWURM24</t>
  </si>
  <si>
    <t>txtPWURM23</t>
  </si>
  <si>
    <t>txtPWURM22</t>
  </si>
  <si>
    <t>chkWBGBCPC</t>
  </si>
  <si>
    <t>cboWBGAUnit</t>
  </si>
  <si>
    <t>txtIC11</t>
  </si>
  <si>
    <t>rockAtDamSite</t>
  </si>
  <si>
    <t>Other #1</t>
  </si>
  <si>
    <t>Other #2</t>
  </si>
  <si>
    <t>=HideCodeLN_CPT</t>
  </si>
  <si>
    <t>D87</t>
  </si>
  <si>
    <t>Max power</t>
  </si>
  <si>
    <t>Mixture</t>
  </si>
  <si>
    <t>Soil Resistance annex B, ref1</t>
  </si>
  <si>
    <t>1 Cal</t>
  </si>
  <si>
    <t>J</t>
  </si>
  <si>
    <t>&lt;= 100 kW</t>
  </si>
  <si>
    <t>RSI wall</t>
  </si>
  <si>
    <t>Installation of renewable energy equipment (5)</t>
  </si>
  <si>
    <t>Energy consumption</t>
  </si>
  <si>
    <t>cboUnitOpHoursS2W2</t>
  </si>
  <si>
    <t>txtBaseDuty</t>
  </si>
  <si>
    <t>r134aHFC</t>
  </si>
  <si>
    <t>Multiple buildings</t>
  </si>
  <si>
    <t>Electricity export rate</t>
  </si>
  <si>
    <t>cboBaseFCTF</t>
  </si>
  <si>
    <t>Monthly average
daily radiation
on horizontal
surface
(MJ/m²)</t>
  </si>
  <si>
    <t>buildingenvelope</t>
  </si>
  <si>
    <t>door</t>
  </si>
  <si>
    <t>area</t>
  </si>
  <si>
    <t>east</t>
  </si>
  <si>
    <t>operatinghours</t>
  </si>
  <si>
    <t>capacitycontrol</t>
  </si>
  <si>
    <t>cboPropSSV1</t>
  </si>
  <si>
    <t>EE_CB2</t>
  </si>
  <si>
    <t>Other Inc</t>
  </si>
  <si>
    <t>Incentives and grants</t>
  </si>
  <si>
    <t>combHeatPwAnalyChap</t>
  </si>
  <si>
    <r>
      <t xml:space="preserve">TCFin </t>
    </r>
    <r>
      <rPr>
        <sz val="10"/>
        <rFont val="Arial"/>
        <family val="2"/>
      </rPr>
      <t>►</t>
    </r>
  </si>
  <si>
    <t>Motel</t>
  </si>
  <si>
    <t>illuminLevelVariance</t>
  </si>
  <si>
    <t>projectCoolPw</t>
  </si>
  <si>
    <t>projectHeatCool</t>
  </si>
  <si>
    <t>projectCoolHeatPw</t>
  </si>
  <si>
    <t>netPresentValueNPV</t>
  </si>
  <si>
    <t>fossilFuel</t>
  </si>
  <si>
    <t>height</t>
  </si>
  <si>
    <t>sweptArea</t>
  </si>
  <si>
    <t>width</t>
  </si>
  <si>
    <t>Days</t>
  </si>
  <si>
    <t>Italian - Italiano</t>
  </si>
  <si>
    <t>ImpUnits</t>
  </si>
  <si>
    <t>heatOnly</t>
  </si>
  <si>
    <t>MXN</t>
  </si>
  <si>
    <t>txtS2WS2Tmp</t>
  </si>
  <si>
    <t>cbbxS2TempUnitS2W</t>
  </si>
  <si>
    <t>building North proposed case</t>
  </si>
  <si>
    <t>Reciprocating engine</t>
  </si>
  <si>
    <t>Solar water heater</t>
  </si>
  <si>
    <t>Canada-frost</t>
  </si>
  <si>
    <t>txtF8p</t>
  </si>
  <si>
    <t>txtF7p</t>
  </si>
  <si>
    <t>txtF6p</t>
  </si>
  <si>
    <r>
      <t>m</t>
    </r>
    <r>
      <rPr>
        <vertAlign val="superscript"/>
        <sz val="10"/>
        <rFont val="Arial"/>
        <family val="2"/>
      </rPr>
      <t>³</t>
    </r>
    <r>
      <rPr>
        <sz val="10"/>
        <rFont val="Arial"/>
        <family val="2"/>
      </rPr>
      <t>/year</t>
    </r>
  </si>
  <si>
    <t>PV central grid</t>
  </si>
  <si>
    <t>User defined</t>
  </si>
  <si>
    <t>Wind central grid</t>
  </si>
  <si>
    <t>tanzania</t>
  </si>
  <si>
    <t>formatWillTakeFewSeconds</t>
  </si>
  <si>
    <t>doYouProceed</t>
  </si>
  <si>
    <t>24/7</t>
  </si>
  <si>
    <t>Average</t>
  </si>
  <si>
    <t>quad. fit, réf.4</t>
  </si>
  <si>
    <t>COPh</t>
  </si>
  <si>
    <t>cboLTM1</t>
  </si>
  <si>
    <t>BtuPerlbPerFarenheit</t>
  </si>
  <si>
    <t>energyEfficiency</t>
  </si>
  <si>
    <t>incandescent</t>
  </si>
  <si>
    <t>led</t>
  </si>
  <si>
    <t>lowPressSodium</t>
  </si>
  <si>
    <t>mercuryvapour</t>
  </si>
  <si>
    <t>refrigerantcondenstempmin</t>
  </si>
  <si>
    <t>LN_GridType</t>
  </si>
  <si>
    <t>Financial Feasibility</t>
  </si>
  <si>
    <t>Operating Efficiency (%)</t>
  </si>
  <si>
    <t>Canada - Alberta</t>
  </si>
  <si>
    <t>Canada - Ontario</t>
  </si>
  <si>
    <t>Canada - Saskatchewan</t>
  </si>
  <si>
    <t>Seychelles</t>
  </si>
  <si>
    <t>txtIIC7</t>
  </si>
  <si>
    <t>txtIIC6</t>
  </si>
  <si>
    <t>ActiveMap</t>
  </si>
  <si>
    <t>Public release 2008-12-09</t>
  </si>
  <si>
    <t>800 - 1440</t>
  </si>
  <si>
    <t>DN 600</t>
  </si>
  <si>
    <t>Substation, and transformer (8)</t>
  </si>
  <si>
    <t>Available energy kWh</t>
  </si>
  <si>
    <t>txtPNWinSSW</t>
  </si>
  <si>
    <t>/GJ</t>
  </si>
  <si>
    <t>/kg</t>
  </si>
  <si>
    <t>/kWh</t>
  </si>
  <si>
    <t>load</t>
  </si>
  <si>
    <t>Radiative
heat loss
(MJ/d)</t>
  </si>
  <si>
    <t>cboOHM1</t>
  </si>
  <si>
    <t>txtBOHM1</t>
  </si>
  <si>
    <t>Space heating impact</t>
  </si>
  <si>
    <t>txtPLoadSize2</t>
  </si>
  <si>
    <t>Wood waste - telephone poles</t>
  </si>
  <si>
    <t>txtBNWinUV</t>
  </si>
  <si>
    <t>Power load following-PLF</t>
  </si>
  <si>
    <t>cbbxOpHoursUnit</t>
  </si>
  <si>
    <t>cboProp10TV2</t>
  </si>
  <si>
    <t>cboProp9TV2</t>
  </si>
  <si>
    <t>cboProp8TV2</t>
  </si>
  <si>
    <t>Temp #1</t>
  </si>
  <si>
    <t>Temp #2</t>
  </si>
  <si>
    <t>Το λογισμικό RETScreen χρησιμοποιεί μακροεντολές του Microsoft Excell. Λόγω προδιαγραφών ασφάλειας των μακροεντολών σε κάποιους υπολογιστές πιθανώς να πρέπει να γίνει "ενεργοποίηση μακροεντολών" κατά το άνοιγμα ενός αρχείου RETScreen στο Excell.</t>
  </si>
  <si>
    <t>Lights #4</t>
  </si>
  <si>
    <t>Lights #5</t>
  </si>
  <si>
    <t>txtDM1</t>
  </si>
  <si>
    <t>Electricity</t>
  </si>
  <si>
    <t>txtBEWRV</t>
  </si>
  <si>
    <t>Prop
Sch 5</t>
  </si>
  <si>
    <t>cbbxHeatRecoveryUnitO2O</t>
  </si>
  <si>
    <t>Conductivity (W/m-°C)</t>
  </si>
  <si>
    <t>portugal</t>
  </si>
  <si>
    <t>Steam</t>
  </si>
  <si>
    <t>Combined Cycle CHP with Landfill Gas</t>
  </si>
  <si>
    <t>HYDRO 3</t>
  </si>
  <si>
    <t>incremOMSave</t>
  </si>
  <si>
    <t>initialCost</t>
  </si>
  <si>
    <t>Central-grid &amp; internal load</t>
  </si>
  <si>
    <t>Cosine of 
incidence
angle at
noon
(0-1)</t>
  </si>
  <si>
    <t>Base Occ Reheat V</t>
  </si>
  <si>
    <t>txtD10M1</t>
  </si>
  <si>
    <t>refrigMedTemp</t>
  </si>
  <si>
    <t>triple</t>
  </si>
  <si>
    <t>argon</t>
  </si>
  <si>
    <t>industrial</t>
  </si>
  <si>
    <t>singBuild_multiSpaceProcessHeat</t>
  </si>
  <si>
    <t>trainingMaterial</t>
  </si>
  <si>
    <t>Cloud amount
from diffuse fraction
(0-1)</t>
  </si>
  <si>
    <t>Impact</t>
  </si>
  <si>
    <t>BIOT</t>
  </si>
  <si>
    <t>virginIsland</t>
  </si>
  <si>
    <t>Prop
Coeff 6</t>
  </si>
  <si>
    <t>Prop
Coeff 7</t>
  </si>
  <si>
    <t>txtBCOpHours5</t>
  </si>
  <si>
    <t>specificRunOffSymbol</t>
  </si>
  <si>
    <t>forwardCurvedFan</t>
  </si>
  <si>
    <t>compactfluoscrewin</t>
  </si>
  <si>
    <t>fluot8electronic</t>
  </si>
  <si>
    <t>fluot5electronic</t>
  </si>
  <si>
    <t>fluot12electronic</t>
  </si>
  <si>
    <t>In addition, on some computers, the Macro Security Level in Excel is automatically set to "very high."  In this case, you will have to re-set the security level to "medium" or "high" by using the "Tools, Macro, Security..." menu selection before using RETScreen. Otherwise, the software will not function properly.</t>
  </si>
  <si>
    <t>Prop
EDH
7-12</t>
  </si>
  <si>
    <t>Base
EDC
1-6</t>
  </si>
  <si>
    <t>superheattemp</t>
  </si>
  <si>
    <t>heatRecoveryEff</t>
  </si>
  <si>
    <t>Drop-down list - Existing or alternative main heating source</t>
  </si>
  <si>
    <t>Croatian - Hrvatska</t>
  </si>
  <si>
    <t>EM_Powerpeak</t>
  </si>
  <si>
    <t>Dropdown lists</t>
  </si>
  <si>
    <t>MW</t>
  </si>
  <si>
    <t>GWh</t>
  </si>
  <si>
    <t>txtPLF9M1</t>
  </si>
  <si>
    <t>Ocean current power</t>
  </si>
  <si>
    <t>txtIICF</t>
  </si>
  <si>
    <t>chkFBCPC</t>
  </si>
  <si>
    <t>Average temperature</t>
  </si>
  <si>
    <t>a
(DB 2.24.4b)</t>
  </si>
  <si>
    <t>cbbxS2TempUnitW2W</t>
  </si>
  <si>
    <t>windSpeedUnitFactor</t>
  </si>
  <si>
    <t>no</t>
  </si>
  <si>
    <t>1-1</t>
  </si>
  <si>
    <t>secondsPerMeterSymbol</t>
  </si>
  <si>
    <t>Corrected temp</t>
  </si>
  <si>
    <t>Corrected air pressure</t>
  </si>
  <si>
    <t>clayPellets</t>
  </si>
  <si>
    <t>flooHard</t>
  </si>
  <si>
    <t>Density of air</t>
  </si>
  <si>
    <t>Feasibility Study</t>
  </si>
  <si>
    <t>lookup row</t>
  </si>
  <si>
    <t>Net Cash Flows</t>
  </si>
  <si>
    <t>Base Case Electricity System (Baseline)</t>
  </si>
  <si>
    <t>txtEBOH</t>
  </si>
  <si>
    <t>Base Unocc Reheat V</t>
  </si>
  <si>
    <t>Proposed Case System (Combined Heat &amp; Power (CHP) project)</t>
  </si>
  <si>
    <t>pumpsMotor</t>
  </si>
  <si>
    <t>pumps</t>
  </si>
  <si>
    <t>quad</t>
  </si>
  <si>
    <t>premiumEfficiency</t>
  </si>
  <si>
    <t>bahrain</t>
  </si>
  <si>
    <t>m/s2</t>
  </si>
  <si>
    <t>cboBaseFTF</t>
  </si>
  <si>
    <t>Jan</t>
  </si>
  <si>
    <t>Energy delivered (SABB/HYBR)</t>
  </si>
  <si>
    <t>schoolWtShowers</t>
  </si>
  <si>
    <t>Installation of substation and transformer (9)</t>
  </si>
  <si>
    <t>Civil works (10)</t>
  </si>
  <si>
    <t>txtPLoadSize3</t>
  </si>
  <si>
    <t>Base number of unit</t>
  </si>
  <si>
    <t>Prop number of unit</t>
  </si>
  <si>
    <t>r143aHFC</t>
  </si>
  <si>
    <t>rValueWall</t>
  </si>
  <si>
    <t>runOfRiver</t>
  </si>
  <si>
    <t>cboBase5TV2</t>
  </si>
  <si>
    <t>matoGrosso</t>
  </si>
  <si>
    <t>Mato Grosso do Sul</t>
  </si>
  <si>
    <t>matoGrossoSul</t>
  </si>
  <si>
    <t>Minas Gerais</t>
  </si>
  <si>
    <t>minasGerais</t>
  </si>
  <si>
    <t>Pará</t>
  </si>
  <si>
    <t>para</t>
  </si>
  <si>
    <t>Paraíba</t>
  </si>
  <si>
    <t>paraiba</t>
  </si>
  <si>
    <t>Paraná</t>
  </si>
  <si>
    <t>parana</t>
  </si>
  <si>
    <t>Pernambuco</t>
  </si>
  <si>
    <t>pernambuco</t>
  </si>
  <si>
    <t>Piauí</t>
  </si>
  <si>
    <t>piaui</t>
  </si>
  <si>
    <t>Rio de Janeiro</t>
  </si>
  <si>
    <t>rioDeJaneiro</t>
  </si>
  <si>
    <t>Kamchatka</t>
  </si>
  <si>
    <t>kamchatka</t>
  </si>
  <si>
    <t>Kaluga</t>
  </si>
  <si>
    <t>kaluga</t>
  </si>
  <si>
    <t>Kalmykia</t>
  </si>
  <si>
    <t>kalmykia</t>
  </si>
  <si>
    <t>Kaliningrad</t>
  </si>
  <si>
    <t>kaliningrad</t>
  </si>
  <si>
    <t>Kabardino-Balkaria</t>
  </si>
  <si>
    <t>updateProjectsMsg</t>
  </si>
  <si>
    <t>overwriteProjectMsg</t>
  </si>
  <si>
    <t>deleteLastMsg</t>
  </si>
  <si>
    <t>PumpAppl</t>
  </si>
  <si>
    <t>Water use</t>
  </si>
  <si>
    <t>Total fuel consumption</t>
  </si>
  <si>
    <t>Sens_box1</t>
  </si>
  <si>
    <t>Sens_box2</t>
  </si>
  <si>
    <t>Cooling System pasted</t>
  </si>
  <si>
    <t>txtBLF11M1</t>
  </si>
  <si>
    <t>projectsPreviousVersion</t>
  </si>
  <si>
    <t>off grid peak system</t>
  </si>
  <si>
    <t>MWh fuel</t>
  </si>
  <si>
    <t>Ref PC selected</t>
  </si>
  <si>
    <t>celsiusDayPerDaySymbol</t>
  </si>
  <si>
    <t>kelevinSymbol</t>
  </si>
  <si>
    <t>oneHundredFeetCubeSymbol</t>
  </si>
  <si>
    <t>atmosphere</t>
  </si>
  <si>
    <t>btuPerHourSymbol</t>
  </si>
  <si>
    <t>btuPerKiloWattHourSymbol</t>
  </si>
  <si>
    <t>cubeMilePerTonneSymbol</t>
  </si>
  <si>
    <t>btuSymbol</t>
  </si>
  <si>
    <t>CoolingSystem #1</t>
  </si>
  <si>
    <t>lhv</t>
  </si>
  <si>
    <t>HideCodeES_Boiler1</t>
  </si>
  <si>
    <t>HideCodeES_Boiler2</t>
  </si>
  <si>
    <t>txtF1p</t>
  </si>
  <si>
    <t>txtHR12p</t>
  </si>
  <si>
    <t>exposedperimeter</t>
  </si>
  <si>
    <t>andBeyond</t>
  </si>
  <si>
    <t>txtPILM2</t>
  </si>
  <si>
    <t>BuildingEnvelope #5</t>
  </si>
  <si>
    <t>Turbine runner diameter (d)</t>
  </si>
  <si>
    <t>GHG reductions</t>
  </si>
  <si>
    <t>Weight %</t>
  </si>
  <si>
    <t>Mole mass</t>
  </si>
  <si>
    <t>Temp K</t>
  </si>
  <si>
    <t>squareCmSymbol</t>
  </si>
  <si>
    <t>fuelType</t>
  </si>
  <si>
    <t>frequency</t>
  </si>
  <si>
    <t>CYP</t>
  </si>
  <si>
    <t>Absolute</t>
  </si>
  <si>
    <t>cboHeatingSysS2W</t>
  </si>
  <si>
    <t>txtS2WS1OH</t>
  </si>
  <si>
    <t>txtS2WS1F</t>
  </si>
  <si>
    <t>Hindi - हिन्दी</t>
  </si>
  <si>
    <t>Percent of  nominal capacity delivered 
(%)</t>
  </si>
  <si>
    <t>Jun</t>
  </si>
  <si>
    <t>Jul</t>
  </si>
  <si>
    <t>Oregon</t>
  </si>
  <si>
    <t>oregon</t>
  </si>
  <si>
    <t>Pennsylvania</t>
  </si>
  <si>
    <t>pennsylvania</t>
  </si>
  <si>
    <t>Rhode Island</t>
  </si>
  <si>
    <t>rhodeIsland</t>
  </si>
  <si>
    <t>South Carolina</t>
  </si>
  <si>
    <t>southCarolina</t>
  </si>
  <si>
    <t>South Dakota</t>
  </si>
  <si>
    <t>southDakota</t>
  </si>
  <si>
    <t>Tennessee</t>
  </si>
  <si>
    <t>tennessee</t>
  </si>
  <si>
    <t>Texas</t>
  </si>
  <si>
    <t>texas</t>
  </si>
  <si>
    <t>Utah</t>
  </si>
  <si>
    <t>utah</t>
  </si>
  <si>
    <t>Virginia</t>
  </si>
  <si>
    <t>virginia</t>
  </si>
  <si>
    <t>Vermont</t>
  </si>
  <si>
    <t>vermont</t>
  </si>
  <si>
    <t>Washington</t>
  </si>
  <si>
    <t>washington</t>
  </si>
  <si>
    <t>bangladesh</t>
  </si>
  <si>
    <t>RETScreen</t>
  </si>
  <si>
    <t>mm²</t>
  </si>
  <si>
    <t>chandigarh</t>
  </si>
  <si>
    <t>Bihar</t>
  </si>
  <si>
    <t>bihar</t>
  </si>
  <si>
    <t>Bangla</t>
  </si>
  <si>
    <t>bangla</t>
  </si>
  <si>
    <t>Assam</t>
  </si>
  <si>
    <t>assam</t>
  </si>
  <si>
    <t>Arunachal Pradesh</t>
  </si>
  <si>
    <t>Chinese - 中文</t>
  </si>
  <si>
    <t>F heating</t>
  </si>
  <si>
    <t>h/month</t>
  </si>
  <si>
    <t>Rank</t>
  </si>
  <si>
    <t>EM_ProjType</t>
  </si>
  <si>
    <t>Z9Z</t>
  </si>
  <si>
    <t>txtHR2p</t>
  </si>
  <si>
    <t>txtHR1p</t>
  </si>
  <si>
    <t>txtIIC1</t>
  </si>
  <si>
    <t>txtIIC12</t>
  </si>
  <si>
    <t>txtIIC11</t>
  </si>
  <si>
    <t>txtIIC10</t>
  </si>
  <si>
    <t>Hot water</t>
  </si>
  <si>
    <t>WDRelativehumidity</t>
  </si>
  <si>
    <t>WDAvgdailyrad</t>
  </si>
  <si>
    <t>SaveDate</t>
  </si>
  <si>
    <t>MODULE</t>
  </si>
  <si>
    <t>CoolingSystem #3</t>
  </si>
  <si>
    <t>trainingmaterialsURL</t>
  </si>
  <si>
    <t>singBuild_spaceCool</t>
  </si>
  <si>
    <t>singBuild_processCool</t>
  </si>
  <si>
    <t>project type</t>
  </si>
  <si>
    <t>PDPage1</t>
  </si>
  <si>
    <t>PDPage2</t>
  </si>
  <si>
    <t>non-dim std cap</t>
  </si>
  <si>
    <t>p=power produced</t>
  </si>
  <si>
    <t>modelAndCapacity</t>
  </si>
  <si>
    <t>Array/Load
Ratio
( )</t>
  </si>
  <si>
    <t>txtBTM23</t>
  </si>
  <si>
    <t>txtBTM22</t>
  </si>
  <si>
    <t>PC CP selected</t>
  </si>
  <si>
    <t>Un adjusted prod</t>
  </si>
  <si>
    <t>Adjusted wind prod</t>
  </si>
  <si>
    <t>galPerDaySymbol</t>
  </si>
  <si>
    <t>Code_1444</t>
  </si>
  <si>
    <t>Code_1443</t>
  </si>
  <si>
    <t>txtEnHR</t>
  </si>
  <si>
    <t>drainageArea</t>
  </si>
  <si>
    <t>cboProp2TV2</t>
  </si>
  <si>
    <t>txtPLLPEUAM1</t>
  </si>
  <si>
    <t>WDWeatherstation</t>
  </si>
  <si>
    <t>Monthly 
average
relative 
humidity
(%)</t>
  </si>
  <si>
    <t>SAH Temp 1
 (ºC)</t>
  </si>
  <si>
    <t>SAH Temp 2
 (ºC)</t>
  </si>
  <si>
    <t>CIS</t>
  </si>
  <si>
    <t>mayotte</t>
  </si>
  <si>
    <t>mexico</t>
  </si>
  <si>
    <t>micronesia</t>
  </si>
  <si>
    <t>mongolia</t>
  </si>
  <si>
    <t>CompressedAir #3</t>
  </si>
  <si>
    <t>CompressedAir #4</t>
  </si>
  <si>
    <t>Process</t>
  </si>
  <si>
    <t>e</t>
  </si>
  <si>
    <t>userManual</t>
  </si>
  <si>
    <t>FL total power with extraction</t>
  </si>
  <si>
    <t>Važna obavijest</t>
  </si>
  <si>
    <t>txtPSDA</t>
  </si>
  <si>
    <t>Database for all the input taken by the user</t>
  </si>
  <si>
    <t>Canal</t>
  </si>
  <si>
    <t>txtIOMSvc</t>
  </si>
  <si>
    <t>D166</t>
  </si>
  <si>
    <t>n13</t>
  </si>
  <si>
    <t>Space</t>
  </si>
  <si>
    <t>Energy efficiency</t>
  </si>
  <si>
    <t>Heat rate calculator</t>
  </si>
  <si>
    <t>albania</t>
  </si>
  <si>
    <t>algeria</t>
  </si>
  <si>
    <t>txtBSWinSSS</t>
  </si>
  <si>
    <t>heatingsystem</t>
  </si>
  <si>
    <t>Solar gains to heating</t>
  </si>
  <si>
    <t xml:space="preserve">Factor for ajusted HDD : </t>
  </si>
  <si>
    <t>:ANNUAL:</t>
  </si>
  <si>
    <t>Calorific value of fuel MJ/kg</t>
  </si>
  <si>
    <t>Lh, si tl-tmin&lt;0, min 10 F de DT</t>
  </si>
  <si>
    <t>Percentage variation</t>
  </si>
  <si>
    <t>cboPropCompressor</t>
  </si>
  <si>
    <t>turb eff</t>
  </si>
  <si>
    <t>solarShadingSeaOfUse</t>
  </si>
  <si>
    <t>అదనంగా, కొన్నికంప్యూటర్లపై, ఎక్సెల్ లో మాక్రో సెక్యూరిటీ స్ధాయి తనకుతానుగా "అత్యధికం" కు సెట్ చేయబడి ఉంటుంది. ఈ సందర్భములో, RETScreen ను ఉపయోగించే ముందు "టూల్స్, మాక్రో, సెక్యూరిటీ. . . " మెను ఎంపికను ఉపయోగిస్తూ సెక్యూరిటీ స్ధాయిని "మధ్యస్తం" లేక "అధికం" కు తిరిగి-సెట్ చేయాలి. లేనియడల, సాఫ్ట్ వేర్ సరిగా పనిచేయదు.</t>
  </si>
  <si>
    <t>Value taken from Model sheet</t>
  </si>
  <si>
    <t>fastfood</t>
  </si>
  <si>
    <t>coolingenergysaved</t>
  </si>
  <si>
    <t>HideCodeES_Fuel2</t>
  </si>
  <si>
    <t>EEM_LC3</t>
  </si>
  <si>
    <t>txtBNWA</t>
  </si>
  <si>
    <t>txtPSWRV</t>
  </si>
  <si>
    <t>cboO2OSS</t>
  </si>
  <si>
    <t>storageroom</t>
  </si>
  <si>
    <t>utilityroom</t>
  </si>
  <si>
    <t>laundry</t>
  </si>
  <si>
    <t>motors</t>
  </si>
  <si>
    <t>steamtosteam</t>
  </si>
  <si>
    <t>steamtowater</t>
  </si>
  <si>
    <t>stream1</t>
  </si>
  <si>
    <t>stream2</t>
  </si>
  <si>
    <t>systempressure</t>
  </si>
  <si>
    <t>runMonteCarloMsg</t>
  </si>
  <si>
    <t>sensiAndRiskAnaly</t>
  </si>
  <si>
    <t>partnersURL</t>
  </si>
  <si>
    <t>united_arab_emirates</t>
  </si>
  <si>
    <t>Scheduled Weekday Operating Hours Per Month (h)</t>
  </si>
  <si>
    <t>txtBLF10M1</t>
  </si>
  <si>
    <t>Renewable energy collected (MWh)</t>
  </si>
  <si>
    <t>txtDescM1</t>
  </si>
  <si>
    <t>txtBCOPM1</t>
  </si>
  <si>
    <t>capacity</t>
  </si>
  <si>
    <t>globalWarnigPot</t>
  </si>
  <si>
    <t>madagascar</t>
  </si>
  <si>
    <t>cboWAUnit</t>
  </si>
  <si>
    <t>cboWRVUnit</t>
  </si>
  <si>
    <t>txtPSWA</t>
  </si>
  <si>
    <t>txtPHWUM1</t>
  </si>
  <si>
    <t>txtBHWUM1</t>
  </si>
  <si>
    <t>txtWTMinM2</t>
  </si>
  <si>
    <t>txtWTMaxM2</t>
  </si>
  <si>
    <t>Rio Grande do Norte</t>
  </si>
  <si>
    <t>rioGrandeDoNorte</t>
  </si>
  <si>
    <t>Rio Grande do Sul</t>
  </si>
  <si>
    <t>RioGrandeSul</t>
  </si>
  <si>
    <t>Rondônia</t>
  </si>
  <si>
    <t>rondonia</t>
  </si>
  <si>
    <t>Roraima</t>
  </si>
  <si>
    <t>roraima</t>
  </si>
  <si>
    <t>Santa Catarina</t>
  </si>
  <si>
    <t>santaCatarina</t>
  </si>
  <si>
    <t>São Paulo</t>
  </si>
  <si>
    <t>saoPaulo</t>
  </si>
  <si>
    <t>Sergipe</t>
  </si>
  <si>
    <t>sergipe</t>
  </si>
  <si>
    <t>RETSCreen softver koristi Microsoft Excel makroe. Zbog podešavanja sigurnosti makroa na nekim kompjuterima moraćete da omogućite rad sa makroima "enable macros" kada otvarate RETScreen fajl u Excel-u.</t>
  </si>
  <si>
    <t>Conversion factor to metric</t>
  </si>
  <si>
    <t>cbbxOpHousUnit</t>
  </si>
  <si>
    <t>flow</t>
  </si>
  <si>
    <t>August</t>
  </si>
  <si>
    <t>Gcal</t>
  </si>
  <si>
    <t>Zhejiang</t>
  </si>
  <si>
    <t>zhejiang</t>
  </si>
  <si>
    <t>coolCap</t>
  </si>
  <si>
    <t>Sichuan</t>
  </si>
  <si>
    <t>Krasnodar</t>
  </si>
  <si>
    <t>krasnodar</t>
  </si>
  <si>
    <t>Kostroma</t>
  </si>
  <si>
    <t>kostroma</t>
  </si>
  <si>
    <t>txtPOH11M1</t>
  </si>
  <si>
    <t>HFC-125</t>
  </si>
  <si>
    <t>HFC-134a</t>
  </si>
  <si>
    <t>HCFC-142b</t>
  </si>
  <si>
    <t>HFC-143</t>
  </si>
  <si>
    <t>HFC-143a</t>
  </si>
  <si>
    <t>Amapá</t>
  </si>
  <si>
    <t>amapa</t>
  </si>
  <si>
    <t>Amazonas</t>
  </si>
  <si>
    <t>amazonas</t>
  </si>
  <si>
    <t>Bahia</t>
  </si>
  <si>
    <t>BC seasonal eff</t>
  </si>
  <si>
    <t>Min Power load                    (%)</t>
  </si>
  <si>
    <t>m3/y prod</t>
  </si>
  <si>
    <t>Sorted - Peak</t>
  </si>
  <si>
    <t>Prop total UA * 24 / 10 ^ 6</t>
  </si>
  <si>
    <t xml:space="preserve">Кроме того, на некоторых компьютерах уровень безопасности на макросы автоматически настроен на "очень высокий". В этом случае прежде чем использовать RETscreen, следует изменить настройки уровня безопасности на "средний" или "высокий" путем входа в меню "Сервис, Макрос, Безопасность...". Иначе программа будет работать неправильно. </t>
  </si>
  <si>
    <t>txtBOH</t>
  </si>
  <si>
    <t>txtPOH</t>
  </si>
  <si>
    <t>saveAs</t>
  </si>
  <si>
    <t>MTL</t>
  </si>
  <si>
    <t>Check EET sheet coulmn C link</t>
  </si>
  <si>
    <t>txtPDP</t>
  </si>
  <si>
    <t>txtBAUAD</t>
  </si>
  <si>
    <t>txtPAUAD</t>
  </si>
  <si>
    <t>txtBAAL</t>
  </si>
  <si>
    <t>txtPAAL</t>
  </si>
  <si>
    <t>txtBHUAD</t>
  </si>
  <si>
    <t>User-defined</t>
  </si>
  <si>
    <t>Fuel type #3</t>
  </si>
  <si>
    <t>txtPLoading2</t>
  </si>
  <si>
    <t>txtIOMSC</t>
  </si>
  <si>
    <t>Development (2)</t>
  </si>
  <si>
    <t>DN 80</t>
  </si>
  <si>
    <t>txtBOHM2</t>
  </si>
  <si>
    <t>Fans #4</t>
  </si>
  <si>
    <t>Fans #5</t>
  </si>
  <si>
    <t>RETScreen_FileFormat</t>
  </si>
  <si>
    <t>rockExcav</t>
  </si>
  <si>
    <t>cbbxS1TempUnitS2S</t>
  </si>
  <si>
    <t>txtBTM29</t>
  </si>
  <si>
    <t>airChangeRate</t>
  </si>
  <si>
    <t>dischHeat</t>
  </si>
  <si>
    <t>coolFloorAreaBuild</t>
  </si>
  <si>
    <t>txtS2SS1OH</t>
  </si>
  <si>
    <t>Concrete lining volume</t>
  </si>
  <si>
    <t>Heating degree days</t>
  </si>
  <si>
    <t>kW capacity</t>
  </si>
  <si>
    <t>ES_Hydro_PT</t>
  </si>
  <si>
    <t>costa_rica</t>
  </si>
  <si>
    <t>EE_CB16</t>
  </si>
  <si>
    <t>EE_CB17</t>
  </si>
  <si>
    <t>EE_CB18</t>
  </si>
  <si>
    <t>txtPLFTM2</t>
  </si>
  <si>
    <t>txtIIC2M1</t>
  </si>
  <si>
    <t>optSCIYesM1</t>
  </si>
  <si>
    <t>r227eaHFC</t>
  </si>
  <si>
    <t>r236eaHFC</t>
  </si>
  <si>
    <t xml:space="preserve">IC </t>
  </si>
  <si>
    <t>OM</t>
  </si>
  <si>
    <t>Project life</t>
  </si>
  <si>
    <t>txtNOFb</t>
  </si>
  <si>
    <t>txtNOFp</t>
  </si>
  <si>
    <t>txtOHb</t>
  </si>
  <si>
    <t>processElectricity</t>
  </si>
  <si>
    <t>refrigerantevaptemp</t>
  </si>
  <si>
    <t>Selected</t>
  </si>
  <si>
    <t>GJ/h/C</t>
  </si>
  <si>
    <t>cboS1UnitDensity</t>
  </si>
  <si>
    <t>HG-01</t>
  </si>
  <si>
    <t>phosphoricAcid</t>
  </si>
  <si>
    <t>incrementalinit</t>
  </si>
  <si>
    <t>numberbuildingenvelopeunit</t>
  </si>
  <si>
    <t>solarheatgaincoeff</t>
  </si>
  <si>
    <t>txtPWWinSSW</t>
  </si>
  <si>
    <t>cboHeatingSysW2W</t>
  </si>
  <si>
    <t>North Dakota</t>
  </si>
  <si>
    <t>northDakota</t>
  </si>
  <si>
    <t>Nebraska</t>
  </si>
  <si>
    <t>nebraska</t>
  </si>
  <si>
    <t>azerbaijan</t>
  </si>
  <si>
    <t>bahamas</t>
  </si>
  <si>
    <t>obHeatingImpactNo</t>
  </si>
  <si>
    <t>obCoolingImpactYes</t>
  </si>
  <si>
    <t>squareMileSymbol</t>
  </si>
  <si>
    <t>btuPerSquareFeetPerFarenheitSymbol</t>
  </si>
  <si>
    <t>kgPerKWhSymbol</t>
  </si>
  <si>
    <t>oneToneCH4</t>
  </si>
  <si>
    <t>cboHeatingSystem1</t>
  </si>
  <si>
    <t>projectLocation</t>
  </si>
  <si>
    <t>WDNA</t>
  </si>
  <si>
    <t>PDAny</t>
  </si>
  <si>
    <t>Gas turbine - combined cycle</t>
  </si>
  <si>
    <r>
      <t>Methane CH</t>
    </r>
    <r>
      <rPr>
        <vertAlign val="subscript"/>
        <sz val="10"/>
        <rFont val="Arial"/>
        <family val="2"/>
      </rPr>
      <t>4</t>
    </r>
  </si>
  <si>
    <r>
      <t>Ethane C</t>
    </r>
    <r>
      <rPr>
        <vertAlign val="subscript"/>
        <sz val="10"/>
        <rFont val="Arial"/>
        <family val="2"/>
      </rPr>
      <t>2</t>
    </r>
    <r>
      <rPr>
        <sz val="10"/>
        <rFont val="Arial"/>
        <family val="2"/>
      </rPr>
      <t>H</t>
    </r>
    <r>
      <rPr>
        <vertAlign val="subscript"/>
        <sz val="10"/>
        <rFont val="Arial"/>
        <family val="2"/>
      </rPr>
      <t>6</t>
    </r>
  </si>
  <si>
    <r>
      <t>Power Densities (W/m</t>
    </r>
    <r>
      <rPr>
        <vertAlign val="superscript"/>
        <sz val="10"/>
        <rFont val="Arial"/>
        <family val="2"/>
      </rPr>
      <t>2</t>
    </r>
    <r>
      <rPr>
        <sz val="10"/>
        <rFont val="Arial"/>
        <family val="2"/>
      </rPr>
      <t>)</t>
    </r>
  </si>
  <si>
    <t>txtO2OIOM</t>
  </si>
  <si>
    <t>txtBLoadSize5</t>
  </si>
  <si>
    <t>txtBLoadSize4</t>
  </si>
  <si>
    <t>Day length
(h)</t>
  </si>
  <si>
    <t>txtBNOFM1</t>
  </si>
  <si>
    <t>cboBaseFV2Unit</t>
  </si>
  <si>
    <t>txtPCOpHours9</t>
  </si>
  <si>
    <t>cboPropFV2Unit</t>
  </si>
  <si>
    <t>sierra_leone</t>
  </si>
  <si>
    <t>singapore</t>
  </si>
  <si>
    <t>HideCodeLN_Cool_Heat</t>
  </si>
  <si>
    <t>SMIN</t>
  </si>
  <si>
    <t>For electricity</t>
  </si>
  <si>
    <t>cost</t>
  </si>
  <si>
    <t>HeatingSystem #5</t>
  </si>
  <si>
    <t>Hospital</t>
  </si>
  <si>
    <t>Hotel/Motel</t>
  </si>
  <si>
    <t>Industrial</t>
  </si>
  <si>
    <t>TV</t>
  </si>
  <si>
    <t>Zero</t>
  </si>
  <si>
    <t>cboELUnitM2</t>
  </si>
  <si>
    <t>HideCodeES_DuctF1</t>
  </si>
  <si>
    <t>glazingType</t>
  </si>
  <si>
    <t>cboBType</t>
  </si>
  <si>
    <t>txtIOMOH</t>
  </si>
  <si>
    <t>HP efficiency listbox</t>
  </si>
  <si>
    <t>Normalized</t>
  </si>
  <si>
    <t>SI value</t>
  </si>
  <si>
    <t>West window Winter SHGC PC</t>
  </si>
  <si>
    <t>Sep</t>
  </si>
  <si>
    <t>cboLeakageUnit</t>
  </si>
  <si>
    <t>CopyBaseToProposed</t>
  </si>
  <si>
    <t>mali</t>
  </si>
  <si>
    <t>malta</t>
  </si>
  <si>
    <t>Cooling design temp</t>
  </si>
  <si>
    <t>kiloPascal</t>
  </si>
  <si>
    <t>Portuguese - Português</t>
  </si>
  <si>
    <t>Start worksheet</t>
  </si>
  <si>
    <t>NAME</t>
  </si>
  <si>
    <t>DN 700</t>
  </si>
  <si>
    <t>txtRefrIncrCost</t>
  </si>
  <si>
    <t>cboCapaM2Unit</t>
  </si>
  <si>
    <t>aruba</t>
  </si>
  <si>
    <t>monoSi</t>
  </si>
  <si>
    <t>sphericalSi</t>
  </si>
  <si>
    <t>numberOfUnits</t>
  </si>
  <si>
    <t>polySi</t>
  </si>
  <si>
    <t>pwCurveData</t>
  </si>
  <si>
    <t>fuelcostheating</t>
  </si>
  <si>
    <t>txtNOUM210</t>
  </si>
  <si>
    <t>t/year</t>
  </si>
  <si>
    <t>txtDM210</t>
  </si>
  <si>
    <t>txtDM29</t>
  </si>
  <si>
    <t>mm Hg at 0 C</t>
  </si>
  <si>
    <t>Heat load, remaining</t>
  </si>
  <si>
    <t>cboCoolingSysO2O</t>
  </si>
  <si>
    <t>cboUnitOpHoursS2S1</t>
  </si>
  <si>
    <t>kW min heat</t>
  </si>
  <si>
    <t>p1</t>
  </si>
  <si>
    <t>nB</t>
  </si>
  <si>
    <t>cboBase10SV2</t>
  </si>
  <si>
    <t>IRR</t>
  </si>
  <si>
    <t>AF</t>
  </si>
  <si>
    <t>AH</t>
  </si>
  <si>
    <t>barSymbol</t>
  </si>
  <si>
    <t>cubicMeterPerHourSymbol</t>
  </si>
  <si>
    <t>watertempmin</t>
  </si>
  <si>
    <t>waterusereduction</t>
  </si>
  <si>
    <t>Days at 16</t>
  </si>
  <si>
    <t>days at COT</t>
  </si>
  <si>
    <t>Avrage heating</t>
  </si>
  <si>
    <t>Average cooling</t>
  </si>
  <si>
    <t>Section can not be moved used in code</t>
  </si>
  <si>
    <t>txtPCQte7</t>
  </si>
  <si>
    <t>txtPCQte6</t>
  </si>
  <si>
    <t>Max</t>
  </si>
  <si>
    <t>UZS</t>
  </si>
  <si>
    <t>VUV</t>
  </si>
  <si>
    <t>txtPLF8M1</t>
  </si>
  <si>
    <t>txtPLF7M1</t>
  </si>
  <si>
    <t>txtPLF6M1</t>
  </si>
  <si>
    <t>airIntakeLocation</t>
  </si>
  <si>
    <t>airfoilFan</t>
  </si>
  <si>
    <t>annualcost</t>
  </si>
  <si>
    <t>lampAndFixture</t>
  </si>
  <si>
    <t>lampAndFixtEff</t>
  </si>
  <si>
    <t>kitchen</t>
  </si>
  <si>
    <t>loadfactor</t>
  </si>
  <si>
    <t>DZD</t>
  </si>
  <si>
    <t>South window Summer SHGC BC</t>
  </si>
  <si>
    <t>West window Summer SHGC BC</t>
  </si>
  <si>
    <t>txtPOH4M1</t>
  </si>
  <si>
    <t>txtPOH3M1</t>
  </si>
  <si>
    <r>
      <t>Efficiency drop at full load (^ep</t>
    </r>
    <r>
      <rPr>
        <sz val="10"/>
        <rFont val="Arial"/>
        <family val="2"/>
      </rPr>
      <t>)</t>
    </r>
  </si>
  <si>
    <t>SpaceHeat</t>
  </si>
  <si>
    <t>palau</t>
  </si>
  <si>
    <t>panama</t>
  </si>
  <si>
    <t>Intermediate</t>
  </si>
  <si>
    <t>kWth extracted steam</t>
  </si>
  <si>
    <t>Net GHG reduction - credit duration</t>
  </si>
  <si>
    <t>Renewable energy delivered (whole year) (kWh/day)</t>
  </si>
  <si>
    <t>txtBLoadSize7</t>
  </si>
  <si>
    <t>optHeating</t>
  </si>
  <si>
    <t>optCooling</t>
  </si>
  <si>
    <t>kg/h/m²</t>
  </si>
  <si>
    <t>kJ/kg/°C</t>
  </si>
  <si>
    <t>Note: The countif function is used to break a tie</t>
  </si>
  <si>
    <t>Latitude of project</t>
  </si>
  <si>
    <t>tarRoof</t>
  </si>
  <si>
    <t>denmark</t>
  </si>
  <si>
    <t>djibouti</t>
  </si>
  <si>
    <t>cboACRVUnit</t>
  </si>
  <si>
    <t>distance &amp; radius</t>
  </si>
  <si>
    <t>Fuel Peak</t>
  </si>
  <si>
    <t>hp-h</t>
  </si>
  <si>
    <t>ProcessElectricity #3</t>
  </si>
  <si>
    <t>txtBACRV</t>
  </si>
  <si>
    <t>reinstallMsg</t>
  </si>
  <si>
    <t>calculator</t>
  </si>
  <si>
    <t>kW/(t*4.185)=kg/s</t>
  </si>
  <si>
    <t>m3/h=3.6*[kg/s]</t>
  </si>
  <si>
    <t>DN</t>
  </si>
  <si>
    <t>Density</t>
  </si>
  <si>
    <t>Heating SAH or SWH</t>
  </si>
  <si>
    <t xml:space="preserve">Software RETScreen využívá Microsoft Excel Makra. Na základě zabezpečovacích nastavení makra na některých počítačích budete možná muset "aktivovat makra", když otevřete databázi RETScreen v Excelu. </t>
  </si>
  <si>
    <t>ProcessSteam #5</t>
  </si>
  <si>
    <t>Prop
Coeff 3</t>
  </si>
  <si>
    <t>cboPropFCTF</t>
  </si>
  <si>
    <t>Last</t>
  </si>
  <si>
    <t/>
  </si>
  <si>
    <t>MWK</t>
  </si>
  <si>
    <t>hydro form</t>
  </si>
  <si>
    <t>cboHeatingSysS2S</t>
  </si>
  <si>
    <t>Based on HHV (gross heating value)</t>
  </si>
  <si>
    <t>txtBSize</t>
  </si>
  <si>
    <t>txtFp</t>
  </si>
  <si>
    <t>Koryak</t>
  </si>
  <si>
    <t>koryak</t>
  </si>
  <si>
    <t>Komi-Permyak</t>
  </si>
  <si>
    <t>komiPermyak</t>
  </si>
  <si>
    <t>Komi</t>
  </si>
  <si>
    <t>komi</t>
  </si>
  <si>
    <t>Kirov</t>
  </si>
  <si>
    <t>kirov</t>
  </si>
  <si>
    <t>Khanty-Mansi</t>
  </si>
  <si>
    <t>khantyMansi</t>
  </si>
  <si>
    <t>Ontario</t>
  </si>
  <si>
    <t>ontario</t>
  </si>
  <si>
    <t>princeEdwardIsland</t>
  </si>
  <si>
    <t>quebec</t>
  </si>
  <si>
    <t>Saskatchewan</t>
  </si>
  <si>
    <t>saskatchewan</t>
  </si>
  <si>
    <t>Guizhou</t>
  </si>
  <si>
    <t>Daily utilizability method [references are to Duffie and Beckman, Solar Engineering of Thermal Process (1991)]</t>
  </si>
  <si>
    <t>new</t>
  </si>
  <si>
    <t>niue</t>
  </si>
  <si>
    <t>Cooling kW</t>
  </si>
  <si>
    <t>kiloWattSymbol</t>
  </si>
  <si>
    <t>ftH2O4CSymbol</t>
  </si>
  <si>
    <t>Pool
wind speed
when cover off
(m/s)</t>
  </si>
  <si>
    <t>pleaseWait</t>
  </si>
  <si>
    <t>South window PC</t>
  </si>
  <si>
    <t>wallis_and_futuna_islands</t>
  </si>
  <si>
    <t>western_sahara</t>
  </si>
  <si>
    <t>yemen</t>
  </si>
  <si>
    <t>zambia</t>
  </si>
  <si>
    <t>Power kW</t>
  </si>
  <si>
    <t>Dodatkowo, na niektórych komputerach w programie Excel może być ustawiony "wysoki poziom" zabezpieczenia makr. W takim przypadku,  przed uruchomieniem programu RETScreen koniecznym jest, dla poprawnej pracy programu, ustawienie poziomu zabezpieczeń na "średni" lub "niski" w "Narzędzia, Makro, Zabezpieczenia...".</t>
  </si>
  <si>
    <t>maxOutputRange</t>
  </si>
  <si>
    <t>towerType</t>
  </si>
  <si>
    <t>towerWeight</t>
  </si>
  <si>
    <t>cutInWindSpeed</t>
  </si>
  <si>
    <t>cutOffWindSpeed</t>
  </si>
  <si>
    <t>fuelMoistureRange</t>
  </si>
  <si>
    <t>windTurbRatedPw</t>
  </si>
  <si>
    <t>overspeedControl</t>
  </si>
  <si>
    <t>turbineWeight</t>
  </si>
  <si>
    <t>rotorSpeed</t>
  </si>
  <si>
    <t>Base
Syst 8</t>
  </si>
  <si>
    <t>Base
Syst 9</t>
  </si>
  <si>
    <t>Grid type</t>
  </si>
  <si>
    <t>earthTempAmpUnitFactor</t>
  </si>
  <si>
    <t>txtPLoadSize7</t>
  </si>
  <si>
    <t>ProcessHeat</t>
  </si>
  <si>
    <t>comoros</t>
  </si>
  <si>
    <t>Factor for reaction turbine (i.e. not impulse) - (0.46 if d&lt;1.8, 0.41 if d&gt;1.8) - Trial</t>
  </si>
  <si>
    <t>month</t>
  </si>
  <si>
    <t>โปรแกรม RETScreen ใช้ไมโครซอฟท์เอ็กเซลมาโคร เนื่องจากคอมพิวเตอร์บนเครื่องมีการตั้งค่าความปลอดภัยมาโคร ท่านจึงต้องเลือก "การใช้งานมาโคร" เมื่อเปิดไฟล์ RETScreen ในโปรแกรมเอ็กเซล</t>
  </si>
  <si>
    <t>Turkish - Türkçe</t>
  </si>
  <si>
    <t>Charger efficiency</t>
  </si>
  <si>
    <t>pumpDepth</t>
  </si>
  <si>
    <t>room</t>
  </si>
  <si>
    <t>pumpsPwSolarColl</t>
  </si>
  <si>
    <t>rye</t>
  </si>
  <si>
    <t>save</t>
  </si>
  <si>
    <t>Prop
Syst 5</t>
  </si>
  <si>
    <t>needToFormatFile</t>
  </si>
  <si>
    <t>celciusDay</t>
  </si>
  <si>
    <t>farenheitDay</t>
  </si>
  <si>
    <t>unit name</t>
  </si>
  <si>
    <t>farenheit</t>
  </si>
  <si>
    <t>txtBCQte10</t>
  </si>
  <si>
    <t>CompressedAir</t>
  </si>
  <si>
    <t>CoolingSystem</t>
  </si>
  <si>
    <t>school</t>
  </si>
  <si>
    <t>penstock2</t>
  </si>
  <si>
    <t>PFL fuel consumption</t>
  </si>
  <si>
    <t>Grid Type</t>
  </si>
  <si>
    <t>DN 200</t>
  </si>
  <si>
    <t>PC fuel cost</t>
  </si>
  <si>
    <t>Romanian - Română</t>
  </si>
  <si>
    <t>syrian_arab_republic</t>
  </si>
  <si>
    <t>tajikistan</t>
  </si>
  <si>
    <t>Random numbers for percentage variations</t>
  </si>
  <si>
    <t>TWh</t>
  </si>
  <si>
    <t>txtS2WIIC</t>
  </si>
  <si>
    <t>Madagascar</t>
  </si>
  <si>
    <t>Define cooling system</t>
  </si>
  <si>
    <t>HideCode_projectType2</t>
  </si>
  <si>
    <t>Prop coeff 2</t>
  </si>
  <si>
    <t>重要な通知</t>
  </si>
  <si>
    <t>중요 사항</t>
  </si>
  <si>
    <t>WDCoolDesTemp</t>
  </si>
  <si>
    <t>WDHeatDesTemp</t>
  </si>
  <si>
    <t>Prop
Sch 8</t>
  </si>
  <si>
    <t>switzerland</t>
  </si>
  <si>
    <t>ProcElect</t>
  </si>
  <si>
    <t>Appears in Process Steam</t>
  </si>
  <si>
    <t>D148</t>
  </si>
  <si>
    <t>D153</t>
  </si>
  <si>
    <t>Continuous demand (kWh/d</t>
  </si>
  <si>
    <t>gasTurbComb</t>
  </si>
  <si>
    <t>Electricity export escalation rate</t>
  </si>
  <si>
    <t>LN</t>
  </si>
  <si>
    <t>ES</t>
  </si>
  <si>
    <t>Calorific value</t>
  </si>
  <si>
    <t>Solid fuel</t>
  </si>
  <si>
    <t>below grade wall</t>
  </si>
  <si>
    <t>r404aHFC</t>
  </si>
  <si>
    <t>r405aHCFC</t>
  </si>
  <si>
    <t>Cross-flow</t>
  </si>
  <si>
    <t>txtBNWinSSS</t>
  </si>
  <si>
    <t>Winter ground cover</t>
  </si>
  <si>
    <t>Pumping depth</t>
  </si>
  <si>
    <t>mauritania</t>
  </si>
  <si>
    <t>txtBCQte5</t>
  </si>
  <si>
    <t>txtBCQte4</t>
  </si>
  <si>
    <t>txtBCQte3</t>
  </si>
  <si>
    <t>b=backend turbine flow</t>
  </si>
  <si>
    <t>heatingValueRef</t>
  </si>
  <si>
    <t>4-8</t>
  </si>
  <si>
    <t>txtPWURM27</t>
  </si>
  <si>
    <t>Cloudy sky
radiation
(empirical)
(W/m2)</t>
  </si>
  <si>
    <t>PARAMETERS TABLE</t>
  </si>
  <si>
    <t>Others unit …</t>
  </si>
  <si>
    <t>Cooling length</t>
  </si>
  <si>
    <t>project name</t>
  </si>
  <si>
    <t>kg/m3 @ ref temp</t>
  </si>
  <si>
    <t>makeupwaterreduc</t>
  </si>
  <si>
    <t>motor</t>
  </si>
  <si>
    <t>metalpulsestart</t>
  </si>
  <si>
    <t>corridor</t>
  </si>
  <si>
    <t>diningarea</t>
  </si>
  <si>
    <t>library</t>
  </si>
  <si>
    <t>lobby</t>
  </si>
  <si>
    <t>manufacturing</t>
  </si>
  <si>
    <t>meetingroom</t>
  </si>
  <si>
    <t>parking</t>
  </si>
  <si>
    <t>custom1</t>
  </si>
  <si>
    <t>WDElevation</t>
  </si>
  <si>
    <t>PC CP</t>
  </si>
  <si>
    <t>Mid Bins</t>
  </si>
  <si>
    <t>Power for heating</t>
  </si>
  <si>
    <t>currencyEuroSign</t>
  </si>
  <si>
    <t>search</t>
  </si>
  <si>
    <t>Latitude of project location</t>
  </si>
  <si>
    <t>˚N</t>
  </si>
  <si>
    <t>txtPNWinA</t>
  </si>
  <si>
    <t>txtBSWinA</t>
  </si>
  <si>
    <t>txtEIOM</t>
  </si>
  <si>
    <t>txtEBPEL</t>
  </si>
  <si>
    <t>txtEPPEL</t>
  </si>
  <si>
    <t>txtEBDC</t>
  </si>
  <si>
    <t>Total (kW)</t>
  </si>
  <si>
    <t>estimate</t>
  </si>
  <si>
    <t>cboWinUVUnit</t>
  </si>
  <si>
    <t>txtBWWinSSS</t>
  </si>
  <si>
    <t>UYU</t>
  </si>
  <si>
    <t>cbbxS1PressureUnitS2W</t>
  </si>
  <si>
    <t>txtS2WS2OH</t>
  </si>
  <si>
    <t>txtS2WS2F</t>
  </si>
  <si>
    <t>After tax IRR</t>
  </si>
  <si>
    <t>Conv. Fact.</t>
  </si>
  <si>
    <t>Battery</t>
  </si>
  <si>
    <t>singBuild_spaceHeat</t>
  </si>
  <si>
    <t>Name</t>
  </si>
  <si>
    <t>AV</t>
  </si>
  <si>
    <t>SDD</t>
  </si>
  <si>
    <t>Heat and power load used in Equipment selection</t>
  </si>
  <si>
    <t>Tavg=</t>
  </si>
  <si>
    <t>DeltaT=</t>
  </si>
  <si>
    <t>AC energy
demand
(kWh/day)</t>
  </si>
  <si>
    <t>Energy used directly (kWh)</t>
  </si>
  <si>
    <t>¤
¡</t>
  </si>
  <si>
    <t>Menu bar and toolbar</t>
  </si>
  <si>
    <t>Turbine, etc.</t>
  </si>
  <si>
    <t>Total Cost</t>
  </si>
  <si>
    <t>simplePayback</t>
  </si>
  <si>
    <t>latvia</t>
  </si>
  <si>
    <t>compactfluoplugin</t>
  </si>
  <si>
    <t>leavingsecfluidevap</t>
  </si>
  <si>
    <t>lightloadperunit</t>
  </si>
  <si>
    <t>lights</t>
  </si>
  <si>
    <t>halogen</t>
  </si>
  <si>
    <t>loadunload</t>
  </si>
  <si>
    <t>txtEnHD</t>
  </si>
  <si>
    <t>txtEnIIC</t>
  </si>
  <si>
    <t>Selected multiplier</t>
  </si>
  <si>
    <t>Selected capacity</t>
  </si>
  <si>
    <t>beg ($)</t>
  </si>
  <si>
    <t>Daytime Weekday Operating Hours Per Month (h)</t>
  </si>
  <si>
    <t>cbbxPropCoolingPlant</t>
  </si>
  <si>
    <t>txtBaseLoad</t>
  </si>
  <si>
    <t>txtPropLoad</t>
  </si>
  <si>
    <t>impGalSymbol</t>
  </si>
  <si>
    <t>inchHgAtZeroC</t>
  </si>
  <si>
    <t>inchH20</t>
  </si>
  <si>
    <t>pDaySymbol</t>
  </si>
  <si>
    <t>tonneSymbol</t>
  </si>
  <si>
    <t>tonnePerMWhSymbol</t>
  </si>
  <si>
    <t>tonneCO2</t>
  </si>
  <si>
    <t>tonneCO2PerMegawatthour</t>
  </si>
  <si>
    <t>tCO2PerYr</t>
  </si>
  <si>
    <t>CFC-114</t>
  </si>
  <si>
    <t>CFC-115</t>
  </si>
  <si>
    <t>PFC-116</t>
  </si>
  <si>
    <t>HCFC-123</t>
  </si>
  <si>
    <t>HCFC-124</t>
  </si>
  <si>
    <t>South window Summer SHGC PC</t>
  </si>
  <si>
    <t>Distance</t>
  </si>
  <si>
    <t xml:space="preserve">Sensitivity Analysis for </t>
  </si>
  <si>
    <t>Monthly totals</t>
  </si>
  <si>
    <t>cboBaseFCV1</t>
  </si>
  <si>
    <t>selectOneProject</t>
  </si>
  <si>
    <t>Passive gain
no blanket
(MJ/d)</t>
  </si>
  <si>
    <t>Recip engine</t>
  </si>
  <si>
    <t>Exact (10 lbs of water)</t>
  </si>
  <si>
    <t>cbbxSteamFlowUnit</t>
  </si>
  <si>
    <t>cboBaseTM2Unit</t>
  </si>
  <si>
    <t>Error message:</t>
  </si>
  <si>
    <t>flowRange</t>
  </si>
  <si>
    <t>r500CFC</t>
  </si>
  <si>
    <t>r501CFC</t>
  </si>
  <si>
    <t>cbbxBCOpHoursUnit</t>
  </si>
  <si>
    <t>tianjin</t>
  </si>
  <si>
    <t>xinjiang</t>
  </si>
  <si>
    <t>xizang</t>
  </si>
  <si>
    <t>sichuan</t>
  </si>
  <si>
    <t>hainan</t>
  </si>
  <si>
    <t>hebei</t>
  </si>
  <si>
    <t>heilongjiang</t>
  </si>
  <si>
    <t>henan</t>
  </si>
  <si>
    <t>hubei</t>
  </si>
  <si>
    <t>hunan</t>
  </si>
  <si>
    <t>jiangsu</t>
  </si>
  <si>
    <t>jiangxi</t>
  </si>
  <si>
    <t>jilin</t>
  </si>
  <si>
    <t>liaoning</t>
  </si>
  <si>
    <t>s2</t>
  </si>
  <si>
    <t>PC SE selected</t>
  </si>
  <si>
    <t>txtBaseSuperheatTemp</t>
  </si>
  <si>
    <t>start</t>
  </si>
  <si>
    <t>egypt</t>
  </si>
  <si>
    <t>el_salvador</t>
  </si>
  <si>
    <t>Prop valid schedule method 1</t>
  </si>
  <si>
    <t>heatSys3</t>
  </si>
  <si>
    <t>marshall_islands</t>
  </si>
  <si>
    <t>martinique</t>
  </si>
  <si>
    <t>Btu/lb/°F</t>
  </si>
  <si>
    <t>Nauru</t>
  </si>
  <si>
    <t>mL</t>
  </si>
  <si>
    <t>txtHR10b</t>
  </si>
  <si>
    <t>txtHR9b</t>
  </si>
  <si>
    <t>txtHR8b</t>
  </si>
  <si>
    <t>croatia</t>
  </si>
  <si>
    <t>Std dev</t>
  </si>
  <si>
    <t>txtUPDM28</t>
  </si>
  <si>
    <t>txtUPDM27</t>
  </si>
  <si>
    <t>chkWinBCPC</t>
  </si>
  <si>
    <t>cboWinAUnit</t>
  </si>
  <si>
    <t>MNT</t>
  </si>
  <si>
    <t>MZM</t>
  </si>
  <si>
    <t>Cosine of zenith angle at noon (radians)</t>
  </si>
  <si>
    <t>Pe unele computere Nivelul de Securitate Macro în Excel este "ridicat". În acest caz, trebuie resetat nivelul de securitate la "mediu" folosind meniul "Unelte, Macros, Securitate" (Tools, Macro, Security), înainte de utilizarea RETScreen. Altfel softul nu va funcţiona corect.</t>
  </si>
  <si>
    <t>Fuel consumption                (MJ)</t>
  </si>
  <si>
    <t>txtF5p</t>
  </si>
  <si>
    <t>zinc</t>
  </si>
  <si>
    <t>variableSpeed</t>
  </si>
  <si>
    <t>fuel</t>
  </si>
  <si>
    <t>fraction</t>
  </si>
  <si>
    <t>txtPropSteamFlow</t>
  </si>
  <si>
    <t>QAR</t>
  </si>
  <si>
    <t>KRW</t>
  </si>
  <si>
    <t>MDL</t>
  </si>
  <si>
    <t>ROL</t>
  </si>
  <si>
    <t>lbPerHSymbol</t>
  </si>
  <si>
    <t>avgAirLeakage</t>
  </si>
  <si>
    <t>avgUseAirDem</t>
  </si>
  <si>
    <t>constant</t>
  </si>
  <si>
    <t>Molar volume of ideal gas</t>
  </si>
  <si>
    <t>print</t>
  </si>
  <si>
    <t>earthTemp</t>
  </si>
  <si>
    <t>reciprocating</t>
  </si>
  <si>
    <t>refrigSys</t>
  </si>
  <si>
    <t>Программа RETScreen использует макросы Microsoft Excel. Из-за настроек безопасности на некоторых компьютерах возможно придется нажать опцию "Не отключать макросы" при запуске файлов RETScreen в Excel.</t>
  </si>
  <si>
    <t>cboPropHSV1</t>
  </si>
  <si>
    <t>cboBaseCSV1</t>
  </si>
  <si>
    <t>performanceFactor</t>
  </si>
  <si>
    <t>SAH_SeasonalEfficiency</t>
  </si>
  <si>
    <t>DN 800</t>
  </si>
  <si>
    <t>DN 900</t>
  </si>
  <si>
    <t>DN 1000</t>
  </si>
  <si>
    <t>Fuel MJ</t>
  </si>
  <si>
    <t>km²</t>
  </si>
  <si>
    <t>Cool design T</t>
  </si>
  <si>
    <t>deepWell</t>
  </si>
  <si>
    <t>default</t>
  </si>
  <si>
    <t>minNetHeadRange</t>
  </si>
  <si>
    <t>Pitcairn</t>
  </si>
  <si>
    <t>Francis</t>
  </si>
  <si>
    <t>Sri Lanka</t>
  </si>
  <si>
    <t>Temp #3</t>
  </si>
  <si>
    <t>Temp #4</t>
  </si>
  <si>
    <t>txtO2OHEE</t>
  </si>
  <si>
    <t>txtO2OIIC</t>
  </si>
  <si>
    <t>cu in</t>
  </si>
  <si>
    <t>Exact</t>
  </si>
  <si>
    <t>/m³</t>
  </si>
  <si>
    <t>Head loss</t>
  </si>
  <si>
    <t>Prop coeff 1</t>
  </si>
  <si>
    <t>Czech - Česko</t>
  </si>
  <si>
    <t>cboPropFCV1</t>
  </si>
  <si>
    <t>Steamlosses Forms</t>
  </si>
  <si>
    <t>cboBaseFTH2M1</t>
  </si>
  <si>
    <t>Flow used</t>
  </si>
  <si>
    <t>head reduction</t>
  </si>
  <si>
    <t>inletGuideVane</t>
  </si>
  <si>
    <t>inletThrottle</t>
  </si>
  <si>
    <t>uninsulatedbelowgrade</t>
  </si>
  <si>
    <t>uninsulatedongrade</t>
  </si>
  <si>
    <t>calculated</t>
  </si>
  <si>
    <t>W/m - °C</t>
  </si>
  <si>
    <t>negative</t>
  </si>
  <si>
    <t>chkLTM1</t>
  </si>
  <si>
    <t>Valid base sched 2</t>
  </si>
  <si>
    <t>Valid base sched 3</t>
  </si>
  <si>
    <t>Valid base sched 4</t>
  </si>
  <si>
    <t>ES_Fuelselect</t>
  </si>
  <si>
    <t>Debt ($)</t>
  </si>
  <si>
    <t>(yr)</t>
  </si>
  <si>
    <t>HeatRecovery #2</t>
  </si>
  <si>
    <t>HeatRecovery #3</t>
  </si>
  <si>
    <r>
      <t>Carbon dioxide CO</t>
    </r>
    <r>
      <rPr>
        <vertAlign val="subscript"/>
        <sz val="10"/>
        <rFont val="Arial"/>
        <family val="2"/>
      </rPr>
      <t>2</t>
    </r>
  </si>
  <si>
    <r>
      <t>Nitrogen N</t>
    </r>
    <r>
      <rPr>
        <vertAlign val="subscript"/>
        <sz val="10"/>
        <rFont val="Arial"/>
        <family val="2"/>
      </rPr>
      <t>2</t>
    </r>
  </si>
  <si>
    <t>cfmPerFtSquareSymbol</t>
  </si>
  <si>
    <t>bolivia</t>
  </si>
  <si>
    <t>cote_d_ivoire</t>
  </si>
  <si>
    <t>txtDesc5</t>
  </si>
  <si>
    <t>txtDesc4</t>
  </si>
  <si>
    <t>0 if GHG is not used</t>
  </si>
  <si>
    <t>wattPerSquareMeterPerCelsiusSymbol</t>
  </si>
  <si>
    <t>inch3Symbol</t>
  </si>
  <si>
    <t>patioDoor</t>
  </si>
  <si>
    <t>airCavity</t>
  </si>
  <si>
    <t>r401cHCFC</t>
  </si>
  <si>
    <t>North wall</t>
  </si>
  <si>
    <t>East wall</t>
  </si>
  <si>
    <t>South wall</t>
  </si>
  <si>
    <t>Average
temperature
(C)</t>
  </si>
  <si>
    <t>cboBaseCompressor</t>
  </si>
  <si>
    <t>metalprobestart</t>
  </si>
  <si>
    <t>occupancyrate</t>
  </si>
  <si>
    <t>spacetype</t>
  </si>
  <si>
    <t>speedFullLoad</t>
  </si>
  <si>
    <t>Initial costs</t>
  </si>
  <si>
    <t>cbbxS2FlowUnitS2W</t>
  </si>
  <si>
    <t>Saratov</t>
  </si>
  <si>
    <t>saratov</t>
  </si>
  <si>
    <t>Samara</t>
  </si>
  <si>
    <t>samara</t>
  </si>
  <si>
    <t>Sakhalin</t>
  </si>
  <si>
    <t>sakhalin</t>
  </si>
  <si>
    <t>Saint Petersburg</t>
  </si>
  <si>
    <t>saintPetersburg</t>
  </si>
  <si>
    <t>Ryazan</t>
  </si>
  <si>
    <t>ryazan</t>
  </si>
  <si>
    <t>Rostov</t>
  </si>
  <si>
    <t>rostov</t>
  </si>
  <si>
    <t>Pskov</t>
  </si>
  <si>
    <t>pskov</t>
  </si>
  <si>
    <t>Primorski</t>
  </si>
  <si>
    <t>primorski</t>
  </si>
  <si>
    <t>Perm</t>
  </si>
  <si>
    <t>perm</t>
  </si>
  <si>
    <t>Penza</t>
  </si>
  <si>
    <t>penza</t>
  </si>
  <si>
    <t>Orenburg</t>
  </si>
  <si>
    <t>orenburg</t>
  </si>
  <si>
    <t>Orel</t>
  </si>
  <si>
    <t>orel</t>
  </si>
  <si>
    <t>Omsk</t>
  </si>
  <si>
    <t>omsk</t>
  </si>
  <si>
    <t>Novosibirsk</t>
  </si>
  <si>
    <t>novosibirsk</t>
  </si>
  <si>
    <t>Novgorod</t>
  </si>
  <si>
    <t>novgorod</t>
  </si>
  <si>
    <t>North Ossetia</t>
  </si>
  <si>
    <t>northOssetia</t>
  </si>
  <si>
    <t>Nizhni Novgorod</t>
  </si>
  <si>
    <t>nizhniNovgorod</t>
  </si>
  <si>
    <t>Nenets</t>
  </si>
  <si>
    <t>nenets</t>
  </si>
  <si>
    <t>Murmansk</t>
  </si>
  <si>
    <t>optS2S</t>
  </si>
  <si>
    <t>Valid base sched 12</t>
  </si>
  <si>
    <t>fuel source (0=EM,1=model)</t>
  </si>
  <si>
    <t>Togo</t>
  </si>
  <si>
    <t>The value of the language as see in the start sheet</t>
  </si>
  <si>
    <t>TZS</t>
  </si>
  <si>
    <t>UGX</t>
  </si>
  <si>
    <t>Average solar efficiency</t>
  </si>
  <si>
    <t>Average Temp Rise</t>
  </si>
  <si>
    <t>cbbxHeatRecoveryUnitS2S</t>
  </si>
  <si>
    <t>optSHIYesM2</t>
  </si>
  <si>
    <t>Select</t>
  </si>
  <si>
    <t>energyProdCost</t>
  </si>
  <si>
    <t>txtNAIp</t>
  </si>
  <si>
    <t>cbbxSuperHeatTempUnit</t>
  </si>
  <si>
    <t>txtPSize</t>
  </si>
  <si>
    <t>txtBNbUnits</t>
  </si>
  <si>
    <t>txtPNbUnits</t>
  </si>
  <si>
    <t>txtBSP</t>
  </si>
  <si>
    <t>txtPSP</t>
  </si>
  <si>
    <t>kWh/unit</t>
  </si>
  <si>
    <t>Energy used through battery</t>
  </si>
  <si>
    <t>cbbxBaseHeatingPlant</t>
  </si>
  <si>
    <t>txtBEWinSSS</t>
  </si>
  <si>
    <t>txtIICD</t>
  </si>
  <si>
    <t>Length C</t>
  </si>
  <si>
    <t>hydroDB</t>
  </si>
  <si>
    <t>PC CD MWh</t>
  </si>
  <si>
    <t>Initial Efficiency Estimate
(%)</t>
  </si>
  <si>
    <t>txtHR5b</t>
  </si>
  <si>
    <t>multBuild_processHeat</t>
  </si>
  <si>
    <t>trinidad_and_tobago</t>
  </si>
  <si>
    <t>tunisia</t>
  </si>
  <si>
    <t>turkey</t>
  </si>
  <si>
    <t>turkmenistan</t>
  </si>
  <si>
    <t>Lc</t>
  </si>
  <si>
    <t>Light Soil - Dry</t>
  </si>
  <si>
    <t>txtPOHM1</t>
  </si>
  <si>
    <t>checks for power/power multi and central/isolated grid</t>
  </si>
  <si>
    <t>reserve</t>
  </si>
  <si>
    <t>singBuild_multiProcessCool</t>
  </si>
  <si>
    <t>txtBaseFlueGas2</t>
  </si>
  <si>
    <t>HelpBtnCaption</t>
  </si>
  <si>
    <t>cboFBGRVUnit</t>
  </si>
  <si>
    <t>Power Project</t>
  </si>
  <si>
    <t>txtFb</t>
  </si>
  <si>
    <t>saint_lucia</t>
  </si>
  <si>
    <t>Hourly to daily total radiation ratio
at noon
( )</t>
  </si>
  <si>
    <t>Rbar 
(DB 2.19.2)
( )</t>
  </si>
  <si>
    <t>heatSys5</t>
  </si>
  <si>
    <t>illuminLevelSugg</t>
  </si>
  <si>
    <t>Weather</t>
  </si>
  <si>
    <t>cost/unit</t>
  </si>
  <si>
    <t>Pool
wind speed
when cover on
(m/s)</t>
  </si>
  <si>
    <t>hydroPastedCountry</t>
  </si>
  <si>
    <t>photov</t>
  </si>
  <si>
    <t>heatingCap</t>
  </si>
  <si>
    <t>lb/h</t>
  </si>
  <si>
    <t>W/m²</t>
  </si>
  <si>
    <t>Prop total solar gain minus passive solar gain</t>
  </si>
  <si>
    <t>Simplified</t>
  </si>
  <si>
    <t>GHG_POT_mem</t>
  </si>
  <si>
    <t>txtBNOP</t>
  </si>
  <si>
    <t>txtPNOP</t>
  </si>
  <si>
    <t>Cumulative Cash Flows Graph</t>
  </si>
  <si>
    <t>wind speed</t>
  </si>
  <si>
    <t>▼S_Param_mem</t>
  </si>
  <si>
    <t>▼S_range_mem</t>
  </si>
  <si>
    <t xml:space="preserve">البرمجية RETScreen تستعمل"الماكرو". ناتجة علي ثوابت حماية بعض الحواسيب، من المحتمل أنكم قمتم ب "نشط ماكرو" عند فتح ملف RETScreen  في إكسال   </t>
  </si>
  <si>
    <t>airCavityRefl</t>
  </si>
  <si>
    <t>AsphaltRoofing</t>
  </si>
  <si>
    <t>Sch. 1</t>
  </si>
  <si>
    <t>txtBLF4M1</t>
  </si>
  <si>
    <t>Initial Costs – Total (Formula Method)</t>
  </si>
  <si>
    <t>Civil works (other)</t>
  </si>
  <si>
    <t>2-2</t>
  </si>
  <si>
    <t>cbbxS1PressureUnitS2S</t>
  </si>
  <si>
    <t>txtS2SS2P</t>
  </si>
  <si>
    <t>txtS2SS2OH</t>
  </si>
  <si>
    <t>txtS2SS2F</t>
  </si>
  <si>
    <t>cbbxS2FlowUnitS2S</t>
  </si>
  <si>
    <t>txtS2SS2Tmp</t>
  </si>
  <si>
    <t>cbbxS2TempUnitS2S</t>
  </si>
  <si>
    <t>cbbxS2PressureUnit</t>
  </si>
  <si>
    <t>txtNAIb</t>
  </si>
  <si>
    <t>Base total solar gain minus passive solar gain</t>
  </si>
  <si>
    <t>kW/m²</t>
  </si>
  <si>
    <t>kWth</t>
  </si>
  <si>
    <t>tCO2bytSymbol</t>
  </si>
  <si>
    <t>maketplace</t>
  </si>
  <si>
    <t>caseStudies</t>
  </si>
  <si>
    <t>eTextbook</t>
  </si>
  <si>
    <t>cboUnitOpHoursW2W2</t>
  </si>
  <si>
    <t>casestudyHyperlink</t>
  </si>
  <si>
    <t>txtPTM26</t>
  </si>
  <si>
    <t>txtPTM25</t>
  </si>
  <si>
    <t>txtBFBGEP</t>
  </si>
  <si>
    <t>GJ save</t>
  </si>
  <si>
    <t>Adjusted flow</t>
  </si>
  <si>
    <t>Used design values</t>
  </si>
  <si>
    <t>Base heating load</t>
  </si>
  <si>
    <t>mi²</t>
  </si>
  <si>
    <t>building</t>
  </si>
  <si>
    <t>barrel</t>
  </si>
  <si>
    <t>Latent load to cooling</t>
  </si>
  <si>
    <t>BP Solar</t>
  </si>
  <si>
    <t>Monthly energy 
from solar
(MJ)</t>
  </si>
  <si>
    <t>Kerala</t>
  </si>
  <si>
    <t>kerala</t>
  </si>
  <si>
    <t>Iowa</t>
  </si>
  <si>
    <t>iowa</t>
  </si>
  <si>
    <t>Illinois</t>
  </si>
  <si>
    <t>illinois</t>
  </si>
  <si>
    <t>Base leakage (L/s)</t>
  </si>
  <si>
    <t>Prop leakage (L/s)</t>
  </si>
  <si>
    <t>txtNOVUp</t>
  </si>
  <si>
    <t>valuesNotChanged</t>
  </si>
  <si>
    <t>txtF4b</t>
  </si>
  <si>
    <t>txtF3b</t>
  </si>
  <si>
    <t>txtF2b</t>
  </si>
  <si>
    <t>txtF1b</t>
  </si>
  <si>
    <t>GHG ($)</t>
  </si>
  <si>
    <t>desiccant</t>
  </si>
  <si>
    <t>DT pump</t>
  </si>
  <si>
    <t>4-3</t>
  </si>
  <si>
    <t>4-2</t>
  </si>
  <si>
    <t>kW, 80% motor eff.</t>
  </si>
  <si>
    <t>Min</t>
  </si>
  <si>
    <t>Ratio of tilted radiation to horz. Radiation at noon (DB 2.24.2)
( )</t>
  </si>
  <si>
    <t>Tax holiday available</t>
  </si>
  <si>
    <t>ref3:Cane-ASHARE</t>
  </si>
  <si>
    <t>South window Winter SHGC BC</t>
  </si>
  <si>
    <t>kWch</t>
  </si>
  <si>
    <t>(W/m²)/°C²</t>
  </si>
  <si>
    <t>Monthly average
daily radiation
on tilted
surface
(MJ/m²/d)</t>
  </si>
  <si>
    <t>languageShow</t>
  </si>
  <si>
    <t>PYG</t>
  </si>
  <si>
    <t>isFirstRun</t>
  </si>
  <si>
    <t>Photovoltaic</t>
  </si>
  <si>
    <t>txtBNOU</t>
  </si>
  <si>
    <t>txtPNOU</t>
  </si>
  <si>
    <t>txtEnIOM</t>
  </si>
  <si>
    <t>Biogas production kg/kg/d</t>
  </si>
  <si>
    <t>kabardinoBalkaria</t>
  </si>
  <si>
    <t>Jewish Republic</t>
  </si>
  <si>
    <t>jewishRepublic</t>
  </si>
  <si>
    <t>Ivanovo</t>
  </si>
  <si>
    <t>ivanovo</t>
  </si>
  <si>
    <t>Irkutsk</t>
  </si>
  <si>
    <t>irkutsk</t>
  </si>
  <si>
    <t>Dagestan</t>
  </si>
  <si>
    <t>dagestan</t>
  </si>
  <si>
    <t>Chuvashia</t>
  </si>
  <si>
    <t>chuvashia</t>
  </si>
  <si>
    <t>Chukotka</t>
  </si>
  <si>
    <t>chukotka</t>
  </si>
  <si>
    <t>Chita</t>
  </si>
  <si>
    <t>chita</t>
  </si>
  <si>
    <t>Chelyabinsk</t>
  </si>
  <si>
    <t>chelyabinsk</t>
  </si>
  <si>
    <t>Chechnya</t>
  </si>
  <si>
    <t>chechnya</t>
  </si>
  <si>
    <t>Buryatia</t>
  </si>
  <si>
    <t>buryatia</t>
  </si>
  <si>
    <t>Bryansk</t>
  </si>
  <si>
    <t>bryansk</t>
  </si>
  <si>
    <t>Belgorod</t>
  </si>
  <si>
    <t>belgorod</t>
  </si>
  <si>
    <t>Bashkortostan</t>
  </si>
  <si>
    <t>bashkortostan</t>
  </si>
  <si>
    <t>Astrakhan</t>
  </si>
  <si>
    <t>astrakhan</t>
  </si>
  <si>
    <t>Arkhangelsk</t>
  </si>
  <si>
    <t>اس کے علاوہ، بعض کمپیوٹر پر ایکسل میں میکرو کی حفاظتی سطح خود بخود "بہت اعلی" میں مرتب ہوجاتی ہے۔ اس حالت میں، آپ کو RETScreen کا استعمال کرنے سے پہلے "ٹولز، میکرو سیکورٹی۔۔۔" مینو کے انتخاب کا استعمال کرکے حفاظتی سطح کو "متوسط" یا "اعلی" میں دوبارہ مرتب کرنا پڑے گا۔ ورنہ سافٹ ٹھیک طرح سے کام نہيں کرے گا۔</t>
  </si>
  <si>
    <t>Radio buttons link table</t>
  </si>
  <si>
    <t>row</t>
  </si>
  <si>
    <t>columns</t>
  </si>
  <si>
    <t>link column</t>
  </si>
  <si>
    <t>link row</t>
  </si>
  <si>
    <t>value</t>
  </si>
  <si>
    <t>group</t>
  </si>
  <si>
    <t>rate</t>
  </si>
  <si>
    <t>Userdef</t>
  </si>
  <si>
    <t>UserDefGas</t>
  </si>
  <si>
    <t>UserDefSolid</t>
  </si>
  <si>
    <t>T_waterP</t>
  </si>
  <si>
    <t>Tools_RadioButtons</t>
  </si>
  <si>
    <t>cboFBGEPUnit</t>
  </si>
  <si>
    <t>netherlands_antilles</t>
  </si>
  <si>
    <t>new_caledonia</t>
  </si>
  <si>
    <t>new_zealand</t>
  </si>
  <si>
    <t>txtHBPHL</t>
  </si>
  <si>
    <t>txtHPPHL</t>
  </si>
  <si>
    <t>txtUPDM23</t>
  </si>
  <si>
    <t>txtUPDM22</t>
  </si>
  <si>
    <t>txtNOUM211</t>
  </si>
  <si>
    <t>txtNOUM21</t>
  </si>
  <si>
    <t>(comments)</t>
  </si>
  <si>
    <t>EE_CB5</t>
  </si>
  <si>
    <t>Biomass system</t>
  </si>
  <si>
    <t>Wind turbine</t>
  </si>
  <si>
    <t>base</t>
  </si>
  <si>
    <t>cboBCD</t>
  </si>
  <si>
    <t>txtHR7b</t>
  </si>
  <si>
    <t>txtHR6b</t>
  </si>
  <si>
    <t>cboHeatingDemand1Unit</t>
  </si>
  <si>
    <t>optSHINoM2</t>
  </si>
  <si>
    <t>optSCIYesM2</t>
  </si>
  <si>
    <t>optSCINoM2</t>
  </si>
  <si>
    <t>Lang_tool_solidFuel</t>
  </si>
  <si>
    <t>tCO2/t</t>
  </si>
  <si>
    <t>Energy used through battery (kWh)</t>
  </si>
  <si>
    <t>txtPCOpHours5</t>
  </si>
  <si>
    <t>Level</t>
  </si>
  <si>
    <t>L&amp;N</t>
  </si>
  <si>
    <t>EM</t>
  </si>
  <si>
    <t>M</t>
  </si>
  <si>
    <t>Proposed heating demand</t>
  </si>
  <si>
    <t>ZWD</t>
  </si>
  <si>
    <t>JPY</t>
  </si>
  <si>
    <t>Min capacity</t>
  </si>
  <si>
    <t>Monthly energy delivered (season 
of use) (kWh)</t>
  </si>
  <si>
    <t>txtD8M1</t>
  </si>
  <si>
    <t>txtD7M1</t>
  </si>
  <si>
    <t>txtD6M1</t>
  </si>
  <si>
    <t>coolDelivered</t>
  </si>
  <si>
    <t>Reflectance
of water 
for direct beam
radiation
( )</t>
  </si>
  <si>
    <t>brickMult</t>
  </si>
  <si>
    <t>txtPOH7M1</t>
  </si>
  <si>
    <t>Heating</t>
  </si>
  <si>
    <t>Technology</t>
  </si>
  <si>
    <t>Average Heating temp</t>
  </si>
  <si>
    <t>Sch 2</t>
  </si>
  <si>
    <t>($)</t>
  </si>
  <si>
    <t>Sensitivity</t>
  </si>
  <si>
    <t>Load calcs</t>
  </si>
  <si>
    <t>Std (kW)</t>
  </si>
  <si>
    <t>STD (kWh)</t>
  </si>
  <si>
    <t>Dec</t>
  </si>
  <si>
    <t>GHG Comparison</t>
  </si>
  <si>
    <t>Prop
Syst 3</t>
  </si>
  <si>
    <t>Prop
Syst 4</t>
  </si>
  <si>
    <t>buildingnorth</t>
  </si>
  <si>
    <t>medium</t>
  </si>
  <si>
    <t>Energy delivered</t>
  </si>
  <si>
    <t>Actual Temp Rise 3 (ºC)</t>
  </si>
  <si>
    <t>s1</t>
  </si>
  <si>
    <t>Dense Rock (Granite)</t>
  </si>
  <si>
    <t>HideCodeES_DuctF2</t>
  </si>
  <si>
    <t>txtBCOpHours11</t>
  </si>
  <si>
    <t>txtBCOpHours1</t>
  </si>
  <si>
    <t>txtBCOpHours10</t>
  </si>
  <si>
    <t>txtPSWinSSS</t>
  </si>
  <si>
    <t>chkSSBCPC</t>
  </si>
  <si>
    <t>H</t>
  </si>
  <si>
    <t>O</t>
  </si>
  <si>
    <t>N</t>
  </si>
  <si>
    <t>createByPrevMsg</t>
  </si>
  <si>
    <t>fieldsReplaceMsg</t>
  </si>
  <si>
    <t>Fuel Cons MJ</t>
  </si>
  <si>
    <t>Base coeff 3</t>
  </si>
  <si>
    <t>seeProjDB</t>
  </si>
  <si>
    <t>tech</t>
  </si>
  <si>
    <t>resourceMethod</t>
  </si>
  <si>
    <t>restaurant</t>
  </si>
  <si>
    <t>restaurantWaste</t>
  </si>
  <si>
    <t>Lights #3</t>
  </si>
  <si>
    <t>txtHR3p</t>
  </si>
  <si>
    <t>Base schedule index</t>
  </si>
  <si>
    <t>m3/year req</t>
  </si>
  <si>
    <t>txtPHRM1</t>
  </si>
  <si>
    <t>heatLoad</t>
  </si>
  <si>
    <t>Renewable energy equipment (4)</t>
  </si>
  <si>
    <t>txtNOUM25</t>
  </si>
  <si>
    <t>txtNOUM24</t>
  </si>
  <si>
    <t>cboPType</t>
  </si>
  <si>
    <t xml:space="preserve">RETScreen софтверот користи Microsoft Excel макронаредби. Поради безбедносните поставувања макронаредбите на некои компјутери можеби ќе треба да се активираат макронаредбите при отворање на датотека во Excel RETScreen. </t>
  </si>
  <si>
    <t>Покрај тоа, на некои компјутери, нивото на безбедност на макронаредбите во Excel е автоматски поставено на „многу високо.“ Во овој случај, ќе мора повторно да го поставите ниво на безбедност на „средно“ или „високо“ со користење на „Алатки, Макронаредби, Безбедност...“ мени за избор пред да го користите RETScreen. Инаку, софтверот нема да функционира правилно.</t>
  </si>
  <si>
    <t>또한 몇몇 컴퓨터에서는 엑셀내 매크로 보안 수준이 "매우 높음"으로 자동 설정되어 있다. 이 경우 RETScreen을 사용하기 전에 "도구, 매크로, 보안..." 메뉴를 사용함으로서 보안수준을 "보통" 혹은 "높음"으로 재설정해야 한다. 그렇지 않으면 프로그램이 정상 작동하지 않을 것입니다.</t>
  </si>
  <si>
    <t>% / K</t>
  </si>
  <si>
    <t>/(m³/s)</t>
  </si>
  <si>
    <t>txtPCOpHours7</t>
  </si>
  <si>
    <t>txtPCOpHours6</t>
  </si>
  <si>
    <t>=ModTypeIndex</t>
  </si>
  <si>
    <t>txtPODM1</t>
  </si>
  <si>
    <t>txtIncrementalCost</t>
  </si>
  <si>
    <t>cbbxBaseFuelType</t>
  </si>
  <si>
    <t>Rp</t>
  </si>
  <si>
    <t>tempfluegas</t>
  </si>
  <si>
    <t>throttleLowUnload</t>
  </si>
  <si>
    <t>turnValve</t>
  </si>
  <si>
    <t>Penstock (11)</t>
  </si>
  <si>
    <t>L/m2</t>
  </si>
  <si>
    <t>Cbx 1-12</t>
  </si>
  <si>
    <t>Mem</t>
  </si>
  <si>
    <t>Cbx 13-</t>
  </si>
  <si>
    <t>Monthly
energy
delivered
(season 
of use)
(kWh AC)</t>
  </si>
  <si>
    <t>ModType</t>
  </si>
  <si>
    <t>m2</t>
  </si>
  <si>
    <t>Method 3</t>
  </si>
  <si>
    <t>ProcessSteam #2</t>
  </si>
  <si>
    <t>ProcessSteam #3</t>
  </si>
  <si>
    <t>ProcessSteam #4</t>
  </si>
  <si>
    <t>txtS2WS1P</t>
  </si>
  <si>
    <t>txtHR11p</t>
  </si>
  <si>
    <t>south_africa</t>
  </si>
  <si>
    <t>spain</t>
  </si>
  <si>
    <t>Monthly average daily utilizability (DB 2.24.4a) ( )</t>
  </si>
  <si>
    <t>tool</t>
  </si>
  <si>
    <t>Std COP</t>
  </si>
  <si>
    <t>nasaSatData</t>
  </si>
  <si>
    <t>alkaline</t>
  </si>
  <si>
    <t>txtBODM1</t>
  </si>
  <si>
    <t>Tools</t>
  </si>
  <si>
    <t>Classification</t>
  </si>
  <si>
    <t>Boiler</t>
  </si>
  <si>
    <t>Furnace</t>
  </si>
  <si>
    <t>Heater</t>
  </si>
  <si>
    <t>Heat pump</t>
  </si>
  <si>
    <t>Kiribati</t>
  </si>
  <si>
    <t>highMultiZone</t>
  </si>
  <si>
    <t>existing</t>
  </si>
  <si>
    <t>Solar Available While Operating (MWh)</t>
  </si>
  <si>
    <t>Wind correction factor</t>
  </si>
  <si>
    <t>c0</t>
  </si>
  <si>
    <t>cop</t>
  </si>
  <si>
    <t>Total fuel</t>
  </si>
  <si>
    <t>Function RoundIt() needed for Excel 97</t>
  </si>
  <si>
    <t>hydroPastedProvince</t>
  </si>
  <si>
    <t>hydroPastedCurveType</t>
  </si>
  <si>
    <t>hydroPastedGaugeName</t>
  </si>
  <si>
    <t>double</t>
  </si>
  <si>
    <t>cboPHS</t>
  </si>
  <si>
    <t>STD</t>
  </si>
  <si>
    <t>SAR</t>
  </si>
  <si>
    <t>efficiency</t>
  </si>
  <si>
    <t>V</t>
  </si>
  <si>
    <t>Base
EDC
7-12</t>
  </si>
  <si>
    <t>Prop
EDC
1-6</t>
  </si>
  <si>
    <t>Prop
EDC
7-12</t>
  </si>
  <si>
    <t>EM_gridtype</t>
  </si>
  <si>
    <t>txtBNValueP</t>
  </si>
  <si>
    <t>Heating system - user defined</t>
  </si>
  <si>
    <t>SAHeff equation</t>
  </si>
  <si>
    <t>Performance factor</t>
  </si>
  <si>
    <t>cboProp3SV2</t>
  </si>
  <si>
    <t>cboProp2SV2</t>
  </si>
  <si>
    <t>ALL</t>
  </si>
  <si>
    <t>norfolk_island</t>
  </si>
  <si>
    <t>norway</t>
  </si>
  <si>
    <t>oman</t>
  </si>
  <si>
    <t>txtBSWinSSW</t>
  </si>
  <si>
    <t>txtBWWinSSW</t>
  </si>
  <si>
    <t>2-5</t>
  </si>
  <si>
    <t>cubicFeetSymbol</t>
  </si>
  <si>
    <t>volume</t>
  </si>
  <si>
    <t>Lights #1</t>
  </si>
  <si>
    <t>cboBaseFFTF</t>
  </si>
  <si>
    <t>Temp Coef</t>
  </si>
  <si>
    <t>SteamLosses #5</t>
  </si>
  <si>
    <t>HeatRecovery #1</t>
  </si>
  <si>
    <t>std cond</t>
  </si>
  <si>
    <t>DN 150</t>
  </si>
  <si>
    <t>DN 350</t>
  </si>
  <si>
    <t>DN 400</t>
  </si>
  <si>
    <t>DN 500</t>
  </si>
  <si>
    <t>1200 - 2400</t>
  </si>
  <si>
    <t>AFA</t>
  </si>
  <si>
    <t>ES_CoolingtypeP</t>
  </si>
  <si>
    <t>ES_CoolingtypeB</t>
  </si>
  <si>
    <t>LangName</t>
  </si>
  <si>
    <t>LangInFrench</t>
  </si>
  <si>
    <t>Hide heat process monthly</t>
  </si>
  <si>
    <t>txtPFBGRV</t>
  </si>
  <si>
    <t>peakload</t>
  </si>
  <si>
    <t>Heating design temp</t>
  </si>
  <si>
    <t>U-Value</t>
  </si>
  <si>
    <t>Min Temp</t>
  </si>
  <si>
    <t>MYR</t>
  </si>
  <si>
    <t>MVR</t>
  </si>
  <si>
    <t>Ground water</t>
  </si>
  <si>
    <t>2-3</t>
  </si>
  <si>
    <t>wall</t>
  </si>
  <si>
    <t>Lights</t>
  </si>
  <si>
    <t>O2</t>
  </si>
  <si>
    <t>N2</t>
  </si>
  <si>
    <t>As fired</t>
  </si>
  <si>
    <t>kWth full output</t>
  </si>
  <si>
    <t>solarCollFlowRate</t>
  </si>
  <si>
    <t>Based on LHV (net heating value)</t>
  </si>
  <si>
    <t>aSi</t>
  </si>
  <si>
    <t>txtBNWinA</t>
  </si>
  <si>
    <t>Available flow</t>
  </si>
  <si>
    <t>System 2</t>
  </si>
  <si>
    <t>Monthly average
daily radiation
on tilted
surface
(seas. of use)
(MJ/m²)</t>
  </si>
  <si>
    <t>Total base latent load</t>
  </si>
  <si>
    <t>Total prop latent load</t>
  </si>
  <si>
    <t>Base total UA * 24 / 10 ^ 6</t>
  </si>
  <si>
    <t>Base
Coeff 7</t>
  </si>
  <si>
    <t>Prop
Sch 9</t>
  </si>
  <si>
    <t>x=total steam</t>
  </si>
  <si>
    <t>positive</t>
  </si>
  <si>
    <t>RETScreenMsg</t>
  </si>
  <si>
    <t>Maine</t>
  </si>
  <si>
    <t>maine</t>
  </si>
  <si>
    <t>Michigan</t>
  </si>
  <si>
    <t>michigan</t>
  </si>
  <si>
    <t>Minor Islands</t>
  </si>
  <si>
    <t>minorIslands</t>
  </si>
  <si>
    <t>Minnesota</t>
  </si>
  <si>
    <t>minnesota</t>
  </si>
  <si>
    <t>Missouri</t>
  </si>
  <si>
    <t>missouri</t>
  </si>
  <si>
    <t>Mississippi</t>
  </si>
  <si>
    <t>mississippi</t>
  </si>
  <si>
    <t>Montana</t>
  </si>
  <si>
    <t>montana</t>
  </si>
  <si>
    <t>North Carolina</t>
  </si>
  <si>
    <t>northCarolina</t>
  </si>
  <si>
    <t>txtPWWinUV</t>
  </si>
  <si>
    <t>ES_PowerType</t>
  </si>
  <si>
    <t>russian_federation</t>
  </si>
  <si>
    <t>rwanda</t>
  </si>
  <si>
    <t>saint_helena</t>
  </si>
  <si>
    <t>Correction factor
Evans fig. 2
( )</t>
  </si>
  <si>
    <t>Drop-down lists</t>
  </si>
  <si>
    <t>HFC-23</t>
  </si>
  <si>
    <t>HFC-32</t>
  </si>
  <si>
    <t>CFC-113</t>
  </si>
  <si>
    <t>HCFC-409A</t>
  </si>
  <si>
    <t>HFC-410A</t>
  </si>
  <si>
    <t>HCFC-411A</t>
  </si>
  <si>
    <t>HCFC-411B</t>
  </si>
  <si>
    <t>HCFC-412A</t>
  </si>
  <si>
    <t>CFC-500</t>
  </si>
  <si>
    <t>CFC-501</t>
  </si>
  <si>
    <t>CFC-502</t>
  </si>
  <si>
    <t>CFC-503</t>
  </si>
  <si>
    <t>CFC-504</t>
  </si>
  <si>
    <t>HFC-507A</t>
  </si>
  <si>
    <t>txtBRRV</t>
  </si>
  <si>
    <t>txtPRRV</t>
  </si>
  <si>
    <t>txtBSDA</t>
  </si>
  <si>
    <t>Hemisphere=</t>
  </si>
  <si>
    <t>Burundi</t>
  </si>
  <si>
    <t>Samoa</t>
  </si>
  <si>
    <t>atm</t>
  </si>
  <si>
    <t>The name of the technology to show in the Project Form</t>
  </si>
  <si>
    <t>Energy absorption rate (set to 100%)</t>
  </si>
  <si>
    <t>Turbine type</t>
  </si>
  <si>
    <t>txtBaseSeasonalEfficiency</t>
  </si>
  <si>
    <t>Base heating demand</t>
  </si>
  <si>
    <t>Monthly average
daily
extrater.
radiation
on horizontal
(MJ/m2/d)</t>
  </si>
  <si>
    <t>Y</t>
  </si>
  <si>
    <t>Rs</t>
  </si>
  <si>
    <t>obMethod1</t>
  </si>
  <si>
    <t>obMethod2</t>
  </si>
  <si>
    <t>cboPropCSV2</t>
  </si>
  <si>
    <t>oneToneN2O</t>
  </si>
  <si>
    <t>thermalFluidHeat</t>
  </si>
  <si>
    <t>showAltUnits</t>
  </si>
  <si>
    <t>secondCurrency</t>
  </si>
  <si>
    <t>AI</t>
  </si>
  <si>
    <t>kJPerkgPerCelsius</t>
  </si>
  <si>
    <t>concreteBlock</t>
  </si>
  <si>
    <t>Condition for Year-to-positive cash flow function</t>
  </si>
  <si>
    <t>&gt;0</t>
  </si>
  <si>
    <t>h</t>
  </si>
  <si>
    <t>MWh</t>
  </si>
  <si>
    <t>Total</t>
  </si>
  <si>
    <t>Heat</t>
  </si>
  <si>
    <t>MAD</t>
  </si>
  <si>
    <t>YER</t>
  </si>
  <si>
    <t>HR * #Unit B</t>
  </si>
  <si>
    <t>HR * #Unit P</t>
  </si>
  <si>
    <t>CDF</t>
  </si>
  <si>
    <t>KPW</t>
  </si>
  <si>
    <t>Chart 3</t>
  </si>
  <si>
    <t>Phase</t>
  </si>
  <si>
    <t>Macedonian - македонски јазик</t>
  </si>
  <si>
    <t>Важни информации</t>
  </si>
  <si>
    <t>Fuel consumption                 (MJ)</t>
  </si>
  <si>
    <t>750 - 1100</t>
  </si>
  <si>
    <t>5 - 10</t>
  </si>
  <si>
    <t>200 - 300</t>
  </si>
  <si>
    <t>350- 785</t>
  </si>
  <si>
    <t>500- 700</t>
  </si>
  <si>
    <t>350 - 750</t>
  </si>
  <si>
    <t>North window Winter SHGC PC</t>
  </si>
  <si>
    <t>East window Winter SHGC PC</t>
  </si>
  <si>
    <t>Std.Dev.</t>
  </si>
  <si>
    <t>biosys</t>
  </si>
  <si>
    <t>25 - 50</t>
  </si>
  <si>
    <t>LN_SD</t>
  </si>
  <si>
    <t>Income</t>
  </si>
  <si>
    <t>Volume of excavation - soil</t>
  </si>
  <si>
    <t>flowType</t>
  </si>
  <si>
    <t>fluidLoadFullFlow</t>
  </si>
  <si>
    <t>Energy efficiency measures</t>
  </si>
  <si>
    <t>% weight</t>
  </si>
  <si>
    <t>Power system</t>
  </si>
  <si>
    <t>Test</t>
  </si>
  <si>
    <t>txtBaseCUH2M2</t>
  </si>
  <si>
    <t>txtBFM28</t>
  </si>
  <si>
    <t>txtBFM27</t>
  </si>
  <si>
    <t>toneCO2</t>
  </si>
  <si>
    <t>June</t>
  </si>
  <si>
    <t>কিছু কম্পিউটারে এক্সেল ম্যাক্রো নিরাপত্তা স্তর(security level) স্বয়ংক্রিয় ভাবে "অতি উচ্চ" রাখা হয় | RETScreen ব্যবহারের আগে আপনাকে নিরাপত্তার স্তর "Tools,Macro,Security…" মেনু থেকে "মধ্যম" বা "উচ্চ" করতে হবে, না হলে RETScreen সঠিক ভাবে কাজ করবে না |</t>
  </si>
  <si>
    <t>cboPHSM1</t>
  </si>
  <si>
    <t>cboBHSM1</t>
  </si>
  <si>
    <t>cboPHSM2</t>
  </si>
  <si>
    <t>cboBHSM2</t>
  </si>
  <si>
    <t>frameArea</t>
  </si>
  <si>
    <t>lb</t>
  </si>
  <si>
    <t>bar</t>
  </si>
  <si>
    <t>cboBFBGD</t>
  </si>
  <si>
    <t>kcalSymbol</t>
  </si>
  <si>
    <t>kcalKgSymbol</t>
  </si>
  <si>
    <t>kgSymbol</t>
  </si>
  <si>
    <t>Std pro kW elect</t>
  </si>
  <si>
    <t>Pro MWh elect</t>
  </si>
  <si>
    <t>LN_heatsystem</t>
  </si>
  <si>
    <t>Gaz turbine PDB type</t>
  </si>
  <si>
    <t>c2</t>
  </si>
  <si>
    <t>Total
water
makeup
(L/d)</t>
  </si>
  <si>
    <t>Max ASR</t>
  </si>
  <si>
    <t>Cluster process</t>
  </si>
  <si>
    <t>Apr</t>
  </si>
  <si>
    <t>kgPerM3Symbol</t>
  </si>
  <si>
    <t>lbPerFt3Symbol</t>
  </si>
  <si>
    <t>singBuild_spaceProcessCool</t>
  </si>
  <si>
    <t>Matched demand (kWh/day)</t>
  </si>
  <si>
    <t>Passive gains
(MJ/d)</t>
  </si>
  <si>
    <t>Biogas</t>
  </si>
  <si>
    <t>preparedBy</t>
  </si>
  <si>
    <t>projectType</t>
  </si>
  <si>
    <t>gridType</t>
  </si>
  <si>
    <t>SteamLosses #2</t>
  </si>
  <si>
    <t>Demand and rate estimator</t>
  </si>
  <si>
    <t>Energy into
battery
(kWh/day)</t>
  </si>
  <si>
    <t>PC SE</t>
  </si>
  <si>
    <t>n/a</t>
  </si>
  <si>
    <t>Isolated-grid</t>
  </si>
  <si>
    <t>Summer?</t>
  </si>
  <si>
    <t>Temperature</t>
  </si>
  <si>
    <t>L/mol</t>
  </si>
  <si>
    <t>fuelConsum</t>
  </si>
  <si>
    <t>=HideCodeLN_Cool_CM</t>
  </si>
  <si>
    <t>lowE</t>
  </si>
  <si>
    <t>maxNetHeadRange</t>
  </si>
  <si>
    <t>maxGateFlowAtMinHead</t>
  </si>
  <si>
    <t>maxGateFlowAtMaxHead</t>
  </si>
  <si>
    <t>constant used for the air change rate</t>
  </si>
  <si>
    <t xml:space="preserve">pipe </t>
  </si>
  <si>
    <t>Fuel consumption full output</t>
  </si>
  <si>
    <t>txtHR10p</t>
  </si>
  <si>
    <t>singBuild_processHeat</t>
  </si>
  <si>
    <t>PV energy delivered to battery (kWh/d)</t>
  </si>
  <si>
    <t>dateMod</t>
  </si>
  <si>
    <t>windSpeed</t>
  </si>
  <si>
    <t>VarTab01</t>
  </si>
  <si>
    <t>kyrgyzstan</t>
  </si>
  <si>
    <t>txtBLoadSize9</t>
  </si>
  <si>
    <t>cbbxTempUnit</t>
  </si>
  <si>
    <t>model version</t>
  </si>
  <si>
    <t>modelVersion</t>
  </si>
  <si>
    <t>manualFuelFeed</t>
  </si>
  <si>
    <t>eritrea</t>
  </si>
  <si>
    <t>Temporary save</t>
  </si>
  <si>
    <t>proposed</t>
  </si>
  <si>
    <t>murmansk</t>
  </si>
  <si>
    <t>Moskovskaya Oblast</t>
  </si>
  <si>
    <t>moskovskayaOblast</t>
  </si>
  <si>
    <t>Moscow</t>
  </si>
  <si>
    <t>moscow</t>
  </si>
  <si>
    <t>Mordovia</t>
  </si>
  <si>
    <t>mordovia</t>
  </si>
  <si>
    <t>Mari El</t>
  </si>
  <si>
    <t>mariEl</t>
  </si>
  <si>
    <t>Magadan</t>
  </si>
  <si>
    <t>magadan</t>
  </si>
  <si>
    <t>Lipetsk</t>
  </si>
  <si>
    <t>lipetsk</t>
  </si>
  <si>
    <t>CFC-11</t>
  </si>
  <si>
    <t>CFC-12</t>
  </si>
  <si>
    <t>HCFC-22</t>
  </si>
  <si>
    <t>txtS2SS1P</t>
  </si>
  <si>
    <t>Programvaran RETScreen använder makron. Beroende på vilka säkerhetsinställningar för makron som Ni har i Er dator, kan det bli nödvändigt att aktivera makron när Ni öppnar RETScreen -filen i Excel.</t>
  </si>
  <si>
    <t>PLF with extraction, heat used</t>
  </si>
  <si>
    <t>HideCodeES_HeatST1</t>
  </si>
  <si>
    <t>Sky temperature
(K)</t>
  </si>
  <si>
    <t>watertempmax</t>
  </si>
  <si>
    <t>CO2contentfluegas</t>
  </si>
  <si>
    <t>compressedair</t>
  </si>
  <si>
    <t>condensreturn</t>
  </si>
  <si>
    <t>condenstemp</t>
  </si>
  <si>
    <t>energySaved</t>
  </si>
  <si>
    <t>Full power output, with extraction, used</t>
  </si>
  <si>
    <t>Appears in Building envelope</t>
  </si>
  <si>
    <t>Demand met through battery (kWh/day)</t>
  </si>
  <si>
    <t>cancel</t>
  </si>
  <si>
    <t>PLF no extraction, heat available</t>
  </si>
  <si>
    <t>Min Heat</t>
  </si>
  <si>
    <t>/CAD</t>
  </si>
  <si>
    <t>kCal/mol</t>
  </si>
  <si>
    <t xml:space="preserve">  </t>
  </si>
  <si>
    <t>PLF with extraction, heat available</t>
  </si>
  <si>
    <t>Fuel list</t>
  </si>
  <si>
    <t>txtPropFlueGas2</t>
  </si>
  <si>
    <t>sawSanderDust</t>
  </si>
  <si>
    <t>chips</t>
  </si>
  <si>
    <t>pellets</t>
  </si>
  <si>
    <t>Full power output with extraction, required to meet heat load</t>
  </si>
  <si>
    <t>kJ/h</t>
  </si>
  <si>
    <t>Fuel saved</t>
  </si>
  <si>
    <t>optSHINoM1</t>
  </si>
  <si>
    <t>Refrigeration #1</t>
  </si>
  <si>
    <t>txtIOMCSD</t>
  </si>
  <si>
    <t>cboBCS</t>
  </si>
  <si>
    <t>cboPCS</t>
  </si>
  <si>
    <t>VarTab02</t>
  </si>
  <si>
    <t>Titles for graphs</t>
  </si>
  <si>
    <t>Valid base cooling system</t>
  </si>
  <si>
    <t>niger</t>
  </si>
  <si>
    <t>nigeria</t>
  </si>
  <si>
    <t>EE_CB21</t>
  </si>
  <si>
    <t>EE_CB22</t>
  </si>
  <si>
    <t>EE_CB23</t>
  </si>
  <si>
    <t>/L</t>
  </si>
  <si>
    <t>january</t>
  </si>
  <si>
    <t>txtD5M1</t>
  </si>
  <si>
    <t>txtD4M1</t>
  </si>
  <si>
    <t>Ventilation #1</t>
  </si>
  <si>
    <t>Impulse turbine rpm (360 to 600 rpm)</t>
  </si>
  <si>
    <t>hotwater</t>
  </si>
  <si>
    <t>density</t>
  </si>
  <si>
    <t>copseasonal</t>
  </si>
  <si>
    <t>sattemp</t>
  </si>
  <si>
    <t>Power system switch</t>
  </si>
  <si>
    <t>loadNet</t>
  </si>
  <si>
    <t>http://www.retscreen.net/links/other_data_site_chp.html</t>
  </si>
  <si>
    <t>Heating demand</t>
  </si>
  <si>
    <t>H elect impact</t>
  </si>
  <si>
    <t>Output required to meet heat load with maximum power prod</t>
  </si>
  <si>
    <t>Debt ratio</t>
  </si>
  <si>
    <t>kJ/kg</t>
  </si>
  <si>
    <t>kJ/kg K</t>
  </si>
  <si>
    <t>c
(DB 2.24.4d)</t>
  </si>
  <si>
    <t>Selected+adj</t>
  </si>
  <si>
    <t>Base Occ Vent</t>
  </si>
  <si>
    <t>txtD2</t>
  </si>
  <si>
    <t>txtD3</t>
  </si>
  <si>
    <t>txtD10</t>
  </si>
  <si>
    <t>txtD9</t>
  </si>
  <si>
    <t>txtD8</t>
  </si>
  <si>
    <t>noThermBreak</t>
  </si>
  <si>
    <t>Month information</t>
  </si>
  <si>
    <t>cocos</t>
  </si>
  <si>
    <t>FSaAT</t>
  </si>
  <si>
    <t>Passive gain 
with blanket
(MJ/d)</t>
  </si>
  <si>
    <t>WattSymbol</t>
  </si>
  <si>
    <t>Continuous demand (kWh/day)</t>
  </si>
  <si>
    <t>polysType2</t>
  </si>
  <si>
    <t>Glazed equations</t>
  </si>
  <si>
    <t>Hours of sunlight</t>
  </si>
  <si>
    <t>hoursyear</t>
  </si>
  <si>
    <t>hoursweek</t>
  </si>
  <si>
    <t>december</t>
  </si>
  <si>
    <t>windows</t>
  </si>
  <si>
    <t>© Minister of Natural Resources Canada 1997-2012.</t>
  </si>
  <si>
    <t>NRCan/CanmetENERGY</t>
  </si>
  <si>
    <t>PictureEN</t>
  </si>
  <si>
    <t>LogoRetEn</t>
  </si>
  <si>
    <t>http://www.retscreen.net/e/training/</t>
  </si>
  <si>
    <t>mailto:rets@nrcan.gc.ca</t>
  </si>
  <si>
    <t>http://www.retscreen.net/links/marketplace.html</t>
  </si>
  <si>
    <t>http://www.retscreen.net/links/etextbook.html</t>
  </si>
  <si>
    <t>http://www.retscreen.net/links/calendar.html</t>
  </si>
  <si>
    <t>http://www.retscreen.net/links/webregistrationEN.html</t>
  </si>
  <si>
    <t>http://www.retscreen.net/links/partners.html</t>
  </si>
  <si>
    <t>http://www.retscreen.net/links/forum.html</t>
  </si>
  <si>
    <t>http://www.retscreen.net/links/studies.html</t>
  </si>
  <si>
    <t>http://retscreen.net/links/trainingmaterials.html</t>
  </si>
  <si>
    <t>cboBaseFM2Unit</t>
  </si>
  <si>
    <t>txtDM211</t>
  </si>
  <si>
    <t>txtDM21</t>
  </si>
  <si>
    <t>txtNOUM22</t>
  </si>
  <si>
    <t>Monthly average
daily radiation
on tilted
surface
(MJ/m²)</t>
  </si>
  <si>
    <t>PV Array</t>
  </si>
  <si>
    <t>txtO2OS2Tmp</t>
  </si>
  <si>
    <t>East window Winter SHGC BC</t>
  </si>
  <si>
    <t>Angola</t>
  </si>
  <si>
    <t>KWD</t>
  </si>
  <si>
    <t>Dodatno, na nekim računalima, razina sigurnosti za makroe u Excelu je automatski postavljena na "vrlo visoka". Ako je ovo slučaj, sigurnosna razina treba se promijeniti na "srednje" ili "visoko" korištenjem menija "Tools - Macro - Security..." prije korištenja RETScreena. U protivnom softver neće imati svoju punu funkcionalnost.</t>
  </si>
  <si>
    <t>Cash Outflows</t>
  </si>
  <si>
    <t>vermiculLoose</t>
  </si>
  <si>
    <t>vinylSiding</t>
  </si>
  <si>
    <t>Full power output</t>
  </si>
  <si>
    <t>cbbxS1FlowUnitS2W</t>
  </si>
  <si>
    <t>Relative long-wave sky irradiance times emit. over absorptance (W/m2)</t>
  </si>
  <si>
    <t>type</t>
  </si>
  <si>
    <t>Grid MWh</t>
  </si>
  <si>
    <t>temperature for the adjusted heating degree days</t>
  </si>
  <si>
    <t>constants</t>
  </si>
  <si>
    <t>Heating system pasted</t>
  </si>
  <si>
    <t>Other</t>
  </si>
  <si>
    <t>EE_CB27</t>
  </si>
  <si>
    <t>Consump</t>
  </si>
  <si>
    <t>South window Winter SHGC PC</t>
  </si>
  <si>
    <t>sudan</t>
  </si>
  <si>
    <t>txtRefrigGWPP</t>
  </si>
  <si>
    <t>cboPFBGD</t>
  </si>
  <si>
    <t>Ground heat exchanger layout</t>
  </si>
  <si>
    <t>Solar Available (MWh)</t>
  </si>
  <si>
    <t>Local (Canada)</t>
  </si>
  <si>
    <t>txtEPDC</t>
  </si>
  <si>
    <t>swaziland</t>
  </si>
  <si>
    <t>sao_tome_and_principe</t>
  </si>
  <si>
    <t>Wind energy #1</t>
  </si>
  <si>
    <t>T</t>
  </si>
  <si>
    <t>EEM_T6</t>
  </si>
  <si>
    <t>Fuel type #2</t>
  </si>
  <si>
    <t>seeProdDB</t>
  </si>
  <si>
    <t>compToolsSheet</t>
  </si>
  <si>
    <t>txtPEFLM2</t>
  </si>
  <si>
    <t>notReq</t>
  </si>
  <si>
    <t>baseLoadSys</t>
  </si>
  <si>
    <t>Croatian - Hrvatski</t>
  </si>
  <si>
    <t>yearlyCashFlows</t>
  </si>
  <si>
    <t xml:space="preserve">A=TSR extracted steam </t>
  </si>
  <si>
    <t>Monthly 
average
wind speed
(m/s)</t>
  </si>
  <si>
    <t>off grid other</t>
  </si>
  <si>
    <t>obHeatingImpactYes2</t>
  </si>
  <si>
    <t>txtPLoading1</t>
  </si>
  <si>
    <t>txtPLoading10</t>
  </si>
  <si>
    <t>txtPLoading9</t>
  </si>
  <si>
    <t>template</t>
  </si>
  <si>
    <t>WDAvgatmospres</t>
  </si>
  <si>
    <t>January</t>
  </si>
  <si>
    <t>MWh-process</t>
  </si>
  <si>
    <t>tstrat</t>
  </si>
  <si>
    <t>Cost factor</t>
  </si>
  <si>
    <t>Mixed Air Temp 2 (°C)</t>
  </si>
  <si>
    <t>Fuel cost - base case</t>
  </si>
  <si>
    <t>Off-grid energy consumption</t>
  </si>
  <si>
    <t>Canada - 2006</t>
  </si>
  <si>
    <t>Portugal</t>
  </si>
  <si>
    <t>pulp</t>
  </si>
  <si>
    <t>floor</t>
  </si>
  <si>
    <t>Finnish - Suomi</t>
  </si>
  <si>
    <t>German - Deutsch</t>
  </si>
  <si>
    <t>Heating only primary system</t>
  </si>
  <si>
    <t>liechtenstein</t>
  </si>
  <si>
    <t>mJPerM2PerDaySymbol</t>
  </si>
  <si>
    <t>CoolingSystem #4</t>
  </si>
  <si>
    <t>CoolingSystem #5</t>
  </si>
  <si>
    <t>Maranhão</t>
  </si>
  <si>
    <t>maranhao</t>
  </si>
  <si>
    <t>Mato Grosso</t>
  </si>
  <si>
    <t>Code_41524</t>
  </si>
  <si>
    <t>Code_41526</t>
  </si>
  <si>
    <t>airConditioning</t>
  </si>
  <si>
    <t>cbbxSaturationTempUnit</t>
  </si>
  <si>
    <t>model</t>
  </si>
  <si>
    <t>cboBFR</t>
  </si>
  <si>
    <t>cboELUnit</t>
  </si>
  <si>
    <t>txtBLoading11</t>
  </si>
  <si>
    <t>Energy required from genset
(kWh/day)</t>
  </si>
  <si>
    <t>SABB
array size
(m2)</t>
  </si>
  <si>
    <t>GHG check</t>
  </si>
  <si>
    <t>off grid base case</t>
  </si>
  <si>
    <t>off grid recip eng</t>
  </si>
  <si>
    <t>fluot12magnetic</t>
  </si>
  <si>
    <t>warehouse</t>
  </si>
  <si>
    <t>equipmentopercond</t>
  </si>
  <si>
    <t>txtPTM23</t>
  </si>
  <si>
    <t>txtPTM22</t>
  </si>
  <si>
    <t>M sheet</t>
  </si>
  <si>
    <t>SteamLosses #3</t>
  </si>
  <si>
    <t>Equivalent htg.cap. with Lc</t>
  </si>
  <si>
    <t>Heat &amp; power load following</t>
  </si>
  <si>
    <t>tokelau</t>
  </si>
  <si>
    <t>tonga</t>
  </si>
  <si>
    <t>uganda</t>
  </si>
  <si>
    <t>ukraine</t>
  </si>
  <si>
    <t>united_kingdom</t>
  </si>
  <si>
    <t>uruguay</t>
  </si>
  <si>
    <t>virgin_islands_usa</t>
  </si>
  <si>
    <t>usa</t>
  </si>
  <si>
    <t>uzbekistan</t>
  </si>
  <si>
    <t>currentShortCircuit</t>
  </si>
  <si>
    <t>mountingDimThick</t>
  </si>
  <si>
    <t>Canada - Manitoba</t>
  </si>
  <si>
    <t>Cuba</t>
  </si>
  <si>
    <t>Refrig PC</t>
  </si>
  <si>
    <t>GWP BC</t>
  </si>
  <si>
    <t>GWP PC</t>
  </si>
  <si>
    <t>Universal Gravity constant</t>
  </si>
  <si>
    <t>week</t>
  </si>
  <si>
    <t>بالاضافة ، بعض الحواسب يكون مستوى التامين لبرامج الماكرو  في برنامج الاكسل موضوع على "عالي جدا" في هذه الحالة مطلوب منك ان تعيد وضع مستوى التامين على "متوسط" او "عالي"  وذلك باستخدام مفتاح الادوات, لائحة الماكرو ومنها الى التامين  وذلك قبل استخدام RETScreen والا فان البرنامج لن يعمل بصورة سليمة.</t>
  </si>
  <si>
    <t>lmPerWattSymbol</t>
  </si>
  <si>
    <t>txtBE</t>
  </si>
  <si>
    <t>txtPE</t>
  </si>
  <si>
    <t>HLF heat extracted</t>
  </si>
  <si>
    <t>Nov</t>
  </si>
  <si>
    <t>PC heating demand</t>
  </si>
  <si>
    <t>De plus, sur certains ordinateurs, le niveau de sécurité des macros sélectionné par défaut est "très élevé".  Dans ce cas, vous devrez sélectionner le niveau de sécurité "moyen" ou "élevé" à partir du menu d'Excel "Outils, Macro, Sécurité..." avant d'utiliser RETScreen.  Ainsi, le logiciel fonctionnera correctement.</t>
  </si>
  <si>
    <t>Matched load</t>
  </si>
  <si>
    <t>Power intermediate</t>
  </si>
  <si>
    <t>makeupWaterTemp</t>
  </si>
  <si>
    <t>PC E</t>
  </si>
  <si>
    <t>ireland</t>
  </si>
  <si>
    <t>ProcSteam</t>
  </si>
  <si>
    <t>SteamLoss</t>
  </si>
  <si>
    <t>HeatRec</t>
  </si>
  <si>
    <t>ComprAir</t>
  </si>
  <si>
    <t>Refrig</t>
  </si>
  <si>
    <t>ProcHeat</t>
  </si>
  <si>
    <t>cboBase3SV2</t>
  </si>
  <si>
    <t>cboBase2SV2</t>
  </si>
  <si>
    <t>lebanon</t>
  </si>
  <si>
    <t>lesotho</t>
  </si>
  <si>
    <t>liberia</t>
  </si>
  <si>
    <t>libya</t>
  </si>
  <si>
    <t>/(L/s)</t>
  </si>
  <si>
    <t>cboCPCLUnit</t>
  </si>
  <si>
    <t>txtHIIC</t>
  </si>
  <si>
    <t>txtHIOM</t>
  </si>
  <si>
    <t>4-5</t>
  </si>
  <si>
    <t>Btu/lb/°R</t>
  </si>
  <si>
    <t>kJ/kg/K</t>
  </si>
  <si>
    <t>Net Inc.</t>
  </si>
  <si>
    <t>Unit conversion tool</t>
  </si>
  <si>
    <t>Declination
(radians)</t>
  </si>
  <si>
    <t>defaultRETName</t>
  </si>
  <si>
    <t>DN 300</t>
  </si>
  <si>
    <t>txtPSDRV</t>
  </si>
  <si>
    <t>chkDBCPC</t>
  </si>
  <si>
    <t>Base
Sch 3</t>
  </si>
  <si>
    <t>coolingsystem</t>
  </si>
  <si>
    <t>description</t>
  </si>
  <si>
    <t>heatingdemand</t>
  </si>
  <si>
    <t>proposedcase</t>
  </si>
  <si>
    <t>5-PROPOSED CASE</t>
  </si>
  <si>
    <t>cboBOHM1Unit</t>
  </si>
  <si>
    <t>Total fuel cost</t>
  </si>
  <si>
    <t>Karnataka</t>
  </si>
  <si>
    <t>karnataka</t>
  </si>
  <si>
    <t>Jharkhand</t>
  </si>
  <si>
    <t>jharkhand</t>
  </si>
  <si>
    <t>Jammu and Kashmir</t>
  </si>
  <si>
    <t>jammuAndKashmir</t>
  </si>
  <si>
    <t>Takođe, na nekim kompjuterima, Macro Security Level u Excel-u je automatski postavljen na "very high". U tom slučaju, moraćete da postavite security level na "medium" ili "high" koristeći "Tools, Macro, Security..." meni pre nego što počenete sa korišćenjem RETScreen-a. U suprotnom, softver neće pravilno funkcionisati.</t>
  </si>
  <si>
    <t>cboPropFFTF</t>
  </si>
  <si>
    <t>cboPropFRF</t>
  </si>
  <si>
    <t>BSD</t>
  </si>
  <si>
    <t>Molar enthalpy, kJ/mol</t>
  </si>
  <si>
    <t>w/ carry</t>
  </si>
  <si>
    <t xml:space="preserve">Reference: </t>
  </si>
  <si>
    <t>distance</t>
  </si>
  <si>
    <t>pipe</t>
  </si>
  <si>
    <t>clg flow</t>
  </si>
  <si>
    <t>2-4</t>
  </si>
  <si>
    <t>txtIICFBG</t>
  </si>
  <si>
    <t>cboRCTM2Unit</t>
  </si>
  <si>
    <t>Horizontal closed-loop</t>
  </si>
  <si>
    <t>Horizontal system calculations</t>
  </si>
  <si>
    <t>HCFC-402B</t>
  </si>
  <si>
    <t>HCFC-403A</t>
  </si>
  <si>
    <t>HCFC-403B</t>
  </si>
  <si>
    <t>HFC-404A</t>
  </si>
  <si>
    <t>HCFC-405A</t>
  </si>
  <si>
    <t>HCFC-406A</t>
  </si>
  <si>
    <t>HFC-407A</t>
  </si>
  <si>
    <t>HFC-407B</t>
  </si>
  <si>
    <t>HFC-407C</t>
  </si>
  <si>
    <t>HFC-407D</t>
  </si>
  <si>
    <t>HCFC-408A</t>
  </si>
  <si>
    <t>Xizang</t>
  </si>
  <si>
    <t>Yunnan</t>
  </si>
  <si>
    <t>yunnan</t>
  </si>
  <si>
    <t>Alaska</t>
  </si>
  <si>
    <t>alaska</t>
  </si>
  <si>
    <t>Wisconsin</t>
  </si>
  <si>
    <t>wisconsin</t>
  </si>
  <si>
    <t>West Virginia</t>
  </si>
  <si>
    <t>westVirginia</t>
  </si>
  <si>
    <t>Wyoming</t>
  </si>
  <si>
    <t>wyoming</t>
  </si>
  <si>
    <t>selectClimateDataLoc</t>
  </si>
  <si>
    <t>shapeFactor</t>
  </si>
  <si>
    <t>Code_1442</t>
  </si>
  <si>
    <t>Proposed cooling costs</t>
  </si>
  <si>
    <t>cboCAUnit</t>
  </si>
  <si>
    <t>DKK</t>
  </si>
  <si>
    <t>DJF</t>
  </si>
  <si>
    <t>DOP</t>
  </si>
  <si>
    <t>EGP</t>
  </si>
  <si>
    <t>750 - 1200</t>
  </si>
  <si>
    <t>txtW2WNOU</t>
  </si>
  <si>
    <t>Required length</t>
  </si>
  <si>
    <t>Prop heating system</t>
  </si>
  <si>
    <t>Valid base heating system</t>
  </si>
  <si>
    <t>Valid prop heating system</t>
  </si>
  <si>
    <t>Off grid</t>
  </si>
  <si>
    <t>Base
Coeff 6</t>
  </si>
  <si>
    <t>Motors #1</t>
  </si>
  <si>
    <t>Motors #2</t>
  </si>
  <si>
    <t>cboPFT</t>
  </si>
  <si>
    <t>cboPFR</t>
  </si>
  <si>
    <r>
      <t>Reaction Turbine specific speed (nq</t>
    </r>
    <r>
      <rPr>
        <sz val="10"/>
        <rFont val="Arial"/>
        <family val="2"/>
      </rPr>
      <t>) (Between 20 and 120 for Francis, over 100 for Propellor and Kaplan)</t>
    </r>
  </si>
  <si>
    <t>^ed</t>
  </si>
  <si>
    <t>HideCodeES_mem</t>
  </si>
  <si>
    <t>Debt term</t>
  </si>
  <si>
    <t>O software RETScreen utiliza macros do Excel. Devido aos parâmetros de segurança de macros definidos em alguns computadores, você poderá ter que habilitar macros quando abrir o arquivo RETScreen no Excel.</t>
  </si>
  <si>
    <t>Heating length</t>
  </si>
  <si>
    <t>EEM_T7</t>
  </si>
  <si>
    <t>cboPNAISS</t>
  </si>
  <si>
    <t>cboBNAISS</t>
  </si>
  <si>
    <t>txtIOMHSD</t>
  </si>
  <si>
    <t>cboBHS</t>
  </si>
  <si>
    <t>txtBSWinSHGC</t>
  </si>
  <si>
    <t>Valid prop sched 10</t>
  </si>
  <si>
    <t>txtPOH1M1</t>
  </si>
  <si>
    <t>Base</t>
  </si>
  <si>
    <t>kJ</t>
  </si>
  <si>
    <t>txtIIC10M1</t>
  </si>
  <si>
    <t>txtIIC9M1</t>
  </si>
  <si>
    <t>cboPropVCV1</t>
  </si>
  <si>
    <t>PDUnit</t>
  </si>
  <si>
    <t>EEM_T2</t>
  </si>
  <si>
    <t>EEM_T3</t>
  </si>
  <si>
    <t>Pia, katika baadhi ya kompyuta kiwango cha ulinzi cha macros katika Excel kimejiweka chenyewe kuwa "kiko juu sana." Katika hali kama hii, utatakiwa kupangilia tena kiwango cha ulinzi kuwa "cha kati" au "cha juu" kwa kutumia uchaguzi wa "Nyenzo, Macro, Ulinzi…"  kabla ya kutumia RETScreen. Vinginevyo softiweya haitafanya kazi vizuri.</t>
  </si>
  <si>
    <t>A copy of the language value show in the start sheet, use in case of a DB error</t>
  </si>
  <si>
    <t>Output</t>
  </si>
  <si>
    <t>Fans #2</t>
  </si>
  <si>
    <t>UnitShow</t>
  </si>
  <si>
    <t>UnitShowTmp</t>
  </si>
  <si>
    <t>solarshadingwinter</t>
  </si>
  <si>
    <t>spacecooling</t>
  </si>
  <si>
    <t>floorbelowgrade</t>
  </si>
  <si>
    <t>spaceheating</t>
  </si>
  <si>
    <t>H demand</t>
  </si>
  <si>
    <t>Income tax analysis</t>
  </si>
  <si>
    <t>Valid prop sched 3</t>
  </si>
  <si>
    <t>HideCodeES_PowerST1</t>
  </si>
  <si>
    <t>Sunrise/Sunset hour angle</t>
  </si>
  <si>
    <t>Day length</t>
  </si>
  <si>
    <t>r124HCFC</t>
  </si>
  <si>
    <t>r125HFC</t>
  </si>
  <si>
    <t>Base
Syst 12</t>
  </si>
  <si>
    <t>Prop
Syst 1</t>
  </si>
  <si>
    <t>Prop
Syst 2</t>
  </si>
  <si>
    <t>cboProp6TV2</t>
  </si>
  <si>
    <t>joulesPerCubicMeterPerCelciusSymbol</t>
  </si>
  <si>
    <t>chile</t>
  </si>
  <si>
    <t>china</t>
  </si>
  <si>
    <t>chkRefrig</t>
  </si>
  <si>
    <t>xxx11</t>
  </si>
  <si>
    <t>xxx13</t>
  </si>
  <si>
    <t>txtD6</t>
  </si>
  <si>
    <t>txtD5</t>
  </si>
  <si>
    <t>txtD4</t>
  </si>
  <si>
    <t>Proposed Case District Cooling Network</t>
  </si>
  <si>
    <t>Valid base sched 5</t>
  </si>
  <si>
    <t>Steam turbine calculations</t>
  </si>
  <si>
    <t>txtBEL7M1</t>
  </si>
  <si>
    <t>txtBEL6M1</t>
  </si>
  <si>
    <t>cbbSteamFlowUnit</t>
  </si>
  <si>
    <t>seychelles</t>
  </si>
  <si>
    <t>Energy Model</t>
  </si>
  <si>
    <t>siteRefCond</t>
  </si>
  <si>
    <t>apartmBuild</t>
  </si>
  <si>
    <t>Base
Syst 6</t>
  </si>
  <si>
    <t>Base
Syst 7</t>
  </si>
  <si>
    <t>Currency_name</t>
  </si>
  <si>
    <t>AA1</t>
  </si>
  <si>
    <t>Prop
EDH
1-6</t>
  </si>
  <si>
    <t>txtBOH8M1</t>
  </si>
  <si>
    <t>txtBOH7M1</t>
  </si>
  <si>
    <t>PFL with extraction</t>
  </si>
  <si>
    <t>Cooling load</t>
  </si>
  <si>
    <t>txtBEL4M1</t>
  </si>
  <si>
    <t>botswana</t>
  </si>
  <si>
    <t>brazil</t>
  </si>
  <si>
    <t>brunei_darussalam</t>
  </si>
  <si>
    <t>bulgaria</t>
  </si>
  <si>
    <t>cboBCWin</t>
  </si>
  <si>
    <t>Base
Coeff 8</t>
  </si>
  <si>
    <t>Base
Coeff 9</t>
  </si>
  <si>
    <t>Warning messages:</t>
  </si>
  <si>
    <t>normalisedFlow</t>
  </si>
  <si>
    <t>cboPropFTH2M1</t>
  </si>
  <si>
    <t>gypsBoard</t>
  </si>
  <si>
    <t>cubicMeterSymbol</t>
  </si>
  <si>
    <t>coolSys2</t>
  </si>
  <si>
    <t>coolSys3</t>
  </si>
  <si>
    <t>monaco</t>
  </si>
  <si>
    <t>Collector critical 
radiation level
(DB 21.2.4)
(W/m2)</t>
  </si>
  <si>
    <t>deg.day</t>
  </si>
  <si>
    <t>Drop-down list - Main distribution pipe section</t>
  </si>
  <si>
    <t>Water
evaporation
(kg/d)</t>
  </si>
  <si>
    <t>cbbxBaseCoolingPlant</t>
  </si>
  <si>
    <t>mono-Si</t>
  </si>
  <si>
    <t>Mali</t>
  </si>
  <si>
    <t>txtIC4</t>
  </si>
  <si>
    <t>txtIC3</t>
  </si>
  <si>
    <t>equipmentdesigncond</t>
  </si>
  <si>
    <t>fan</t>
  </si>
  <si>
    <t>txtIOMELM2</t>
  </si>
  <si>
    <t>New Hampshire</t>
  </si>
  <si>
    <t>O&amp;M</t>
  </si>
  <si>
    <t>Peak load system</t>
  </si>
  <si>
    <t>Eff</t>
  </si>
  <si>
    <t>Fuel base</t>
  </si>
  <si>
    <t>supplytempmethod</t>
  </si>
  <si>
    <t>RsSign</t>
  </si>
  <si>
    <t>userDef</t>
  </si>
  <si>
    <t>none</t>
  </si>
  <si>
    <t>Water temperature</t>
  </si>
  <si>
    <t>T154</t>
  </si>
  <si>
    <t>T159</t>
  </si>
  <si>
    <t>Detailed (kWh)</t>
  </si>
  <si>
    <t>Detailed (KW)</t>
  </si>
  <si>
    <t>DD independent</t>
  </si>
  <si>
    <t>DD/year</t>
  </si>
  <si>
    <t>Unadjusted energy production</t>
  </si>
  <si>
    <t>kWh/m²</t>
  </si>
  <si>
    <t>Prop Unocc Reheat V</t>
  </si>
  <si>
    <t>Prop
Occ Reheat V</t>
  </si>
  <si>
    <t>Occ hrs</t>
  </si>
  <si>
    <t>txtBQ4M1</t>
  </si>
  <si>
    <t>txtBQ3M1</t>
  </si>
  <si>
    <t>TJS</t>
  </si>
  <si>
    <t>THB</t>
  </si>
  <si>
    <t>TPE</t>
  </si>
  <si>
    <t>txtBC</t>
  </si>
  <si>
    <t>Montserrat</t>
  </si>
  <si>
    <t>MJ/L</t>
  </si>
  <si>
    <t>a-Si</t>
  </si>
  <si>
    <t>Fuel consumption</t>
  </si>
  <si>
    <t>million Btu</t>
  </si>
  <si>
    <t>Cummulative</t>
  </si>
  <si>
    <t>million Btu/h</t>
  </si>
  <si>
    <t>Gas turbine</t>
  </si>
  <si>
    <t>chkWin</t>
  </si>
  <si>
    <t>flooLino</t>
  </si>
  <si>
    <t>WD12month</t>
  </si>
  <si>
    <t>Peak load</t>
  </si>
  <si>
    <t>Heat single</t>
  </si>
  <si>
    <t>c1</t>
  </si>
  <si>
    <t>secondSymbol</t>
  </si>
  <si>
    <t>millionbtu</t>
  </si>
  <si>
    <t>millionBtuHourSymbol</t>
  </si>
  <si>
    <t>FL power used with extraction</t>
  </si>
  <si>
    <t>TMM</t>
  </si>
  <si>
    <t>Financial Summary</t>
  </si>
  <si>
    <t>vanuatu</t>
  </si>
  <si>
    <t>venezuela</t>
  </si>
  <si>
    <t>txtPropInstalledCapacity</t>
  </si>
  <si>
    <t>solarshadingsummer</t>
  </si>
  <si>
    <t>Monthly average
daily clearness 
index 
(KT bar)
( )</t>
  </si>
  <si>
    <t>Greek - Ελληνικά</t>
  </si>
  <si>
    <t>kiloPascalSymbol</t>
  </si>
  <si>
    <t>kiloWattHourSymbol</t>
  </si>
  <si>
    <t>Time of month used</t>
  </si>
  <si>
    <t>BC FC MWh</t>
  </si>
  <si>
    <t>xx</t>
  </si>
  <si>
    <t>MPa</t>
  </si>
  <si>
    <t>LN_DI</t>
  </si>
  <si>
    <t>Full power output, no extraction, usable heat</t>
  </si>
  <si>
    <t>#</t>
  </si>
  <si>
    <t>Mixture quality</t>
  </si>
  <si>
    <t>rThSymbol</t>
  </si>
  <si>
    <t>txtBACRACR</t>
  </si>
  <si>
    <t>txtPACRACR</t>
  </si>
  <si>
    <t>txtPACRV</t>
  </si>
  <si>
    <t>Peak</t>
  </si>
  <si>
    <t>error</t>
  </si>
  <si>
    <t>Power to grid cost</t>
  </si>
  <si>
    <t>Cluster space</t>
  </si>
  <si>
    <t>February</t>
  </si>
  <si>
    <t>March</t>
  </si>
  <si>
    <t xml:space="preserve">Ventilation </t>
  </si>
  <si>
    <t>Base
Coeff 1</t>
  </si>
  <si>
    <t>Base
Coeff 2</t>
  </si>
  <si>
    <t>Base
Coeff 3</t>
  </si>
  <si>
    <t>Base
Coeff 4</t>
  </si>
  <si>
    <t>Exact for unit conversions</t>
  </si>
  <si>
    <t>cboProp5SV2</t>
  </si>
  <si>
    <t>Full power output, extraction required to meet heat load</t>
  </si>
  <si>
    <t>ft</t>
  </si>
  <si>
    <t>elevationUnitFactor</t>
  </si>
  <si>
    <t>CE production credit rate</t>
  </si>
  <si>
    <t>outdoor</t>
  </si>
  <si>
    <t>floorarea</t>
  </si>
  <si>
    <t>house</t>
  </si>
  <si>
    <t>txtBEL1M1</t>
  </si>
  <si>
    <t>Mixed Air Temp 3 (°C)</t>
  </si>
  <si>
    <t>Gammafunction</t>
  </si>
  <si>
    <t>costRef</t>
  </si>
  <si>
    <t>Suriname</t>
  </si>
  <si>
    <t>macedonia</t>
  </si>
  <si>
    <t>old</t>
  </si>
  <si>
    <t>Slope
at noon
(radians)</t>
  </si>
  <si>
    <t>optEnergy</t>
  </si>
  <si>
    <t>optW2W</t>
  </si>
  <si>
    <t>optO2O</t>
  </si>
  <si>
    <t>txtIICWNAI</t>
  </si>
  <si>
    <t>cboNAIUnit</t>
  </si>
  <si>
    <t>Prop
Sch 10</t>
  </si>
  <si>
    <t>Power load, remaining</t>
  </si>
  <si>
    <t>December</t>
  </si>
  <si>
    <t>mi</t>
  </si>
  <si>
    <t>cboTM1Unit</t>
  </si>
  <si>
    <t>cboHWUM1Unit</t>
  </si>
  <si>
    <t>txtPTM1</t>
  </si>
  <si>
    <t>txtBTM1</t>
  </si>
  <si>
    <t>Unoccupied</t>
  </si>
  <si>
    <t>SIT</t>
  </si>
  <si>
    <t>SBD</t>
  </si>
  <si>
    <t>SOS</t>
  </si>
  <si>
    <t>ZAR</t>
  </si>
  <si>
    <t>LKR</t>
  </si>
  <si>
    <t>Belize</t>
  </si>
  <si>
    <t>300 - 725</t>
  </si>
  <si>
    <t>800 - 1400</t>
  </si>
  <si>
    <t>Softul RETScreen utilizează Microsoft Excel macro. Datorită setării securităţii, pe unele computere este posibil să fie necesară "activare macro" la deschiderea fişierului RETScreen în Excel.</t>
  </si>
  <si>
    <t>PV system configuration index</t>
  </si>
  <si>
    <t>txtIICCOPM1</t>
  </si>
  <si>
    <t>txtBRRM1</t>
  </si>
  <si>
    <t>bahia</t>
  </si>
  <si>
    <t>Ceará</t>
  </si>
  <si>
    <t>ceara</t>
  </si>
  <si>
    <t>brazilianFederalDistrict</t>
  </si>
  <si>
    <t>Espírito Santo</t>
  </si>
  <si>
    <t>espiritoSanto</t>
  </si>
  <si>
    <t>Goiás</t>
  </si>
  <si>
    <t>goias</t>
  </si>
  <si>
    <t>North window Summer SHGC BC</t>
  </si>
  <si>
    <t>steamTurbCap</t>
  </si>
  <si>
    <t>fluidType</t>
  </si>
  <si>
    <t>fuelMoistureContRange</t>
  </si>
  <si>
    <t>multipleFuels</t>
  </si>
  <si>
    <t>north</t>
  </si>
  <si>
    <t>electricalequip</t>
  </si>
  <si>
    <t>Navíc je stupeň zabezpečení pro makra v Excelu často nastaven na "velmi vysoký". V tomto případě musíte nastavit stupeň zabezpečení na "střední" nebo "vysoký" předtím, než použijete RETScreen. Zvolte k tomu ve výběrovém menu "Nástroje, Makra, Zabezpečení...". Jinak software nebude fungovat bezchybně.</t>
  </si>
  <si>
    <t>Monthly average daily radiation on horizontal (MJ/m2/d)</t>
  </si>
  <si>
    <t>Clearness index</t>
  </si>
  <si>
    <t>September</t>
  </si>
  <si>
    <t>txtBNOBEU</t>
  </si>
  <si>
    <t>txtPNOBEU</t>
  </si>
  <si>
    <t>AC energy demand</t>
  </si>
  <si>
    <t>Note: Electricity includes power delivered to grid in the Proposed Case System</t>
  </si>
  <si>
    <t>Battery temp.
derating (weighted
average) (%)</t>
  </si>
  <si>
    <t>Average atmosphere pressure</t>
  </si>
  <si>
    <t>cleardata</t>
  </si>
  <si>
    <t>Il software RETScreen utilizza le macro di Microsoft Excel. In base alle impostazioni di sicurezza delle macro, potrebbe essere necessario un "abilita macro" all'apertura del file RETScreen con Excel.</t>
  </si>
  <si>
    <t>sri_lanka</t>
  </si>
  <si>
    <t>saint_pierre_et_miquelon</t>
  </si>
  <si>
    <t>Hourly to daily diffuse radiation ratio 
at noon
( )</t>
  </si>
  <si>
    <t>4-7</t>
  </si>
  <si>
    <t>r407aHFC</t>
  </si>
  <si>
    <t>r407bHFC</t>
  </si>
  <si>
    <t>r407cHFC</t>
  </si>
  <si>
    <t>Power</t>
  </si>
  <si>
    <t>rotorDiameterPerTurb</t>
  </si>
  <si>
    <t>rValueRoofOrWall</t>
  </si>
  <si>
    <t>seeHydroDB</t>
  </si>
  <si>
    <t>hdd</t>
  </si>
  <si>
    <t>compFinSheet</t>
  </si>
  <si>
    <t>All</t>
  </si>
  <si>
    <t>note</t>
  </si>
  <si>
    <t>heatRateLHV</t>
  </si>
  <si>
    <t>chillerCool</t>
  </si>
  <si>
    <t>korea_north</t>
  </si>
  <si>
    <t>ok</t>
  </si>
  <si>
    <t>megaWattHourSymbol</t>
  </si>
  <si>
    <t>percentSymbol</t>
  </si>
  <si>
    <t>farenheitSymbol</t>
  </si>
  <si>
    <t>farenheitDaySymbol</t>
  </si>
  <si>
    <t>feetSymbol</t>
  </si>
  <si>
    <t>inchOfMercurySymbol</t>
  </si>
  <si>
    <t>cboPCWin</t>
  </si>
  <si>
    <t>Multiple process</t>
  </si>
  <si>
    <t>Outputs</t>
  </si>
  <si>
    <t>EE_CB1</t>
  </si>
  <si>
    <t>txtPEWRV</t>
  </si>
  <si>
    <t>missing</t>
  </si>
  <si>
    <t>KES</t>
  </si>
  <si>
    <t>Building Envelope Needed value</t>
  </si>
  <si>
    <t>User defined fuel</t>
  </si>
  <si>
    <t>Collector sizing</t>
  </si>
  <si>
    <t>Renewable energy delivered</t>
  </si>
  <si>
    <t>°</t>
  </si>
  <si>
    <t>NOCT</t>
  </si>
  <si>
    <t>% / °C</t>
  </si>
  <si>
    <t>txtPWWRV</t>
  </si>
  <si>
    <t>FullPowerCapacityWithEx</t>
  </si>
  <si>
    <t>miliLiterSymbol</t>
  </si>
  <si>
    <t>megaJoulePerLiterSymbol</t>
  </si>
  <si>
    <t>megaJoulePerCubeMeterSymbol</t>
  </si>
  <si>
    <t>megaJoulePerTonneSymbol</t>
  </si>
  <si>
    <t>millimeterOfHgAtZereC</t>
  </si>
  <si>
    <t>millimeterBtu</t>
  </si>
  <si>
    <t>millionBtuPerCubeFeetSymbol</t>
  </si>
  <si>
    <t>megaJoulePerGalonSymbol</t>
  </si>
  <si>
    <t>megaJoulePerHourSymbol</t>
  </si>
  <si>
    <t>megaJoulePerKilogramSymbol</t>
  </si>
  <si>
    <t>PowerLoadFollowingWithEx</t>
  </si>
  <si>
    <t>btuPerPoundSymbol</t>
  </si>
  <si>
    <t>btuPerPoundPerRValueSymbol</t>
  </si>
  <si>
    <t>SquareFeetPerRTSymbol</t>
  </si>
  <si>
    <t>CubeFeetPerHour</t>
  </si>
  <si>
    <t>CubeFeetPerTonneSymbol</t>
  </si>
  <si>
    <t>gigaJoulePerHourSymbol</t>
  </si>
  <si>
    <t>gigaWatt</t>
  </si>
  <si>
    <t>gigaWattHourSymbol</t>
  </si>
  <si>
    <t>acreSymbol</t>
  </si>
  <si>
    <t>fuelConsumUnit</t>
  </si>
  <si>
    <t>LenghtUnit</t>
  </si>
  <si>
    <t>VolUnit</t>
  </si>
  <si>
    <t>AreaUnit</t>
  </si>
  <si>
    <t>EnerUnit</t>
  </si>
  <si>
    <t>afghanistan</t>
  </si>
  <si>
    <t>Energy delivered by genset (seas. of use) (kWh)</t>
  </si>
  <si>
    <t>chkFBG</t>
  </si>
  <si>
    <t>chkWBG</t>
  </si>
  <si>
    <t>txtPCOpHours4</t>
  </si>
  <si>
    <t>txtPCOpHours3</t>
  </si>
  <si>
    <t>txtPCOpHours2</t>
  </si>
  <si>
    <t>cboProp7SV2</t>
  </si>
  <si>
    <t>D160</t>
  </si>
  <si>
    <t>System</t>
  </si>
  <si>
    <t>GHG Emission Reduction Summary</t>
  </si>
  <si>
    <t>Init. cost</t>
  </si>
  <si>
    <t>txtPNDRV</t>
  </si>
  <si>
    <t>txtIICR</t>
  </si>
  <si>
    <t>cubeMeterPerKilogramSymbol</t>
  </si>
  <si>
    <t>cubeMeterPerSecondSymbol</t>
  </si>
  <si>
    <t>specificYield</t>
  </si>
  <si>
    <t>rovolutionPerMinuteSymbol</t>
  </si>
  <si>
    <t>ErrIRR</t>
  </si>
  <si>
    <t>Valid base sched 8</t>
  </si>
  <si>
    <t>Valid base sched 9</t>
  </si>
  <si>
    <t>Valid base sched 10</t>
  </si>
  <si>
    <t>r504CFC</t>
  </si>
  <si>
    <t>thermalOil</t>
  </si>
  <si>
    <t>israel</t>
  </si>
  <si>
    <t>italy</t>
  </si>
  <si>
    <t>jamaica</t>
  </si>
  <si>
    <t>japan</t>
  </si>
  <si>
    <t>Base
EDH
7-12</t>
  </si>
  <si>
    <t>browse</t>
  </si>
  <si>
    <t>steampressure</t>
  </si>
  <si>
    <t>txtF9b</t>
  </si>
  <si>
    <t>txtPNWA</t>
  </si>
  <si>
    <t>Off-grid systems energy demand</t>
  </si>
  <si>
    <t>Volume</t>
  </si>
  <si>
    <t>arunachalPradesh</t>
  </si>
  <si>
    <t>Andhra Pradesh</t>
  </si>
  <si>
    <t>andhraPradesh</t>
  </si>
  <si>
    <t>Andaman and Nicobar Islands</t>
  </si>
  <si>
    <t>andamanAndNicobarIslands</t>
  </si>
  <si>
    <t>col</t>
  </si>
  <si>
    <t>lrow</t>
  </si>
  <si>
    <t>lcol</t>
  </si>
  <si>
    <t>EE12-1</t>
  </si>
  <si>
    <t>EEM_SAH</t>
  </si>
  <si>
    <t>EEM-SWH</t>
  </si>
  <si>
    <t>EE_PS</t>
  </si>
  <si>
    <t>EEM_UserDef</t>
  </si>
  <si>
    <t>cbbxPropFuelType</t>
  </si>
  <si>
    <t>Base
Sch 1</t>
  </si>
  <si>
    <t>Base
Sch 2</t>
  </si>
  <si>
    <t>cboDAUnit</t>
  </si>
  <si>
    <t>cboDRVUnit</t>
  </si>
  <si>
    <t>pw</t>
  </si>
  <si>
    <t>txtBCQte9</t>
  </si>
  <si>
    <t>txtBCQte8</t>
  </si>
  <si>
    <t>'=HideCodeLN_Heat_CM</t>
  </si>
  <si>
    <t>m³/s/km²</t>
  </si>
  <si>
    <t>lang_tool_unitConversion</t>
  </si>
  <si>
    <t>Base Case Load Characteristics</t>
  </si>
  <si>
    <t>lang_tool_heatRate</t>
  </si>
  <si>
    <t>txtIIC9</t>
  </si>
  <si>
    <t>congo_rep</t>
  </si>
  <si>
    <t>cook_islands</t>
  </si>
  <si>
    <t>Mahalagang pahayag</t>
  </si>
  <si>
    <t>ข้อสังเกตที่สำคัญ</t>
  </si>
  <si>
    <t>Pengumuman penting</t>
  </si>
  <si>
    <t>Solar thermal power</t>
  </si>
  <si>
    <t>solarCollInstallation</t>
  </si>
  <si>
    <t>solarCollMaterial</t>
  </si>
  <si>
    <t>Prop
Syst 10</t>
  </si>
  <si>
    <t>Prop
Syst 11</t>
  </si>
  <si>
    <t>Midwest</t>
  </si>
  <si>
    <t>Middle Atlantic</t>
  </si>
  <si>
    <t>centrifugal</t>
  </si>
  <si>
    <t>screw</t>
  </si>
  <si>
    <t>scroll</t>
  </si>
  <si>
    <t>airsource</t>
  </si>
  <si>
    <t>groundSource</t>
  </si>
  <si>
    <t>HLF total power with extraction</t>
  </si>
  <si>
    <t xml:space="preserve">Base Schedule </t>
  </si>
  <si>
    <t xml:space="preserve">Prop Schedule </t>
  </si>
  <si>
    <t>kcal/kg</t>
  </si>
  <si>
    <t>Weight</t>
  </si>
  <si>
    <t>DN 175</t>
  </si>
  <si>
    <t>EE_CB15</t>
  </si>
  <si>
    <t>Wdmoncooldegdays</t>
  </si>
  <si>
    <t>Wdmonheatdegdays</t>
  </si>
  <si>
    <r>
      <t>Peak efficiency flow (Qp</t>
    </r>
    <r>
      <rPr>
        <sz val="10"/>
        <rFont val="Arial"/>
        <family val="2"/>
      </rPr>
      <t>)</t>
    </r>
  </si>
  <si>
    <t>airTempUnitFactor</t>
  </si>
  <si>
    <t>earthTempUnitFactor</t>
  </si>
  <si>
    <t>solarUnitFactor</t>
  </si>
  <si>
    <t>txtBLFEM2</t>
  </si>
  <si>
    <t>HotWater #4</t>
  </si>
  <si>
    <t>HotWater #5</t>
  </si>
  <si>
    <t>lang_tool_gasFuel</t>
  </si>
  <si>
    <t>newHampshire</t>
  </si>
  <si>
    <t>New Jersey</t>
  </si>
  <si>
    <t>newJersey</t>
  </si>
  <si>
    <t>New Mexico</t>
  </si>
  <si>
    <t>steamflow</t>
  </si>
  <si>
    <t>literSymbol</t>
  </si>
  <si>
    <t>lbSymbol</t>
  </si>
  <si>
    <t>Delhi</t>
  </si>
  <si>
    <t>delhi</t>
  </si>
  <si>
    <t>Chhattisgarh</t>
  </si>
  <si>
    <t>chhattisgarh</t>
  </si>
  <si>
    <t>Chandigarh</t>
  </si>
  <si>
    <t>Condition standard (15 °C, 1 atm)</t>
  </si>
  <si>
    <t>PC HD selected</t>
  </si>
  <si>
    <t>txtBFM26</t>
  </si>
  <si>
    <t>txtBFM25</t>
  </si>
  <si>
    <t>LN_coolsystem</t>
  </si>
  <si>
    <t>ES_Hydro_TECDS</t>
  </si>
  <si>
    <t>MJ</t>
  </si>
  <si>
    <t>txtDM27</t>
  </si>
  <si>
    <t>Discharge rate</t>
  </si>
  <si>
    <t>Positive</t>
  </si>
  <si>
    <t>Design COP</t>
  </si>
  <si>
    <t>c3-cap</t>
  </si>
  <si>
    <t>Vietnamese - tiếng Việt</t>
  </si>
  <si>
    <t>Bitna napomena</t>
  </si>
  <si>
    <t>Taarifa muhimu</t>
  </si>
  <si>
    <t>اہم نوٹس</t>
  </si>
  <si>
    <t>Chú thích quan trọng</t>
  </si>
  <si>
    <t>Важлива примітка</t>
  </si>
  <si>
    <t>Prop
Coeff 9</t>
  </si>
  <si>
    <t>West window Summer SHGC PC</t>
  </si>
  <si>
    <t>m3/y *recovery factor</t>
  </si>
  <si>
    <t>D</t>
  </si>
  <si>
    <t>Yard waste (domestic)</t>
  </si>
  <si>
    <t>Project type</t>
  </si>
  <si>
    <t>Month</t>
  </si>
  <si>
    <t>Notă importantă</t>
  </si>
  <si>
    <t>ملاحظة هامة</t>
  </si>
  <si>
    <t>Available heat FL</t>
  </si>
  <si>
    <t>HL Extraction only</t>
  </si>
  <si>
    <t>Pelton</t>
  </si>
  <si>
    <t>Turgo</t>
  </si>
  <si>
    <t>vinyl</t>
  </si>
  <si>
    <t xml:space="preserve">W/(m•°C)² </t>
  </si>
  <si>
    <t>Recalc</t>
  </si>
  <si>
    <t>txtPropDuty</t>
  </si>
  <si>
    <t>txtNOVUb</t>
  </si>
  <si>
    <t>Cold Water Temperature 
(C)</t>
  </si>
  <si>
    <t>lb/MWh</t>
  </si>
  <si>
    <t>Flow</t>
  </si>
  <si>
    <t>m3/s</t>
  </si>
  <si>
    <t>Area</t>
  </si>
  <si>
    <t>ha</t>
  </si>
  <si>
    <t>Base heating system</t>
  </si>
  <si>
    <t>lang_tool_electRate</t>
  </si>
  <si>
    <t>efficiencyfullload</t>
  </si>
  <si>
    <t>efficiencyOperConds</t>
  </si>
  <si>
    <t>Renewable energy collected</t>
  </si>
  <si>
    <t>Availability                            (h)</t>
  </si>
  <si>
    <t>ToolbarName</t>
  </si>
  <si>
    <t>В допълнение, на някои компютри нивото на сигурност на макросите в Excel е настроено автоматично на "много високо". В този случай преди да използвате RETScreen следва да промените настройките на нивото на безопасност на "средно" или "високо" като използвате менюто "Tools, Macro, Security...". В противен случай програмата няма да работи правилно.</t>
  </si>
  <si>
    <t>returnToEquipSheet</t>
  </si>
  <si>
    <t>pictureEN</t>
  </si>
  <si>
    <t>txtS1Density</t>
  </si>
  <si>
    <t>Total hours</t>
  </si>
  <si>
    <t>Continent</t>
  </si>
  <si>
    <t>projectName</t>
  </si>
  <si>
    <t>Plant savings $</t>
  </si>
  <si>
    <t>Cooling demand</t>
  </si>
  <si>
    <t>Engineering cost coefficient</t>
  </si>
  <si>
    <t>English  -  Anglais</t>
  </si>
  <si>
    <t>Hide code Power monthly</t>
  </si>
  <si>
    <t>ROA</t>
  </si>
  <si>
    <t>Weather &amp; operating hours</t>
  </si>
  <si>
    <t>Renewable energy equipment</t>
  </si>
  <si>
    <t>East window BC</t>
  </si>
  <si>
    <t>South window BC</t>
  </si>
  <si>
    <t>West window BC</t>
  </si>
  <si>
    <t>North window PC</t>
  </si>
  <si>
    <t>optElectricity</t>
  </si>
  <si>
    <t>Process kW</t>
  </si>
  <si>
    <t>Space kW</t>
  </si>
  <si>
    <t>Periodic Costs (Credits)</t>
  </si>
  <si>
    <t>Drop-down list - Power fuel type</t>
  </si>
  <si>
    <t>Model sheet visible=1</t>
  </si>
  <si>
    <t>txtBFM210</t>
  </si>
  <si>
    <t>txtBFM29</t>
  </si>
  <si>
    <t>Prop system select</t>
  </si>
  <si>
    <t>txtIIC8</t>
  </si>
  <si>
    <t>Fraction of indirect load met by battery
( )</t>
  </si>
  <si>
    <t>Matched demand(kWh/d)</t>
  </si>
  <si>
    <t>BWP</t>
  </si>
  <si>
    <t>NOK</t>
  </si>
  <si>
    <t>BRL</t>
  </si>
  <si>
    <t>HHV</t>
  </si>
  <si>
    <t>LHV</t>
  </si>
  <si>
    <t>flowDurationCurve</t>
  </si>
  <si>
    <t>cboProp4TV2</t>
  </si>
  <si>
    <t>cboProp3TV2</t>
  </si>
  <si>
    <t>Ratio of daily diffuse rad. to daily total rad.
( )</t>
  </si>
  <si>
    <t>Sched 1</t>
  </si>
  <si>
    <t>Sched 2</t>
  </si>
  <si>
    <t>Sched 3</t>
  </si>
  <si>
    <t>solarFraction</t>
  </si>
  <si>
    <t>cboRRVUnit</t>
  </si>
  <si>
    <t>Cap</t>
  </si>
  <si>
    <t>cboProp8SV2</t>
  </si>
  <si>
    <t>naturalairinfiltration</t>
  </si>
  <si>
    <t>25 - 30</t>
  </si>
  <si>
    <t>MJ/kg entalpy</t>
  </si>
  <si>
    <t>Base Unocc Vent</t>
  </si>
  <si>
    <t>Prop
Occ Vent</t>
  </si>
  <si>
    <t>Prop Unocc  Vent</t>
  </si>
  <si>
    <t>txtBEDRV</t>
  </si>
  <si>
    <t>myanmar</t>
  </si>
  <si>
    <t>northern_mariana_islands</t>
  </si>
  <si>
    <t>namibia</t>
  </si>
  <si>
    <t>nauru</t>
  </si>
  <si>
    <t>the last provice ID pasted by the hydro form</t>
  </si>
  <si>
    <t>Ventilation #3</t>
  </si>
  <si>
    <t>Ventilation #4</t>
  </si>
  <si>
    <t>txtPropTemp</t>
  </si>
  <si>
    <t>Building Envelope #4</t>
  </si>
  <si>
    <t>2-1</t>
  </si>
  <si>
    <t>1-8</t>
  </si>
  <si>
    <t>txtD7</t>
  </si>
  <si>
    <t>absorptivity</t>
  </si>
  <si>
    <t>Pre</t>
  </si>
  <si>
    <t>http://www.usctcgateway.net/</t>
  </si>
  <si>
    <t>CO2</t>
  </si>
  <si>
    <t>SO2</t>
  </si>
  <si>
    <t>Combined cooling, heating &amp; power</t>
  </si>
  <si>
    <t>PLF, no extraction, available heat</t>
  </si>
  <si>
    <t>Monthly
energy
delivered
(all year)
(kWh AC/day)</t>
  </si>
  <si>
    <t>Heating mult</t>
  </si>
  <si>
    <t>(Btu/h)/W</t>
  </si>
  <si>
    <t>Base coeff 2</t>
  </si>
  <si>
    <t>refUnit</t>
  </si>
  <si>
    <t>refrigerant</t>
  </si>
  <si>
    <t>refrigeration</t>
  </si>
  <si>
    <t>refrigLowTemp</t>
  </si>
  <si>
    <t>refrigerator</t>
  </si>
  <si>
    <t>reservoir</t>
  </si>
  <si>
    <t>hhv</t>
  </si>
  <si>
    <t>KMF</t>
  </si>
  <si>
    <t>CRC</t>
  </si>
  <si>
    <t>HRK</t>
  </si>
  <si>
    <t>ES_Wind1</t>
  </si>
  <si>
    <t>simplAnaly</t>
  </si>
  <si>
    <t>potentCMDProj</t>
  </si>
  <si>
    <t>simplBaseMeth</t>
  </si>
  <si>
    <t>Prop
Coeff 10</t>
  </si>
  <si>
    <t>Prop
Coeff 11</t>
  </si>
  <si>
    <t>Prop
Coeff 12</t>
  </si>
  <si>
    <t>Opera.</t>
  </si>
  <si>
    <t>cboCBCS</t>
  </si>
  <si>
    <t>CA_SPC</t>
  </si>
  <si>
    <t>Simplified project if =2</t>
  </si>
  <si>
    <t>cambodia</t>
  </si>
  <si>
    <t>cameroon</t>
  </si>
  <si>
    <t>Lamp &amp; fixtures efficiency</t>
  </si>
  <si>
    <t>cboFAUnit</t>
  </si>
  <si>
    <t>cboFRVUnit</t>
  </si>
  <si>
    <t>txtPFA</t>
  </si>
  <si>
    <t>txtBFA</t>
  </si>
  <si>
    <t>txtBFRV</t>
  </si>
  <si>
    <t>xxx4</t>
  </si>
  <si>
    <t>logoRetEn</t>
  </si>
  <si>
    <t>trainingURL</t>
  </si>
  <si>
    <t>m H2O (4°C)</t>
  </si>
  <si>
    <t>operStrategy</t>
  </si>
  <si>
    <t>txtPCQte3</t>
  </si>
  <si>
    <t>txtPCQte2</t>
  </si>
  <si>
    <t>velocity</t>
  </si>
  <si>
    <t>ProjectInfo</t>
  </si>
  <si>
    <t>Pipe thickness at turbine</t>
  </si>
  <si>
    <t>schedule</t>
  </si>
  <si>
    <t>thermoElecGen</t>
  </si>
  <si>
    <t>r11CFC</t>
  </si>
  <si>
    <t>cboBaseDM2Unit</t>
  </si>
  <si>
    <t>txtUPDM211</t>
  </si>
  <si>
    <t>txtUPDM21</t>
  </si>
  <si>
    <t>txtUPDM210</t>
  </si>
  <si>
    <t>txtUPDM29</t>
  </si>
  <si>
    <t>Важное примечание</t>
  </si>
  <si>
    <t>Vigtig meddelelse</t>
  </si>
  <si>
    <t>Belangrijke opmerking</t>
  </si>
  <si>
    <t>Tärkeää</t>
  </si>
  <si>
    <t>optMethod1</t>
  </si>
  <si>
    <t>txtHR4b</t>
  </si>
  <si>
    <t>globalwarming</t>
  </si>
  <si>
    <t>minSymbol</t>
  </si>
  <si>
    <t>classroom</t>
  </si>
  <si>
    <t># of days in month</t>
  </si>
  <si>
    <t>Ground-source</t>
  </si>
  <si>
    <t>Evaporative
losses,
pool cover off
(MJ/d)</t>
  </si>
  <si>
    <t>backInclinedFan</t>
  </si>
  <si>
    <t>galPerMinSymbol</t>
  </si>
  <si>
    <t>gym</t>
  </si>
  <si>
    <t>numberOfFixturesSugg</t>
  </si>
  <si>
    <t>numberOfPumps</t>
  </si>
  <si>
    <t>Debt Service Coverage Analysis</t>
  </si>
  <si>
    <t>cboDHWUEM2Unit</t>
  </si>
  <si>
    <t>txtW2WHEE</t>
  </si>
  <si>
    <t>SAH Temp 3
 (ºC)</t>
  </si>
  <si>
    <t>Georgia</t>
  </si>
  <si>
    <t>cbbxHeatRecoveryUnitS2W</t>
  </si>
  <si>
    <t>txtS2WHEE</t>
  </si>
  <si>
    <t>r236faHFC</t>
  </si>
  <si>
    <t>r245caHFC</t>
  </si>
  <si>
    <t>r245faHFC</t>
  </si>
  <si>
    <t>ref. P.84 ref1</t>
  </si>
  <si>
    <t>Power Base load</t>
  </si>
  <si>
    <t>Left buttons</t>
  </si>
  <si>
    <t>Right buttons</t>
  </si>
  <si>
    <t>ref. P.94 ref1</t>
  </si>
  <si>
    <t>Heat season</t>
  </si>
  <si>
    <t>Cooling season</t>
  </si>
  <si>
    <t>Fuel costs</t>
  </si>
  <si>
    <t>Unit choices and conversion factors</t>
  </si>
  <si>
    <t>SI units</t>
  </si>
  <si>
    <t>Aruba</t>
  </si>
  <si>
    <t>Tonga</t>
  </si>
  <si>
    <t>El Salvador</t>
  </si>
  <si>
    <t>Vanuatu</t>
  </si>
  <si>
    <t>Venezuela</t>
  </si>
  <si>
    <t>Laos</t>
  </si>
  <si>
    <t>Lesotho</t>
  </si>
  <si>
    <t>Liechtenstein</t>
  </si>
  <si>
    <t>cboPropIDALV1</t>
  </si>
  <si>
    <t>cboBaseIDALV1</t>
  </si>
  <si>
    <t>Prop natural air infiltration index</t>
  </si>
  <si>
    <t>m³/kg</t>
  </si>
  <si>
    <t>Method 1/2</t>
  </si>
  <si>
    <t>Base coeff 1</t>
  </si>
  <si>
    <t>Internal load</t>
  </si>
  <si>
    <t>txtBEL2M1</t>
  </si>
  <si>
    <t>DEGREE-DAYS AND DESIGN AMBIENT TEMPERATURES</t>
  </si>
  <si>
    <t>Soil Type listbox</t>
  </si>
  <si>
    <t>txtO2ONOU</t>
  </si>
  <si>
    <t>txtO2OS2HC</t>
  </si>
  <si>
    <t>holySee</t>
  </si>
  <si>
    <t>hongKong</t>
  </si>
  <si>
    <t>Weather Database</t>
  </si>
  <si>
    <t>User-defined cold water calculation:</t>
  </si>
  <si>
    <t>ETS type</t>
  </si>
  <si>
    <t>kWh</t>
  </si>
  <si>
    <t>txtCBOH</t>
  </si>
  <si>
    <t>Demand (Energy</t>
  </si>
  <si>
    <t>stoneCrushed</t>
  </si>
  <si>
    <t>ARS</t>
  </si>
  <si>
    <t>AMD</t>
  </si>
  <si>
    <t>AWG</t>
  </si>
  <si>
    <t>AUD</t>
  </si>
  <si>
    <t>HideCodeES_Extract_GTCC1</t>
  </si>
  <si>
    <t>C demand</t>
  </si>
  <si>
    <t>txtDM26</t>
  </si>
  <si>
    <t>txtDM25</t>
  </si>
  <si>
    <t>txtDM24</t>
  </si>
  <si>
    <t>txtDM23</t>
  </si>
  <si>
    <t>Base cooling demand</t>
  </si>
  <si>
    <t>Base cooling system</t>
  </si>
  <si>
    <t>Proposed cooling demand</t>
  </si>
  <si>
    <t>Proposed cooling system</t>
  </si>
  <si>
    <t>space cooling</t>
  </si>
  <si>
    <t>directMethanol</t>
  </si>
  <si>
    <t>Average wind speed (m/s)</t>
  </si>
  <si>
    <t>Scale factor (m/s)</t>
  </si>
  <si>
    <t>seePDB</t>
  </si>
  <si>
    <t>Link to the website for the currently opened case study</t>
  </si>
  <si>
    <t>txtBNWRV</t>
  </si>
  <si>
    <t>withThermBreak</t>
  </si>
  <si>
    <t>wood</t>
  </si>
  <si>
    <t>Monthly average critical radiation level
(DB 2.24.3)
( )</t>
  </si>
  <si>
    <t>Total trench length</t>
  </si>
  <si>
    <t xml:space="preserve">                 -</t>
  </si>
  <si>
    <t>BTUH</t>
  </si>
  <si>
    <t>design cond</t>
  </si>
  <si>
    <t>Maximum well flow rate</t>
  </si>
  <si>
    <t>Required per year</t>
  </si>
  <si>
    <t>Vertical closed-loop</t>
  </si>
  <si>
    <t>Horizontal Rs</t>
  </si>
  <si>
    <t>MW total (for purposes of formula only)</t>
  </si>
  <si>
    <t>boiler</t>
  </si>
  <si>
    <t>nominalPVmoduleEff</t>
  </si>
  <si>
    <t>voltAtPeakPw</t>
  </si>
  <si>
    <t>american_samoa</t>
  </si>
  <si>
    <t>andorra</t>
  </si>
  <si>
    <t>angola</t>
  </si>
  <si>
    <t>txtBCQte2</t>
  </si>
  <si>
    <t>PLF with extract Possible extraction required</t>
  </si>
  <si>
    <t>Negative</t>
  </si>
  <si>
    <t>R value</t>
  </si>
  <si>
    <t>heatCOP</t>
  </si>
  <si>
    <t>coolCOP</t>
  </si>
  <si>
    <t>Average Daytime Temp Rise 1
(ºC)</t>
  </si>
  <si>
    <t>Mpa</t>
  </si>
  <si>
    <t>notCollected</t>
  </si>
  <si>
    <t>flared</t>
  </si>
  <si>
    <t>suggestCap</t>
  </si>
  <si>
    <t>CCA $</t>
  </si>
  <si>
    <t>Penetration Level</t>
  </si>
  <si>
    <t>txtHR3b</t>
  </si>
  <si>
    <t>heatValueFuelRate</t>
  </si>
  <si>
    <t>Prop
Sch 4</t>
  </si>
  <si>
    <t>bc</t>
  </si>
  <si>
    <t>pc%</t>
  </si>
  <si>
    <t>Vancouver</t>
  </si>
  <si>
    <t>Flow-through</t>
  </si>
  <si>
    <t>Sheets</t>
  </si>
  <si>
    <t>Energy used directly</t>
  </si>
  <si>
    <t>Cooling degree day</t>
  </si>
  <si>
    <t>refrigerantcondenstemp</t>
  </si>
  <si>
    <t>inletDamper</t>
  </si>
  <si>
    <t>tempcombustair</t>
  </si>
  <si>
    <t>txtIOMSS</t>
  </si>
  <si>
    <t>cboSTValueM2</t>
  </si>
  <si>
    <t>cbbxS2FlowUnitO2O</t>
  </si>
  <si>
    <t>Multiplicative currency rate</t>
  </si>
  <si>
    <t>montserrat</t>
  </si>
  <si>
    <t>wallbelowgrade</t>
  </si>
  <si>
    <t>Max Indoor Humidity Setpoint</t>
  </si>
  <si>
    <t>RhoAir</t>
  </si>
  <si>
    <t>Changeover temperature</t>
  </si>
  <si>
    <t>VarTab13</t>
  </si>
  <si>
    <t>Lang_Tool_13</t>
  </si>
  <si>
    <t>L/s/m²</t>
  </si>
  <si>
    <t>mBar</t>
  </si>
  <si>
    <t>solarColAbsorb</t>
  </si>
  <si>
    <t>frCoef</t>
  </si>
  <si>
    <t>aperAreaPerSolarCol</t>
  </si>
  <si>
    <t>operDays</t>
  </si>
  <si>
    <t>otherToOther</t>
  </si>
  <si>
    <t>peakCoolLoad</t>
  </si>
  <si>
    <t>peakElecLoad</t>
  </si>
  <si>
    <t>txtPLoadSize5</t>
  </si>
  <si>
    <t>Soil Resistance</t>
  </si>
  <si>
    <t>Sugg. PV array area for PV = load (SABB/HYBR) (m2)</t>
  </si>
  <si>
    <t>Fraction used</t>
  </si>
  <si>
    <t>speed</t>
  </si>
  <si>
    <t>nbGasTurb</t>
  </si>
  <si>
    <t>gasTurbModel</t>
  </si>
  <si>
    <t>gasTurbCap</t>
  </si>
  <si>
    <t>GBP</t>
  </si>
  <si>
    <t>formula</t>
  </si>
  <si>
    <t>Currency Range</t>
  </si>
  <si>
    <t>txtIOMSCValueM1</t>
  </si>
  <si>
    <t>BND</t>
  </si>
  <si>
    <t>BGL</t>
  </si>
  <si>
    <t>BIF</t>
  </si>
  <si>
    <t>KHR</t>
  </si>
  <si>
    <t>XAF</t>
  </si>
  <si>
    <t>CAD</t>
  </si>
  <si>
    <t>Installation of penstock (12)</t>
  </si>
  <si>
    <t>cboBase11TV2</t>
  </si>
  <si>
    <t>cboBase10TV2</t>
  </si>
  <si>
    <t>cboBase9TV2</t>
  </si>
  <si>
    <t>cboBase8TV2</t>
  </si>
  <si>
    <t>Monthly useful energy gain
(MJ)</t>
  </si>
  <si>
    <t>multBuild_spaceHeat</t>
  </si>
  <si>
    <t>lang_tool_fuelCostConv</t>
  </si>
  <si>
    <t>forumURL</t>
  </si>
  <si>
    <t>studiesURL</t>
  </si>
  <si>
    <t>Observaçao importante</t>
  </si>
  <si>
    <t>Standard</t>
  </si>
  <si>
    <t>60-175</t>
  </si>
  <si>
    <t>1800 - 5000</t>
  </si>
  <si>
    <t>txtFLEb</t>
  </si>
  <si>
    <t>CompressedAir #2</t>
  </si>
  <si>
    <t>txtD1</t>
  </si>
  <si>
    <t>Fuel consumption Units</t>
  </si>
  <si>
    <t>Name or symbol of the currency</t>
  </si>
  <si>
    <t>BenchDB</t>
  </si>
  <si>
    <t>sheep</t>
  </si>
  <si>
    <t>shgc</t>
  </si>
  <si>
    <t>temperaturecoefficientforFRUL</t>
  </si>
  <si>
    <t>wattPerSquareMeterPerSquareCelsiusSymbol</t>
  </si>
  <si>
    <t>OldProjLife</t>
  </si>
  <si>
    <t>PLF, with extract power produced</t>
  </si>
  <si>
    <t>Power peak</t>
  </si>
  <si>
    <t>benin</t>
  </si>
  <si>
    <t>bermuda</t>
  </si>
  <si>
    <t>bhutan</t>
  </si>
  <si>
    <t>txtBQ2M1</t>
  </si>
  <si>
    <t>Canal (13)</t>
  </si>
  <si>
    <t>Tunnel costs (14)</t>
  </si>
  <si>
    <t>motorShaftPwrLoad</t>
  </si>
  <si>
    <t>patm(psi)</t>
  </si>
  <si>
    <t>patm</t>
  </si>
  <si>
    <t>cboBaseVCV1</t>
  </si>
  <si>
    <t>cboPropCSV1</t>
  </si>
  <si>
    <t>Pool
sky 
temperature
(K)</t>
  </si>
  <si>
    <t>txtPWURM26</t>
  </si>
  <si>
    <t>heat_list</t>
  </si>
  <si>
    <t>power_list</t>
  </si>
  <si>
    <t>Nighttime Weekday Operating Hours Per Month (h)</t>
  </si>
  <si>
    <t>slope</t>
  </si>
  <si>
    <t>small</t>
  </si>
  <si>
    <t>pYrSymbol</t>
  </si>
  <si>
    <t>Energy
delivered
(MJ)</t>
  </si>
  <si>
    <t>Pump run time
(h)</t>
  </si>
  <si>
    <t>ES_BoilerT</t>
  </si>
  <si>
    <t>ES_OPS</t>
  </si>
  <si>
    <t>CA_CC</t>
  </si>
  <si>
    <t>cboBS</t>
  </si>
  <si>
    <t>RETScreen ohjelmisto käyttää MS Excel makroja. Makrojen suojausasetusten vuoksi joissakin tietokoneissa tulee makrot "ottaa käyttöön" avattaessa RETScreen tiedosto MS Excelissä.</t>
  </si>
  <si>
    <t>PDSelect_Manu</t>
  </si>
  <si>
    <t>PDSelect_Model</t>
  </si>
  <si>
    <t>Conversion factor</t>
  </si>
  <si>
    <t>HideES_Wind_data</t>
  </si>
  <si>
    <t>HideES_Wind1QF</t>
  </si>
  <si>
    <t>DollarSign</t>
  </si>
  <si>
    <t>malaysia</t>
  </si>
  <si>
    <t>maldives</t>
  </si>
  <si>
    <t>pelton</t>
  </si>
  <si>
    <t xml:space="preserve">Max power </t>
  </si>
  <si>
    <t>HeatingSystem #2</t>
  </si>
  <si>
    <t>txtBILM2</t>
  </si>
  <si>
    <t>&amp;RETScreen</t>
  </si>
  <si>
    <t>Softver RETScreen koristi Microsoft Excel makroe. Zbog postavki sigurnosti makroa na nekim računalima možda ćete morati "omogućiti" izvršavanje makroa pri otvaranju RETScreenovih datoteka u Excelu</t>
  </si>
  <si>
    <t>Vertical 2 hole 12' apart</t>
  </si>
  <si>
    <t>Equivalent Full Load Hours (EFLH)</t>
  </si>
  <si>
    <t>system</t>
  </si>
  <si>
    <t>IP value or alternate</t>
  </si>
  <si>
    <t>Principal</t>
  </si>
  <si>
    <t>Monthly 
average
temperature
(°C)</t>
  </si>
  <si>
    <t>Refrig BC</t>
  </si>
  <si>
    <t>Op. inc.</t>
  </si>
  <si>
    <t>guyana</t>
  </si>
  <si>
    <t>West window PC</t>
  </si>
  <si>
    <t>Capacity</t>
  </si>
  <si>
    <t>Drop-down list - Connection type</t>
  </si>
  <si>
    <t>Important notice</t>
  </si>
  <si>
    <t>Note importante</t>
  </si>
  <si>
    <t>Wichtiger hinweis</t>
  </si>
  <si>
    <t>Nota importante</t>
  </si>
  <si>
    <t>Passive gains</t>
  </si>
  <si>
    <t>H-B</t>
  </si>
  <si>
    <t>H-P</t>
  </si>
  <si>
    <t>dominica</t>
  </si>
  <si>
    <t>Ref BC loss</t>
  </si>
  <si>
    <t>Ref PC loss</t>
  </si>
  <si>
    <t>burkina_faso</t>
  </si>
  <si>
    <t>burundi</t>
  </si>
  <si>
    <t>carpetWUnderlay</t>
  </si>
  <si>
    <t>celluloseFiber</t>
  </si>
  <si>
    <t>cementPlaster</t>
  </si>
  <si>
    <t>Full power capacity output</t>
  </si>
  <si>
    <t>Inhouse power -HLF</t>
  </si>
  <si>
    <t>Model version take from Start!B80</t>
  </si>
  <si>
    <t>trainingCalendar</t>
  </si>
  <si>
    <t>singBuild_multiSpaceHeat</t>
  </si>
  <si>
    <t>cboLTValueM2</t>
  </si>
  <si>
    <t xml:space="preserve">The RETScreen software uses Microsoft Excel macros. Due to macro security settings on some computers you might have to "enable macros" when opening the RETScreen file in Excel.  </t>
  </si>
  <si>
    <t>txtPLF10M1</t>
  </si>
  <si>
    <t>txtPWURM29</t>
  </si>
  <si>
    <t>txtPWURM28</t>
  </si>
  <si>
    <t>eff</t>
  </si>
  <si>
    <t>txtCPNOU</t>
  </si>
  <si>
    <t>txtCBDC</t>
  </si>
  <si>
    <t>Wellbore depth</t>
  </si>
  <si>
    <t>Bins</t>
  </si>
  <si>
    <t>rad</t>
  </si>
  <si>
    <t>txtBWWRV</t>
  </si>
  <si>
    <t>Conductive losses
(MJ/d)</t>
  </si>
  <si>
    <t>Interval</t>
  </si>
  <si>
    <t>Max heat available</t>
  </si>
  <si>
    <t>=NORMINV(RAND(),0,1/3)</t>
  </si>
  <si>
    <t>marketplaceURL</t>
  </si>
  <si>
    <t>Balance</t>
  </si>
  <si>
    <t>Usage</t>
  </si>
  <si>
    <t>FrTA
( )</t>
  </si>
  <si>
    <t>txtPropSeasonalEfficiency</t>
  </si>
  <si>
    <t>Heat lookup</t>
  </si>
  <si>
    <t>txtW2WS1OH</t>
  </si>
  <si>
    <t>txtW2WSF</t>
  </si>
  <si>
    <t>txtW2WIIC</t>
  </si>
  <si>
    <t>txtW2WIOM</t>
  </si>
  <si>
    <t>cbbxS1FlowUnitW2W</t>
  </si>
  <si>
    <t>NT-175U1</t>
  </si>
  <si>
    <t>Sharp</t>
  </si>
  <si>
    <t>WST</t>
  </si>
  <si>
    <t>cbbxHeatRecoveryUnitW2W</t>
  </si>
  <si>
    <t>PHP</t>
  </si>
  <si>
    <t>PLN</t>
  </si>
  <si>
    <t>Adjustment to costing formulae for year 2006</t>
  </si>
  <si>
    <t>HideCodeES_Fuel1</t>
  </si>
  <si>
    <t>Test factor</t>
  </si>
  <si>
    <t>Costa Rica</t>
  </si>
  <si>
    <t>plume</t>
  </si>
  <si>
    <t>insulated</t>
  </si>
  <si>
    <t>aluminium</t>
  </si>
  <si>
    <t>txtBLoading2</t>
  </si>
  <si>
    <t>mm2Symbol</t>
  </si>
  <si>
    <t>BC fuel type</t>
  </si>
  <si>
    <t>capacityPerUnit</t>
  </si>
  <si>
    <t>oklahoma</t>
  </si>
  <si>
    <t>PFC-9-1-18</t>
  </si>
  <si>
    <t>HFE-125</t>
  </si>
  <si>
    <t>HFE-134</t>
  </si>
  <si>
    <t>HFE-143a</t>
  </si>
  <si>
    <t>HCFE-235da2</t>
  </si>
  <si>
    <t>HFE-245cb2</t>
  </si>
  <si>
    <t>HFE-245fa2</t>
  </si>
  <si>
    <t>HFE-254cb2</t>
  </si>
  <si>
    <t>HFE-347mcc3</t>
  </si>
  <si>
    <t>notInstallMsg</t>
  </si>
  <si>
    <t>txtBLoading1</t>
  </si>
  <si>
    <t>Aug</t>
  </si>
  <si>
    <t>Spanish - Español</t>
  </si>
  <si>
    <t>Swedish - Svenska</t>
  </si>
  <si>
    <t>HeatRecovery #4</t>
  </si>
  <si>
    <t>HeatRecovery #5</t>
  </si>
  <si>
    <t xml:space="preserve">RETSCreen yazılımı Microsoft Excel makrolarını kullanmaktadır. Bazı bilgisayarlardaki makro güvenlik ayarlarından dolayı, RETScreen dosyasını Excel'de açarken "makroları etkinleştirmeniz" gerekebilir. </t>
  </si>
  <si>
    <t>PoundSign</t>
  </si>
  <si>
    <t>YenSign</t>
  </si>
  <si>
    <t>Ysign</t>
  </si>
  <si>
    <t>Th</t>
  </si>
  <si>
    <t>Permafrost 2</t>
  </si>
  <si>
    <t>Tl</t>
  </si>
  <si>
    <t>Method formula/u-d</t>
  </si>
  <si>
    <t>Base Temp/deltaT</t>
  </si>
  <si>
    <t>Heat                                   (kW)</t>
  </si>
  <si>
    <t>HideCodeES_PSS</t>
  </si>
  <si>
    <t>YTP</t>
  </si>
  <si>
    <t>EE_CB19</t>
  </si>
  <si>
    <t>Inoltre, in alcuni computer, il livello di protezione macro di Excel potrebbe essere impostato su "Molto Elevata". In questo caso, affinché RETScreen funzioni correttamente, devi reimpostare il livello di sicurezza su "Media" o su "Elevata" utilizzando il menu "Strumenti, Macro, Protezione" di Excel prima di utilizzare RETScreen.</t>
  </si>
  <si>
    <t>さらに、コンピュータによってはエクセルのマクロセキュリティレベルが自動的に「高（H)」となっているのを、この場合RETScreenを使う前に、「ツール、マクロ、セキュリティ・・・」メニュー選択で「中（M)」にリセットしなければなりません。そうしないとソフトウェアが正常に動作しません。</t>
  </si>
  <si>
    <t>solidOxide</t>
  </si>
  <si>
    <t>HeatingSystem #3</t>
  </si>
  <si>
    <t>PC elect impact</t>
  </si>
  <si>
    <t>Capital</t>
  </si>
  <si>
    <t>Elect exp</t>
  </si>
  <si>
    <t>optS2W</t>
  </si>
  <si>
    <t>EM_Wind</t>
  </si>
  <si>
    <t>EM_Hydro</t>
  </si>
  <si>
    <t>EM-PV</t>
  </si>
  <si>
    <t>hydrogen</t>
  </si>
  <si>
    <t>natGas</t>
  </si>
  <si>
    <t>propane</t>
  </si>
  <si>
    <t>Load not met directly by PV (kWh/day)</t>
  </si>
  <si>
    <t>Base case</t>
  </si>
  <si>
    <t>l/s</t>
  </si>
  <si>
    <t>heatCool</t>
  </si>
  <si>
    <t>txtCPOH</t>
  </si>
  <si>
    <t>cboCOHUnit</t>
  </si>
  <si>
    <t>txtCIIC</t>
  </si>
  <si>
    <t>txtCIOM</t>
  </si>
  <si>
    <t>PC selected</t>
  </si>
  <si>
    <t>laos</t>
  </si>
  <si>
    <t>numberofcompressors</t>
  </si>
  <si>
    <t>numberFans</t>
  </si>
  <si>
    <t>numberOfFixtures</t>
  </si>
  <si>
    <t>low</t>
  </si>
  <si>
    <t>RUR</t>
  </si>
  <si>
    <t>RWF</t>
  </si>
  <si>
    <t>RETSctreen소프트웨어는 마이크로소프트 엑셀의 매크로를 사용하고 있습니다. 사용 컴퓨터의 매크로 보안 섿팅에 따라 프로그램을 개시할 때 매크로 관련 질문이 나올 수 있는데 이 때 "매크로 포함(E)"이라고 답해야 정상 작동됩니다.</t>
  </si>
  <si>
    <t>Valid base sched 6</t>
  </si>
  <si>
    <t>Valid base sched 7</t>
  </si>
  <si>
    <t>txtBQ5M1</t>
  </si>
  <si>
    <t>siteCondition</t>
  </si>
  <si>
    <t>Max. hydraulic losses</t>
  </si>
  <si>
    <t>mmBtu</t>
  </si>
  <si>
    <t>Volume %</t>
  </si>
  <si>
    <t>Text in Formula</t>
  </si>
  <si>
    <t>txtIIC8M1</t>
  </si>
  <si>
    <t>txtIIC7M1</t>
  </si>
  <si>
    <t>txtIIC6M1</t>
  </si>
  <si>
    <t>Total borehole length</t>
  </si>
  <si>
    <t>coolSys4</t>
  </si>
  <si>
    <t>Temperature
corrected
efficiency
Evans eqn
14 and 15
(%)</t>
  </si>
  <si>
    <t>Base
Sch 11</t>
  </si>
  <si>
    <t>Other #3</t>
  </si>
  <si>
    <t>Other #4</t>
  </si>
  <si>
    <t>Other #5</t>
  </si>
  <si>
    <t>unit</t>
  </si>
  <si>
    <t>Base electricity demand</t>
  </si>
  <si>
    <t>scol</t>
  </si>
  <si>
    <t>mLine</t>
  </si>
  <si>
    <t>nextRow</t>
  </si>
  <si>
    <t>nextCol</t>
  </si>
  <si>
    <t>newSouthWales</t>
  </si>
  <si>
    <t>northernTerritory</t>
  </si>
  <si>
    <t>Queensland</t>
  </si>
  <si>
    <t>queensland</t>
  </si>
  <si>
    <t>southAustralia</t>
  </si>
  <si>
    <t>mayAbr</t>
  </si>
  <si>
    <t>srow</t>
  </si>
  <si>
    <t>scolumn</t>
  </si>
  <si>
    <t>RadioButtons</t>
  </si>
  <si>
    <t>CheckBox</t>
  </si>
  <si>
    <t>¨</t>
  </si>
  <si>
    <t>þ</t>
  </si>
  <si>
    <t>checkbox</t>
  </si>
  <si>
    <t>radiobutton</t>
  </si>
  <si>
    <t>Checbox</t>
  </si>
  <si>
    <t>radiobuttons</t>
  </si>
  <si>
    <t>altern</t>
  </si>
  <si>
    <t>Animal</t>
  </si>
  <si>
    <t>Average Cooling temp</t>
  </si>
  <si>
    <t>cboFAUnitM1</t>
  </si>
  <si>
    <t>txtBWBGA</t>
  </si>
  <si>
    <t>txtBWBGRV</t>
  </si>
  <si>
    <t>txtPWBGRV</t>
  </si>
  <si>
    <t>Proposed electricity demand</t>
  </si>
  <si>
    <t>Pasted?</t>
  </si>
  <si>
    <t>Debt interest rate</t>
  </si>
  <si>
    <t>cboPTM2</t>
  </si>
  <si>
    <t>cboBTM2</t>
  </si>
  <si>
    <t>rValueRoof</t>
  </si>
  <si>
    <t>showSetting</t>
  </si>
  <si>
    <t>single</t>
  </si>
  <si>
    <t>psia</t>
  </si>
  <si>
    <t>psig</t>
  </si>
  <si>
    <t>HideES_Cool_FreePL</t>
  </si>
  <si>
    <t>kJ/kWh</t>
  </si>
  <si>
    <r>
      <t>Oxygen O</t>
    </r>
    <r>
      <rPr>
        <vertAlign val="subscript"/>
        <sz val="10"/>
        <rFont val="Arial"/>
        <family val="2"/>
      </rPr>
      <t>2</t>
    </r>
  </si>
  <si>
    <t>L/m²</t>
  </si>
  <si>
    <t>searchMarketplace</t>
  </si>
  <si>
    <t>PC fuel type selected</t>
  </si>
  <si>
    <t>Relative
long-wave
sky radiation
during daylight
(MJ/m2/d)</t>
  </si>
  <si>
    <t>Suggested 
collector 
area 
(SHW)
(m2)</t>
  </si>
  <si>
    <t>Required battery capacity
(Wh)</t>
  </si>
  <si>
    <t>Hydro central grid</t>
  </si>
  <si>
    <t>Motors #5</t>
  </si>
  <si>
    <t>Number of error values (empty cells)</t>
  </si>
  <si>
    <t>Energy summary</t>
  </si>
  <si>
    <t>Proposed</t>
  </si>
  <si>
    <t>Comments</t>
  </si>
  <si>
    <t>cboPropFTM2</t>
  </si>
  <si>
    <t>ecuador</t>
  </si>
  <si>
    <t>gridline</t>
  </si>
  <si>
    <t>kiribati</t>
  </si>
  <si>
    <t>Radiation processing</t>
  </si>
  <si>
    <t>july</t>
  </si>
  <si>
    <t>august</t>
  </si>
  <si>
    <t>september</t>
  </si>
  <si>
    <t>october</t>
  </si>
  <si>
    <t>november</t>
  </si>
  <si>
    <t>heatSetback</t>
  </si>
  <si>
    <t>txtPRA</t>
  </si>
  <si>
    <t>Gas fuel analysis</t>
  </si>
  <si>
    <t>Drop-down list - Costing methodology</t>
  </si>
  <si>
    <t>Method 1</t>
  </si>
  <si>
    <t>Annual energy summary</t>
  </si>
  <si>
    <t>MJ/m3</t>
  </si>
  <si>
    <t>Off grid power</t>
  </si>
  <si>
    <t>txtBTM25</t>
  </si>
  <si>
    <t>Prop Temp/deltaT</t>
  </si>
  <si>
    <t>obCoolingImpactNo2</t>
  </si>
  <si>
    <t>ProcessHeat #1</t>
  </si>
  <si>
    <t>Declination</t>
  </si>
  <si>
    <t>VEB</t>
  </si>
  <si>
    <t>VND</t>
  </si>
  <si>
    <t>tCO2</t>
  </si>
  <si>
    <t>Illumination level suggested</t>
  </si>
  <si>
    <t>txtPFBGEP</t>
  </si>
  <si>
    <t>EM_Heatingvalue</t>
  </si>
  <si>
    <t>Fuel selection method</t>
  </si>
  <si>
    <t>txtBLoading6</t>
  </si>
  <si>
    <t>falkland_islands</t>
  </si>
  <si>
    <t>faroe_islands</t>
  </si>
  <si>
    <t>r401aHCFC</t>
  </si>
  <si>
    <t>ProcessElectricity #5</t>
  </si>
  <si>
    <t>Fuel consumption FL</t>
  </si>
  <si>
    <t>Energy
demand
(months of use)
(MJ)</t>
  </si>
  <si>
    <t>HideES_Cool_FreeBL</t>
  </si>
  <si>
    <t>HideCodeES_Extract_ST1</t>
  </si>
  <si>
    <t>cboProp10SV2</t>
  </si>
  <si>
    <t>RT</t>
  </si>
  <si>
    <t>centralGrid</t>
  </si>
  <si>
    <t>Ratio of tilted beam rad. to horz. beam rad. at noon (DB 1.8.1) ( )</t>
  </si>
  <si>
    <t>txtPCOpHours1</t>
  </si>
  <si>
    <t>Prop schedule index</t>
  </si>
  <si>
    <t>concrete2400</t>
  </si>
  <si>
    <t>electricityload</t>
  </si>
  <si>
    <t>For PD units</t>
  </si>
  <si>
    <r>
      <t xml:space="preserve">◄ </t>
    </r>
    <r>
      <rPr>
        <sz val="10"/>
        <rFont val="Arial"/>
        <family val="2"/>
      </rPr>
      <t>SensFinChanged</t>
    </r>
  </si>
  <si>
    <t>◄ RiskFinChanged</t>
  </si>
  <si>
    <t>reportBugMsg</t>
  </si>
  <si>
    <t>actionCancelMsg</t>
  </si>
  <si>
    <t>guadeloupe</t>
  </si>
  <si>
    <t>guam</t>
  </si>
  <si>
    <t>guatemala</t>
  </si>
  <si>
    <t>guinea</t>
  </si>
  <si>
    <t>retOnWeb</t>
  </si>
  <si>
    <t>kgCO2/kWh</t>
  </si>
  <si>
    <t>tCO2/MWh</t>
  </si>
  <si>
    <t>RTh</t>
  </si>
  <si>
    <t>txtBCOpHours6</t>
  </si>
  <si>
    <t>txtRefrigGWPB</t>
  </si>
  <si>
    <t>viet_nam</t>
  </si>
  <si>
    <t>txtPLoading6</t>
  </si>
  <si>
    <t>HideCodeES_Cool_BL</t>
  </si>
  <si>
    <t>ref. P.80 ref1 1 1/4" SCH40</t>
  </si>
  <si>
    <t>Програма RETScreen використовує макроси Microsoft Excel.Через настройки безпеки на деяких комп'ютерах можливо доведеться натиснути опцію "Не відключати макроси" під час запуску файлів RETScreen в Excel.</t>
  </si>
  <si>
    <t>Operating Flowrate 1 (L/s/m²)</t>
  </si>
  <si>
    <t>kcal</t>
  </si>
  <si>
    <t>Power kW capacity</t>
  </si>
  <si>
    <t>DN 32</t>
  </si>
  <si>
    <t>RETScreen4.chm</t>
  </si>
  <si>
    <t>Base
Sch 12</t>
  </si>
  <si>
    <t>D156</t>
  </si>
  <si>
    <t>WDNasa</t>
  </si>
  <si>
    <t>Volatile solids of DM</t>
  </si>
  <si>
    <t>WattHourSymbol</t>
  </si>
  <si>
    <t>kWhPerM2PerDaySymbol</t>
  </si>
  <si>
    <t>meterPerSecondSymbol</t>
  </si>
  <si>
    <t>milibarSymbol</t>
  </si>
  <si>
    <t>EndOfVisibleWorksheet</t>
  </si>
  <si>
    <t>proposedProj</t>
  </si>
  <si>
    <t>sysPeakLoad</t>
  </si>
  <si>
    <t>txtO2OS1Tmp</t>
  </si>
  <si>
    <t>txtO2OS1HC</t>
  </si>
  <si>
    <t>cboProp1SV2</t>
  </si>
  <si>
    <t>txtF12p</t>
  </si>
  <si>
    <t>txtF11p</t>
  </si>
  <si>
    <t>txtF10p</t>
  </si>
  <si>
    <t>backupPwSys</t>
  </si>
  <si>
    <t>txtPSFLM2</t>
  </si>
  <si>
    <t>txtBSFLM2</t>
  </si>
  <si>
    <t>txtIICOH</t>
  </si>
  <si>
    <t>txtPEL</t>
  </si>
  <si>
    <t>CompressedAir #5</t>
  </si>
  <si>
    <t>Schedule</t>
  </si>
  <si>
    <t>DHW</t>
  </si>
  <si>
    <t>Generator &amp; Controls</t>
  </si>
  <si>
    <t>Pool
ambient air
humidity ratio
[kgH2O/kgair]</t>
  </si>
  <si>
    <t>solarCollColour</t>
  </si>
  <si>
    <t>CompressedAir #1</t>
  </si>
  <si>
    <t>Ash</t>
  </si>
  <si>
    <t>Tagalog - Tagalog</t>
  </si>
  <si>
    <t>Base
Syst 10</t>
  </si>
  <si>
    <t>btuhPerSquareFeetPerFarenheitSymbol</t>
  </si>
  <si>
    <t>ach</t>
  </si>
  <si>
    <t>RETScreenソフトウェアはMicrosoft Excelのマクロを使用しています。マクロのセキュリティーにより、コンピュータによってはRETScreenファイルのエクセル開始時に「マクロを有効」にしなければならない場合があります。</t>
  </si>
  <si>
    <t>IP units or alternate</t>
  </si>
  <si>
    <t>Appliances #5</t>
  </si>
  <si>
    <t>frameType</t>
  </si>
  <si>
    <t>francis</t>
  </si>
  <si>
    <t>French - Français</t>
  </si>
  <si>
    <t>cboHPHLUnit</t>
  </si>
  <si>
    <t>errorOpeningHelpFile</t>
  </si>
  <si>
    <t>changesLost</t>
  </si>
  <si>
    <t>writeAccessMsg</t>
  </si>
  <si>
    <t>txtF7b</t>
  </si>
  <si>
    <t>BC plant</t>
  </si>
  <si>
    <t>BC FT</t>
  </si>
  <si>
    <t>BC SE</t>
  </si>
  <si>
    <t>cboGWPUnit</t>
  </si>
  <si>
    <t>windCorrForFrTau</t>
  </si>
  <si>
    <t>windCorrForFrUL</t>
  </si>
  <si>
    <t>uValue</t>
  </si>
  <si>
    <t>SAH Temp
 (ºC)</t>
  </si>
  <si>
    <t>coolingdemand</t>
  </si>
  <si>
    <t>cdTe</t>
  </si>
  <si>
    <t>cis</t>
  </si>
  <si>
    <t>Base load</t>
  </si>
  <si>
    <t>ucg</t>
  </si>
  <si>
    <t>r152aHFC</t>
  </si>
  <si>
    <t>detailed</t>
  </si>
  <si>
    <t>equityPayback</t>
  </si>
  <si>
    <t>Base Case Cooling System and Cooling Load</t>
  </si>
  <si>
    <t>SRG</t>
  </si>
  <si>
    <t>SZL</t>
  </si>
  <si>
    <t>SEK</t>
  </si>
  <si>
    <t>SYP</t>
  </si>
  <si>
    <t>r408aHCFC</t>
  </si>
  <si>
    <t>r508aHFC</t>
  </si>
  <si>
    <t>r508bHFC</t>
  </si>
  <si>
    <t>r509aHCFC</t>
  </si>
  <si>
    <t>kW max extract heat</t>
  </si>
  <si>
    <t>Materials Database</t>
  </si>
  <si>
    <t>txtFLEp</t>
  </si>
  <si>
    <t>months</t>
  </si>
  <si>
    <t>Months</t>
  </si>
  <si>
    <t>Load
MJ/h</t>
  </si>
  <si>
    <t>txtBCQte7</t>
  </si>
  <si>
    <t>txtBCQte6</t>
  </si>
  <si>
    <t>TTD</t>
  </si>
  <si>
    <t>TND</t>
  </si>
  <si>
    <t>txtPEWinSSW</t>
  </si>
  <si>
    <t>1-6</t>
  </si>
  <si>
    <t>1-5</t>
  </si>
  <si>
    <t>Fc</t>
  </si>
  <si>
    <t>1-4</t>
  </si>
  <si>
    <t>Fh</t>
  </si>
  <si>
    <t>currentAtPeakPw</t>
  </si>
  <si>
    <t>voltOpenCircuit</t>
  </si>
  <si>
    <t>Multiply by infiltration rate in L/s</t>
  </si>
  <si>
    <t>Tocantins</t>
  </si>
  <si>
    <t>tocantins</t>
  </si>
  <si>
    <t>Alberta</t>
  </si>
  <si>
    <t>alberta</t>
  </si>
  <si>
    <t>britishColumbia</t>
  </si>
  <si>
    <t>Manitoba</t>
  </si>
  <si>
    <t>P</t>
  </si>
  <si>
    <t>¤
¡
¡</t>
  </si>
  <si>
    <t>Show</t>
  </si>
  <si>
    <t>ShowTmp</t>
  </si>
  <si>
    <t>UnitType</t>
  </si>
  <si>
    <t>UnitName</t>
  </si>
  <si>
    <t>WeightUnit</t>
  </si>
  <si>
    <t>oldType</t>
  </si>
  <si>
    <t>manitoba</t>
  </si>
  <si>
    <t>newBrunswick</t>
  </si>
  <si>
    <t>newfoundland</t>
  </si>
  <si>
    <t>novaScotia</t>
  </si>
  <si>
    <t>Viktigt meddelande</t>
  </si>
  <si>
    <t>EE_CB6</t>
  </si>
  <si>
    <t>EE_CB7</t>
  </si>
  <si>
    <t>4.0 Alpha</t>
  </si>
  <si>
    <t>VarTab09</t>
  </si>
  <si>
    <t>Fuel calc source</t>
  </si>
  <si>
    <t>EE_type</t>
  </si>
  <si>
    <t>dischargeDamper</t>
  </si>
  <si>
    <t>occupied</t>
  </si>
  <si>
    <t>onOff</t>
  </si>
  <si>
    <t>Btu/h</t>
  </si>
  <si>
    <t>asHeatPumps</t>
  </si>
  <si>
    <t>Total load delivered</t>
  </si>
  <si>
    <t>EE_CB11</t>
  </si>
  <si>
    <t>EE_CB12</t>
  </si>
  <si>
    <t>EE_CB13</t>
  </si>
  <si>
    <t>Selected method</t>
  </si>
  <si>
    <t>zimbabwe</t>
  </si>
  <si>
    <t>InitialCosts (Credits)</t>
  </si>
  <si>
    <t>Load &amp; Network</t>
  </si>
  <si>
    <t>Product Database</t>
  </si>
  <si>
    <t>Building Envelope #5</t>
  </si>
  <si>
    <t>txtBWDRV</t>
  </si>
  <si>
    <t>total ($)</t>
  </si>
  <si>
    <t>txtNOUM28</t>
  </si>
  <si>
    <t>txtNOUM27</t>
  </si>
  <si>
    <t>txtNOUM26</t>
  </si>
  <si>
    <t>cboSizeLeakUnit</t>
  </si>
  <si>
    <t>cboSizePlumeUnit</t>
  </si>
  <si>
    <t>Ratio of tilted beam rad. to horz. beam rad. at noon
(DB 1.8.1)
( )</t>
  </si>
  <si>
    <t>Fuel cost - proposed case</t>
  </si>
  <si>
    <t>fluot5highEB</t>
  </si>
  <si>
    <t>nepal</t>
  </si>
  <si>
    <t>Gridtype</t>
  </si>
  <si>
    <t>solarThermalPw</t>
  </si>
  <si>
    <t>tidalPw</t>
  </si>
  <si>
    <t>wavePw</t>
  </si>
  <si>
    <t>cboCoolingSysW2W</t>
  </si>
  <si>
    <t>Decimal symbol</t>
  </si>
  <si>
    <t>Pre-tax</t>
  </si>
  <si>
    <t>After-tax</t>
  </si>
  <si>
    <t>£</t>
  </si>
  <si>
    <t>kg/h</t>
  </si>
  <si>
    <t>ProcessSteam #1</t>
  </si>
  <si>
    <t>Ventilation</t>
  </si>
  <si>
    <t>Cust</t>
  </si>
  <si>
    <t>For paste</t>
  </si>
  <si>
    <t>July</t>
  </si>
  <si>
    <t>Available heat -PLF</t>
  </si>
  <si>
    <t>W</t>
  </si>
  <si>
    <t>GW</t>
  </si>
  <si>
    <t>Wh</t>
  </si>
  <si>
    <t>Discharge temperature</t>
  </si>
  <si>
    <t>Solar air heater</t>
  </si>
  <si>
    <t>COP</t>
  </si>
  <si>
    <t>4-4</t>
  </si>
  <si>
    <t>70% eff.pump</t>
  </si>
  <si>
    <t>dishwasher</t>
  </si>
  <si>
    <t>turgo</t>
  </si>
  <si>
    <t>PC CD selected</t>
  </si>
  <si>
    <t>YUM</t>
  </si>
  <si>
    <t>SCR</t>
  </si>
  <si>
    <t>SLL</t>
  </si>
  <si>
    <t>SGD</t>
  </si>
  <si>
    <t>SKK</t>
  </si>
  <si>
    <t>Lang_Mon</t>
  </si>
  <si>
    <t>txtBasePercentage</t>
  </si>
  <si>
    <t>txtPropPercentage</t>
  </si>
  <si>
    <t>Base
Coeff 5</t>
  </si>
  <si>
    <t>Fontos figyelmeztetés</t>
  </si>
  <si>
    <t>Storage/Load
Ratio
(day)</t>
  </si>
  <si>
    <t>Telugu - ఆంగ్లము</t>
  </si>
  <si>
    <t>Comb prod</t>
  </si>
  <si>
    <t>% wt</t>
  </si>
  <si>
    <t>visitWebsite</t>
  </si>
  <si>
    <t>Wood - bark (average)</t>
  </si>
  <si>
    <t>txtW2WS2F</t>
  </si>
  <si>
    <t>autoFuelFeed</t>
  </si>
  <si>
    <t>Cooling system</t>
  </si>
  <si>
    <t>chkRefrM2</t>
  </si>
  <si>
    <t>Pool
wind 
speed
(m/s)</t>
  </si>
  <si>
    <t>Min load %</t>
  </si>
  <si>
    <t>txtPNWRV</t>
  </si>
  <si>
    <t>txtBSWRV</t>
  </si>
  <si>
    <t>Multiple space</t>
  </si>
  <si>
    <t>Occupied</t>
  </si>
  <si>
    <t>HideCodeES_OPS</t>
  </si>
  <si>
    <t>AED</t>
  </si>
  <si>
    <t>Guatemala</t>
  </si>
  <si>
    <t>Tuvalu</t>
  </si>
  <si>
    <t>grenada</t>
  </si>
  <si>
    <t>neimenggu</t>
  </si>
  <si>
    <t>ningxia</t>
  </si>
  <si>
    <t>peking</t>
  </si>
  <si>
    <t>qinghai</t>
  </si>
  <si>
    <t>shaanxi</t>
  </si>
  <si>
    <t>shandong</t>
  </si>
  <si>
    <t>shanghai</t>
  </si>
  <si>
    <t>shanxi</t>
  </si>
  <si>
    <t>weatherBuoy</t>
  </si>
  <si>
    <t>risk_Analysis</t>
  </si>
  <si>
    <t>txtMUWTempP</t>
  </si>
  <si>
    <t>BuildingEnvelope #2</t>
  </si>
  <si>
    <t>U-value</t>
  </si>
  <si>
    <t>Electricity rate calculator</t>
  </si>
  <si>
    <t>Graphs</t>
  </si>
  <si>
    <t>senegal</t>
  </si>
  <si>
    <t>Turbine efficiency</t>
  </si>
  <si>
    <t>Incremental cost</t>
  </si>
  <si>
    <t>PV Energy breakup</t>
  </si>
  <si>
    <t>heatSys1</t>
  </si>
  <si>
    <t>heatSys2</t>
  </si>
  <si>
    <t>custom4</t>
  </si>
  <si>
    <t>custom5</t>
  </si>
  <si>
    <t>cboMUWTempUnit</t>
  </si>
  <si>
    <t>Infiltration [L / s-m²]</t>
  </si>
  <si>
    <t>txtBOH1M1</t>
  </si>
  <si>
    <t>txtBOH10M1</t>
  </si>
  <si>
    <t>Risk Analysis for After-tax IRR and ROI</t>
  </si>
  <si>
    <t>Depreciative method</t>
  </si>
  <si>
    <t>XCD</t>
  </si>
  <si>
    <t>SVC</t>
  </si>
  <si>
    <t>Civil cost coefficient</t>
  </si>
  <si>
    <t>txtBWWinA</t>
  </si>
  <si>
    <t>txtBEWinA</t>
  </si>
  <si>
    <t>Ren. energy summary (SABB and HYBR)</t>
  </si>
  <si>
    <t>txtBNOMM2</t>
  </si>
  <si>
    <t>txtPNOMM2</t>
  </si>
  <si>
    <t>Maximum</t>
  </si>
  <si>
    <t>txtPLL</t>
  </si>
  <si>
    <t>Remaining heat</t>
  </si>
  <si>
    <t>Motors</t>
  </si>
  <si>
    <t>VarTab03</t>
  </si>
  <si>
    <t>VarTab04</t>
  </si>
  <si>
    <r>
      <t>Propane C</t>
    </r>
    <r>
      <rPr>
        <vertAlign val="subscript"/>
        <sz val="10"/>
        <rFont val="Arial"/>
        <family val="2"/>
      </rPr>
      <t>3</t>
    </r>
    <r>
      <rPr>
        <sz val="10"/>
        <rFont val="Arial"/>
        <family val="2"/>
      </rPr>
      <t>H</t>
    </r>
    <r>
      <rPr>
        <vertAlign val="subscript"/>
        <sz val="10"/>
        <rFont val="Arial"/>
        <family val="2"/>
      </rPr>
      <t>8</t>
    </r>
  </si>
  <si>
    <t>Number of supply wells required</t>
  </si>
  <si>
    <t>literPerSecondSymbol</t>
  </si>
  <si>
    <t>literPerSecondPerSquareMeterSymbol</t>
  </si>
  <si>
    <t>MCWB</t>
  </si>
  <si>
    <t>$/unit</t>
  </si>
  <si>
    <t>Req.</t>
  </si>
  <si>
    <t>Worksheet names</t>
  </si>
  <si>
    <t>cboBase7SV2</t>
  </si>
  <si>
    <t>cboBase6SV2</t>
  </si>
  <si>
    <t>txtSuperHeatTempOMC</t>
  </si>
  <si>
    <t>GHG reduction credit duration</t>
  </si>
  <si>
    <t>ProcessSteam</t>
  </si>
  <si>
    <t>SteamLosses</t>
  </si>
  <si>
    <t>GHG reduction credit escalation rate</t>
  </si>
  <si>
    <t>Fuel consumption -PLF</t>
  </si>
  <si>
    <t>grossAreaPerSolarCol</t>
  </si>
  <si>
    <t>woodS</t>
  </si>
  <si>
    <t>cbbxHoursUsefullAirUnit</t>
  </si>
  <si>
    <t>Dry matter</t>
  </si>
  <si>
    <t>max</t>
  </si>
  <si>
    <t>squareFeetFarenheitByBtuhSymbol</t>
  </si>
  <si>
    <t>baseProposed</t>
  </si>
  <si>
    <t>squareMeterCelsiusByWattSymbol</t>
  </si>
  <si>
    <t>montenegro</t>
  </si>
  <si>
    <t>TWD</t>
  </si>
  <si>
    <t>cboWBGRVUnit</t>
  </si>
  <si>
    <t>txtPWBGA</t>
  </si>
  <si>
    <t>LangTranslation</t>
  </si>
  <si>
    <t>Number of days</t>
  </si>
  <si>
    <t>EE-measures</t>
  </si>
  <si>
    <t>Can prov data 2007</t>
  </si>
  <si>
    <t>energyModel</t>
  </si>
  <si>
    <t>emisAnaly</t>
  </si>
  <si>
    <t>kg CO2/GJ based on HHV</t>
  </si>
  <si>
    <t>DN 40</t>
  </si>
  <si>
    <t>DN 50</t>
  </si>
  <si>
    <t>cboProp12TV2</t>
  </si>
  <si>
    <t>MWh/m²</t>
  </si>
  <si>
    <t>R-value</t>
  </si>
  <si>
    <t>Fraction of load delivered by PV, as a function of array/load and storage/load ratios</t>
  </si>
  <si>
    <t>cboHOHUnit</t>
  </si>
  <si>
    <t>txtHBOH</t>
  </si>
  <si>
    <t>txtHBDC</t>
  </si>
  <si>
    <t>txtHPDC</t>
  </si>
  <si>
    <t>grid_type_list</t>
  </si>
  <si>
    <t>metricUnits</t>
  </si>
  <si>
    <t>H20</t>
  </si>
  <si>
    <t>°F</t>
  </si>
  <si>
    <t>txtDesc2</t>
  </si>
  <si>
    <t>txtBCQte1</t>
  </si>
  <si>
    <t>txtBCQte11</t>
  </si>
  <si>
    <t>m² - ºC/W</t>
  </si>
  <si>
    <t>Desertification savings</t>
  </si>
  <si>
    <t>txtBTM211</t>
  </si>
  <si>
    <t>txtBTM21</t>
  </si>
  <si>
    <t>Heating base load</t>
  </si>
  <si>
    <t>D81</t>
  </si>
  <si>
    <t>kg/GJ</t>
  </si>
  <si>
    <t>ES_TypeBI</t>
  </si>
  <si>
    <t>Fuel lookup</t>
  </si>
  <si>
    <t>Row</t>
  </si>
  <si>
    <t>Base Load</t>
  </si>
  <si>
    <t>m3/h</t>
  </si>
  <si>
    <t>anguilla</t>
  </si>
  <si>
    <t>bouvetIsland</t>
  </si>
  <si>
    <t>Zusätzlich ist die Sicherheitsstufe für Makros in Excel häufig auf "sehr hoch" gesetzt. In diesem Fall müssen Sie die Sicherheitsstufe auf "mittel" oder "hoch" setzen, bevor sie RETScreen benutzen. Wählen Sie dazu in der Menüauswahl "Extras, Makros, Sicherheit...". Ansonsten funktioniert die Software nicht einwandfrei.</t>
  </si>
  <si>
    <t>Extraction (1=yes, 2=No)</t>
  </si>
  <si>
    <t>O168</t>
  </si>
  <si>
    <t>Guam</t>
  </si>
  <si>
    <t>singBuild_multiSpaceProcessCool</t>
  </si>
  <si>
    <t>multBuild_spaceCool</t>
  </si>
  <si>
    <t>multBuild_processCool</t>
  </si>
  <si>
    <t>txtBOH4M1</t>
  </si>
  <si>
    <t>txtBOH3M1</t>
  </si>
  <si>
    <t>txtBOH2M1</t>
  </si>
  <si>
    <t>cboBELM1Unit</t>
  </si>
  <si>
    <t>txtPropSuperheatTemp</t>
  </si>
  <si>
    <t>Taxes</t>
  </si>
  <si>
    <t>Total loop length</t>
  </si>
  <si>
    <t>washroom</t>
  </si>
  <si>
    <t>Renewable
energy
collected
(seas. of use)
(kWh)</t>
  </si>
  <si>
    <t>इसके अतिरिक्त कुछ कम्प्यूटरों में एक्सेल में मैक्रो सुरक्षा स्तर अपने आप ही "अत्यंत उच्च" पर नियत होता है। ऐसे मामले में आपको RETScreen के उपयोग से पहले "औजार, मेक्रो, सुरक्षा..." मेनू में जा कर सुरक्षा स्तर को "‘मध्यम" या "उच्च" पर पुन:नियत करना होगा, अन्यथा, साफ्टवेयर ठीक से कार्य नहीं करेगा।.</t>
  </si>
  <si>
    <t>notesRange</t>
  </si>
  <si>
    <t>ver4Alpha</t>
  </si>
  <si>
    <t>Y
(DB 20.2.2)</t>
  </si>
  <si>
    <t>Base
Sch 4</t>
  </si>
  <si>
    <t>Base
Sch 5</t>
  </si>
  <si>
    <t>Convective
losses
(MJ/d)</t>
  </si>
  <si>
    <t>txtPAM1</t>
  </si>
  <si>
    <t>txtPARLM1</t>
  </si>
  <si>
    <t>equipSelect</t>
  </si>
  <si>
    <t>txtBEDA</t>
  </si>
  <si>
    <t>txtBNDRV</t>
  </si>
  <si>
    <t>HFE-347pcf2</t>
  </si>
  <si>
    <t>HFE-356pcc3</t>
  </si>
  <si>
    <t>HFE-499sl</t>
  </si>
  <si>
    <t>HFE-569sf2</t>
  </si>
  <si>
    <t>HFE-43-10pccc124</t>
  </si>
  <si>
    <t>HFE-236ca12</t>
  </si>
  <si>
    <t>HFE-338pcc13</t>
  </si>
  <si>
    <t>PFPMIE</t>
  </si>
  <si>
    <t>HFC-407E</t>
  </si>
  <si>
    <t>HCFC-409B</t>
  </si>
  <si>
    <t>HFC-410B</t>
  </si>
  <si>
    <t>HCFC-414A</t>
  </si>
  <si>
    <t>HCFC-414B</t>
  </si>
  <si>
    <t>HCFC-415A</t>
  </si>
  <si>
    <t>HCFC-415B</t>
  </si>
  <si>
    <t>HCFC-416A</t>
  </si>
  <si>
    <t xml:space="preserve">HCFC-418A </t>
  </si>
  <si>
    <t>HFE-7100</t>
  </si>
  <si>
    <t>HFE-7200</t>
  </si>
  <si>
    <t>H-Galden 1040x</t>
  </si>
  <si>
    <t>HG-10</t>
  </si>
  <si>
    <t>Prop
Sch 11</t>
  </si>
  <si>
    <t>Prop
Sch 12</t>
  </si>
  <si>
    <t>Base
Syst 1</t>
  </si>
  <si>
    <t>Base
Syst 2</t>
  </si>
  <si>
    <t>Base
Syst 3</t>
  </si>
  <si>
    <t>gpm</t>
  </si>
  <si>
    <t>CLP</t>
  </si>
  <si>
    <t>CNY</t>
  </si>
  <si>
    <t>CUP</t>
  </si>
  <si>
    <t>Extraction</t>
  </si>
  <si>
    <t>Valid base schedule</t>
  </si>
  <si>
    <t>singBuild_spaceProcessHeat</t>
  </si>
  <si>
    <t>multBuild_spaceProcessCool</t>
  </si>
  <si>
    <t>std</t>
  </si>
  <si>
    <t>txtHPOH</t>
  </si>
  <si>
    <t>cboHBHS</t>
  </si>
  <si>
    <t>txtS2WNOU</t>
  </si>
  <si>
    <t>cboBase5SV2</t>
  </si>
  <si>
    <t>cboBase4SV2</t>
  </si>
  <si>
    <t>txtDesc11</t>
  </si>
  <si>
    <t>kmh</t>
  </si>
  <si>
    <t>heatRate</t>
  </si>
  <si>
    <t>fancontrol</t>
  </si>
  <si>
    <t>intakeairdamperleak</t>
  </si>
  <si>
    <t>steamlosses</t>
  </si>
  <si>
    <t>numberOfVentUnits</t>
  </si>
  <si>
    <t>size</t>
  </si>
  <si>
    <t>Sorted - Base</t>
  </si>
  <si>
    <t>txtBODM2</t>
  </si>
  <si>
    <t>enterairtempcondens</t>
  </si>
  <si>
    <t>annualrefrigerantlosses</t>
  </si>
  <si>
    <t>carwash</t>
  </si>
  <si>
    <t>duration</t>
  </si>
  <si>
    <t>txtPropOpPressure</t>
  </si>
  <si>
    <t>r411aHCFC</t>
  </si>
  <si>
    <t>r411bHCFC</t>
  </si>
  <si>
    <t>r412aHCFC</t>
  </si>
  <si>
    <t>slovakia</t>
  </si>
  <si>
    <t>SHP</t>
  </si>
  <si>
    <t>Daytime Temperature Offset</t>
  </si>
  <si>
    <t>slider</t>
  </si>
  <si>
    <t>armenia</t>
  </si>
  <si>
    <t>Fr'(TA)bar
modified for
snow and dirt
losses
( )</t>
  </si>
  <si>
    <t>Fr'UL
(W/m2/C)</t>
  </si>
  <si>
    <t>txtD3M1</t>
  </si>
  <si>
    <t>PLF extract to heat load</t>
  </si>
  <si>
    <t>Density kg/unit</t>
  </si>
  <si>
    <t>Delta t for heating</t>
  </si>
  <si>
    <t>Array/Load Ratio</t>
  </si>
  <si>
    <t>@ standard persurre and temperature</t>
  </si>
  <si>
    <t>Available power Heat load following-HLF</t>
  </si>
  <si>
    <t>productDB</t>
  </si>
  <si>
    <t>Tbrc</t>
  </si>
  <si>
    <t>2-7</t>
  </si>
  <si>
    <t>2-6</t>
  </si>
  <si>
    <t>5 F approach temp.</t>
  </si>
  <si>
    <t>htg flow</t>
  </si>
  <si>
    <t>Free cooling</t>
  </si>
  <si>
    <t>UnOccupied</t>
  </si>
  <si>
    <t>Occ</t>
  </si>
  <si>
    <t>UnOcc</t>
  </si>
  <si>
    <t>Cooling DD</t>
  </si>
  <si>
    <t>Heating DD</t>
  </si>
  <si>
    <t>Factor=</t>
  </si>
  <si>
    <t>projectCurrency</t>
  </si>
  <si>
    <t>0 --&gt; metric    1--&gt;imperial</t>
  </si>
  <si>
    <t>Softiweya ya RETScreen inatumia macros za Microsoft Excel. Kutokana na mpangilio wa ulinzi wa macros baadhi ya kompyuta zinataliwa "kuwezesha macros" wakati wa kufungua mafaili ya RETScreen katika Excel.</t>
  </si>
  <si>
    <t>(IPCC 2007)</t>
  </si>
  <si>
    <t>Data from Tools sheet</t>
  </si>
  <si>
    <t>btuhPerSquareFeetPerSquareFarenheitSymbol</t>
  </si>
  <si>
    <t>secondPerFeetSymbol</t>
  </si>
  <si>
    <t>cubeFeetPerSecondSymbol</t>
  </si>
  <si>
    <t>cubeFeetPerSecondPerSquareMileSymbol</t>
  </si>
  <si>
    <t>txtPTM211</t>
  </si>
  <si>
    <t>txtPTM21</t>
  </si>
  <si>
    <t>west</t>
  </si>
  <si>
    <t>Turbine efficiency input</t>
  </si>
  <si>
    <t>clad</t>
  </si>
  <si>
    <t>clear</t>
  </si>
  <si>
    <t>txtPOH2M1</t>
  </si>
  <si>
    <t>txtIIC11M1</t>
  </si>
  <si>
    <t>txtIIC1M1</t>
  </si>
  <si>
    <t>txtBEL</t>
  </si>
  <si>
    <t>cboOHUnit</t>
  </si>
  <si>
    <t>txtBM</t>
  </si>
  <si>
    <t>txtPC</t>
  </si>
  <si>
    <t>txtPM</t>
  </si>
  <si>
    <t>txtBDP</t>
  </si>
  <si>
    <t>cboHPHS</t>
  </si>
  <si>
    <t>120 - 360</t>
  </si>
  <si>
    <t>250 - 1100</t>
  </si>
  <si>
    <t>55 - 250</t>
  </si>
  <si>
    <t>Fuel cell</t>
  </si>
  <si>
    <t>Hydro turbine</t>
  </si>
  <si>
    <t>limeStucco</t>
  </si>
  <si>
    <t>Hơn nữa, trong một số máy tính, mức độ an toàn của macro được thiết lập ở mức "rất cao". Trong trường hợp này, bạn phải thiết lập lại mức an toàn ở mức "trung bình" hoặc "cao" bằng việc sử dụng Menu "Tool, Macro, Security…"trước khi sử dụng RETScreen. Như vậy, phần mềm sẽ hoạt động tốt.</t>
  </si>
  <si>
    <t>=precent lower than Pelton</t>
  </si>
  <si>
    <t>unglazed</t>
  </si>
  <si>
    <t>radialBladeFan</t>
  </si>
  <si>
    <t>solarCollFanFlowRate</t>
  </si>
  <si>
    <t>year</t>
  </si>
  <si>
    <t>C elect impact</t>
  </si>
  <si>
    <t>Refrigeration #4</t>
  </si>
  <si>
    <t>continueMsg</t>
  </si>
  <si>
    <t>doNotShowMsg</t>
  </si>
  <si>
    <t>projIncompatibleMsg</t>
  </si>
  <si>
    <t>Velocity</t>
  </si>
  <si>
    <t>cboProp4SV2</t>
  </si>
  <si>
    <t>language</t>
  </si>
  <si>
    <t>DD/day</t>
  </si>
  <si>
    <t>delete</t>
  </si>
  <si>
    <t>slovenia</t>
  </si>
  <si>
    <t>solarCollShadingSeaOfUse</t>
  </si>
  <si>
    <t>txtIIC4</t>
  </si>
  <si>
    <t>txtIIC3</t>
  </si>
  <si>
    <t>Inputs</t>
  </si>
  <si>
    <t>cboOHM2</t>
  </si>
  <si>
    <t>NIO</t>
  </si>
  <si>
    <t>NGN</t>
  </si>
  <si>
    <t>Valid prop sched 4</t>
  </si>
  <si>
    <t>txtPNOUM2</t>
  </si>
  <si>
    <t>hubHeight</t>
  </si>
  <si>
    <t>PLF extraction to heat load, % steam</t>
  </si>
  <si>
    <t>diesel2or6Oil</t>
  </si>
  <si>
    <t>gas</t>
  </si>
  <si>
    <t>liquid</t>
  </si>
  <si>
    <t>dualFuel</t>
  </si>
  <si>
    <t>kilometerSymbol</t>
  </si>
  <si>
    <t>mileSymbol</t>
  </si>
  <si>
    <t>kWhPerFt2PerDaySymbol</t>
  </si>
  <si>
    <t>Le logiciel RETScreen utilise des macros. Dû aux paramètres de sécurité de certains ordinateurs, vous aurez probablement à "activer les macros" lors de l'ouverture du fichier RETScreen dans Excel.</t>
  </si>
  <si>
    <t>cboBaseCSV2</t>
  </si>
  <si>
    <t>txtBLL</t>
  </si>
  <si>
    <t>900 - 1200</t>
  </si>
  <si>
    <t xml:space="preserve">  1% (C)</t>
  </si>
  <si>
    <t>Currency sheet</t>
  </si>
  <si>
    <t>Wood waste - mixed softwood</t>
  </si>
  <si>
    <t>chkF</t>
  </si>
  <si>
    <t>chkR</t>
  </si>
  <si>
    <t>chkD</t>
  </si>
  <si>
    <t>Number of hours
blanket is off
during daytime
(h/day)</t>
  </si>
  <si>
    <t>HideCodeES</t>
  </si>
  <si>
    <t>HideCodeES_Cool_PL</t>
  </si>
  <si>
    <t>Code</t>
  </si>
  <si>
    <t>Rock excavation volume</t>
  </si>
  <si>
    <t>cboPropHSV2</t>
  </si>
  <si>
    <t>Base total solar gain</t>
  </si>
  <si>
    <t>(J/m³)/°C</t>
  </si>
  <si>
    <t>selected soil Rs</t>
  </si>
  <si>
    <t>GroundWater</t>
  </si>
  <si>
    <t>Inflation rate</t>
  </si>
  <si>
    <t>ref1, ref2 pour min</t>
  </si>
  <si>
    <t>Tmax</t>
  </si>
  <si>
    <t>Además, en algunas computadoras, el Nivel de Macro Seguridad en Excel se ajusta automáticamente a "muy alto". En este caso, usted tendrá que volver a ajustar el nivel de seguridad a "medio" o "alto" utilizando la selección del menú "Herramientas, Macro, Seguridad..." antes de utilizar el RETScreen. En caso contrario, el software no funcionará como es debido.</t>
  </si>
  <si>
    <t>Basic-no frost</t>
  </si>
  <si>
    <t>Item</t>
  </si>
  <si>
    <t>txtSuperHeatTempIC</t>
  </si>
  <si>
    <t>seeClimateDB</t>
  </si>
  <si>
    <t xml:space="preserve">Ayrıca, bazı bilgisayarlarda Excel'deki Makro Güvenlik Seviyesi otomatik olarak "çok yüksek" olarak ayarlanmıştır. Bu durumda, RETScreen'i kullanmadan önce, "Araçlar, Makro, Güvenlik..." menüsünden güvenlik seviyesini "orta" veya "yüksek" olarak yenifen ayarlamanız gerekecektir. Aksi takdirde, yazılım düzgün olarak çalışmayacaktır. </t>
  </si>
  <si>
    <t>txtBNOUM2</t>
  </si>
  <si>
    <t>cboPCW</t>
  </si>
  <si>
    <t>cboBCW</t>
  </si>
  <si>
    <t>Average Rock (limestone)</t>
  </si>
  <si>
    <t>Cost range sheet</t>
  </si>
  <si>
    <t>direct</t>
  </si>
  <si>
    <t>indirect</t>
  </si>
  <si>
    <t>◄ Sens</t>
  </si>
  <si>
    <t>◄ Risk</t>
  </si>
  <si>
    <t>Single process</t>
  </si>
  <si>
    <t>,</t>
  </si>
  <si>
    <t>Service
hot water 
monthly load
(MJ)</t>
  </si>
  <si>
    <t>Conversion unit</t>
  </si>
  <si>
    <t>facility_type_list</t>
  </si>
  <si>
    <t>Air temp</t>
  </si>
  <si>
    <t>Code_40102</t>
  </si>
  <si>
    <t>Foot-candle</t>
  </si>
  <si>
    <t>J/m³</t>
  </si>
  <si>
    <t>kg/L</t>
  </si>
  <si>
    <t>t/m³</t>
  </si>
  <si>
    <t>t/L</t>
  </si>
  <si>
    <t>lb/L</t>
  </si>
  <si>
    <t>lb/m³</t>
  </si>
  <si>
    <t>User Defined Fuel Summary</t>
  </si>
  <si>
    <t>User Defined Fuel - Gas Summary</t>
  </si>
  <si>
    <t>User Defined Fuel - Solid Summary</t>
  </si>
  <si>
    <t>Stations' List</t>
  </si>
  <si>
    <t>bosnia_herzegovina</t>
  </si>
  <si>
    <t>rotorDiameter</t>
  </si>
  <si>
    <t>Utilization 
(%)</t>
  </si>
  <si>
    <t>Landfill gas availability</t>
  </si>
  <si>
    <t>Cost factor for direct % of indirect</t>
  </si>
  <si>
    <t>Prop
Sch 2</t>
  </si>
  <si>
    <t>ProcessHeat #3</t>
  </si>
  <si>
    <t>Load met
by battery
(kWh/day)</t>
  </si>
  <si>
    <t>Storage/Load Ratio</t>
  </si>
  <si>
    <t>LFG density @ 20 C</t>
  </si>
  <si>
    <t>kg/m3</t>
  </si>
  <si>
    <t>Prop EDC</t>
  </si>
  <si>
    <t>PLF, with extraction, available heat</t>
  </si>
  <si>
    <t>I vissa datorer sätts säkerhetsnivån för makron i Excel automatiskt till "mycket hög".  När så är fallet måste Ni återställa säkerhetsnivån till "medel" eller "hög" genom att använda menyn "Verktyg, Macro, Säkerhet..." innan Ni använder RETScreen. Om detta inte görs fungerar inte programmet som det skall.</t>
  </si>
  <si>
    <t>Carbon monoxide CO</t>
  </si>
  <si>
    <t>HideCodeES_PowerST2</t>
  </si>
  <si>
    <t>FL heat extracted Used</t>
  </si>
  <si>
    <t>celcius</t>
  </si>
  <si>
    <t>kWhPerM2PerDay</t>
  </si>
  <si>
    <t>retail</t>
  </si>
  <si>
    <t>Range</t>
  </si>
  <si>
    <t>estonia</t>
  </si>
  <si>
    <t>ethiopia</t>
  </si>
  <si>
    <t>end ($)</t>
  </si>
  <si>
    <t>inchOfMercury</t>
  </si>
  <si>
    <t>BC E</t>
  </si>
  <si>
    <t>Slope</t>
  </si>
  <si>
    <t>CoolingSystem #2</t>
  </si>
  <si>
    <t>cbbxOpHours</t>
  </si>
  <si>
    <t>txtBaseDutyCycle</t>
  </si>
  <si>
    <t>txtPropDutyCycle</t>
  </si>
  <si>
    <t>cboHLUnit</t>
  </si>
  <si>
    <t>reciproEngine</t>
  </si>
  <si>
    <t>geotherPower</t>
  </si>
  <si>
    <t>fuelCell</t>
  </si>
  <si>
    <t>woodH</t>
  </si>
  <si>
    <t>woodSidind</t>
  </si>
  <si>
    <t>PV array critical radiation level
(W/m2)</t>
  </si>
  <si>
    <t>Horizontal 4'-6' setup - 2 trenches</t>
  </si>
  <si>
    <t>txtBQ9M1</t>
  </si>
  <si>
    <t>txtBQ8M1</t>
  </si>
  <si>
    <t>txtBQ7M1</t>
  </si>
  <si>
    <t>txtBQ6M1</t>
  </si>
  <si>
    <t>Useable Flowrate (L/s/m²)</t>
  </si>
  <si>
    <t>cboBase7TV2</t>
  </si>
  <si>
    <t>cboBase6TV2</t>
  </si>
  <si>
    <t>MMK</t>
  </si>
  <si>
    <t>NAD</t>
  </si>
  <si>
    <t>NPR</t>
  </si>
  <si>
    <t>ANG</t>
  </si>
  <si>
    <t>NZD</t>
  </si>
  <si>
    <t>CE</t>
  </si>
  <si>
    <t>txtEquipIncrCost</t>
  </si>
  <si>
    <t>electricity</t>
  </si>
  <si>
    <t>HNL</t>
  </si>
  <si>
    <t>HKD</t>
  </si>
  <si>
    <t>HUF</t>
  </si>
  <si>
    <t>Σημαντική Σημείωση</t>
  </si>
  <si>
    <t>cboFlowV1Unit</t>
  </si>
  <si>
    <t>meterSymbol</t>
  </si>
  <si>
    <t>Unitary load (L/d)</t>
  </si>
  <si>
    <t>f
(DB 20.3.1)</t>
  </si>
  <si>
    <t>Energy delivered
(MJ)</t>
  </si>
  <si>
    <t>BTN</t>
  </si>
  <si>
    <t>BOB</t>
  </si>
  <si>
    <t>BAM</t>
  </si>
  <si>
    <t>txtBaseSEH2M1</t>
  </si>
  <si>
    <t>txtBaseCombustionAir</t>
  </si>
  <si>
    <t>txtIICWBG</t>
  </si>
  <si>
    <t>Tidal power</t>
  </si>
  <si>
    <t>electricitydemand</t>
  </si>
  <si>
    <t>quantity</t>
  </si>
  <si>
    <t>total</t>
  </si>
  <si>
    <t>clearing</t>
  </si>
  <si>
    <t>dutyCycle</t>
  </si>
  <si>
    <t>Microsoft Excel</t>
  </si>
  <si>
    <t>Debt ser.</t>
  </si>
  <si>
    <t>EM_links</t>
  </si>
  <si>
    <t>Space kW elect</t>
  </si>
  <si>
    <t>rads</t>
  </si>
  <si>
    <t>EE_CB3</t>
  </si>
  <si>
    <t>cboS1HeatCapacityUnitO2O</t>
  </si>
  <si>
    <t>multiplier</t>
  </si>
  <si>
    <t>ref4:G-HEADS</t>
  </si>
  <si>
    <t>Ah</t>
  </si>
  <si>
    <t>rValue</t>
  </si>
  <si>
    <t>radio</t>
  </si>
  <si>
    <t>range</t>
  </si>
  <si>
    <t>ratedWindow</t>
  </si>
  <si>
    <t>ready</t>
  </si>
  <si>
    <t>txtPWDRV</t>
  </si>
  <si>
    <t>txtPEDRV</t>
  </si>
  <si>
    <t>Extraction from steam turbine</t>
  </si>
  <si>
    <t>climateDataLocation</t>
  </si>
  <si>
    <t>copdesign</t>
  </si>
  <si>
    <t>+/-°C</t>
  </si>
  <si>
    <t>solarAirHeater</t>
  </si>
  <si>
    <t>(W/m²)/°C</t>
  </si>
  <si>
    <t>$ two pipes/m</t>
  </si>
  <si>
    <t>isolatedGrid</t>
  </si>
  <si>
    <t>Fuel Moisture Range</t>
  </si>
  <si>
    <t>OK</t>
  </si>
  <si>
    <t>cboOHUnitM1</t>
  </si>
  <si>
    <t>ProcessElectricity #4</t>
  </si>
  <si>
    <t>kWe</t>
  </si>
  <si>
    <t>EE_CB9</t>
  </si>
  <si>
    <t>EE_CB10</t>
  </si>
  <si>
    <t>HideES_PV1QF</t>
  </si>
  <si>
    <t>txtIICWin</t>
  </si>
  <si>
    <t>txtPSWinA</t>
  </si>
  <si>
    <t>txtPLoadSize6</t>
  </si>
  <si>
    <t>Yearly Cash Flows</t>
  </si>
  <si>
    <t>Year</t>
  </si>
  <si>
    <t>kuwait</t>
  </si>
  <si>
    <t>Base load system</t>
  </si>
  <si>
    <t>Heat                                    (kW)</t>
  </si>
  <si>
    <t>FuelType3</t>
  </si>
  <si>
    <t>PowerSystem1</t>
  </si>
  <si>
    <t>PowerSystem2</t>
  </si>
  <si>
    <t>AfterTaxIRRAsserts</t>
  </si>
  <si>
    <t>FuelType1</t>
  </si>
  <si>
    <t>FuelType2</t>
  </si>
  <si>
    <t>DeclineBalance</t>
  </si>
  <si>
    <t>StraightLine</t>
  </si>
  <si>
    <t>AfterTaxIRREquity</t>
  </si>
  <si>
    <t>PreTaxIRRAssets</t>
  </si>
  <si>
    <t>hours</t>
  </si>
  <si>
    <t>hpBoiler</t>
  </si>
  <si>
    <t>Credit</t>
  </si>
  <si>
    <t>FuelHandlingSystem</t>
  </si>
  <si>
    <t>FlowThrough</t>
  </si>
  <si>
    <t>singleFuel</t>
  </si>
  <si>
    <t>FullPowerCapacityOutput</t>
  </si>
  <si>
    <t>PowerLoadFollowing</t>
  </si>
  <si>
    <t>HeatingLoadFollowing</t>
  </si>
  <si>
    <t>PowerLoadFollowingWithoutEx</t>
  </si>
  <si>
    <t>FullPowerCapacityWithoutEx</t>
  </si>
  <si>
    <t>Nunavut</t>
  </si>
  <si>
    <t>nunavut</t>
  </si>
  <si>
    <t>Yukon</t>
  </si>
  <si>
    <t>yukon</t>
  </si>
  <si>
    <t>Anhui</t>
  </si>
  <si>
    <t>anhui</t>
  </si>
  <si>
    <t>Chongqing</t>
  </si>
  <si>
    <t>chongqing</t>
  </si>
  <si>
    <t>Fujian</t>
  </si>
  <si>
    <t>fujian</t>
  </si>
  <si>
    <t>Gansu</t>
  </si>
  <si>
    <t>gansu</t>
  </si>
  <si>
    <t>Guangdong</t>
  </si>
  <si>
    <t>guangdong</t>
  </si>
  <si>
    <t>Guangxi</t>
  </si>
  <si>
    <t>guangxi</t>
  </si>
  <si>
    <t>Qinghai</t>
  </si>
  <si>
    <t>Shaanxi</t>
  </si>
  <si>
    <t>Shandong</t>
  </si>
  <si>
    <t>Shanghai</t>
  </si>
  <si>
    <t>Shanxi</t>
  </si>
  <si>
    <t>Hz</t>
  </si>
  <si>
    <t>hertzSymbol</t>
  </si>
  <si>
    <t>kg/s</t>
  </si>
  <si>
    <t>kgPerSecondSymbol</t>
  </si>
  <si>
    <t>megaWattHourPerYearSymbol</t>
  </si>
  <si>
    <t>R-507 (HFC)</t>
  </si>
  <si>
    <t>r507HFC</t>
  </si>
  <si>
    <t>stirlingEngine</t>
  </si>
  <si>
    <t xml:space="preserve">Acre </t>
  </si>
  <si>
    <t>acreBrazil</t>
  </si>
  <si>
    <t>NASA</t>
  </si>
  <si>
    <t>Nasa</t>
  </si>
  <si>
    <t>CFC-13</t>
  </si>
  <si>
    <t>Halon-1301</t>
  </si>
  <si>
    <t>Halon-1211</t>
  </si>
  <si>
    <t>Halon-2402</t>
  </si>
  <si>
    <t>HCFC-141b</t>
  </si>
  <si>
    <t>HCFC-225ca</t>
  </si>
  <si>
    <t>HCFC-225cb</t>
  </si>
  <si>
    <t>HFC-365mfc</t>
  </si>
  <si>
    <t>HFC-43-10mee</t>
  </si>
  <si>
    <t>PFC-14</t>
  </si>
  <si>
    <t>PFC-318</t>
  </si>
  <si>
    <t>PFC-3-1-10</t>
  </si>
  <si>
    <t>PFC-4-1-12</t>
  </si>
  <si>
    <t>PFC-5-1-14</t>
  </si>
  <si>
    <t>log10
(discharge rate)</t>
  </si>
  <si>
    <r>
      <t xml:space="preserve">◄ </t>
    </r>
    <r>
      <rPr>
        <sz val="10"/>
        <rFont val="Arial"/>
        <family val="2"/>
      </rPr>
      <t>TCZero</t>
    </r>
  </si>
  <si>
    <r>
      <t xml:space="preserve">SCFin </t>
    </r>
    <r>
      <rPr>
        <sz val="10"/>
        <rFont val="Arial"/>
        <family val="2"/>
      </rPr>
      <t>►</t>
    </r>
  </si>
  <si>
    <t>Useful temperature derated battery capacity (kWh)</t>
  </si>
  <si>
    <t>if EE&gt;0, EM=0</t>
  </si>
  <si>
    <t>processSteam</t>
  </si>
  <si>
    <t xml:space="preserve">A RETScreen szoftver Microsoft Excel makrókat használ. A makrók biztonsági beállításaitól függően néhány számítógépen a RETScreen használata előtt szükséges lehet a makrók futtatásának engedélyezése a RETScreen Excel fájl megnyitásakor. </t>
  </si>
  <si>
    <t>Energy transfer station cost calculation</t>
  </si>
  <si>
    <t>solarCollArea</t>
  </si>
  <si>
    <t>Full power output, no extraction</t>
  </si>
  <si>
    <t>Btu</t>
  </si>
  <si>
    <t>Lang_tool_GHGComp</t>
  </si>
  <si>
    <t>may</t>
  </si>
  <si>
    <t>Lights #2</t>
  </si>
  <si>
    <t>EE_CB14</t>
  </si>
  <si>
    <t>EEM_T4</t>
  </si>
  <si>
    <t>std cap</t>
  </si>
  <si>
    <t>DB</t>
  </si>
  <si>
    <t>SL</t>
  </si>
  <si>
    <t>french_polynesia</t>
  </si>
  <si>
    <t>gabon</t>
  </si>
  <si>
    <t>projectTech</t>
  </si>
  <si>
    <t>txtBEWinSSW</t>
  </si>
  <si>
    <t>Scheduled Weekend Operating Hours Per Month (h)</t>
  </si>
  <si>
    <t>Appliances</t>
  </si>
  <si>
    <t>txtOHp</t>
  </si>
  <si>
    <t>1-7</t>
  </si>
  <si>
    <t>indonesia</t>
  </si>
  <si>
    <t>txtIICW</t>
  </si>
  <si>
    <t>另外，部分电脑中的Excel程序的宏安全性被自动设置为“特高”。在这种情况下，使用RETScreen之前您需要通过选择“工具－宏－安全性…"菜单将其重新设置为“高“或“中”，否则本软件将不能正常运行。</t>
  </si>
  <si>
    <t>EM off-grid</t>
  </si>
  <si>
    <t>Central-grid</t>
  </si>
  <si>
    <t>Fuel consumption FL with extract</t>
  </si>
  <si>
    <t>txtBHRM2</t>
  </si>
  <si>
    <t>txtHRM2IOM</t>
  </si>
  <si>
    <t>txtPODM2</t>
  </si>
  <si>
    <t>Space cooling impact</t>
  </si>
  <si>
    <t>txtBLoadSize10</t>
  </si>
  <si>
    <t>Phase 1/2</t>
  </si>
  <si>
    <t>selected flow</t>
  </si>
  <si>
    <t>3-7</t>
  </si>
  <si>
    <t>preparedFor</t>
  </si>
  <si>
    <t>Gumagamit ang sopwayr ng RETScreen ng Microsoft Excel Macros. Dahil sa macro security settings ng ilang computer, baka kailanganning mag-"enable macros" pag bubuksan ang RETScreen file sa Excel.</t>
  </si>
  <si>
    <t>Thai - ภาษาไทย</t>
  </si>
  <si>
    <t>cuba</t>
  </si>
  <si>
    <t>Unit cost</t>
  </si>
  <si>
    <r>
      <t xml:space="preserve">Sens_row </t>
    </r>
    <r>
      <rPr>
        <sz val="10"/>
        <rFont val="Arial"/>
        <family val="2"/>
      </rPr>
      <t>→</t>
    </r>
  </si>
  <si>
    <r>
      <t>◄</t>
    </r>
    <r>
      <rPr>
        <sz val="10"/>
        <rFont val="Arial"/>
        <family val="2"/>
      </rPr>
      <t xml:space="preserve"> </t>
    </r>
    <r>
      <rPr>
        <sz val="10"/>
        <rFont val="Arial"/>
        <family val="2"/>
      </rPr>
      <t>SensParam</t>
    </r>
  </si>
  <si>
    <t>Extracted heat</t>
  </si>
  <si>
    <t>Joissakin tietokoneissa on Makrojen suojaus-taso MS Excelissä asetettu tasolle "hyvin korkea". Tässä tapauksessa tulee suojaus asettaa tasolle "normaali" tai "korkea" valikosta "Työkalut - Makrot - Suojaustasot" ennen RETScreen ohjelman käyttöä. Ilman muutoksia ei ohjelma toimi oikein.</t>
  </si>
  <si>
    <t>Headings</t>
  </si>
  <si>
    <t>Sorted</t>
  </si>
  <si>
    <t>m-constant</t>
  </si>
  <si>
    <t>Energy load</t>
  </si>
  <si>
    <t>Annual Costs (Credits)</t>
  </si>
  <si>
    <t>singBuild_multiProcessHeat</t>
  </si>
  <si>
    <t>heatingDegreeDaysUnitFactor</t>
  </si>
  <si>
    <t>重要提示</t>
  </si>
  <si>
    <t>Ważna informacja</t>
  </si>
  <si>
    <t>HideCodeES_Extract_GTCC2</t>
  </si>
  <si>
    <t>cboCPCS</t>
  </si>
  <si>
    <t>Pool
ambient air
temperature
(C)</t>
  </si>
  <si>
    <t>West wall</t>
  </si>
  <si>
    <t>Window passive MWH</t>
  </si>
  <si>
    <t>LFG check</t>
  </si>
  <si>
    <t>MJ/h</t>
  </si>
  <si>
    <t>Casement</t>
  </si>
  <si>
    <t>concreteAer</t>
  </si>
  <si>
    <t>concrete1600</t>
  </si>
  <si>
    <t>Grid connected coefficient</t>
  </si>
  <si>
    <t>Evaporation
coefficient,
pool cover on
(kg/m2/Pa)</t>
  </si>
  <si>
    <t>cbbxS1TempUnitS2W</t>
  </si>
  <si>
    <t>txtDesc3</t>
  </si>
  <si>
    <t>Fuel savings $</t>
  </si>
  <si>
    <t>HTG</t>
  </si>
  <si>
    <t>txtELb</t>
  </si>
  <si>
    <t>saveChanges</t>
  </si>
  <si>
    <t>BuildingEnvelope #1</t>
  </si>
  <si>
    <t>Wood waste - particle board</t>
  </si>
  <si>
    <t>milePerHourSymbol</t>
  </si>
  <si>
    <t>the name of the .ret file with all the default projects/case studies</t>
  </si>
  <si>
    <t>txtPNWinUV</t>
  </si>
  <si>
    <t>Monthly energy 
required 
(MJ)</t>
  </si>
  <si>
    <t>internalProbMsg</t>
  </si>
  <si>
    <t>West window Winter SHGC BC</t>
  </si>
  <si>
    <t>North window Summer SHGC PC</t>
  </si>
  <si>
    <t>East window Summer SHGC PC</t>
  </si>
  <si>
    <t>cboBaseAirIntakeLoc</t>
  </si>
  <si>
    <t>cboPropAirIntakeLoc</t>
  </si>
  <si>
    <t>RETScreen سافٹ ویئر مائکروسافٹ ایکسل میکروز کو استعمال کرتا ہے۔ بعض کمپیوٹر پر میکرو کی حفاظتی ترتیبات کی وجہ سے آپ کو ایکسل میں RETScreen فائل کو کھولنے کے لئے "میکروز فعال کرنا" پڑسکتا ہے۔</t>
  </si>
  <si>
    <t>Monthly average critical rad. level (DB 2.24.3) (W/m2)</t>
  </si>
  <si>
    <t>EE_CB4</t>
  </si>
  <si>
    <t>sheet3</t>
  </si>
  <si>
    <t>txtBSWinUV</t>
  </si>
  <si>
    <t>returnToEnergySheet</t>
  </si>
  <si>
    <t>gotoGHGSheet</t>
  </si>
  <si>
    <t># of days
in month
( )</t>
  </si>
  <si>
    <t>txtMUWTempB</t>
  </si>
  <si>
    <t>txtIIC5</t>
  </si>
  <si>
    <t>Latitude</t>
  </si>
  <si>
    <t>Longitude</t>
  </si>
  <si>
    <t>Gibraltar</t>
  </si>
  <si>
    <t>createMsg</t>
  </si>
  <si>
    <t>steamPSymbol</t>
  </si>
  <si>
    <t>Total (100 years)</t>
  </si>
  <si>
    <t>Open</t>
  </si>
  <si>
    <t>megaWattSymbol</t>
  </si>
  <si>
    <t>Reciprocating engine #1</t>
  </si>
  <si>
    <t>Online manual language</t>
  </si>
  <si>
    <t>AG</t>
  </si>
  <si>
    <t>method</t>
  </si>
  <si>
    <t>Water &amp; steam</t>
  </si>
  <si>
    <t>Hide code</t>
  </si>
  <si>
    <t>cboProp12SV2</t>
  </si>
  <si>
    <t>Bahamas</t>
  </si>
  <si>
    <t>Last valid path for the default Project DB file… should be the same as defaultDBPath when first installed</t>
  </si>
  <si>
    <t>water</t>
  </si>
  <si>
    <t>decisSuppCenter</t>
  </si>
  <si>
    <t>n=turbine efficiency</t>
  </si>
  <si>
    <t>txtO2OS1OH</t>
  </si>
  <si>
    <t>txtO2OS1F</t>
  </si>
  <si>
    <t>Lang</t>
  </si>
  <si>
    <t>HDD (from start sheet)</t>
  </si>
  <si>
    <t>North window BC</t>
  </si>
  <si>
    <t>kJPerkWhSymbol</t>
  </si>
  <si>
    <t>showColon</t>
  </si>
  <si>
    <t>showData</t>
  </si>
  <si>
    <t>showFigure</t>
  </si>
  <si>
    <t>nrCanCETCVarennes</t>
  </si>
  <si>
    <t>compLNsheet</t>
  </si>
  <si>
    <t>compCostSheet</t>
  </si>
  <si>
    <t>gelPerDayPerHeadSymbol</t>
  </si>
  <si>
    <t>percentPerKelvSymbol</t>
  </si>
  <si>
    <t>sysEnergyDemand</t>
  </si>
  <si>
    <t>propCaseSysCharac</t>
  </si>
  <si>
    <t>Envelope</t>
  </si>
  <si>
    <t>Indoor hum ratio</t>
  </si>
  <si>
    <t>DC energy
demand
(kWh/day)</t>
  </si>
  <si>
    <t>greenland</t>
  </si>
  <si>
    <t>HotWater #3</t>
  </si>
  <si>
    <t>1 mile = 5280 ft</t>
  </si>
  <si>
    <t>r503CFC</t>
  </si>
  <si>
    <t>Commercial, residential and process SAH</t>
  </si>
  <si>
    <t>Industrial SAH - First iteration</t>
  </si>
  <si>
    <t>Industrial SAH - Initial Estimate</t>
  </si>
  <si>
    <t>txtF8b</t>
  </si>
  <si>
    <t>2-8</t>
  </si>
  <si>
    <t>Base coeff</t>
  </si>
  <si>
    <t>insulatedbelowgrade</t>
  </si>
  <si>
    <t>degreeSymbol</t>
  </si>
  <si>
    <t>back</t>
  </si>
  <si>
    <t>tight</t>
  </si>
  <si>
    <t>=HideCodeEM_Power_Peak</t>
  </si>
  <si>
    <t>Energy delivered                 (MWh)</t>
  </si>
  <si>
    <t>Power - multiple technologies</t>
  </si>
  <si>
    <t>˚E</t>
  </si>
  <si>
    <t>energyCurveData</t>
  </si>
  <si>
    <t>EEM_T5</t>
  </si>
  <si>
    <t>(GJ)</t>
  </si>
  <si>
    <t>Tax</t>
  </si>
  <si>
    <t>kg/kWh</t>
  </si>
  <si>
    <t>txtORM1</t>
  </si>
  <si>
    <t>dehumidifier</t>
  </si>
  <si>
    <t>northwestTerritories</t>
  </si>
  <si>
    <t>HCFC-509A</t>
  </si>
  <si>
    <t>Alabama</t>
  </si>
  <si>
    <t>alabama</t>
  </si>
  <si>
    <t>Arkansas</t>
  </si>
  <si>
    <t>arkansas</t>
  </si>
  <si>
    <t>Arizona</t>
  </si>
  <si>
    <t>arizona</t>
  </si>
  <si>
    <t>california</t>
  </si>
  <si>
    <t>Colorado</t>
  </si>
  <si>
    <t>colorado</t>
  </si>
  <si>
    <t>Connecticut</t>
  </si>
  <si>
    <t>connecticut</t>
  </si>
  <si>
    <t>CDM</t>
  </si>
  <si>
    <t>Baseline</t>
  </si>
  <si>
    <t>HideCodeEM_Heat_Peak</t>
  </si>
  <si>
    <t>Power curve data</t>
  </si>
  <si>
    <t>As-fired calorific value of fuel MJ/kg</t>
  </si>
  <si>
    <t>Required groundwater flow rate</t>
  </si>
  <si>
    <t>Heat MWh</t>
  </si>
  <si>
    <t>arkhangelsk</t>
  </si>
  <si>
    <t>Amur</t>
  </si>
  <si>
    <t>Appliances #3</t>
  </si>
  <si>
    <t>Appliances #4</t>
  </si>
  <si>
    <t>txtBaseFlueGas1</t>
  </si>
  <si>
    <t xml:space="preserve">Access (6) </t>
  </si>
  <si>
    <t>1 acre =43560 ft2</t>
  </si>
  <si>
    <t>french_guiana</t>
  </si>
  <si>
    <t>OpenDots</t>
  </si>
  <si>
    <t>specificRunOff</t>
  </si>
  <si>
    <t>txtBCOpHours9</t>
  </si>
  <si>
    <t>txtBCOpHours8</t>
  </si>
  <si>
    <t>txtBCOpHours7</t>
  </si>
  <si>
    <t>Polish - Polski</t>
  </si>
  <si>
    <t>cboPropSRCV1</t>
  </si>
  <si>
    <t>txtDesc1</t>
  </si>
  <si>
    <t>txtBFM24</t>
  </si>
  <si>
    <t>txtBFM23</t>
  </si>
  <si>
    <t>PC fuel type</t>
  </si>
  <si>
    <t xml:space="preserve"> Hours</t>
  </si>
  <si>
    <t>D146</t>
  </si>
  <si>
    <t>s475</t>
  </si>
  <si>
    <t>MJ/m³</t>
  </si>
  <si>
    <t>Full power output, no extraction, used</t>
  </si>
  <si>
    <t>cbbxS1TempUnitO2O</t>
  </si>
  <si>
    <t>HeatingSystem</t>
  </si>
  <si>
    <t>Base
Syst 11</t>
  </si>
  <si>
    <t>kgPerHSymbol</t>
  </si>
  <si>
    <t>Plant savings MWh</t>
  </si>
  <si>
    <t>BC</t>
  </si>
  <si>
    <t>PC</t>
  </si>
  <si>
    <t>Cool multiple</t>
  </si>
  <si>
    <t>H2O</t>
  </si>
  <si>
    <t>roofAsph</t>
  </si>
  <si>
    <t>steelGalva</t>
  </si>
  <si>
    <t>stoneSolid</t>
  </si>
  <si>
    <t>brickClay</t>
  </si>
  <si>
    <t>85 - 185</t>
  </si>
  <si>
    <t>20 - 400</t>
  </si>
  <si>
    <t>PV Array sizing</t>
  </si>
  <si>
    <t>1 = hidden</t>
  </si>
  <si>
    <t>Cont. demand met directly by PV (kWh/d)</t>
  </si>
  <si>
    <t>GJ/h</t>
  </si>
  <si>
    <t>Fan Energy (MWh)</t>
  </si>
  <si>
    <t>celsiusSymbol</t>
  </si>
  <si>
    <t>celsiusDaySymbol</t>
  </si>
  <si>
    <t>R142</t>
  </si>
  <si>
    <t>txtEIIC</t>
  </si>
  <si>
    <t>Pool calculations</t>
  </si>
  <si>
    <t>Month number</t>
  </si>
  <si>
    <t>Required to meet heat &amp; electrical load</t>
  </si>
  <si>
    <t>CHP 3</t>
  </si>
  <si>
    <t>Cold Water Temperature 
(C) - use in EE form</t>
  </si>
  <si>
    <t xml:space="preserve">1 Btu  is amount of heat required to raise the temperature of 1 lb of water 1 degree F. </t>
  </si>
  <si>
    <t>coolSys5</t>
  </si>
  <si>
    <t>residential</t>
  </si>
  <si>
    <t>residualFlow</t>
  </si>
  <si>
    <t>australia</t>
  </si>
  <si>
    <t>austria</t>
  </si>
  <si>
    <t>txtBNOFM2</t>
  </si>
  <si>
    <t>txtIICNOF</t>
  </si>
  <si>
    <t>txtPLFEM2</t>
  </si>
  <si>
    <t>obHeatingImpactYes</t>
  </si>
  <si>
    <t>Geothermal power</t>
  </si>
  <si>
    <t>Hyperlinks</t>
  </si>
  <si>
    <t>Hungarian - Magyar</t>
  </si>
  <si>
    <t>Monthly energy delivered (all year)
(kWh/day)</t>
  </si>
  <si>
    <t>Steam turbine</t>
  </si>
  <si>
    <t>cbbxCapacityUnit</t>
  </si>
  <si>
    <t>cbbxMotorUnit</t>
  </si>
  <si>
    <t>Indiana</t>
  </si>
  <si>
    <t>indiana</t>
  </si>
  <si>
    <t>Kansas</t>
  </si>
  <si>
    <t>kansas</t>
  </si>
  <si>
    <t>Kentucky</t>
  </si>
  <si>
    <t>kentucky</t>
  </si>
  <si>
    <t>Louisiana</t>
  </si>
  <si>
    <t>louisiana</t>
  </si>
  <si>
    <t>Massachusetts</t>
  </si>
  <si>
    <t>massachusetts</t>
  </si>
  <si>
    <t>Maryland</t>
  </si>
  <si>
    <t>maryland</t>
  </si>
  <si>
    <t>Himachal Pradesh</t>
  </si>
  <si>
    <t>himachalPradesh</t>
  </si>
  <si>
    <t>Mizoram</t>
  </si>
  <si>
    <t>mizoram</t>
  </si>
  <si>
    <t>Meghalaya</t>
  </si>
  <si>
    <t>meghalaya</t>
  </si>
  <si>
    <t>Manipur</t>
  </si>
  <si>
    <t>manipur</t>
  </si>
  <si>
    <t>Maharashtra</t>
  </si>
  <si>
    <t>maharashtra</t>
  </si>
  <si>
    <t>Madhya Pradesh</t>
  </si>
  <si>
    <t>madhyaPradesh</t>
  </si>
  <si>
    <t>Lakshadweep</t>
  </si>
  <si>
    <t>lakshadweep</t>
  </si>
  <si>
    <t>metalSid10</t>
  </si>
  <si>
    <t>minerFiberH</t>
  </si>
  <si>
    <t>Prop
Sch 1</t>
  </si>
  <si>
    <t>Database</t>
  </si>
  <si>
    <t>optMethod2</t>
  </si>
  <si>
    <t>txtBFM21</t>
  </si>
  <si>
    <t>txtBFM211</t>
  </si>
  <si>
    <t>Oct</t>
  </si>
  <si>
    <t>Canada</t>
  </si>
  <si>
    <t>txtPLF5M1</t>
  </si>
  <si>
    <t>txtPLF4M1</t>
  </si>
  <si>
    <t>CHPIntroName</t>
  </si>
  <si>
    <t>Shape factor</t>
  </si>
  <si>
    <t>r401bHCFC</t>
  </si>
  <si>
    <t>txtF12b</t>
  </si>
  <si>
    <t>HideCode_projectType3</t>
  </si>
  <si>
    <t>FS</t>
  </si>
  <si>
    <t>S</t>
  </si>
  <si>
    <t>Xcc
(DB 20.5.1)</t>
  </si>
  <si>
    <t>Danish - Dansk</t>
  </si>
  <si>
    <t>txtIC8</t>
  </si>
  <si>
    <t>txtIC7</t>
  </si>
  <si>
    <t>cbbxS2TempUnitO2O</t>
  </si>
  <si>
    <t>System type</t>
  </si>
  <si>
    <t>project</t>
  </si>
  <si>
    <t>stairway</t>
  </si>
  <si>
    <t>txtEPOH</t>
  </si>
  <si>
    <t>cboEOHUnit</t>
  </si>
  <si>
    <t>txtEBNOU</t>
  </si>
  <si>
    <t>txtEPNOU</t>
  </si>
  <si>
    <t>txtCBNOU</t>
  </si>
  <si>
    <t>evacuated</t>
  </si>
  <si>
    <t>propeller</t>
  </si>
  <si>
    <t>kaplan</t>
  </si>
  <si>
    <t>equatorial_guinea</t>
  </si>
  <si>
    <t>measuredAt</t>
  </si>
  <si>
    <t>air</t>
  </si>
  <si>
    <t>Solar exceeds
15% of load
(no storage
system)</t>
  </si>
  <si>
    <t>GJ/h required</t>
  </si>
  <si>
    <t>txtPHRM2</t>
  </si>
  <si>
    <t>cboSTMM2</t>
  </si>
  <si>
    <t>cboODM2Unit</t>
  </si>
  <si>
    <t>txtDesc7</t>
  </si>
  <si>
    <t>gridElec</t>
  </si>
  <si>
    <t>Haryana</t>
  </si>
  <si>
    <t>haryana</t>
  </si>
  <si>
    <t>Gujarat</t>
  </si>
  <si>
    <t>gujarat</t>
  </si>
  <si>
    <t>Goa</t>
  </si>
  <si>
    <t>goa</t>
  </si>
  <si>
    <t>Tianjin</t>
  </si>
  <si>
    <t>Xinjiang</t>
  </si>
  <si>
    <t>HFC-152a</t>
  </si>
  <si>
    <t>PFC-218</t>
  </si>
  <si>
    <t>HFC-227ea</t>
  </si>
  <si>
    <t>HFC-236ea</t>
  </si>
  <si>
    <t>HFC-236fa</t>
  </si>
  <si>
    <t>HFC-245ca</t>
  </si>
  <si>
    <t>HFC-245fa</t>
  </si>
  <si>
    <t>HCFC-401A</t>
  </si>
  <si>
    <t>HCFC-401B</t>
  </si>
  <si>
    <t>HCFC-401C</t>
  </si>
  <si>
    <t>HCFC-402A</t>
  </si>
  <si>
    <t>Formatting of input power cells</t>
  </si>
  <si>
    <t>Formula =1, Detailed =2</t>
  </si>
  <si>
    <t>After</t>
  </si>
  <si>
    <t>mm</t>
  </si>
  <si>
    <t>Farsi - پارسی</t>
  </si>
  <si>
    <t>Indonesian - Bahasa Indonesia</t>
  </si>
  <si>
    <t>Number of systems</t>
  </si>
  <si>
    <t>CAA $</t>
  </si>
  <si>
    <t>EE_CB24</t>
  </si>
  <si>
    <t>MJ/kg</t>
  </si>
  <si>
    <t>txtDM28</t>
  </si>
  <si>
    <t>Nighttime Weekend Operating Hours Per Month (h)</t>
  </si>
  <si>
    <t>Prop heating load</t>
  </si>
  <si>
    <t>Base cooling load</t>
  </si>
  <si>
    <t>Prop cooling load</t>
  </si>
  <si>
    <r>
      <t>Turbine peak efficiency (ep</t>
    </r>
    <r>
      <rPr>
        <sz val="10"/>
        <rFont val="Arial"/>
        <family val="2"/>
      </rPr>
      <t>)</t>
    </r>
  </si>
  <si>
    <t>CDM project Yes =1</t>
  </si>
  <si>
    <t>solomon_islands</t>
  </si>
  <si>
    <t>cboBaseCapacityControl</t>
  </si>
  <si>
    <t>cboPropCapacityControl</t>
  </si>
  <si>
    <t>FL heat extracted max available</t>
  </si>
  <si>
    <t>m³/t</t>
  </si>
  <si>
    <t>Além disso, em alguns computadores, o nível de segurança de macros do Excel é automaticamente definido como "muito alto" . Neste caso você terá que redefinir o nível de segurança para "médio" ou "alto" usando o Menu em "Ferramentas, Macro, Nível de segurança..." antes de usar o RETScreen. Caso isto não seja feito o software não  funcionará corretamente.</t>
  </si>
  <si>
    <t>November</t>
  </si>
  <si>
    <t>YesNo</t>
  </si>
  <si>
    <t>txtBNWinSSW</t>
  </si>
  <si>
    <t>txtCPDC</t>
  </si>
  <si>
    <t>Load lookup table (from 1995 ASHRAE Applications Handbook [SI], p. 45.11)</t>
  </si>
  <si>
    <t>VarTab11</t>
  </si>
  <si>
    <t>VarTab12</t>
  </si>
  <si>
    <t>txtIOMSf2</t>
  </si>
  <si>
    <t>txtIICf2</t>
  </si>
  <si>
    <t>cboPropFTF</t>
  </si>
  <si>
    <t>$/kWh</t>
  </si>
  <si>
    <t>PC cooling demand</t>
  </si>
  <si>
    <t>cboBaseFTM2</t>
  </si>
  <si>
    <t>txtIC2</t>
  </si>
  <si>
    <t>netherlands</t>
  </si>
  <si>
    <t>NPV</t>
  </si>
  <si>
    <t>txtS2SNOU</t>
  </si>
  <si>
    <t>Define heating system</t>
  </si>
  <si>
    <t>SortOrder</t>
  </si>
  <si>
    <t>r507aHFC</t>
  </si>
  <si>
    <t>r407dHFC</t>
  </si>
  <si>
    <t>dominican_republic</t>
  </si>
  <si>
    <t>the last Country ID pasted by the hydro form</t>
  </si>
  <si>
    <t>b
(DB 2.24.4c)</t>
  </si>
  <si>
    <t>Isolated-grid &amp; internal load</t>
  </si>
  <si>
    <t>txtNOUM29</t>
  </si>
  <si>
    <t>txtBNOC</t>
  </si>
  <si>
    <t>txtPNOC</t>
  </si>
  <si>
    <t>txtPCQte5</t>
  </si>
  <si>
    <t>txtPCQte4</t>
  </si>
  <si>
    <t>Prop
Sch 3</t>
  </si>
  <si>
    <t>Unit list</t>
  </si>
  <si>
    <t>300-500</t>
  </si>
  <si>
    <t>cbbxS2FlowUnitW2W</t>
  </si>
  <si>
    <t>txtW2WS2Tmp</t>
  </si>
  <si>
    <t>standardEfficiency</t>
  </si>
  <si>
    <t>steamdemand</t>
  </si>
  <si>
    <t>CH4</t>
  </si>
  <si>
    <t>HotWater</t>
  </si>
  <si>
    <t>Remaining heat after power heat recovery</t>
  </si>
  <si>
    <t>m²</t>
  </si>
  <si>
    <t>Data for 2006</t>
  </si>
  <si>
    <t>Input values</t>
  </si>
  <si>
    <t>taiwan</t>
  </si>
  <si>
    <t>txtBLFM2</t>
  </si>
  <si>
    <t>txtBEFLM2</t>
  </si>
  <si>
    <t>IsValid</t>
  </si>
  <si>
    <t>r502CFC</t>
  </si>
  <si>
    <t>AZM</t>
  </si>
  <si>
    <t>Energy demand not met (all year)
(kWh/day)</t>
  </si>
  <si>
    <t>Years before GHG baseline changes</t>
  </si>
  <si>
    <t>Energy delivered by genset (whole year)
(kWh/day)</t>
  </si>
  <si>
    <t>Fuel cost escalation rate</t>
  </si>
  <si>
    <t>txtBSWA</t>
  </si>
  <si>
    <t>txtBWWA</t>
  </si>
  <si>
    <t>txtBEWA</t>
  </si>
  <si>
    <t>Valid prop sched 11</t>
  </si>
  <si>
    <t>Valid prop sched 12</t>
  </si>
  <si>
    <t>Pressure</t>
  </si>
  <si>
    <t>Intro Hyperlinks</t>
  </si>
  <si>
    <t>DN 65</t>
  </si>
  <si>
    <t>cboPTypeM1</t>
  </si>
  <si>
    <t>cboBTypeM1</t>
  </si>
  <si>
    <t>jordan</t>
  </si>
  <si>
    <t>fans</t>
  </si>
  <si>
    <t>WDAnnual</t>
  </si>
  <si>
    <t>WDSource</t>
  </si>
  <si>
    <t>Building Envelope</t>
  </si>
  <si>
    <t>Building Envelope #1</t>
  </si>
  <si>
    <t>HeatingSystem #4</t>
  </si>
  <si>
    <t>txtO2OS2OH</t>
  </si>
  <si>
    <t>txtO2OS2F</t>
  </si>
  <si>
    <t>projectHeatPw</t>
  </si>
  <si>
    <t>suriname</t>
  </si>
  <si>
    <t>gambia</t>
  </si>
  <si>
    <t>georgia</t>
  </si>
  <si>
    <t>Snow cover</t>
  </si>
  <si>
    <t>Free</t>
  </si>
  <si>
    <t>sweden</t>
  </si>
  <si>
    <t>ceramicTile</t>
  </si>
  <si>
    <t>february</t>
  </si>
  <si>
    <t>march</t>
  </si>
  <si>
    <t>april</t>
  </si>
  <si>
    <t>june</t>
  </si>
  <si>
    <t>Daarnaast is op sommige computers het macro beveiligingsniveau in Excel automatisch op "heel hoog" gezet. In dit geval, moet u het beveiligingsniveau instellen op "gemiddeld" of "hoog" door het keuzemenu "Extra, Macro, Beveiliging..." te gebruiken voordat u RETScreen gaat starten. Anders zal de software niet goed werken.</t>
  </si>
  <si>
    <t>100 - 300</t>
  </si>
  <si>
    <t>ES_FuelMethod</t>
  </si>
  <si>
    <t>Fuel type #1</t>
  </si>
  <si>
    <t>poland</t>
  </si>
  <si>
    <t>Wave power</t>
  </si>
  <si>
    <t>USD</t>
  </si>
  <si>
    <t>EUR</t>
  </si>
  <si>
    <t>txtPHUAD</t>
  </si>
  <si>
    <t>The U.S. Climate Technology Cooperation web site</t>
  </si>
  <si>
    <t>sparkIgnited</t>
  </si>
  <si>
    <t>Elect export</t>
  </si>
  <si>
    <t>Unit flow</t>
  </si>
  <si>
    <t>txtW2WS2OH</t>
  </si>
  <si>
    <t>◄ RiskRecalc</t>
  </si>
  <si>
    <t>basecase</t>
  </si>
  <si>
    <t>hoursday</t>
  </si>
  <si>
    <t>hoursmonth</t>
  </si>
  <si>
    <t>Corrected frost days</t>
  </si>
  <si>
    <t>Frost factor</t>
  </si>
  <si>
    <t>txtD12</t>
  </si>
  <si>
    <t>txtD11</t>
  </si>
  <si>
    <t>cboBase1TV2</t>
  </si>
  <si>
    <t>heardIsland</t>
  </si>
  <si>
    <t>Engineering (3)</t>
  </si>
  <si>
    <t>fileLoc</t>
  </si>
  <si>
    <t>txtBCOpHours4</t>
  </si>
  <si>
    <t>txtBCOpHours3</t>
  </si>
  <si>
    <t>Makeup
losses
(MJ/d)</t>
  </si>
  <si>
    <t>MJ/unit</t>
  </si>
  <si>
    <t>fuel consumption</t>
  </si>
  <si>
    <t>1000 - 1800</t>
  </si>
  <si>
    <t>350 - 500</t>
  </si>
  <si>
    <t>energyEffiMeasures</t>
  </si>
  <si>
    <t>Solar gains to cooling</t>
  </si>
  <si>
    <t>txtPLoading4</t>
  </si>
  <si>
    <t>Pumps #1</t>
  </si>
  <si>
    <t>Pumps #2</t>
  </si>
  <si>
    <t>Prop
Syst 6</t>
  </si>
  <si>
    <t>Prop
Syst 7</t>
  </si>
  <si>
    <t>Prop
Syst 8</t>
  </si>
  <si>
    <t>Prop
Syst 9</t>
  </si>
  <si>
    <t>lang_tool_WaterSteam</t>
  </si>
  <si>
    <t>Rural</t>
  </si>
  <si>
    <t>Katcha</t>
  </si>
  <si>
    <t>Pucca</t>
  </si>
  <si>
    <t>Semi-pucca</t>
  </si>
  <si>
    <t>Chawl</t>
  </si>
  <si>
    <t>Local</t>
  </si>
  <si>
    <t>amur</t>
  </si>
  <si>
    <t>Altaiski Kray</t>
  </si>
  <si>
    <t>altaiskiKray</t>
  </si>
  <si>
    <t>Altai Republic</t>
  </si>
  <si>
    <t>altaiRepublic</t>
  </si>
  <si>
    <t>Agin-Buryat</t>
  </si>
  <si>
    <t>aginBuryat</t>
  </si>
  <si>
    <t>Adygeya</t>
  </si>
  <si>
    <t>adygeya</t>
  </si>
  <si>
    <t>Uttaranchal</t>
  </si>
  <si>
    <t>uttaranchal</t>
  </si>
  <si>
    <t>Uttar Pradesh</t>
  </si>
  <si>
    <t>uttarPradesh</t>
  </si>
  <si>
    <t>Tripura</t>
  </si>
  <si>
    <t>tripura</t>
  </si>
  <si>
    <t>Tamil Nadu</t>
  </si>
  <si>
    <t>tamilNadu</t>
  </si>
  <si>
    <t>Rajasthan</t>
  </si>
  <si>
    <t>rajasthan</t>
  </si>
  <si>
    <t>Punjab</t>
  </si>
  <si>
    <t>punjab</t>
  </si>
  <si>
    <t>Orissa</t>
  </si>
  <si>
    <t>orissa</t>
  </si>
  <si>
    <t>Nagaland</t>
  </si>
  <si>
    <t>nagaland</t>
  </si>
  <si>
    <t>Fr'/Fr                      (DB 10.2.3 with Ac/mdot = 140 m2.s/kg)</t>
  </si>
  <si>
    <t>mauritius</t>
  </si>
  <si>
    <t>morocco</t>
  </si>
  <si>
    <t>Total wall R-value</t>
  </si>
  <si>
    <t>Total wall U-value</t>
  </si>
  <si>
    <t>R-value reduction</t>
  </si>
  <si>
    <t>R-value for this</t>
  </si>
  <si>
    <t>Summed R-value</t>
  </si>
  <si>
    <t>Summed U-value</t>
  </si>
  <si>
    <t>office</t>
  </si>
  <si>
    <t>fanLoadFullFlow</t>
  </si>
  <si>
    <t>Prop cooling system</t>
  </si>
  <si>
    <t>Bench Comp</t>
  </si>
  <si>
    <t>consup</t>
  </si>
  <si>
    <t>Desuden er makro-sikkerhedsniveauet på nogle computere automatisk sat til "meget høj". Hvis dette er tilfældet er det nødvendigt at ændre sikkerhedsniveauet til "middel" eller "høj" ved hjælp af "Funktionner, Makro, Sikkerhed"-menuen før RETScreen anvendes. Ellers fungerer softwaren ikke rigtigt.</t>
  </si>
  <si>
    <t>PC H FC</t>
  </si>
  <si>
    <t>BC C FC</t>
  </si>
  <si>
    <t>PC C FC</t>
  </si>
  <si>
    <t>cboBase12SV2</t>
  </si>
  <si>
    <t>cboBase11SV2</t>
  </si>
  <si>
    <t>°C</t>
  </si>
  <si>
    <t>m</t>
  </si>
  <si>
    <t>EE_CB8</t>
  </si>
  <si>
    <t>kV</t>
  </si>
  <si>
    <t>Xc
(DB 20.3.2)</t>
  </si>
  <si>
    <t>Energy summary (GRID)</t>
  </si>
  <si>
    <t>R155</t>
  </si>
  <si>
    <t>L/min</t>
  </si>
  <si>
    <t>min</t>
  </si>
  <si>
    <t>Numbers for percentage variations, sensitivity analysis. Note: to save space and dependencies, formulae are copied/pasted below and then erased. See code in SensAnalysis</t>
  </si>
  <si>
    <t>Service</t>
  </si>
  <si>
    <t>Coverage</t>
  </si>
  <si>
    <t>€</t>
  </si>
  <si>
    <t>to</t>
  </si>
  <si>
    <t>txtHBNOU</t>
  </si>
  <si>
    <t>txtHPNOU</t>
  </si>
  <si>
    <t>txtIIC2</t>
  </si>
  <si>
    <t>txtIOMS1</t>
  </si>
  <si>
    <t>Total losses 
(MJ/d)</t>
  </si>
  <si>
    <t>flooRub</t>
  </si>
  <si>
    <t>flooVinyl</t>
  </si>
  <si>
    <t>glassBoard</t>
  </si>
  <si>
    <t>txtFAb</t>
  </si>
  <si>
    <t>Loss carryforward</t>
  </si>
  <si>
    <t>WeatherBtnCaption</t>
  </si>
  <si>
    <t>Proposed Case District Heating Network</t>
  </si>
  <si>
    <t>txtF9p</t>
  </si>
  <si>
    <t>Estimated hot water used</t>
  </si>
  <si>
    <t>Sign</t>
  </si>
  <si>
    <t>Refrigeration</t>
  </si>
  <si>
    <t>Pool climatic conditions</t>
  </si>
  <si>
    <t>Off-grid system: breakdown of energy produced, in MWh per month</t>
  </si>
  <si>
    <t>cyprus</t>
  </si>
  <si>
    <t>Base
Sch 6</t>
  </si>
  <si>
    <t>Base
Sch 7</t>
  </si>
  <si>
    <t>Base
Sch 8</t>
  </si>
  <si>
    <t>Energy demand not met (seas. of use)
(kWh)</t>
  </si>
  <si>
    <t>Monthly average daily radiation in plane of solar collector (MJ/m²/d)</t>
  </si>
  <si>
    <t>HideCodeES_HSS</t>
  </si>
  <si>
    <t>Optimum
tilt
(radians)</t>
  </si>
  <si>
    <t>xxx</t>
  </si>
  <si>
    <t>East window Summer SHGC BC</t>
  </si>
  <si>
    <t>energy</t>
  </si>
  <si>
    <t>txtBLoadSize8</t>
  </si>
  <si>
    <t>Total UA * 24 / 10 ^ 6:</t>
  </si>
  <si>
    <t>obCoolingImpactYes2</t>
  </si>
  <si>
    <t>4-6</t>
  </si>
  <si>
    <t>txtS2Density</t>
  </si>
  <si>
    <t>=MATCH(B148,$B$107:$B$115,0)*10000+IF(B148=$B$107,MATCH(C148,$C$107:$C$114,0),IF(B148=$B$108,MATCH(C148,$D$107:$D$120,0),IF(B148=$B$109,MATCH(C148,$E$107:$E$112,0),0)))*100+IF(D148="",0,MATCH(D148,LN_GridType,0))*10+MATCH(E148,$E$127:$E$128,0)</t>
  </si>
  <si>
    <t>=INT(N148/10)*10</t>
  </si>
  <si>
    <t>txtPEFL</t>
  </si>
  <si>
    <t>txtBLF</t>
  </si>
  <si>
    <t>txtBEFL</t>
  </si>
  <si>
    <t>cboBFT</t>
  </si>
  <si>
    <t>cboBFCT</t>
  </si>
  <si>
    <t>nbMotors</t>
  </si>
  <si>
    <t>leaky</t>
  </si>
  <si>
    <t>Sky radiation
(W/m2)</t>
  </si>
  <si>
    <t>MOP</t>
  </si>
  <si>
    <t>throttling</t>
  </si>
  <si>
    <t>Tunnel diameter (calculated)</t>
  </si>
  <si>
    <t>Mixed Air Temp 1 (°C)</t>
  </si>
  <si>
    <t>This table is derived from simulations run with WATSUN-PV</t>
  </si>
  <si>
    <t>Fraction
Solar
( )</t>
  </si>
  <si>
    <t>christmasIsland</t>
  </si>
  <si>
    <t>max extract</t>
  </si>
  <si>
    <t>optSCINoM1</t>
  </si>
  <si>
    <t>optSHIYesM1</t>
  </si>
  <si>
    <t>Tools_Checkbox</t>
  </si>
  <si>
    <t>Total cost</t>
  </si>
  <si>
    <t>Balance of Plant &amp; Miscellaneous</t>
  </si>
  <si>
    <t>EEM_T1</t>
  </si>
  <si>
    <t>Cost Analysis</t>
  </si>
  <si>
    <t>PC HP selected</t>
  </si>
  <si>
    <t>HotWater #2</t>
  </si>
  <si>
    <t>heat</t>
  </si>
  <si>
    <t>cool</t>
  </si>
  <si>
    <t>txtBWWinUV</t>
  </si>
  <si>
    <t>Average day of month</t>
  </si>
  <si>
    <r>
      <t>kW</t>
    </r>
    <r>
      <rPr>
        <vertAlign val="subscript"/>
        <sz val="10"/>
        <rFont val="Arial"/>
        <family val="2"/>
      </rPr>
      <t>e</t>
    </r>
  </si>
  <si>
    <t>HC</t>
  </si>
  <si>
    <t>saveAsType</t>
  </si>
  <si>
    <t>saveAsDots</t>
  </si>
  <si>
    <t>saveIn</t>
  </si>
  <si>
    <t>MKD</t>
  </si>
  <si>
    <t>MGF</t>
  </si>
  <si>
    <t>Kaplan</t>
  </si>
  <si>
    <t>Burkina Faso</t>
  </si>
  <si>
    <t>leak</t>
  </si>
  <si>
    <t>leakage</t>
  </si>
  <si>
    <t>heatRecovery</t>
  </si>
  <si>
    <t>Vidhan Sabha</t>
  </si>
  <si>
    <t>This table is derived from the curves published in the Canadian PV systems design manual published by CANMET (p. 67)</t>
  </si>
  <si>
    <t>HideCodeCA_power</t>
  </si>
  <si>
    <t>ref. table6.1 ref3 @ 75 EWT</t>
  </si>
  <si>
    <t>Heating temp unocc</t>
  </si>
  <si>
    <t>Cooling temp occ</t>
  </si>
  <si>
    <t>Cooling temp unocc</t>
  </si>
  <si>
    <t>txtHR9p</t>
  </si>
  <si>
    <t>begin</t>
  </si>
  <si>
    <t>end</t>
  </si>
  <si>
    <t>coolingDegreeDaysUnitFactor</t>
  </si>
  <si>
    <t xml:space="preserve">1 Atm </t>
  </si>
  <si>
    <t>Pa</t>
  </si>
  <si>
    <t>PSI</t>
  </si>
  <si>
    <t>txtIC1</t>
  </si>
  <si>
    <t>txtIC10</t>
  </si>
  <si>
    <t>UAH</t>
  </si>
  <si>
    <t>txtPTM24</t>
  </si>
  <si>
    <t>kjSymbol</t>
  </si>
  <si>
    <t>seeTechNote</t>
  </si>
  <si>
    <t>Common validation lists</t>
  </si>
  <si>
    <t>Mar</t>
  </si>
  <si>
    <t>SteamLosses #1</t>
  </si>
  <si>
    <t>chkBNBCPC</t>
  </si>
  <si>
    <t>txtS2WS1Tmp</t>
  </si>
  <si>
    <t>BuildingEnvelope #3</t>
  </si>
  <si>
    <t>Cost</t>
  </si>
  <si>
    <r>
      <t>Hydrogen H</t>
    </r>
    <r>
      <rPr>
        <vertAlign val="subscript"/>
        <sz val="10"/>
        <rFont val="Arial"/>
        <family val="2"/>
      </rPr>
      <t>2</t>
    </r>
  </si>
  <si>
    <t>HideCodeES_Cool_Peak</t>
  </si>
  <si>
    <t>cboDPUnit</t>
  </si>
  <si>
    <t>Turbine eff</t>
  </si>
  <si>
    <t>Capacity kw</t>
  </si>
  <si>
    <t>Azimuth</t>
  </si>
  <si>
    <t>US gal</t>
  </si>
  <si>
    <t>ProductBtnCaption</t>
  </si>
  <si>
    <t>PLF with extract</t>
  </si>
  <si>
    <t>cboDHWUEM1Unit</t>
  </si>
  <si>
    <t>Convective
heat loss
coefficient
(W/m2/K)</t>
  </si>
  <si>
    <t>acre</t>
  </si>
  <si>
    <t>Base Case System (Baseline)</t>
  </si>
  <si>
    <t>kg/kW</t>
  </si>
  <si>
    <t>kW</t>
  </si>
  <si>
    <t>PPM</t>
  </si>
  <si>
    <t>txtBLF9M1</t>
  </si>
  <si>
    <t>baseIntermLoadSys</t>
  </si>
  <si>
    <t>units</t>
  </si>
  <si>
    <t>Gas turbine combined cycle</t>
  </si>
  <si>
    <t>lb/kWh</t>
  </si>
  <si>
    <t>Calorific value of fuel kWh/unit</t>
  </si>
  <si>
    <t>Rock at dam site coefficient</t>
  </si>
  <si>
    <t>Base EDH</t>
  </si>
  <si>
    <t>Prop EDH</t>
  </si>
  <si>
    <t>Base EDC</t>
  </si>
  <si>
    <t>ProcessElectricity #1</t>
  </si>
  <si>
    <t>cum.($)</t>
  </si>
  <si>
    <t>Base cooling costs</t>
  </si>
  <si>
    <t>txtBTM28</t>
  </si>
  <si>
    <t>txtBTM27</t>
  </si>
  <si>
    <t>txtBTM26</t>
  </si>
  <si>
    <t>ventcontrol</t>
  </si>
  <si>
    <t>oceanCurrentPw</t>
  </si>
  <si>
    <t>Common strings</t>
  </si>
  <si>
    <t>Btu/kWh</t>
  </si>
  <si>
    <t>EEM</t>
  </si>
  <si>
    <t>level</t>
  </si>
  <si>
    <t>H2</t>
  </si>
  <si>
    <t>Min Cap</t>
  </si>
  <si>
    <t>Total energy delivered</t>
  </si>
  <si>
    <t>+/-°F</t>
  </si>
  <si>
    <t>Mini</t>
  </si>
  <si>
    <t>poly-Si</t>
  </si>
  <si>
    <t>txtBTM210</t>
  </si>
  <si>
    <t>Invest.</t>
  </si>
  <si>
    <t>Firing rate PLF</t>
  </si>
  <si>
    <t>Available heat -HLF</t>
  </si>
  <si>
    <t>txtBLLPEUAM1</t>
  </si>
  <si>
    <t>seeOnlineManu</t>
  </si>
  <si>
    <t>cboPFCT</t>
  </si>
  <si>
    <t>North window Winter SHGC BC</t>
  </si>
  <si>
    <t>txtWTMinM1</t>
  </si>
  <si>
    <t>txtPCOPM1</t>
  </si>
  <si>
    <t>heatingsystemdesc</t>
  </si>
  <si>
    <t>heatingandcooling</t>
  </si>
  <si>
    <t>coolSys1</t>
  </si>
  <si>
    <t>cboBase1SV2</t>
  </si>
  <si>
    <t>Single space</t>
  </si>
  <si>
    <t xml:space="preserve">Development </t>
  </si>
  <si>
    <t>TRL</t>
  </si>
  <si>
    <t>compMonthProcessLoad</t>
  </si>
  <si>
    <t>Base
Sch 9</t>
  </si>
  <si>
    <t>txtPNOFM1</t>
  </si>
  <si>
    <t>txtIICLLPEUA</t>
  </si>
  <si>
    <t>txtPNDA</t>
  </si>
  <si>
    <t>cbbxPropHeatingPlant</t>
  </si>
  <si>
    <t>October</t>
  </si>
  <si>
    <t>ref2:Kavanaugh-ASHRAE</t>
  </si>
  <si>
    <t>User Def</t>
  </si>
  <si>
    <t>UD</t>
  </si>
  <si>
    <t>txtPFRV</t>
  </si>
  <si>
    <t>BC fuel cost</t>
  </si>
  <si>
    <t>cbbxS1TempUnitW2W</t>
  </si>
  <si>
    <t>pwMultipleTech</t>
  </si>
  <si>
    <t>other</t>
  </si>
  <si>
    <t>.</t>
  </si>
  <si>
    <t>OM savings</t>
  </si>
  <si>
    <t>non-dim Design cap</t>
  </si>
  <si>
    <t>Tunnel excavation</t>
  </si>
  <si>
    <t>Yearly energy output (MWh)</t>
  </si>
  <si>
    <t>txtUPDM25</t>
  </si>
  <si>
    <t>txtUPDM24</t>
  </si>
  <si>
    <t>Fuel</t>
  </si>
  <si>
    <t>˚</t>
  </si>
  <si>
    <t>txtEb</t>
  </si>
  <si>
    <t>txtEp</t>
  </si>
  <si>
    <t>RETScreen-software anvender Microsoft Excel makroer. På grund af sikkerhedsindstillinger på nogle computere er det måske nødvendigt at "Aktivere makroer", når RETScreen-filen åbnes i Excel.</t>
  </si>
  <si>
    <t>cboCATH2M2</t>
  </si>
  <si>
    <t>cboFGTH2M2</t>
  </si>
  <si>
    <t>txtPropCUH2M2</t>
  </si>
  <si>
    <t>PEN</t>
  </si>
  <si>
    <t>VarTab05</t>
  </si>
  <si>
    <t>txtBLoading8</t>
  </si>
  <si>
    <t>txtBLoading7</t>
  </si>
  <si>
    <t>C/F($)</t>
  </si>
  <si>
    <t>txtWTMaxM1</t>
  </si>
  <si>
    <t>txtNOUM1</t>
  </si>
  <si>
    <t>CdTe</t>
  </si>
  <si>
    <t>D157</t>
  </si>
  <si>
    <t>Title without units</t>
  </si>
  <si>
    <t>megaWattHour</t>
  </si>
  <si>
    <t>txtBLF8M1</t>
  </si>
  <si>
    <t>txtBLF7M1</t>
  </si>
  <si>
    <t>txtBLF6M1</t>
  </si>
  <si>
    <t>txtBLF5M1</t>
  </si>
  <si>
    <t>txtBOH11M1</t>
  </si>
  <si>
    <t>Refrigeration #2</t>
  </si>
  <si>
    <t>Refrigeration #3</t>
  </si>
  <si>
    <t>PKR</t>
  </si>
  <si>
    <t>s</t>
  </si>
  <si>
    <t>De RETScreen software gebruikt macro's van Microsoft Excel. Vanwege macro beveilingsinstellingen op sommige computers moet u misschien op "Macro's inschakelen" klikken als u het RETScreen bestand in Excel opent.</t>
  </si>
  <si>
    <t>quad. fit</t>
  </si>
  <si>
    <t>COPc</t>
  </si>
  <si>
    <t>Required fuel consumption in m3</t>
  </si>
  <si>
    <t>Pre-tax IRR</t>
  </si>
  <si>
    <t>txtS2SS1F</t>
  </si>
  <si>
    <t>cbbxS1FlowUnitS2S</t>
  </si>
  <si>
    <t>txtS2SS1Tmp</t>
  </si>
  <si>
    <t>project location</t>
  </si>
  <si>
    <t>Wood waste - pressure treated</t>
  </si>
  <si>
    <t>Outdoor hum ratio</t>
  </si>
  <si>
    <t>Russian - Русский</t>
  </si>
  <si>
    <t>Euro</t>
  </si>
  <si>
    <t>cboBase12TV2</t>
  </si>
  <si>
    <t>m³</t>
  </si>
  <si>
    <t>Ventilation #5</t>
  </si>
  <si>
    <t>1%-X</t>
  </si>
  <si>
    <t xml:space="preserve">Coal </t>
  </si>
  <si>
    <t>Oil</t>
  </si>
  <si>
    <t>Collector type</t>
  </si>
  <si>
    <t>Progress</t>
  </si>
  <si>
    <t>Heating temp occ</t>
  </si>
  <si>
    <t>ERN</t>
  </si>
  <si>
    <t>EEK</t>
  </si>
  <si>
    <t>ETB</t>
  </si>
  <si>
    <t>FKP</t>
  </si>
  <si>
    <t>FJD</t>
  </si>
  <si>
    <t>XPF</t>
  </si>
  <si>
    <t>GMD</t>
  </si>
  <si>
    <t>GEL</t>
  </si>
  <si>
    <t>GHC</t>
  </si>
  <si>
    <t>GIP</t>
  </si>
  <si>
    <t>GTQ</t>
  </si>
  <si>
    <t>GNF</t>
  </si>
  <si>
    <t>GYD</t>
  </si>
  <si>
    <t>นอกจากนั้น ในคอมพิวเตอร์บางรุ่น ระดับความปลอดภัยแม็คโครในโปรแกรมเอ็กเซลได้ตั้งค่าที่ "very high" โดยอัตโนมัติ ในกรณีนี้ ท่านจะต้องตั้งค่าระดับความปลอดภัยใหม่ที่ "medium" หรือ "high" โดยเลือกเมนู "Tools, Macro, Security..." ก่อนการใช้งาน มิฉะนั้นซอฟแวร์จะทำงานไม่สมบูรณ์</t>
  </si>
  <si>
    <t>r290Propane</t>
  </si>
  <si>
    <t>steamTurb</t>
  </si>
  <si>
    <t>windTurb</t>
  </si>
  <si>
    <t>Base peak load</t>
  </si>
  <si>
    <t>Proposed peak load</t>
  </si>
  <si>
    <t>PV array tracking index</t>
  </si>
  <si>
    <t>Show data index</t>
  </si>
  <si>
    <t>EE_CB26</t>
  </si>
  <si>
    <t>Cosine of 
incidence angle 
at noon 
(radians)</t>
  </si>
  <si>
    <t>illuminLevel</t>
  </si>
  <si>
    <t>leakageRate</t>
  </si>
  <si>
    <t>cboBaseFRF</t>
  </si>
  <si>
    <t>cboPropMTF</t>
  </si>
  <si>
    <t>Továbbá, néhány számítógépen a EXCEL Makró Biztonsági Szint beállítások automatikusan "nagyon magas"-ra vannak állítva.  Ebben az esetben a RETScreen használata előtt át kell állítani a biztonsági szintet "közepes"-re vagy "magas"-ra, az "Eszközök, Makró, Biztonsági beállítások..." menü útvonalon. Ellenkező esetben a program nem fog megfelelően működni.</t>
  </si>
  <si>
    <t>ProcessHeat #4</t>
  </si>
  <si>
    <t>squareInchSymbol</t>
  </si>
  <si>
    <t>txtPLoadSize11</t>
  </si>
  <si>
    <t>txtPLoadSize1</t>
  </si>
  <si>
    <t>txtPLoadSize10</t>
  </si>
  <si>
    <t>txtPLoadSize9</t>
  </si>
  <si>
    <t>txtPLoadSize8</t>
  </si>
  <si>
    <t>The Fifth International Conference on the Properties of Steam (London, July 1956) defined 1 cal = 4.1868 J or the amount of heat required to raise the temperature of 1 kg of water 1 degree C</t>
  </si>
  <si>
    <t>txtPOHM2</t>
  </si>
  <si>
    <t>Flow duration graph input</t>
  </si>
  <si>
    <t>ProcessHeat #5</t>
  </si>
  <si>
    <t>New order</t>
  </si>
  <si>
    <t>Btu/lb</t>
  </si>
  <si>
    <t>txtHR7p</t>
  </si>
  <si>
    <t>txtHR6p</t>
  </si>
  <si>
    <t>lastRETFilePath</t>
  </si>
  <si>
    <t>E</t>
  </si>
  <si>
    <t>ErrYear</t>
  </si>
  <si>
    <t>GJ</t>
  </si>
  <si>
    <t>kW heat/kg</t>
  </si>
  <si>
    <t>cm²</t>
  </si>
  <si>
    <t>lang_tool_DemandRateEstim</t>
  </si>
  <si>
    <t>Gamma argument</t>
  </si>
  <si>
    <t>txtD1M1</t>
  </si>
  <si>
    <t>txtD11M1</t>
  </si>
  <si>
    <t>Method</t>
  </si>
  <si>
    <t>txtBEL5M1</t>
  </si>
  <si>
    <t>BHD</t>
  </si>
  <si>
    <t>BDT</t>
  </si>
  <si>
    <t>txtIIC4M1</t>
  </si>
  <si>
    <t>txtIIC3M1</t>
  </si>
  <si>
    <t>day</t>
  </si>
  <si>
    <t>JOD</t>
  </si>
  <si>
    <t>KZT</t>
  </si>
  <si>
    <t>degreeEast</t>
  </si>
  <si>
    <t>degreeNorth</t>
  </si>
  <si>
    <t>gsHeatPumps</t>
  </si>
  <si>
    <t>exhaustFlow</t>
  </si>
  <si>
    <t>exhaustTemp</t>
  </si>
  <si>
    <t>FL no extraction Power consumed</t>
  </si>
  <si>
    <t>a</t>
  </si>
  <si>
    <t>b</t>
  </si>
  <si>
    <t>c</t>
  </si>
  <si>
    <t>DC energy demand</t>
  </si>
  <si>
    <t>pressure</t>
  </si>
  <si>
    <t>dailyhotwaterusedest</t>
  </si>
  <si>
    <t>sweptAreaPerTurb</t>
  </si>
  <si>
    <t>ceramicmetal</t>
  </si>
  <si>
    <t>txtBEWinUV</t>
  </si>
  <si>
    <t>txtPSWinSHGC</t>
  </si>
  <si>
    <t>heatingenergysaved</t>
  </si>
  <si>
    <t>Base natural air infiltration index</t>
  </si>
  <si>
    <t>MenuName</t>
  </si>
  <si>
    <t xml:space="preserve">Pump pow. </t>
  </si>
  <si>
    <t>4-1</t>
  </si>
  <si>
    <t>DT_clg</t>
  </si>
  <si>
    <t>3-8</t>
  </si>
  <si>
    <t>GT combined cycle calc</t>
  </si>
  <si>
    <t>Power total</t>
  </si>
  <si>
    <t>Rated head (h)</t>
  </si>
  <si>
    <t>Efficiency at full load</t>
  </si>
  <si>
    <t>1-3</t>
  </si>
  <si>
    <t>1-2</t>
  </si>
  <si>
    <t>ref. P.78 ref1 fig.4.10</t>
  </si>
  <si>
    <t>txtBQ10M1</t>
  </si>
  <si>
    <t>End</t>
  </si>
  <si>
    <t>Load</t>
  </si>
  <si>
    <t>Description</t>
  </si>
  <si>
    <t>$/MWh</t>
  </si>
  <si>
    <t>Industrial SAH - Results</t>
  </si>
  <si>
    <t>Utilisation</t>
  </si>
  <si>
    <t>Energy collected</t>
  </si>
  <si>
    <t>cboPropSV1</t>
  </si>
  <si>
    <t>cboBaseSV1</t>
  </si>
  <si>
    <t>Operating Efficiency 2
(%)</t>
  </si>
  <si>
    <t>serbia_and_montenegro</t>
  </si>
  <si>
    <t>milibar</t>
  </si>
  <si>
    <t>Prop
Coeff 8</t>
  </si>
  <si>
    <t>txtPSHT</t>
  </si>
  <si>
    <t>txtBSHT</t>
  </si>
  <si>
    <t>EEM_LC1</t>
  </si>
  <si>
    <t>EEM_LC2</t>
  </si>
  <si>
    <t>protonExchangeMemb</t>
  </si>
  <si>
    <t>r114CFC</t>
  </si>
  <si>
    <t>r115CFC</t>
  </si>
  <si>
    <t>r116CFC</t>
  </si>
  <si>
    <t>r123HCFC</t>
  </si>
  <si>
    <t>txtBNWinSHGC</t>
  </si>
  <si>
    <t>txtBOH6M1</t>
  </si>
  <si>
    <t>txtBOH5M1</t>
  </si>
  <si>
    <t>txtPWURM211</t>
  </si>
  <si>
    <t>Pasted</t>
  </si>
  <si>
    <t>antigua_and_barbuda</t>
  </si>
  <si>
    <t>argentina</t>
  </si>
  <si>
    <t>pitcairn</t>
  </si>
  <si>
    <t>MsExcel_FileFormat</t>
  </si>
  <si>
    <t>totalPowerCap</t>
  </si>
  <si>
    <t>txtIC9</t>
  </si>
  <si>
    <t>RETScreen软件使用Microsoft Excel宏程序。由于部分电脑中的宏安全性设置，您在用Excel打开RETScreen文档时，可能需要“启用宏”。</t>
  </si>
  <si>
    <t>cboBaseHSV2</t>
  </si>
  <si>
    <t>obHeatingImpactNo2</t>
  </si>
  <si>
    <t>txtPLoading11</t>
  </si>
  <si>
    <t>UCC</t>
  </si>
  <si>
    <t>Base
Syst 4</t>
  </si>
  <si>
    <t>Base
Syst 5</t>
  </si>
  <si>
    <t>BBD</t>
  </si>
  <si>
    <t>BYR</t>
  </si>
  <si>
    <t>BZD</t>
  </si>
  <si>
    <t>Valid prop sched 7</t>
  </si>
  <si>
    <t>Valid prop sched 8</t>
  </si>
  <si>
    <t>Valid prop sched 9</t>
  </si>
  <si>
    <t>http://retscreen.net/links/other_data_site_wind.html</t>
  </si>
  <si>
    <t>DN 100</t>
  </si>
  <si>
    <t>PLF no extraction</t>
  </si>
  <si>
    <t>roof</t>
  </si>
  <si>
    <t>window</t>
  </si>
  <si>
    <r>
      <t>Rated flow (Qr</t>
    </r>
    <r>
      <rPr>
        <sz val="10"/>
        <rFont val="Arial"/>
        <family val="2"/>
      </rPr>
      <t>)</t>
    </r>
  </si>
  <si>
    <t>CVE</t>
  </si>
  <si>
    <t>KYD</t>
  </si>
  <si>
    <t>Proposed case</t>
  </si>
  <si>
    <t>For the columns width when we change the language</t>
  </si>
  <si>
    <t>kgCO2perKWhSymbol</t>
  </si>
  <si>
    <t>kgPerGJSymbol</t>
  </si>
  <si>
    <t>Formula text</t>
  </si>
  <si>
    <t>O2 required</t>
  </si>
  <si>
    <t>ProcessElectricity #2</t>
  </si>
  <si>
    <t>WDAnnearthtempamp</t>
  </si>
  <si>
    <t>txtPropOpHours</t>
  </si>
  <si>
    <t>projDB</t>
  </si>
  <si>
    <t>LSL</t>
  </si>
  <si>
    <t>LRD</t>
  </si>
  <si>
    <t>LYD</t>
  </si>
  <si>
    <t>CHF</t>
  </si>
  <si>
    <t>LTL</t>
  </si>
  <si>
    <t>Operating Flowrate 2 (L/s/m²)</t>
  </si>
  <si>
    <t>txtPEWinUV</t>
  </si>
  <si>
    <t>Elect</t>
  </si>
  <si>
    <t>occupant</t>
  </si>
  <si>
    <t>bed</t>
  </si>
  <si>
    <t>mealPerDay</t>
  </si>
  <si>
    <t>student</t>
  </si>
  <si>
    <t>wattPerSquareFeetSymbol</t>
  </si>
  <si>
    <t>Reduced wall heat loss</t>
  </si>
  <si>
    <t>power</t>
  </si>
  <si>
    <t>xxx9</t>
  </si>
  <si>
    <t>xxx10</t>
  </si>
  <si>
    <t>ref. P.83 ref1, ref2 pour max</t>
  </si>
  <si>
    <t>Tmin</t>
  </si>
  <si>
    <t xml:space="preserve">Power  </t>
  </si>
  <si>
    <t xml:space="preserve">Heating </t>
  </si>
  <si>
    <t xml:space="preserve">Cooling </t>
  </si>
  <si>
    <t>compressor</t>
  </si>
  <si>
    <t>r402aHCFC</t>
  </si>
  <si>
    <t>canada</t>
  </si>
  <si>
    <t>cboBase4TV2</t>
  </si>
  <si>
    <t>cbbxSteamPressureUnit</t>
  </si>
  <si>
    <t>not used</t>
  </si>
  <si>
    <t>txtDesc10</t>
  </si>
  <si>
    <t>txtDesc9</t>
  </si>
  <si>
    <t>txtDesc8</t>
  </si>
  <si>
    <t>R-value -metric</t>
  </si>
  <si>
    <t>Other penetrations total reduction</t>
  </si>
  <si>
    <t>R-value before penetrations</t>
  </si>
  <si>
    <t>Combined heating &amp; power</t>
  </si>
  <si>
    <t>squareKilometer</t>
  </si>
  <si>
    <t>time</t>
  </si>
  <si>
    <t>meanFlow</t>
  </si>
  <si>
    <t>r403bHCFC</t>
  </si>
  <si>
    <t>Fraction of
month
used</t>
  </si>
  <si>
    <t>txtPTM210</t>
  </si>
  <si>
    <t>txtPTM29</t>
  </si>
  <si>
    <t>txtPTM28</t>
  </si>
  <si>
    <t>txtBFM22</t>
  </si>
  <si>
    <t>Estudo de Caso Foto Voltaico</t>
  </si>
  <si>
    <t>Portugais</t>
  </si>
  <si>
    <t>O modelo será traduzido para o portugues agora...</t>
  </si>
  <si>
    <t>Português</t>
  </si>
  <si>
    <t>Manual do usuário on Line</t>
  </si>
  <si>
    <t>Base de dados de produtos online</t>
  </si>
  <si>
    <t>Base de dados climáticos online</t>
  </si>
  <si>
    <t>RETScreen no Web</t>
  </si>
  <si>
    <t>Centro de Suporte de decisão</t>
  </si>
  <si>
    <t>Forums de Internet</t>
  </si>
  <si>
    <t>Mercado</t>
  </si>
  <si>
    <t>Estudo de Casos</t>
  </si>
  <si>
    <t>e-Manual</t>
  </si>
  <si>
    <t>Busca de Dados de Mercado</t>
  </si>
  <si>
    <t>Seleção dos equipamentos</t>
  </si>
  <si>
    <t>Iniciar</t>
  </si>
  <si>
    <t>Modelo Energético</t>
  </si>
  <si>
    <t>Análise de Emissões</t>
  </si>
  <si>
    <t>Análise Financeira</t>
  </si>
  <si>
    <t>Ferramentas</t>
  </si>
  <si>
    <t>Planilha 1</t>
  </si>
  <si>
    <t>Planilha 2</t>
  </si>
  <si>
    <t>Planilha 3</t>
  </si>
  <si>
    <t>O arquivo Livro de Trabalho do RETScreen não pode ser salvo com seu nome original.
Para salvar uma cópia clique OK e dê um novo nome no comando Salvar Como.</t>
  </si>
  <si>
    <t>Banco de dados do RETScreen não pode ser aberto. Favor verificar se você realizou download do arquivo do banco de dados.</t>
  </si>
  <si>
    <t>Você não pode usar esta opção a partir desta pasta de trabalho.</t>
  </si>
  <si>
    <t xml:space="preserve">O arquivo com banco de dados não pode ser encontrado na pasta que se segue. Por favor entre com a localização correta do arquivo: </t>
  </si>
  <si>
    <t>Projeto de Cogeração RETScreen</t>
  </si>
  <si>
    <t>Alguns dados não estão disponíveis. Os dados que estão faltando ficarão em branco. Você deve colocar mais tarde um valor estimado</t>
  </si>
  <si>
    <t>Não foi possível colar</t>
  </si>
  <si>
    <t>O programa vai estabelecer agora uma conexão com a Internet. Você deseja continuar ?</t>
  </si>
  <si>
    <t>Custo da Geração de energia</t>
  </si>
  <si>
    <t>Simulador Monte Carlo executando...</t>
  </si>
  <si>
    <t>Análise de Sensibilidade e Risco</t>
  </si>
  <si>
    <t>Localização do Arquivo</t>
  </si>
  <si>
    <t>Cancelar</t>
  </si>
  <si>
    <t>Procurar</t>
  </si>
  <si>
    <t>Estimar</t>
  </si>
  <si>
    <t>Notas/faixa</t>
  </si>
  <si>
    <t>Ver manual do usuário OnLine</t>
  </si>
  <si>
    <t>Completar planilha de Carga e Rede</t>
  </si>
  <si>
    <t>Completar planilha Análise de Custos</t>
  </si>
  <si>
    <t>Ver BDP</t>
  </si>
  <si>
    <t>Ver Base de dados Climáticos</t>
  </si>
  <si>
    <t>Completar dados mensais</t>
  </si>
  <si>
    <t>Completar as cargas mensais do processo</t>
  </si>
  <si>
    <t>Completar planilha Seleçao de Equipos</t>
  </si>
  <si>
    <t>Ver banco de dados de produtos</t>
  </si>
  <si>
    <t>Completar planilha Ferramentas</t>
  </si>
  <si>
    <t>Retornar p/planilha modelo energético</t>
  </si>
  <si>
    <t>Ir para a planilha de Análise de Emissões</t>
  </si>
  <si>
    <t>Completar planilha Sumário Financeiro</t>
  </si>
  <si>
    <t>Retornar p/ planilha de seleção de equipo</t>
  </si>
  <si>
    <t>Unidades métricas</t>
  </si>
  <si>
    <t>Unidade</t>
  </si>
  <si>
    <t>Nome do Projeto</t>
  </si>
  <si>
    <t>Localização do Projeto</t>
  </si>
  <si>
    <t>Prédio de apartamentos</t>
  </si>
  <si>
    <t>Toronto, Canadá</t>
  </si>
  <si>
    <t>Existente</t>
  </si>
  <si>
    <t>Projeto Proposto</t>
  </si>
  <si>
    <t>Carga de ponta do sistema</t>
  </si>
  <si>
    <t>Demanda de Energia do sistema</t>
  </si>
  <si>
    <t xml:space="preserve">Eletricidade </t>
  </si>
  <si>
    <t>Aquecimento</t>
  </si>
  <si>
    <t>Refrigeração</t>
  </si>
  <si>
    <t>Características do caso proposto</t>
  </si>
  <si>
    <t>Gráfico do Sistema</t>
  </si>
  <si>
    <t>Ponta</t>
  </si>
  <si>
    <t>Demanda
(MWh)</t>
  </si>
  <si>
    <t>Carga
(kW)</t>
  </si>
  <si>
    <t>Carga de base do sistema de eletricidade</t>
  </si>
  <si>
    <t>Tipo</t>
  </si>
  <si>
    <t>Unidades Inglesas</t>
  </si>
  <si>
    <t>Poder calorífico superior (PCS)</t>
  </si>
  <si>
    <t>Poder Calorífico Inferior (PCI)</t>
  </si>
  <si>
    <t>Produção somente de calor</t>
  </si>
  <si>
    <t>Produção somente de eletricidade</t>
  </si>
  <si>
    <t>Produção somente de frio</t>
  </si>
  <si>
    <t>Produção de calor e eletricidade</t>
  </si>
  <si>
    <t>Produção de frio e eletricidade</t>
  </si>
  <si>
    <t>Produção de calor e frio</t>
  </si>
  <si>
    <t>Produção de frio, calor e eletricidade</t>
  </si>
  <si>
    <t>Projeto de produção de calor e eletricidade</t>
  </si>
  <si>
    <t>Projeto de produção de frio e eletricidade</t>
  </si>
  <si>
    <t>Projeto de produção de calor e frio</t>
  </si>
  <si>
    <t>Projeto de produção de frio,calor e eletricidade</t>
  </si>
  <si>
    <t>Eletricidade da Rede</t>
  </si>
  <si>
    <t>Treinamento e Suporte</t>
  </si>
  <si>
    <t>Calendário de Treinamento</t>
  </si>
  <si>
    <t>Material de Treinamento</t>
  </si>
  <si>
    <t>Prédio individual - aquecimento ambiente</t>
  </si>
  <si>
    <t>Prédio individual - aquecimento p/ processo</t>
  </si>
  <si>
    <t>Prédio individual - aquecimento ambiente e para processo</t>
  </si>
  <si>
    <t>Prédio individual - zonas múltiplas - aquecimento ambiente</t>
  </si>
  <si>
    <t>Prédio individual - zonas múltiplas - calor para processo</t>
  </si>
  <si>
    <t>Prédio individual - zonas múltiplas-calor para aquec. e processo</t>
  </si>
  <si>
    <t>Varios Prédios - aquecimento ambiente</t>
  </si>
  <si>
    <t>Vários Prédios - aquecimento para processo</t>
  </si>
  <si>
    <t>Vários Prédios - aquecimento ambiental e para processo</t>
  </si>
  <si>
    <t>Prédio individual - refrigeração ambiental</t>
  </si>
  <si>
    <t>Prédio individual - refrigeração p/ processo</t>
  </si>
  <si>
    <t>Prédio individual - refrigeração ambiental e para processo</t>
  </si>
  <si>
    <t>Prédio individual - zonas múltiplas - refrigeração ambiental</t>
  </si>
  <si>
    <t>Prédio individual - zonas múltiplas - refrigeração p/ processo</t>
  </si>
  <si>
    <t>Prédio individual-zonas múltiplas-refriger. ambiente e p/ processo</t>
  </si>
  <si>
    <t>Vários Prédios - refrigeração ambiental</t>
  </si>
  <si>
    <t>Vários Prédios - refrigeração p/ processo</t>
  </si>
  <si>
    <t>Vários Prédios - refrigeração ambiental e para processo</t>
  </si>
  <si>
    <t>Padrão</t>
  </si>
  <si>
    <t>Detalhado</t>
  </si>
  <si>
    <t>Sim</t>
  </si>
  <si>
    <t>Não</t>
  </si>
  <si>
    <t>Fórmula</t>
  </si>
  <si>
    <t>Direto</t>
  </si>
  <si>
    <t>Indireto</t>
  </si>
  <si>
    <t>Rede Central</t>
  </si>
  <si>
    <t>Rede Isolada</t>
  </si>
  <si>
    <t>Fora da Rede</t>
  </si>
  <si>
    <t>Absorção</t>
  </si>
  <si>
    <t>Desumidificador</t>
  </si>
  <si>
    <t>Não necessário</t>
  </si>
  <si>
    <t>Carga Base do Sistema</t>
  </si>
  <si>
    <t>Cargas base e intermediária</t>
  </si>
  <si>
    <t>Motor recíproco</t>
  </si>
  <si>
    <t>Turbina à gas</t>
  </si>
  <si>
    <t>Turbina à gas-ciclo combinado</t>
  </si>
  <si>
    <t>Turbina à vapor</t>
  </si>
  <si>
    <t>Energia Geotérmica</t>
  </si>
  <si>
    <t>Célula combustível</t>
  </si>
  <si>
    <t>Turbina eólica</t>
  </si>
  <si>
    <t>Turbina hidráulica</t>
  </si>
  <si>
    <t>Fotovoltaica</t>
  </si>
  <si>
    <t>Outro</t>
  </si>
  <si>
    <t>Combustível único</t>
  </si>
  <si>
    <t>Múltiplos combustíveis - mensal</t>
  </si>
  <si>
    <t>Múltiplos combustíveis - porcentagem</t>
  </si>
  <si>
    <t>Combustível #1</t>
  </si>
  <si>
    <t>Combustível #2</t>
  </si>
  <si>
    <t>Combustível #3</t>
  </si>
  <si>
    <t>Água quente</t>
  </si>
  <si>
    <t>Vapor</t>
  </si>
  <si>
    <t>Sistema de eletricidade #1</t>
  </si>
  <si>
    <t>Sistema de eletricidade #2</t>
  </si>
  <si>
    <t>Potência elétr.máx.de saída</t>
  </si>
  <si>
    <t>Acompanhando carga elétrica</t>
  </si>
  <si>
    <t>Acompanhando a carga de calor</t>
  </si>
  <si>
    <t>Acompanhando a carga elétrica - sem extração</t>
  </si>
  <si>
    <t>Potência elétrica máxima - sem extração</t>
  </si>
  <si>
    <t>Potência elétrica máxima - com extração</t>
  </si>
  <si>
    <t>Acompanhando a carga elétrica - com extração</t>
  </si>
  <si>
    <t>custo</t>
  </si>
  <si>
    <t>crédito</t>
  </si>
  <si>
    <t>Sistema de abastecimento de combustível</t>
  </si>
  <si>
    <t xml:space="preserve">Padrão </t>
  </si>
  <si>
    <t>Conceder crédito</t>
  </si>
  <si>
    <t>Balanço em declínio</t>
  </si>
  <si>
    <t>Linear</t>
  </si>
  <si>
    <t>TIR após impostos - capital</t>
  </si>
  <si>
    <t>TIR antes impostos - ativos</t>
  </si>
  <si>
    <t>TIR após impostos - ativos</t>
  </si>
  <si>
    <t>Retorno do capital próprio</t>
  </si>
  <si>
    <t>Valor Presente Líquido (VPL)</t>
  </si>
  <si>
    <t>Conbustível fóssil</t>
  </si>
  <si>
    <t>Consumo do combustível</t>
  </si>
  <si>
    <t>Preço do combustível</t>
  </si>
  <si>
    <t>Não coletado</t>
  </si>
  <si>
    <t>Queimado no flare</t>
  </si>
  <si>
    <t>Idioma</t>
  </si>
  <si>
    <t>Unidades</t>
  </si>
  <si>
    <t>Condições de Referência do site</t>
  </si>
  <si>
    <t>Estratégia de operação</t>
  </si>
  <si>
    <t>Capacidade</t>
  </si>
  <si>
    <t>Calor fornecido</t>
  </si>
  <si>
    <t>Frio fornecido</t>
  </si>
  <si>
    <t>Eletricidade fornecida à carga</t>
  </si>
  <si>
    <t>Eletricidade exportada p/ rede</t>
  </si>
  <si>
    <t>Receita com eletricidade exportada</t>
  </si>
  <si>
    <t>Taxa de indexação sobre a eletricidade exportada</t>
  </si>
  <si>
    <t>Carga intermediária do sistema elétrico</t>
  </si>
  <si>
    <t>Carga de ponta do sistema elétrico</t>
  </si>
  <si>
    <t>Tipo de Combustível</t>
  </si>
  <si>
    <t>Poder calorífico e preço do combustível</t>
  </si>
  <si>
    <t>Capacidade sugerida</t>
  </si>
  <si>
    <t>Preço do calor</t>
  </si>
  <si>
    <t>Sistema elétrico de back-up (opcional)</t>
  </si>
  <si>
    <t>Carga de base do Sistema de Aquecimento</t>
  </si>
  <si>
    <t>Julho</t>
  </si>
  <si>
    <t>Agosto</t>
  </si>
  <si>
    <t>Setembro</t>
  </si>
  <si>
    <t>Outubro</t>
  </si>
  <si>
    <t>Novembro</t>
  </si>
  <si>
    <t>Dezembro</t>
  </si>
  <si>
    <t>Janeiro</t>
  </si>
  <si>
    <t>Fev</t>
  </si>
  <si>
    <t>Eficiência Sazonal</t>
  </si>
  <si>
    <t>Carga de ponta do sistema de Aquecimento</t>
  </si>
  <si>
    <t>Sistema de Aquecimento de back-up (opcional)</t>
  </si>
  <si>
    <t>Carga base do sistema de refrigeração</t>
  </si>
  <si>
    <t>Carga de ponta do sistema de refrigeração</t>
  </si>
  <si>
    <t>Sistema de Refrigeração de back-up (opcional)</t>
  </si>
  <si>
    <t>Sumário do caso proposto</t>
  </si>
  <si>
    <t>Quantidade</t>
  </si>
  <si>
    <t>Capacidade
(kW)</t>
  </si>
  <si>
    <t>Energia Fornecida
(MWh)</t>
  </si>
  <si>
    <t>Energia Fornecida</t>
  </si>
  <si>
    <t>Demanda de energia</t>
  </si>
  <si>
    <t>Carga de base</t>
  </si>
  <si>
    <t>Carga de Ponta</t>
  </si>
  <si>
    <t>Ações de Eficiência energética</t>
  </si>
  <si>
    <t>Carga de ponta não atendida</t>
  </si>
  <si>
    <t>Sistema de ponta não requerido</t>
  </si>
  <si>
    <t>Sistema de ponta necessário</t>
  </si>
  <si>
    <t>Interm. # 2</t>
  </si>
  <si>
    <t>Carga intermediária do sistema de aquecimento # 2</t>
  </si>
  <si>
    <t>Carga Intermediária do sistema de aquecimento</t>
  </si>
  <si>
    <t>Carga Intermediária</t>
  </si>
  <si>
    <t>Carga Intermediária # 2</t>
  </si>
  <si>
    <t>Projeto do Sistema de Aquecimento</t>
  </si>
  <si>
    <t>Dados climáticos da localização mais próxima</t>
  </si>
  <si>
    <t>Graus-dias anual de aquecimento abaixo 18°C</t>
  </si>
  <si>
    <t>Demanda base calor p/ rede água quente</t>
  </si>
  <si>
    <t>Graus-dias equivalente para aquec. da RAQ</t>
  </si>
  <si>
    <t>Horas equivalentes a plena carga</t>
  </si>
  <si>
    <t>Dados Mensais</t>
  </si>
  <si>
    <t>Mês</t>
  </si>
  <si>
    <t>Fevereiro</t>
  </si>
  <si>
    <t>Março</t>
  </si>
  <si>
    <t>Abril</t>
  </si>
  <si>
    <t>Maio</t>
  </si>
  <si>
    <t>Junho</t>
  </si>
  <si>
    <t>Abr</t>
  </si>
  <si>
    <t>Mai</t>
  </si>
  <si>
    <t>Ago</t>
  </si>
  <si>
    <t>Set</t>
  </si>
  <si>
    <t>Dez</t>
  </si>
  <si>
    <t>Sistema de Aquecimento para caso de referência</t>
  </si>
  <si>
    <t>Área de piso aquecido para o prédio</t>
  </si>
  <si>
    <t>Financiam. do projeto</t>
  </si>
  <si>
    <t>Serviços jurídicos e contáveis</t>
  </si>
  <si>
    <t>Engenharia</t>
  </si>
  <si>
    <t>Projeto do prédio</t>
  </si>
  <si>
    <t>Projeto mecânico</t>
  </si>
  <si>
    <t>Projeto elétrico</t>
  </si>
  <si>
    <t>Projeto civil</t>
  </si>
  <si>
    <t>Licitação &amp; contratação</t>
  </si>
  <si>
    <t>Supervisão da construção</t>
  </si>
  <si>
    <t>Veja manual</t>
  </si>
  <si>
    <t xml:space="preserve">Carga de Ponta - </t>
  </si>
  <si>
    <t>Reserva -</t>
  </si>
  <si>
    <t>Cálculo carga p/ aquecimento</t>
  </si>
  <si>
    <t>Carga p/ aquecimento do prédio</t>
  </si>
  <si>
    <t>Carga de ponta p/ aquecimento do processo</t>
  </si>
  <si>
    <t>Características da carga de aquecimento do processo</t>
  </si>
  <si>
    <t>Horas equivalentes à plena carga - aquecimento do processo</t>
  </si>
  <si>
    <t>Demanda aquecimento ambiente</t>
  </si>
  <si>
    <t>Demanda p/ aquecimento do processo</t>
  </si>
  <si>
    <t>Demanda total p/ aquecimento</t>
  </si>
  <si>
    <t>Carga total p/ aquecimento de ponta</t>
  </si>
  <si>
    <t>Consumo de combustível - anual</t>
  </si>
  <si>
    <t>Custo do combustível</t>
  </si>
  <si>
    <t>Ações de eficiência energética do caso proposto</t>
  </si>
  <si>
    <t>Ações de eficiência energética no uso final</t>
  </si>
  <si>
    <t>Carga líquida de aquecimento de ponta</t>
  </si>
  <si>
    <t>Demanda líquida de aquecimento</t>
  </si>
  <si>
    <t>Ver nota técnica sobre projeto da rede de aquecimento</t>
  </si>
  <si>
    <t>Condomínios</t>
  </si>
  <si>
    <t>Zonas do Prédio</t>
  </si>
  <si>
    <t>Área de piso aquecido por condomínio</t>
  </si>
  <si>
    <t>Número de prédios no condomínio</t>
  </si>
  <si>
    <t>Área de piso aquecido por zona</t>
  </si>
  <si>
    <t>Carga de aquecimento para condomínio</t>
  </si>
  <si>
    <t>Carga de aquecimento por zona</t>
  </si>
  <si>
    <t>Rede de aquecimento municipal do caso proposto</t>
  </si>
  <si>
    <t>Estimado/Total</t>
  </si>
  <si>
    <t>Critérios p/ projeto da rede de aquecimento</t>
  </si>
  <si>
    <t>Temp. de fornecimento projetada</t>
  </si>
  <si>
    <t>Temp. de retorno projetada</t>
  </si>
  <si>
    <t>Diferencial de temperatura</t>
  </si>
  <si>
    <t>Linha principal de distribuição de calor</t>
  </si>
  <si>
    <t>Sobredimensiona. do tubo principal da rede</t>
  </si>
  <si>
    <t>Secções de tubos</t>
  </si>
  <si>
    <t>Carga</t>
  </si>
  <si>
    <t>Comprimento</t>
  </si>
  <si>
    <t>Dimens. Tubo</t>
  </si>
  <si>
    <t>O condomínio é atendido por esta secção de tubo ? (sim/não)</t>
  </si>
  <si>
    <t>Secção</t>
  </si>
  <si>
    <t>Comprimento total do tubo da linha de distribuição principal</t>
  </si>
  <si>
    <t>Linha secundária de distribuição de calor</t>
  </si>
  <si>
    <t>Comprimento do tubo da linha de distribuição secundária por condomínio</t>
  </si>
  <si>
    <t>Sobredimens. tubo secundário da rede distrib.</t>
  </si>
  <si>
    <t>Comprimento da secção de tubo</t>
  </si>
  <si>
    <t>Custo da rede municipal de calor</t>
  </si>
  <si>
    <t>Comprimento total de tubos</t>
  </si>
  <si>
    <t>Método de avaliação de custos</t>
  </si>
  <si>
    <t>Tipo de conexão - estação de transferência de energia</t>
  </si>
  <si>
    <t>Fator de custo - estação transferência de energia</t>
  </si>
  <si>
    <t>Fator de custo - tubos linha principal de distribuição</t>
  </si>
  <si>
    <t>Fator de custo - tubos linha secundária de distribuição</t>
  </si>
  <si>
    <t>Taxa de câmbio</t>
  </si>
  <si>
    <t>Custos das redes de distribuição secundárias e ETEn por condomínio</t>
  </si>
  <si>
    <t>Custo - estaçao(ões) transfer. de energia</t>
  </si>
  <si>
    <t>Custo - Tubo linha secundária distribuição</t>
  </si>
  <si>
    <t>Custo Total - conexão do condomínio</t>
  </si>
  <si>
    <t>Sumário das dimensões dos tubos da linha de distribuição principal</t>
  </si>
  <si>
    <t>Sumário - comprimento dos tubos da linha de distribuição principal</t>
  </si>
  <si>
    <t>Sumário - custos dos tubos da linha de distribuição principal</t>
  </si>
  <si>
    <t>Custo total rede municipal de calor</t>
  </si>
  <si>
    <t>Custo - tubos da linha principal de distribuiçao por categoria de dimensão</t>
  </si>
  <si>
    <t>Projeto de Refrigeração</t>
  </si>
  <si>
    <t>Graus-dias anual de refrigeração acima de 10°C</t>
  </si>
  <si>
    <t>Demanda refrigeração independente da temperatura externa</t>
  </si>
  <si>
    <t>Sistema de refrigeração do caso referência</t>
  </si>
  <si>
    <t>Área de piso resfriado para o prédio</t>
  </si>
  <si>
    <t>Cálculo da carga de refrigeração</t>
  </si>
  <si>
    <t>Carga de refrigeração por prédio</t>
  </si>
  <si>
    <t>Carga ponta refrigeração do processo</t>
  </si>
  <si>
    <t>Características carga de refrigeração do processo</t>
  </si>
  <si>
    <t>Horas equivalentes a plena carga - refrigeração processo</t>
  </si>
  <si>
    <t>Demanda de climatização</t>
  </si>
  <si>
    <t>Demanda de frio do processo</t>
  </si>
  <si>
    <t>Demanda total de frio</t>
  </si>
  <si>
    <t>Carga total de ponta de frio</t>
  </si>
  <si>
    <t>Carga líquida de ponta de frio</t>
  </si>
  <si>
    <t>Demanda líquida de frio</t>
  </si>
  <si>
    <t>Veja notas técnica sobre projeto da rede de frio</t>
  </si>
  <si>
    <t>Área de piso refrigerado por condomínio</t>
  </si>
  <si>
    <t>Área de piso refrigerado/zona do prédio</t>
  </si>
  <si>
    <t>Carga de Refrigeração para o condomínio</t>
  </si>
  <si>
    <t>Carga de refrigeração por zona</t>
  </si>
  <si>
    <t>Consumo de combustível - unitário</t>
  </si>
  <si>
    <t>Preço combustível - unidade</t>
  </si>
  <si>
    <t>Rede de distribuição de frio do caso proposto</t>
  </si>
  <si>
    <t>Critérios de projeto - tubos refrigeração</t>
  </si>
  <si>
    <t>Linha principal de distribuição de frio</t>
  </si>
  <si>
    <t>Linhas secundárias de distribuição de frio</t>
  </si>
  <si>
    <t>Custo rede local distribuição de frio</t>
  </si>
  <si>
    <t>Custo total rede local de ditribuição de frio</t>
  </si>
  <si>
    <t>Projeto produção de Eletricidade</t>
  </si>
  <si>
    <t>Sistema de produção de eletricidade do caso referência</t>
  </si>
  <si>
    <t>Carga de ponta - sistema isolado</t>
  </si>
  <si>
    <t>Carga mínima - sistema isolado</t>
  </si>
  <si>
    <t>Custo anual O&amp;M</t>
  </si>
  <si>
    <t>Características da carga do caso de referência</t>
  </si>
  <si>
    <t>Características da carga do caso proposto</t>
  </si>
  <si>
    <t>Eletricidade
carga média bruta 
kW</t>
  </si>
  <si>
    <t>Refrigeração 
% de tempo 
de operação 
do processo</t>
  </si>
  <si>
    <t>Refrigeração
carga média
kW</t>
  </si>
  <si>
    <t>Aquecimento 
% de tempo 
de operação 
do processo</t>
  </si>
  <si>
    <t>Aquecimento
carga média
kW</t>
  </si>
  <si>
    <t>Eletricidade
carga média líq.
kW</t>
  </si>
  <si>
    <t>Eletricidade
para refrigeração
kW</t>
  </si>
  <si>
    <t>Carga
do sistema elétrico
kW</t>
  </si>
  <si>
    <t>Carga
do sistema
de refrigeração
kW</t>
  </si>
  <si>
    <t>Aquecimento
carga média líq.
kW</t>
  </si>
  <si>
    <t>Calor 
para 
produção de frio 
kW</t>
  </si>
  <si>
    <t>Carga 
do sistema
de aquecimento 
kW</t>
  </si>
  <si>
    <t>Carga de ponta sist. elétrico acima da média mensal máxima</t>
  </si>
  <si>
    <t>Carga de pico - anual</t>
  </si>
  <si>
    <t>Demanda de eletricidade</t>
  </si>
  <si>
    <t>Custo total de eletricidade</t>
  </si>
  <si>
    <t>Custo de eletricidade</t>
  </si>
  <si>
    <t>Carga ponta líquida de eletricidade</t>
  </si>
  <si>
    <t>Demanda líquida de eletricidade</t>
  </si>
  <si>
    <t>Gráfico das características da carga do caso referência</t>
  </si>
  <si>
    <t>Gráfico das características da carga do caso proposto</t>
  </si>
  <si>
    <t>Verificar o valor</t>
  </si>
  <si>
    <t>Retornar</t>
  </si>
  <si>
    <t>Resumo</t>
  </si>
  <si>
    <t>Sistema de refrigeração do caso proposto</t>
  </si>
  <si>
    <t>Fonte de energia</t>
  </si>
  <si>
    <t>Centrífugo</t>
  </si>
  <si>
    <t>De pistão</t>
  </si>
  <si>
    <t>Parafuso</t>
  </si>
  <si>
    <t>Caracol</t>
  </si>
  <si>
    <t>Utilização do ar ambiente como fonte de energia</t>
  </si>
  <si>
    <t>Solo como fonte de energia</t>
  </si>
  <si>
    <t>Sistema de refrigeração</t>
  </si>
  <si>
    <t xml:space="preserve">Aquecedor de fluido térmico </t>
  </si>
  <si>
    <t>Sitema de aquecimento do caso proposto</t>
  </si>
  <si>
    <t>Seleção do Sistema</t>
  </si>
  <si>
    <t>Sistema de eletricidade do caso proposto</t>
  </si>
  <si>
    <t>Disponibilidade</t>
  </si>
  <si>
    <t>Método-seleção de combustível</t>
  </si>
  <si>
    <t>Mix do combustível</t>
  </si>
  <si>
    <t>Consumo de combustível</t>
  </si>
  <si>
    <t>Consumo
de combustível
MWh</t>
  </si>
  <si>
    <t>Carga e demanda do caso proposto</t>
  </si>
  <si>
    <t>Caldeira</t>
  </si>
  <si>
    <t>Sistema à biomassa</t>
  </si>
  <si>
    <t>Forno</t>
  </si>
  <si>
    <t>Aquecedores de fluido térmico</t>
  </si>
  <si>
    <t>Bomba de calor</t>
  </si>
  <si>
    <t>Tipo de Caldeira</t>
  </si>
  <si>
    <t>Pressão de Operação</t>
  </si>
  <si>
    <t>Temperatura de saturação</t>
  </si>
  <si>
    <t>Temperatura superaquecimento</t>
  </si>
  <si>
    <t>Combustível necessário</t>
  </si>
  <si>
    <t>Potência elétrica</t>
  </si>
  <si>
    <t>Potência elétrica (TG)</t>
  </si>
  <si>
    <t>Capac. Mínima</t>
  </si>
  <si>
    <t>Taxa de recuperação de calor</t>
  </si>
  <si>
    <t>Capacidade térmica</t>
  </si>
  <si>
    <t>Capacidade térmica - sem extração</t>
  </si>
  <si>
    <t>Capacidade térmica - com extração</t>
  </si>
  <si>
    <t>Ignição do duto</t>
  </si>
  <si>
    <t>Capacidade térmica da ignição do duto</t>
  </si>
  <si>
    <t>Capacidade térmica após ignição do duto</t>
  </si>
  <si>
    <t>Entalpia</t>
  </si>
  <si>
    <t>Entropia</t>
  </si>
  <si>
    <t>Porta de extração</t>
  </si>
  <si>
    <t>Extração máxima</t>
  </si>
  <si>
    <t>Extração</t>
  </si>
  <si>
    <t>Pressão da extração</t>
  </si>
  <si>
    <t>Temperatura</t>
  </si>
  <si>
    <t>Qualidade da mistura</t>
  </si>
  <si>
    <t>Taxa teórica de produção do vapor</t>
  </si>
  <si>
    <t>Saída da turbina - pressão de vapor</t>
  </si>
  <si>
    <t>Eficiência da turbina a vapor (TV)</t>
  </si>
  <si>
    <t>Taxa real de produção de vapor</t>
  </si>
  <si>
    <t>Potência elétrica - com extração</t>
  </si>
  <si>
    <t>Potência elétrica (TV) - com extração</t>
  </si>
  <si>
    <t>Potência elétrica total - com extração</t>
  </si>
  <si>
    <t>Potência elétrica - sem extração</t>
  </si>
  <si>
    <t>Potência elétrica (TV) - sem extração</t>
  </si>
  <si>
    <t>Potência elétrica total - sem extração</t>
  </si>
  <si>
    <t>Potência elétrica (TV)</t>
  </si>
  <si>
    <t>Potência elétrica total</t>
  </si>
  <si>
    <t>Temp. de retorno</t>
  </si>
  <si>
    <t>Pressão do Vapor</t>
  </si>
  <si>
    <t>Temperatura do vapor</t>
  </si>
  <si>
    <t>Fluxo de vapor</t>
  </si>
  <si>
    <t>Descrição</t>
  </si>
  <si>
    <t>Fator de Utilização</t>
  </si>
  <si>
    <t>Estratégia de operação - carga básica do sistema de eletricidade</t>
  </si>
  <si>
    <t>Estratégia de operação - carga intermediária do sistema de eletricidade</t>
  </si>
  <si>
    <t>Preço de combustível - sistema de calor do caso de referência</t>
  </si>
  <si>
    <t>Preço da eletricidade - caso de referência</t>
  </si>
  <si>
    <t>Preço da eletricidade</t>
  </si>
  <si>
    <t>Preço do combustível - caso proposto sistema elétrico</t>
  </si>
  <si>
    <t>Preço eletricidade exportada</t>
  </si>
  <si>
    <t>Preço da Eletricidade - caso proposto</t>
  </si>
  <si>
    <t>Eletricidade
complemento
necessário</t>
  </si>
  <si>
    <t>Calor
Recuperado</t>
  </si>
  <si>
    <t>Calor
complemento
necessário</t>
  </si>
  <si>
    <t>Combustível
para produzir
 eletricidade</t>
  </si>
  <si>
    <t>Lucro (prejuízo) 
Operacional</t>
  </si>
  <si>
    <t>Eficiência</t>
  </si>
  <si>
    <t>Selecionar sistema de potência para carga base</t>
  </si>
  <si>
    <t>Selecionar estratégia de operação</t>
  </si>
  <si>
    <t>Eletricidade não pode ser expertada para o grid</t>
  </si>
  <si>
    <t>A potência elétrica do sistema excede a carga mínima do sistema isolado</t>
  </si>
  <si>
    <t>Pressão está fora do intervalo válido</t>
  </si>
  <si>
    <t>Temp do vapor abaixo do ponto de saturação</t>
  </si>
  <si>
    <t>Equaçoes de vapor não são válidas</t>
  </si>
  <si>
    <t>Vapor está húmido</t>
  </si>
  <si>
    <t>Pressão não válida</t>
  </si>
  <si>
    <t>A soma de combustiveis de totalizar 100%</t>
  </si>
  <si>
    <t xml:space="preserve">Capacidade mínima excede a carga média líquida de eletricidade para </t>
  </si>
  <si>
    <t xml:space="preserve"> mês(es)</t>
  </si>
  <si>
    <t>Combustível auxiliar é necessário</t>
  </si>
  <si>
    <t>Porta de extração necessária</t>
  </si>
  <si>
    <t>Mostrar outras unidades</t>
  </si>
  <si>
    <t>Análise de pré-viabilidde</t>
  </si>
  <si>
    <t>Análise de viabilidade</t>
  </si>
  <si>
    <t>Opções</t>
  </si>
  <si>
    <t>Moeda</t>
  </si>
  <si>
    <t>Segunda moeda</t>
  </si>
  <si>
    <t>Símbolo</t>
  </si>
  <si>
    <t xml:space="preserve">Preço: </t>
  </si>
  <si>
    <t>Custo referência</t>
  </si>
  <si>
    <t>Custos iniciais (créditos)</t>
  </si>
  <si>
    <t>Custo unitário</t>
  </si>
  <si>
    <t>Custos relativos</t>
  </si>
  <si>
    <t>Faixa / quant.</t>
  </si>
  <si>
    <t>Faixa custo unit.</t>
  </si>
  <si>
    <t>% Estrangeiro</t>
  </si>
  <si>
    <t>Montante estrangeiro</t>
  </si>
  <si>
    <t>Estudo de viabilidade</t>
  </si>
  <si>
    <t>Pesquisa de campo</t>
  </si>
  <si>
    <t>Avaliação de recursos</t>
  </si>
  <si>
    <t>Avaliação Ambiental</t>
  </si>
  <si>
    <t>Projeto preliminar</t>
  </si>
  <si>
    <t>Estimativa detalhada de custos</t>
  </si>
  <si>
    <t>Estudo da linha de base e PS dos GEE</t>
  </si>
  <si>
    <t>Preparação de relatório</t>
  </si>
  <si>
    <t>Gestão do Projeto</t>
  </si>
  <si>
    <t>Viagem &amp; Acomodação</t>
  </si>
  <si>
    <t>Subtotal</t>
  </si>
  <si>
    <t>Desenvolvimento</t>
  </si>
  <si>
    <t>Negociação do contrato</t>
  </si>
  <si>
    <t>Licenças e aprovações</t>
  </si>
  <si>
    <t>Visita de campo e registros</t>
  </si>
  <si>
    <t>Validação e Registro do GEE</t>
  </si>
  <si>
    <t>Construção de estrada</t>
  </si>
  <si>
    <t>Linha de Transmissão</t>
  </si>
  <si>
    <t>Subestação</t>
  </si>
  <si>
    <t>Estação(ões) transfer. de energia</t>
  </si>
  <si>
    <t>Tubo - rede de aquecimento secundária</t>
  </si>
  <si>
    <t>Tubo principal da rede de aquecimento</t>
  </si>
  <si>
    <t>Tipo de grid</t>
  </si>
  <si>
    <t>tons CO2 =</t>
  </si>
  <si>
    <t>1 ton CH4</t>
  </si>
  <si>
    <t>1 ton N2O</t>
  </si>
  <si>
    <t>Sistema elétrico de referência ( Baseline)</t>
  </si>
  <si>
    <t>Fator de
emissão de CO2</t>
  </si>
  <si>
    <t>Fator de
emissão de CH4</t>
  </si>
  <si>
    <t>Fator de
emissão de N2O</t>
  </si>
  <si>
    <t>Eficiência na geração 
de eletricidade</t>
  </si>
  <si>
    <t>Perdas
T&amp;D</t>
  </si>
  <si>
    <t>Fator de emissão
de GEE</t>
  </si>
  <si>
    <t>Fator de
Emissão de GEE
(excl. T&amp;D)</t>
  </si>
  <si>
    <t>Mix de Eletricidade</t>
  </si>
  <si>
    <t>Crédito para redução de GEE</t>
  </si>
  <si>
    <t>Duração do crédito para redução de GEE</t>
  </si>
  <si>
    <t>Taxa de indexação do crédito para redução de GEE</t>
  </si>
  <si>
    <t>Tubo - rede de resfriamento secundario</t>
  </si>
  <si>
    <t>Tubo principal da rede de resfriamento</t>
  </si>
  <si>
    <t>Balanço do sistema e misc.</t>
  </si>
  <si>
    <t>Custos específicos do projeto</t>
  </si>
  <si>
    <t>Sistema de captação do GFL</t>
  </si>
  <si>
    <t>Campo de captação do GFL</t>
  </si>
  <si>
    <t>Tubos de captação do biogás</t>
  </si>
  <si>
    <t>Sist. drenagem do condensado do GFL</t>
  </si>
  <si>
    <t>Sistema do soprador de biogás e misc.</t>
  </si>
  <si>
    <t>Queima do biogás</t>
  </si>
  <si>
    <t>Equipamento de transporte</t>
  </si>
  <si>
    <t>Equipamento de Preparação</t>
  </si>
  <si>
    <t>Equipos p/ armazenamento</t>
  </si>
  <si>
    <t>Equipos de distribuição</t>
  </si>
  <si>
    <t>Construção do prédio e do pátio</t>
  </si>
  <si>
    <t>Peças de reposição</t>
  </si>
  <si>
    <t>Transporte</t>
  </si>
  <si>
    <t>Treinamento &amp; Comissionamento</t>
  </si>
  <si>
    <t>Contingências</t>
  </si>
  <si>
    <t>Juros durante a construçaõ</t>
  </si>
  <si>
    <t>Entrar número de meses</t>
  </si>
  <si>
    <t>Locação do terreno</t>
  </si>
  <si>
    <t>Imposto territorial</t>
  </si>
  <si>
    <t>Seguro</t>
  </si>
  <si>
    <t>Peças e mão de obra</t>
  </si>
  <si>
    <t>M &amp; V dos GEE</t>
  </si>
  <si>
    <t>Benefícios à sociedade</t>
  </si>
  <si>
    <t>Geral e administrativo</t>
  </si>
  <si>
    <t>Total de custos de investimento</t>
  </si>
  <si>
    <t>Custo anual (créditos)</t>
  </si>
  <si>
    <t>Combustível</t>
  </si>
  <si>
    <t>Manutenção</t>
  </si>
  <si>
    <t>Total de custos anuais</t>
  </si>
  <si>
    <t>Custos periódicos(créditos)</t>
  </si>
  <si>
    <t>Faixa/Intervalo</t>
  </si>
  <si>
    <t>Valor residual do projeto</t>
  </si>
  <si>
    <t>Análise padrão</t>
  </si>
  <si>
    <t>Análise personalizada</t>
  </si>
  <si>
    <t>Análise simplificada</t>
  </si>
  <si>
    <t>Projeto MDL potencial</t>
  </si>
  <si>
    <t>Métodos possíveis para linha de base simplificada</t>
  </si>
  <si>
    <t>Potencial de Aquecimento global dos GEE</t>
  </si>
  <si>
    <t>Emissão de GEE</t>
  </si>
  <si>
    <t>Mudanças na linha de base durante projeto</t>
  </si>
  <si>
    <t xml:space="preserve">Ano da mudança </t>
  </si>
  <si>
    <t xml:space="preserve">Motivo p/ mudança da referência </t>
  </si>
  <si>
    <t>Nova planta hidroelétrica em construção</t>
  </si>
  <si>
    <t xml:space="preserve">Troca no fator de emissão de GEE </t>
  </si>
  <si>
    <t>Sumário dos GEE do caso de referência
(Baseline)</t>
  </si>
  <si>
    <t>Consumo
de combustível</t>
  </si>
  <si>
    <t>Potencial
de biogás</t>
  </si>
  <si>
    <t>Biogás queimado</t>
  </si>
  <si>
    <t>Emissões de biogás</t>
  </si>
  <si>
    <t>Sumário GEE do caso proposto</t>
  </si>
  <si>
    <t>Perdas T&amp;D</t>
  </si>
  <si>
    <t>Sumário da redução de emissões dos GEE</t>
  </si>
  <si>
    <t>Anos de ocorrência</t>
  </si>
  <si>
    <t>Emissões GEE
Caso de referência</t>
  </si>
  <si>
    <t>Emissões de GEE
Caso Proposto</t>
  </si>
  <si>
    <t>Redução
anual bruta
de emissões
de GEE</t>
  </si>
  <si>
    <t>Custo de
transação
dos créditos
de GEE</t>
  </si>
  <si>
    <t>Redução
anual líquida
de emissões
de GEE</t>
  </si>
  <si>
    <t>Redução anual líquida de emissões de GEE</t>
  </si>
  <si>
    <t>Hidro</t>
  </si>
  <si>
    <t>Geotérmica</t>
  </si>
  <si>
    <t>Eólica</t>
  </si>
  <si>
    <t xml:space="preserve">Fator de emissão de GEE por ano </t>
  </si>
  <si>
    <t xml:space="preserve"> e além </t>
  </si>
  <si>
    <t xml:space="preserve">1 à </t>
  </si>
  <si>
    <t>Sistema caso proposto (</t>
  </si>
  <si>
    <t xml:space="preserve"> projeto)</t>
  </si>
  <si>
    <t xml:space="preserve"> projeto</t>
  </si>
  <si>
    <t>País - região</t>
  </si>
  <si>
    <t>Todos os tipos</t>
  </si>
  <si>
    <t>Sistema caso de referência</t>
  </si>
  <si>
    <t>Sistema caso proposto</t>
  </si>
  <si>
    <t>Sumário dos custos anuais de combustível</t>
  </si>
  <si>
    <t>Preço de energia
uso final</t>
  </si>
  <si>
    <t>Redução líquida de GEE</t>
  </si>
  <si>
    <t>Redução líq. de GEE-duração do crédito</t>
  </si>
  <si>
    <t xml:space="preserve">Redução líquida de GEE - ano 1 à </t>
  </si>
  <si>
    <t xml:space="preserve">Redução líquida de GEE - ano </t>
  </si>
  <si>
    <t xml:space="preserve"> e +</t>
  </si>
  <si>
    <t>Fluxo de caixa anual</t>
  </si>
  <si>
    <t>Ano</t>
  </si>
  <si>
    <t>Antes imposto</t>
  </si>
  <si>
    <t>Após imposto</t>
  </si>
  <si>
    <t>Cumulativo</t>
  </si>
  <si>
    <t>Parâmetros financeiros</t>
  </si>
  <si>
    <t>Receita da produçaõ de Energia Limpa (EL)</t>
  </si>
  <si>
    <t>Crédito de produção de Energia Limpa</t>
  </si>
  <si>
    <t>Produção de EL</t>
  </si>
  <si>
    <t>Crédito de produção de EL</t>
  </si>
  <si>
    <t>Duração do crédito de produção de EL</t>
  </si>
  <si>
    <t>Taxa de indexação do crédito de produção de EL</t>
  </si>
  <si>
    <t>Geral</t>
  </si>
  <si>
    <t>Reajuste do custo do combustível</t>
  </si>
  <si>
    <t>Taxa de inflação</t>
  </si>
  <si>
    <t>Taxa de desconto</t>
  </si>
  <si>
    <t>Vida do projeto</t>
  </si>
  <si>
    <t>Financiamento</t>
  </si>
  <si>
    <t>Razão da dívida</t>
  </si>
  <si>
    <t>Taxa de juros da dívida</t>
  </si>
  <si>
    <t>Duração da dívida</t>
  </si>
  <si>
    <t>Receita (ou desconto) adicional do consumidor</t>
  </si>
  <si>
    <t>Desconto na eletricidade (rebate)</t>
  </si>
  <si>
    <t>Receita do desconto da eletricidade (rebate)</t>
  </si>
  <si>
    <t>Desconto no aquecimento</t>
  </si>
  <si>
    <t>Receita devido ao desconto no aquecimento</t>
  </si>
  <si>
    <t>Desconto na Refrigeração</t>
  </si>
  <si>
    <t>Receita de desconto na refrigeração</t>
  </si>
  <si>
    <t>Análise do imposto de renda</t>
  </si>
  <si>
    <t>Canadá - Ilha Príncipe Eduardo</t>
  </si>
  <si>
    <t>Canada - Territórios</t>
  </si>
  <si>
    <t>Análise de Sensibilidade</t>
  </si>
  <si>
    <t>Custo efetivo- imposto de renda</t>
  </si>
  <si>
    <t>Postergar prejuízo?</t>
  </si>
  <si>
    <t>Método de depreciação</t>
  </si>
  <si>
    <t>Base da taxa de depreciação</t>
  </si>
  <si>
    <t>Taxa de depreciação</t>
  </si>
  <si>
    <t>Período de depreciação</t>
  </si>
  <si>
    <t>Isenção fiscal ?</t>
  </si>
  <si>
    <t>Duração isenção fiscal</t>
  </si>
  <si>
    <t>Custo projeto e sumario econ./receita</t>
  </si>
  <si>
    <t>Custos iniciais</t>
  </si>
  <si>
    <t>Incentivos e subsídios</t>
  </si>
  <si>
    <t>Pagamento anual de custos e empréstimos</t>
  </si>
  <si>
    <t>Economia anual e receita</t>
  </si>
  <si>
    <t>Receita anual</t>
  </si>
  <si>
    <t>Receita da produçaõ de EL</t>
  </si>
  <si>
    <t>Receita pela redução de GEE</t>
  </si>
  <si>
    <t>Total de economia e receita anual</t>
  </si>
  <si>
    <t>Custo combustível - caso proposto</t>
  </si>
  <si>
    <t>Custo combustível - caso de referência</t>
  </si>
  <si>
    <t>Viabil. Financeira</t>
  </si>
  <si>
    <t>TIR antes impostos-capital próprio</t>
  </si>
  <si>
    <t>Retorno simples</t>
  </si>
  <si>
    <t>Economia anual no ciclo de vida</t>
  </si>
  <si>
    <t>Razão custo benefício (C-B)</t>
  </si>
  <si>
    <t>Custo de Redução de GEE</t>
  </si>
  <si>
    <t>Capital próprio investido</t>
  </si>
  <si>
    <t>Empréstimo</t>
  </si>
  <si>
    <t>Pagamento da dívida</t>
  </si>
  <si>
    <t>Juros da dívida</t>
  </si>
  <si>
    <t>imediato</t>
  </si>
  <si>
    <t>&gt; projeto</t>
  </si>
  <si>
    <t xml:space="preserve">negativo </t>
  </si>
  <si>
    <t xml:space="preserve">positivo </t>
  </si>
  <si>
    <t>Sem redução</t>
  </si>
  <si>
    <t>Sem débito</t>
  </si>
  <si>
    <t>Gráfico de fluxo de caixa cumulativo</t>
  </si>
  <si>
    <t>Fluxo de caixa cumulativo</t>
  </si>
  <si>
    <t>Canada - Columbia Britânica</t>
  </si>
  <si>
    <t>Canada - Nova Brunswick</t>
  </si>
  <si>
    <t>Canada - Terra Nova e Lavrador</t>
  </si>
  <si>
    <t>Canada - Nova Escocia</t>
  </si>
  <si>
    <t>Análise de Risco</t>
  </si>
  <si>
    <t>Análise de performance</t>
  </si>
  <si>
    <t>Fx. de sensibilidade</t>
  </si>
  <si>
    <t>Limite</t>
  </si>
  <si>
    <t xml:space="preserve">Análise de sensibilidade p/ </t>
  </si>
  <si>
    <t xml:space="preserve">Análise de risco para </t>
  </si>
  <si>
    <t>Parâmetro</t>
  </si>
  <si>
    <t>Valor</t>
  </si>
  <si>
    <t>Faixa (+/-)</t>
  </si>
  <si>
    <t>Mínimo</t>
  </si>
  <si>
    <t>Máximo</t>
  </si>
  <si>
    <t>Clique aqui para calcular análise de risco</t>
  </si>
  <si>
    <t xml:space="preserve">Impacto - </t>
  </si>
  <si>
    <t xml:space="preserve">Resíduo total no aterro (
</t>
  </si>
  <si>
    <t>Entrada de ano deve estar em ordem ascendente</t>
  </si>
  <si>
    <t xml:space="preserve">Biogás </t>
  </si>
  <si>
    <t>Corea do Norte</t>
  </si>
  <si>
    <t>Dinamarca</t>
  </si>
  <si>
    <t>Djibuti</t>
  </si>
  <si>
    <t>República Dominicana</t>
  </si>
  <si>
    <t>Equador</t>
  </si>
  <si>
    <t>Egito</t>
  </si>
  <si>
    <t>Classe por impacto</t>
  </si>
  <si>
    <t>Impacto relativo (desvio padrão) do parâmetro</t>
  </si>
  <si>
    <t>Mediana</t>
  </si>
  <si>
    <t>Nível de risco</t>
  </si>
  <si>
    <t>Frequência</t>
  </si>
  <si>
    <t>Verificar o intervalo</t>
  </si>
  <si>
    <t>Mínimo do intervalo de confiança</t>
  </si>
  <si>
    <t>Máximo do intervalo de confiança</t>
  </si>
  <si>
    <t xml:space="preserve">Distribuição - </t>
  </si>
  <si>
    <t>% de casos c/ TIR após impostos - capital não definido</t>
  </si>
  <si>
    <t>% de casos c/ TIR após impostos - ativos não definidos</t>
  </si>
  <si>
    <t>% de casos c/ retorno de capital maior ou igual à vida do projeto</t>
  </si>
  <si>
    <t xml:space="preserve">Intervalo de confiança = </t>
  </si>
  <si>
    <t>Carbono</t>
  </si>
  <si>
    <t>Unidades de energia</t>
  </si>
  <si>
    <t>Unidades de poder calorífico</t>
  </si>
  <si>
    <t>Enxofre</t>
  </si>
  <si>
    <t>Cinzas</t>
  </si>
  <si>
    <t>Análise Imediata</t>
  </si>
  <si>
    <t>Fator de emissão de CO2</t>
  </si>
  <si>
    <t>Fator de emissão de CH4</t>
  </si>
  <si>
    <t>Fator de emissão de N2O</t>
  </si>
  <si>
    <t>Metano</t>
  </si>
  <si>
    <t>Etano</t>
  </si>
  <si>
    <t>Monóxido de carbono</t>
  </si>
  <si>
    <t>Dióxido de carbono</t>
  </si>
  <si>
    <t>Sulfeto de hidrogênio</t>
  </si>
  <si>
    <t>Nitrogênio</t>
  </si>
  <si>
    <t>Oxigênio</t>
  </si>
  <si>
    <t>Densidade</t>
  </si>
  <si>
    <t>Aterro</t>
  </si>
  <si>
    <t>Ano de abertura do aterro</t>
  </si>
  <si>
    <t>Último ano utilização do aterro</t>
  </si>
  <si>
    <t>Anos de descarte de resíduos</t>
  </si>
  <si>
    <t>Quantidade anual de resíduo</t>
  </si>
  <si>
    <t>Gráfico de evolução da produção de biogás</t>
  </si>
  <si>
    <t>Fator de correção por resíduo inerte</t>
  </si>
  <si>
    <t>Constante de Produção de Metano (k)</t>
  </si>
  <si>
    <t>Metano por volume de biogás</t>
  </si>
  <si>
    <t>Geração de metano a partir do lixo(Lo)</t>
  </si>
  <si>
    <t>Produção de biogás - Teórica</t>
  </si>
  <si>
    <t>Eficiência de coleta do biogás</t>
  </si>
  <si>
    <t>Produção de biogás - Potencial</t>
  </si>
  <si>
    <t>Prazo antes da produção do biogás</t>
  </si>
  <si>
    <t>Poder calorífico do biogás</t>
  </si>
  <si>
    <t>Projeto de energia</t>
  </si>
  <si>
    <t>Primeiro ano de consumo do biogás</t>
  </si>
  <si>
    <t>Combustível necessário - médio</t>
  </si>
  <si>
    <t>Potencial de biogás</t>
  </si>
  <si>
    <t>Complemento combustível necessário</t>
  </si>
  <si>
    <t>Combustível necessário - anual</t>
  </si>
  <si>
    <t>Potencial de biogás - anual</t>
  </si>
  <si>
    <t>Sistema de biogas-Caso de referência</t>
  </si>
  <si>
    <t>Percentual de biogás queimado - caso de referência</t>
  </si>
  <si>
    <t>Biogás queimado - caso de referência</t>
  </si>
  <si>
    <t>Biogás queimado - caso proposto</t>
  </si>
  <si>
    <t>Biogás - Fator de emissão de CH4</t>
  </si>
  <si>
    <t>Teórico</t>
  </si>
  <si>
    <t>Potencial</t>
  </si>
  <si>
    <t>Necessário</t>
  </si>
  <si>
    <t>Conteúdo de água na mistura</t>
  </si>
  <si>
    <t>Poder calorífico</t>
  </si>
  <si>
    <t>Pressão</t>
  </si>
  <si>
    <t>Pêso</t>
  </si>
  <si>
    <t>Distância</t>
  </si>
  <si>
    <t>Área</t>
  </si>
  <si>
    <t>Fator de emissão</t>
  </si>
  <si>
    <t>Potência (carga)</t>
  </si>
  <si>
    <t>Energia (demanda)</t>
  </si>
  <si>
    <t>Método</t>
  </si>
  <si>
    <t>Início</t>
  </si>
  <si>
    <t>Fim</t>
  </si>
  <si>
    <t>Custo da potência</t>
  </si>
  <si>
    <t>Custo da energia</t>
  </si>
  <si>
    <t>Carga média</t>
  </si>
  <si>
    <t>Estação 1(dd-mm)</t>
  </si>
  <si>
    <t>Estação 2</t>
  </si>
  <si>
    <t>Dias úteis - de dia</t>
  </si>
  <si>
    <t>Tarifa na ponta</t>
  </si>
  <si>
    <t>Tarifa fora ponta</t>
  </si>
  <si>
    <t>Dias úteis - de noite</t>
  </si>
  <si>
    <t>Fins de semana - de dia</t>
  </si>
  <si>
    <t>Fins de semana - de noite</t>
  </si>
  <si>
    <t>Tarifa fixa - mensal</t>
  </si>
  <si>
    <t>Fator de correção da demanda de eletricidade</t>
  </si>
  <si>
    <t>Diferença da Demanda de eletricidade</t>
  </si>
  <si>
    <t>Preço</t>
  </si>
  <si>
    <t>Água</t>
  </si>
  <si>
    <t>Temperatura da água</t>
  </si>
  <si>
    <t>Diferença de entalpia</t>
  </si>
  <si>
    <t>é equivalente a</t>
  </si>
  <si>
    <t>Carros e camionetes não utilizados</t>
  </si>
  <si>
    <t>Litros gasolina não consumidos</t>
  </si>
  <si>
    <t>Barris de óleo bruto não consumidos</t>
  </si>
  <si>
    <t>Pessoas reduzindo uso de energia em 20%</t>
  </si>
  <si>
    <t>Acres de floresta absorvendo carbono</t>
  </si>
  <si>
    <t>Hectares de floresta absorvendo carbono</t>
  </si>
  <si>
    <t>Toneladas lixo reciclado</t>
  </si>
  <si>
    <t>Energia</t>
  </si>
  <si>
    <t>Software de Análise de Projetos de Energia Limpa</t>
  </si>
  <si>
    <t>Modelo para projetos de Cogeração</t>
  </si>
  <si>
    <t>Clique aqui para começar</t>
  </si>
  <si>
    <t>Descrição e Fluxo grama</t>
  </si>
  <si>
    <t>Código de cores</t>
  </si>
  <si>
    <t>Manual Online</t>
  </si>
  <si>
    <t>Planilhas</t>
  </si>
  <si>
    <t>Análise de Gases Efeito Estufa</t>
  </si>
  <si>
    <t>Características</t>
  </si>
  <si>
    <t>Dados de Produtos</t>
  </si>
  <si>
    <t>Dados Climáticos</t>
  </si>
  <si>
    <t>Dados de Custo</t>
  </si>
  <si>
    <t>Opções de unidade e poder cal.</t>
  </si>
  <si>
    <t>Opções de idioma</t>
  </si>
  <si>
    <t>Opções de moeda</t>
  </si>
  <si>
    <t>MDL/ IC Análise do projeto</t>
  </si>
  <si>
    <t>Centro de Suporte 
a decisão de Energia Limpa</t>
  </si>
  <si>
    <t>Parceiros</t>
  </si>
  <si>
    <t xml:space="preserve">Modelo Energético RETScreen - </t>
  </si>
  <si>
    <t xml:space="preserve">RETScreen Proj. Rede e Carga - </t>
  </si>
  <si>
    <t xml:space="preserve">RETScreen Seleção de Equip. - </t>
  </si>
  <si>
    <t xml:space="preserve">Análise de Custos RETScreen - </t>
  </si>
  <si>
    <t xml:space="preserve">Análise da Redução das Emissões RETScreen - </t>
  </si>
  <si>
    <t xml:space="preserve">Sumário Financeiro RETScreen - </t>
  </si>
  <si>
    <t xml:space="preserve">Análise de Sensibilidade e Risco RETScreen - </t>
  </si>
  <si>
    <t xml:space="preserve">RETScreen Ferram. - </t>
  </si>
  <si>
    <t>Definido pelo usuário</t>
  </si>
  <si>
    <t>Nenhum</t>
  </si>
  <si>
    <t>Afganistão</t>
  </si>
  <si>
    <t>Argélia</t>
  </si>
  <si>
    <t>Samoa Americana</t>
  </si>
  <si>
    <t>Anguila</t>
  </si>
  <si>
    <t>Antigua e Barbuda</t>
  </si>
  <si>
    <t>Austrália</t>
  </si>
  <si>
    <t>Áustria</t>
  </si>
  <si>
    <t>Azerbaijão</t>
  </si>
  <si>
    <t>Bielorussia</t>
  </si>
  <si>
    <t>Bélgica</t>
  </si>
  <si>
    <t>Butão</t>
  </si>
  <si>
    <t>Bolívia</t>
  </si>
  <si>
    <t>Ilha Bouvet</t>
  </si>
  <si>
    <t>Brasil</t>
  </si>
  <si>
    <t>Território Britânico do Oceano Índico</t>
  </si>
  <si>
    <t>Ilhas Virgens Britânicas</t>
  </si>
  <si>
    <t>Bulgária</t>
  </si>
  <si>
    <t>Camboja</t>
  </si>
  <si>
    <t>Camarões</t>
  </si>
  <si>
    <t>Cabo Verde</t>
  </si>
  <si>
    <t>Ilhas Caimã</t>
  </si>
  <si>
    <t>República Centro africana</t>
  </si>
  <si>
    <t>Chade</t>
  </si>
  <si>
    <t>Ilha Christmas</t>
  </si>
  <si>
    <t>Ilhas Cocos(Keeling)</t>
  </si>
  <si>
    <t>Comores</t>
  </si>
  <si>
    <t>Congo, Rep. do</t>
  </si>
  <si>
    <t>Ilhas Cook</t>
  </si>
  <si>
    <t>Costa do Marfim</t>
  </si>
  <si>
    <t>Croácia</t>
  </si>
  <si>
    <t>Chipre</t>
  </si>
  <si>
    <t>República Tcheca</t>
  </si>
  <si>
    <t>Congo, Rep. Democ. do</t>
  </si>
  <si>
    <t>Guiné Equatorial</t>
  </si>
  <si>
    <t>Eritréia</t>
  </si>
  <si>
    <t>Estônia</t>
  </si>
  <si>
    <t>Etiópia</t>
  </si>
  <si>
    <t>Ilhas Malvinas</t>
  </si>
  <si>
    <t>Ilhas Faroe</t>
  </si>
  <si>
    <t>Finlândia</t>
  </si>
  <si>
    <t>França</t>
  </si>
  <si>
    <t>Guiana Francesa</t>
  </si>
  <si>
    <t>Polinésia Francesa</t>
  </si>
  <si>
    <t>Territórios Franceses do Sul</t>
  </si>
  <si>
    <t>Gabão</t>
  </si>
  <si>
    <t>Gâmbia</t>
  </si>
  <si>
    <t>Alemanha</t>
  </si>
  <si>
    <t>Gana</t>
  </si>
  <si>
    <t>Grécia</t>
  </si>
  <si>
    <t>Groenlândia</t>
  </si>
  <si>
    <t>Guadalupe</t>
  </si>
  <si>
    <t>Guiné</t>
  </si>
  <si>
    <t>Guiné-Bissau</t>
  </si>
  <si>
    <t>Guiana</t>
  </si>
  <si>
    <t>Ilhas Heard e McDonald</t>
  </si>
  <si>
    <t>Vaticano</t>
  </si>
  <si>
    <t>Hungria</t>
  </si>
  <si>
    <t>Islândia</t>
  </si>
  <si>
    <t>Indonésia</t>
  </si>
  <si>
    <t>Irã</t>
  </si>
  <si>
    <t>Iraque</t>
  </si>
  <si>
    <t>Irlanda</t>
  </si>
  <si>
    <t>Itália</t>
  </si>
  <si>
    <t>Japão</t>
  </si>
  <si>
    <t>Jordânia</t>
  </si>
  <si>
    <t>Cazaquistão</t>
  </si>
  <si>
    <t>Quênia</t>
  </si>
  <si>
    <t>Quirguistão</t>
  </si>
  <si>
    <t>Letônia</t>
  </si>
  <si>
    <t>Líbano</t>
  </si>
  <si>
    <t>Libéria</t>
  </si>
  <si>
    <t>Líbia</t>
  </si>
  <si>
    <t>Lituânia</t>
  </si>
  <si>
    <t>Luxemburgo</t>
  </si>
  <si>
    <t>Macau</t>
  </si>
  <si>
    <t>Macedônia</t>
  </si>
  <si>
    <t>Malaui</t>
  </si>
  <si>
    <t>Malásia</t>
  </si>
  <si>
    <t>Maldivas</t>
  </si>
  <si>
    <t>Ilhas Marshall</t>
  </si>
  <si>
    <t>Martinica</t>
  </si>
  <si>
    <t>Mauritânia</t>
  </si>
  <si>
    <t>Maurício</t>
  </si>
  <si>
    <t>México</t>
  </si>
  <si>
    <t>Micronésia</t>
  </si>
  <si>
    <t>Mônaco</t>
  </si>
  <si>
    <t>Mongólia</t>
  </si>
  <si>
    <t>Marrocos</t>
  </si>
  <si>
    <t>Moçambique</t>
  </si>
  <si>
    <t>Myanma</t>
  </si>
  <si>
    <t>Ilhas Marianas do Norte</t>
  </si>
  <si>
    <t>Namíbia</t>
  </si>
  <si>
    <t>Holanda</t>
  </si>
  <si>
    <t>Antilhas Holandesas</t>
  </si>
  <si>
    <t>Nova Caledônia</t>
  </si>
  <si>
    <t>Nova Zelândia</t>
  </si>
  <si>
    <t>Nicarágua</t>
  </si>
  <si>
    <t>Níger</t>
  </si>
  <si>
    <t>Nigéria</t>
  </si>
  <si>
    <t>Ilha Norfolk</t>
  </si>
  <si>
    <t>Noruega</t>
  </si>
  <si>
    <t>Omã</t>
  </si>
  <si>
    <t>Paquistão</t>
  </si>
  <si>
    <t>Panamá</t>
  </si>
  <si>
    <t>Papua-Nova Guné</t>
  </si>
  <si>
    <t>Paraguai</t>
  </si>
  <si>
    <t>Filipinas</t>
  </si>
  <si>
    <t>Polônia</t>
  </si>
  <si>
    <t>Porto Rico</t>
  </si>
  <si>
    <t>Catar</t>
  </si>
  <si>
    <t>Coréa do Sul</t>
  </si>
  <si>
    <t>Moldávia</t>
  </si>
  <si>
    <t>Reunião</t>
  </si>
  <si>
    <t>Romênia</t>
  </si>
  <si>
    <t>Rússia</t>
  </si>
  <si>
    <t>Ruanda</t>
  </si>
  <si>
    <t>Santa Helena</t>
  </si>
  <si>
    <t>St. Kitts e Névis</t>
  </si>
  <si>
    <t>Santa Lucia</t>
  </si>
  <si>
    <t>São Tomé e Príncipe</t>
  </si>
  <si>
    <t>Arábia Saudita</t>
  </si>
  <si>
    <t>Sérvia</t>
  </si>
  <si>
    <t>Serra Leoa</t>
  </si>
  <si>
    <t>Cingapura</t>
  </si>
  <si>
    <t>Eslováquia</t>
  </si>
  <si>
    <t>Eslovênia</t>
  </si>
  <si>
    <t>Ilhas Salomão</t>
  </si>
  <si>
    <t>Somália</t>
  </si>
  <si>
    <t>África do Sul</t>
  </si>
  <si>
    <t>Espanha</t>
  </si>
  <si>
    <t>Saint-Pierre e Miquelon</t>
  </si>
  <si>
    <t>São Vicente e Granadinas</t>
  </si>
  <si>
    <t>Sudão</t>
  </si>
  <si>
    <t>Svalbard</t>
  </si>
  <si>
    <t>Suazilândia</t>
  </si>
  <si>
    <t>Suécia</t>
  </si>
  <si>
    <t>Suíça</t>
  </si>
  <si>
    <t>Síria</t>
  </si>
  <si>
    <t>Tagiquistão</t>
  </si>
  <si>
    <t>Tailândia</t>
  </si>
  <si>
    <t>Timor Leste</t>
  </si>
  <si>
    <t>Trinidad e Tobago</t>
  </si>
  <si>
    <t>Tunísia</t>
  </si>
  <si>
    <t>Turquia</t>
  </si>
  <si>
    <t>Turcomenistão</t>
  </si>
  <si>
    <t>Ilhas Turks e Caicos</t>
  </si>
  <si>
    <t>Emirados Árabes</t>
  </si>
  <si>
    <t>Tanzânia</t>
  </si>
  <si>
    <t>Ucrânia</t>
  </si>
  <si>
    <t>Reino Unido</t>
  </si>
  <si>
    <t>Uruguai</t>
  </si>
  <si>
    <t>Ilhas Virgens Americanas</t>
  </si>
  <si>
    <t>Estados Unidos da América</t>
  </si>
  <si>
    <t>Uzbequistão</t>
  </si>
  <si>
    <t>Vietnã</t>
  </si>
  <si>
    <t>Wallis e Futuna</t>
  </si>
  <si>
    <t>Sahara Ocidental</t>
  </si>
  <si>
    <t>Iémen</t>
  </si>
  <si>
    <t>Zimbábwe</t>
  </si>
  <si>
    <t>Antártica</t>
  </si>
  <si>
    <t>Padrão 1</t>
  </si>
  <si>
    <t>Padrão 2</t>
  </si>
  <si>
    <t>Padrão 3</t>
  </si>
  <si>
    <t>Padrão 4</t>
  </si>
  <si>
    <t>Padrão 5</t>
  </si>
  <si>
    <t>Base de Dados Climáticos</t>
  </si>
  <si>
    <t>Região</t>
  </si>
  <si>
    <t>País</t>
  </si>
  <si>
    <t>Prov./Estado</t>
  </si>
  <si>
    <t>Estação meteorológica</t>
  </si>
  <si>
    <t>Temperatura para projeto de refrigeração</t>
  </si>
  <si>
    <t>Temperatura para projeto de aquecimento</t>
  </si>
  <si>
    <t>Graus-dia
para
aquecimento</t>
  </si>
  <si>
    <t>Jan Fev Mar Abr Mai Jun Jul Ago
Set Out Nov Dez</t>
  </si>
  <si>
    <t>Visite o site da NASA com dados via satélite</t>
  </si>
  <si>
    <t>Ajuda</t>
  </si>
  <si>
    <t>Colar os dados</t>
  </si>
  <si>
    <t>Fechar</t>
  </si>
  <si>
    <t>Data de modificação</t>
  </si>
  <si>
    <t>Temperatura do Ar</t>
  </si>
  <si>
    <t>Humidade relativa</t>
  </si>
  <si>
    <t>Radiação solar diária - horizontal</t>
  </si>
  <si>
    <t>Pressão Atmosférica</t>
  </si>
  <si>
    <t>Velocidade do Vento</t>
  </si>
  <si>
    <t>Temperatura do Solo</t>
  </si>
  <si>
    <t>Amplitude da Temperatura do Solo</t>
  </si>
  <si>
    <t>Elevação</t>
  </si>
  <si>
    <t>Anual</t>
  </si>
  <si>
    <t>Fonte</t>
  </si>
  <si>
    <t>Altura da medida</t>
  </si>
  <si>
    <t>n/d</t>
  </si>
  <si>
    <t>Base de Dados de produtos</t>
  </si>
  <si>
    <t>Fabricante</t>
  </si>
  <si>
    <t>Sistema</t>
  </si>
  <si>
    <t>Tipo detalhado</t>
  </si>
  <si>
    <t>Modelo</t>
  </si>
  <si>
    <t>Modelo e capacidade</t>
  </si>
  <si>
    <t>Informação do fabricante</t>
  </si>
  <si>
    <t>Outras informações</t>
  </si>
  <si>
    <t>Enviar e-mail</t>
  </si>
  <si>
    <t>Visitar Website</t>
  </si>
  <si>
    <t>Selecionar fabricante</t>
  </si>
  <si>
    <t>Selecionar modelo</t>
  </si>
  <si>
    <t>Capacidade unit.</t>
  </si>
  <si>
    <t>Algum</t>
  </si>
  <si>
    <t>Gas natural - m³</t>
  </si>
  <si>
    <t>Gás Natural - GJ</t>
  </si>
  <si>
    <t>Gas natural - mmBtu</t>
  </si>
  <si>
    <t>Gaz natural - 100 pi³</t>
  </si>
  <si>
    <t>Propano - L</t>
  </si>
  <si>
    <t>Propano - gal</t>
  </si>
  <si>
    <t>Propano - kg</t>
  </si>
  <si>
    <t>Gasolina - L</t>
  </si>
  <si>
    <t>Gasolina - gal</t>
  </si>
  <si>
    <t>Querosene - L</t>
  </si>
  <si>
    <t>Querosene - gal</t>
  </si>
  <si>
    <t>Diesel (óleo #2) - L</t>
  </si>
  <si>
    <t>Diesel (óleo #2) - gal</t>
  </si>
  <si>
    <t>Oleo (#6) - L</t>
  </si>
  <si>
    <t>Oleo (#6) - gal</t>
  </si>
  <si>
    <t>Carvão</t>
  </si>
  <si>
    <t>Alfafa</t>
  </si>
  <si>
    <t>Amêndua - casca</t>
  </si>
  <si>
    <t>Cinza (branca)</t>
  </si>
  <si>
    <t>Bagaço</t>
  </si>
  <si>
    <t>Cevada - palha</t>
  </si>
  <si>
    <t>Faia - casca</t>
  </si>
  <si>
    <t>Biogás</t>
  </si>
  <si>
    <t>Bio - óleo</t>
  </si>
  <si>
    <t>Vidoeiro (branco) - casca</t>
  </si>
  <si>
    <t>Resíduo ind. de malte e cerveja</t>
  </si>
  <si>
    <t>Girassol - palha</t>
  </si>
  <si>
    <t>Girassol - casca</t>
  </si>
  <si>
    <t>Grama</t>
  </si>
  <si>
    <t>Chá - resíduos</t>
  </si>
  <si>
    <t>Textil</t>
  </si>
  <si>
    <t>Pneus</t>
  </si>
  <si>
    <t>Noz - casca</t>
  </si>
  <si>
    <t>Árvore de noz</t>
  </si>
  <si>
    <t>Lixo doméstico</t>
  </si>
  <si>
    <t>Trigo - palha</t>
  </si>
  <si>
    <t>Papelão</t>
  </si>
  <si>
    <t>Pinheiro de natal</t>
  </si>
  <si>
    <t>Fibra de coco</t>
  </si>
  <si>
    <t>Café - resíduo</t>
  </si>
  <si>
    <t>Composto</t>
  </si>
  <si>
    <t>Milho - sabugo</t>
  </si>
  <si>
    <t>Milho - palha</t>
  </si>
  <si>
    <t>Algodão - resíduo</t>
  </si>
  <si>
    <t>Ulmeiro - casca</t>
  </si>
  <si>
    <t>Etanol</t>
  </si>
  <si>
    <t>Eucalipto</t>
  </si>
  <si>
    <t>Pinho (bálsamo) - casca</t>
  </si>
  <si>
    <t>Linho</t>
  </si>
  <si>
    <t>Resíduo de alimentos</t>
  </si>
  <si>
    <t>Floresta - resíduo</t>
  </si>
  <si>
    <t>Avelã - casca</t>
  </si>
  <si>
    <t>Cânhamo</t>
  </si>
  <si>
    <t>Nogueira</t>
  </si>
  <si>
    <t>Hidrogênio</t>
  </si>
  <si>
    <t>Lariço</t>
  </si>
  <si>
    <t>Couro</t>
  </si>
  <si>
    <t>Macadâmia</t>
  </si>
  <si>
    <t>Esterco</t>
  </si>
  <si>
    <t>Acer (açucar) - casca</t>
  </si>
  <si>
    <t>Metanol</t>
  </si>
  <si>
    <t>Carvalho</t>
  </si>
  <si>
    <t>Palha da aveia</t>
  </si>
  <si>
    <t>Azeitona - caroço</t>
  </si>
  <si>
    <t>Embalagens - resíduo</t>
  </si>
  <si>
    <t>Óleo de palma - residuo</t>
  </si>
  <si>
    <t>Óleo de palma bruto</t>
  </si>
  <si>
    <t>Papel</t>
  </si>
  <si>
    <t>Amendoim - casca</t>
  </si>
  <si>
    <t>Turfa</t>
  </si>
  <si>
    <t>Pinho</t>
  </si>
  <si>
    <t>Pinho - casca</t>
  </si>
  <si>
    <t>Pistache - casca</t>
  </si>
  <si>
    <t>Plástico</t>
  </si>
  <si>
    <t>Choupo</t>
  </si>
  <si>
    <t>Choupo - casca</t>
  </si>
  <si>
    <t>Furnier de aves</t>
  </si>
  <si>
    <t>Ameixa - caroço</t>
  </si>
  <si>
    <t>Colza - palha</t>
  </si>
  <si>
    <t>Colza - semente</t>
  </si>
  <si>
    <t>Combustível deriv. recusa(RDF)-pelotas</t>
  </si>
  <si>
    <t>Arroz - casca</t>
  </si>
  <si>
    <t>Arroz - palha</t>
  </si>
  <si>
    <t>Centeio - palha</t>
  </si>
  <si>
    <t>Poeira - MDF</t>
  </si>
  <si>
    <t>Serragem</t>
  </si>
  <si>
    <t>Gás - esgoto</t>
  </si>
  <si>
    <t>Lodo - esgoto</t>
  </si>
  <si>
    <t>Lodo (descolorante)</t>
  </si>
  <si>
    <t>Lodo - usina de papel</t>
  </si>
  <si>
    <t>Abeto - casca</t>
  </si>
  <si>
    <t>Resíduos da beterraba</t>
  </si>
  <si>
    <t>Salgueiro (1-3 a.)</t>
  </si>
  <si>
    <t>Madeira - casca</t>
  </si>
  <si>
    <t>Madeira-resíduos alvejamento</t>
  </si>
  <si>
    <t>Madeira-grãos</t>
  </si>
  <si>
    <t>Madeira de demolição-resto</t>
  </si>
  <si>
    <t>Madeiras macias - resíduos</t>
  </si>
  <si>
    <t>lb/milhão Btu</t>
  </si>
  <si>
    <t>Residuo de madeira - placa de partícula</t>
  </si>
  <si>
    <t>Madeira - resíduo c/placa</t>
  </si>
  <si>
    <t>Madeira - resíduo s/pressão</t>
  </si>
  <si>
    <t>Madeira - resíduo postes telefônicos</t>
  </si>
  <si>
    <t>Madeira - resíduo típico</t>
  </si>
  <si>
    <t>Jardinagem - resíduo</t>
  </si>
  <si>
    <t>Eletricidade</t>
  </si>
  <si>
    <t xml:space="preserve">Biomassa </t>
  </si>
  <si>
    <t>Refrigeração Natural</t>
  </si>
  <si>
    <t>Calor recuperado</t>
  </si>
  <si>
    <t>Sistema de Aquecimento</t>
  </si>
  <si>
    <t>Sistema de produção de eletricidade</t>
  </si>
  <si>
    <t>Gás Natural</t>
  </si>
  <si>
    <t>Propano</t>
  </si>
  <si>
    <t>Gasolina</t>
  </si>
  <si>
    <t>Querosene</t>
  </si>
  <si>
    <t>Diesel (oleo#2)</t>
  </si>
  <si>
    <t>Óleo (#6)</t>
  </si>
  <si>
    <t>/100 pés³</t>
  </si>
  <si>
    <t>/pe³</t>
  </si>
  <si>
    <t>/an</t>
  </si>
  <si>
    <t>Volume%</t>
  </si>
  <si>
    <t>% Peso</t>
  </si>
  <si>
    <t>prédio</t>
  </si>
  <si>
    <t>100 pes³</t>
  </si>
  <si>
    <t>barril</t>
  </si>
  <si>
    <t>(Btu/h)/pe²</t>
  </si>
  <si>
    <t>pe</t>
  </si>
  <si>
    <t>pe H2O (4°C)</t>
  </si>
  <si>
    <t>pe²</t>
  </si>
  <si>
    <t>pe²/TR</t>
  </si>
  <si>
    <t>pe³</t>
  </si>
  <si>
    <t>pe³/h</t>
  </si>
  <si>
    <t>pe³/t</t>
  </si>
  <si>
    <t>Horas</t>
  </si>
  <si>
    <t>hp (calor)</t>
  </si>
  <si>
    <t>hp (elétrico)</t>
  </si>
  <si>
    <t>gal imp.</t>
  </si>
  <si>
    <t>po</t>
  </si>
  <si>
    <t>po Hg (0°C)</t>
  </si>
  <si>
    <t>po³</t>
  </si>
  <si>
    <t>po H2O</t>
  </si>
  <si>
    <t>po Hg</t>
  </si>
  <si>
    <t>milhas</t>
  </si>
  <si>
    <t>milhão Btu</t>
  </si>
  <si>
    <t>milhão Btu/h</t>
  </si>
  <si>
    <t>milhão Btu/pe³</t>
  </si>
  <si>
    <t>d-p</t>
  </si>
  <si>
    <t>p-ano</t>
  </si>
  <si>
    <t>projeto</t>
  </si>
  <si>
    <t>p-viagem</t>
  </si>
  <si>
    <t>TR</t>
  </si>
  <si>
    <t>TR/1000 pe²</t>
  </si>
  <si>
    <t>TRh</t>
  </si>
  <si>
    <t>tCO2/an</t>
  </si>
  <si>
    <t>gal US</t>
  </si>
  <si>
    <t>Preço da eletricidade - mensal</t>
  </si>
  <si>
    <t>Água &amp; Vapor</t>
  </si>
  <si>
    <t>Equivalência de GEE</t>
  </si>
  <si>
    <t>Ativo</t>
  </si>
  <si>
    <t>CA/CC</t>
  </si>
  <si>
    <t>Adicionar a lista</t>
  </si>
  <si>
    <t>Ajustado</t>
  </si>
  <si>
    <t>Fator de Ajuste</t>
  </si>
  <si>
    <t>Condicionador de ar</t>
  </si>
  <si>
    <t>Condicionamento de ar</t>
  </si>
  <si>
    <t>Sistema de vácuo central</t>
  </si>
  <si>
    <t>Rede central &amp; carga interna</t>
  </si>
  <si>
    <t>Coletor central</t>
  </si>
  <si>
    <t>Centro da vidraçaria</t>
  </si>
  <si>
    <t>Eficiência do regulador de carga</t>
  </si>
  <si>
    <t>Eficiência do carregador</t>
  </si>
  <si>
    <t>Cogeração</t>
  </si>
  <si>
    <t>jarda³</t>
  </si>
  <si>
    <t>sim/não</t>
  </si>
  <si>
    <t>mes(es)</t>
  </si>
  <si>
    <t>ano</t>
  </si>
  <si>
    <t>anos</t>
  </si>
  <si>
    <t>África</t>
  </si>
  <si>
    <t>Ásia</t>
  </si>
  <si>
    <t>Europa</t>
  </si>
  <si>
    <t>América do Norte e Central</t>
  </si>
  <si>
    <t>América do Sul</t>
  </si>
  <si>
    <t xml:space="preserve"> unidade(s)</t>
  </si>
  <si>
    <t>Mais zoom</t>
  </si>
  <si>
    <t>Menos zoom</t>
  </si>
  <si>
    <t>Atingir objectivo</t>
  </si>
  <si>
    <t>Carga e Rede</t>
  </si>
  <si>
    <t>Análise de Custos</t>
  </si>
  <si>
    <t>Sumário Financeiro</t>
  </si>
  <si>
    <t>Combustível definido pelo usuário</t>
  </si>
  <si>
    <t>Combustível definido pelo usuário - gás</t>
  </si>
  <si>
    <t>Combustível definido pelo usuário - sólido</t>
  </si>
  <si>
    <t>Gás de Lixo (Biogás)</t>
  </si>
  <si>
    <t>Combustível húmido</t>
  </si>
  <si>
    <t>Conversão de unidades</t>
  </si>
  <si>
    <t>Tarifa de energia - por período de utilização</t>
  </si>
  <si>
    <t>Temperatura do ar - anual</t>
  </si>
  <si>
    <t>Temperatura do ar - média superior</t>
  </si>
  <si>
    <t>Temperatura do ar - máxima</t>
  </si>
  <si>
    <t>Temperatura do ar - mínima</t>
  </si>
  <si>
    <t>Perdas no aerofólio</t>
  </si>
  <si>
    <t>Alga</t>
  </si>
  <si>
    <t>Fator de perdas permitidas na cabeceira da adutora</t>
  </si>
  <si>
    <t>Fator de perdas permitidas na cabeceira do tunel</t>
  </si>
  <si>
    <t>Alumínio</t>
  </si>
  <si>
    <t>Ambiente</t>
  </si>
  <si>
    <t>Tipo de análise</t>
  </si>
  <si>
    <t>Perda anual do refrigerante</t>
  </si>
  <si>
    <t>Economia anual</t>
  </si>
  <si>
    <t>Radiação Solar anual - horizontal</t>
  </si>
  <si>
    <t>Radiação Solar anual - inclinado</t>
  </si>
  <si>
    <t>Apartamento</t>
  </si>
  <si>
    <t>Área de Captação por coletor solar</t>
  </si>
  <si>
    <t>Resíduo de maçãs</t>
  </si>
  <si>
    <t>Aplicação</t>
  </si>
  <si>
    <t>Agricultura</t>
  </si>
  <si>
    <t>Aquário</t>
  </si>
  <si>
    <t>Argônio</t>
  </si>
  <si>
    <t>Perdas do painel</t>
  </si>
  <si>
    <t>Pressão Atmosférica - anual</t>
  </si>
  <si>
    <t>Fluxo disponível</t>
  </si>
  <si>
    <t>Fator de ajuste do fluxo disponível</t>
  </si>
  <si>
    <t>Potência disponível</t>
  </si>
  <si>
    <t>Fator de carga médio</t>
  </si>
  <si>
    <t>Espessura média da parede do tubo</t>
  </si>
  <si>
    <t>Peso médio por unidade</t>
  </si>
  <si>
    <t>Azimut</t>
  </si>
  <si>
    <t>Resíduo de padaria</t>
  </si>
  <si>
    <t>Caso de referência</t>
  </si>
  <si>
    <t>Carga do caso de referência</t>
  </si>
  <si>
    <t>Sistema de
carga de base</t>
  </si>
  <si>
    <t>Bateria</t>
  </si>
  <si>
    <t>Método de controle de temperatura</t>
  </si>
  <si>
    <t>Cama</t>
  </si>
  <si>
    <t>Bife de vaca</t>
  </si>
  <si>
    <t>Indicador de referência</t>
  </si>
  <si>
    <t>Fator de produção do biogás</t>
  </si>
  <si>
    <t>Produção de biogás - anual</t>
  </si>
  <si>
    <t>Comprimento do poço</t>
  </si>
  <si>
    <t>Grão de cervejaria</t>
  </si>
  <si>
    <t>Propriedades do invólucro do prédio</t>
  </si>
  <si>
    <t>Recuperação das perdas de calor do prédio</t>
  </si>
  <si>
    <t>Forno embutido</t>
  </si>
  <si>
    <t>Calculado</t>
  </si>
  <si>
    <t>Lava carro</t>
  </si>
  <si>
    <t>Escotilha</t>
  </si>
  <si>
    <t>Ventilador de teto</t>
  </si>
  <si>
    <t>Temperatura de operação normal da célula</t>
  </si>
  <si>
    <t>Unidade Central</t>
  </si>
  <si>
    <t>Fluido circulante</t>
  </si>
  <si>
    <t>Bomba de circulação</t>
  </si>
  <si>
    <t>Revestimento</t>
  </si>
  <si>
    <t>Ganho pela instalação do revestimento</t>
  </si>
  <si>
    <t>Ganho pelo material do revestimento</t>
  </si>
  <si>
    <t>Fixado</t>
  </si>
  <si>
    <t>Energia Limpa</t>
  </si>
  <si>
    <t>Claro</t>
  </si>
  <si>
    <t>Limpeza</t>
  </si>
  <si>
    <t>Localização dos dados climáticos</t>
  </si>
  <si>
    <t>Rádio relógio</t>
  </si>
  <si>
    <t>Secador de roupas</t>
  </si>
  <si>
    <t>Ferro de passar roupa</t>
  </si>
  <si>
    <t>Lava roupa</t>
  </si>
  <si>
    <t>Coeficiente de desempenho - projeto</t>
  </si>
  <si>
    <t>Coeficiente de desempenho - sazonal</t>
  </si>
  <si>
    <t>Cafeteira elétrica</t>
  </si>
  <si>
    <t>Clima frio</t>
  </si>
  <si>
    <t>Estrutura de suporte do coletor</t>
  </si>
  <si>
    <t>Eficiência combinada</t>
  </si>
  <si>
    <t>Ar de combustão</t>
  </si>
  <si>
    <t>Comentários</t>
  </si>
  <si>
    <t>Comercial</t>
  </si>
  <si>
    <t>Compacto</t>
  </si>
  <si>
    <t>Lâmpada Fluorescente Compacta</t>
  </si>
  <si>
    <t>Completar a planilha de Modelo Energético</t>
  </si>
  <si>
    <t>Completar planilha de Modelo</t>
  </si>
  <si>
    <t>Computador</t>
  </si>
  <si>
    <t>Monitor do computador</t>
  </si>
  <si>
    <t>Barragem de concreto</t>
  </si>
  <si>
    <t>Constante</t>
  </si>
  <si>
    <t>Método de Controle</t>
  </si>
  <si>
    <t>Convencional</t>
  </si>
  <si>
    <t>Temperatura da bateria</t>
  </si>
  <si>
    <t>Refrigeração
graus-dias</t>
  </si>
  <si>
    <t>Copiar da referencia para proposta</t>
  </si>
  <si>
    <t>Clicar nos hiperlinks azuis para acessar formulários</t>
  </si>
  <si>
    <t>Armazenagem de milho</t>
  </si>
  <si>
    <t xml:space="preserve">Custo </t>
  </si>
  <si>
    <t>Alocação de custo</t>
  </si>
  <si>
    <t>Uso de cobertura</t>
  </si>
  <si>
    <t>Vaca - alimento digerido</t>
  </si>
  <si>
    <t>Secagem da colheita</t>
  </si>
  <si>
    <t>Fluxo transversal</t>
  </si>
  <si>
    <t>Tubo de raios catódicos</t>
  </si>
  <si>
    <t>Diário</t>
  </si>
  <si>
    <t>Uso diário de água quente</t>
  </si>
  <si>
    <t>Uso diário de água quente - estimado</t>
  </si>
  <si>
    <t>Taxa de vazão de ar projetada</t>
  </si>
  <si>
    <t>Coeficiente de Projeto</t>
  </si>
  <si>
    <t>Critério de projeto</t>
  </si>
  <si>
    <t>Fluxo de projeto</t>
  </si>
  <si>
    <t>Objetivo do projeto</t>
  </si>
  <si>
    <t>Computador de mesa</t>
  </si>
  <si>
    <t>Extratificação da energia economizada</t>
  </si>
  <si>
    <t>Desumidificação</t>
  </si>
  <si>
    <t>Diâmetro</t>
  </si>
  <si>
    <t>Dificuldade do terreno</t>
  </si>
  <si>
    <t>Parabólica</t>
  </si>
  <si>
    <t>Cabeça de descarga</t>
  </si>
  <si>
    <t>Lava pratos</t>
  </si>
  <si>
    <t>Terminar</t>
  </si>
  <si>
    <t>Garantido</t>
  </si>
  <si>
    <t>Fluxo garantido</t>
  </si>
  <si>
    <t>Escada de peixes</t>
  </si>
  <si>
    <t>Válvulas &amp; acessórios</t>
  </si>
  <si>
    <t>Fixo</t>
  </si>
  <si>
    <t>Radiação solar diária - inclinada</t>
  </si>
  <si>
    <t>Uso diário de água</t>
  </si>
  <si>
    <t>Uso diário de água - por unidade</t>
  </si>
  <si>
    <t>Gado leiteiro</t>
  </si>
  <si>
    <t>Número de dias de autonomia</t>
  </si>
  <si>
    <t>Dias de uso por semana</t>
  </si>
  <si>
    <t>CC</t>
  </si>
  <si>
    <t>Poço profundo</t>
  </si>
  <si>
    <t>Por defeito </t>
  </si>
  <si>
    <t xml:space="preserve">Desumidificador  </t>
  </si>
  <si>
    <t>Excluir</t>
  </si>
  <si>
    <t>Lodo dissolvido pela flutuação do ar</t>
  </si>
  <si>
    <t>Distancia entre furos</t>
  </si>
  <si>
    <t>Resíduo de destilaria</t>
  </si>
  <si>
    <t>Doméstico</t>
  </si>
  <si>
    <t>Água quente doméstica</t>
  </si>
  <si>
    <t>Duplo</t>
  </si>
  <si>
    <t>Área de drenagem</t>
  </si>
  <si>
    <t>Rebatimento</t>
  </si>
  <si>
    <t>Furação &amp; nivelamento</t>
  </si>
  <si>
    <t>Matéria seca</t>
  </si>
  <si>
    <t>Matéria seca - sólidos voláteis</t>
  </si>
  <si>
    <t>Duração</t>
  </si>
  <si>
    <t>Leitor de DVD</t>
  </si>
  <si>
    <t>Escavação da terra</t>
  </si>
  <si>
    <t>Barragem de terra batida</t>
  </si>
  <si>
    <t>Leste</t>
  </si>
  <si>
    <t>Edição</t>
  </si>
  <si>
    <t>Ajuste da eficiência</t>
  </si>
  <si>
    <t>Cobertor elétrico</t>
  </si>
  <si>
    <t>Carga elétrica</t>
  </si>
  <si>
    <t>Cargas elétricas</t>
  </si>
  <si>
    <t>Demanda de eletricidade - anual</t>
  </si>
  <si>
    <t>Demanda de eletricidade - anual - CA</t>
  </si>
  <si>
    <t>Demanda de eletricidade - anual - CC</t>
  </si>
  <si>
    <t>Demanda de eletricidade - diária</t>
  </si>
  <si>
    <t>Demanda de eletricidade - diária - CA</t>
  </si>
  <si>
    <t>Demanda de eletricidade - diária - CC</t>
  </si>
  <si>
    <t>Demanda de eletricidade - bomba</t>
  </si>
  <si>
    <t>Unidade de energia</t>
  </si>
  <si>
    <t>Invólucro</t>
  </si>
  <si>
    <t>Dado da curva de energia</t>
  </si>
  <si>
    <t>Eficiência energética</t>
  </si>
  <si>
    <t>Projeto de ações de eficiência energética</t>
  </si>
  <si>
    <t>Economia de energia</t>
  </si>
  <si>
    <t>Aquecedor do bloco do motor</t>
  </si>
  <si>
    <t>Entre o nome</t>
  </si>
  <si>
    <t>Clique aqui para acessar o formulário</t>
  </si>
  <si>
    <t>Coeficiente de custo de fabricação dos equipamentos</t>
  </si>
  <si>
    <t>Evacuado</t>
  </si>
  <si>
    <t>Taxa de crescimento</t>
  </si>
  <si>
    <t>Método de excavação</t>
  </si>
  <si>
    <t>Barragem existente</t>
  </si>
  <si>
    <t>Caracarterísticas da instalação</t>
  </si>
  <si>
    <t>Tipo de instalação</t>
  </si>
  <si>
    <t>Instalação do duto &amp; ventilador</t>
  </si>
  <si>
    <t>Crédito pela instalação do duto &amp; ventilador</t>
  </si>
  <si>
    <t>Material do duto &amp; ventilador</t>
  </si>
  <si>
    <t>Crédito pelo material do duto &amp; ventilador</t>
  </si>
  <si>
    <t>Ventiladores</t>
  </si>
  <si>
    <t>Restaurante - Fast food</t>
  </si>
  <si>
    <t xml:space="preserve">Tipo CDC / # bitola </t>
  </si>
  <si>
    <t>Fibra de vidro</t>
  </si>
  <si>
    <t>Nome do arquivo</t>
  </si>
  <si>
    <t>Arquivos do tipo:</t>
  </si>
  <si>
    <t>Área do piso</t>
  </si>
  <si>
    <t>Fluxo</t>
  </si>
  <si>
    <t>Fluxo no pico de eficiência</t>
  </si>
  <si>
    <t>Fluxo por turbina</t>
  </si>
  <si>
    <t>Fluxo utilizado</t>
  </si>
  <si>
    <t>Curvas de duração do fluxo e de potência</t>
  </si>
  <si>
    <t>Dados da curva de eficiência da turbina e duração do fluxo</t>
  </si>
  <si>
    <t>Curva de duração do fluxo</t>
  </si>
  <si>
    <t>Forragem de beterraba</t>
  </si>
  <si>
    <t>Regra semi-anual - ano 1</t>
  </si>
  <si>
    <t>Manual</t>
  </si>
  <si>
    <t>Cabeça</t>
  </si>
  <si>
    <t>Eficiência do trocador de calor</t>
  </si>
  <si>
    <t>Trocador de calor</t>
  </si>
  <si>
    <t>Demanda de calor</t>
  </si>
  <si>
    <t>Energia de aquecimento economizada</t>
  </si>
  <si>
    <t>Descrição do sistema de aquecimento</t>
  </si>
  <si>
    <t>Temperatura de comutação aquec./ refrigeração</t>
  </si>
  <si>
    <t>Poder calorífico de referência</t>
  </si>
  <si>
    <t>Rocha dura</t>
  </si>
  <si>
    <t>Forragem de folhas</t>
  </si>
  <si>
    <t>Coeficiente Fr (tau alpha)</t>
  </si>
  <si>
    <t>Coeficiente Fr UL</t>
  </si>
  <si>
    <t>Perímetro</t>
  </si>
  <si>
    <t>Tipo de perímetro</t>
  </si>
  <si>
    <t>Congelador</t>
  </si>
  <si>
    <t>Perdas por atrito</t>
  </si>
  <si>
    <t>Carregamento frontal</t>
  </si>
  <si>
    <t>Dias congelados na planta</t>
  </si>
  <si>
    <t>Sem gelo</t>
  </si>
  <si>
    <t>Resíduo de frutas</t>
  </si>
  <si>
    <t>Resíduo de frutas - produção de vinho</t>
  </si>
  <si>
    <t>Água de lavagem de frutas</t>
  </si>
  <si>
    <t>Resíduo de frutas e vegetais</t>
  </si>
  <si>
    <t>Consumo de combustível - caso de referência</t>
  </si>
  <si>
    <t>Consumo de combustível - histórico</t>
  </si>
  <si>
    <t>Consumo de combustível - caso proposto</t>
  </si>
  <si>
    <t>Consumo de combustível - sumário</t>
  </si>
  <si>
    <t>Consumo de combustível - variância</t>
  </si>
  <si>
    <t>Economia de combustível</t>
  </si>
  <si>
    <t>Economia de combustível - percentual</t>
  </si>
  <si>
    <t>Combustíveis &amp; horários</t>
  </si>
  <si>
    <t>Ventilador do forno</t>
  </si>
  <si>
    <t>Vitrificado</t>
  </si>
  <si>
    <t>Tipo de revestimento</t>
  </si>
  <si>
    <t>Potencial de aquecimento global</t>
  </si>
  <si>
    <t>Cabra</t>
  </si>
  <si>
    <t>Resíduo de uvas</t>
  </si>
  <si>
    <t>Armazenagem de grama</t>
  </si>
  <si>
    <t>Energia Verde</t>
  </si>
  <si>
    <t>Extensão da rede</t>
  </si>
  <si>
    <t>Solo</t>
  </si>
  <si>
    <t>Trocador de calor com o solo</t>
  </si>
  <si>
    <t>Configuração do trocador de calor com o solo</t>
  </si>
  <si>
    <t>Águas subterrâneas</t>
  </si>
  <si>
    <t>Vazão requerida de águas subterrâneas</t>
  </si>
  <si>
    <t>Área bruta por coletor solar</t>
  </si>
  <si>
    <t>Produção de energia bruta</t>
  </si>
  <si>
    <t>Altura bruta</t>
  </si>
  <si>
    <t>Secador de cabelo</t>
  </si>
  <si>
    <t>Solo denso - úmido</t>
  </si>
  <si>
    <t>Solo denso - seco</t>
  </si>
  <si>
    <t xml:space="preserve">Altura </t>
  </si>
  <si>
    <t>Hibernante</t>
  </si>
  <si>
    <t>Alto</t>
  </si>
  <si>
    <t>Volume de ar alto</t>
  </si>
  <si>
    <t>Incremento da alta temperatura</t>
  </si>
  <si>
    <t>Circuito fechado horizontal</t>
  </si>
  <si>
    <t>Cavalo</t>
  </si>
  <si>
    <t>Horas de uso por dia</t>
  </si>
  <si>
    <t>Casa</t>
  </si>
  <si>
    <t>Altura do centro</t>
  </si>
  <si>
    <t>Umidificador</t>
  </si>
  <si>
    <t>Trabalho civil de uma hidro</t>
  </si>
  <si>
    <t>Método de custeio de hidro por fórmula</t>
  </si>
  <si>
    <t>Base de dados hidrológicos</t>
  </si>
  <si>
    <t>Método de análise hidrológico</t>
  </si>
  <si>
    <t>Lãmpada incandescente</t>
  </si>
  <si>
    <t>Inclui a medida ?</t>
  </si>
  <si>
    <t>Custo inicial incremental</t>
  </si>
  <si>
    <t>Demanda incremental de eletricidade - ventilador</t>
  </si>
  <si>
    <t>Rocha leve</t>
  </si>
  <si>
    <t>Iluminação</t>
  </si>
  <si>
    <t>Animais domésticos</t>
  </si>
  <si>
    <t>Características da carga</t>
  </si>
  <si>
    <t>Tipo de carga</t>
  </si>
  <si>
    <t>Razão custo dos equipamentos local vs canadense</t>
  </si>
  <si>
    <t>Razão custo do combustível local vs canadense</t>
  </si>
  <si>
    <t>Projeção</t>
  </si>
  <si>
    <t>Hélice</t>
  </si>
  <si>
    <t>Caso proposto</t>
  </si>
  <si>
    <t>Circuito fechado vertical</t>
  </si>
  <si>
    <t>Muito compacto</t>
  </si>
  <si>
    <t>Vinil</t>
  </si>
  <si>
    <t>Lavador</t>
  </si>
  <si>
    <t>Cama de água</t>
  </si>
  <si>
    <t>Aquecedor de água</t>
  </si>
  <si>
    <t>Bomba de água</t>
  </si>
  <si>
    <t>Tipo de motor da bomba de água</t>
  </si>
  <si>
    <t>Bombeamento de água</t>
  </si>
  <si>
    <t>Temperatura da água - máxima</t>
  </si>
  <si>
    <t>Temperatura da água - mínima</t>
  </si>
  <si>
    <t>Potência incremental do ventilador</t>
  </si>
  <si>
    <t>Interior</t>
  </si>
  <si>
    <t>Temperatura Interior</t>
  </si>
  <si>
    <t>Temperatura Interior - estratificação do prédio</t>
  </si>
  <si>
    <t>Impressora à jato de tinta</t>
  </si>
  <si>
    <t>Instalação</t>
  </si>
  <si>
    <t>Institucional</t>
  </si>
  <si>
    <t>Dimensão insuficiente - trocador de calor de solo</t>
  </si>
  <si>
    <t>Área de terra insuficiente</t>
  </si>
  <si>
    <t>Isolado</t>
  </si>
  <si>
    <t>Captação</t>
  </si>
  <si>
    <t>Recurso intermitente - correlação de carga</t>
  </si>
  <si>
    <t>Inversor</t>
  </si>
  <si>
    <t>Irrigação</t>
  </si>
  <si>
    <t>Consumo de combustível existente conhecido ?</t>
  </si>
  <si>
    <t>Rede isolada&amp;carga interna</t>
  </si>
  <si>
    <t>jato</t>
  </si>
  <si>
    <t>Chaleira</t>
  </si>
  <si>
    <t>Área do terreno</t>
  </si>
  <si>
    <t>Locação de recurso &amp; arrendamento do terreno</t>
  </si>
  <si>
    <t>Lanterna</t>
  </si>
  <si>
    <t>Impressora laser</t>
  </si>
  <si>
    <t>Lavanderia</t>
  </si>
  <si>
    <t>Configuração</t>
  </si>
  <si>
    <t>Resíduo de tosquia</t>
  </si>
  <si>
    <t>Display cristal líquido</t>
  </si>
  <si>
    <t>Comprimento em solo impermeável</t>
  </si>
  <si>
    <t>Comprimento na rocha</t>
  </si>
  <si>
    <t>Duração da estação de frio</t>
  </si>
  <si>
    <t>Duração da estação de calor</t>
  </si>
  <si>
    <t>Solo leve - úmido</t>
  </si>
  <si>
    <t>Solo leve - seco</t>
  </si>
  <si>
    <t>Razão custo de mão de obra local vs canadense</t>
  </si>
  <si>
    <t>Procurar em:</t>
  </si>
  <si>
    <t>Comprimento do circuito</t>
  </si>
  <si>
    <t>Tubo do circuito</t>
  </si>
  <si>
    <t>Coeficiente de perdas</t>
  </si>
  <si>
    <t>Baixo</t>
  </si>
  <si>
    <t>Baixo-e</t>
  </si>
  <si>
    <t>Água de reposição</t>
  </si>
  <si>
    <t>Descongelamento manual</t>
  </si>
  <si>
    <t>Profundidade máxima de descarga</t>
  </si>
  <si>
    <t>Perdas hidráulicas máximas</t>
  </si>
  <si>
    <t>Efeito máximo de extravazamento</t>
  </si>
  <si>
    <t>Vazão máxima do poço</t>
  </si>
  <si>
    <t>Fluxo eficaz</t>
  </si>
  <si>
    <t>Método de fluxo eficaz</t>
  </si>
  <si>
    <t>Medido a</t>
  </si>
  <si>
    <t>Recorte de carne</t>
  </si>
  <si>
    <t>Demanda de energia mecânica - diária</t>
  </si>
  <si>
    <t>Demanda de energia mecânica - anual</t>
  </si>
  <si>
    <t>Mecanizado</t>
  </si>
  <si>
    <t>Médio</t>
  </si>
  <si>
    <t>Conteúdo de Metano</t>
  </si>
  <si>
    <t xml:space="preserve">Método 1 </t>
  </si>
  <si>
    <t xml:space="preserve">Método 2 </t>
  </si>
  <si>
    <t>Método 3</t>
  </si>
  <si>
    <t>Método 4</t>
  </si>
  <si>
    <t xml:space="preserve">Método 5 </t>
  </si>
  <si>
    <t>Forno microondas</t>
  </si>
  <si>
    <t>Perdas diversas</t>
  </si>
  <si>
    <t>Faltante</t>
  </si>
  <si>
    <t>Melaço</t>
  </si>
  <si>
    <t>Motores</t>
  </si>
  <si>
    <t>Otimização do ponto de potência máxima</t>
  </si>
  <si>
    <t>Resíduo biologico Municipal</t>
  </si>
  <si>
    <t>Nome</t>
  </si>
  <si>
    <t>Negativo</t>
  </si>
  <si>
    <t>Voltagem</t>
  </si>
  <si>
    <t>Comprimento do crista da nova barragem</t>
  </si>
  <si>
    <t>Sem cobertura de neve</t>
  </si>
  <si>
    <t>Sem interrupção térmica</t>
  </si>
  <si>
    <t>Sem baterias recarregáveis</t>
  </si>
  <si>
    <t>Fluxo 
regularizado</t>
  </si>
  <si>
    <t>Fluxo regularizado</t>
  </si>
  <si>
    <t>Norte</t>
  </si>
  <si>
    <t>Sem incluir lâmpadas</t>
  </si>
  <si>
    <t>Computador portátil</t>
  </si>
  <si>
    <t>Número</t>
  </si>
  <si>
    <t>Número de coletores</t>
  </si>
  <si>
    <t>Número de jatos para turbina de impulso</t>
  </si>
  <si>
    <t>Número de poços de alimentação requeridos</t>
  </si>
  <si>
    <t>Número de turbinas</t>
  </si>
  <si>
    <t>Número de unidades</t>
  </si>
  <si>
    <t>Taxa de ocupação</t>
  </si>
  <si>
    <t>Ocupante</t>
  </si>
  <si>
    <t>Oceano</t>
  </si>
  <si>
    <t>Energia das correntes oceânicas</t>
  </si>
  <si>
    <t>Desligado</t>
  </si>
  <si>
    <t>Escritório</t>
  </si>
  <si>
    <t>Ligado</t>
  </si>
  <si>
    <t>Um eixo</t>
  </si>
  <si>
    <t>Abrir</t>
  </si>
  <si>
    <t>Abrir…</t>
  </si>
  <si>
    <t>Dias de operação por semana</t>
  </si>
  <si>
    <t>Dias de operação por semana - dias úteis</t>
  </si>
  <si>
    <t>Dias de operação por semana - fins de semana</t>
  </si>
  <si>
    <t>Horas de operação</t>
  </si>
  <si>
    <t>Horas de operação por dia - dias úteis</t>
  </si>
  <si>
    <t>Horas de operação por dia - fins de semana</t>
  </si>
  <si>
    <t>Orientação</t>
  </si>
  <si>
    <t>Outras receitas ( custo)</t>
  </si>
  <si>
    <t>Exterior</t>
  </si>
  <si>
    <t>Superdimensionado</t>
  </si>
  <si>
    <t>Fabricante da tinta</t>
  </si>
  <si>
    <t>Cilindro - parabólico</t>
  </si>
  <si>
    <t>Porta do pátio</t>
  </si>
  <si>
    <t>Resíduo de batatas - produção de álcool</t>
  </si>
  <si>
    <t>Carga de ponta - anual - CA</t>
  </si>
  <si>
    <t>Carga de ponta
do sistema</t>
  </si>
  <si>
    <t>adutora</t>
  </si>
  <si>
    <t>Adutora</t>
  </si>
  <si>
    <t>Por turbina</t>
  </si>
  <si>
    <t>Percentual do comprimento do tunel com revestimento</t>
  </si>
  <si>
    <t>Percentual de utilização do mês</t>
  </si>
  <si>
    <t>Percentual de vazão</t>
  </si>
  <si>
    <t>Percentual de tempo de fluxo firme disponível</t>
  </si>
  <si>
    <t>Percentual de tempo de fluxo equalizado ou excedido</t>
  </si>
  <si>
    <t>Camada de gelo - densa</t>
  </si>
  <si>
    <t>Camada de gelo - leve</t>
  </si>
  <si>
    <t>Pessoa</t>
  </si>
  <si>
    <t>Fotocopiador</t>
  </si>
  <si>
    <t>Porco - alimento digerido</t>
  </si>
  <si>
    <t>Tubo</t>
  </si>
  <si>
    <t>Tubos &amp; reservatório</t>
  </si>
  <si>
    <t>Tela de plasma</t>
  </si>
  <si>
    <t>Tocar</t>
  </si>
  <si>
    <t>Encanamento</t>
  </si>
  <si>
    <t>Piscina</t>
  </si>
  <si>
    <t>Bomba de piscina</t>
  </si>
  <si>
    <t>Portátil</t>
  </si>
  <si>
    <t>Aves</t>
  </si>
  <si>
    <t>Positivo</t>
  </si>
  <si>
    <t>Potência</t>
  </si>
  <si>
    <t>Curvas de potência e de energia</t>
  </si>
  <si>
    <t>Capacidade de potência por turbina</t>
  </si>
  <si>
    <t>Produção de eletricidade - tecnologias múltiplas</t>
  </si>
  <si>
    <t>Curva de potência</t>
  </si>
  <si>
    <t>Casa de Força</t>
  </si>
  <si>
    <t>Preparado por</t>
  </si>
  <si>
    <t>Preparado para</t>
  </si>
  <si>
    <t>Coeficiente de pressão</t>
  </si>
  <si>
    <t>Pressão manométrica</t>
  </si>
  <si>
    <t>Impressora</t>
  </si>
  <si>
    <t>Processo</t>
  </si>
  <si>
    <t>Progresso</t>
  </si>
  <si>
    <t>Informação sobre o projeto</t>
  </si>
  <si>
    <t>Tipo de projeto</t>
  </si>
  <si>
    <t>Base de dados do projeto</t>
  </si>
  <si>
    <t>Verificação do projeto</t>
  </si>
  <si>
    <t>Redução de carga do caso proposto</t>
  </si>
  <si>
    <t>Redução do tempo de utilização do caso proposto</t>
  </si>
  <si>
    <t>Celulose</t>
  </si>
  <si>
    <t>Eficiência do sistema de bombeamento</t>
  </si>
  <si>
    <t>Altura de bombeamento</t>
  </si>
  <si>
    <t>Potência da bomba / área do coletor solar</t>
  </si>
  <si>
    <t>Bomba &amp; motor</t>
  </si>
  <si>
    <t>Bombas</t>
  </si>
  <si>
    <t>Quádrupla</t>
  </si>
  <si>
    <t>Valor - R</t>
  </si>
  <si>
    <t>Rádio</t>
  </si>
  <si>
    <t>Fogão</t>
  </si>
  <si>
    <t>Janela nominal</t>
  </si>
  <si>
    <t>Pronto</t>
  </si>
  <si>
    <t>Unidade de referência</t>
  </si>
  <si>
    <t>Refrigerante</t>
  </si>
  <si>
    <t xml:space="preserve">Refrigeração </t>
  </si>
  <si>
    <t>Refrigeração - baixa temperatura</t>
  </si>
  <si>
    <t>Refrigerador</t>
  </si>
  <si>
    <t>Reservatório</t>
  </si>
  <si>
    <t>Residencial</t>
  </si>
  <si>
    <t>Fluxo residual</t>
  </si>
  <si>
    <t>Método de avaliação dos recursos</t>
  </si>
  <si>
    <t>Restaurante</t>
  </si>
  <si>
    <t>Resíduos do restaurante</t>
  </si>
  <si>
    <t>Arquivo de dados RETScreen (*.ret)</t>
  </si>
  <si>
    <t>Rochas na área da barragem</t>
  </si>
  <si>
    <t>Escavação de rochas</t>
  </si>
  <si>
    <t>Diâmetro do rotor</t>
  </si>
  <si>
    <t>Diâmetro do rotor por turbina</t>
  </si>
  <si>
    <t>Valor-R - telhado ou muro</t>
  </si>
  <si>
    <t xml:space="preserve">Valor-R - telhado </t>
  </si>
  <si>
    <t>Valor-R - muro</t>
  </si>
  <si>
    <t>Fio d' água</t>
  </si>
  <si>
    <t>Centeio</t>
  </si>
  <si>
    <t>Salvar</t>
  </si>
  <si>
    <t>Salvar como</t>
  </si>
  <si>
    <t>Salvar como tipo:</t>
  </si>
  <si>
    <t>Salvar como ...</t>
  </si>
  <si>
    <t>Salvar em:</t>
  </si>
  <si>
    <t>Escola</t>
  </si>
  <si>
    <t>Escola - com chuveiros</t>
  </si>
  <si>
    <t>Veja banco de dados hidrológicos</t>
  </si>
  <si>
    <t>Veja mapas</t>
  </si>
  <si>
    <t>Veja banco de Dados do projeto</t>
  </si>
  <si>
    <t>Veja nota técnica</t>
  </si>
  <si>
    <t>Selecionar local de dados climáticos</t>
  </si>
  <si>
    <t>Fator de forma</t>
  </si>
  <si>
    <t>Ovelha</t>
  </si>
  <si>
    <t>CARS</t>
  </si>
  <si>
    <t>CARScv</t>
  </si>
  <si>
    <t>Mostrar:</t>
  </si>
  <si>
    <t>Mostrar dado</t>
  </si>
  <si>
    <t>Mostrar figura</t>
  </si>
  <si>
    <t>Ver parâmetros</t>
  </si>
  <si>
    <t>Simples</t>
  </si>
  <si>
    <t>Condições do site</t>
  </si>
  <si>
    <t>Trilho</t>
  </si>
  <si>
    <t>Inclinação</t>
  </si>
  <si>
    <t>Pequeno</t>
  </si>
  <si>
    <t>Tipo de Solo</t>
  </si>
  <si>
    <t>Aquecedor de ar solar</t>
  </si>
  <si>
    <t>Absorção do coletor solar</t>
  </si>
  <si>
    <t>Àrea do coletor solar</t>
  </si>
  <si>
    <t>Cor do coletor solar</t>
  </si>
  <si>
    <t>Eficiência do coletor solar</t>
  </si>
  <si>
    <t>Vazão do ventilador do coletor solar</t>
  </si>
  <si>
    <t xml:space="preserve">Vazão do coletor solar </t>
  </si>
  <si>
    <t>Instalação do coletor solar</t>
  </si>
  <si>
    <t>Material do coletor solar</t>
  </si>
  <si>
    <t>Sombreamento do coletor solar - estações de uso</t>
  </si>
  <si>
    <t>Fração solar</t>
  </si>
  <si>
    <t>Sombreamento solar - estações de uso</t>
  </si>
  <si>
    <t>Energia solar térmica</t>
  </si>
  <si>
    <t>Aquecedor solar de água</t>
  </si>
  <si>
    <t>Sul</t>
  </si>
  <si>
    <t>Escoamento específico</t>
  </si>
  <si>
    <t>Rendimento específico</t>
  </si>
  <si>
    <t>esfera-Si</t>
  </si>
  <si>
    <t>Extravazador</t>
  </si>
  <si>
    <t>Operação padrão</t>
  </si>
  <si>
    <t>Reserva</t>
  </si>
  <si>
    <t>Armazenamento</t>
  </si>
  <si>
    <t>Capacidade de armazenamento</t>
  </si>
  <si>
    <t>Capacidade de armazenamento / area do coletor solar</t>
  </si>
  <si>
    <t>Tanque de Armazenamento</t>
  </si>
  <si>
    <t>Queimadores do fogão</t>
  </si>
  <si>
    <t>Estudante</t>
  </si>
  <si>
    <t>Atura de aspiração</t>
  </si>
  <si>
    <t>Beterraba doce</t>
  </si>
  <si>
    <t>Folhas da beterraba doce</t>
  </si>
  <si>
    <t>Polpa da beterraba doce</t>
  </si>
  <si>
    <t>Método de avaliação da temperatura de alimentação</t>
  </si>
  <si>
    <t>Área de varredura</t>
  </si>
  <si>
    <t>Área de varredura por turbina</t>
  </si>
  <si>
    <t>Porco</t>
  </si>
  <si>
    <t>Sumário do sistema</t>
  </si>
  <si>
    <t>Tecnologia</t>
  </si>
  <si>
    <t>Coeficiente de Temperatura</t>
  </si>
  <si>
    <t>Coeficiente de Temperatura de Fr UL</t>
  </si>
  <si>
    <t>Temperatura - refrigeração ambiental</t>
  </si>
  <si>
    <t>Temperatura - aquecimento ambiental</t>
  </si>
  <si>
    <t>Temperatura - desocupado</t>
  </si>
  <si>
    <t>Inclinação lateral do terreno na rocha (médio)</t>
  </si>
  <si>
    <t>Inclinação lateral do terreno no solo (médio)</t>
  </si>
  <si>
    <t>Gerador Termoelétrico</t>
  </si>
  <si>
    <t>Energia das marés</t>
  </si>
  <si>
    <t>Barragem com vigas de madeira</t>
  </si>
  <si>
    <t>Tempo</t>
  </si>
  <si>
    <t>Relógio</t>
  </si>
  <si>
    <t>Torradeira</t>
  </si>
  <si>
    <t>Forno da torradeira</t>
  </si>
  <si>
    <t>Carregamento por cima</t>
  </si>
  <si>
    <t>Comprimento total do poço</t>
  </si>
  <si>
    <t>Perda total por altura do canal</t>
  </si>
  <si>
    <t>Altura total</t>
  </si>
  <si>
    <t>Comprimento total do circuito</t>
  </si>
  <si>
    <t>Comprimento toal da trincheira</t>
  </si>
  <si>
    <t>Caminho somente para obras</t>
  </si>
  <si>
    <t>Sistema de posicionamento solar</t>
  </si>
  <si>
    <t>Placa porosa</t>
  </si>
  <si>
    <t>Comprimento da trincheira</t>
  </si>
  <si>
    <t>Escavação &amp; aterramento</t>
  </si>
  <si>
    <t>Triplo</t>
  </si>
  <si>
    <t>Tunel</t>
  </si>
  <si>
    <t>turbina</t>
  </si>
  <si>
    <t>Eficiência
turbina</t>
  </si>
  <si>
    <t>Eficiência da turbina</t>
  </si>
  <si>
    <t>Eficiência da turbina à vazão nominal</t>
  </si>
  <si>
    <t>Eficiência da turbina - x turbina(s)</t>
  </si>
  <si>
    <t>Eficiência de ponta da turbina</t>
  </si>
  <si>
    <t>Diâmetro do rotor da turbina por unidade</t>
  </si>
  <si>
    <t>Folhas de nabo</t>
  </si>
  <si>
    <t>Bi axial</t>
  </si>
  <si>
    <t>Típico</t>
  </si>
  <si>
    <t>Valor - U</t>
  </si>
  <si>
    <t>Ucv</t>
  </si>
  <si>
    <t>Produção de energia não ajustada</t>
  </si>
  <si>
    <t>Sem revestimento</t>
  </si>
  <si>
    <t>Aspirador</t>
  </si>
  <si>
    <t>Variância - caso proposto</t>
  </si>
  <si>
    <t>Gravador vídeo cassete</t>
  </si>
  <si>
    <t>Ventilação</t>
  </si>
  <si>
    <t>Uso de água
por unidade</t>
  </si>
  <si>
    <t>Redução do uso de água</t>
  </si>
  <si>
    <t>Energia da onda</t>
  </si>
  <si>
    <t>Bomba do poço</t>
  </si>
  <si>
    <t>Profundidade do poço</t>
  </si>
  <si>
    <t>Oeste</t>
  </si>
  <si>
    <t>Largura</t>
  </si>
  <si>
    <t>Correção do vento para Fr (tau alpha)</t>
  </si>
  <si>
    <t>Correção do vento para Fr UL</t>
  </si>
  <si>
    <t>Densidade de potência do vento</t>
  </si>
  <si>
    <t>Densidade de potência do vento - anual</t>
  </si>
  <si>
    <t>Coeficiente de cisalhamento do vento</t>
  </si>
  <si>
    <t>Atenuação do vento - meses considerados</t>
  </si>
  <si>
    <t>Velocidade do vento - anual</t>
  </si>
  <si>
    <t>Construção da turbina eólica</t>
  </si>
  <si>
    <t>Fundação da turbina eólica</t>
  </si>
  <si>
    <t>Instalação de turbina eólica</t>
  </si>
  <si>
    <t>Janela</t>
  </si>
  <si>
    <t>Ventilador de janela</t>
  </si>
  <si>
    <t>Características da janela</t>
  </si>
  <si>
    <t>Unidade de janela</t>
  </si>
  <si>
    <t>Cobertura do solo no inverno</t>
  </si>
  <si>
    <t>Com barreira térmica</t>
  </si>
  <si>
    <t>Madeira</t>
  </si>
  <si>
    <t>Concreto</t>
  </si>
  <si>
    <t>Varandas de concreto - sem barreira térmica</t>
  </si>
  <si>
    <t>Forma do piso de concreto - exposta</t>
  </si>
  <si>
    <t>Parede de concreto - exposta</t>
  </si>
  <si>
    <t>Condutância</t>
  </si>
  <si>
    <t>Condutividade</t>
  </si>
  <si>
    <t>Coeficiente de transmissão externa</t>
  </si>
  <si>
    <t>gal US/d/cabeça</t>
  </si>
  <si>
    <t>gal US/d-pessoa</t>
  </si>
  <si>
    <t>gal US/ft²</t>
  </si>
  <si>
    <t>W/pé²</t>
  </si>
  <si>
    <t>Piso</t>
  </si>
  <si>
    <t>Moldura</t>
  </si>
  <si>
    <t>Coeficiente de transmissão interna</t>
  </si>
  <si>
    <t>Camada</t>
  </si>
  <si>
    <t>Maçonaria</t>
  </si>
  <si>
    <t>Outras penetrações do envelope</t>
  </si>
  <si>
    <t>Resistência</t>
  </si>
  <si>
    <t>Telhado</t>
  </si>
  <si>
    <t>Valor de R - efetivo</t>
  </si>
  <si>
    <t>Valor de R - redução</t>
  </si>
  <si>
    <t>Valor de R - nominal</t>
  </si>
  <si>
    <t>Aço</t>
  </si>
  <si>
    <t>Aço - sólido</t>
  </si>
  <si>
    <t>Prego de aço</t>
  </si>
  <si>
    <t>Valor U - efetivo</t>
  </si>
  <si>
    <t>Valor U - aumento</t>
  </si>
  <si>
    <t>Valor U - nominal</t>
  </si>
  <si>
    <t>Muro acima do solo</t>
  </si>
  <si>
    <t>Muro abaixo do solo</t>
  </si>
  <si>
    <t>Cavidade de ar</t>
  </si>
  <si>
    <t>Cavidade de ar - superficie refletora</t>
  </si>
  <si>
    <t>Telhado com asfalto</t>
  </si>
  <si>
    <t>Tijolo- argila</t>
  </si>
  <si>
    <t>Tijolo -cores múltiplas</t>
  </si>
  <si>
    <t>Tapete com forro</t>
  </si>
  <si>
    <t>Fibra de celulose - fio solto</t>
  </si>
  <si>
    <t>Placa de cimento</t>
  </si>
  <si>
    <t>Reboco de cimento</t>
  </si>
  <si>
    <t>Azulejo cerâmico</t>
  </si>
  <si>
    <t>Concreto - aerado</t>
  </si>
  <si>
    <t>Concreto (1600 kg/m³)</t>
  </si>
  <si>
    <t>Concreto (2400 kg/m³)</t>
  </si>
  <si>
    <t>Bloco de concreto</t>
  </si>
  <si>
    <t>Bloco de concreto - leve e com núcleo isolado</t>
  </si>
  <si>
    <t>Placa de terra</t>
  </si>
  <si>
    <t>Terra - telhado verde</t>
  </si>
  <si>
    <t>Pastilhas de argila - extrudadas</t>
  </si>
  <si>
    <t>Revestimento do solo - folha de madeira</t>
  </si>
  <si>
    <t>Revestimento do solo - linóleo</t>
  </si>
  <si>
    <t>Revestimento do solo - borracha</t>
  </si>
  <si>
    <t>Revestimento do solo - vinil</t>
  </si>
  <si>
    <t>Placa de vidro - celular</t>
  </si>
  <si>
    <t>Placa de gesso</t>
  </si>
  <si>
    <t>Reboco de cal</t>
  </si>
  <si>
    <t>Fita metálica - 10 mm</t>
  </si>
  <si>
    <t>Fibra mineral - alta densidade</t>
  </si>
  <si>
    <t>Baixa densidade</t>
  </si>
  <si>
    <t>Fibra mineral - densidade média</t>
  </si>
  <si>
    <t>Perlite - enchimento solto</t>
  </si>
  <si>
    <t>Contraplaca</t>
  </si>
  <si>
    <t>Polisocianureto - superficie aluminisada</t>
  </si>
  <si>
    <t>Poliestireno - tipo 1</t>
  </si>
  <si>
    <t>Poliestireno - tipos 2,3,4</t>
  </si>
  <si>
    <t>Poliuretano - pulverizado</t>
  </si>
  <si>
    <t>Telhado com feltro - camada de asfalto</t>
  </si>
  <si>
    <t>Aço - galvanizado</t>
  </si>
  <si>
    <t>Pedra sólida (2240 kg/m³)</t>
  </si>
  <si>
    <t>Pedra - triturada</t>
  </si>
  <si>
    <t>Feixe de palha</t>
  </si>
  <si>
    <t>Telhado de betume</t>
  </si>
  <si>
    <t>Vermiculite - enchimento solto</t>
  </si>
  <si>
    <t>Fita de vinil - 10 mm</t>
  </si>
  <si>
    <t>Madeira - dura</t>
  </si>
  <si>
    <t>Fita de madeira - sobrepostos</t>
  </si>
  <si>
    <t>Madeira - mole</t>
  </si>
  <si>
    <t>%/sem</t>
  </si>
  <si>
    <t>/pcm</t>
  </si>
  <si>
    <t>(Btu/pé³)/°F</t>
  </si>
  <si>
    <t>(Btu/h)/pé²/°F</t>
  </si>
  <si>
    <t>(Btu/h)/pé²/°F²</t>
  </si>
  <si>
    <t>ca/h</t>
  </si>
  <si>
    <t>Btu/pé²/d</t>
  </si>
  <si>
    <t>Carro/d</t>
  </si>
  <si>
    <t>pcm</t>
  </si>
  <si>
    <t>dia</t>
  </si>
  <si>
    <t>d/sem</t>
  </si>
  <si>
    <t>d/ano</t>
  </si>
  <si>
    <t>pé² - ºF/(Btu/h)</t>
  </si>
  <si>
    <t>pé³/d</t>
  </si>
  <si>
    <t>pé³/d/há</t>
  </si>
  <si>
    <t>pé³/s</t>
  </si>
  <si>
    <t>pé³/s/mi²</t>
  </si>
  <si>
    <t>pé vertical</t>
  </si>
  <si>
    <t>h/ano</t>
  </si>
  <si>
    <t>h/sem</t>
  </si>
  <si>
    <t>kWh/pé²</t>
  </si>
  <si>
    <t>kWh/pé²/d</t>
  </si>
  <si>
    <t>kWtérm.</t>
  </si>
  <si>
    <t>L/d/cabeça</t>
  </si>
  <si>
    <t>L/d/pessoa</t>
  </si>
  <si>
    <t>m vertical</t>
  </si>
  <si>
    <t>m³/d/há</t>
  </si>
  <si>
    <t>Refeições/d</t>
  </si>
  <si>
    <t>MWtérm.</t>
  </si>
  <si>
    <t>R/pol</t>
  </si>
  <si>
    <t>rev./min</t>
  </si>
  <si>
    <t>s/pé</t>
  </si>
  <si>
    <t>térm.</t>
  </si>
  <si>
    <t>gal US/d</t>
  </si>
  <si>
    <t>Isobutano</t>
  </si>
  <si>
    <t>Amonia</t>
  </si>
  <si>
    <t>Dioxido de carbono</t>
  </si>
  <si>
    <t>Taxa de renovação do ar</t>
  </si>
  <si>
    <t>Localização da tomada de ar</t>
  </si>
  <si>
    <t>Ventilador do aerofólio</t>
  </si>
  <si>
    <t>Custo anual</t>
  </si>
  <si>
    <t>Custo anual de troca de lâmpadas</t>
  </si>
  <si>
    <t>Aparelhos &amp; equipamentos</t>
  </si>
  <si>
    <t xml:space="preserve">Médio </t>
  </si>
  <si>
    <t>Fuga de ar média</t>
  </si>
  <si>
    <t>Demanda de ar útil média</t>
  </si>
  <si>
    <t>Ventilador inclinado para trás</t>
  </si>
  <si>
    <t>Caso de referência = Caso proposto</t>
  </si>
  <si>
    <t>Invólucro do prédio</t>
  </si>
  <si>
    <t>Norte do prédio</t>
  </si>
  <si>
    <t>Controle da capacidade</t>
  </si>
  <si>
    <t>Capacidade por unidade</t>
  </si>
  <si>
    <t>Sala de aula</t>
  </si>
  <si>
    <t>Limpar dados</t>
  </si>
  <si>
    <t>Conteúdo de CO2 - gás de combustão</t>
  </si>
  <si>
    <t>Ar comprimido</t>
  </si>
  <si>
    <t>Retorno do condensado</t>
  </si>
  <si>
    <t>Temperatura do condensado</t>
  </si>
  <si>
    <t>Velocidade constante</t>
  </si>
  <si>
    <t>Demanda de refrigeração</t>
  </si>
  <si>
    <t>Economia de energia de refrigeração</t>
  </si>
  <si>
    <t>Carga de refrigeração</t>
  </si>
  <si>
    <t>Ponto de ajuste da refrigeração</t>
  </si>
  <si>
    <t>Sistema de refrigeração 1</t>
  </si>
  <si>
    <t>Sistema de refrigeração 2</t>
  </si>
  <si>
    <t>Sistema de refrigeração 3</t>
  </si>
  <si>
    <t>Sistema de refrigeração 4</t>
  </si>
  <si>
    <t>Sistema de refrigeração 5</t>
  </si>
  <si>
    <t xml:space="preserve">Descrição do sistema de refrigeração </t>
  </si>
  <si>
    <t>Fenda</t>
  </si>
  <si>
    <t>Válvula de descarga</t>
  </si>
  <si>
    <t>Pressão de descarga</t>
  </si>
  <si>
    <t>Portas</t>
  </si>
  <si>
    <t>Fator de utilização</t>
  </si>
  <si>
    <t>Eficiência - plena carga</t>
  </si>
  <si>
    <t>Eficiência - condições de operação</t>
  </si>
  <si>
    <t>Economia de eletricidade</t>
  </si>
  <si>
    <t>Demanda de energia por unidade</t>
  </si>
  <si>
    <t>Energéticamente Eficiente</t>
  </si>
  <si>
    <t>Redução de energia</t>
  </si>
  <si>
    <t>Temperatura de entrada de ar - condensador</t>
  </si>
  <si>
    <t>Condições de projeto do equipamento</t>
  </si>
  <si>
    <t>Condições de operação do equipamento</t>
  </si>
  <si>
    <t>Comprimento equivalente da fenda</t>
  </si>
  <si>
    <t>Perímetro exposto</t>
  </si>
  <si>
    <t>Ventilador</t>
  </si>
  <si>
    <t>Controle da Ventilação</t>
  </si>
  <si>
    <t>Carga de ventilação - regime pleno</t>
  </si>
  <si>
    <t>Potência da luminária</t>
  </si>
  <si>
    <t>Piso-abaixo-nivel</t>
  </si>
  <si>
    <t>Tipo controle de fluxo</t>
  </si>
  <si>
    <t>Intervalo de fluxo</t>
  </si>
  <si>
    <t>Redução de fluxo</t>
  </si>
  <si>
    <t>Tipo de fluxo</t>
  </si>
  <si>
    <t>Carga de fluído - regime pleno</t>
  </si>
  <si>
    <t>Ventilador curvado para frente</t>
  </si>
  <si>
    <t>Ar fresco</t>
  </si>
  <si>
    <t>Sexta feira</t>
  </si>
  <si>
    <t>Custo de combustível - refrigeração</t>
  </si>
  <si>
    <t>Custo de combustível - aquecimento</t>
  </si>
  <si>
    <t>Economia - custo de combustível</t>
  </si>
  <si>
    <t>Ginásio</t>
  </si>
  <si>
    <t>Recuperação de Calor</t>
  </si>
  <si>
    <t>Aquecimento &amp; refrigeração</t>
  </si>
  <si>
    <t>Carga de aquecimento</t>
  </si>
  <si>
    <t>Reentrância de calor</t>
  </si>
  <si>
    <t>Sistema de aquecimento 1</t>
  </si>
  <si>
    <t>Sistema de aquecimento 2</t>
  </si>
  <si>
    <t>Sistema de aquecimento 3</t>
  </si>
  <si>
    <t>Sistema de aquecimento 4</t>
  </si>
  <si>
    <t>Sistema de aquecimento 5</t>
  </si>
  <si>
    <t>Alto-multi-zona</t>
  </si>
  <si>
    <t>Água quente utilizada</t>
  </si>
  <si>
    <t>Horas de demanda de ar útil</t>
  </si>
  <si>
    <t>Nível de Iluminamento</t>
  </si>
  <si>
    <t>Nível de Iluminamento - sugerido</t>
  </si>
  <si>
    <t>Nível de Iluminamento - variância</t>
  </si>
  <si>
    <t>Economia de O&amp;M incremental</t>
  </si>
  <si>
    <t>Custo inicial</t>
  </si>
  <si>
    <t>Válvula de entrada</t>
  </si>
  <si>
    <t>Conduto de entrada da ventoinha</t>
  </si>
  <si>
    <t>Válvula reguladora de entrada</t>
  </si>
  <si>
    <t>Isolada / Grade inferior</t>
  </si>
  <si>
    <t>Isolada / localização</t>
  </si>
  <si>
    <t>Isolada / nível do solo</t>
  </si>
  <si>
    <t>Vazamento da válvula de ar de entrada</t>
  </si>
  <si>
    <t>Portaria</t>
  </si>
  <si>
    <t>Cozinha</t>
  </si>
  <si>
    <t>Tipo de lâmpada e de receptáculo</t>
  </si>
  <si>
    <t>Taxa de recuperação do calor latente</t>
  </si>
  <si>
    <t>Vazamento</t>
  </si>
  <si>
    <t>Taxa de vazamento</t>
  </si>
  <si>
    <t>Com vazamento</t>
  </si>
  <si>
    <t>Temperatura de saída do fluído secundário - evaporador</t>
  </si>
  <si>
    <t>Carga de Iluminação por unidade de área</t>
  </si>
  <si>
    <t>Lâmpadas</t>
  </si>
  <si>
    <t>Fator de carga</t>
  </si>
  <si>
    <t>Tamanho da carga</t>
  </si>
  <si>
    <t>Carregar / descarregar</t>
  </si>
  <si>
    <t>Redução da água de reposição</t>
  </si>
  <si>
    <t>Volume máximo de ar</t>
  </si>
  <si>
    <t>Volume de ar variável médio</t>
  </si>
  <si>
    <t>Segunda Feira</t>
  </si>
  <si>
    <t>Carga do eixo do motor</t>
  </si>
  <si>
    <t>Infiltração de ar natural</t>
  </si>
  <si>
    <t>Nenhum - zona única</t>
  </si>
  <si>
    <t>Número de eletrodomésticos e equipamentos</t>
  </si>
  <si>
    <t>Eficiência nominal</t>
  </si>
  <si>
    <t>Pressão estática</t>
  </si>
  <si>
    <t>Demanda de Vapor</t>
  </si>
  <si>
    <t>Número de unidades de invólucros dos prédios</t>
  </si>
  <si>
    <t>Número de compressores</t>
  </si>
  <si>
    <t>Número de ventiladores</t>
  </si>
  <si>
    <t xml:space="preserve">Número de dispositivos </t>
  </si>
  <si>
    <t>Número de dispositivos - sugerido</t>
  </si>
  <si>
    <t>Número de motores</t>
  </si>
  <si>
    <t>Número de bombas</t>
  </si>
  <si>
    <t>Número de unidades de ventilação</t>
  </si>
  <si>
    <t>Taxa de ocupação - anual</t>
  </si>
  <si>
    <t>Taxa de ocupação - diária</t>
  </si>
  <si>
    <t>Ocupado</t>
  </si>
  <si>
    <t>Liga/desliga</t>
  </si>
  <si>
    <t>Dias de operaçãp</t>
  </si>
  <si>
    <t>Outro-para-outro</t>
  </si>
  <si>
    <t>Pico da carga de refrigeração</t>
  </si>
  <si>
    <t>Pico da carga de eletricidade</t>
  </si>
  <si>
    <t>Pico da carga de aquecimento</t>
  </si>
  <si>
    <t>Método do valor R via perímetro</t>
  </si>
  <si>
    <t>Pluma</t>
  </si>
  <si>
    <t>Eficiência Máxima</t>
  </si>
  <si>
    <t>Imprimir</t>
  </si>
  <si>
    <t>Eletricidade de processo</t>
  </si>
  <si>
    <t>Calor do processo</t>
  </si>
  <si>
    <t>Vapor do processo</t>
  </si>
  <si>
    <t>Bomba</t>
  </si>
  <si>
    <t>Ventilador de hélice radial</t>
  </si>
  <si>
    <t>Temperatura de condensação do refrigerante</t>
  </si>
  <si>
    <t>Temperatura de condensação do refrigerante - mínima</t>
  </si>
  <si>
    <t>Temperatura de evaporação do refrigerante</t>
  </si>
  <si>
    <t>Preço do refrigerante</t>
  </si>
  <si>
    <t>Refrigeração - Temperatura média</t>
  </si>
  <si>
    <t>Varejo</t>
  </si>
  <si>
    <t>Parafuso rotativo</t>
  </si>
  <si>
    <t>Sábado</t>
  </si>
  <si>
    <t>Horário</t>
  </si>
  <si>
    <t>Horário 1</t>
  </si>
  <si>
    <t>Horário 2</t>
  </si>
  <si>
    <t>Horário 3</t>
  </si>
  <si>
    <t>Horário 4</t>
  </si>
  <si>
    <t>Taxa de recuperação de calor sensível</t>
  </si>
  <si>
    <t>Chuveiros</t>
  </si>
  <si>
    <t>Tamanho</t>
  </si>
  <si>
    <t>Coeficiente de ganho de calor solar</t>
  </si>
  <si>
    <t>Sombra solar - verão</t>
  </si>
  <si>
    <t>Sombra solar - inverno</t>
  </si>
  <si>
    <t>Impacto climatização ambiental</t>
  </si>
  <si>
    <t>Impacto aquecimento ambiental</t>
  </si>
  <si>
    <t>Tipo de ambiente</t>
  </si>
  <si>
    <t>Velocidade - plena carga</t>
  </si>
  <si>
    <t>Perdas de vapor</t>
  </si>
  <si>
    <t>Vapor-para-vapor</t>
  </si>
  <si>
    <t>Vapor-para-água</t>
  </si>
  <si>
    <t>Corrente 1</t>
  </si>
  <si>
    <t>Corrente 2</t>
  </si>
  <si>
    <t>Domingo</t>
  </si>
  <si>
    <t>Temperatura de alimentação</t>
  </si>
  <si>
    <t>Pressão do sistema</t>
  </si>
  <si>
    <t>Configuração do sistema de reaquecimento</t>
  </si>
  <si>
    <t>Temperatura - ar de combustão</t>
  </si>
  <si>
    <t>Temperatura - gás de combustão</t>
  </si>
  <si>
    <t>Estrangulamento / baixo descarregamento</t>
  </si>
  <si>
    <t xml:space="preserve">Estrangulamento </t>
  </si>
  <si>
    <t>Quinta feira</t>
  </si>
  <si>
    <t>Automóveis - serviços / consertos</t>
  </si>
  <si>
    <t>Banco/escritório</t>
  </si>
  <si>
    <t>Clínica</t>
  </si>
  <si>
    <t>Comunidade</t>
  </si>
  <si>
    <t>Centro de convenções</t>
  </si>
  <si>
    <t>Tribunal/ delegacia / penitenciária</t>
  </si>
  <si>
    <t>Dormitório</t>
  </si>
  <si>
    <t>Alojamento</t>
  </si>
  <si>
    <t>Corpo de Bombeiros</t>
  </si>
  <si>
    <t>Apertado</t>
  </si>
  <si>
    <t>Terça feira</t>
  </si>
  <si>
    <t>Manobrar válvula</t>
  </si>
  <si>
    <t>Manobrar válvula / baixo descarregamento</t>
  </si>
  <si>
    <t>Não isolado / grade inferior</t>
  </si>
  <si>
    <t>Não isolado / grade ao nível do solo</t>
  </si>
  <si>
    <t>Desocupado</t>
  </si>
  <si>
    <t>Utilização</t>
  </si>
  <si>
    <t>Definido pelo usuário 1</t>
  </si>
  <si>
    <t>Definido pelo usuário 2</t>
  </si>
  <si>
    <t>Usos por dia</t>
  </si>
  <si>
    <t>Variável</t>
  </si>
  <si>
    <t>Velocidade variável</t>
  </si>
  <si>
    <t>Controle de ventilação</t>
  </si>
  <si>
    <t>Muros</t>
  </si>
  <si>
    <t>Banheiros</t>
  </si>
  <si>
    <t>Carga de aquecimento de água</t>
  </si>
  <si>
    <t>Água-para-água</t>
  </si>
  <si>
    <t>Quarta feira</t>
  </si>
  <si>
    <t>Janelas</t>
  </si>
  <si>
    <t>Halógena de metal cerâmico</t>
  </si>
  <si>
    <t>Fluorescente compacta - plug in</t>
  </si>
  <si>
    <t>Fluorescente compacta - rosquear</t>
  </si>
  <si>
    <t>Fluorescente T8 - reator eletrônico</t>
  </si>
  <si>
    <t>Fluorescente T5 - reator eletrônico</t>
  </si>
  <si>
    <t>Fluorescente T12 - reator eletrônico</t>
  </si>
  <si>
    <t>Fluorescente T5 - BE saída elevada</t>
  </si>
  <si>
    <t>Fluorescente T12 - BM saída elevada</t>
  </si>
  <si>
    <t>Fluorescente T8 - reator magnético</t>
  </si>
  <si>
    <t>Fluorescente T12 - reator magnético</t>
  </si>
  <si>
    <t>Halogênio</t>
  </si>
  <si>
    <t>Vapor de sódio de alta pressão</t>
  </si>
  <si>
    <t>Incandescente</t>
  </si>
  <si>
    <t>Diodo foto emissor</t>
  </si>
  <si>
    <t>Vapor de Sódio de baixa pressão</t>
  </si>
  <si>
    <t>Vapor de Mercúrio</t>
  </si>
  <si>
    <t>Vapor metálico - partida à sonda</t>
  </si>
  <si>
    <t>Vapor metálico - partida pulso</t>
  </si>
  <si>
    <t>Corredor</t>
  </si>
  <si>
    <t>Refeitório</t>
  </si>
  <si>
    <t>Biblioteca</t>
  </si>
  <si>
    <t>Hall</t>
  </si>
  <si>
    <t>Fabricação</t>
  </si>
  <si>
    <t>Sala de Reunião</t>
  </si>
  <si>
    <t>Garagem de estacionamento</t>
  </si>
  <si>
    <t>Área de vendas</t>
  </si>
  <si>
    <t>Escada</t>
  </si>
  <si>
    <t>Local de armazenamento</t>
  </si>
  <si>
    <t>Local de serviço</t>
  </si>
  <si>
    <t>Almoxarifado</t>
  </si>
  <si>
    <t>Pista - lazer</t>
  </si>
  <si>
    <t>Pista - hockey e patinação</t>
  </si>
  <si>
    <t>Ginásio - área de exercícios</t>
  </si>
  <si>
    <t>Mall / saguão / Átrio</t>
  </si>
  <si>
    <t>Museu</t>
  </si>
  <si>
    <t>Correio</t>
  </si>
  <si>
    <t>Estabelecimento religioso</t>
  </si>
  <si>
    <t>Empresa de serviços</t>
  </si>
  <si>
    <t>Estádio esportivo</t>
  </si>
  <si>
    <t>Supermercado</t>
  </si>
  <si>
    <t>Teatro</t>
  </si>
  <si>
    <t>Estação rodoviária</t>
  </si>
  <si>
    <t>Dias</t>
  </si>
  <si>
    <t>Hora</t>
  </si>
  <si>
    <t>Meses</t>
  </si>
  <si>
    <t>Ver figura</t>
  </si>
  <si>
    <t>Ver gráfico</t>
  </si>
  <si>
    <t>Semana</t>
  </si>
  <si>
    <t>Semanas</t>
  </si>
  <si>
    <t>Anos</t>
  </si>
  <si>
    <t>Eficiência luminosa</t>
  </si>
  <si>
    <t xml:space="preserve">lm/W </t>
  </si>
  <si>
    <t>Equipamento elétrico</t>
  </si>
  <si>
    <t xml:space="preserve">Vazão nominal de ar </t>
  </si>
  <si>
    <t>Bloco de concreto com fibra de madeira</t>
  </si>
  <si>
    <t>Temperatura mínima da bateria</t>
  </si>
  <si>
    <t>Redução média de temperatura da bateria</t>
  </si>
  <si>
    <t>Fator de disparidade bateria/carga/recurso</t>
  </si>
  <si>
    <t>Energia reciclada</t>
  </si>
  <si>
    <t>Perguntas Frequentes</t>
  </si>
  <si>
    <t>Voltar</t>
  </si>
  <si>
    <t>Avançar</t>
  </si>
  <si>
    <t>Espessura</t>
  </si>
  <si>
    <t>Vazão máxima annual</t>
  </si>
  <si>
    <t>Custo (economia) de O&amp;M</t>
  </si>
  <si>
    <t>Velocidade do Vento (m/s)</t>
  </si>
  <si>
    <t>Eletricidade (kW)</t>
  </si>
  <si>
    <t>Energia (MWh)</t>
  </si>
  <si>
    <t>Fluxo (m³/s)</t>
  </si>
  <si>
    <t>Condicionador de ar - unidade central</t>
  </si>
  <si>
    <t>Condicionador de ar - unidade de janela</t>
  </si>
  <si>
    <t>Cobertor elétrico - simples</t>
  </si>
  <si>
    <t>Cobertor elétrico - duplo</t>
  </si>
  <si>
    <t>Análise Financeira RETScreen -</t>
  </si>
  <si>
    <t>Completar folha de Análise Financeira</t>
  </si>
  <si>
    <t>Demanda de energia - caso de referência</t>
  </si>
  <si>
    <t>Demanda de energia - caso proposto</t>
  </si>
  <si>
    <t>Você tem certeza ?</t>
  </si>
  <si>
    <t>Redução anual bruta de emissões de GEE</t>
  </si>
  <si>
    <t>Custo de transação dos créditos de GEE</t>
  </si>
  <si>
    <t>gal/d/cabeça</t>
  </si>
  <si>
    <t>gal/d-pessoa</t>
  </si>
  <si>
    <t>gal/pe²</t>
  </si>
  <si>
    <t>Manual do usuário</t>
  </si>
  <si>
    <t>Horário 5</t>
  </si>
  <si>
    <t>Carga elétrica - típico</t>
  </si>
  <si>
    <t>Reaquecimento do sistema</t>
  </si>
  <si>
    <t>Produção de eletricidade</t>
  </si>
  <si>
    <t>Produção de calor</t>
  </si>
  <si>
    <t>Produção de frio</t>
  </si>
  <si>
    <t>Aquecimento e refrigeração</t>
  </si>
  <si>
    <t>lb/pe³</t>
  </si>
  <si>
    <t>Velocidade</t>
  </si>
  <si>
    <t>po²</t>
  </si>
  <si>
    <t>pcm/pé²</t>
  </si>
  <si>
    <t>Temperatura do água de reposição</t>
  </si>
  <si>
    <t>Análise final</t>
  </si>
  <si>
    <t>Alimentação de combustível manual</t>
  </si>
  <si>
    <t>Ar</t>
  </si>
  <si>
    <t>Óleo térmico</t>
  </si>
  <si>
    <t>Óxido sólido</t>
  </si>
  <si>
    <t>Zinco</t>
  </si>
  <si>
    <t>Alimentação de combustível automática</t>
  </si>
  <si>
    <t>Membrana de troca de protons</t>
  </si>
  <si>
    <t>Ácido fosfórico</t>
  </si>
  <si>
    <t>Alcalina</t>
  </si>
  <si>
    <t>Metanol direto</t>
  </si>
  <si>
    <t>Bombas de calor geotérmicas</t>
  </si>
  <si>
    <t>Vazão de exaustão</t>
  </si>
  <si>
    <t>Temperatura de exaustão</t>
  </si>
  <si>
    <t>Número de turbinas a gas</t>
  </si>
  <si>
    <t>Modelo de turbina a gas</t>
  </si>
  <si>
    <t>Capacidade da turbina a gas</t>
  </si>
  <si>
    <t>Capacidade da turbina a vapor</t>
  </si>
  <si>
    <t>Tipo de Fluido</t>
  </si>
  <si>
    <t>Conteúdo de mistura do combustível (% de água)</t>
  </si>
  <si>
    <t>Múltiplos combustíveis</t>
  </si>
  <si>
    <t>Corrente [@ Potência de Pico]</t>
  </si>
  <si>
    <t>Tensão [Circuito aberto]</t>
  </si>
  <si>
    <t xml:space="preserve">Dados de Satélite da NASA </t>
  </si>
  <si>
    <t>Pó de lixadeira/serra</t>
  </si>
  <si>
    <t>Cavaco</t>
  </si>
  <si>
    <t>Pelota</t>
  </si>
  <si>
    <t>Tora</t>
  </si>
  <si>
    <t>Planta de ciclo combinado</t>
  </si>
  <si>
    <t>Capcidade de refrigeração (kW)</t>
  </si>
  <si>
    <t>Diesel (óleo #2) ou óleo (#6)</t>
  </si>
  <si>
    <t>Líquido</t>
  </si>
  <si>
    <t>Bi-combustível</t>
  </si>
  <si>
    <t>Bombas de calor alimentadas a ar</t>
  </si>
  <si>
    <t>Nota</t>
  </si>
  <si>
    <t>Consumo específico (kJ/kWh)</t>
  </si>
  <si>
    <t>Resfriamento do chiller</t>
  </si>
  <si>
    <t>Pesquisar</t>
  </si>
  <si>
    <t>Por favor espere...</t>
  </si>
  <si>
    <t>Removedor automático de cinza</t>
  </si>
  <si>
    <t>Eficiência nom. do modulo PV (%)</t>
  </si>
  <si>
    <t>Voltagem [@ potência de Pico]</t>
  </si>
  <si>
    <t>Centelha da ignição</t>
  </si>
  <si>
    <t>Tipo torre</t>
  </si>
  <si>
    <t>Controle de velocidade alta</t>
  </si>
  <si>
    <t>{name} já existente, deseja substituí-lo?</t>
  </si>
  <si>
    <t>não existente, deseja criá-lo?</t>
  </si>
  <si>
    <t>Corrente[Curto circuito]</t>
  </si>
  <si>
    <t>Espessura do módulo</t>
  </si>
  <si>
    <t>Capítulo de Análise de Projeto de Cogeração:</t>
  </si>
  <si>
    <t>Aquecimento COP</t>
  </si>
  <si>
    <t>Refrigeração COP</t>
  </si>
  <si>
    <t>Erro</t>
  </si>
  <si>
    <t>Você não tem acesso para escrever no arquivo :</t>
  </si>
  <si>
    <t>A última versão do RETScreen 4 não esta instalada. Visite www.retscreen.net para atualizar.</t>
  </si>
  <si>
    <t>Ocorreu um problema interno.</t>
  </si>
  <si>
    <t>Favor informar esse erro</t>
  </si>
  <si>
    <t>Essa ação será cancelada.</t>
  </si>
  <si>
    <t>RETScreen deve ser reinstalado.</t>
  </si>
  <si>
    <t>Excel deve ser reaberto.</t>
  </si>
  <si>
    <t>Detalhes</t>
  </si>
  <si>
    <t>Esse projeto foi criado numa versão anterior do RETScreen.</t>
  </si>
  <si>
    <t>Alguns campos serão substituidos por seus valores padrão.</t>
  </si>
  <si>
    <t>Você quer continuar?</t>
  </si>
  <si>
    <t>Não mostre essa mensagem novamente.</t>
  </si>
  <si>
    <t>Esse projeto é incompatível.</t>
  </si>
  <si>
    <t>Esse arquivo tem projetos criados em uma versão anterior do RETScreen.</t>
  </si>
  <si>
    <t>Atualizar esses projetos para a versão atual do RETScreen?</t>
  </si>
  <si>
    <t>Essa ação substituirá o projeto atual.</t>
  </si>
  <si>
    <t>Suprimir o último projeto nesse arquivo suprimirá o próprio arquivo.</t>
  </si>
  <si>
    <t>Novo</t>
  </si>
  <si>
    <t>Selecionar um projeto</t>
  </si>
  <si>
    <t>Esse arquivo precisa ser formatado conforme novo formato do arquivo.</t>
  </si>
  <si>
    <t>Isso levará alguns segundos. Favor confirmar que o arquivo não esteja configurado apenas para leitura.</t>
  </si>
  <si>
    <t>Você deseja continuar?</t>
  </si>
  <si>
    <t>Erro: O processo de conversão falhou. Favor contatar RETScreen se quiser recuperar esse arquivo.</t>
  </si>
  <si>
    <t>Não foi possivel carregar o arquivo de ajuda na pasta especificada; favor colocar o arquivo na pasta apropriada.</t>
  </si>
  <si>
    <t>As alterações que você efetuou serão perdidas.</t>
  </si>
  <si>
    <t>Alguns valores podem não se alterar.</t>
  </si>
  <si>
    <t>Ordem de classificação</t>
  </si>
  <si>
    <t>Turbina à vapor - Absorção</t>
  </si>
  <si>
    <t>Turbina à gas - Desumidificador</t>
  </si>
  <si>
    <t>Caldeira - Absorção</t>
  </si>
  <si>
    <t>Motor recíproco - Absorção</t>
  </si>
  <si>
    <t>Cogeração de ciclo combinado</t>
  </si>
  <si>
    <t>Salão comunitário</t>
  </si>
  <si>
    <t>Cabana</t>
  </si>
  <si>
    <t>Centro de distribuição</t>
  </si>
  <si>
    <t>Rede municipal de calor e refrigeração</t>
  </si>
  <si>
    <t>Empresa de Serviços de Energia</t>
  </si>
  <si>
    <t>Centro federal de pesquisa</t>
  </si>
  <si>
    <t>Viveiro de peixes</t>
  </si>
  <si>
    <t>Casa verde</t>
  </si>
  <si>
    <t>Produção de energia verde</t>
  </si>
  <si>
    <t>Produção independente de energia</t>
  </si>
  <si>
    <t>Piscina interior</t>
  </si>
  <si>
    <t>Edifício industrial</t>
  </si>
  <si>
    <t>Comunidade isolada da ilha</t>
  </si>
  <si>
    <t>Campo florestal</t>
  </si>
  <si>
    <t xml:space="preserve">Casa Eficiente </t>
  </si>
  <si>
    <t>Secagem de madeira</t>
  </si>
  <si>
    <t>Fábrica</t>
  </si>
  <si>
    <t>Residência Multifamiliar</t>
  </si>
  <si>
    <t>Isolamento</t>
  </si>
  <si>
    <t>Fluorescente</t>
  </si>
  <si>
    <t>Agrícola</t>
  </si>
  <si>
    <t>Otimização</t>
  </si>
  <si>
    <t>Queimador</t>
  </si>
  <si>
    <t>Condensador</t>
  </si>
  <si>
    <t>Modelo de Código Nacional de Energia para Edifícios (MCNEE)</t>
  </si>
  <si>
    <t>Prédio comercial</t>
  </si>
  <si>
    <t>Moinho de óleo de dendê</t>
  </si>
  <si>
    <t>Fábrica de papel</t>
  </si>
  <si>
    <t>Delegacia de polícia</t>
  </si>
  <si>
    <t>Sala de aula portátil</t>
  </si>
  <si>
    <t>Presídio</t>
  </si>
  <si>
    <t>Centro de recreação</t>
  </si>
  <si>
    <t>Comunicação remota</t>
  </si>
  <si>
    <t>Edifício residencial</t>
  </si>
  <si>
    <t>Planta de tratamento de efluentes</t>
  </si>
  <si>
    <t>Residência unifamiliar</t>
  </si>
  <si>
    <t>Secagem de folhas de chá</t>
  </si>
  <si>
    <t>Duas escolas</t>
  </si>
  <si>
    <t>Redução da demanda de ponta</t>
  </si>
  <si>
    <t>Eletrificação do bairro</t>
  </si>
  <si>
    <t>Escola profissionalizante</t>
  </si>
  <si>
    <t>Recuperação do calor residual</t>
  </si>
  <si>
    <t>Curva de duração da carga</t>
  </si>
  <si>
    <t>Porcentagem da carga de tempo atingida ou superada</t>
  </si>
  <si>
    <t>Eficiência do gerador</t>
  </si>
  <si>
    <t>Linha de grade</t>
  </si>
  <si>
    <t xml:space="preserve">Modelo Energético </t>
  </si>
  <si>
    <t>Aplicar</t>
  </si>
  <si>
    <t>Modelos</t>
  </si>
  <si>
    <t>Aquecimento solar passivo</t>
  </si>
  <si>
    <t>Energia distrital</t>
  </si>
  <si>
    <t>Penitenciária</t>
  </si>
  <si>
    <t>Demo do Software</t>
  </si>
  <si>
    <t>Varios Prédios</t>
  </si>
  <si>
    <t>Madeira - resíduo</t>
  </si>
  <si>
    <t>Genérico</t>
  </si>
  <si>
    <t>Quer salvar as mudanças que você fez ?</t>
  </si>
  <si>
    <t>Refrigerador </t>
  </si>
  <si>
    <t>Calculadora</t>
  </si>
  <si>
    <t>Gaz natural - kWh</t>
  </si>
  <si>
    <t>Gaz natural - térm.</t>
  </si>
  <si>
    <t>/térm.</t>
  </si>
  <si>
    <t>Entrada</t>
  </si>
  <si>
    <t>Saída</t>
  </si>
  <si>
    <t>Suprimento</t>
  </si>
  <si>
    <t>Exaustão</t>
  </si>
  <si>
    <t>Exaustor</t>
  </si>
  <si>
    <t>Fluxo reduzido</t>
  </si>
  <si>
    <t>Pré-aquecimento</t>
  </si>
  <si>
    <t>Balanço da planta</t>
  </si>
  <si>
    <t>Cervejaria</t>
  </si>
  <si>
    <t>Nova Iorque</t>
  </si>
  <si>
    <t>Terra Nova e Lavrador</t>
  </si>
  <si>
    <t>Territórios do noroeste</t>
  </si>
  <si>
    <t>Nova Escocia</t>
  </si>
  <si>
    <t>Ilha Príncipe Eduardo</t>
  </si>
  <si>
    <t>Mundo</t>
  </si>
  <si>
    <t>{{number}} a {{number}}</t>
  </si>
  <si>
    <t>Alojamento </t>
  </si>
  <si>
    <t>Hangar de aeronaves</t>
  </si>
  <si>
    <t>Terminal aéreo</t>
  </si>
  <si>
    <t>Liga</t>
  </si>
  <si>
    <t>Lâmina de alumina</t>
  </si>
  <si>
    <t>Amônia</t>
  </si>
  <si>
    <t>Glicol</t>
  </si>
  <si>
    <t>Caldeira a vapor</t>
  </si>
  <si>
    <t>Modernização</t>
  </si>
  <si>
    <t>Processamento alimentar</t>
  </si>
  <si>
    <t>Pré-resfriador</t>
  </si>
  <si>
    <t>Carga de vapor</t>
  </si>
  <si>
    <t>Leite</t>
  </si>
  <si>
    <t>Papel e celulose</t>
  </si>
  <si>
    <t>Petroquímico</t>
  </si>
  <si>
    <t>Planta petroquímica</t>
  </si>
  <si>
    <t>Soro</t>
  </si>
  <si>
    <t>Aquecedor</t>
  </si>
  <si>
    <t>Fator de desempenho</t>
  </si>
  <si>
    <t>Aquecedor de ar solar - eficiência sazonal</t>
  </si>
  <si>
    <t>Nova Gales do Sul</t>
  </si>
  <si>
    <t>Território do Norte</t>
  </si>
  <si>
    <t>Austrália do Sul</t>
  </si>
  <si>
    <t>Tasmânia</t>
  </si>
  <si>
    <t>Austrália Ocidental</t>
  </si>
  <si>
    <t>Distrito Federal (Brasil)</t>
  </si>
  <si>
    <t>Motor Stirling</t>
  </si>
  <si>
    <t>Capcidade de refrigeração</t>
  </si>
  <si>
    <t>MWh/an</t>
  </si>
  <si>
    <t>Erro fatal</t>
  </si>
  <si>
    <t>Atualizar</t>
  </si>
  <si>
    <t>Tudo</t>
  </si>
  <si>
    <t>Columbia Britânica</t>
  </si>
  <si>
    <t>Califórnia</t>
  </si>
  <si>
    <t>Cidade</t>
  </si>
  <si>
    <t>Nova Brunswick</t>
  </si>
  <si>
    <t>Ocorreu um erro.</t>
  </si>
  <si>
    <t>Anodo</t>
  </si>
  <si>
    <t>Vestuário</t>
  </si>
  <si>
    <t>Forno circular</t>
  </si>
  <si>
    <t>Pista</t>
  </si>
  <si>
    <t>Artes</t>
  </si>
  <si>
    <t>Casas germinadas</t>
  </si>
  <si>
    <t>Automóveis</t>
  </si>
  <si>
    <t>Automotivo</t>
  </si>
  <si>
    <t>Bancos</t>
  </si>
  <si>
    <t>Baterias</t>
  </si>
  <si>
    <t>Benzeno</t>
  </si>
  <si>
    <t>Bebida</t>
  </si>
  <si>
    <t>Butadieno</t>
  </si>
  <si>
    <t>Tetracloreto de carbono</t>
  </si>
  <si>
    <t>Caixa de papelão</t>
  </si>
  <si>
    <t>Produção de cimento</t>
  </si>
  <si>
    <t>Alterar</t>
  </si>
  <si>
    <t>Químicos e plásticos</t>
  </si>
  <si>
    <t>Primário</t>
  </si>
  <si>
    <t>Prisão</t>
  </si>
  <si>
    <t>Processamento</t>
  </si>
  <si>
    <t>Serviços profissionais</t>
  </si>
  <si>
    <t xml:space="preserve">Propileno </t>
  </si>
  <si>
    <t>Administração pública</t>
  </si>
  <si>
    <t>Cisterna</t>
  </si>
  <si>
    <t>Clinquer</t>
  </si>
  <si>
    <t>Coque</t>
  </si>
  <si>
    <t>Colégio</t>
  </si>
  <si>
    <t>Edifício comercial</t>
  </si>
  <si>
    <t>Edifícios comerciais</t>
  </si>
  <si>
    <t>Comparação</t>
  </si>
  <si>
    <t>Serviços de computação</t>
  </si>
  <si>
    <t>Salão de música</t>
  </si>
  <si>
    <t>Contrução e produtos de madeira</t>
  </si>
  <si>
    <t>Contentor</t>
  </si>
  <si>
    <t xml:space="preserve">Refrigerador </t>
  </si>
  <si>
    <t>Cobre</t>
  </si>
  <si>
    <t>Contagem</t>
  </si>
  <si>
    <t>Palácio da justiça</t>
  </si>
  <si>
    <t>Cliente</t>
  </si>
  <si>
    <t>Laticínio</t>
  </si>
  <si>
    <t>Habitação isolada</t>
  </si>
  <si>
    <t>Refrigeração urbana</t>
  </si>
  <si>
    <t>Aquecimento urbano</t>
  </si>
  <si>
    <t>Seco</t>
  </si>
  <si>
    <t>Secador</t>
  </si>
  <si>
    <t>Edifícios Educacionais</t>
  </si>
  <si>
    <t>Consumo de eletricidade</t>
  </si>
  <si>
    <t>Geração de energia</t>
  </si>
  <si>
    <t>Entretenimento</t>
  </si>
  <si>
    <t>Equipamento</t>
  </si>
  <si>
    <t>Estimado</t>
  </si>
  <si>
    <t>Álcool etílico</t>
  </si>
  <si>
    <t>Casa Agrícola</t>
  </si>
  <si>
    <t>Serviços Financeiros</t>
  </si>
  <si>
    <t>Alimento</t>
  </si>
  <si>
    <t>Serviços de alimentação</t>
  </si>
  <si>
    <t>Fundição</t>
  </si>
  <si>
    <t>Refino do combustível</t>
  </si>
  <si>
    <t>Posto de gasolina</t>
  </si>
  <si>
    <t>Industrial geral</t>
  </si>
  <si>
    <t>Fabricação geral</t>
  </si>
  <si>
    <t>Ouro</t>
  </si>
  <si>
    <t>Edifício do governo</t>
  </si>
  <si>
    <t>Edifícios do governo</t>
  </si>
  <si>
    <t>Verde</t>
  </si>
  <si>
    <t>Cuidados de saúde</t>
  </si>
  <si>
    <t>Quente</t>
  </si>
  <si>
    <t>Domésticos</t>
  </si>
  <si>
    <t>HVAC (ventilação e ar condicionado)</t>
  </si>
  <si>
    <t>Incluir</t>
  </si>
  <si>
    <t>Ferro</t>
  </si>
  <si>
    <t>Estufa</t>
  </si>
  <si>
    <t>Amplo</t>
  </si>
  <si>
    <t>Conduzir</t>
  </si>
  <si>
    <t>Cloreto de metilo</t>
  </si>
  <si>
    <t>Cloreto de metileno</t>
  </si>
  <si>
    <t>Estação do Metrô (subway,underground)</t>
  </si>
  <si>
    <t>Mineração</t>
  </si>
  <si>
    <t>Diversos</t>
  </si>
  <si>
    <t>Sistema de controle</t>
  </si>
  <si>
    <t>Habitação multi unidades</t>
  </si>
  <si>
    <t>Nafta</t>
  </si>
  <si>
    <t>Enfermagem no lar</t>
  </si>
  <si>
    <t>Óleo</t>
  </si>
  <si>
    <t>Revestimento de papel</t>
  </si>
  <si>
    <t>Petróleo</t>
  </si>
  <si>
    <t>Farmacêutica</t>
  </si>
  <si>
    <t>Delegacia</t>
  </si>
  <si>
    <t>Potassa</t>
  </si>
  <si>
    <t>Imóveis</t>
  </si>
  <si>
    <t>Recreação</t>
  </si>
  <si>
    <t>Vermelho</t>
  </si>
  <si>
    <t>Referência</t>
  </si>
  <si>
    <t>Refinaria</t>
  </si>
  <si>
    <t>Edifícios religiosos</t>
  </si>
  <si>
    <t>Resinas</t>
  </si>
  <si>
    <t>Comércio a varejo</t>
  </si>
  <si>
    <t>RETScreen não parece estar instalado corretamente. Por favor, reinstale-o através do site http://www.retscreen.net.</t>
  </si>
  <si>
    <t>Serraria</t>
  </si>
  <si>
    <t>Água do mar</t>
  </si>
  <si>
    <t xml:space="preserve">Btu/pé³_x000D_
</t>
  </si>
  <si>
    <t>kg/pe³</t>
  </si>
  <si>
    <t>t/pe³</t>
  </si>
  <si>
    <t>Custos de Capital</t>
  </si>
  <si>
    <t>Texto</t>
  </si>
  <si>
    <t>Rede Internacional de Treinamento RETScreen</t>
  </si>
  <si>
    <t>Consultores RETScreen</t>
  </si>
  <si>
    <t>Selecionar tudo</t>
  </si>
  <si>
    <t>Semicondutor</t>
  </si>
  <si>
    <t>Habitações semi-destacadas</t>
  </si>
  <si>
    <t>Serviços</t>
  </si>
  <si>
    <t>Shopping</t>
  </si>
  <si>
    <t>Prata</t>
  </si>
  <si>
    <t>Liquefazer</t>
  </si>
  <si>
    <t>Hidróxido de sódio</t>
  </si>
  <si>
    <t>Ordem crescente</t>
  </si>
  <si>
    <t>Ordem decrescente</t>
  </si>
  <si>
    <t>Loja</t>
  </si>
  <si>
    <t>Tanque</t>
  </si>
  <si>
    <t>Têxteis</t>
  </si>
  <si>
    <t>Fluido térmico</t>
  </si>
  <si>
    <t>Tabaco</t>
  </si>
  <si>
    <t>Tolueno</t>
  </si>
  <si>
    <t>Município</t>
  </si>
  <si>
    <t>Estação de trem</t>
  </si>
  <si>
    <t>Não condicionado</t>
  </si>
  <si>
    <t>Universidade</t>
  </si>
  <si>
    <t>Verniz</t>
  </si>
  <si>
    <t>Vegetal</t>
  </si>
  <si>
    <t>Visualizar</t>
  </si>
  <si>
    <t>Amazenagem</t>
  </si>
  <si>
    <t>Branco</t>
  </si>
  <si>
    <t>Comércio geral</t>
  </si>
  <si>
    <t>Xileno</t>
  </si>
  <si>
    <t>Transmissor</t>
  </si>
  <si>
    <t>Foto</t>
  </si>
  <si>
    <t>Lista de Consultores</t>
  </si>
  <si>
    <t>Contratar um Consultor RETSreen</t>
  </si>
  <si>
    <t>222 países e territórios</t>
  </si>
  <si>
    <t>200 instituições de ensino</t>
  </si>
  <si>
    <t>Dados meteorológicos</t>
  </si>
  <si>
    <t>Refrigeração graus-dias</t>
  </si>
  <si>
    <t>Graus-dia para aquecimento</t>
  </si>
  <si>
    <t>Este arquivo é somente leitura.</t>
  </si>
  <si>
    <t>Erro ao abrir o arquivo.</t>
  </si>
  <si>
    <t>Reiniciar</t>
  </si>
  <si>
    <t>Uma nova versão do RETScreen Plus está disponível.</t>
  </si>
  <si>
    <t>http://www.retscreen.net/pt/download.php</t>
  </si>
  <si>
    <t>Atualizar agora</t>
  </si>
  <si>
    <t>Lembrar mais tarde</t>
  </si>
  <si>
    <t>Classificação</t>
  </si>
  <si>
    <t>Indústrias de informação e cultura</t>
  </si>
  <si>
    <t>Venda de alimentos</t>
  </si>
  <si>
    <t>Comércio</t>
  </si>
  <si>
    <t>Montagem pública</t>
  </si>
  <si>
    <t>Segurança e ordem pública</t>
  </si>
  <si>
    <t>Vago</t>
  </si>
  <si>
    <t>Varejo não alimentos</t>
  </si>
  <si>
    <t>Varejo alimentos</t>
  </si>
  <si>
    <t>Escolas primárias e secundárias</t>
  </si>
  <si>
    <t>Serviços ambulatoriais de saúde</t>
  </si>
  <si>
    <t>Hospitais</t>
  </si>
  <si>
    <t>Instalações residenciais e cuidados de enfermagem</t>
  </si>
  <si>
    <t>Assistência social</t>
  </si>
  <si>
    <t>Pacientes internados</t>
  </si>
  <si>
    <t>Pacientes em consultas ambulatoriais</t>
  </si>
  <si>
    <t>Política</t>
  </si>
  <si>
    <t>Análise de benchmark</t>
  </si>
  <si>
    <t>Dados de comparação</t>
  </si>
  <si>
    <t>Banco de dados de comparação</t>
  </si>
  <si>
    <t>Casa móvel</t>
  </si>
  <si>
    <t>Urbano</t>
  </si>
  <si>
    <t>Suburbano</t>
  </si>
  <si>
    <t>Dimensão do agregado familiar</t>
  </si>
  <si>
    <t>Altura baixa</t>
  </si>
  <si>
    <t>Altura média</t>
  </si>
  <si>
    <t>Altura elevada</t>
  </si>
  <si>
    <t>Casa geminada</t>
  </si>
  <si>
    <t>Tipo de Construção</t>
  </si>
  <si>
    <t>Outro tipo de residência</t>
  </si>
  <si>
    <t>Número de quartos</t>
  </si>
  <si>
    <t>Notas</t>
  </si>
  <si>
    <t>Peças brutas</t>
  </si>
  <si>
    <t>Sondagem</t>
  </si>
  <si>
    <t>Tamanho de amostra pequeno</t>
  </si>
  <si>
    <t>Tarifa de alimentação</t>
  </si>
  <si>
    <t>Área de construção</t>
  </si>
  <si>
    <t>Funcionário</t>
  </si>
  <si>
    <t>Cimento</t>
  </si>
  <si>
    <t>Escola de administração</t>
  </si>
  <si>
    <t>Laboratório</t>
  </si>
  <si>
    <t>Prédio público</t>
  </si>
  <si>
    <t>Clima controlado</t>
  </si>
  <si>
    <t>Campo de golfe</t>
  </si>
  <si>
    <t>Governo</t>
  </si>
  <si>
    <t>Privado</t>
  </si>
  <si>
    <t>Prédio de transporte</t>
  </si>
  <si>
    <t>Prédio de inspecção de carros</t>
  </si>
  <si>
    <t>Prédio com funções integradas</t>
  </si>
  <si>
    <t>Outro metal</t>
  </si>
  <si>
    <t>Sal</t>
  </si>
  <si>
    <t>Carbonato de sódio</t>
  </si>
  <si>
    <t xml:space="preserve">Soda cáustica </t>
  </si>
  <si>
    <t>Fábrica de papel de imprensa</t>
  </si>
  <si>
    <t>Fábrica de papelão</t>
  </si>
  <si>
    <t>Processo seco</t>
  </si>
  <si>
    <t xml:space="preserve">Processo semisseco </t>
  </si>
  <si>
    <t>Processo húmido</t>
  </si>
  <si>
    <t>Processo de célula de diafragma</t>
  </si>
  <si>
    <t>Processo de célula de mercúrio</t>
  </si>
  <si>
    <t>Processo de célula de membrana</t>
  </si>
  <si>
    <t>Borracha sintética</t>
  </si>
  <si>
    <t>Prédio sem funções integradas</t>
  </si>
  <si>
    <t>Hospital local</t>
  </si>
  <si>
    <t>Hospital regional</t>
  </si>
  <si>
    <t>Edifício educacional ligado para o hospital</t>
  </si>
  <si>
    <t>Prédio de saúde primária</t>
  </si>
  <si>
    <t>Jardim de infância</t>
  </si>
  <si>
    <t>Escola secundária</t>
  </si>
  <si>
    <t>Escola elementar</t>
  </si>
  <si>
    <t>Prédio de emergência</t>
  </si>
  <si>
    <t>Consulte o banco de dados de referência</t>
  </si>
  <si>
    <t>Incentivo de custo de capital</t>
  </si>
  <si>
    <t>Medidas financeiras e tributárias</t>
  </si>
  <si>
    <t>Condicionado</t>
  </si>
  <si>
    <t>Especialidade múltipla</t>
  </si>
  <si>
    <t>Luxo</t>
  </si>
  <si>
    <t>Não de luxo</t>
  </si>
  <si>
    <t>Estufa de secagem</t>
  </si>
  <si>
    <t>Pré-aquecedor de estágio único</t>
  </si>
  <si>
    <t>Pré-aquecedor de estágio múltiplo</t>
  </si>
  <si>
    <t>Centro desportivo</t>
  </si>
  <si>
    <t>Clima quente e húmido</t>
  </si>
  <si>
    <t>Clima quente e seco</t>
  </si>
  <si>
    <t>Clima composta</t>
  </si>
  <si>
    <t>Clima moderado</t>
  </si>
  <si>
    <t>Referência -- comparação</t>
  </si>
  <si>
    <t>Atlântico</t>
  </si>
  <si>
    <t>Pradarias</t>
  </si>
  <si>
    <t>Recebimento</t>
  </si>
  <si>
    <t>Separação</t>
  </si>
  <si>
    <t>Homogeneização</t>
  </si>
  <si>
    <t>Pasteurização</t>
  </si>
  <si>
    <t>Enchimento</t>
  </si>
  <si>
    <t>Excluindo refrigerador</t>
  </si>
  <si>
    <t>Iluminação, bobinas de gelo, transferência de leito para tanques de retenção e recebimento e lavagem de caixas</t>
  </si>
  <si>
    <t>Produção de aço</t>
  </si>
  <si>
    <t>Fornalha de arco eléctrico (EAF)</t>
  </si>
  <si>
    <t>Planta integrada</t>
  </si>
  <si>
    <t>Carpete</t>
  </si>
  <si>
    <t>Tricotado</t>
  </si>
  <si>
    <t>Tecido</t>
  </si>
  <si>
    <t>Fio</t>
  </si>
  <si>
    <t>Não tecido</t>
  </si>
  <si>
    <t>Nordeste</t>
  </si>
  <si>
    <t>Nordeste central</t>
  </si>
  <si>
    <t>Noroeste central</t>
  </si>
  <si>
    <t>Sudeste central</t>
  </si>
  <si>
    <t>Sudoeste central</t>
  </si>
  <si>
    <t>Nova Inglaterra</t>
  </si>
  <si>
    <t>Atlântico Sul</t>
  </si>
  <si>
    <t>Carne</t>
  </si>
  <si>
    <t>Ureia</t>
  </si>
  <si>
    <t>Latão e bronze</t>
  </si>
  <si>
    <t>Níquel</t>
  </si>
  <si>
    <t>Produtos de borracha</t>
  </si>
  <si>
    <t>Fundição e refinação não ferrosa</t>
  </si>
  <si>
    <t>Bagagem</t>
  </si>
  <si>
    <t>Calçado</t>
  </si>
  <si>
    <t>Madeira fabricada</t>
  </si>
  <si>
    <t>Gás industrial</t>
  </si>
  <si>
    <t>Álcali</t>
  </si>
  <si>
    <t>Negro de carbono</t>
  </si>
  <si>
    <t>Produto químico orgânico</t>
  </si>
  <si>
    <t>Produto químico inorgânico</t>
  </si>
  <si>
    <t>União Europeia</t>
  </si>
  <si>
    <t>Europa Ocidental</t>
  </si>
  <si>
    <t>América do Norte</t>
  </si>
  <si>
    <t>Comunidade de Estados Independentes (C.I.S.)</t>
  </si>
  <si>
    <t>Europa Central</t>
  </si>
  <si>
    <t>América Latina</t>
  </si>
  <si>
    <t>Médio Oriente</t>
  </si>
  <si>
    <t>Oceânia</t>
  </si>
  <si>
    <t>União das Repúblicas Socialistas Soviéticas (URSS)</t>
  </si>
  <si>
    <t>Cloro</t>
  </si>
  <si>
    <t>Etileno</t>
  </si>
  <si>
    <t>Cloreto de polivinil</t>
  </si>
  <si>
    <t>Poliestireno</t>
  </si>
  <si>
    <t>Polipropileno</t>
  </si>
  <si>
    <t>Polietileno</t>
  </si>
  <si>
    <t>Tijolo</t>
  </si>
  <si>
    <t>Gesso</t>
  </si>
  <si>
    <t>Países OCDE</t>
  </si>
  <si>
    <t>Incluindo matéria-prima</t>
  </si>
  <si>
    <t>Excluindo matéria-prima</t>
  </si>
  <si>
    <t>Etileno e coprodutos</t>
  </si>
  <si>
    <t>Forno em túnel</t>
  </si>
  <si>
    <t>Utensílios cerâmicos de mesa</t>
  </si>
  <si>
    <t>Cerâmica fina</t>
  </si>
  <si>
    <t>Utensílios cerâmicos sanitários</t>
  </si>
  <si>
    <t>Forno rotativo</t>
  </si>
  <si>
    <t>Forno vertical</t>
  </si>
  <si>
    <t>Fábrica média</t>
  </si>
  <si>
    <t>Fábrica pequena</t>
  </si>
  <si>
    <t>Fábrica Grande</t>
  </si>
  <si>
    <t>Alto forno</t>
  </si>
  <si>
    <t>Fornalha de oxigênio básico (BOF)</t>
  </si>
  <si>
    <t>Cozedura</t>
  </si>
  <si>
    <t>Sinterização</t>
  </si>
  <si>
    <t>Laminação</t>
  </si>
  <si>
    <t>Sintético</t>
  </si>
  <si>
    <t>Método complexo</t>
  </si>
  <si>
    <t>Método Bayer</t>
  </si>
  <si>
    <t>Metalurgia</t>
  </si>
  <si>
    <t>Ferro-gusa</t>
  </si>
  <si>
    <t>Liga de ferro</t>
  </si>
  <si>
    <t>Algodão</t>
  </si>
  <si>
    <t>Juta</t>
  </si>
  <si>
    <t>Poliéster</t>
  </si>
  <si>
    <t>Tecido cinza</t>
  </si>
  <si>
    <t>Papel Kraft</t>
  </si>
  <si>
    <t>Papel para escrever e imprimir</t>
  </si>
  <si>
    <t>Ásia Oriental</t>
  </si>
  <si>
    <t>Ásia do Sul</t>
  </si>
  <si>
    <t>Moinho de grãos e sementes oleaginosas</t>
  </si>
  <si>
    <t>Moinho de farinha húmido</t>
  </si>
  <si>
    <t>Açúcar</t>
  </si>
  <si>
    <t>Alimento especial</t>
  </si>
  <si>
    <t>Fruta</t>
  </si>
  <si>
    <t>Preservação</t>
  </si>
  <si>
    <t>Alta densidade</t>
  </si>
  <si>
    <t>Matadouro</t>
  </si>
  <si>
    <t>Produto químico bruto orgânico</t>
  </si>
  <si>
    <t>Fibra orgânica não celulósica</t>
  </si>
  <si>
    <t>Fosfato</t>
  </si>
  <si>
    <t>Fertilizante</t>
  </si>
  <si>
    <t>Médico</t>
  </si>
  <si>
    <t>Mineral não metálico</t>
  </si>
  <si>
    <t>Vidro</t>
  </si>
  <si>
    <t>Garrafa</t>
  </si>
  <si>
    <t>Soprado</t>
  </si>
  <si>
    <t>Prensado</t>
  </si>
  <si>
    <t>Cal</t>
  </si>
  <si>
    <t>Lã mineral</t>
  </si>
  <si>
    <t>Liga ferrosa eletrometalúrgica</t>
  </si>
  <si>
    <t>Aeroespaço</t>
  </si>
  <si>
    <t>Aeronave</t>
  </si>
  <si>
    <t>Extrudadas</t>
  </si>
  <si>
    <t>Camião</t>
  </si>
  <si>
    <t>Mobília</t>
  </si>
  <si>
    <t>Fundição em molde</t>
  </si>
  <si>
    <t>Excepto fundição em molde</t>
  </si>
  <si>
    <t>Alta pressão</t>
  </si>
  <si>
    <t>Baixa pressão</t>
  </si>
  <si>
    <t>Liga de aço</t>
  </si>
  <si>
    <t>Faixa laminada a frio</t>
  </si>
  <si>
    <t>Bobina laminada a quente</t>
  </si>
  <si>
    <t>Barra bruta</t>
  </si>
  <si>
    <t>Esponja</t>
  </si>
  <si>
    <t>Baixo teor de carbono</t>
  </si>
  <si>
    <t>Lingote</t>
  </si>
  <si>
    <t>Forjado</t>
  </si>
  <si>
    <t>Craqueamento a vapor</t>
  </si>
  <si>
    <t>Processo Solvay</t>
  </si>
  <si>
    <t>Processo duplo</t>
  </si>
  <si>
    <t>Butileno</t>
  </si>
  <si>
    <t>Polimerização</t>
  </si>
  <si>
    <t>Olefinas</t>
  </si>
  <si>
    <t>Bauxita</t>
  </si>
  <si>
    <t>Forno estacionário</t>
  </si>
  <si>
    <t>A céu aberto</t>
  </si>
  <si>
    <t>Subterrâneo</t>
  </si>
  <si>
    <t>Concentração</t>
  </si>
  <si>
    <t>Purificador</t>
  </si>
  <si>
    <t>Eletro-refinamento</t>
  </si>
  <si>
    <t>Extração por via eletrolítica</t>
  </si>
  <si>
    <t>Ácido sulfúrico</t>
  </si>
  <si>
    <t>Pré-calcinação</t>
  </si>
  <si>
    <t>Vidro flotado</t>
  </si>
  <si>
    <t>Cerâmico</t>
  </si>
  <si>
    <t>Outros estados</t>
  </si>
  <si>
    <t>Sudeste</t>
  </si>
  <si>
    <t>Centro-Oeste</t>
  </si>
  <si>
    <t>Veja a referência</t>
  </si>
  <si>
    <t>Limpando</t>
  </si>
  <si>
    <t>Caso de referência - %</t>
  </si>
  <si>
    <t>Caso proposto - %</t>
  </si>
  <si>
    <t>Aplicar filtro</t>
  </si>
  <si>
    <t>Uma nova versão do RETScreen está disponível.</t>
  </si>
  <si>
    <t>Portuguese</t>
  </si>
  <si>
    <t>Coimbra</t>
  </si>
  <si>
    <t>085490</t>
  </si>
  <si>
    <t>¡
¤</t>
  </si>
  <si>
    <t>poly-Si - aleo S_16 | 165</t>
  </si>
  <si>
    <t>Aleo Solar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</si>
</sst>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9" formatCode="_(* #,##0_);_(* \(#,##0\);_(* &quot;-&quot;_);_(@_)"/>
    <numFmt numFmtId="176" formatCode="_-&quot;$&quot;* #,##0_-;\-&quot;$&quot;* #,##0_-;_-&quot;$&quot;* &quot;-&quot;_-;_-@_-"/>
    <numFmt numFmtId="177" formatCode="_-&quot;$&quot;* #,##0.00_-;\-&quot;$&quot;* #,##0.00_-;_-&quot;$&quot;* &quot;-&quot;??_-;_-@_-"/>
    <numFmt numFmtId="178" formatCode="#,##0.0"/>
    <numFmt numFmtId="179" formatCode="0.0%"/>
    <numFmt numFmtId="180" formatCode="0.000"/>
    <numFmt numFmtId="181" formatCode="0.0"/>
    <numFmt numFmtId="182" formatCode="#,##0.000"/>
    <numFmt numFmtId="183" formatCode="0.0000"/>
    <numFmt numFmtId="184" formatCode="_([$$]* #,##0_);_([$$]* \(#,##0\);_([$$]* &quot;-&quot;_);_(@_)"/>
    <numFmt numFmtId="186" formatCode="#,##0\ [$month(s)]"/>
    <numFmt numFmtId="187" formatCode="0.00000"/>
    <numFmt numFmtId="188" formatCode="_([$AFA]* #,##0_);_([$AFA]* \(#,##0\);_([$AFA]* &quot;-&quot;_);_(@_)"/>
    <numFmt numFmtId="189" formatCode="#,##0.00000"/>
    <numFmt numFmtId="190" formatCode="#,##0.0000000"/>
    <numFmt numFmtId="191" formatCode="_([$£]* #,##0_);_([$£]* \(#,##0\);_([$£]* &quot;-&quot;_);_(@_)"/>
    <numFmt numFmtId="192" formatCode="#,##0.0000"/>
    <numFmt numFmtId="193" formatCode="_-&quot;$&quot;* #,##0.000_-;\-&quot;$&quot;* #,##0.000_-;_-&quot;$&quot;* &quot;-&quot;_-;_-@_-"/>
    <numFmt numFmtId="194" formatCode="#0.00%"/>
    <numFmt numFmtId="195" formatCode="#0.0%"/>
    <numFmt numFmtId="209" formatCode="#,##0\ [$mes(es)]"/>
    <numFmt numFmtId="218" formatCode="_([$€]* #,##0_);_([$€]* \(#,##0\);_([$€]* &quot;-&quot;_);_(@_)"/>
    <numFmt numFmtId="219" formatCode="_([$€]* #,##0.000_);_([$€]* \(#,##0.000\);_([$€]* &quot;-&quot;_);_(@_)"/>
  </numFmts>
  <fonts count="46">
    <font>
      <sz val="10"/>
      <name val="Arial"/>
      <family val="2"/>
    </font>
    <font>
      <sz val="10"/>
      <name val="Arial"/>
      <family val="2"/>
    </font>
    <font>
      <b/>
      <sz val="10"/>
      <name val="Arial"/>
      <family val="2"/>
    </font>
    <font>
      <sz val="10"/>
      <color indexed="9"/>
      <name val="Arial"/>
      <family val="2"/>
    </font>
    <font>
      <b/>
      <sz val="13"/>
      <color indexed="18"/>
      <name val="Arial"/>
      <family val="2"/>
    </font>
    <font>
      <i/>
      <u/>
      <sz val="10"/>
      <color indexed="12"/>
      <name val="Arial"/>
      <family val="2"/>
    </font>
    <font>
      <sz val="10"/>
      <color indexed="18"/>
      <name val="Arial"/>
      <family val="2"/>
    </font>
    <font>
      <sz val="10"/>
      <color indexed="18"/>
      <name val="Arial"/>
      <family val="2"/>
    </font>
    <font>
      <b/>
      <sz val="10"/>
      <name val="Arial"/>
      <family val="2"/>
    </font>
    <font>
      <sz val="10"/>
      <color indexed="9"/>
      <name val="Arial"/>
      <family val="2"/>
    </font>
    <font>
      <sz val="10"/>
      <name val="Arial"/>
      <family val="2"/>
    </font>
    <font>
      <b/>
      <sz val="11"/>
      <color indexed="18"/>
      <name val="Arial"/>
      <family val="2"/>
    </font>
    <font>
      <b/>
      <sz val="10"/>
      <color indexed="9"/>
      <name val="Arial"/>
      <family val="2"/>
    </font>
    <font>
      <vertAlign val="subscript"/>
      <sz val="10"/>
      <name val="Arial"/>
      <family val="2"/>
    </font>
    <font>
      <sz val="10"/>
      <color indexed="8"/>
      <name val="Arial"/>
      <family val="2"/>
    </font>
    <font>
      <sz val="10"/>
      <color indexed="10"/>
      <name val="Arial"/>
      <family val="2"/>
    </font>
    <font>
      <sz val="10"/>
      <name val="Arial"/>
      <family val="2"/>
    </font>
    <font>
      <sz val="8"/>
      <name val="Arial"/>
      <family val="2"/>
    </font>
    <font>
      <vertAlign val="superscript"/>
      <sz val="10"/>
      <name val="Arial"/>
      <family val="2"/>
    </font>
    <font>
      <sz val="8"/>
      <color indexed="9"/>
      <name val="Arial"/>
      <family val="2"/>
    </font>
    <font>
      <u/>
      <sz val="10"/>
      <name val="Arial"/>
      <family val="2"/>
    </font>
    <font>
      <sz val="10"/>
      <color indexed="10"/>
      <name val="Arial"/>
      <family val="2"/>
    </font>
    <font>
      <sz val="10"/>
      <color indexed="8"/>
      <name val="Arial"/>
      <family val="2"/>
    </font>
    <font>
      <i/>
      <u/>
      <sz val="10"/>
      <color indexed="12"/>
      <name val="Arial Unicode MS"/>
      <family val="2"/>
    </font>
    <font>
      <u/>
      <sz val="10"/>
      <name val="Arial Unicode MS"/>
      <family val="2"/>
    </font>
    <font>
      <b/>
      <i/>
      <sz val="14"/>
      <color indexed="9"/>
      <name val="Arial Unicode MS"/>
      <family val="2"/>
    </font>
    <font>
      <sz val="10"/>
      <name val="Arial Unicode MS"/>
      <family val="2"/>
    </font>
    <font>
      <sz val="10"/>
      <name val="Arial"/>
    </font>
    <font>
      <b/>
      <i/>
      <sz val="10"/>
      <color indexed="57"/>
      <name val="Arial"/>
      <family val="2"/>
    </font>
    <font>
      <b/>
      <sz val="14"/>
      <name val="Arial"/>
      <family val="2"/>
    </font>
    <font>
      <sz val="10"/>
      <color indexed="55"/>
      <name val="Arial"/>
      <family val="2"/>
    </font>
    <font>
      <sz val="10"/>
      <name val="Arial Narrow"/>
      <family val="2"/>
    </font>
    <font>
      <b/>
      <sz val="10"/>
      <color indexed="8"/>
      <name val="Arial"/>
      <family val="2"/>
    </font>
    <font>
      <u/>
      <sz val="9.1999999999999993"/>
      <color indexed="12"/>
      <name val="Arial"/>
    </font>
    <font>
      <i/>
      <u/>
      <sz val="10"/>
      <color indexed="9"/>
      <name val="Arial"/>
      <family val="2"/>
    </font>
    <font>
      <b/>
      <sz val="13"/>
      <color indexed="62"/>
      <name val="Arial"/>
      <family val="2"/>
    </font>
    <font>
      <b/>
      <sz val="10"/>
      <color indexed="10"/>
      <name val="Arial"/>
      <family val="2"/>
    </font>
    <font>
      <b/>
      <sz val="12"/>
      <name val="Arial"/>
      <family val="2"/>
    </font>
    <font>
      <b/>
      <i/>
      <sz val="12"/>
      <color indexed="57"/>
      <name val="Arial"/>
      <family val="2"/>
    </font>
    <font>
      <sz val="10"/>
      <name val="Marlett"/>
      <charset val="2"/>
    </font>
    <font>
      <sz val="10"/>
      <name val="Wingdings"/>
      <charset val="2"/>
    </font>
    <font>
      <b/>
      <sz val="11"/>
      <color indexed="8"/>
      <name val="Calibri"/>
      <family val="2"/>
    </font>
    <font>
      <b/>
      <sz val="10"/>
      <color indexed="9"/>
      <name val="Wingdings"/>
      <charset val="2"/>
    </font>
    <font>
      <sz val="10"/>
      <color indexed="9"/>
      <name val="Wingdings"/>
      <charset val="2"/>
    </font>
    <font>
      <sz val="8"/>
      <name val="CourierPS"/>
      <family val="3"/>
    </font>
    <font>
      <sz val="13.8"/>
      <name val="Arial"/>
      <family val="2"/>
    </font>
  </fonts>
  <fills count="14">
    <fill>
      <patternFill patternType="none"/>
    </fill>
    <fill>
      <patternFill patternType="gray125"/>
    </fill>
    <fill>
      <patternFill patternType="solid">
        <fgColor indexed="43"/>
        <bgColor indexed="64"/>
      </patternFill>
    </fill>
    <fill>
      <patternFill patternType="solid">
        <fgColor indexed="47"/>
        <bgColor indexed="64"/>
      </patternFill>
    </fill>
    <fill>
      <patternFill patternType="solid">
        <fgColor indexed="9"/>
        <bgColor indexed="64"/>
      </patternFill>
    </fill>
    <fill>
      <patternFill patternType="solid">
        <fgColor indexed="44"/>
        <bgColor indexed="64"/>
      </patternFill>
    </fill>
    <fill>
      <patternFill patternType="solid">
        <fgColor indexed="18"/>
        <bgColor indexed="64"/>
      </patternFill>
    </fill>
    <fill>
      <patternFill patternType="solid">
        <fgColor indexed="22"/>
        <bgColor indexed="64"/>
      </patternFill>
    </fill>
    <fill>
      <patternFill patternType="solid">
        <fgColor indexed="62"/>
        <bgColor indexed="64"/>
      </patternFill>
    </fill>
    <fill>
      <patternFill patternType="solid">
        <fgColor indexed="26"/>
        <bgColor indexed="64"/>
      </patternFill>
    </fill>
    <fill>
      <patternFill patternType="solid">
        <fgColor indexed="42"/>
        <bgColor indexed="64"/>
      </patternFill>
    </fill>
    <fill>
      <patternFill patternType="solid">
        <fgColor indexed="57"/>
        <bgColor indexed="64"/>
      </patternFill>
    </fill>
    <fill>
      <patternFill patternType="solid">
        <fgColor indexed="14"/>
        <bgColor indexed="64"/>
      </patternFill>
    </fill>
    <fill>
      <patternFill patternType="solid">
        <fgColor indexed="13"/>
        <bgColor indexed="64"/>
      </patternFill>
    </fill>
  </fills>
  <borders count="68">
    <border>
      <left/>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49"/>
      </top>
      <bottom style="double">
        <color indexed="49"/>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style="thin">
        <color indexed="64"/>
      </right>
      <top style="double">
        <color indexed="64"/>
      </top>
      <bottom/>
      <diagonal/>
    </border>
    <border>
      <left/>
      <right/>
      <top style="thin">
        <color indexed="64"/>
      </top>
      <bottom style="thin">
        <color indexed="64"/>
      </bottom>
      <diagonal/>
    </border>
    <border>
      <left/>
      <right/>
      <top style="double">
        <color indexed="64"/>
      </top>
      <bottom/>
      <diagonal/>
    </border>
    <border>
      <left style="thin">
        <color indexed="64"/>
      </left>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style="double">
        <color indexed="64"/>
      </top>
      <bottom style="thin">
        <color indexed="64"/>
      </bottom>
      <diagonal/>
    </border>
    <border>
      <left/>
      <right style="thin">
        <color indexed="64"/>
      </right>
      <top/>
      <bottom style="medium">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double">
        <color indexed="64"/>
      </top>
      <bottom/>
      <diagonal/>
    </border>
    <border>
      <left style="thin">
        <color indexed="64"/>
      </left>
      <right/>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top style="medium">
        <color indexed="64"/>
      </top>
      <bottom/>
      <diagonal/>
    </border>
    <border>
      <left style="thick">
        <color indexed="9"/>
      </left>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bottom style="double">
        <color indexed="64"/>
      </bottom>
      <diagonal/>
    </border>
    <border>
      <left/>
      <right style="thin">
        <color indexed="64"/>
      </right>
      <top style="double">
        <color indexed="64"/>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9"/>
      </bottom>
      <diagonal/>
    </border>
    <border>
      <left/>
      <right style="thin">
        <color indexed="9"/>
      </right>
      <top/>
      <bottom style="thin">
        <color indexed="9"/>
      </bottom>
      <diagonal/>
    </border>
    <border>
      <left style="thin">
        <color indexed="9"/>
      </left>
      <right style="thin">
        <color indexed="9"/>
      </right>
      <top style="thin">
        <color indexed="9"/>
      </top>
      <bottom style="thin">
        <color indexed="9"/>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ck">
        <color indexed="9"/>
      </right>
      <top/>
      <bottom/>
      <diagonal/>
    </border>
    <border diagonalUp="1" diagonalDown="1">
      <left style="thin">
        <color indexed="64"/>
      </left>
      <right/>
      <top style="thin">
        <color indexed="64"/>
      </top>
      <bottom/>
      <diagonal style="thin">
        <color indexed="64"/>
      </diagonal>
    </border>
    <border>
      <left/>
      <right style="medium">
        <color indexed="9"/>
      </right>
      <top/>
      <bottom/>
      <diagonal/>
    </border>
  </borders>
  <cellStyleXfs count="19">
    <xf numFmtId="0" fontId="0" fillId="0" borderId="0"/>
    <xf numFmtId="4" fontId="27" fillId="2" borderId="1" applyNumberFormat="0" applyFont="0" applyBorder="0" applyAlignment="0">
      <alignment horizontal="center"/>
      <protection locked="0"/>
    </xf>
    <xf numFmtId="177" fontId="1" fillId="0" borderId="0" applyFont="0" applyFill="0" applyBorder="0" applyAlignment="0" applyProtection="0"/>
    <xf numFmtId="4" fontId="27" fillId="3" borderId="1" applyNumberFormat="0" applyFont="0" applyBorder="0" applyAlignment="0">
      <alignment horizontal="center"/>
      <protection locked="0"/>
    </xf>
    <xf numFmtId="4" fontId="27" fillId="0" borderId="2" applyNumberFormat="0" applyFont="0" applyBorder="0" applyAlignment="0">
      <alignment horizontal="center"/>
      <protection hidden="1"/>
    </xf>
    <xf numFmtId="0" fontId="33"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1" fillId="0" borderId="0"/>
    <xf numFmtId="0" fontId="27" fillId="0" borderId="0"/>
    <xf numFmtId="0" fontId="1" fillId="0" borderId="0"/>
    <xf numFmtId="0" fontId="27" fillId="0" borderId="0"/>
    <xf numFmtId="0" fontId="27" fillId="0" borderId="0"/>
    <xf numFmtId="9" fontId="1" fillId="0" borderId="0" applyFont="0" applyFill="0" applyBorder="0" applyAlignment="0" applyProtection="0"/>
    <xf numFmtId="0" fontId="41" fillId="0" borderId="3" applyNumberFormat="0" applyFill="0" applyAlignment="0" applyProtection="0"/>
  </cellStyleXfs>
  <cellXfs count="1392">
    <xf numFmtId="0" fontId="0" fillId="0" borderId="0" xfId="0"/>
    <xf numFmtId="0" fontId="0" fillId="4" borderId="0" xfId="0" applyFill="1" applyProtection="1">
      <protection hidden="1"/>
    </xf>
    <xf numFmtId="0" fontId="0" fillId="4" borderId="0" xfId="0" applyFill="1"/>
    <xf numFmtId="0" fontId="0" fillId="0" borderId="0" xfId="0" applyProtection="1">
      <protection locked="0"/>
    </xf>
    <xf numFmtId="0" fontId="4" fillId="4" borderId="4" xfId="0" applyFont="1" applyFill="1" applyBorder="1" applyAlignment="1" applyProtection="1">
      <alignment horizontal="right" indent="1"/>
      <protection hidden="1"/>
    </xf>
    <xf numFmtId="0" fontId="0" fillId="4" borderId="4" xfId="0" applyFill="1" applyBorder="1" applyProtection="1">
      <protection hidden="1"/>
    </xf>
    <xf numFmtId="0" fontId="0" fillId="4" borderId="5" xfId="0" applyFill="1" applyBorder="1" applyProtection="1">
      <protection hidden="1"/>
    </xf>
    <xf numFmtId="0" fontId="6" fillId="4" borderId="0" xfId="0" applyFont="1" applyFill="1" applyBorder="1" applyAlignment="1" applyProtection="1">
      <alignment horizontal="right" indent="1"/>
      <protection hidden="1"/>
    </xf>
    <xf numFmtId="0" fontId="0" fillId="4" borderId="0" xfId="0" applyFill="1" applyBorder="1" applyProtection="1">
      <protection hidden="1"/>
    </xf>
    <xf numFmtId="0" fontId="0" fillId="4" borderId="6" xfId="0" applyFill="1" applyBorder="1" applyProtection="1">
      <protection hidden="1"/>
    </xf>
    <xf numFmtId="0" fontId="6" fillId="4" borderId="0" xfId="0" applyFont="1" applyFill="1" applyBorder="1" applyAlignment="1" applyProtection="1">
      <alignment horizontal="right" vertical="center" indent="1"/>
      <protection hidden="1"/>
    </xf>
    <xf numFmtId="0" fontId="0" fillId="4" borderId="7" xfId="0" applyFill="1" applyBorder="1" applyProtection="1">
      <protection hidden="1"/>
    </xf>
    <xf numFmtId="0" fontId="0" fillId="4" borderId="8" xfId="0" applyFill="1" applyBorder="1" applyProtection="1">
      <protection hidden="1"/>
    </xf>
    <xf numFmtId="0" fontId="7" fillId="4" borderId="0" xfId="0" applyFont="1" applyFill="1" applyBorder="1" applyAlignment="1" applyProtection="1">
      <alignment horizontal="right" indent="1"/>
      <protection hidden="1"/>
    </xf>
    <xf numFmtId="0" fontId="0" fillId="4" borderId="9" xfId="0" applyFill="1" applyBorder="1" applyProtection="1">
      <protection hidden="1"/>
    </xf>
    <xf numFmtId="0" fontId="0" fillId="4" borderId="10" xfId="0" applyFill="1" applyBorder="1" applyProtection="1">
      <protection hidden="1"/>
    </xf>
    <xf numFmtId="0" fontId="2" fillId="4" borderId="4" xfId="0" applyFont="1" applyFill="1" applyBorder="1" applyAlignment="1" applyProtection="1">
      <alignment horizontal="center"/>
      <protection hidden="1"/>
    </xf>
    <xf numFmtId="0" fontId="1" fillId="4" borderId="8" xfId="0" applyFont="1" applyFill="1" applyBorder="1" applyAlignment="1" applyProtection="1">
      <alignment horizontal="left" indent="1"/>
      <protection hidden="1"/>
    </xf>
    <xf numFmtId="0" fontId="1" fillId="4" borderId="8" xfId="0" applyFont="1" applyFill="1" applyBorder="1" applyProtection="1">
      <protection hidden="1"/>
    </xf>
    <xf numFmtId="0" fontId="8" fillId="4" borderId="8" xfId="0" applyFont="1" applyFill="1" applyBorder="1" applyAlignment="1" applyProtection="1">
      <alignment horizontal="left" indent="1"/>
      <protection hidden="1"/>
    </xf>
    <xf numFmtId="0" fontId="2" fillId="4" borderId="0" xfId="0" applyFont="1" applyFill="1" applyBorder="1" applyAlignment="1" applyProtection="1">
      <alignment horizontal="center" wrapText="1"/>
      <protection hidden="1"/>
    </xf>
    <xf numFmtId="0" fontId="0" fillId="4" borderId="0" xfId="0" applyFill="1" applyBorder="1" applyAlignment="1" applyProtection="1">
      <alignment horizontal="center"/>
      <protection hidden="1"/>
    </xf>
    <xf numFmtId="0" fontId="0" fillId="0" borderId="0" xfId="0" applyBorder="1"/>
    <xf numFmtId="0" fontId="0" fillId="5" borderId="0" xfId="0" applyFill="1" applyBorder="1" applyProtection="1">
      <protection hidden="1"/>
    </xf>
    <xf numFmtId="11" fontId="0" fillId="0" borderId="0" xfId="0" applyNumberFormat="1"/>
    <xf numFmtId="0" fontId="12" fillId="6" borderId="0" xfId="0" applyFont="1" applyFill="1" applyProtection="1">
      <protection hidden="1"/>
    </xf>
    <xf numFmtId="0" fontId="12" fillId="6" borderId="0" xfId="0" applyFont="1" applyFill="1" applyAlignment="1" applyProtection="1">
      <alignment horizontal="center"/>
      <protection hidden="1"/>
    </xf>
    <xf numFmtId="0" fontId="12" fillId="6" borderId="6" xfId="0" applyFont="1" applyFill="1" applyBorder="1" applyProtection="1">
      <protection hidden="1"/>
    </xf>
    <xf numFmtId="0" fontId="2" fillId="4" borderId="0" xfId="0" applyFont="1" applyFill="1" applyProtection="1">
      <protection hidden="1"/>
    </xf>
    <xf numFmtId="0" fontId="0" fillId="4" borderId="0" xfId="0" applyFill="1" applyAlignment="1" applyProtection="1">
      <alignment horizontal="center"/>
      <protection hidden="1"/>
    </xf>
    <xf numFmtId="3" fontId="0" fillId="4" borderId="0" xfId="0" applyNumberFormat="1" applyFill="1" applyAlignment="1" applyProtection="1">
      <alignment horizontal="center"/>
      <protection hidden="1"/>
    </xf>
    <xf numFmtId="3" fontId="2" fillId="4" borderId="0" xfId="0" applyNumberFormat="1" applyFont="1" applyFill="1" applyBorder="1" applyAlignment="1" applyProtection="1">
      <alignment horizontal="center"/>
      <protection hidden="1"/>
    </xf>
    <xf numFmtId="3" fontId="10" fillId="4" borderId="0" xfId="0" applyNumberFormat="1" applyFont="1" applyFill="1" applyAlignment="1" applyProtection="1">
      <alignment horizontal="center"/>
      <protection hidden="1"/>
    </xf>
    <xf numFmtId="0" fontId="0" fillId="4" borderId="10" xfId="0" applyFill="1" applyBorder="1" applyAlignment="1" applyProtection="1">
      <alignment horizontal="center"/>
      <protection hidden="1"/>
    </xf>
    <xf numFmtId="3" fontId="0" fillId="4" borderId="10" xfId="0" applyNumberFormat="1" applyFill="1" applyBorder="1" applyAlignment="1" applyProtection="1">
      <alignment horizontal="center"/>
      <protection hidden="1"/>
    </xf>
    <xf numFmtId="0" fontId="2" fillId="4" borderId="11" xfId="0" applyFont="1" applyFill="1" applyBorder="1" applyAlignment="1" applyProtection="1">
      <alignment horizontal="center"/>
      <protection hidden="1"/>
    </xf>
    <xf numFmtId="181" fontId="0" fillId="4" borderId="0" xfId="0" applyNumberFormat="1" applyFill="1" applyAlignment="1" applyProtection="1">
      <alignment horizontal="center"/>
      <protection hidden="1"/>
    </xf>
    <xf numFmtId="3" fontId="0" fillId="4" borderId="6" xfId="0" applyNumberFormat="1" applyFill="1" applyBorder="1" applyAlignment="1" applyProtection="1">
      <alignment horizontal="center"/>
      <protection hidden="1"/>
    </xf>
    <xf numFmtId="0" fontId="0" fillId="4" borderId="6" xfId="0" applyFill="1" applyBorder="1" applyAlignment="1" applyProtection="1">
      <alignment horizontal="center"/>
      <protection hidden="1"/>
    </xf>
    <xf numFmtId="3" fontId="0" fillId="4" borderId="0" xfId="0" applyNumberFormat="1" applyFill="1" applyProtection="1">
      <protection hidden="1"/>
    </xf>
    <xf numFmtId="9" fontId="0" fillId="4" borderId="0" xfId="17" applyFont="1" applyFill="1" applyAlignment="1" applyProtection="1">
      <alignment horizontal="center"/>
      <protection hidden="1"/>
    </xf>
    <xf numFmtId="3" fontId="0" fillId="4" borderId="10" xfId="0" applyNumberFormat="1" applyFill="1" applyBorder="1" applyProtection="1">
      <protection hidden="1"/>
    </xf>
    <xf numFmtId="3" fontId="0" fillId="4" borderId="7" xfId="0" applyNumberFormat="1" applyFill="1" applyBorder="1" applyAlignment="1" applyProtection="1">
      <alignment horizontal="center"/>
      <protection hidden="1"/>
    </xf>
    <xf numFmtId="0" fontId="0" fillId="4" borderId="12" xfId="0" applyFill="1" applyBorder="1" applyProtection="1">
      <protection hidden="1"/>
    </xf>
    <xf numFmtId="0" fontId="0" fillId="4" borderId="13" xfId="0" applyFill="1" applyBorder="1" applyProtection="1">
      <protection hidden="1"/>
    </xf>
    <xf numFmtId="0" fontId="2" fillId="4" borderId="0" xfId="0" applyFont="1" applyFill="1" applyAlignment="1" applyProtection="1">
      <alignment horizontal="center"/>
      <protection hidden="1"/>
    </xf>
    <xf numFmtId="0" fontId="0" fillId="4" borderId="14" xfId="0" applyFill="1" applyBorder="1" applyProtection="1">
      <protection hidden="1"/>
    </xf>
    <xf numFmtId="0" fontId="0" fillId="4" borderId="15" xfId="0" applyFill="1" applyBorder="1" applyProtection="1">
      <protection hidden="1"/>
    </xf>
    <xf numFmtId="0" fontId="2" fillId="4" borderId="9" xfId="0" applyFont="1" applyFill="1" applyBorder="1" applyProtection="1">
      <protection hidden="1"/>
    </xf>
    <xf numFmtId="0" fontId="2" fillId="4" borderId="10" xfId="0" applyFont="1" applyFill="1" applyBorder="1" applyProtection="1">
      <protection hidden="1"/>
    </xf>
    <xf numFmtId="0" fontId="0" fillId="4" borderId="16" xfId="0" applyFill="1" applyBorder="1" applyProtection="1">
      <protection hidden="1"/>
    </xf>
    <xf numFmtId="0" fontId="0" fillId="4" borderId="17" xfId="0" applyFill="1" applyBorder="1" applyProtection="1">
      <protection hidden="1"/>
    </xf>
    <xf numFmtId="184" fontId="0" fillId="4" borderId="0" xfId="0" applyNumberFormat="1" applyFill="1" applyBorder="1" applyProtection="1">
      <protection hidden="1"/>
    </xf>
    <xf numFmtId="0" fontId="0" fillId="0" borderId="0" xfId="0" quotePrefix="1"/>
    <xf numFmtId="3" fontId="2" fillId="4" borderId="0" xfId="0" applyNumberFormat="1" applyFont="1" applyFill="1" applyAlignment="1" applyProtection="1">
      <alignment horizontal="center"/>
      <protection hidden="1"/>
    </xf>
    <xf numFmtId="179" fontId="0" fillId="4" borderId="0" xfId="17" applyNumberFormat="1" applyFont="1" applyFill="1" applyAlignment="1" applyProtection="1">
      <alignment horizontal="center"/>
      <protection hidden="1"/>
    </xf>
    <xf numFmtId="0" fontId="10" fillId="4" borderId="0" xfId="0" applyFont="1" applyFill="1" applyProtection="1">
      <protection hidden="1"/>
    </xf>
    <xf numFmtId="0" fontId="2" fillId="6" borderId="0" xfId="0" applyFont="1" applyFill="1" applyProtection="1">
      <protection hidden="1"/>
    </xf>
    <xf numFmtId="0" fontId="2" fillId="6" borderId="6" xfId="0" applyFont="1" applyFill="1" applyBorder="1" applyProtection="1">
      <protection hidden="1"/>
    </xf>
    <xf numFmtId="180" fontId="0" fillId="4" borderId="4" xfId="0" applyNumberFormat="1" applyFill="1" applyBorder="1" applyAlignment="1" applyProtection="1">
      <alignment horizontal="center"/>
      <protection hidden="1"/>
    </xf>
    <xf numFmtId="0" fontId="0" fillId="4" borderId="18" xfId="0" applyFill="1" applyBorder="1" applyProtection="1">
      <protection hidden="1"/>
    </xf>
    <xf numFmtId="0" fontId="12" fillId="4" borderId="10" xfId="0" applyFont="1" applyFill="1" applyBorder="1" applyAlignment="1" applyProtection="1">
      <alignment horizontal="center" wrapText="1"/>
      <protection hidden="1"/>
    </xf>
    <xf numFmtId="0" fontId="0" fillId="4" borderId="10" xfId="0" applyFill="1" applyBorder="1" applyAlignment="1" applyProtection="1">
      <alignment horizontal="center" wrapText="1"/>
      <protection hidden="1"/>
    </xf>
    <xf numFmtId="0" fontId="12" fillId="4" borderId="6" xfId="0" applyFont="1" applyFill="1" applyBorder="1" applyAlignment="1" applyProtection="1">
      <alignment horizontal="center" wrapText="1"/>
      <protection hidden="1"/>
    </xf>
    <xf numFmtId="0" fontId="14" fillId="4" borderId="0" xfId="0" applyFont="1" applyFill="1" applyProtection="1">
      <protection hidden="1"/>
    </xf>
    <xf numFmtId="0" fontId="15" fillId="4" borderId="0" xfId="0" applyFont="1" applyFill="1" applyProtection="1">
      <protection hidden="1"/>
    </xf>
    <xf numFmtId="0" fontId="3" fillId="4" borderId="6" xfId="0" applyFont="1" applyFill="1" applyBorder="1" applyProtection="1">
      <protection hidden="1"/>
    </xf>
    <xf numFmtId="0" fontId="3" fillId="4" borderId="0" xfId="0" applyFont="1" applyFill="1" applyProtection="1">
      <protection hidden="1"/>
    </xf>
    <xf numFmtId="0" fontId="9" fillId="4" borderId="8" xfId="0" applyFont="1" applyFill="1" applyBorder="1" applyProtection="1">
      <protection hidden="1"/>
    </xf>
    <xf numFmtId="0" fontId="12" fillId="4" borderId="0" xfId="0" applyFont="1" applyFill="1" applyProtection="1">
      <protection hidden="1"/>
    </xf>
    <xf numFmtId="0" fontId="0" fillId="0" borderId="16" xfId="0" applyBorder="1"/>
    <xf numFmtId="0" fontId="0" fillId="0" borderId="4" xfId="0" applyBorder="1"/>
    <xf numFmtId="0" fontId="0" fillId="0" borderId="5" xfId="0" applyBorder="1"/>
    <xf numFmtId="0" fontId="0" fillId="0" borderId="8" xfId="0" applyBorder="1"/>
    <xf numFmtId="0" fontId="0" fillId="0" borderId="6" xfId="0" applyBorder="1"/>
    <xf numFmtId="0" fontId="0" fillId="0" borderId="9" xfId="0" applyBorder="1"/>
    <xf numFmtId="0" fontId="0" fillId="0" borderId="10" xfId="0" applyBorder="1"/>
    <xf numFmtId="0" fontId="0" fillId="0" borderId="7" xfId="0" applyBorder="1"/>
    <xf numFmtId="2" fontId="0" fillId="0" borderId="0" xfId="0" applyNumberFormat="1"/>
    <xf numFmtId="0" fontId="0" fillId="4" borderId="0" xfId="0" applyFill="1" applyAlignment="1" applyProtection="1">
      <alignment horizontal="right"/>
      <protection hidden="1"/>
    </xf>
    <xf numFmtId="179" fontId="0" fillId="4" borderId="0" xfId="0" applyNumberFormat="1" applyFill="1" applyAlignment="1" applyProtection="1">
      <alignment horizontal="center"/>
      <protection hidden="1"/>
    </xf>
    <xf numFmtId="179" fontId="0" fillId="4" borderId="10" xfId="0" applyNumberFormat="1" applyFill="1" applyBorder="1" applyAlignment="1" applyProtection="1">
      <alignment horizontal="center"/>
      <protection hidden="1"/>
    </xf>
    <xf numFmtId="0" fontId="2" fillId="4" borderId="0" xfId="0" applyFont="1" applyFill="1" applyAlignment="1" applyProtection="1">
      <alignment horizontal="center" wrapText="1"/>
      <protection hidden="1"/>
    </xf>
    <xf numFmtId="0" fontId="0" fillId="4" borderId="0" xfId="0" applyFill="1" applyAlignment="1" applyProtection="1">
      <alignment horizontal="right" indent="1"/>
      <protection hidden="1"/>
    </xf>
    <xf numFmtId="179" fontId="0" fillId="4" borderId="16" xfId="17" applyNumberFormat="1" applyFont="1" applyFill="1" applyBorder="1" applyAlignment="1" applyProtection="1">
      <alignment horizontal="center"/>
      <protection hidden="1"/>
    </xf>
    <xf numFmtId="0" fontId="0" fillId="4" borderId="4" xfId="0" applyFill="1" applyBorder="1" applyAlignment="1" applyProtection="1">
      <alignment horizontal="center"/>
      <protection hidden="1"/>
    </xf>
    <xf numFmtId="3" fontId="0" fillId="4" borderId="4" xfId="0" applyNumberFormat="1" applyFill="1" applyBorder="1" applyAlignment="1" applyProtection="1">
      <alignment horizontal="center"/>
      <protection hidden="1"/>
    </xf>
    <xf numFmtId="179" fontId="0" fillId="4" borderId="8" xfId="17" applyNumberFormat="1" applyFont="1" applyFill="1" applyBorder="1" applyAlignment="1" applyProtection="1">
      <alignment horizontal="center"/>
      <protection hidden="1"/>
    </xf>
    <xf numFmtId="3" fontId="0" fillId="4" borderId="0" xfId="0" applyNumberFormat="1" applyFill="1" applyBorder="1" applyAlignment="1" applyProtection="1">
      <alignment horizontal="center"/>
      <protection hidden="1"/>
    </xf>
    <xf numFmtId="179" fontId="0" fillId="4" borderId="9" xfId="17" applyNumberFormat="1" applyFont="1" applyFill="1" applyBorder="1" applyAlignment="1" applyProtection="1">
      <alignment horizontal="center"/>
      <protection hidden="1"/>
    </xf>
    <xf numFmtId="3" fontId="0" fillId="4" borderId="5" xfId="0" applyNumberFormat="1" applyFill="1" applyBorder="1" applyAlignment="1" applyProtection="1">
      <alignment horizontal="center"/>
      <protection hidden="1"/>
    </xf>
    <xf numFmtId="0" fontId="0" fillId="4" borderId="16" xfId="0" applyFill="1" applyBorder="1" applyAlignment="1" applyProtection="1">
      <alignment horizontal="center"/>
      <protection hidden="1"/>
    </xf>
    <xf numFmtId="0" fontId="0" fillId="4" borderId="5" xfId="0" applyFill="1" applyBorder="1" applyAlignment="1" applyProtection="1">
      <alignment horizontal="center"/>
      <protection hidden="1"/>
    </xf>
    <xf numFmtId="0" fontId="0" fillId="4" borderId="8" xfId="0" applyFill="1" applyBorder="1" applyAlignment="1" applyProtection="1">
      <alignment horizontal="center"/>
      <protection hidden="1"/>
    </xf>
    <xf numFmtId="0" fontId="0" fillId="4" borderId="9" xfId="0" applyFill="1" applyBorder="1" applyAlignment="1" applyProtection="1">
      <alignment horizontal="center"/>
      <protection hidden="1"/>
    </xf>
    <xf numFmtId="0" fontId="0" fillId="4" borderId="7" xfId="0" applyFill="1" applyBorder="1" applyAlignment="1" applyProtection="1">
      <alignment horizontal="center"/>
      <protection hidden="1"/>
    </xf>
    <xf numFmtId="9" fontId="0" fillId="4" borderId="0" xfId="0" applyNumberFormat="1" applyFill="1" applyAlignment="1" applyProtection="1">
      <alignment horizontal="center"/>
      <protection hidden="1"/>
    </xf>
    <xf numFmtId="182" fontId="0" fillId="4" borderId="0" xfId="0" applyNumberFormat="1" applyFill="1" applyAlignment="1" applyProtection="1">
      <alignment horizontal="center"/>
      <protection hidden="1"/>
    </xf>
    <xf numFmtId="0" fontId="2" fillId="4" borderId="4" xfId="0" applyFont="1" applyFill="1" applyBorder="1" applyProtection="1">
      <protection hidden="1"/>
    </xf>
    <xf numFmtId="181" fontId="0" fillId="4" borderId="10" xfId="0" applyNumberFormat="1" applyFill="1" applyBorder="1" applyAlignment="1" applyProtection="1">
      <alignment horizontal="center"/>
      <protection hidden="1"/>
    </xf>
    <xf numFmtId="2" fontId="0" fillId="4" borderId="0" xfId="0" applyNumberFormat="1" applyFill="1" applyAlignment="1" applyProtection="1">
      <alignment horizontal="center"/>
      <protection hidden="1"/>
    </xf>
    <xf numFmtId="1" fontId="0" fillId="4" borderId="0" xfId="0" applyNumberFormat="1" applyFill="1" applyProtection="1">
      <protection hidden="1"/>
    </xf>
    <xf numFmtId="9" fontId="0" fillId="4" borderId="10" xfId="17" applyFont="1" applyFill="1" applyBorder="1" applyAlignment="1" applyProtection="1">
      <alignment horizontal="center"/>
      <protection hidden="1"/>
    </xf>
    <xf numFmtId="9" fontId="0" fillId="4" borderId="0" xfId="0" applyNumberFormat="1" applyFill="1" applyProtection="1">
      <protection hidden="1"/>
    </xf>
    <xf numFmtId="9" fontId="0" fillId="4" borderId="10" xfId="0" applyNumberFormat="1" applyFill="1" applyBorder="1" applyAlignment="1" applyProtection="1">
      <alignment horizontal="center"/>
      <protection hidden="1"/>
    </xf>
    <xf numFmtId="0" fontId="2" fillId="4" borderId="0" xfId="0" applyFont="1" applyFill="1" applyAlignment="1" applyProtection="1">
      <alignment horizontal="right"/>
      <protection hidden="1"/>
    </xf>
    <xf numFmtId="1" fontId="0" fillId="4" borderId="0" xfId="0" applyNumberFormat="1" applyFill="1" applyAlignment="1" applyProtection="1">
      <alignment horizontal="center"/>
      <protection hidden="1"/>
    </xf>
    <xf numFmtId="0" fontId="0" fillId="4" borderId="19" xfId="0" applyFill="1" applyBorder="1" applyAlignment="1" applyProtection="1">
      <alignment horizontal="center"/>
      <protection hidden="1"/>
    </xf>
    <xf numFmtId="3" fontId="0" fillId="4" borderId="19" xfId="0" applyNumberFormat="1" applyFill="1" applyBorder="1" applyAlignment="1" applyProtection="1">
      <alignment horizontal="center"/>
      <protection hidden="1"/>
    </xf>
    <xf numFmtId="179" fontId="0" fillId="4" borderId="0" xfId="0" applyNumberFormat="1" applyFill="1" applyProtection="1">
      <protection hidden="1"/>
    </xf>
    <xf numFmtId="9" fontId="0" fillId="4" borderId="20" xfId="0" applyNumberFormat="1" applyFill="1" applyBorder="1" applyAlignment="1" applyProtection="1">
      <alignment horizontal="center"/>
      <protection hidden="1"/>
    </xf>
    <xf numFmtId="3" fontId="0" fillId="4" borderId="20" xfId="0" applyNumberFormat="1" applyFill="1" applyBorder="1" applyAlignment="1" applyProtection="1">
      <alignment horizontal="center"/>
      <protection hidden="1"/>
    </xf>
    <xf numFmtId="9" fontId="0" fillId="4" borderId="21" xfId="0" applyNumberFormat="1" applyFill="1" applyBorder="1" applyAlignment="1" applyProtection="1">
      <alignment horizontal="center"/>
      <protection hidden="1"/>
    </xf>
    <xf numFmtId="3" fontId="0" fillId="4" borderId="21" xfId="0" applyNumberFormat="1" applyFill="1" applyBorder="1" applyAlignment="1" applyProtection="1">
      <alignment horizontal="center"/>
      <protection hidden="1"/>
    </xf>
    <xf numFmtId="9" fontId="0" fillId="4" borderId="22" xfId="0" applyNumberFormat="1" applyFill="1" applyBorder="1" applyAlignment="1" applyProtection="1">
      <alignment horizontal="center"/>
      <protection hidden="1"/>
    </xf>
    <xf numFmtId="3" fontId="0" fillId="4" borderId="22" xfId="0" applyNumberFormat="1" applyFill="1" applyBorder="1" applyAlignment="1" applyProtection="1">
      <alignment horizontal="center"/>
      <protection hidden="1"/>
    </xf>
    <xf numFmtId="2" fontId="0" fillId="4" borderId="20" xfId="0" applyNumberFormat="1" applyFill="1" applyBorder="1" applyAlignment="1" applyProtection="1">
      <alignment horizontal="center"/>
      <protection hidden="1"/>
    </xf>
    <xf numFmtId="1" fontId="0" fillId="4" borderId="20" xfId="0" applyNumberFormat="1" applyFill="1" applyBorder="1" applyAlignment="1" applyProtection="1">
      <alignment horizontal="center"/>
      <protection hidden="1"/>
    </xf>
    <xf numFmtId="2" fontId="0" fillId="4" borderId="21" xfId="0" applyNumberFormat="1" applyFill="1" applyBorder="1" applyAlignment="1" applyProtection="1">
      <alignment horizontal="center"/>
      <protection hidden="1"/>
    </xf>
    <xf numFmtId="1" fontId="0" fillId="4" borderId="21" xfId="0" applyNumberFormat="1" applyFill="1" applyBorder="1" applyAlignment="1" applyProtection="1">
      <alignment horizontal="center"/>
      <protection hidden="1"/>
    </xf>
    <xf numFmtId="2" fontId="0" fillId="4" borderId="22" xfId="0" applyNumberFormat="1" applyFill="1" applyBorder="1" applyAlignment="1" applyProtection="1">
      <alignment horizontal="center"/>
      <protection hidden="1"/>
    </xf>
    <xf numFmtId="1" fontId="0" fillId="4" borderId="22" xfId="0" applyNumberFormat="1" applyFill="1" applyBorder="1" applyAlignment="1" applyProtection="1">
      <alignment horizontal="center"/>
      <protection hidden="1"/>
    </xf>
    <xf numFmtId="10" fontId="0" fillId="4" borderId="0" xfId="0" applyNumberFormat="1" applyFill="1" applyAlignment="1" applyProtection="1">
      <alignment horizontal="center"/>
      <protection hidden="1"/>
    </xf>
    <xf numFmtId="180" fontId="2" fillId="4" borderId="0" xfId="0" applyNumberFormat="1" applyFont="1" applyFill="1" applyAlignment="1" applyProtection="1">
      <alignment horizontal="center"/>
      <protection hidden="1"/>
    </xf>
    <xf numFmtId="180" fontId="0" fillId="4" borderId="0" xfId="0" applyNumberFormat="1" applyFill="1" applyAlignment="1" applyProtection="1">
      <alignment horizontal="center"/>
      <protection hidden="1"/>
    </xf>
    <xf numFmtId="3" fontId="0" fillId="4" borderId="0" xfId="0" applyNumberFormat="1" applyFill="1" applyBorder="1" applyProtection="1">
      <protection hidden="1"/>
    </xf>
    <xf numFmtId="9" fontId="0" fillId="4" borderId="0" xfId="0" applyNumberFormat="1" applyFill="1" applyBorder="1" applyAlignment="1" applyProtection="1">
      <alignment horizontal="center"/>
      <protection hidden="1"/>
    </xf>
    <xf numFmtId="0" fontId="2" fillId="4" borderId="6" xfId="0" applyFont="1" applyFill="1" applyBorder="1" applyAlignment="1" applyProtection="1">
      <alignment horizontal="center" wrapText="1"/>
      <protection hidden="1"/>
    </xf>
    <xf numFmtId="0" fontId="2" fillId="4" borderId="10" xfId="0" applyFont="1" applyFill="1" applyBorder="1" applyAlignment="1" applyProtection="1">
      <alignment horizontal="center"/>
      <protection hidden="1"/>
    </xf>
    <xf numFmtId="0" fontId="2" fillId="4" borderId="7" xfId="0" applyFont="1" applyFill="1" applyBorder="1" applyAlignment="1" applyProtection="1">
      <alignment horizontal="center"/>
      <protection hidden="1"/>
    </xf>
    <xf numFmtId="3" fontId="10" fillId="4" borderId="0" xfId="0" applyNumberFormat="1" applyFont="1" applyFill="1" applyProtection="1">
      <protection hidden="1"/>
    </xf>
    <xf numFmtId="179" fontId="0" fillId="4" borderId="6" xfId="0" applyNumberFormat="1" applyFill="1" applyBorder="1" applyAlignment="1" applyProtection="1">
      <alignment horizontal="center"/>
      <protection hidden="1"/>
    </xf>
    <xf numFmtId="3" fontId="2" fillId="4" borderId="12" xfId="0" applyNumberFormat="1" applyFont="1" applyFill="1" applyBorder="1" applyProtection="1">
      <protection hidden="1"/>
    </xf>
    <xf numFmtId="0" fontId="0" fillId="4" borderId="2" xfId="0" applyFill="1" applyBorder="1" applyProtection="1">
      <protection hidden="1"/>
    </xf>
    <xf numFmtId="0" fontId="2" fillId="4" borderId="0" xfId="0" applyFont="1" applyFill="1" applyAlignment="1" applyProtection="1">
      <alignment horizontal="left"/>
      <protection hidden="1"/>
    </xf>
    <xf numFmtId="0" fontId="0" fillId="4" borderId="20" xfId="0" applyFill="1" applyBorder="1" applyProtection="1">
      <protection hidden="1"/>
    </xf>
    <xf numFmtId="0" fontId="2" fillId="4" borderId="6" xfId="0" applyFont="1" applyFill="1" applyBorder="1" applyProtection="1">
      <protection hidden="1"/>
    </xf>
    <xf numFmtId="0" fontId="0" fillId="4" borderId="20" xfId="0" applyFill="1" applyBorder="1" applyAlignment="1" applyProtection="1">
      <alignment horizontal="center"/>
      <protection hidden="1"/>
    </xf>
    <xf numFmtId="0" fontId="0" fillId="4" borderId="21" xfId="0" applyFill="1" applyBorder="1" applyAlignment="1" applyProtection="1">
      <alignment horizontal="center"/>
      <protection hidden="1"/>
    </xf>
    <xf numFmtId="0" fontId="0" fillId="4" borderId="22" xfId="0" applyFill="1" applyBorder="1" applyAlignment="1" applyProtection="1">
      <alignment horizontal="center"/>
      <protection hidden="1"/>
    </xf>
    <xf numFmtId="178" fontId="0" fillId="4" borderId="0" xfId="0" applyNumberFormat="1" applyFill="1" applyAlignment="1" applyProtection="1">
      <alignment horizontal="center"/>
      <protection hidden="1"/>
    </xf>
    <xf numFmtId="181" fontId="0" fillId="4" borderId="6" xfId="0" applyNumberFormat="1" applyFill="1" applyBorder="1" applyAlignment="1" applyProtection="1">
      <alignment horizontal="center"/>
      <protection hidden="1"/>
    </xf>
    <xf numFmtId="0" fontId="2" fillId="4" borderId="10" xfId="0" applyFont="1" applyFill="1" applyBorder="1" applyAlignment="1" applyProtection="1">
      <alignment horizontal="center" wrapText="1"/>
      <protection hidden="1"/>
    </xf>
    <xf numFmtId="0" fontId="0" fillId="4" borderId="0" xfId="0" applyFill="1" applyAlignment="1" applyProtection="1">
      <alignment horizontal="center" wrapText="1"/>
      <protection hidden="1"/>
    </xf>
    <xf numFmtId="3" fontId="0" fillId="4" borderId="0" xfId="0" applyNumberFormat="1" applyFill="1" applyAlignment="1" applyProtection="1">
      <alignment horizontal="right"/>
      <protection hidden="1"/>
    </xf>
    <xf numFmtId="3" fontId="0" fillId="4" borderId="4" xfId="0" applyNumberFormat="1" applyFill="1" applyBorder="1" applyAlignment="1" applyProtection="1">
      <alignment horizontal="right"/>
      <protection hidden="1"/>
    </xf>
    <xf numFmtId="0" fontId="0" fillId="0" borderId="0" xfId="0" applyFill="1"/>
    <xf numFmtId="0" fontId="12" fillId="6" borderId="4" xfId="0" applyFont="1" applyFill="1" applyBorder="1" applyProtection="1">
      <protection hidden="1"/>
    </xf>
    <xf numFmtId="0" fontId="12" fillId="6" borderId="5" xfId="0" applyFont="1" applyFill="1" applyBorder="1" applyProtection="1">
      <protection hidden="1"/>
    </xf>
    <xf numFmtId="0" fontId="9" fillId="4" borderId="0" xfId="0" applyFont="1" applyFill="1" applyBorder="1" applyProtection="1">
      <protection hidden="1"/>
    </xf>
    <xf numFmtId="187" fontId="0" fillId="2" borderId="11" xfId="0" applyNumberFormat="1" applyFill="1" applyBorder="1" applyAlignment="1" applyProtection="1">
      <alignment horizontal="center"/>
      <protection locked="0"/>
    </xf>
    <xf numFmtId="0" fontId="12" fillId="6" borderId="4" xfId="0" applyFont="1" applyFill="1" applyBorder="1" applyAlignment="1" applyProtection="1">
      <alignment horizontal="center"/>
      <protection hidden="1"/>
    </xf>
    <xf numFmtId="0" fontId="10" fillId="4" borderId="8" xfId="0" applyFont="1" applyFill="1" applyBorder="1" applyProtection="1">
      <protection hidden="1"/>
    </xf>
    <xf numFmtId="0" fontId="2" fillId="4" borderId="0" xfId="0" applyFont="1" applyFill="1" applyBorder="1" applyProtection="1">
      <protection hidden="1"/>
    </xf>
    <xf numFmtId="0" fontId="10" fillId="4" borderId="0" xfId="0" applyFont="1" applyFill="1" applyBorder="1" applyProtection="1">
      <protection hidden="1"/>
    </xf>
    <xf numFmtId="0" fontId="10" fillId="4" borderId="0" xfId="0" applyFont="1" applyFill="1" applyBorder="1" applyAlignment="1" applyProtection="1">
      <alignment horizontal="center"/>
      <protection hidden="1"/>
    </xf>
    <xf numFmtId="0" fontId="10" fillId="4" borderId="6" xfId="0" applyFont="1" applyFill="1" applyBorder="1" applyProtection="1">
      <protection hidden="1"/>
    </xf>
    <xf numFmtId="0" fontId="12" fillId="6" borderId="0" xfId="0" applyFont="1" applyFill="1" applyBorder="1" applyAlignment="1" applyProtection="1">
      <alignment horizontal="center"/>
      <protection hidden="1"/>
    </xf>
    <xf numFmtId="179" fontId="10" fillId="4" borderId="0" xfId="17" applyNumberFormat="1" applyFont="1" applyFill="1" applyBorder="1" applyAlignment="1" applyProtection="1">
      <alignment horizontal="center"/>
      <protection hidden="1"/>
    </xf>
    <xf numFmtId="9" fontId="0" fillId="2" borderId="11" xfId="17" applyFont="1" applyFill="1" applyBorder="1" applyAlignment="1" applyProtection="1">
      <alignment horizontal="center"/>
      <protection locked="0"/>
    </xf>
    <xf numFmtId="179" fontId="10" fillId="4" borderId="17" xfId="17" applyNumberFormat="1" applyFont="1" applyFill="1" applyBorder="1" applyAlignment="1" applyProtection="1">
      <alignment horizontal="center"/>
      <protection hidden="1"/>
    </xf>
    <xf numFmtId="9" fontId="0" fillId="2" borderId="23" xfId="17" applyFont="1" applyFill="1" applyBorder="1" applyAlignment="1" applyProtection="1">
      <alignment horizontal="center"/>
      <protection locked="0"/>
    </xf>
    <xf numFmtId="0" fontId="10" fillId="4" borderId="10" xfId="0" applyFont="1" applyFill="1" applyBorder="1" applyProtection="1">
      <protection hidden="1"/>
    </xf>
    <xf numFmtId="0" fontId="10" fillId="4" borderId="10" xfId="0" applyFont="1" applyFill="1" applyBorder="1" applyAlignment="1" applyProtection="1">
      <alignment horizontal="center"/>
      <protection hidden="1"/>
    </xf>
    <xf numFmtId="179" fontId="10" fillId="4" borderId="10" xfId="0" applyNumberFormat="1" applyFont="1" applyFill="1" applyBorder="1" applyAlignment="1" applyProtection="1">
      <alignment horizontal="center"/>
      <protection hidden="1"/>
    </xf>
    <xf numFmtId="9" fontId="10" fillId="4" borderId="10" xfId="0" applyNumberFormat="1" applyFont="1" applyFill="1" applyBorder="1" applyAlignment="1" applyProtection="1">
      <alignment horizontal="center"/>
      <protection hidden="1"/>
    </xf>
    <xf numFmtId="0" fontId="0" fillId="4" borderId="0" xfId="0" applyFill="1" applyBorder="1" applyAlignment="1" applyProtection="1">
      <alignment horizontal="left" indent="6"/>
      <protection hidden="1"/>
    </xf>
    <xf numFmtId="9" fontId="0" fillId="2" borderId="20" xfId="17" applyFont="1" applyFill="1" applyBorder="1" applyAlignment="1" applyProtection="1">
      <alignment horizontal="center"/>
      <protection locked="0"/>
    </xf>
    <xf numFmtId="9" fontId="0" fillId="4" borderId="15" xfId="17" applyFont="1" applyFill="1" applyBorder="1" applyAlignment="1" applyProtection="1">
      <alignment horizontal="center"/>
      <protection hidden="1"/>
    </xf>
    <xf numFmtId="9" fontId="0" fillId="4" borderId="24" xfId="17" applyFont="1" applyFill="1" applyBorder="1" applyAlignment="1" applyProtection="1">
      <alignment horizontal="center"/>
      <protection hidden="1"/>
    </xf>
    <xf numFmtId="0" fontId="12" fillId="6" borderId="0" xfId="0" applyFont="1" applyFill="1" applyBorder="1" applyProtection="1">
      <protection hidden="1"/>
    </xf>
    <xf numFmtId="179" fontId="0" fillId="4" borderId="2" xfId="0" applyNumberFormat="1" applyFill="1" applyBorder="1" applyAlignment="1" applyProtection="1">
      <alignment horizontal="center"/>
      <protection hidden="1"/>
    </xf>
    <xf numFmtId="181" fontId="0" fillId="4" borderId="0" xfId="0" applyNumberFormat="1" applyFill="1" applyAlignment="1" applyProtection="1">
      <alignment horizontal="right" indent="2"/>
      <protection hidden="1"/>
    </xf>
    <xf numFmtId="183" fontId="0" fillId="4" borderId="0" xfId="0" applyNumberFormat="1" applyFill="1" applyAlignment="1" applyProtection="1">
      <alignment horizontal="right" indent="2"/>
      <protection hidden="1"/>
    </xf>
    <xf numFmtId="181" fontId="0" fillId="4" borderId="10" xfId="0" applyNumberFormat="1" applyFill="1" applyBorder="1" applyAlignment="1" applyProtection="1">
      <alignment horizontal="right" indent="2"/>
      <protection hidden="1"/>
    </xf>
    <xf numFmtId="183" fontId="0" fillId="4" borderId="10" xfId="0" applyNumberFormat="1" applyFill="1" applyBorder="1" applyAlignment="1" applyProtection="1">
      <alignment horizontal="right" indent="2"/>
      <protection hidden="1"/>
    </xf>
    <xf numFmtId="180" fontId="0" fillId="4" borderId="10" xfId="0" applyNumberFormat="1" applyFill="1" applyBorder="1" applyAlignment="1" applyProtection="1">
      <alignment horizontal="right" indent="2"/>
      <protection hidden="1"/>
    </xf>
    <xf numFmtId="179" fontId="0" fillId="4" borderId="4" xfId="0" applyNumberFormat="1" applyFill="1" applyBorder="1" applyAlignment="1" applyProtection="1">
      <alignment horizontal="center"/>
      <protection hidden="1"/>
    </xf>
    <xf numFmtId="181" fontId="0" fillId="4" borderId="4" xfId="0" applyNumberFormat="1" applyFill="1" applyBorder="1" applyAlignment="1" applyProtection="1">
      <alignment horizontal="right" indent="2"/>
      <protection hidden="1"/>
    </xf>
    <xf numFmtId="183" fontId="0" fillId="4" borderId="4" xfId="0" applyNumberFormat="1" applyFill="1" applyBorder="1" applyAlignment="1" applyProtection="1">
      <alignment horizontal="right" indent="2"/>
      <protection hidden="1"/>
    </xf>
    <xf numFmtId="180" fontId="0" fillId="4" borderId="4" xfId="0" applyNumberFormat="1" applyFill="1" applyBorder="1" applyAlignment="1" applyProtection="1">
      <alignment horizontal="right" indent="2"/>
      <protection hidden="1"/>
    </xf>
    <xf numFmtId="179" fontId="0" fillId="4" borderId="0" xfId="0" applyNumberFormat="1" applyFill="1" applyAlignment="1" applyProtection="1">
      <alignment horizontal="right" indent="3"/>
      <protection hidden="1"/>
    </xf>
    <xf numFmtId="3" fontId="0" fillId="4" borderId="0" xfId="0" applyNumberFormat="1" applyFill="1" applyAlignment="1" applyProtection="1">
      <alignment horizontal="right" indent="2"/>
      <protection hidden="1"/>
    </xf>
    <xf numFmtId="180" fontId="0" fillId="4" borderId="0" xfId="0" applyNumberFormat="1" applyFill="1" applyAlignment="1" applyProtection="1">
      <alignment horizontal="right" indent="2"/>
      <protection hidden="1"/>
    </xf>
    <xf numFmtId="3" fontId="0" fillId="4" borderId="0" xfId="0" applyNumberFormat="1" applyFill="1" applyBorder="1" applyAlignment="1" applyProtection="1">
      <alignment horizontal="right" indent="2"/>
      <protection hidden="1"/>
    </xf>
    <xf numFmtId="179" fontId="0" fillId="4" borderId="10" xfId="0" applyNumberFormat="1" applyFill="1" applyBorder="1" applyAlignment="1" applyProtection="1">
      <alignment horizontal="right" indent="3"/>
      <protection hidden="1"/>
    </xf>
    <xf numFmtId="3" fontId="0" fillId="4" borderId="10" xfId="0" applyNumberFormat="1" applyFill="1" applyBorder="1" applyAlignment="1" applyProtection="1">
      <alignment horizontal="right" indent="2"/>
      <protection hidden="1"/>
    </xf>
    <xf numFmtId="179" fontId="0" fillId="4" borderId="4" xfId="0" applyNumberFormat="1" applyFill="1" applyBorder="1" applyAlignment="1" applyProtection="1">
      <alignment horizontal="right" indent="3"/>
      <protection hidden="1"/>
    </xf>
    <xf numFmtId="3" fontId="0" fillId="4" borderId="4" xfId="0" applyNumberFormat="1" applyFill="1" applyBorder="1" applyAlignment="1" applyProtection="1">
      <alignment horizontal="right" indent="2"/>
      <protection hidden="1"/>
    </xf>
    <xf numFmtId="183" fontId="0" fillId="4" borderId="4" xfId="0" applyNumberFormat="1" applyFill="1" applyBorder="1" applyAlignment="1" applyProtection="1">
      <alignment horizontal="center"/>
      <protection hidden="1"/>
    </xf>
    <xf numFmtId="0" fontId="0" fillId="4" borderId="0" xfId="0" applyNumberFormat="1" applyFill="1" applyAlignment="1" applyProtection="1">
      <alignment horizontal="right"/>
      <protection hidden="1"/>
    </xf>
    <xf numFmtId="3" fontId="2" fillId="4" borderId="10" xfId="0" applyNumberFormat="1" applyFont="1" applyFill="1" applyBorder="1" applyAlignment="1" applyProtection="1">
      <alignment horizontal="center"/>
      <protection hidden="1"/>
    </xf>
    <xf numFmtId="0" fontId="0" fillId="6" borderId="4" xfId="0" applyFill="1" applyBorder="1" applyProtection="1">
      <protection hidden="1"/>
    </xf>
    <xf numFmtId="0" fontId="0" fillId="6" borderId="5" xfId="0" applyFill="1" applyBorder="1" applyProtection="1">
      <protection hidden="1"/>
    </xf>
    <xf numFmtId="0" fontId="2" fillId="4" borderId="8" xfId="0" applyFont="1" applyFill="1" applyBorder="1" applyProtection="1">
      <protection hidden="1"/>
    </xf>
    <xf numFmtId="0" fontId="2" fillId="4" borderId="8" xfId="0" applyFont="1" applyFill="1" applyBorder="1" applyAlignment="1" applyProtection="1">
      <alignment horizontal="center"/>
      <protection hidden="1"/>
    </xf>
    <xf numFmtId="0" fontId="2" fillId="4" borderId="0" xfId="0" applyFont="1" applyFill="1" applyBorder="1" applyAlignment="1" applyProtection="1">
      <alignment horizontal="center"/>
      <protection hidden="1"/>
    </xf>
    <xf numFmtId="0" fontId="2" fillId="4" borderId="6" xfId="0" applyFont="1" applyFill="1" applyBorder="1" applyAlignment="1" applyProtection="1">
      <alignment horizontal="center"/>
      <protection hidden="1"/>
    </xf>
    <xf numFmtId="179" fontId="0" fillId="4" borderId="0" xfId="17" applyNumberFormat="1" applyFont="1" applyFill="1" applyBorder="1" applyProtection="1">
      <protection hidden="1"/>
    </xf>
    <xf numFmtId="3" fontId="0" fillId="4" borderId="6" xfId="0" applyNumberFormat="1" applyFill="1" applyBorder="1" applyProtection="1">
      <protection hidden="1"/>
    </xf>
    <xf numFmtId="0" fontId="2" fillId="4" borderId="9" xfId="0" applyFont="1" applyFill="1" applyBorder="1" applyAlignment="1" applyProtection="1">
      <alignment horizontal="center"/>
      <protection hidden="1"/>
    </xf>
    <xf numFmtId="0" fontId="2" fillId="4" borderId="10" xfId="0" applyFont="1" applyFill="1" applyBorder="1" applyAlignment="1" applyProtection="1">
      <alignment horizontal="right"/>
      <protection hidden="1"/>
    </xf>
    <xf numFmtId="0" fontId="2" fillId="4" borderId="7" xfId="0" applyFont="1" applyFill="1" applyBorder="1" applyAlignment="1" applyProtection="1">
      <alignment horizontal="right"/>
      <protection hidden="1"/>
    </xf>
    <xf numFmtId="4" fontId="0" fillId="0" borderId="0" xfId="0" applyNumberFormat="1"/>
    <xf numFmtId="3" fontId="0" fillId="0" borderId="0" xfId="0" applyNumberFormat="1"/>
    <xf numFmtId="179" fontId="2" fillId="4" borderId="4" xfId="17" applyNumberFormat="1" applyFont="1" applyFill="1" applyBorder="1" applyProtection="1">
      <protection hidden="1"/>
    </xf>
    <xf numFmtId="3" fontId="2" fillId="4" borderId="5" xfId="0" applyNumberFormat="1" applyFont="1" applyFill="1" applyBorder="1" applyProtection="1">
      <protection hidden="1"/>
    </xf>
    <xf numFmtId="3" fontId="2" fillId="4" borderId="6" xfId="0" applyNumberFormat="1" applyFont="1" applyFill="1" applyBorder="1" applyProtection="1">
      <protection hidden="1"/>
    </xf>
    <xf numFmtId="4" fontId="0" fillId="4" borderId="6" xfId="0" applyNumberFormat="1" applyFill="1" applyBorder="1" applyProtection="1">
      <protection hidden="1"/>
    </xf>
    <xf numFmtId="179" fontId="0" fillId="2" borderId="11" xfId="17" applyNumberFormat="1" applyFont="1" applyFill="1" applyBorder="1" applyProtection="1">
      <protection hidden="1"/>
    </xf>
    <xf numFmtId="179" fontId="0" fillId="4" borderId="6" xfId="17" applyNumberFormat="1" applyFont="1" applyFill="1" applyBorder="1" applyAlignment="1" applyProtection="1">
      <alignment horizontal="right"/>
      <protection hidden="1"/>
    </xf>
    <xf numFmtId="4" fontId="0" fillId="2" borderId="11" xfId="0" applyNumberFormat="1" applyFill="1" applyBorder="1" applyProtection="1">
      <protection hidden="1"/>
    </xf>
    <xf numFmtId="178" fontId="0" fillId="4" borderId="6" xfId="0" applyNumberFormat="1" applyFill="1" applyBorder="1" applyAlignment="1" applyProtection="1">
      <alignment horizontal="right"/>
      <protection hidden="1"/>
    </xf>
    <xf numFmtId="3" fontId="0" fillId="4" borderId="6" xfId="0" applyNumberFormat="1" applyFill="1" applyBorder="1" applyAlignment="1" applyProtection="1">
      <alignment horizontal="right"/>
      <protection hidden="1"/>
    </xf>
    <xf numFmtId="4" fontId="0" fillId="4" borderId="6" xfId="0" applyNumberFormat="1" applyFill="1" applyBorder="1" applyAlignment="1" applyProtection="1">
      <alignment horizontal="right"/>
      <protection hidden="1"/>
    </xf>
    <xf numFmtId="3" fontId="0" fillId="4" borderId="7" xfId="0" applyNumberFormat="1" applyFill="1" applyBorder="1" applyProtection="1">
      <protection hidden="1"/>
    </xf>
    <xf numFmtId="10" fontId="0" fillId="0" borderId="0" xfId="17" applyNumberFormat="1" applyFont="1"/>
    <xf numFmtId="4" fontId="0" fillId="4" borderId="0" xfId="0" applyNumberFormat="1" applyFill="1" applyBorder="1" applyAlignment="1" applyProtection="1">
      <alignment horizontal="center"/>
      <protection hidden="1"/>
    </xf>
    <xf numFmtId="4" fontId="0" fillId="4" borderId="10" xfId="0" applyNumberFormat="1" applyFill="1" applyBorder="1" applyAlignment="1" applyProtection="1">
      <alignment horizontal="center"/>
      <protection hidden="1"/>
    </xf>
    <xf numFmtId="0" fontId="0" fillId="0" borderId="0" xfId="0" applyAlignment="1">
      <alignment horizontal="center"/>
    </xf>
    <xf numFmtId="0" fontId="9" fillId="4" borderId="9" xfId="0" applyFont="1" applyFill="1" applyBorder="1" applyProtection="1">
      <protection hidden="1"/>
    </xf>
    <xf numFmtId="179" fontId="0" fillId="0" borderId="0" xfId="17" applyNumberFormat="1" applyFont="1"/>
    <xf numFmtId="0" fontId="2" fillId="4" borderId="20" xfId="0" applyFont="1" applyFill="1" applyBorder="1" applyAlignment="1" applyProtection="1">
      <alignment horizontal="center"/>
      <protection hidden="1"/>
    </xf>
    <xf numFmtId="9" fontId="0" fillId="4" borderId="0" xfId="17" applyFont="1" applyFill="1" applyBorder="1" applyAlignment="1" applyProtection="1">
      <alignment horizontal="center"/>
      <protection hidden="1"/>
    </xf>
    <xf numFmtId="9" fontId="0" fillId="4" borderId="25" xfId="17" applyFont="1" applyFill="1" applyBorder="1" applyAlignment="1" applyProtection="1">
      <alignment horizontal="center"/>
      <protection hidden="1"/>
    </xf>
    <xf numFmtId="9" fontId="0" fillId="4" borderId="26" xfId="17" applyFont="1" applyFill="1" applyBorder="1" applyAlignment="1" applyProtection="1">
      <alignment horizontal="center"/>
      <protection hidden="1"/>
    </xf>
    <xf numFmtId="10" fontId="0" fillId="4" borderId="0" xfId="0" applyNumberFormat="1" applyFill="1" applyBorder="1" applyAlignment="1" applyProtection="1">
      <alignment horizontal="center"/>
      <protection hidden="1"/>
    </xf>
    <xf numFmtId="179" fontId="0" fillId="4" borderId="0" xfId="0" applyNumberFormat="1" applyFill="1" applyBorder="1" applyAlignment="1" applyProtection="1">
      <alignment horizontal="center"/>
      <protection hidden="1"/>
    </xf>
    <xf numFmtId="0" fontId="2" fillId="4" borderId="0" xfId="0" applyFont="1" applyFill="1" applyBorder="1" applyAlignment="1" applyProtection="1">
      <alignment horizontal="right"/>
      <protection hidden="1"/>
    </xf>
    <xf numFmtId="9" fontId="0" fillId="0" borderId="0" xfId="0" applyNumberFormat="1" applyProtection="1">
      <protection locked="0"/>
    </xf>
    <xf numFmtId="178" fontId="0" fillId="0" borderId="0" xfId="0" applyNumberFormat="1"/>
    <xf numFmtId="9" fontId="0" fillId="0" borderId="0" xfId="17" applyFont="1"/>
    <xf numFmtId="0" fontId="0" fillId="4" borderId="0" xfId="0" applyFill="1" applyBorder="1" applyAlignment="1" applyProtection="1">
      <alignment horizontal="left" indent="1"/>
      <protection hidden="1"/>
    </xf>
    <xf numFmtId="179" fontId="0" fillId="4" borderId="0" xfId="17" applyNumberFormat="1" applyFont="1" applyFill="1" applyBorder="1" applyAlignment="1" applyProtection="1">
      <alignment horizontal="center"/>
      <protection hidden="1"/>
    </xf>
    <xf numFmtId="2" fontId="0" fillId="4" borderId="0" xfId="0" applyNumberFormat="1" applyFill="1" applyBorder="1" applyProtection="1">
      <protection hidden="1"/>
    </xf>
    <xf numFmtId="179" fontId="0" fillId="4" borderId="0" xfId="0" applyNumberFormat="1" applyFill="1" applyBorder="1" applyProtection="1">
      <protection hidden="1"/>
    </xf>
    <xf numFmtId="178" fontId="0" fillId="4" borderId="0" xfId="0" applyNumberFormat="1" applyFill="1" applyBorder="1" applyAlignment="1" applyProtection="1">
      <alignment horizontal="center"/>
      <protection hidden="1"/>
    </xf>
    <xf numFmtId="180" fontId="0" fillId="4" borderId="0" xfId="0" applyNumberFormat="1" applyFill="1" applyBorder="1" applyAlignment="1" applyProtection="1">
      <alignment horizontal="center"/>
      <protection hidden="1"/>
    </xf>
    <xf numFmtId="2" fontId="0" fillId="4" borderId="0" xfId="0" applyNumberFormat="1" applyFill="1" applyBorder="1" applyAlignment="1" applyProtection="1">
      <alignment horizontal="center"/>
      <protection hidden="1"/>
    </xf>
    <xf numFmtId="0" fontId="12" fillId="6" borderId="0" xfId="0" applyFont="1" applyFill="1" applyBorder="1" applyAlignment="1" applyProtection="1">
      <alignment horizontal="right"/>
      <protection hidden="1"/>
    </xf>
    <xf numFmtId="182" fontId="0" fillId="4" borderId="0" xfId="0" applyNumberFormat="1" applyFill="1" applyBorder="1" applyProtection="1">
      <protection hidden="1"/>
    </xf>
    <xf numFmtId="183" fontId="0" fillId="4" borderId="0" xfId="0" applyNumberFormat="1" applyFill="1" applyBorder="1" applyProtection="1">
      <protection hidden="1"/>
    </xf>
    <xf numFmtId="182" fontId="0" fillId="4" borderId="0" xfId="0" applyNumberFormat="1" applyFill="1" applyBorder="1" applyAlignment="1" applyProtection="1">
      <alignment horizontal="center"/>
      <protection hidden="1"/>
    </xf>
    <xf numFmtId="10" fontId="0" fillId="4" borderId="0" xfId="17" applyNumberFormat="1" applyFont="1" applyFill="1" applyBorder="1" applyAlignment="1" applyProtection="1">
      <alignment horizontal="center"/>
      <protection hidden="1"/>
    </xf>
    <xf numFmtId="178" fontId="0" fillId="4" borderId="4" xfId="0" applyNumberFormat="1" applyFill="1" applyBorder="1" applyAlignment="1" applyProtection="1">
      <alignment horizontal="center"/>
      <protection hidden="1"/>
    </xf>
    <xf numFmtId="178" fontId="0" fillId="4" borderId="10" xfId="0" applyNumberFormat="1" applyFill="1" applyBorder="1" applyAlignment="1" applyProtection="1">
      <alignment horizontal="center"/>
      <protection hidden="1"/>
    </xf>
    <xf numFmtId="0" fontId="0" fillId="0" borderId="0" xfId="0" applyAlignment="1">
      <alignment wrapText="1"/>
    </xf>
    <xf numFmtId="9" fontId="0" fillId="0" borderId="0" xfId="0" applyNumberFormat="1"/>
    <xf numFmtId="179" fontId="0" fillId="4" borderId="9" xfId="0" applyNumberFormat="1" applyFill="1" applyBorder="1" applyProtection="1">
      <protection hidden="1"/>
    </xf>
    <xf numFmtId="10" fontId="0" fillId="2" borderId="11" xfId="17" applyNumberFormat="1" applyFont="1" applyFill="1" applyBorder="1" applyProtection="1">
      <protection hidden="1"/>
    </xf>
    <xf numFmtId="0" fontId="0" fillId="2" borderId="11" xfId="0" applyNumberFormat="1" applyFill="1" applyBorder="1" applyProtection="1">
      <protection hidden="1"/>
    </xf>
    <xf numFmtId="179" fontId="0" fillId="4" borderId="0" xfId="0" applyNumberFormat="1" applyFill="1" applyAlignment="1" applyProtection="1">
      <alignment horizontal="right"/>
      <protection hidden="1"/>
    </xf>
    <xf numFmtId="181" fontId="0" fillId="4" borderId="0" xfId="0" applyNumberFormat="1" applyFill="1" applyAlignment="1" applyProtection="1">
      <alignment horizontal="right"/>
      <protection hidden="1"/>
    </xf>
    <xf numFmtId="3" fontId="0" fillId="0" borderId="10" xfId="0" applyNumberFormat="1" applyBorder="1"/>
    <xf numFmtId="0" fontId="0" fillId="0" borderId="4" xfId="0" applyFill="1" applyBorder="1" applyAlignment="1">
      <alignment horizontal="center"/>
    </xf>
    <xf numFmtId="0" fontId="0" fillId="0" borderId="5" xfId="0" applyFill="1" applyBorder="1" applyAlignment="1">
      <alignment horizontal="center"/>
    </xf>
    <xf numFmtId="0" fontId="0" fillId="0" borderId="8" xfId="0" applyFill="1" applyBorder="1"/>
    <xf numFmtId="0" fontId="0" fillId="0" borderId="0" xfId="0" applyFill="1" applyBorder="1"/>
    <xf numFmtId="0" fontId="2" fillId="0" borderId="0" xfId="0" applyFont="1" applyAlignment="1">
      <alignment horizontal="right"/>
    </xf>
    <xf numFmtId="0" fontId="9" fillId="4" borderId="0" xfId="0" applyFont="1" applyFill="1" applyBorder="1" applyAlignment="1" applyProtection="1">
      <alignment horizontal="right" indent="1"/>
      <protection hidden="1"/>
    </xf>
    <xf numFmtId="178" fontId="0" fillId="4" borderId="6" xfId="0" applyNumberFormat="1" applyFill="1" applyBorder="1" applyAlignment="1" applyProtection="1">
      <alignment horizontal="center"/>
      <protection hidden="1"/>
    </xf>
    <xf numFmtId="178" fontId="0" fillId="4" borderId="19" xfId="0" applyNumberFormat="1" applyFill="1" applyBorder="1" applyAlignment="1" applyProtection="1">
      <alignment horizontal="center"/>
      <protection hidden="1"/>
    </xf>
    <xf numFmtId="4" fontId="0" fillId="4" borderId="6" xfId="0" applyNumberFormat="1" applyFill="1" applyBorder="1" applyAlignment="1" applyProtection="1">
      <alignment horizontal="center"/>
      <protection hidden="1"/>
    </xf>
    <xf numFmtId="179" fontId="0" fillId="4" borderId="6" xfId="17" applyNumberFormat="1" applyFont="1" applyFill="1" applyBorder="1" applyAlignment="1" applyProtection="1">
      <alignment horizontal="center"/>
      <protection hidden="1"/>
    </xf>
    <xf numFmtId="0" fontId="2" fillId="0" borderId="10" xfId="0" applyFont="1" applyBorder="1"/>
    <xf numFmtId="0" fontId="0" fillId="4" borderId="0" xfId="0" applyFill="1" applyAlignment="1" applyProtection="1">
      <alignment horizontal="left"/>
      <protection hidden="1"/>
    </xf>
    <xf numFmtId="0" fontId="2" fillId="4" borderId="0" xfId="0" applyFont="1" applyFill="1" applyBorder="1" applyAlignment="1" applyProtection="1">
      <alignment horizontal="left"/>
      <protection hidden="1"/>
    </xf>
    <xf numFmtId="0" fontId="2" fillId="0" borderId="0" xfId="0" applyFont="1"/>
    <xf numFmtId="188" fontId="0" fillId="4" borderId="0" xfId="0" applyNumberFormat="1" applyFill="1" applyBorder="1" applyProtection="1">
      <protection hidden="1"/>
    </xf>
    <xf numFmtId="188" fontId="0" fillId="4" borderId="0" xfId="0" applyNumberFormat="1" applyFill="1" applyProtection="1">
      <protection hidden="1"/>
    </xf>
    <xf numFmtId="188" fontId="12" fillId="6" borderId="4" xfId="0" applyNumberFormat="1" applyFont="1" applyFill="1" applyBorder="1" applyAlignment="1" applyProtection="1">
      <alignment horizontal="center"/>
      <protection hidden="1"/>
    </xf>
    <xf numFmtId="188" fontId="10" fillId="4" borderId="0" xfId="0" applyNumberFormat="1" applyFont="1" applyFill="1" applyBorder="1" applyAlignment="1" applyProtection="1">
      <alignment horizontal="center"/>
      <protection hidden="1"/>
    </xf>
    <xf numFmtId="188" fontId="0" fillId="0" borderId="0" xfId="0" applyNumberFormat="1"/>
    <xf numFmtId="184" fontId="2" fillId="4" borderId="0" xfId="0" applyNumberFormat="1" applyFont="1" applyFill="1" applyBorder="1" applyProtection="1">
      <protection hidden="1"/>
    </xf>
    <xf numFmtId="0" fontId="12" fillId="6" borderId="5" xfId="0" applyFont="1" applyFill="1" applyBorder="1" applyAlignment="1" applyProtection="1">
      <alignment horizontal="center"/>
      <protection hidden="1"/>
    </xf>
    <xf numFmtId="0" fontId="12" fillId="4" borderId="0" xfId="0" applyFont="1" applyFill="1" applyBorder="1" applyAlignment="1" applyProtection="1">
      <alignment horizontal="center"/>
      <protection hidden="1"/>
    </xf>
    <xf numFmtId="0" fontId="0" fillId="6" borderId="6" xfId="0" applyFill="1" applyBorder="1" applyProtection="1">
      <protection hidden="1"/>
    </xf>
    <xf numFmtId="0" fontId="9" fillId="6" borderId="6" xfId="0" applyFont="1" applyFill="1" applyBorder="1" applyProtection="1">
      <protection hidden="1"/>
    </xf>
    <xf numFmtId="0" fontId="2" fillId="4" borderId="0" xfId="0" applyFont="1" applyFill="1" applyAlignment="1" applyProtection="1">
      <alignment horizontal="left" indent="2"/>
      <protection hidden="1"/>
    </xf>
    <xf numFmtId="0" fontId="0" fillId="0" borderId="7" xfId="0" applyBorder="1" applyAlignment="1">
      <alignment horizontal="center"/>
    </xf>
    <xf numFmtId="192" fontId="0" fillId="0" borderId="0" xfId="0" applyNumberFormat="1"/>
    <xf numFmtId="0" fontId="0" fillId="0" borderId="10" xfId="0" applyBorder="1" applyAlignment="1">
      <alignment horizontal="center"/>
    </xf>
    <xf numFmtId="1" fontId="0" fillId="4" borderId="0" xfId="0" applyNumberFormat="1" applyFill="1" applyBorder="1" applyProtection="1">
      <protection hidden="1"/>
    </xf>
    <xf numFmtId="0" fontId="12" fillId="4" borderId="8" xfId="0" applyFont="1" applyFill="1" applyBorder="1" applyProtection="1">
      <protection hidden="1"/>
    </xf>
    <xf numFmtId="4" fontId="0" fillId="4" borderId="0" xfId="0" applyNumberFormat="1" applyFill="1" applyAlignment="1" applyProtection="1">
      <alignment horizontal="center"/>
      <protection hidden="1"/>
    </xf>
    <xf numFmtId="179" fontId="0" fillId="4" borderId="0" xfId="0" applyNumberFormat="1" applyFill="1" applyBorder="1" applyAlignment="1" applyProtection="1">
      <alignment horizontal="left" indent="6"/>
      <protection hidden="1"/>
    </xf>
    <xf numFmtId="179" fontId="0" fillId="4" borderId="10" xfId="0" applyNumberFormat="1" applyFill="1" applyBorder="1" applyAlignment="1" applyProtection="1">
      <alignment horizontal="left" indent="6"/>
      <protection hidden="1"/>
    </xf>
    <xf numFmtId="188" fontId="0" fillId="4" borderId="14" xfId="0" applyNumberFormat="1" applyFill="1" applyBorder="1" applyProtection="1">
      <protection hidden="1"/>
    </xf>
    <xf numFmtId="0" fontId="0" fillId="4" borderId="14" xfId="0" applyFill="1" applyBorder="1" applyAlignment="1" applyProtection="1">
      <alignment horizontal="center"/>
      <protection hidden="1"/>
    </xf>
    <xf numFmtId="0" fontId="10" fillId="0" borderId="0" xfId="0" applyFont="1"/>
    <xf numFmtId="3" fontId="0" fillId="4" borderId="8" xfId="0" applyNumberFormat="1" applyFill="1" applyBorder="1" applyAlignment="1" applyProtection="1">
      <alignment horizontal="center"/>
      <protection hidden="1"/>
    </xf>
    <xf numFmtId="3" fontId="0" fillId="4" borderId="9" xfId="0" applyNumberFormat="1" applyFill="1" applyBorder="1" applyAlignment="1" applyProtection="1">
      <alignment horizontal="center"/>
      <protection hidden="1"/>
    </xf>
    <xf numFmtId="2" fontId="10" fillId="4" borderId="0" xfId="0" applyNumberFormat="1" applyFont="1" applyFill="1" applyBorder="1" applyAlignment="1" applyProtection="1">
      <alignment horizontal="center"/>
      <protection hidden="1"/>
    </xf>
    <xf numFmtId="178" fontId="10" fillId="4" borderId="0" xfId="0" applyNumberFormat="1" applyFont="1" applyFill="1" applyBorder="1" applyAlignment="1" applyProtection="1">
      <alignment horizontal="center"/>
      <protection hidden="1"/>
    </xf>
    <xf numFmtId="193" fontId="10" fillId="4" borderId="0" xfId="0" applyNumberFormat="1" applyFont="1" applyFill="1" applyBorder="1" applyAlignment="1" applyProtection="1">
      <alignment horizontal="center"/>
      <protection hidden="1"/>
    </xf>
    <xf numFmtId="176" fontId="10" fillId="4" borderId="0" xfId="0" applyNumberFormat="1" applyFont="1" applyFill="1" applyBorder="1" applyAlignment="1" applyProtection="1">
      <alignment horizontal="center"/>
      <protection hidden="1"/>
    </xf>
    <xf numFmtId="2" fontId="10" fillId="4" borderId="4" xfId="0" applyNumberFormat="1" applyFont="1" applyFill="1" applyBorder="1" applyAlignment="1" applyProtection="1">
      <alignment horizontal="center"/>
      <protection hidden="1"/>
    </xf>
    <xf numFmtId="193" fontId="10" fillId="4" borderId="4" xfId="0" applyNumberFormat="1" applyFont="1" applyFill="1" applyBorder="1" applyAlignment="1" applyProtection="1">
      <alignment horizontal="center"/>
      <protection hidden="1"/>
    </xf>
    <xf numFmtId="176" fontId="10" fillId="4" borderId="4" xfId="0" applyNumberFormat="1" applyFont="1" applyFill="1" applyBorder="1" applyAlignment="1" applyProtection="1">
      <alignment horizontal="center"/>
      <protection hidden="1"/>
    </xf>
    <xf numFmtId="0" fontId="0" fillId="2" borderId="11" xfId="0" applyFill="1" applyBorder="1" applyProtection="1">
      <protection locked="0"/>
    </xf>
    <xf numFmtId="4" fontId="0" fillId="2" borderId="11" xfId="0" applyNumberFormat="1" applyFill="1" applyBorder="1" applyProtection="1">
      <protection locked="0"/>
    </xf>
    <xf numFmtId="3" fontId="0" fillId="2" borderId="11" xfId="0" applyNumberFormat="1" applyFill="1" applyBorder="1" applyProtection="1">
      <protection locked="0"/>
    </xf>
    <xf numFmtId="179" fontId="0" fillId="2" borderId="11" xfId="17" applyNumberFormat="1" applyFont="1" applyFill="1" applyBorder="1" applyProtection="1">
      <protection locked="0"/>
    </xf>
    <xf numFmtId="0" fontId="0" fillId="2" borderId="11" xfId="0" applyFill="1" applyBorder="1" applyAlignment="1" applyProtection="1">
      <alignment horizontal="center"/>
      <protection locked="0"/>
    </xf>
    <xf numFmtId="182" fontId="1" fillId="2" borderId="11" xfId="0" applyNumberFormat="1" applyFont="1" applyFill="1" applyBorder="1" applyProtection="1">
      <protection locked="0"/>
    </xf>
    <xf numFmtId="0" fontId="0" fillId="2" borderId="11" xfId="0" applyFill="1" applyBorder="1" applyAlignment="1" applyProtection="1">
      <alignment horizontal="right"/>
      <protection locked="0"/>
    </xf>
    <xf numFmtId="0" fontId="0" fillId="2" borderId="22" xfId="0" applyFill="1" applyBorder="1" applyAlignment="1" applyProtection="1">
      <alignment horizontal="center"/>
      <protection locked="0"/>
    </xf>
    <xf numFmtId="3" fontId="0" fillId="2" borderId="11" xfId="0" applyNumberFormat="1" applyFill="1" applyBorder="1" applyAlignment="1" applyProtection="1">
      <alignment horizontal="center"/>
      <protection locked="0"/>
    </xf>
    <xf numFmtId="0" fontId="2" fillId="2" borderId="11" xfId="0" applyFont="1" applyFill="1" applyBorder="1" applyAlignment="1" applyProtection="1">
      <alignment horizontal="center"/>
      <protection locked="0"/>
    </xf>
    <xf numFmtId="178" fontId="0" fillId="0" borderId="0" xfId="0" applyNumberFormat="1" applyFill="1" applyBorder="1" applyAlignment="1" applyProtection="1">
      <alignment horizontal="center"/>
      <protection hidden="1"/>
    </xf>
    <xf numFmtId="2" fontId="0" fillId="2" borderId="11" xfId="0" applyNumberFormat="1" applyFill="1" applyBorder="1" applyAlignment="1" applyProtection="1">
      <alignment horizontal="center"/>
      <protection locked="0"/>
    </xf>
    <xf numFmtId="178" fontId="0" fillId="0" borderId="0" xfId="0" applyNumberFormat="1" applyFill="1" applyBorder="1" applyAlignment="1" applyProtection="1">
      <alignment horizontal="center"/>
      <protection locked="0"/>
    </xf>
    <xf numFmtId="182" fontId="0" fillId="2" borderId="11" xfId="0" applyNumberFormat="1" applyFill="1" applyBorder="1" applyAlignment="1" applyProtection="1">
      <alignment horizontal="center"/>
      <protection locked="0"/>
    </xf>
    <xf numFmtId="0" fontId="0" fillId="7" borderId="11" xfId="0" applyFill="1" applyBorder="1" applyAlignment="1" applyProtection="1">
      <alignment horizontal="center"/>
      <protection locked="0"/>
    </xf>
    <xf numFmtId="3" fontId="0" fillId="7" borderId="11" xfId="0" applyNumberFormat="1" applyFill="1" applyBorder="1" applyAlignment="1" applyProtection="1">
      <alignment horizontal="center"/>
      <protection locked="0"/>
    </xf>
    <xf numFmtId="0" fontId="10" fillId="4" borderId="0" xfId="0" applyFont="1" applyFill="1" applyBorder="1" applyAlignment="1" applyProtection="1">
      <alignment vertical="center"/>
      <protection hidden="1"/>
    </xf>
    <xf numFmtId="0" fontId="0" fillId="4" borderId="0" xfId="0" applyFill="1" applyBorder="1" applyAlignment="1" applyProtection="1">
      <alignment vertical="center"/>
      <protection hidden="1"/>
    </xf>
    <xf numFmtId="0" fontId="10" fillId="4" borderId="0" xfId="0" applyFont="1" applyFill="1" applyAlignment="1" applyProtection="1">
      <alignment horizontal="center" vertical="center" wrapText="1"/>
      <protection hidden="1"/>
    </xf>
    <xf numFmtId="0" fontId="2" fillId="0" borderId="0" xfId="0" applyFont="1" applyProtection="1">
      <protection hidden="1"/>
    </xf>
    <xf numFmtId="0" fontId="0" fillId="0" borderId="0" xfId="0" applyProtection="1">
      <protection hidden="1"/>
    </xf>
    <xf numFmtId="9" fontId="1" fillId="4" borderId="0" xfId="17" applyFill="1" applyBorder="1" applyAlignment="1" applyProtection="1">
      <alignment horizontal="center"/>
      <protection hidden="1"/>
    </xf>
    <xf numFmtId="0" fontId="0" fillId="0" borderId="0" xfId="0" applyAlignment="1"/>
    <xf numFmtId="0" fontId="0" fillId="5" borderId="0" xfId="0" applyFill="1" applyBorder="1"/>
    <xf numFmtId="0" fontId="0" fillId="8" borderId="0" xfId="0" applyFill="1" applyBorder="1" applyProtection="1">
      <protection hidden="1"/>
    </xf>
    <xf numFmtId="0" fontId="3" fillId="8" borderId="0" xfId="0" applyFont="1" applyFill="1" applyBorder="1" applyProtection="1">
      <protection hidden="1"/>
    </xf>
    <xf numFmtId="0" fontId="0" fillId="0" borderId="0" xfId="0" applyBorder="1" applyProtection="1">
      <protection locked="0"/>
    </xf>
    <xf numFmtId="0" fontId="1" fillId="4" borderId="9" xfId="0" applyFont="1" applyFill="1" applyBorder="1" applyAlignment="1" applyProtection="1">
      <alignment horizontal="left" indent="1"/>
      <protection hidden="1"/>
    </xf>
    <xf numFmtId="0" fontId="2" fillId="4" borderId="8" xfId="0" applyFont="1" applyFill="1" applyBorder="1" applyAlignment="1" applyProtection="1">
      <alignment horizontal="left" indent="1"/>
      <protection hidden="1"/>
    </xf>
    <xf numFmtId="0" fontId="0" fillId="0" borderId="0" xfId="0" applyNumberFormat="1"/>
    <xf numFmtId="0" fontId="0" fillId="4" borderId="0" xfId="0" applyFill="1" applyAlignment="1" applyProtection="1">
      <protection hidden="1"/>
    </xf>
    <xf numFmtId="0" fontId="0" fillId="4" borderId="0" xfId="0" applyFill="1" applyBorder="1" applyAlignment="1" applyProtection="1">
      <alignment horizontal="left"/>
      <protection hidden="1"/>
    </xf>
    <xf numFmtId="3" fontId="10" fillId="4" borderId="0" xfId="0" applyNumberFormat="1" applyFont="1" applyFill="1" applyBorder="1" applyAlignment="1" applyProtection="1">
      <alignment horizontal="center"/>
      <protection hidden="1"/>
    </xf>
    <xf numFmtId="2" fontId="0" fillId="5" borderId="11" xfId="0" applyNumberFormat="1" applyFill="1" applyBorder="1" applyAlignment="1" applyProtection="1">
      <alignment horizontal="center"/>
      <protection locked="0"/>
    </xf>
    <xf numFmtId="0" fontId="2" fillId="4" borderId="0" xfId="0" applyFont="1" applyFill="1" applyAlignment="1" applyProtection="1">
      <alignment horizontal="right" indent="1"/>
      <protection hidden="1"/>
    </xf>
    <xf numFmtId="0" fontId="0" fillId="7" borderId="11" xfId="0" applyFill="1" applyBorder="1" applyProtection="1">
      <protection locked="0"/>
    </xf>
    <xf numFmtId="0" fontId="1" fillId="4" borderId="0" xfId="0" applyFont="1" applyFill="1" applyProtection="1">
      <protection hidden="1"/>
    </xf>
    <xf numFmtId="0" fontId="0" fillId="2" borderId="27" xfId="0" applyFill="1" applyBorder="1" applyAlignment="1" applyProtection="1">
      <alignment horizontal="center"/>
      <protection locked="0"/>
    </xf>
    <xf numFmtId="0" fontId="0" fillId="2" borderId="14" xfId="0" applyFill="1" applyBorder="1" applyAlignment="1" applyProtection="1">
      <alignment horizontal="center"/>
      <protection locked="0"/>
    </xf>
    <xf numFmtId="9" fontId="0" fillId="2" borderId="14" xfId="17" applyFont="1" applyFill="1" applyBorder="1" applyAlignment="1" applyProtection="1">
      <alignment horizontal="center"/>
      <protection locked="0"/>
    </xf>
    <xf numFmtId="9" fontId="0" fillId="2" borderId="11" xfId="0" applyNumberFormat="1" applyFill="1" applyBorder="1" applyAlignment="1" applyProtection="1">
      <alignment horizontal="center"/>
      <protection locked="0"/>
    </xf>
    <xf numFmtId="0" fontId="0" fillId="4" borderId="21" xfId="0" applyFill="1" applyBorder="1" applyProtection="1">
      <protection hidden="1"/>
    </xf>
    <xf numFmtId="0" fontId="10" fillId="4" borderId="6" xfId="0" applyFont="1" applyFill="1" applyBorder="1" applyAlignment="1" applyProtection="1">
      <alignment horizontal="center"/>
      <protection hidden="1"/>
    </xf>
    <xf numFmtId="0" fontId="0" fillId="0" borderId="20" xfId="0" applyBorder="1"/>
    <xf numFmtId="0" fontId="0" fillId="0" borderId="22" xfId="0" applyBorder="1"/>
    <xf numFmtId="0" fontId="0" fillId="0" borderId="21" xfId="0" applyBorder="1"/>
    <xf numFmtId="1" fontId="0" fillId="0" borderId="0" xfId="0" applyNumberFormat="1" applyBorder="1"/>
    <xf numFmtId="0" fontId="0" fillId="0" borderId="0" xfId="0" applyBorder="1" applyAlignment="1">
      <alignment horizontal="left"/>
    </xf>
    <xf numFmtId="1" fontId="0" fillId="0" borderId="0" xfId="0" applyNumberFormat="1" applyFill="1" applyBorder="1"/>
    <xf numFmtId="0" fontId="1" fillId="4" borderId="0" xfId="0" quotePrefix="1" applyNumberFormat="1" applyFont="1" applyFill="1" applyBorder="1" applyAlignment="1" applyProtection="1">
      <alignment horizontal="center" vertical="center"/>
      <protection hidden="1"/>
    </xf>
    <xf numFmtId="0" fontId="10" fillId="0" borderId="0" xfId="0" applyFont="1" applyFill="1" applyBorder="1"/>
    <xf numFmtId="0" fontId="2" fillId="0" borderId="0" xfId="0" applyFont="1" applyFill="1" applyBorder="1"/>
    <xf numFmtId="0" fontId="12" fillId="0" borderId="0" xfId="0" applyFont="1" applyFill="1" applyBorder="1"/>
    <xf numFmtId="4" fontId="0" fillId="0" borderId="0" xfId="0" applyNumberFormat="1" applyBorder="1" applyProtection="1">
      <protection hidden="1"/>
    </xf>
    <xf numFmtId="3" fontId="0" fillId="0" borderId="0" xfId="0" applyNumberFormat="1" applyBorder="1" applyProtection="1">
      <protection hidden="1"/>
    </xf>
    <xf numFmtId="0" fontId="12" fillId="6" borderId="14" xfId="0" applyFont="1" applyFill="1" applyBorder="1" applyProtection="1">
      <protection hidden="1"/>
    </xf>
    <xf numFmtId="0" fontId="12" fillId="6" borderId="2" xfId="0" applyFont="1" applyFill="1" applyBorder="1" applyProtection="1">
      <protection hidden="1"/>
    </xf>
    <xf numFmtId="9" fontId="0" fillId="4" borderId="0" xfId="17" applyNumberFormat="1" applyFont="1" applyFill="1" applyAlignment="1" applyProtection="1">
      <alignment horizontal="center"/>
      <protection hidden="1"/>
    </xf>
    <xf numFmtId="0" fontId="0" fillId="4" borderId="0" xfId="0" applyFill="1" applyAlignment="1" applyProtection="1">
      <alignment wrapText="1"/>
      <protection hidden="1"/>
    </xf>
    <xf numFmtId="0" fontId="20" fillId="4" borderId="0" xfId="0" applyFont="1" applyFill="1" applyProtection="1">
      <protection hidden="1"/>
    </xf>
    <xf numFmtId="0" fontId="8" fillId="4" borderId="0" xfId="0" applyFont="1" applyFill="1" applyAlignment="1" applyProtection="1">
      <alignment horizontal="center" wrapText="1"/>
      <protection hidden="1"/>
    </xf>
    <xf numFmtId="0" fontId="16" fillId="4" borderId="0" xfId="0" applyFont="1" applyFill="1" applyProtection="1">
      <protection hidden="1"/>
    </xf>
    <xf numFmtId="181" fontId="2" fillId="4" borderId="0" xfId="0" applyNumberFormat="1" applyFont="1" applyFill="1" applyAlignment="1" applyProtection="1">
      <alignment horizontal="center" wrapText="1"/>
      <protection hidden="1"/>
    </xf>
    <xf numFmtId="0" fontId="5" fillId="4" borderId="0" xfId="0" applyFont="1" applyFill="1" applyProtection="1">
      <protection hidden="1"/>
    </xf>
    <xf numFmtId="0" fontId="10" fillId="4" borderId="0" xfId="0" applyFont="1" applyFill="1" applyBorder="1" applyAlignment="1" applyProtection="1">
      <protection hidden="1"/>
    </xf>
    <xf numFmtId="0" fontId="10" fillId="4" borderId="0" xfId="0" applyFont="1" applyFill="1" applyAlignment="1" applyProtection="1">
      <alignment horizontal="center" wrapText="1"/>
      <protection hidden="1"/>
    </xf>
    <xf numFmtId="0" fontId="1" fillId="4" borderId="0" xfId="0" applyFont="1" applyFill="1" applyBorder="1" applyAlignment="1" applyProtection="1">
      <alignment horizontal="center"/>
      <protection hidden="1"/>
    </xf>
    <xf numFmtId="179" fontId="0" fillId="2" borderId="11" xfId="17" applyNumberFormat="1" applyFont="1" applyFill="1" applyBorder="1" applyAlignment="1" applyProtection="1">
      <alignment horizontal="center"/>
      <protection locked="0"/>
    </xf>
    <xf numFmtId="4" fontId="0" fillId="2" borderId="11" xfId="0" applyNumberFormat="1" applyFill="1" applyBorder="1" applyAlignment="1" applyProtection="1">
      <alignment horizontal="center"/>
      <protection locked="0"/>
    </xf>
    <xf numFmtId="2" fontId="2" fillId="4" borderId="0" xfId="0" applyNumberFormat="1" applyFont="1" applyFill="1" applyBorder="1" applyAlignment="1" applyProtection="1">
      <alignment horizontal="left" indent="1"/>
      <protection hidden="1"/>
    </xf>
    <xf numFmtId="3" fontId="10" fillId="4" borderId="0" xfId="0" applyNumberFormat="1" applyFont="1" applyFill="1" applyAlignment="1" applyProtection="1">
      <alignment horizontal="center" wrapText="1"/>
      <protection hidden="1"/>
    </xf>
    <xf numFmtId="0" fontId="2" fillId="2" borderId="11" xfId="0" applyFont="1" applyFill="1" applyBorder="1" applyProtection="1">
      <protection locked="0"/>
    </xf>
    <xf numFmtId="0" fontId="0" fillId="0" borderId="0" xfId="0" applyFill="1" applyAlignment="1" applyProtection="1">
      <alignment horizontal="center"/>
      <protection hidden="1"/>
    </xf>
    <xf numFmtId="0" fontId="0" fillId="0" borderId="0" xfId="0" applyFill="1" applyBorder="1" applyAlignment="1" applyProtection="1">
      <alignment horizontal="center"/>
      <protection hidden="1"/>
    </xf>
    <xf numFmtId="0" fontId="2" fillId="4" borderId="16" xfId="0" applyFont="1" applyFill="1" applyBorder="1" applyAlignment="1" applyProtection="1">
      <alignment horizontal="center"/>
      <protection hidden="1"/>
    </xf>
    <xf numFmtId="0" fontId="0" fillId="4" borderId="0" xfId="0" applyFill="1" applyAlignment="1" applyProtection="1">
      <alignment vertical="center"/>
      <protection hidden="1"/>
    </xf>
    <xf numFmtId="2" fontId="0" fillId="2" borderId="11" xfId="0" applyNumberFormat="1" applyFill="1" applyBorder="1" applyAlignment="1" applyProtection="1">
      <alignment horizontal="center" vertical="center" wrapText="1"/>
      <protection locked="0"/>
    </xf>
    <xf numFmtId="0" fontId="10" fillId="7" borderId="11" xfId="0" applyFont="1" applyFill="1" applyBorder="1" applyAlignment="1" applyProtection="1">
      <alignment horizontal="center" wrapText="1"/>
      <protection locked="0"/>
    </xf>
    <xf numFmtId="0" fontId="10" fillId="7" borderId="11" xfId="0" applyFont="1" applyFill="1" applyBorder="1" applyProtection="1">
      <protection locked="0"/>
    </xf>
    <xf numFmtId="0" fontId="21" fillId="4" borderId="0" xfId="0" applyFont="1" applyFill="1" applyProtection="1">
      <protection hidden="1"/>
    </xf>
    <xf numFmtId="0" fontId="10" fillId="4" borderId="0" xfId="0" applyFont="1" applyFill="1" applyAlignment="1" applyProtection="1">
      <protection hidden="1"/>
    </xf>
    <xf numFmtId="0" fontId="0" fillId="4" borderId="10" xfId="0" applyFill="1" applyBorder="1" applyAlignment="1" applyProtection="1">
      <protection hidden="1"/>
    </xf>
    <xf numFmtId="0" fontId="22" fillId="0" borderId="0" xfId="0" applyFont="1" applyFill="1" applyBorder="1"/>
    <xf numFmtId="181" fontId="0" fillId="2" borderId="11" xfId="0" applyNumberFormat="1" applyFill="1" applyBorder="1" applyAlignment="1" applyProtection="1">
      <alignment horizontal="center"/>
      <protection locked="0"/>
    </xf>
    <xf numFmtId="0" fontId="10" fillId="4" borderId="0" xfId="0" applyFont="1" applyFill="1" applyBorder="1" applyAlignment="1" applyProtection="1">
      <alignment horizontal="left"/>
      <protection hidden="1"/>
    </xf>
    <xf numFmtId="192" fontId="0" fillId="4" borderId="0" xfId="0" applyNumberFormat="1" applyFill="1" applyBorder="1" applyAlignment="1" applyProtection="1">
      <alignment horizontal="center"/>
      <protection hidden="1"/>
    </xf>
    <xf numFmtId="0" fontId="0" fillId="4" borderId="0" xfId="0" applyFill="1" applyBorder="1" applyAlignment="1" applyProtection="1">
      <alignment horizontal="right" indent="1"/>
      <protection hidden="1"/>
    </xf>
    <xf numFmtId="0" fontId="9" fillId="4" borderId="6" xfId="0" applyFont="1" applyFill="1" applyBorder="1" applyProtection="1">
      <protection hidden="1"/>
    </xf>
    <xf numFmtId="192" fontId="0" fillId="4" borderId="22" xfId="0" applyNumberFormat="1" applyFill="1" applyBorder="1" applyAlignment="1" applyProtection="1">
      <alignment horizontal="center"/>
      <protection hidden="1"/>
    </xf>
    <xf numFmtId="192" fontId="2" fillId="4" borderId="0" xfId="0" applyNumberFormat="1" applyFont="1" applyFill="1" applyBorder="1" applyAlignment="1" applyProtection="1">
      <alignment horizontal="center"/>
      <protection hidden="1"/>
    </xf>
    <xf numFmtId="0" fontId="2" fillId="4" borderId="0" xfId="0" applyFont="1" applyFill="1" applyBorder="1" applyAlignment="1" applyProtection="1">
      <alignment horizontal="right" indent="1"/>
      <protection hidden="1"/>
    </xf>
    <xf numFmtId="3" fontId="2" fillId="4" borderId="0" xfId="0" applyNumberFormat="1" applyFont="1" applyFill="1" applyBorder="1" applyAlignment="1" applyProtection="1">
      <alignment horizontal="center" wrapText="1"/>
      <protection hidden="1"/>
    </xf>
    <xf numFmtId="0" fontId="0" fillId="0" borderId="0" xfId="0" applyAlignment="1" applyProtection="1">
      <alignment horizontal="left"/>
      <protection locked="0"/>
    </xf>
    <xf numFmtId="0" fontId="0" fillId="0" borderId="0" xfId="0" applyFill="1" applyProtection="1">
      <protection locked="0"/>
    </xf>
    <xf numFmtId="0" fontId="0" fillId="0" borderId="0" xfId="0" applyAlignment="1" applyProtection="1">
      <alignment horizontal="center"/>
      <protection hidden="1"/>
    </xf>
    <xf numFmtId="0" fontId="0" fillId="0" borderId="10" xfId="0" applyBorder="1" applyProtection="1">
      <protection hidden="1"/>
    </xf>
    <xf numFmtId="178" fontId="0" fillId="2" borderId="11" xfId="0" applyNumberFormat="1" applyFill="1" applyBorder="1" applyAlignment="1" applyProtection="1">
      <alignment horizontal="center"/>
      <protection locked="0"/>
    </xf>
    <xf numFmtId="16" fontId="0" fillId="2" borderId="11" xfId="0" applyNumberFormat="1" applyFill="1" applyBorder="1" applyAlignment="1" applyProtection="1">
      <alignment horizontal="center"/>
      <protection locked="0"/>
    </xf>
    <xf numFmtId="20" fontId="0" fillId="2" borderId="11" xfId="0" applyNumberFormat="1" applyFill="1" applyBorder="1" applyAlignment="1" applyProtection="1">
      <alignment horizontal="center"/>
      <protection locked="0"/>
    </xf>
    <xf numFmtId="182" fontId="0" fillId="2" borderId="27" xfId="0" applyNumberFormat="1" applyFill="1" applyBorder="1" applyAlignment="1" applyProtection="1">
      <alignment horizontal="center"/>
      <protection locked="0"/>
    </xf>
    <xf numFmtId="180" fontId="0" fillId="2" borderId="11" xfId="0" applyNumberFormat="1" applyFill="1" applyBorder="1" applyAlignment="1" applyProtection="1">
      <alignment horizontal="center"/>
      <protection locked="0"/>
    </xf>
    <xf numFmtId="180" fontId="1" fillId="2" borderId="11" xfId="2" applyNumberFormat="1" applyFill="1" applyBorder="1" applyAlignment="1" applyProtection="1">
      <alignment horizontal="center"/>
      <protection locked="0"/>
    </xf>
    <xf numFmtId="181" fontId="1" fillId="2" borderId="11" xfId="2" applyNumberFormat="1" applyFill="1" applyBorder="1" applyAlignment="1" applyProtection="1">
      <alignment horizontal="center"/>
      <protection locked="0"/>
    </xf>
    <xf numFmtId="179" fontId="0" fillId="2" borderId="22" xfId="0" applyNumberFormat="1" applyFill="1" applyBorder="1" applyAlignment="1" applyProtection="1">
      <alignment horizontal="center"/>
      <protection locked="0"/>
    </xf>
    <xf numFmtId="179" fontId="0" fillId="4" borderId="10" xfId="17" applyNumberFormat="1" applyFont="1" applyFill="1" applyBorder="1" applyAlignment="1" applyProtection="1">
      <alignment horizontal="center"/>
      <protection hidden="1"/>
    </xf>
    <xf numFmtId="0" fontId="5" fillId="4" borderId="0" xfId="0" applyFont="1" applyFill="1" applyBorder="1" applyProtection="1">
      <protection hidden="1"/>
    </xf>
    <xf numFmtId="0" fontId="0" fillId="9" borderId="11" xfId="0" applyFill="1" applyBorder="1" applyProtection="1">
      <protection locked="0"/>
    </xf>
    <xf numFmtId="0" fontId="0" fillId="0" borderId="0" xfId="0" applyAlignment="1">
      <alignment horizontal="right"/>
    </xf>
    <xf numFmtId="0" fontId="0" fillId="7" borderId="27" xfId="0" applyFill="1" applyBorder="1" applyAlignment="1" applyProtection="1">
      <alignment horizontal="center"/>
      <protection locked="0"/>
    </xf>
    <xf numFmtId="0" fontId="16" fillId="2" borderId="11" xfId="0" applyFont="1" applyFill="1" applyBorder="1" applyAlignment="1" applyProtection="1">
      <alignment horizontal="center"/>
      <protection locked="0"/>
    </xf>
    <xf numFmtId="3" fontId="0" fillId="2" borderId="11" xfId="0" applyNumberFormat="1" applyFill="1" applyBorder="1" applyAlignment="1" applyProtection="1">
      <alignment horizontal="right"/>
      <protection locked="0"/>
    </xf>
    <xf numFmtId="180" fontId="0" fillId="2" borderId="22" xfId="0" applyNumberFormat="1" applyFill="1" applyBorder="1" applyAlignment="1" applyProtection="1">
      <alignment horizontal="center"/>
      <protection locked="0"/>
    </xf>
    <xf numFmtId="179" fontId="0" fillId="5" borderId="11" xfId="0" applyNumberFormat="1" applyFill="1" applyBorder="1" applyAlignment="1" applyProtection="1">
      <alignment horizontal="center"/>
      <protection locked="0"/>
    </xf>
    <xf numFmtId="3" fontId="0" fillId="5" borderId="11" xfId="0" applyNumberFormat="1" applyFill="1" applyBorder="1" applyAlignment="1" applyProtection="1">
      <alignment horizontal="center"/>
      <protection locked="0"/>
    </xf>
    <xf numFmtId="0" fontId="0" fillId="5" borderId="11" xfId="0" applyFill="1" applyBorder="1" applyAlignment="1" applyProtection="1">
      <alignment horizontal="center"/>
      <protection locked="0"/>
    </xf>
    <xf numFmtId="181" fontId="16" fillId="2" borderId="11" xfId="0" applyNumberFormat="1" applyFont="1" applyFill="1" applyBorder="1" applyAlignment="1" applyProtection="1">
      <alignment horizontal="center"/>
      <protection locked="0"/>
    </xf>
    <xf numFmtId="3" fontId="16" fillId="2" borderId="11" xfId="0" applyNumberFormat="1" applyFont="1" applyFill="1" applyBorder="1" applyAlignment="1" applyProtection="1">
      <alignment horizontal="center"/>
      <protection locked="0"/>
    </xf>
    <xf numFmtId="9" fontId="16" fillId="2" borderId="11" xfId="0" applyNumberFormat="1" applyFont="1" applyFill="1" applyBorder="1" applyAlignment="1" applyProtection="1">
      <alignment horizontal="center"/>
      <protection locked="0"/>
    </xf>
    <xf numFmtId="181" fontId="1" fillId="2" borderId="11" xfId="0" applyNumberFormat="1" applyFont="1" applyFill="1" applyBorder="1" applyAlignment="1" applyProtection="1">
      <alignment horizontal="center"/>
      <protection locked="0"/>
    </xf>
    <xf numFmtId="0" fontId="0" fillId="7" borderId="22" xfId="0" applyFill="1" applyBorder="1" applyAlignment="1" applyProtection="1">
      <alignment horizontal="center"/>
      <protection locked="0"/>
    </xf>
    <xf numFmtId="0" fontId="0" fillId="2" borderId="11" xfId="0" applyFill="1" applyBorder="1" applyAlignment="1" applyProtection="1">
      <alignment horizontal="center" wrapText="1"/>
      <protection locked="0"/>
    </xf>
    <xf numFmtId="1" fontId="0" fillId="2" borderId="11" xfId="0" applyNumberFormat="1" applyFill="1" applyBorder="1" applyAlignment="1" applyProtection="1">
      <alignment horizontal="center"/>
      <protection locked="0"/>
    </xf>
    <xf numFmtId="2" fontId="0" fillId="2" borderId="11" xfId="0" applyNumberFormat="1" applyFill="1" applyBorder="1" applyAlignment="1" applyProtection="1">
      <alignment horizontal="center" wrapText="1"/>
      <protection locked="0"/>
    </xf>
    <xf numFmtId="179" fontId="0" fillId="2" borderId="11" xfId="0" applyNumberFormat="1" applyFill="1" applyBorder="1" applyAlignment="1" applyProtection="1">
      <alignment horizontal="center"/>
      <protection locked="0"/>
    </xf>
    <xf numFmtId="0" fontId="2" fillId="7" borderId="11" xfId="0" applyFont="1" applyFill="1" applyBorder="1" applyAlignment="1" applyProtection="1">
      <alignment horizontal="center"/>
      <protection locked="0"/>
    </xf>
    <xf numFmtId="9" fontId="0" fillId="2" borderId="11" xfId="17" applyFont="1" applyFill="1" applyBorder="1" applyProtection="1">
      <protection locked="0"/>
    </xf>
    <xf numFmtId="10" fontId="0" fillId="2" borderId="11" xfId="17" applyNumberFormat="1" applyFont="1" applyFill="1" applyBorder="1" applyProtection="1">
      <protection locked="0"/>
    </xf>
    <xf numFmtId="179" fontId="0" fillId="2" borderId="11" xfId="0" applyNumberFormat="1" applyFill="1" applyBorder="1" applyProtection="1">
      <protection locked="0"/>
    </xf>
    <xf numFmtId="178" fontId="0" fillId="5" borderId="11" xfId="0" applyNumberFormat="1" applyFill="1" applyBorder="1" applyAlignment="1" applyProtection="1">
      <alignment horizontal="center"/>
      <protection locked="0"/>
    </xf>
    <xf numFmtId="4" fontId="0" fillId="4" borderId="4" xfId="0" applyNumberFormat="1" applyFill="1" applyBorder="1" applyAlignment="1" applyProtection="1">
      <alignment horizontal="center"/>
      <protection hidden="1"/>
    </xf>
    <xf numFmtId="9" fontId="0" fillId="0" borderId="0" xfId="17" applyFont="1" applyFill="1" applyBorder="1"/>
    <xf numFmtId="10" fontId="0" fillId="0" borderId="0" xfId="0" applyNumberFormat="1"/>
    <xf numFmtId="0" fontId="0" fillId="0" borderId="0" xfId="0" applyNumberFormat="1" applyBorder="1"/>
    <xf numFmtId="3" fontId="0" fillId="4" borderId="16" xfId="0" applyNumberFormat="1" applyFill="1" applyBorder="1" applyAlignment="1" applyProtection="1">
      <alignment horizontal="center"/>
      <protection hidden="1"/>
    </xf>
    <xf numFmtId="0" fontId="2" fillId="4" borderId="28" xfId="0" applyFont="1" applyFill="1" applyBorder="1" applyAlignment="1" applyProtection="1">
      <alignment horizontal="left"/>
      <protection hidden="1"/>
    </xf>
    <xf numFmtId="0" fontId="2" fillId="4" borderId="16" xfId="0" applyFont="1" applyFill="1" applyBorder="1" applyAlignment="1" applyProtection="1">
      <alignment horizontal="left"/>
      <protection hidden="1"/>
    </xf>
    <xf numFmtId="0" fontId="12" fillId="6" borderId="16" xfId="0" applyFont="1" applyFill="1" applyBorder="1" applyAlignment="1" applyProtection="1">
      <alignment horizontal="left"/>
      <protection hidden="1"/>
    </xf>
    <xf numFmtId="0" fontId="2" fillId="4" borderId="8" xfId="0" applyFont="1" applyFill="1" applyBorder="1" applyAlignment="1" applyProtection="1">
      <alignment horizontal="left"/>
      <protection hidden="1"/>
    </xf>
    <xf numFmtId="22" fontId="0" fillId="0" borderId="0" xfId="0" applyNumberFormat="1"/>
    <xf numFmtId="0" fontId="10" fillId="2" borderId="11" xfId="0" applyFont="1" applyFill="1" applyBorder="1" applyAlignment="1" applyProtection="1">
      <alignment horizontal="center"/>
      <protection locked="0"/>
    </xf>
    <xf numFmtId="179" fontId="0" fillId="2" borderId="20" xfId="0" applyNumberFormat="1" applyFill="1" applyBorder="1" applyAlignment="1" applyProtection="1">
      <alignment horizontal="center"/>
      <protection locked="0"/>
    </xf>
    <xf numFmtId="182" fontId="0" fillId="2" borderId="11" xfId="0" applyNumberFormat="1" applyFill="1" applyBorder="1" applyProtection="1">
      <protection locked="0"/>
    </xf>
    <xf numFmtId="1" fontId="0" fillId="2" borderId="11" xfId="0" applyNumberFormat="1" applyFill="1" applyBorder="1" applyProtection="1">
      <protection locked="0"/>
    </xf>
    <xf numFmtId="0" fontId="22" fillId="0" borderId="0" xfId="0" applyFont="1" applyFill="1" applyBorder="1" applyAlignment="1">
      <alignment wrapText="1"/>
    </xf>
    <xf numFmtId="179" fontId="0" fillId="4" borderId="4" xfId="17" applyNumberFormat="1" applyFont="1" applyFill="1" applyBorder="1" applyAlignment="1" applyProtection="1">
      <alignment horizontal="center"/>
      <protection hidden="1"/>
    </xf>
    <xf numFmtId="3" fontId="0" fillId="0" borderId="0" xfId="0" applyNumberFormat="1" applyAlignment="1"/>
    <xf numFmtId="179" fontId="0" fillId="5" borderId="11" xfId="17" applyNumberFormat="1" applyFont="1" applyFill="1" applyBorder="1" applyAlignment="1" applyProtection="1">
      <alignment horizontal="center"/>
      <protection locked="0"/>
    </xf>
    <xf numFmtId="0" fontId="12" fillId="6" borderId="8" xfId="0" applyFont="1" applyFill="1" applyBorder="1" applyAlignment="1" applyProtection="1">
      <alignment horizontal="left"/>
      <protection hidden="1"/>
    </xf>
    <xf numFmtId="0" fontId="0" fillId="4" borderId="8" xfId="0" applyFill="1" applyBorder="1" applyAlignment="1" applyProtection="1">
      <protection hidden="1"/>
    </xf>
    <xf numFmtId="0" fontId="0" fillId="4" borderId="29" xfId="0" applyFill="1" applyBorder="1" applyProtection="1">
      <protection hidden="1"/>
    </xf>
    <xf numFmtId="0" fontId="3" fillId="4" borderId="8" xfId="0" applyFont="1" applyFill="1" applyBorder="1" applyProtection="1">
      <protection hidden="1"/>
    </xf>
    <xf numFmtId="0" fontId="0" fillId="0" borderId="8" xfId="0" applyBorder="1" applyProtection="1">
      <protection hidden="1"/>
    </xf>
    <xf numFmtId="0" fontId="0" fillId="4" borderId="27" xfId="0" applyFill="1" applyBorder="1" applyProtection="1">
      <protection hidden="1"/>
    </xf>
    <xf numFmtId="181" fontId="0" fillId="5" borderId="11" xfId="0" applyNumberFormat="1" applyFill="1" applyBorder="1" applyAlignment="1" applyProtection="1">
      <alignment horizontal="center"/>
      <protection locked="0"/>
    </xf>
    <xf numFmtId="0" fontId="1" fillId="2" borderId="11" xfId="0" applyNumberFormat="1" applyFont="1" applyFill="1" applyBorder="1" applyAlignment="1" applyProtection="1">
      <alignment horizontal="center" vertical="center"/>
      <protection locked="0"/>
    </xf>
    <xf numFmtId="3" fontId="1" fillId="2" borderId="11" xfId="0" quotePrefix="1" applyNumberFormat="1" applyFont="1" applyFill="1" applyBorder="1" applyAlignment="1" applyProtection="1">
      <alignment horizontal="center" vertical="center"/>
      <protection locked="0"/>
    </xf>
    <xf numFmtId="0" fontId="1" fillId="2" borderId="11" xfId="0" quotePrefix="1" applyNumberFormat="1" applyFont="1" applyFill="1" applyBorder="1" applyAlignment="1" applyProtection="1">
      <alignment horizontal="center" vertical="center"/>
      <protection locked="0"/>
    </xf>
    <xf numFmtId="183" fontId="0" fillId="2" borderId="11" xfId="0" applyNumberFormat="1" applyFill="1" applyBorder="1" applyAlignment="1" applyProtection="1">
      <alignment horizontal="center"/>
      <protection locked="0"/>
    </xf>
    <xf numFmtId="3" fontId="0" fillId="2" borderId="20" xfId="0" applyNumberFormat="1" applyFill="1" applyBorder="1" applyAlignment="1" applyProtection="1">
      <alignment horizontal="center"/>
      <protection locked="0"/>
    </xf>
    <xf numFmtId="3" fontId="0" fillId="0" borderId="0" xfId="0" applyNumberFormat="1" applyFill="1" applyBorder="1" applyAlignment="1" applyProtection="1">
      <alignment horizontal="center"/>
      <protection hidden="1"/>
    </xf>
    <xf numFmtId="0" fontId="0" fillId="2" borderId="20" xfId="0" applyFill="1" applyBorder="1" applyAlignment="1" applyProtection="1">
      <alignment horizontal="center"/>
      <protection locked="0"/>
    </xf>
    <xf numFmtId="3" fontId="0" fillId="5" borderId="20" xfId="0" applyNumberFormat="1" applyFill="1" applyBorder="1" applyAlignment="1" applyProtection="1">
      <alignment horizontal="center"/>
      <protection locked="0"/>
    </xf>
    <xf numFmtId="4" fontId="0" fillId="5" borderId="20" xfId="0" applyNumberFormat="1" applyFill="1" applyBorder="1" applyAlignment="1" applyProtection="1">
      <alignment horizontal="center"/>
      <protection locked="0"/>
    </xf>
    <xf numFmtId="3" fontId="16" fillId="4" borderId="0" xfId="0" applyNumberFormat="1" applyFont="1" applyFill="1" applyBorder="1" applyAlignment="1" applyProtection="1">
      <alignment horizontal="center"/>
      <protection hidden="1"/>
    </xf>
    <xf numFmtId="0" fontId="0" fillId="0" borderId="0" xfId="0" applyBorder="1" applyProtection="1">
      <protection hidden="1"/>
    </xf>
    <xf numFmtId="181" fontId="0" fillId="2" borderId="11" xfId="0" applyNumberFormat="1" applyFill="1" applyBorder="1" applyAlignment="1" applyProtection="1">
      <alignment horizontal="right" indent="2"/>
      <protection locked="0"/>
    </xf>
    <xf numFmtId="183" fontId="0" fillId="2" borderId="11" xfId="0" applyNumberFormat="1" applyFill="1" applyBorder="1" applyAlignment="1" applyProtection="1">
      <alignment horizontal="right" indent="2"/>
      <protection locked="0"/>
    </xf>
    <xf numFmtId="9" fontId="0" fillId="0" borderId="0" xfId="0" applyNumberFormat="1" applyFill="1" applyBorder="1" applyAlignment="1" applyProtection="1">
      <alignment horizontal="center"/>
      <protection hidden="1"/>
    </xf>
    <xf numFmtId="0" fontId="0" fillId="2" borderId="11" xfId="0" applyFill="1" applyBorder="1" applyProtection="1">
      <protection hidden="1"/>
    </xf>
    <xf numFmtId="0" fontId="0" fillId="0" borderId="16" xfId="0" applyBorder="1" applyProtection="1">
      <protection hidden="1"/>
    </xf>
    <xf numFmtId="0" fontId="0" fillId="0" borderId="4" xfId="0" applyBorder="1" applyProtection="1">
      <protection hidden="1"/>
    </xf>
    <xf numFmtId="0" fontId="0" fillId="0" borderId="5" xfId="0" applyBorder="1" applyProtection="1">
      <protection hidden="1"/>
    </xf>
    <xf numFmtId="0" fontId="0" fillId="0" borderId="6" xfId="0" applyBorder="1" applyProtection="1">
      <protection hidden="1"/>
    </xf>
    <xf numFmtId="0" fontId="0" fillId="0" borderId="9" xfId="0" applyBorder="1" applyProtection="1">
      <protection hidden="1"/>
    </xf>
    <xf numFmtId="0" fontId="0" fillId="0" borderId="7" xfId="0" applyBorder="1" applyProtection="1">
      <protection hidden="1"/>
    </xf>
    <xf numFmtId="192" fontId="0" fillId="2" borderId="11" xfId="0" applyNumberFormat="1" applyFill="1" applyBorder="1" applyAlignment="1" applyProtection="1">
      <alignment horizontal="center"/>
      <protection locked="0"/>
    </xf>
    <xf numFmtId="0" fontId="0" fillId="0" borderId="0" xfId="0" quotePrefix="1" applyProtection="1">
      <protection hidden="1"/>
    </xf>
    <xf numFmtId="4" fontId="0" fillId="0" borderId="0" xfId="0" applyNumberFormat="1" applyProtection="1">
      <protection hidden="1"/>
    </xf>
    <xf numFmtId="2" fontId="0" fillId="0" borderId="0" xfId="0" applyNumberFormat="1" applyProtection="1">
      <protection hidden="1"/>
    </xf>
    <xf numFmtId="0" fontId="0" fillId="0" borderId="20" xfId="0" applyBorder="1" applyProtection="1">
      <protection hidden="1"/>
    </xf>
    <xf numFmtId="0" fontId="0" fillId="0" borderId="22" xfId="0" applyBorder="1" applyProtection="1">
      <protection hidden="1"/>
    </xf>
    <xf numFmtId="0" fontId="0" fillId="0" borderId="21" xfId="0" applyBorder="1" applyProtection="1">
      <protection hidden="1"/>
    </xf>
    <xf numFmtId="0" fontId="0" fillId="0" borderId="0" xfId="0" applyFill="1" applyProtection="1">
      <protection hidden="1"/>
    </xf>
    <xf numFmtId="181" fontId="0" fillId="0" borderId="0" xfId="0" applyNumberFormat="1" applyFill="1" applyAlignment="1" applyProtection="1">
      <alignment horizontal="center"/>
      <protection hidden="1"/>
    </xf>
    <xf numFmtId="3" fontId="0" fillId="0" borderId="0" xfId="0" applyNumberFormat="1" applyFill="1" applyBorder="1" applyAlignment="1" applyProtection="1">
      <alignment horizontal="right"/>
      <protection hidden="1"/>
    </xf>
    <xf numFmtId="0" fontId="2" fillId="0" borderId="0" xfId="0" applyFont="1" applyBorder="1"/>
    <xf numFmtId="0" fontId="0" fillId="5" borderId="30" xfId="0" applyFill="1" applyBorder="1"/>
    <xf numFmtId="0" fontId="0" fillId="2" borderId="30" xfId="0" applyFill="1" applyBorder="1"/>
    <xf numFmtId="0" fontId="0" fillId="2" borderId="31" xfId="0" applyFill="1" applyBorder="1"/>
    <xf numFmtId="0" fontId="2" fillId="0" borderId="32" xfId="0" applyFont="1" applyBorder="1"/>
    <xf numFmtId="0" fontId="0" fillId="2" borderId="33" xfId="0" applyFill="1" applyBorder="1"/>
    <xf numFmtId="0" fontId="0" fillId="5" borderId="31" xfId="0" applyFill="1" applyBorder="1"/>
    <xf numFmtId="0" fontId="0" fillId="5" borderId="33" xfId="0" applyFill="1" applyBorder="1"/>
    <xf numFmtId="0" fontId="2" fillId="5" borderId="34" xfId="0" applyFont="1" applyFill="1" applyBorder="1" applyAlignment="1">
      <alignment horizontal="center"/>
    </xf>
    <xf numFmtId="0" fontId="2" fillId="2" borderId="34" xfId="0" applyFont="1" applyFill="1" applyBorder="1" applyAlignment="1">
      <alignment horizontal="center"/>
    </xf>
    <xf numFmtId="3" fontId="0" fillId="0" borderId="0" xfId="0" applyNumberFormat="1" applyProtection="1">
      <protection hidden="1"/>
    </xf>
    <xf numFmtId="0" fontId="30" fillId="0" borderId="0" xfId="0" applyFont="1" applyFill="1" applyAlignment="1" applyProtection="1">
      <alignment shrinkToFit="1"/>
      <protection hidden="1"/>
    </xf>
    <xf numFmtId="0" fontId="0" fillId="0" borderId="6" xfId="0" applyBorder="1" applyProtection="1">
      <protection locked="0"/>
    </xf>
    <xf numFmtId="3" fontId="1" fillId="5" borderId="11" xfId="15" applyNumberFormat="1" applyFont="1" applyFill="1" applyBorder="1" applyAlignment="1" applyProtection="1">
      <alignment horizontal="center"/>
      <protection locked="0"/>
    </xf>
    <xf numFmtId="10" fontId="0" fillId="2" borderId="11" xfId="17" applyNumberFormat="1" applyFont="1" applyFill="1" applyBorder="1" applyAlignment="1" applyProtection="1">
      <alignment horizontal="center"/>
      <protection locked="0"/>
    </xf>
    <xf numFmtId="0" fontId="31" fillId="4" borderId="10" xfId="0" applyFont="1" applyFill="1" applyBorder="1" applyAlignment="1" applyProtection="1">
      <alignment horizontal="center"/>
      <protection hidden="1"/>
    </xf>
    <xf numFmtId="169" fontId="31" fillId="4" borderId="7" xfId="0" applyNumberFormat="1" applyFont="1" applyFill="1" applyBorder="1" applyAlignment="1" applyProtection="1">
      <alignment horizontal="right"/>
      <protection hidden="1"/>
    </xf>
    <xf numFmtId="0" fontId="0" fillId="0" borderId="0" xfId="0" applyBorder="1" applyAlignment="1">
      <alignment horizontal="center"/>
    </xf>
    <xf numFmtId="178" fontId="0" fillId="0" borderId="0" xfId="0" applyNumberFormat="1" applyBorder="1"/>
    <xf numFmtId="0" fontId="0" fillId="0" borderId="0" xfId="0" applyBorder="1" applyAlignment="1"/>
    <xf numFmtId="0" fontId="32" fillId="0" borderId="0" xfId="0" applyFont="1" applyFill="1" applyBorder="1"/>
    <xf numFmtId="0" fontId="3" fillId="6" borderId="0" xfId="0" applyFont="1" applyFill="1" applyProtection="1">
      <protection hidden="1"/>
    </xf>
    <xf numFmtId="182" fontId="1" fillId="0" borderId="35" xfId="0" applyNumberFormat="1" applyFont="1" applyFill="1" applyBorder="1" applyProtection="1">
      <protection hidden="1"/>
    </xf>
    <xf numFmtId="182" fontId="1" fillId="0" borderId="36" xfId="0" applyNumberFormat="1" applyFont="1" applyFill="1" applyBorder="1" applyProtection="1">
      <protection hidden="1"/>
    </xf>
    <xf numFmtId="0" fontId="0" fillId="0" borderId="37" xfId="0" applyBorder="1" applyAlignment="1"/>
    <xf numFmtId="0" fontId="0" fillId="0" borderId="35" xfId="0" applyBorder="1" applyAlignment="1"/>
    <xf numFmtId="0" fontId="0" fillId="0" borderId="38" xfId="0" applyBorder="1" applyAlignment="1"/>
    <xf numFmtId="0" fontId="0" fillId="0" borderId="36" xfId="0" applyBorder="1" applyAlignment="1"/>
    <xf numFmtId="0" fontId="1" fillId="4" borderId="0" xfId="0" applyFont="1" applyFill="1" applyBorder="1" applyProtection="1">
      <protection hidden="1"/>
    </xf>
    <xf numFmtId="0" fontId="1" fillId="4" borderId="6" xfId="0" applyFont="1" applyFill="1" applyBorder="1" applyProtection="1">
      <protection hidden="1"/>
    </xf>
    <xf numFmtId="0" fontId="1" fillId="4" borderId="22" xfId="0" applyFont="1" applyFill="1" applyBorder="1" applyAlignment="1" applyProtection="1">
      <protection hidden="1"/>
    </xf>
    <xf numFmtId="0" fontId="2" fillId="4" borderId="22" xfId="0" applyFont="1" applyFill="1" applyBorder="1" applyAlignment="1" applyProtection="1">
      <alignment horizontal="center"/>
      <protection hidden="1"/>
    </xf>
    <xf numFmtId="4" fontId="1" fillId="4" borderId="11" xfId="0" applyNumberFormat="1" applyFont="1" applyFill="1" applyBorder="1" applyAlignment="1" applyProtection="1">
      <alignment horizontal="center"/>
      <protection hidden="1"/>
    </xf>
    <xf numFmtId="0" fontId="2" fillId="4" borderId="5" xfId="0" applyFont="1" applyFill="1" applyBorder="1" applyAlignment="1" applyProtection="1">
      <alignment horizontal="center"/>
      <protection hidden="1"/>
    </xf>
    <xf numFmtId="0" fontId="1" fillId="2" borderId="22" xfId="0" applyFont="1" applyFill="1" applyBorder="1" applyAlignment="1" applyProtection="1">
      <alignment horizontal="center"/>
      <protection locked="0"/>
    </xf>
    <xf numFmtId="0" fontId="1" fillId="2" borderId="11" xfId="0" applyFont="1" applyFill="1" applyBorder="1" applyAlignment="1" applyProtection="1">
      <alignment horizontal="center"/>
      <protection locked="0"/>
    </xf>
    <xf numFmtId="3" fontId="1" fillId="2" borderId="11" xfId="0" applyNumberFormat="1" applyFont="1" applyFill="1" applyBorder="1" applyAlignment="1" applyProtection="1">
      <alignment horizontal="center"/>
      <protection locked="0"/>
    </xf>
    <xf numFmtId="3" fontId="1" fillId="2" borderId="11" xfId="0" applyNumberFormat="1" applyFont="1" applyFill="1" applyBorder="1" applyProtection="1">
      <protection locked="0"/>
    </xf>
    <xf numFmtId="4" fontId="1" fillId="5" borderId="11" xfId="0" applyNumberFormat="1" applyFont="1" applyFill="1" applyBorder="1" applyAlignment="1" applyProtection="1">
      <alignment horizontal="center"/>
      <protection locked="0"/>
    </xf>
    <xf numFmtId="0" fontId="1" fillId="7" borderId="11" xfId="0" applyFont="1" applyFill="1" applyBorder="1" applyProtection="1">
      <protection locked="0"/>
    </xf>
    <xf numFmtId="0" fontId="2" fillId="4" borderId="10" xfId="0" applyFont="1" applyFill="1" applyBorder="1" applyAlignment="1" applyProtection="1">
      <protection hidden="1"/>
    </xf>
    <xf numFmtId="0" fontId="2" fillId="4" borderId="4" xfId="0" applyFont="1" applyFill="1" applyBorder="1" applyAlignment="1" applyProtection="1">
      <alignment horizontal="center" wrapText="1"/>
      <protection hidden="1"/>
    </xf>
    <xf numFmtId="0" fontId="0" fillId="4" borderId="0" xfId="0" applyFill="1" applyBorder="1" applyAlignment="1" applyProtection="1">
      <protection hidden="1"/>
    </xf>
    <xf numFmtId="2" fontId="10" fillId="4" borderId="0" xfId="0" applyNumberFormat="1" applyFont="1" applyFill="1" applyBorder="1" applyAlignment="1" applyProtection="1">
      <protection hidden="1"/>
    </xf>
    <xf numFmtId="2" fontId="2" fillId="4" borderId="4" xfId="0" applyNumberFormat="1" applyFont="1" applyFill="1" applyBorder="1" applyAlignment="1" applyProtection="1">
      <protection hidden="1"/>
    </xf>
    <xf numFmtId="0" fontId="2" fillId="0" borderId="34" xfId="0" applyFont="1" applyBorder="1"/>
    <xf numFmtId="0" fontId="0" fillId="0" borderId="39" xfId="0" applyBorder="1" applyAlignment="1">
      <alignment wrapText="1"/>
    </xf>
    <xf numFmtId="0" fontId="0" fillId="0" borderId="40" xfId="0" applyBorder="1" applyAlignment="1">
      <alignment wrapText="1"/>
    </xf>
    <xf numFmtId="0" fontId="0" fillId="0" borderId="38" xfId="0" applyBorder="1" applyAlignment="1">
      <alignment wrapText="1"/>
    </xf>
    <xf numFmtId="0" fontId="0" fillId="0" borderId="36" xfId="0" applyBorder="1" applyAlignment="1">
      <alignment wrapText="1"/>
    </xf>
    <xf numFmtId="0" fontId="0" fillId="0" borderId="41" xfId="0" applyBorder="1" applyAlignment="1">
      <alignment wrapText="1"/>
    </xf>
    <xf numFmtId="0" fontId="0" fillId="0" borderId="42" xfId="0" applyBorder="1" applyAlignment="1">
      <alignment wrapText="1"/>
    </xf>
    <xf numFmtId="0" fontId="2" fillId="0" borderId="34" xfId="0" applyFont="1" applyFill="1" applyBorder="1"/>
    <xf numFmtId="0" fontId="5" fillId="4" borderId="0" xfId="0" applyFont="1" applyFill="1" applyBorder="1" applyAlignment="1" applyProtection="1">
      <alignment horizontal="center"/>
      <protection hidden="1"/>
    </xf>
    <xf numFmtId="0" fontId="0" fillId="0" borderId="0" xfId="0" applyBorder="1" applyAlignment="1">
      <alignment wrapText="1"/>
    </xf>
    <xf numFmtId="0" fontId="0" fillId="0" borderId="0" xfId="0" applyFill="1" applyBorder="1" applyAlignment="1">
      <alignment wrapText="1"/>
    </xf>
    <xf numFmtId="0" fontId="2" fillId="0" borderId="43" xfId="0" applyFont="1" applyBorder="1"/>
    <xf numFmtId="0" fontId="5" fillId="4" borderId="10" xfId="0" applyFont="1" applyFill="1" applyBorder="1" applyProtection="1">
      <protection hidden="1"/>
    </xf>
    <xf numFmtId="0" fontId="5" fillId="4" borderId="7" xfId="0" applyFont="1" applyFill="1" applyBorder="1" applyProtection="1">
      <protection hidden="1"/>
    </xf>
    <xf numFmtId="0" fontId="23" fillId="4" borderId="0" xfId="0" applyFont="1" applyFill="1" applyBorder="1" applyAlignment="1" applyProtection="1">
      <protection hidden="1"/>
    </xf>
    <xf numFmtId="0" fontId="23" fillId="4" borderId="4" xfId="0" applyFont="1" applyFill="1" applyBorder="1" applyAlignment="1" applyProtection="1">
      <protection hidden="1"/>
    </xf>
    <xf numFmtId="0" fontId="3" fillId="6" borderId="14" xfId="0" applyFont="1" applyFill="1" applyBorder="1" applyProtection="1">
      <protection hidden="1"/>
    </xf>
    <xf numFmtId="0" fontId="2" fillId="0" borderId="0" xfId="0" quotePrefix="1" applyFont="1" applyAlignment="1">
      <alignment horizontal="right" wrapText="1"/>
    </xf>
    <xf numFmtId="0" fontId="2" fillId="0" borderId="0" xfId="0" applyFont="1" applyAlignment="1">
      <alignment horizontal="right" wrapText="1"/>
    </xf>
    <xf numFmtId="3" fontId="2" fillId="4" borderId="10" xfId="0" applyNumberFormat="1" applyFont="1" applyFill="1" applyBorder="1" applyAlignment="1" applyProtection="1">
      <alignment horizontal="center" wrapText="1"/>
      <protection hidden="1"/>
    </xf>
    <xf numFmtId="179" fontId="0" fillId="4" borderId="7" xfId="0" applyNumberFormat="1" applyFill="1" applyBorder="1" applyAlignment="1" applyProtection="1">
      <alignment horizontal="center"/>
      <protection hidden="1"/>
    </xf>
    <xf numFmtId="181" fontId="0" fillId="4" borderId="0" xfId="0" applyNumberFormat="1" applyFill="1" applyBorder="1" applyAlignment="1" applyProtection="1">
      <alignment horizontal="center"/>
      <protection hidden="1"/>
    </xf>
    <xf numFmtId="0" fontId="15" fillId="4" borderId="0" xfId="0" applyFont="1" applyFill="1" applyBorder="1" applyProtection="1">
      <protection hidden="1"/>
    </xf>
    <xf numFmtId="0" fontId="0" fillId="9" borderId="11" xfId="0" applyNumberFormat="1" applyFill="1" applyBorder="1" applyAlignment="1" applyProtection="1">
      <alignment horizontal="center"/>
      <protection locked="0"/>
    </xf>
    <xf numFmtId="0" fontId="2" fillId="0" borderId="44" xfId="0" applyFont="1" applyBorder="1" applyAlignment="1">
      <alignment horizontal="center"/>
    </xf>
    <xf numFmtId="0" fontId="1" fillId="5" borderId="34" xfId="0" applyFont="1" applyFill="1" applyBorder="1" applyAlignment="1">
      <alignment horizontal="center"/>
    </xf>
    <xf numFmtId="0" fontId="0" fillId="9" borderId="11" xfId="0" applyFill="1" applyBorder="1" applyAlignment="1" applyProtection="1">
      <alignment horizontal="center"/>
      <protection locked="0"/>
    </xf>
    <xf numFmtId="0" fontId="0" fillId="0" borderId="0" xfId="0" applyAlignment="1" applyProtection="1">
      <protection hidden="1"/>
    </xf>
    <xf numFmtId="0" fontId="0" fillId="0" borderId="16" xfId="0" applyBorder="1" applyAlignment="1" applyProtection="1">
      <protection hidden="1"/>
    </xf>
    <xf numFmtId="0" fontId="0" fillId="0" borderId="4" xfId="0" applyBorder="1" applyAlignment="1" applyProtection="1">
      <protection hidden="1"/>
    </xf>
    <xf numFmtId="0" fontId="0" fillId="0" borderId="5" xfId="0" applyBorder="1" applyAlignment="1" applyProtection="1">
      <protection hidden="1"/>
    </xf>
    <xf numFmtId="0" fontId="0" fillId="0" borderId="8" xfId="0" applyFill="1" applyBorder="1" applyProtection="1">
      <protection hidden="1"/>
    </xf>
    <xf numFmtId="0" fontId="0" fillId="0" borderId="6" xfId="0" applyFill="1" applyBorder="1" applyProtection="1">
      <protection hidden="1"/>
    </xf>
    <xf numFmtId="0" fontId="0" fillId="0" borderId="8" xfId="0" applyFill="1" applyBorder="1" applyAlignment="1" applyProtection="1">
      <alignment horizontal="center" wrapText="1"/>
      <protection hidden="1"/>
    </xf>
    <xf numFmtId="0" fontId="0" fillId="0" borderId="0" xfId="0" applyBorder="1" applyAlignment="1" applyProtection="1">
      <alignment horizontal="center" wrapText="1"/>
      <protection hidden="1"/>
    </xf>
    <xf numFmtId="2" fontId="0" fillId="0" borderId="6" xfId="0" applyNumberFormat="1" applyFill="1" applyBorder="1" applyAlignment="1" applyProtection="1">
      <alignment horizontal="center" wrapText="1"/>
      <protection hidden="1"/>
    </xf>
    <xf numFmtId="0" fontId="0" fillId="0" borderId="0" xfId="0" applyFill="1" applyBorder="1" applyAlignment="1" applyProtection="1">
      <alignment horizontal="center" wrapText="1"/>
      <protection hidden="1"/>
    </xf>
    <xf numFmtId="0" fontId="0" fillId="0" borderId="6" xfId="0" applyFill="1" applyBorder="1" applyAlignment="1" applyProtection="1">
      <alignment horizontal="center" wrapText="1"/>
      <protection hidden="1"/>
    </xf>
    <xf numFmtId="0" fontId="0" fillId="0" borderId="9" xfId="0" applyFill="1" applyBorder="1" applyAlignment="1" applyProtection="1">
      <alignment horizontal="center"/>
      <protection hidden="1"/>
    </xf>
    <xf numFmtId="0" fontId="0" fillId="0" borderId="10" xfId="0" applyBorder="1" applyAlignment="1" applyProtection="1">
      <alignment horizontal="center"/>
      <protection hidden="1"/>
    </xf>
    <xf numFmtId="0" fontId="0" fillId="0" borderId="7" xfId="0" applyBorder="1" applyAlignment="1" applyProtection="1">
      <alignment horizontal="center"/>
      <protection hidden="1"/>
    </xf>
    <xf numFmtId="0" fontId="0" fillId="0" borderId="10" xfId="0" applyFill="1" applyBorder="1" applyAlignment="1" applyProtection="1">
      <alignment horizontal="center"/>
      <protection hidden="1"/>
    </xf>
    <xf numFmtId="0" fontId="0" fillId="0" borderId="7" xfId="0" applyFill="1" applyBorder="1" applyAlignment="1" applyProtection="1">
      <alignment horizontal="center"/>
      <protection hidden="1"/>
    </xf>
    <xf numFmtId="0" fontId="0" fillId="0" borderId="16" xfId="0" applyFill="1" applyBorder="1" applyProtection="1">
      <protection hidden="1"/>
    </xf>
    <xf numFmtId="3" fontId="0" fillId="0" borderId="4" xfId="0" applyNumberFormat="1" applyBorder="1" applyProtection="1">
      <protection hidden="1"/>
    </xf>
    <xf numFmtId="0" fontId="0" fillId="0" borderId="16" xfId="0" applyFill="1" applyBorder="1" applyAlignment="1" applyProtection="1">
      <alignment horizontal="center"/>
      <protection hidden="1"/>
    </xf>
    <xf numFmtId="0" fontId="0" fillId="0" borderId="5" xfId="0" applyFill="1" applyBorder="1" applyAlignment="1" applyProtection="1">
      <alignment horizontal="center"/>
      <protection hidden="1"/>
    </xf>
    <xf numFmtId="3" fontId="0" fillId="0" borderId="8" xfId="0" applyNumberFormat="1" applyFill="1" applyBorder="1" applyAlignment="1" applyProtection="1">
      <alignment horizontal="center"/>
      <protection hidden="1"/>
    </xf>
    <xf numFmtId="3" fontId="0" fillId="0" borderId="0" xfId="0" applyNumberFormat="1" applyFill="1" applyBorder="1" applyProtection="1">
      <protection hidden="1"/>
    </xf>
    <xf numFmtId="0" fontId="0" fillId="0" borderId="6" xfId="0" applyBorder="1" applyAlignment="1" applyProtection="1">
      <protection hidden="1"/>
    </xf>
    <xf numFmtId="0" fontId="0" fillId="0" borderId="8" xfId="0" applyBorder="1" applyAlignment="1" applyProtection="1">
      <alignment horizontal="center"/>
      <protection hidden="1"/>
    </xf>
    <xf numFmtId="0" fontId="0" fillId="0" borderId="6" xfId="0" applyBorder="1" applyAlignment="1" applyProtection="1">
      <alignment horizontal="center"/>
      <protection hidden="1"/>
    </xf>
    <xf numFmtId="0" fontId="0" fillId="0" borderId="0" xfId="0" applyNumberFormat="1" applyAlignment="1" applyProtection="1">
      <alignment horizontal="center"/>
      <protection hidden="1"/>
    </xf>
    <xf numFmtId="9" fontId="0" fillId="0" borderId="0" xfId="17" applyFont="1" applyAlignment="1" applyProtection="1">
      <protection hidden="1"/>
    </xf>
    <xf numFmtId="0" fontId="0" fillId="0" borderId="8" xfId="0" applyFill="1" applyBorder="1" applyAlignment="1" applyProtection="1">
      <alignment horizontal="center"/>
      <protection hidden="1"/>
    </xf>
    <xf numFmtId="0" fontId="0" fillId="0" borderId="6" xfId="0" applyFill="1" applyBorder="1" applyAlignment="1" applyProtection="1">
      <alignment horizontal="center"/>
      <protection hidden="1"/>
    </xf>
    <xf numFmtId="178" fontId="0" fillId="0" borderId="8" xfId="0" applyNumberFormat="1" applyFill="1" applyBorder="1" applyAlignment="1" applyProtection="1">
      <alignment horizontal="center"/>
      <protection hidden="1"/>
    </xf>
    <xf numFmtId="178" fontId="0" fillId="0" borderId="6" xfId="0" applyNumberFormat="1" applyFill="1" applyBorder="1" applyAlignment="1" applyProtection="1">
      <alignment horizontal="center"/>
      <protection hidden="1"/>
    </xf>
    <xf numFmtId="0" fontId="0" fillId="0" borderId="0" xfId="0" applyNumberFormat="1" applyProtection="1">
      <protection hidden="1"/>
    </xf>
    <xf numFmtId="0" fontId="0" fillId="0" borderId="16" xfId="0" applyBorder="1" applyAlignment="1" applyProtection="1">
      <alignment horizontal="center" wrapText="1"/>
      <protection hidden="1"/>
    </xf>
    <xf numFmtId="0" fontId="0" fillId="0" borderId="5" xfId="0" applyBorder="1" applyAlignment="1" applyProtection="1">
      <alignment horizontal="center" wrapText="1"/>
      <protection hidden="1"/>
    </xf>
    <xf numFmtId="0" fontId="0" fillId="0" borderId="0" xfId="0" applyFill="1" applyAlignment="1" applyProtection="1">
      <alignment horizontal="center" wrapText="1"/>
      <protection hidden="1"/>
    </xf>
    <xf numFmtId="0" fontId="0" fillId="0" borderId="9" xfId="0" applyBorder="1" applyAlignment="1" applyProtection="1">
      <alignment horizontal="center" wrapText="1"/>
      <protection hidden="1"/>
    </xf>
    <xf numFmtId="0" fontId="0" fillId="0" borderId="7" xfId="0" applyBorder="1" applyAlignment="1" applyProtection="1">
      <alignment horizontal="center" wrapText="1"/>
      <protection hidden="1"/>
    </xf>
    <xf numFmtId="3" fontId="10" fillId="0" borderId="0" xfId="0" applyNumberFormat="1" applyFont="1" applyFill="1" applyBorder="1" applyAlignment="1" applyProtection="1">
      <alignment horizontal="center" wrapText="1"/>
      <protection hidden="1"/>
    </xf>
    <xf numFmtId="0" fontId="10" fillId="0" borderId="0" xfId="0" applyFont="1" applyFill="1" applyBorder="1" applyAlignment="1" applyProtection="1">
      <alignment horizontal="left"/>
      <protection hidden="1"/>
    </xf>
    <xf numFmtId="0" fontId="0" fillId="0" borderId="0" xfId="17" applyNumberFormat="1" applyFont="1" applyFill="1" applyBorder="1" applyAlignment="1" applyProtection="1">
      <alignment horizontal="center"/>
      <protection hidden="1"/>
    </xf>
    <xf numFmtId="9" fontId="0" fillId="0" borderId="0" xfId="17" applyFont="1" applyFill="1" applyBorder="1" applyAlignment="1" applyProtection="1">
      <alignment horizontal="center"/>
      <protection hidden="1"/>
    </xf>
    <xf numFmtId="4" fontId="0" fillId="0" borderId="0" xfId="0" applyNumberFormat="1" applyFill="1" applyBorder="1" applyAlignment="1" applyProtection="1">
      <alignment horizontal="center"/>
      <protection hidden="1"/>
    </xf>
    <xf numFmtId="0" fontId="0" fillId="0" borderId="0" xfId="0" applyFill="1" applyBorder="1" applyProtection="1">
      <protection hidden="1"/>
    </xf>
    <xf numFmtId="178" fontId="0" fillId="0" borderId="8" xfId="0" applyNumberFormat="1" applyBorder="1" applyAlignment="1" applyProtection="1">
      <alignment horizontal="center"/>
      <protection hidden="1"/>
    </xf>
    <xf numFmtId="178" fontId="0" fillId="0" borderId="0" xfId="0" applyNumberFormat="1" applyBorder="1" applyAlignment="1" applyProtection="1">
      <alignment horizontal="center"/>
      <protection hidden="1"/>
    </xf>
    <xf numFmtId="178" fontId="0" fillId="0" borderId="6" xfId="0" applyNumberFormat="1" applyBorder="1" applyAlignment="1" applyProtection="1">
      <alignment horizontal="center"/>
      <protection hidden="1"/>
    </xf>
    <xf numFmtId="182" fontId="0" fillId="0" borderId="0" xfId="0" applyNumberFormat="1" applyProtection="1">
      <protection hidden="1"/>
    </xf>
    <xf numFmtId="0" fontId="0" fillId="0" borderId="0" xfId="0" applyAlignment="1" applyProtection="1">
      <alignment horizontal="center" wrapText="1"/>
      <protection hidden="1"/>
    </xf>
    <xf numFmtId="0" fontId="0" fillId="0" borderId="0" xfId="0" applyNumberFormat="1" applyAlignment="1" applyProtection="1">
      <alignment horizontal="center" wrapText="1"/>
      <protection hidden="1"/>
    </xf>
    <xf numFmtId="0" fontId="0" fillId="0" borderId="0" xfId="0" applyAlignment="1" applyProtection="1">
      <alignment wrapText="1"/>
      <protection hidden="1"/>
    </xf>
    <xf numFmtId="4" fontId="0" fillId="0" borderId="0" xfId="0" applyNumberFormat="1" applyAlignment="1" applyProtection="1">
      <alignment horizontal="center" wrapText="1"/>
      <protection hidden="1"/>
    </xf>
    <xf numFmtId="0" fontId="0" fillId="7" borderId="0" xfId="0" applyFill="1" applyAlignment="1" applyProtection="1">
      <alignment horizontal="center" wrapText="1"/>
      <protection hidden="1"/>
    </xf>
    <xf numFmtId="0" fontId="10" fillId="2" borderId="0" xfId="0" applyFont="1" applyFill="1" applyBorder="1" applyAlignment="1" applyProtection="1">
      <alignment horizontal="left"/>
      <protection hidden="1"/>
    </xf>
    <xf numFmtId="178" fontId="0" fillId="0" borderId="0" xfId="0" applyNumberFormat="1" applyBorder="1" applyAlignment="1" applyProtection="1">
      <alignment horizontal="center" wrapText="1"/>
      <protection hidden="1"/>
    </xf>
    <xf numFmtId="178" fontId="0" fillId="0" borderId="0" xfId="0" applyNumberFormat="1" applyFill="1" applyBorder="1" applyAlignment="1" applyProtection="1">
      <alignment horizontal="center" wrapText="1"/>
      <protection hidden="1"/>
    </xf>
    <xf numFmtId="3" fontId="0" fillId="0" borderId="0" xfId="0" applyNumberFormat="1" applyFill="1" applyBorder="1" applyAlignment="1" applyProtection="1">
      <alignment horizontal="center" wrapText="1"/>
      <protection hidden="1"/>
    </xf>
    <xf numFmtId="0" fontId="10" fillId="0" borderId="0" xfId="0" applyFont="1" applyFill="1" applyBorder="1" applyAlignment="1" applyProtection="1">
      <alignment horizontal="center" wrapText="1"/>
      <protection hidden="1"/>
    </xf>
    <xf numFmtId="178" fontId="0" fillId="0" borderId="8" xfId="0" applyNumberFormat="1" applyBorder="1" applyAlignment="1" applyProtection="1">
      <alignment horizontal="center" wrapText="1"/>
      <protection hidden="1"/>
    </xf>
    <xf numFmtId="178" fontId="0" fillId="0" borderId="6" xfId="0" applyNumberFormat="1" applyBorder="1" applyAlignment="1" applyProtection="1">
      <alignment horizontal="center" wrapText="1"/>
      <protection hidden="1"/>
    </xf>
    <xf numFmtId="178" fontId="0" fillId="0" borderId="8" xfId="0" applyNumberFormat="1" applyFill="1" applyBorder="1" applyAlignment="1" applyProtection="1">
      <alignment horizontal="center" wrapText="1"/>
      <protection hidden="1"/>
    </xf>
    <xf numFmtId="178" fontId="0" fillId="0" borderId="6" xfId="0" applyNumberFormat="1" applyFill="1" applyBorder="1" applyAlignment="1" applyProtection="1">
      <alignment horizontal="center" wrapText="1"/>
      <protection hidden="1"/>
    </xf>
    <xf numFmtId="0" fontId="10" fillId="0" borderId="10" xfId="0" applyFont="1" applyFill="1" applyBorder="1" applyAlignment="1" applyProtection="1">
      <alignment horizontal="left"/>
      <protection hidden="1"/>
    </xf>
    <xf numFmtId="178" fontId="0" fillId="0" borderId="9" xfId="0" applyNumberFormat="1" applyBorder="1" applyAlignment="1" applyProtection="1">
      <alignment horizontal="center"/>
      <protection hidden="1"/>
    </xf>
    <xf numFmtId="178" fontId="0" fillId="0" borderId="10" xfId="0" applyNumberFormat="1" applyBorder="1" applyAlignment="1" applyProtection="1">
      <alignment horizontal="center"/>
      <protection hidden="1"/>
    </xf>
    <xf numFmtId="178" fontId="0" fillId="0" borderId="7" xfId="0" applyNumberFormat="1" applyBorder="1" applyAlignment="1" applyProtection="1">
      <alignment horizontal="center"/>
      <protection hidden="1"/>
    </xf>
    <xf numFmtId="178" fontId="0" fillId="0" borderId="9" xfId="0" applyNumberFormat="1" applyFill="1" applyBorder="1" applyAlignment="1" applyProtection="1">
      <alignment horizontal="center"/>
      <protection hidden="1"/>
    </xf>
    <xf numFmtId="178" fontId="0" fillId="0" borderId="7" xfId="0" applyNumberFormat="1" applyFill="1" applyBorder="1" applyAlignment="1" applyProtection="1">
      <alignment horizontal="center"/>
      <protection hidden="1"/>
    </xf>
    <xf numFmtId="178" fontId="0" fillId="0" borderId="10" xfId="0" applyNumberFormat="1" applyFill="1" applyBorder="1" applyAlignment="1" applyProtection="1">
      <alignment horizontal="center"/>
      <protection hidden="1"/>
    </xf>
    <xf numFmtId="3" fontId="0" fillId="0" borderId="10" xfId="0" applyNumberFormat="1" applyFill="1" applyBorder="1" applyAlignment="1" applyProtection="1">
      <alignment horizontal="center"/>
      <protection hidden="1"/>
    </xf>
    <xf numFmtId="0" fontId="2" fillId="0" borderId="0" xfId="0" applyFont="1" applyAlignment="1" applyProtection="1">
      <protection hidden="1"/>
    </xf>
    <xf numFmtId="0" fontId="0" fillId="0" borderId="32" xfId="0" applyBorder="1" applyProtection="1">
      <protection hidden="1"/>
    </xf>
    <xf numFmtId="0" fontId="0" fillId="0" borderId="37" xfId="0" applyBorder="1" applyProtection="1">
      <protection hidden="1"/>
    </xf>
    <xf numFmtId="0" fontId="0" fillId="0" borderId="35" xfId="0" applyBorder="1" applyProtection="1">
      <protection hidden="1"/>
    </xf>
    <xf numFmtId="0" fontId="0" fillId="0" borderId="45" xfId="0" applyBorder="1" applyProtection="1">
      <protection hidden="1"/>
    </xf>
    <xf numFmtId="0" fontId="0" fillId="0" borderId="37" xfId="0" applyFill="1" applyBorder="1" applyProtection="1">
      <protection hidden="1"/>
    </xf>
    <xf numFmtId="0" fontId="0" fillId="0" borderId="41" xfId="0" applyBorder="1" applyProtection="1">
      <protection hidden="1"/>
    </xf>
    <xf numFmtId="0" fontId="0" fillId="0" borderId="42" xfId="0" applyBorder="1" applyProtection="1">
      <protection hidden="1"/>
    </xf>
    <xf numFmtId="0" fontId="0" fillId="0" borderId="38" xfId="0" applyBorder="1" applyProtection="1">
      <protection hidden="1"/>
    </xf>
    <xf numFmtId="0" fontId="0" fillId="0" borderId="36" xfId="0" applyBorder="1" applyProtection="1">
      <protection hidden="1"/>
    </xf>
    <xf numFmtId="0" fontId="0" fillId="0" borderId="38" xfId="0" applyFill="1" applyBorder="1" applyProtection="1">
      <protection hidden="1"/>
    </xf>
    <xf numFmtId="0" fontId="0" fillId="0" borderId="42" xfId="0" applyFill="1" applyBorder="1" applyProtection="1">
      <protection hidden="1"/>
    </xf>
    <xf numFmtId="0" fontId="10" fillId="9" borderId="11" xfId="0" applyFont="1" applyFill="1" applyBorder="1" applyAlignment="1" applyProtection="1">
      <alignment horizontal="left"/>
      <protection locked="0"/>
    </xf>
    <xf numFmtId="3" fontId="0" fillId="9" borderId="11" xfId="0" applyNumberFormat="1" applyFill="1" applyBorder="1" applyAlignment="1" applyProtection="1">
      <protection locked="0"/>
    </xf>
    <xf numFmtId="0" fontId="0" fillId="9" borderId="11" xfId="0" applyFill="1" applyBorder="1" applyAlignment="1" applyProtection="1">
      <protection locked="0"/>
    </xf>
    <xf numFmtId="9" fontId="0" fillId="9" borderId="11" xfId="17" applyFont="1" applyFill="1" applyBorder="1" applyAlignment="1" applyProtection="1">
      <protection locked="0"/>
    </xf>
    <xf numFmtId="178" fontId="0" fillId="9" borderId="11" xfId="0" applyNumberFormat="1" applyFill="1" applyBorder="1" applyAlignment="1" applyProtection="1">
      <alignment horizontal="center"/>
      <protection locked="0"/>
    </xf>
    <xf numFmtId="0" fontId="10" fillId="2" borderId="11" xfId="0" applyFont="1" applyFill="1" applyBorder="1" applyAlignment="1" applyProtection="1">
      <alignment horizontal="left"/>
      <protection locked="0"/>
    </xf>
    <xf numFmtId="0" fontId="10" fillId="9" borderId="27" xfId="0" applyFont="1" applyFill="1" applyBorder="1" applyAlignment="1" applyProtection="1">
      <alignment horizontal="left"/>
      <protection locked="0"/>
    </xf>
    <xf numFmtId="0" fontId="0" fillId="2" borderId="11" xfId="0" applyFill="1" applyBorder="1" applyAlignment="1" applyProtection="1">
      <protection locked="0"/>
    </xf>
    <xf numFmtId="9" fontId="0" fillId="9" borderId="11" xfId="0" applyNumberFormat="1" applyFill="1" applyBorder="1" applyAlignment="1" applyProtection="1">
      <alignment horizontal="center"/>
      <protection locked="0"/>
    </xf>
    <xf numFmtId="0" fontId="0" fillId="0" borderId="0" xfId="0" applyAlignment="1" applyProtection="1">
      <protection locked="0"/>
    </xf>
    <xf numFmtId="191" fontId="0" fillId="4" borderId="6" xfId="0" applyNumberFormat="1" applyFill="1" applyBorder="1" applyProtection="1">
      <protection hidden="1"/>
    </xf>
    <xf numFmtId="191" fontId="0" fillId="4" borderId="7" xfId="0" applyNumberFormat="1" applyFill="1" applyBorder="1" applyProtection="1">
      <protection hidden="1"/>
    </xf>
    <xf numFmtId="179" fontId="0" fillId="4" borderId="15" xfId="0" applyNumberFormat="1" applyFill="1" applyBorder="1" applyAlignment="1" applyProtection="1">
      <alignment horizontal="right" indent="2"/>
      <protection hidden="1"/>
    </xf>
    <xf numFmtId="179" fontId="0" fillId="4" borderId="24" xfId="0" applyNumberFormat="1" applyFill="1" applyBorder="1" applyAlignment="1" applyProtection="1">
      <alignment horizontal="right" indent="2"/>
      <protection hidden="1"/>
    </xf>
    <xf numFmtId="0" fontId="28" fillId="0" borderId="44" xfId="0" applyFont="1" applyBorder="1" applyAlignment="1"/>
    <xf numFmtId="0" fontId="28" fillId="0" borderId="0" xfId="0" applyFont="1" applyBorder="1" applyAlignment="1"/>
    <xf numFmtId="0" fontId="28" fillId="0" borderId="0" xfId="0" applyFont="1" applyAlignment="1"/>
    <xf numFmtId="0" fontId="28" fillId="0" borderId="32" xfId="0" applyFont="1" applyBorder="1" applyAlignment="1"/>
    <xf numFmtId="4" fontId="0" fillId="0" borderId="0" xfId="0" applyNumberFormat="1" applyFill="1" applyBorder="1" applyAlignment="1" applyProtection="1">
      <alignment horizontal="center" wrapText="1"/>
      <protection hidden="1"/>
    </xf>
    <xf numFmtId="181" fontId="0" fillId="0" borderId="0" xfId="0" applyNumberFormat="1" applyProtection="1">
      <protection hidden="1"/>
    </xf>
    <xf numFmtId="3" fontId="0" fillId="0" borderId="0" xfId="0" applyNumberFormat="1" applyAlignment="1" applyProtection="1">
      <alignment horizontal="center"/>
      <protection hidden="1"/>
    </xf>
    <xf numFmtId="181" fontId="0" fillId="0" borderId="0" xfId="0" applyNumberFormat="1" applyAlignment="1" applyProtection="1">
      <alignment horizontal="center"/>
      <protection hidden="1"/>
    </xf>
    <xf numFmtId="2" fontId="0" fillId="0" borderId="0" xfId="0" applyNumberFormat="1" applyAlignment="1" applyProtection="1">
      <alignment horizontal="center"/>
      <protection hidden="1"/>
    </xf>
    <xf numFmtId="0" fontId="0" fillId="0" borderId="0" xfId="0" applyAlignment="1">
      <alignment horizontal="center" wrapText="1"/>
    </xf>
    <xf numFmtId="181" fontId="0" fillId="0" borderId="0" xfId="0" applyNumberFormat="1" applyFill="1" applyBorder="1" applyAlignment="1" applyProtection="1">
      <alignment horizontal="center"/>
      <protection hidden="1"/>
    </xf>
    <xf numFmtId="1" fontId="0" fillId="9" borderId="11" xfId="0" applyNumberFormat="1" applyFill="1" applyBorder="1" applyAlignment="1" applyProtection="1">
      <alignment horizontal="center"/>
      <protection locked="0"/>
    </xf>
    <xf numFmtId="2" fontId="0" fillId="9" borderId="11" xfId="0" applyNumberFormat="1" applyFill="1" applyBorder="1" applyAlignment="1" applyProtection="1">
      <alignment horizontal="center"/>
      <protection locked="0"/>
    </xf>
    <xf numFmtId="0" fontId="1" fillId="9" borderId="11" xfId="0" applyFont="1" applyFill="1" applyBorder="1" applyAlignment="1" applyProtection="1">
      <alignment horizontal="center"/>
      <protection locked="0"/>
    </xf>
    <xf numFmtId="2" fontId="1" fillId="9" borderId="11" xfId="0" applyNumberFormat="1" applyFont="1" applyFill="1" applyBorder="1" applyAlignment="1" applyProtection="1">
      <alignment horizontal="center"/>
      <protection locked="0"/>
    </xf>
    <xf numFmtId="0" fontId="10" fillId="7" borderId="11" xfId="0" applyFont="1" applyFill="1" applyBorder="1" applyAlignment="1" applyProtection="1">
      <alignment horizontal="center"/>
      <protection locked="0"/>
    </xf>
    <xf numFmtId="0" fontId="1" fillId="0" borderId="0" xfId="0" applyFont="1" applyFill="1" applyBorder="1" applyProtection="1">
      <protection hidden="1"/>
    </xf>
    <xf numFmtId="0" fontId="1" fillId="0" borderId="0" xfId="0" applyFont="1" applyFill="1" applyBorder="1" applyAlignment="1" applyProtection="1">
      <protection hidden="1"/>
    </xf>
    <xf numFmtId="182" fontId="0" fillId="0" borderId="0" xfId="0" applyNumberFormat="1" applyFill="1" applyBorder="1" applyProtection="1">
      <protection hidden="1"/>
    </xf>
    <xf numFmtId="182" fontId="0" fillId="0" borderId="45" xfId="0" applyNumberFormat="1" applyFill="1" applyBorder="1" applyProtection="1">
      <protection hidden="1"/>
    </xf>
    <xf numFmtId="0" fontId="0" fillId="0" borderId="32" xfId="0" applyFill="1" applyBorder="1" applyProtection="1">
      <protection hidden="1"/>
    </xf>
    <xf numFmtId="0" fontId="0" fillId="0" borderId="45" xfId="0" applyBorder="1" applyAlignment="1" applyProtection="1">
      <protection hidden="1"/>
    </xf>
    <xf numFmtId="0" fontId="0" fillId="0" borderId="35" xfId="0" applyBorder="1" applyAlignment="1" applyProtection="1">
      <protection hidden="1"/>
    </xf>
    <xf numFmtId="0" fontId="0" fillId="0" borderId="0" xfId="0" applyBorder="1" applyAlignment="1" applyProtection="1">
      <protection hidden="1"/>
    </xf>
    <xf numFmtId="0" fontId="0" fillId="0" borderId="36" xfId="0" applyBorder="1" applyAlignment="1" applyProtection="1">
      <protection hidden="1"/>
    </xf>
    <xf numFmtId="0" fontId="0" fillId="0" borderId="32" xfId="0" applyBorder="1" applyAlignment="1" applyProtection="1">
      <protection hidden="1"/>
    </xf>
    <xf numFmtId="0" fontId="0" fillId="0" borderId="42" xfId="0" applyBorder="1" applyAlignment="1" applyProtection="1">
      <protection hidden="1"/>
    </xf>
    <xf numFmtId="0" fontId="0" fillId="0" borderId="0" xfId="0" applyFill="1" applyBorder="1" applyAlignment="1" applyProtection="1">
      <protection hidden="1"/>
    </xf>
    <xf numFmtId="0" fontId="1" fillId="0" borderId="0" xfId="0" applyFont="1" applyFill="1" applyBorder="1" applyAlignment="1" applyProtection="1">
      <alignment horizontal="center"/>
      <protection hidden="1"/>
    </xf>
    <xf numFmtId="0" fontId="0" fillId="0" borderId="0" xfId="0" applyFill="1" applyBorder="1" applyAlignment="1" applyProtection="1">
      <alignment wrapText="1"/>
      <protection hidden="1"/>
    </xf>
    <xf numFmtId="0" fontId="1" fillId="0" borderId="0" xfId="0" applyFont="1" applyFill="1" applyBorder="1" applyProtection="1">
      <protection locked="0"/>
    </xf>
    <xf numFmtId="0" fontId="0" fillId="9" borderId="11" xfId="0" applyFill="1" applyBorder="1" applyProtection="1">
      <protection locked="0" hidden="1"/>
    </xf>
    <xf numFmtId="0" fontId="0" fillId="9" borderId="11" xfId="0" applyFill="1" applyBorder="1" applyAlignment="1" applyProtection="1">
      <protection locked="0" hidden="1"/>
    </xf>
    <xf numFmtId="3" fontId="0" fillId="0" borderId="0" xfId="0" applyNumberFormat="1" applyFill="1" applyBorder="1"/>
    <xf numFmtId="0" fontId="12" fillId="4" borderId="2" xfId="0" applyFont="1" applyFill="1" applyBorder="1" applyAlignment="1" applyProtection="1">
      <alignment horizontal="center"/>
      <protection hidden="1"/>
    </xf>
    <xf numFmtId="0" fontId="12" fillId="4" borderId="5" xfId="0" applyFont="1" applyFill="1" applyBorder="1" applyAlignment="1" applyProtection="1">
      <alignment horizontal="center"/>
      <protection hidden="1"/>
    </xf>
    <xf numFmtId="0" fontId="5" fillId="4" borderId="10" xfId="0" applyFont="1" applyFill="1" applyBorder="1" applyAlignment="1" applyProtection="1">
      <alignment horizontal="left"/>
      <protection hidden="1"/>
    </xf>
    <xf numFmtId="179" fontId="1" fillId="2" borderId="11" xfId="0" applyNumberFormat="1" applyFont="1" applyFill="1" applyBorder="1" applyAlignment="1" applyProtection="1">
      <alignment horizontal="center"/>
      <protection locked="0"/>
    </xf>
    <xf numFmtId="179" fontId="0" fillId="4" borderId="14" xfId="17" applyNumberFormat="1" applyFont="1" applyFill="1" applyBorder="1" applyAlignment="1" applyProtection="1">
      <alignment horizontal="center"/>
      <protection hidden="1"/>
    </xf>
    <xf numFmtId="179" fontId="2" fillId="4" borderId="0" xfId="17" applyNumberFormat="1" applyFont="1" applyFill="1" applyBorder="1" applyAlignment="1" applyProtection="1">
      <alignment horizontal="center"/>
      <protection hidden="1"/>
    </xf>
    <xf numFmtId="0" fontId="0" fillId="2" borderId="0" xfId="0" quotePrefix="1" applyFill="1"/>
    <xf numFmtId="179" fontId="0" fillId="4" borderId="14" xfId="0" applyNumberFormat="1" applyFill="1" applyBorder="1" applyAlignment="1" applyProtection="1">
      <alignment horizontal="left" indent="6"/>
      <protection hidden="1"/>
    </xf>
    <xf numFmtId="9" fontId="0" fillId="4" borderId="14" xfId="17" applyFont="1" applyFill="1" applyBorder="1" applyAlignment="1" applyProtection="1">
      <alignment horizontal="center"/>
      <protection hidden="1"/>
    </xf>
    <xf numFmtId="0" fontId="0" fillId="0" borderId="0" xfId="0" applyNumberFormat="1" applyAlignment="1">
      <alignment horizontal="center" vertical="top" wrapText="1"/>
    </xf>
    <xf numFmtId="0" fontId="0" fillId="0" borderId="0" xfId="0" applyNumberFormat="1" applyAlignment="1" applyProtection="1">
      <alignment horizontal="center" vertical="top" wrapText="1"/>
      <protection hidden="1"/>
    </xf>
    <xf numFmtId="0" fontId="3" fillId="4" borderId="0" xfId="0" applyFont="1" applyFill="1" applyBorder="1" applyAlignment="1" applyProtection="1">
      <alignment horizontal="center"/>
      <protection hidden="1"/>
    </xf>
    <xf numFmtId="178" fontId="0" fillId="4" borderId="7" xfId="0" applyNumberFormat="1" applyFill="1" applyBorder="1" applyAlignment="1" applyProtection="1">
      <alignment horizontal="center"/>
      <protection hidden="1"/>
    </xf>
    <xf numFmtId="182" fontId="2" fillId="4" borderId="0" xfId="0" applyNumberFormat="1" applyFont="1" applyFill="1" applyBorder="1" applyAlignment="1" applyProtection="1">
      <alignment horizontal="center" wrapText="1"/>
      <protection hidden="1"/>
    </xf>
    <xf numFmtId="186" fontId="0" fillId="2" borderId="11" xfId="0" applyNumberFormat="1" applyFill="1" applyBorder="1" applyAlignment="1" applyProtection="1">
      <alignment horizontal="center"/>
      <protection locked="0"/>
    </xf>
    <xf numFmtId="0" fontId="2" fillId="4" borderId="9" xfId="0" applyFont="1" applyFill="1" applyBorder="1" applyAlignment="1" applyProtection="1">
      <alignment horizontal="left" wrapText="1"/>
      <protection hidden="1"/>
    </xf>
    <xf numFmtId="0" fontId="32" fillId="4" borderId="10" xfId="0" applyFont="1" applyFill="1" applyBorder="1" applyProtection="1">
      <protection hidden="1"/>
    </xf>
    <xf numFmtId="0" fontId="0" fillId="4" borderId="6" xfId="0" applyNumberFormat="1" applyFill="1" applyBorder="1" applyProtection="1">
      <protection hidden="1"/>
    </xf>
    <xf numFmtId="0" fontId="0" fillId="4" borderId="10" xfId="0" applyNumberFormat="1" applyFill="1" applyBorder="1" applyProtection="1">
      <protection hidden="1"/>
    </xf>
    <xf numFmtId="0" fontId="0" fillId="4" borderId="7" xfId="0" applyNumberFormat="1" applyFill="1" applyBorder="1" applyProtection="1">
      <protection hidden="1"/>
    </xf>
    <xf numFmtId="9" fontId="10" fillId="4" borderId="0" xfId="17" applyFont="1" applyFill="1" applyBorder="1" applyAlignment="1" applyProtection="1">
      <alignment horizontal="center"/>
      <protection hidden="1"/>
    </xf>
    <xf numFmtId="0" fontId="2" fillId="4" borderId="10" xfId="0" applyNumberFormat="1" applyFont="1" applyFill="1" applyBorder="1" applyAlignment="1" applyProtection="1">
      <protection hidden="1"/>
    </xf>
    <xf numFmtId="2" fontId="10" fillId="4" borderId="6" xfId="0" applyNumberFormat="1" applyFont="1" applyFill="1" applyBorder="1" applyAlignment="1" applyProtection="1">
      <alignment horizontal="center"/>
      <protection hidden="1"/>
    </xf>
    <xf numFmtId="0" fontId="2" fillId="4" borderId="46" xfId="0" applyFont="1" applyFill="1" applyBorder="1" applyAlignment="1" applyProtection="1">
      <protection hidden="1"/>
    </xf>
    <xf numFmtId="0" fontId="0" fillId="5" borderId="11" xfId="0" applyFill="1" applyBorder="1" applyProtection="1">
      <protection locked="0"/>
    </xf>
    <xf numFmtId="179" fontId="0" fillId="4" borderId="0" xfId="0" applyNumberFormat="1" applyFill="1" applyBorder="1" applyAlignment="1" applyProtection="1">
      <alignment horizontal="right" indent="2"/>
      <protection hidden="1"/>
    </xf>
    <xf numFmtId="178" fontId="10" fillId="2" borderId="11" xfId="0" applyNumberFormat="1" applyFont="1" applyFill="1" applyBorder="1" applyAlignment="1" applyProtection="1">
      <alignment horizontal="center"/>
      <protection locked="0"/>
    </xf>
    <xf numFmtId="178" fontId="10" fillId="2" borderId="22" xfId="0" applyNumberFormat="1" applyFont="1" applyFill="1" applyBorder="1" applyAlignment="1" applyProtection="1">
      <alignment horizontal="center"/>
      <protection locked="0"/>
    </xf>
    <xf numFmtId="49" fontId="0" fillId="5" borderId="11" xfId="0" applyNumberFormat="1" applyFill="1" applyBorder="1" applyProtection="1">
      <protection locked="0"/>
    </xf>
    <xf numFmtId="4" fontId="2" fillId="0" borderId="0" xfId="0" applyNumberFormat="1" applyFont="1"/>
    <xf numFmtId="180" fontId="0" fillId="0" borderId="0" xfId="0" applyNumberFormat="1"/>
    <xf numFmtId="180" fontId="0" fillId="0" borderId="10" xfId="0" applyNumberFormat="1" applyBorder="1"/>
    <xf numFmtId="180" fontId="2" fillId="0" borderId="0" xfId="0" applyNumberFormat="1" applyFont="1"/>
    <xf numFmtId="4" fontId="0" fillId="0" borderId="0" xfId="0" applyNumberFormat="1" applyFill="1" applyBorder="1" applyProtection="1">
      <protection hidden="1"/>
    </xf>
    <xf numFmtId="4" fontId="0" fillId="0" borderId="0" xfId="0" applyNumberFormat="1" applyFill="1" applyBorder="1" applyAlignment="1" applyProtection="1">
      <protection hidden="1"/>
    </xf>
    <xf numFmtId="0" fontId="0" fillId="4" borderId="0" xfId="0" applyFill="1" applyAlignment="1" applyProtection="1">
      <alignment horizontal="left" wrapText="1"/>
      <protection hidden="1"/>
    </xf>
    <xf numFmtId="0" fontId="0" fillId="4" borderId="0" xfId="0" applyFill="1" applyAlignment="1" applyProtection="1">
      <alignment vertical="top"/>
      <protection hidden="1"/>
    </xf>
    <xf numFmtId="3" fontId="0" fillId="0" borderId="0" xfId="0" applyNumberFormat="1" applyFill="1" applyAlignment="1" applyProtection="1">
      <alignment horizontal="center"/>
      <protection hidden="1"/>
    </xf>
    <xf numFmtId="178" fontId="10" fillId="4" borderId="0" xfId="0" applyNumberFormat="1" applyFont="1" applyFill="1" applyAlignment="1" applyProtection="1">
      <alignment horizontal="center"/>
      <protection hidden="1"/>
    </xf>
    <xf numFmtId="181" fontId="1" fillId="5" borderId="22" xfId="15" applyNumberFormat="1" applyFont="1" applyFill="1" applyBorder="1" applyAlignment="1" applyProtection="1">
      <alignment horizontal="center"/>
      <protection locked="0"/>
    </xf>
    <xf numFmtId="181" fontId="0" fillId="7" borderId="11" xfId="0" applyNumberFormat="1" applyFill="1" applyBorder="1" applyAlignment="1" applyProtection="1">
      <alignment horizontal="center"/>
      <protection locked="0"/>
    </xf>
    <xf numFmtId="4" fontId="3" fillId="4" borderId="6" xfId="0" applyNumberFormat="1" applyFont="1" applyFill="1" applyBorder="1" applyProtection="1">
      <protection hidden="1"/>
    </xf>
    <xf numFmtId="0" fontId="2" fillId="4" borderId="8" xfId="0" applyFont="1" applyFill="1" applyBorder="1" applyAlignment="1" applyProtection="1">
      <protection hidden="1"/>
    </xf>
    <xf numFmtId="4" fontId="0" fillId="4" borderId="21" xfId="0" applyNumberFormat="1" applyFill="1" applyBorder="1" applyAlignment="1" applyProtection="1">
      <alignment horizontal="center"/>
      <protection hidden="1"/>
    </xf>
    <xf numFmtId="4" fontId="0" fillId="4" borderId="22" xfId="0" applyNumberFormat="1" applyFill="1" applyBorder="1" applyAlignment="1" applyProtection="1">
      <alignment horizontal="center"/>
      <protection hidden="1"/>
    </xf>
    <xf numFmtId="0" fontId="0" fillId="4" borderId="0" xfId="0" applyFill="1" applyBorder="1" applyAlignment="1" applyProtection="1">
      <alignment horizontal="left" indent="2"/>
      <protection hidden="1"/>
    </xf>
    <xf numFmtId="0" fontId="0" fillId="4" borderId="10" xfId="0" applyFill="1" applyBorder="1" applyAlignment="1" applyProtection="1">
      <alignment horizontal="left" indent="2"/>
      <protection hidden="1"/>
    </xf>
    <xf numFmtId="178" fontId="1" fillId="4" borderId="11" xfId="0" applyNumberFormat="1" applyFont="1" applyFill="1" applyBorder="1" applyAlignment="1" applyProtection="1">
      <alignment horizontal="center"/>
      <protection hidden="1"/>
    </xf>
    <xf numFmtId="182" fontId="0" fillId="4" borderId="6" xfId="0" applyNumberFormat="1" applyFill="1" applyBorder="1" applyAlignment="1" applyProtection="1">
      <alignment horizontal="center"/>
      <protection hidden="1"/>
    </xf>
    <xf numFmtId="9" fontId="10" fillId="2" borderId="11" xfId="17" applyFont="1" applyFill="1" applyBorder="1" applyAlignment="1" applyProtection="1">
      <alignment horizontal="center"/>
      <protection locked="0"/>
    </xf>
    <xf numFmtId="0" fontId="0" fillId="2" borderId="27" xfId="0" applyFill="1" applyBorder="1" applyAlignment="1" applyProtection="1">
      <alignment horizontal="center" wrapText="1"/>
      <protection locked="0"/>
    </xf>
    <xf numFmtId="9" fontId="0" fillId="2" borderId="27" xfId="0" applyNumberFormat="1" applyFill="1" applyBorder="1" applyAlignment="1" applyProtection="1">
      <alignment horizontal="center"/>
      <protection locked="0"/>
    </xf>
    <xf numFmtId="181" fontId="0" fillId="2" borderId="27" xfId="0" applyNumberFormat="1" applyFill="1" applyBorder="1" applyAlignment="1" applyProtection="1">
      <alignment horizontal="center"/>
      <protection locked="0"/>
    </xf>
    <xf numFmtId="3" fontId="0" fillId="2" borderId="27" xfId="0" applyNumberFormat="1" applyFill="1" applyBorder="1" applyAlignment="1" applyProtection="1">
      <alignment horizontal="center"/>
      <protection locked="0"/>
    </xf>
    <xf numFmtId="9" fontId="0" fillId="2" borderId="27" xfId="17" applyFont="1" applyFill="1" applyBorder="1" applyAlignment="1" applyProtection="1">
      <alignment horizontal="center"/>
      <protection locked="0"/>
    </xf>
    <xf numFmtId="180" fontId="0" fillId="2" borderId="27" xfId="0" applyNumberFormat="1" applyFill="1" applyBorder="1" applyAlignment="1" applyProtection="1">
      <alignment horizontal="center"/>
      <protection locked="0"/>
    </xf>
    <xf numFmtId="0" fontId="0" fillId="4" borderId="11" xfId="0" applyFill="1" applyBorder="1" applyAlignment="1" applyProtection="1">
      <alignment horizontal="center"/>
      <protection hidden="1"/>
    </xf>
    <xf numFmtId="9" fontId="0" fillId="0" borderId="0" xfId="17" applyFont="1" applyProtection="1">
      <protection hidden="1"/>
    </xf>
    <xf numFmtId="180" fontId="0" fillId="0" borderId="0" xfId="0" applyNumberFormat="1" applyProtection="1">
      <protection hidden="1"/>
    </xf>
    <xf numFmtId="180" fontId="0" fillId="0" borderId="0" xfId="0" applyNumberFormat="1" applyAlignment="1" applyProtection="1">
      <protection hidden="1"/>
    </xf>
    <xf numFmtId="3" fontId="16" fillId="4" borderId="0" xfId="0" applyNumberFormat="1" applyFont="1" applyFill="1" applyAlignment="1" applyProtection="1">
      <alignment horizontal="center"/>
      <protection hidden="1"/>
    </xf>
    <xf numFmtId="3" fontId="0" fillId="4" borderId="0" xfId="0" applyNumberFormat="1" applyFill="1" applyBorder="1" applyAlignment="1" applyProtection="1">
      <alignment horizontal="right" indent="1"/>
      <protection hidden="1"/>
    </xf>
    <xf numFmtId="3" fontId="0" fillId="4" borderId="10" xfId="0" applyNumberFormat="1" applyFill="1" applyBorder="1" applyAlignment="1" applyProtection="1">
      <alignment horizontal="right" indent="1"/>
      <protection hidden="1"/>
    </xf>
    <xf numFmtId="3" fontId="0" fillId="4" borderId="14" xfId="0" applyNumberFormat="1" applyFill="1" applyBorder="1" applyAlignment="1" applyProtection="1">
      <alignment horizontal="right" indent="1"/>
      <protection hidden="1"/>
    </xf>
    <xf numFmtId="3" fontId="2" fillId="4" borderId="0" xfId="0" applyNumberFormat="1" applyFont="1" applyFill="1" applyBorder="1" applyAlignment="1" applyProtection="1">
      <alignment horizontal="right" indent="1"/>
      <protection hidden="1"/>
    </xf>
    <xf numFmtId="3" fontId="0" fillId="2" borderId="11" xfId="0" applyNumberFormat="1" applyFill="1" applyBorder="1" applyAlignment="1" applyProtection="1">
      <alignment horizontal="right" indent="1"/>
      <protection locked="0"/>
    </xf>
    <xf numFmtId="0" fontId="2" fillId="4" borderId="0" xfId="0" applyFont="1" applyFill="1" applyBorder="1" applyAlignment="1" applyProtection="1">
      <protection hidden="1"/>
    </xf>
    <xf numFmtId="2" fontId="3" fillId="4" borderId="21" xfId="0" applyNumberFormat="1" applyFont="1" applyFill="1" applyBorder="1" applyAlignment="1" applyProtection="1">
      <alignment horizontal="center"/>
      <protection locked="0"/>
    </xf>
    <xf numFmtId="3" fontId="1" fillId="4" borderId="0" xfId="0" applyNumberFormat="1" applyFont="1" applyFill="1" applyBorder="1" applyAlignment="1" applyProtection="1">
      <alignment horizontal="center"/>
      <protection hidden="1"/>
    </xf>
    <xf numFmtId="178" fontId="1" fillId="4" borderId="0" xfId="0" applyNumberFormat="1" applyFont="1" applyFill="1" applyAlignment="1" applyProtection="1">
      <alignment horizontal="center"/>
      <protection hidden="1"/>
    </xf>
    <xf numFmtId="4" fontId="0" fillId="7" borderId="11" xfId="0" applyNumberFormat="1" applyFill="1" applyBorder="1" applyAlignment="1" applyProtection="1">
      <alignment horizontal="center"/>
      <protection locked="0"/>
    </xf>
    <xf numFmtId="180" fontId="1" fillId="4" borderId="0" xfId="0" applyNumberFormat="1" applyFont="1" applyFill="1" applyAlignment="1" applyProtection="1">
      <alignment horizontal="center"/>
      <protection hidden="1"/>
    </xf>
    <xf numFmtId="3" fontId="1" fillId="4" borderId="0" xfId="0" applyNumberFormat="1" applyFont="1" applyFill="1" applyAlignment="1" applyProtection="1">
      <alignment horizontal="center"/>
      <protection hidden="1"/>
    </xf>
    <xf numFmtId="3" fontId="1" fillId="4" borderId="6" xfId="0" applyNumberFormat="1" applyFont="1" applyFill="1" applyBorder="1" applyProtection="1">
      <protection hidden="1"/>
    </xf>
    <xf numFmtId="178" fontId="1" fillId="4" borderId="0" xfId="0" applyNumberFormat="1" applyFont="1" applyFill="1" applyBorder="1" applyAlignment="1" applyProtection="1">
      <alignment horizontal="center"/>
      <protection hidden="1"/>
    </xf>
    <xf numFmtId="2" fontId="3" fillId="4" borderId="22" xfId="0" applyNumberFormat="1" applyFont="1" applyFill="1" applyBorder="1" applyAlignment="1" applyProtection="1">
      <alignment horizontal="center"/>
      <protection locked="0"/>
    </xf>
    <xf numFmtId="0" fontId="2" fillId="0" borderId="34" xfId="0" applyFont="1" applyBorder="1" applyAlignment="1">
      <alignment horizontal="center"/>
    </xf>
    <xf numFmtId="0" fontId="0" fillId="2" borderId="30" xfId="0" applyFill="1" applyBorder="1" applyAlignment="1">
      <alignment horizontal="right"/>
    </xf>
    <xf numFmtId="0" fontId="0" fillId="2" borderId="39" xfId="0" applyFill="1" applyBorder="1" applyAlignment="1">
      <alignment horizontal="right"/>
    </xf>
    <xf numFmtId="0" fontId="0" fillId="2" borderId="33" xfId="0" applyFill="1" applyBorder="1" applyAlignment="1">
      <alignment horizontal="right"/>
    </xf>
    <xf numFmtId="0" fontId="0" fillId="5" borderId="47" xfId="0" applyFill="1" applyBorder="1"/>
    <xf numFmtId="0" fontId="0" fillId="5" borderId="48" xfId="0" applyFill="1" applyBorder="1"/>
    <xf numFmtId="0" fontId="0" fillId="5" borderId="49" xfId="0" applyFill="1" applyBorder="1"/>
    <xf numFmtId="0" fontId="0" fillId="5" borderId="50" xfId="0" applyFill="1" applyBorder="1"/>
    <xf numFmtId="0" fontId="1" fillId="2" borderId="43" xfId="0" applyFont="1" applyFill="1" applyBorder="1" applyAlignment="1">
      <alignment horizontal="center"/>
    </xf>
    <xf numFmtId="0" fontId="0" fillId="2" borderId="51" xfId="0" applyFill="1" applyBorder="1"/>
    <xf numFmtId="0" fontId="0" fillId="2" borderId="52" xfId="0" applyFill="1" applyBorder="1"/>
    <xf numFmtId="0" fontId="2" fillId="0" borderId="45" xfId="0" applyFont="1" applyBorder="1"/>
    <xf numFmtId="0" fontId="0" fillId="5" borderId="51" xfId="0" applyFill="1" applyBorder="1"/>
    <xf numFmtId="0" fontId="0" fillId="2" borderId="43" xfId="0" applyFill="1" applyBorder="1" applyAlignment="1">
      <alignment horizontal="right"/>
    </xf>
    <xf numFmtId="0" fontId="28" fillId="0" borderId="45" xfId="0" applyFont="1" applyBorder="1" applyAlignment="1"/>
    <xf numFmtId="0" fontId="15" fillId="4" borderId="0" xfId="0" applyFont="1" applyFill="1" applyAlignment="1" applyProtection="1">
      <alignment horizontal="center"/>
      <protection hidden="1"/>
    </xf>
    <xf numFmtId="0" fontId="0" fillId="0" borderId="0" xfId="0" applyFill="1" applyAlignment="1"/>
    <xf numFmtId="0" fontId="14" fillId="0" borderId="0" xfId="0" applyFont="1" applyFill="1" applyBorder="1" applyAlignment="1"/>
    <xf numFmtId="4" fontId="0" fillId="4" borderId="20" xfId="0" applyNumberFormat="1" applyFill="1" applyBorder="1" applyAlignment="1" applyProtection="1">
      <alignment horizontal="center"/>
      <protection hidden="1"/>
    </xf>
    <xf numFmtId="0" fontId="0" fillId="0" borderId="20" xfId="0" applyBorder="1" applyProtection="1">
      <protection locked="0"/>
    </xf>
    <xf numFmtId="0" fontId="0" fillId="0" borderId="21" xfId="0" applyBorder="1" applyProtection="1">
      <protection locked="0"/>
    </xf>
    <xf numFmtId="0" fontId="0" fillId="0" borderId="22" xfId="0" applyBorder="1" applyProtection="1">
      <protection locked="0"/>
    </xf>
    <xf numFmtId="2" fontId="0" fillId="4" borderId="0" xfId="0" applyNumberFormat="1" applyFill="1" applyProtection="1">
      <protection hidden="1"/>
    </xf>
    <xf numFmtId="0" fontId="5" fillId="4" borderId="6" xfId="0" applyFont="1" applyFill="1" applyBorder="1" applyAlignment="1" applyProtection="1">
      <alignment horizontal="right" indent="1"/>
      <protection hidden="1"/>
    </xf>
    <xf numFmtId="0" fontId="3" fillId="4" borderId="6" xfId="0" applyFont="1" applyFill="1" applyBorder="1" applyAlignment="1" applyProtection="1">
      <alignment horizontal="right" indent="1"/>
      <protection hidden="1"/>
    </xf>
    <xf numFmtId="0" fontId="5" fillId="4" borderId="0" xfId="0" applyFont="1" applyFill="1" applyBorder="1" applyAlignment="1" applyProtection="1">
      <alignment horizontal="right"/>
      <protection hidden="1"/>
    </xf>
    <xf numFmtId="4" fontId="0" fillId="0" borderId="0" xfId="0" applyNumberFormat="1" applyProtection="1">
      <protection locked="0"/>
    </xf>
    <xf numFmtId="0" fontId="15" fillId="4" borderId="6" xfId="0" applyFont="1" applyFill="1" applyBorder="1" applyAlignment="1" applyProtection="1">
      <alignment horizontal="right" indent="1"/>
      <protection hidden="1"/>
    </xf>
    <xf numFmtId="0" fontId="0" fillId="4" borderId="6" xfId="0" applyFill="1" applyBorder="1" applyAlignment="1" applyProtection="1">
      <alignment horizontal="right" indent="1"/>
      <protection hidden="1"/>
    </xf>
    <xf numFmtId="0" fontId="2" fillId="2" borderId="14" xfId="0" applyFont="1" applyFill="1" applyBorder="1" applyAlignment="1" applyProtection="1">
      <alignment horizontal="center" wrapText="1"/>
      <protection locked="0"/>
    </xf>
    <xf numFmtId="0" fontId="2" fillId="4" borderId="0" xfId="0" applyFont="1" applyFill="1" applyAlignment="1" applyProtection="1">
      <protection hidden="1"/>
    </xf>
    <xf numFmtId="0" fontId="0" fillId="7" borderId="11" xfId="0" applyFill="1" applyBorder="1" applyAlignment="1" applyProtection="1">
      <protection locked="0"/>
    </xf>
    <xf numFmtId="0" fontId="0" fillId="7" borderId="11" xfId="0" applyNumberFormat="1" applyFill="1" applyBorder="1" applyAlignment="1" applyProtection="1">
      <protection locked="0"/>
    </xf>
    <xf numFmtId="192" fontId="0" fillId="4" borderId="0" xfId="0" applyNumberFormat="1" applyFill="1" applyAlignment="1" applyProtection="1">
      <alignment horizontal="center"/>
      <protection hidden="1"/>
    </xf>
    <xf numFmtId="0" fontId="0" fillId="4" borderId="0" xfId="0" applyFill="1" applyBorder="1" applyAlignment="1" applyProtection="1">
      <alignment wrapText="1"/>
      <protection hidden="1"/>
    </xf>
    <xf numFmtId="10" fontId="1" fillId="4" borderId="0" xfId="0" applyNumberFormat="1" applyFont="1" applyFill="1" applyBorder="1" applyAlignment="1" applyProtection="1">
      <alignment horizontal="center"/>
      <protection hidden="1"/>
    </xf>
    <xf numFmtId="4" fontId="0" fillId="5" borderId="11" xfId="0" applyNumberFormat="1" applyFill="1" applyBorder="1" applyAlignment="1" applyProtection="1">
      <alignment horizontal="center"/>
      <protection locked="0"/>
    </xf>
    <xf numFmtId="0" fontId="1" fillId="4" borderId="0" xfId="0" applyFont="1" applyFill="1" applyAlignment="1" applyProtection="1">
      <alignment horizontal="center"/>
      <protection hidden="1"/>
    </xf>
    <xf numFmtId="0" fontId="2" fillId="4" borderId="0" xfId="0" applyFont="1" applyFill="1" applyAlignment="1" applyProtection="1">
      <alignment horizontal="right" vertical="top"/>
      <protection hidden="1"/>
    </xf>
    <xf numFmtId="178" fontId="0" fillId="4" borderId="0" xfId="0" applyNumberFormat="1" applyFill="1" applyAlignment="1" applyProtection="1">
      <alignment horizontal="center" vertical="top"/>
      <protection hidden="1"/>
    </xf>
    <xf numFmtId="3" fontId="0" fillId="4" borderId="0" xfId="0" applyNumberFormat="1" applyFill="1" applyAlignment="1" applyProtection="1">
      <alignment horizontal="center" vertical="top"/>
      <protection hidden="1"/>
    </xf>
    <xf numFmtId="184" fontId="0" fillId="4" borderId="6" xfId="0" applyNumberFormat="1" applyFill="1" applyBorder="1" applyProtection="1">
      <protection hidden="1"/>
    </xf>
    <xf numFmtId="184" fontId="0" fillId="4" borderId="14" xfId="0" applyNumberFormat="1" applyFill="1" applyBorder="1" applyProtection="1">
      <protection hidden="1"/>
    </xf>
    <xf numFmtId="10" fontId="1" fillId="2" borderId="11" xfId="0" applyNumberFormat="1" applyFont="1" applyFill="1" applyBorder="1" applyAlignment="1" applyProtection="1">
      <alignment horizontal="center"/>
      <protection locked="0"/>
    </xf>
    <xf numFmtId="0" fontId="2" fillId="4" borderId="0" xfId="0" applyFont="1" applyFill="1" applyAlignment="1" applyProtection="1">
      <alignment horizontal="left" indent="4"/>
      <protection hidden="1"/>
    </xf>
    <xf numFmtId="2" fontId="2" fillId="4" borderId="0" xfId="0" applyNumberFormat="1" applyFont="1" applyFill="1" applyAlignment="1" applyProtection="1">
      <alignment horizontal="center"/>
      <protection hidden="1"/>
    </xf>
    <xf numFmtId="178" fontId="2" fillId="4" borderId="0" xfId="0" applyNumberFormat="1" applyFont="1" applyFill="1" applyAlignment="1" applyProtection="1">
      <alignment horizontal="center"/>
      <protection hidden="1"/>
    </xf>
    <xf numFmtId="4" fontId="2" fillId="4" borderId="0" xfId="0" applyNumberFormat="1" applyFont="1" applyFill="1" applyAlignment="1" applyProtection="1">
      <alignment horizontal="center"/>
      <protection hidden="1"/>
    </xf>
    <xf numFmtId="0" fontId="5" fillId="0" borderId="0" xfId="0" applyFont="1" applyFill="1" applyAlignment="1" applyProtection="1">
      <alignment horizontal="left" indent="1"/>
      <protection hidden="1"/>
    </xf>
    <xf numFmtId="0" fontId="5" fillId="4" borderId="0" xfId="0" applyFont="1" applyFill="1" applyBorder="1" applyAlignment="1" applyProtection="1">
      <alignment horizontal="left" indent="1"/>
      <protection hidden="1"/>
    </xf>
    <xf numFmtId="0" fontId="5" fillId="4" borderId="0" xfId="0" applyFont="1" applyFill="1" applyAlignment="1" applyProtection="1">
      <alignment horizontal="left" indent="1"/>
      <protection hidden="1"/>
    </xf>
    <xf numFmtId="0" fontId="2" fillId="4" borderId="0" xfId="0" applyFont="1" applyFill="1" applyAlignment="1" applyProtection="1">
      <alignment horizontal="right" wrapText="1" indent="1"/>
      <protection hidden="1"/>
    </xf>
    <xf numFmtId="178" fontId="0" fillId="4" borderId="0" xfId="17" applyNumberFormat="1" applyFont="1" applyFill="1" applyAlignment="1" applyProtection="1">
      <alignment horizontal="left" indent="1"/>
      <protection hidden="1"/>
    </xf>
    <xf numFmtId="178" fontId="0" fillId="2" borderId="2" xfId="0" applyNumberFormat="1" applyFill="1" applyBorder="1" applyAlignment="1" applyProtection="1">
      <alignment horizontal="center"/>
      <protection locked="0"/>
    </xf>
    <xf numFmtId="0" fontId="16" fillId="4" borderId="20" xfId="0" applyFont="1" applyFill="1" applyBorder="1" applyAlignment="1" applyProtection="1">
      <alignment horizontal="center"/>
      <protection hidden="1"/>
    </xf>
    <xf numFmtId="181" fontId="16" fillId="4" borderId="11" xfId="0" applyNumberFormat="1" applyFont="1" applyFill="1" applyBorder="1" applyAlignment="1" applyProtection="1">
      <alignment horizontal="center"/>
      <protection hidden="1"/>
    </xf>
    <xf numFmtId="2" fontId="0" fillId="2" borderId="11" xfId="0" applyNumberFormat="1" applyFill="1" applyBorder="1" applyAlignment="1" applyProtection="1">
      <alignment horizontal="center"/>
      <protection hidden="1"/>
    </xf>
    <xf numFmtId="0" fontId="0" fillId="10" borderId="0" xfId="0" applyFill="1" applyProtection="1">
      <protection locked="0"/>
    </xf>
    <xf numFmtId="178" fontId="0" fillId="4" borderId="14" xfId="0" applyNumberFormat="1" applyFill="1" applyBorder="1" applyAlignment="1" applyProtection="1">
      <alignment horizontal="center"/>
      <protection hidden="1"/>
    </xf>
    <xf numFmtId="4" fontId="0" fillId="2" borderId="27" xfId="0" applyNumberFormat="1" applyFill="1" applyBorder="1" applyAlignment="1" applyProtection="1">
      <alignment horizontal="center"/>
      <protection locked="0"/>
    </xf>
    <xf numFmtId="2" fontId="0" fillId="2" borderId="20" xfId="0" applyNumberFormat="1" applyFill="1" applyBorder="1" applyAlignment="1" applyProtection="1">
      <alignment horizontal="center"/>
      <protection locked="0"/>
    </xf>
    <xf numFmtId="0" fontId="0" fillId="0" borderId="0" xfId="0" quotePrefix="1" applyFill="1"/>
    <xf numFmtId="0" fontId="6" fillId="4" borderId="4" xfId="0" applyFont="1" applyFill="1" applyBorder="1" applyAlignment="1" applyProtection="1">
      <alignment horizontal="right" indent="1"/>
      <protection hidden="1"/>
    </xf>
    <xf numFmtId="0" fontId="0" fillId="2" borderId="0" xfId="0" applyFill="1" applyProtection="1">
      <protection locked="0"/>
    </xf>
    <xf numFmtId="181" fontId="0" fillId="4" borderId="11" xfId="0" applyNumberFormat="1" applyFill="1" applyBorder="1" applyAlignment="1" applyProtection="1">
      <alignment horizontal="center"/>
      <protection hidden="1"/>
    </xf>
    <xf numFmtId="0" fontId="1" fillId="4" borderId="0" xfId="0" applyFont="1" applyFill="1" applyAlignment="1" applyProtection="1">
      <alignment horizontal="center" wrapText="1"/>
      <protection hidden="1"/>
    </xf>
    <xf numFmtId="14" fontId="0" fillId="2" borderId="30" xfId="0" applyNumberFormat="1" applyFill="1" applyBorder="1"/>
    <xf numFmtId="179" fontId="0" fillId="4" borderId="0" xfId="17" quotePrefix="1" applyNumberFormat="1" applyFont="1" applyFill="1" applyBorder="1" applyAlignment="1" applyProtection="1">
      <alignment horizontal="center"/>
      <protection hidden="1"/>
    </xf>
    <xf numFmtId="2" fontId="0" fillId="4" borderId="0" xfId="17" applyNumberFormat="1" applyFont="1" applyFill="1" applyAlignment="1" applyProtection="1">
      <alignment horizontal="center"/>
      <protection hidden="1"/>
    </xf>
    <xf numFmtId="2" fontId="2" fillId="4" borderId="0" xfId="17" applyNumberFormat="1" applyFont="1" applyFill="1" applyAlignment="1" applyProtection="1">
      <alignment horizontal="center"/>
      <protection hidden="1"/>
    </xf>
    <xf numFmtId="2" fontId="0" fillId="4" borderId="0" xfId="17" applyNumberFormat="1" applyFont="1" applyFill="1" applyAlignment="1" applyProtection="1">
      <alignment horizontal="center" vertical="top"/>
      <protection hidden="1"/>
    </xf>
    <xf numFmtId="0" fontId="2" fillId="4" borderId="0" xfId="0" applyFont="1" applyFill="1" applyAlignment="1" applyProtection="1">
      <alignment horizontal="left" vertical="top" indent="4"/>
      <protection hidden="1"/>
    </xf>
    <xf numFmtId="0" fontId="5" fillId="4" borderId="10" xfId="0" applyFont="1" applyFill="1" applyBorder="1" applyAlignment="1" applyProtection="1">
      <protection hidden="1"/>
    </xf>
    <xf numFmtId="0" fontId="0" fillId="4" borderId="14" xfId="0" applyFill="1" applyBorder="1" applyAlignment="1" applyProtection="1">
      <protection hidden="1"/>
    </xf>
    <xf numFmtId="0" fontId="20" fillId="4" borderId="0" xfId="0" applyFont="1" applyFill="1" applyAlignment="1" applyProtection="1">
      <alignment wrapText="1"/>
      <protection hidden="1"/>
    </xf>
    <xf numFmtId="0" fontId="20" fillId="4" borderId="0" xfId="0" applyFont="1" applyFill="1" applyAlignment="1" applyProtection="1">
      <protection hidden="1"/>
    </xf>
    <xf numFmtId="0" fontId="16" fillId="4" borderId="0" xfId="0" applyFont="1" applyFill="1" applyAlignment="1" applyProtection="1">
      <protection hidden="1"/>
    </xf>
    <xf numFmtId="0" fontId="0" fillId="4" borderId="6" xfId="0" applyFill="1" applyBorder="1" applyAlignment="1" applyProtection="1">
      <protection hidden="1"/>
    </xf>
    <xf numFmtId="0" fontId="5" fillId="4" borderId="0" xfId="0" applyFont="1" applyFill="1" applyAlignment="1" applyProtection="1">
      <protection hidden="1"/>
    </xf>
    <xf numFmtId="1" fontId="0" fillId="0" borderId="0" xfId="0" applyNumberFormat="1" applyProtection="1">
      <protection hidden="1"/>
    </xf>
    <xf numFmtId="9" fontId="0" fillId="0" borderId="0" xfId="0" applyNumberFormat="1" applyProtection="1">
      <protection hidden="1"/>
    </xf>
    <xf numFmtId="0" fontId="0" fillId="0" borderId="4" xfId="0" applyFill="1" applyBorder="1" applyAlignment="1" applyProtection="1">
      <alignment horizontal="center"/>
      <protection hidden="1"/>
    </xf>
    <xf numFmtId="0" fontId="0" fillId="0" borderId="9" xfId="0" applyFill="1" applyBorder="1" applyProtection="1">
      <protection hidden="1"/>
    </xf>
    <xf numFmtId="0" fontId="0" fillId="0" borderId="10" xfId="0" applyFill="1" applyBorder="1" applyProtection="1">
      <protection hidden="1"/>
    </xf>
    <xf numFmtId="178" fontId="0" fillId="0" borderId="0" xfId="0" applyNumberFormat="1" applyProtection="1">
      <protection hidden="1"/>
    </xf>
    <xf numFmtId="189" fontId="0" fillId="0" borderId="0" xfId="0" applyNumberFormat="1" applyProtection="1">
      <protection hidden="1"/>
    </xf>
    <xf numFmtId="190" fontId="0" fillId="0" borderId="0" xfId="0" applyNumberFormat="1" applyProtection="1">
      <protection hidden="1"/>
    </xf>
    <xf numFmtId="0" fontId="0" fillId="3" borderId="0" xfId="0" applyFill="1" applyProtection="1">
      <protection hidden="1"/>
    </xf>
    <xf numFmtId="4" fontId="0" fillId="0" borderId="0" xfId="0" applyNumberFormat="1" applyFill="1" applyProtection="1">
      <protection hidden="1"/>
    </xf>
    <xf numFmtId="0" fontId="0" fillId="0" borderId="0" xfId="17" applyNumberFormat="1" applyFont="1" applyProtection="1">
      <protection hidden="1"/>
    </xf>
    <xf numFmtId="0" fontId="0" fillId="0" borderId="0" xfId="0" applyAlignment="1" applyProtection="1">
      <alignment horizontal="left"/>
      <protection hidden="1"/>
    </xf>
    <xf numFmtId="0" fontId="0" fillId="0" borderId="27" xfId="0" applyBorder="1" applyProtection="1">
      <protection hidden="1"/>
    </xf>
    <xf numFmtId="0" fontId="0" fillId="0" borderId="14" xfId="0" applyBorder="1" applyProtection="1">
      <protection hidden="1"/>
    </xf>
    <xf numFmtId="0" fontId="0" fillId="0" borderId="2" xfId="0" applyBorder="1" applyProtection="1">
      <protection hidden="1"/>
    </xf>
    <xf numFmtId="0" fontId="0" fillId="0" borderId="0" xfId="0" applyAlignment="1" applyProtection="1">
      <alignment horizontal="right"/>
      <protection hidden="1"/>
    </xf>
    <xf numFmtId="3" fontId="0" fillId="0" borderId="0" xfId="0" applyNumberFormat="1" applyAlignment="1" applyProtection="1">
      <alignment horizontal="left"/>
      <protection hidden="1"/>
    </xf>
    <xf numFmtId="0" fontId="0" fillId="3" borderId="4" xfId="0" applyFill="1" applyBorder="1" applyProtection="1">
      <protection hidden="1"/>
    </xf>
    <xf numFmtId="4" fontId="0" fillId="0" borderId="8" xfId="0" applyNumberFormat="1" applyBorder="1" applyProtection="1">
      <protection hidden="1"/>
    </xf>
    <xf numFmtId="4" fontId="0" fillId="0" borderId="9" xfId="0" applyNumberFormat="1" applyBorder="1" applyProtection="1">
      <protection hidden="1"/>
    </xf>
    <xf numFmtId="3" fontId="0" fillId="0" borderId="10" xfId="0" applyNumberFormat="1" applyBorder="1" applyProtection="1">
      <protection hidden="1"/>
    </xf>
    <xf numFmtId="4" fontId="0" fillId="0" borderId="10" xfId="0" applyNumberFormat="1" applyBorder="1" applyProtection="1">
      <protection hidden="1"/>
    </xf>
    <xf numFmtId="4" fontId="0" fillId="0" borderId="0" xfId="0" applyNumberFormat="1" applyAlignment="1" applyProtection="1">
      <alignment horizontal="center"/>
      <protection hidden="1"/>
    </xf>
    <xf numFmtId="0" fontId="0" fillId="0" borderId="0" xfId="0" applyFill="1" applyBorder="1" applyAlignment="1" applyProtection="1">
      <alignment horizontal="right"/>
      <protection hidden="1"/>
    </xf>
    <xf numFmtId="0" fontId="2" fillId="0" borderId="10" xfId="0" applyFont="1" applyBorder="1" applyProtection="1">
      <protection hidden="1"/>
    </xf>
    <xf numFmtId="0" fontId="0" fillId="0" borderId="10" xfId="0" applyBorder="1" applyAlignment="1" applyProtection="1">
      <alignment horizontal="right"/>
      <protection hidden="1"/>
    </xf>
    <xf numFmtId="178" fontId="0" fillId="0" borderId="10" xfId="0" applyNumberFormat="1" applyBorder="1" applyProtection="1">
      <protection hidden="1"/>
    </xf>
    <xf numFmtId="3" fontId="0" fillId="0" borderId="8" xfId="0" applyNumberFormat="1" applyBorder="1" applyProtection="1">
      <protection hidden="1"/>
    </xf>
    <xf numFmtId="3" fontId="0" fillId="0" borderId="6" xfId="0" applyNumberFormat="1" applyBorder="1" applyProtection="1">
      <protection hidden="1"/>
    </xf>
    <xf numFmtId="3" fontId="0" fillId="0" borderId="7" xfId="0" applyNumberFormat="1" applyBorder="1" applyProtection="1">
      <protection hidden="1"/>
    </xf>
    <xf numFmtId="3" fontId="0" fillId="0" borderId="9" xfId="0" applyNumberFormat="1" applyBorder="1" applyProtection="1">
      <protection hidden="1"/>
    </xf>
    <xf numFmtId="181" fontId="0" fillId="0" borderId="0" xfId="0" applyNumberFormat="1" applyFill="1" applyBorder="1" applyAlignment="1" applyProtection="1">
      <alignment horizontal="right"/>
      <protection hidden="1"/>
    </xf>
    <xf numFmtId="0" fontId="2" fillId="0" borderId="4" xfId="0" applyFont="1" applyBorder="1" applyProtection="1">
      <protection hidden="1"/>
    </xf>
    <xf numFmtId="0" fontId="2" fillId="0" borderId="5" xfId="0" applyFont="1" applyBorder="1" applyProtection="1">
      <protection hidden="1"/>
    </xf>
    <xf numFmtId="0" fontId="2" fillId="0" borderId="16" xfId="0" applyFont="1" applyBorder="1" applyProtection="1">
      <protection hidden="1"/>
    </xf>
    <xf numFmtId="181" fontId="0" fillId="0" borderId="9" xfId="0" applyNumberFormat="1" applyBorder="1" applyProtection="1">
      <protection hidden="1"/>
    </xf>
    <xf numFmtId="181" fontId="0" fillId="0" borderId="0" xfId="0" applyNumberFormat="1" applyBorder="1" applyProtection="1">
      <protection hidden="1"/>
    </xf>
    <xf numFmtId="0" fontId="0" fillId="7" borderId="6" xfId="0" applyFill="1" applyBorder="1" applyProtection="1">
      <protection hidden="1"/>
    </xf>
    <xf numFmtId="0" fontId="0" fillId="0" borderId="6" xfId="0" quotePrefix="1" applyBorder="1" applyProtection="1">
      <protection hidden="1"/>
    </xf>
    <xf numFmtId="0" fontId="0" fillId="7" borderId="0" xfId="0" applyFill="1" applyBorder="1" applyProtection="1">
      <protection hidden="1"/>
    </xf>
    <xf numFmtId="4" fontId="3" fillId="4" borderId="0" xfId="0" applyNumberFormat="1" applyFont="1" applyFill="1" applyAlignment="1" applyProtection="1">
      <alignment horizontal="center"/>
      <protection locked="0"/>
    </xf>
    <xf numFmtId="2" fontId="0" fillId="5" borderId="11" xfId="0" applyNumberFormat="1" applyFill="1" applyBorder="1" applyAlignment="1" applyProtection="1">
      <alignment horizontal="center" wrapText="1"/>
      <protection locked="0"/>
    </xf>
    <xf numFmtId="184" fontId="0" fillId="4" borderId="18" xfId="0" applyNumberFormat="1" applyFill="1" applyBorder="1" applyProtection="1">
      <protection hidden="1"/>
    </xf>
    <xf numFmtId="184" fontId="10" fillId="4" borderId="7" xfId="0" applyNumberFormat="1" applyFont="1" applyFill="1" applyBorder="1" applyAlignment="1" applyProtection="1">
      <alignment horizontal="center"/>
      <protection hidden="1"/>
    </xf>
    <xf numFmtId="184" fontId="10" fillId="4" borderId="5" xfId="0" applyNumberFormat="1" applyFont="1" applyFill="1" applyBorder="1" applyAlignment="1" applyProtection="1">
      <alignment horizontal="center"/>
      <protection hidden="1"/>
    </xf>
    <xf numFmtId="184" fontId="0" fillId="4" borderId="13" xfId="0" applyNumberFormat="1" applyFill="1" applyBorder="1" applyProtection="1">
      <protection hidden="1"/>
    </xf>
    <xf numFmtId="184" fontId="0" fillId="4" borderId="53" xfId="0" applyNumberFormat="1" applyFill="1" applyBorder="1" applyProtection="1">
      <protection hidden="1"/>
    </xf>
    <xf numFmtId="184" fontId="0" fillId="4" borderId="54" xfId="0" applyNumberFormat="1" applyFill="1" applyBorder="1" applyProtection="1">
      <protection hidden="1"/>
    </xf>
    <xf numFmtId="184" fontId="12" fillId="6" borderId="5" xfId="0" applyNumberFormat="1" applyFont="1" applyFill="1" applyBorder="1" applyAlignment="1" applyProtection="1">
      <alignment horizontal="center"/>
      <protection hidden="1"/>
    </xf>
    <xf numFmtId="0" fontId="0" fillId="5" borderId="11" xfId="0" applyFill="1" applyBorder="1" applyAlignment="1" applyProtection="1">
      <alignment horizontal="center" wrapText="1"/>
      <protection locked="0"/>
    </xf>
    <xf numFmtId="0" fontId="0" fillId="2" borderId="11" xfId="0" applyFill="1" applyBorder="1" applyAlignment="1" applyProtection="1">
      <alignment wrapText="1"/>
      <protection locked="0"/>
    </xf>
    <xf numFmtId="0" fontId="0" fillId="4" borderId="8" xfId="0" applyFill="1" applyBorder="1" applyAlignment="1" applyProtection="1">
      <alignment wrapText="1"/>
      <protection hidden="1"/>
    </xf>
    <xf numFmtId="178" fontId="1" fillId="2" borderId="11" xfId="0" applyNumberFormat="1" applyFont="1" applyFill="1" applyBorder="1" applyAlignment="1" applyProtection="1">
      <alignment horizontal="center"/>
      <protection locked="0"/>
    </xf>
    <xf numFmtId="0" fontId="1" fillId="0" borderId="0" xfId="0" applyFont="1" applyProtection="1">
      <protection hidden="1"/>
    </xf>
    <xf numFmtId="0" fontId="1" fillId="2" borderId="11" xfId="0" applyFont="1" applyFill="1" applyBorder="1" applyAlignment="1" applyProtection="1">
      <alignment horizontal="center" wrapText="1"/>
      <protection locked="0"/>
    </xf>
    <xf numFmtId="0" fontId="0" fillId="4" borderId="0" xfId="0" applyFill="1" applyBorder="1" applyAlignment="1" applyProtection="1">
      <alignment horizontal="center" wrapText="1"/>
      <protection hidden="1"/>
    </xf>
    <xf numFmtId="0" fontId="2" fillId="4" borderId="21" xfId="0" applyFont="1" applyFill="1" applyBorder="1" applyAlignment="1" applyProtection="1">
      <alignment horizontal="center" wrapText="1"/>
      <protection hidden="1"/>
    </xf>
    <xf numFmtId="0" fontId="2" fillId="2" borderId="11" xfId="0" applyFont="1" applyFill="1" applyBorder="1" applyAlignment="1" applyProtection="1">
      <alignment horizontal="center" wrapText="1"/>
      <protection locked="0"/>
    </xf>
    <xf numFmtId="0" fontId="1" fillId="4" borderId="0" xfId="0" applyFont="1" applyFill="1" applyAlignment="1" applyProtection="1">
      <alignment wrapText="1"/>
      <protection hidden="1"/>
    </xf>
    <xf numFmtId="0" fontId="2" fillId="4" borderId="20" xfId="0" applyFont="1" applyFill="1" applyBorder="1" applyAlignment="1" applyProtection="1">
      <alignment horizontal="center" wrapText="1"/>
      <protection hidden="1"/>
    </xf>
    <xf numFmtId="0" fontId="2" fillId="4" borderId="22" xfId="0" applyFont="1" applyFill="1" applyBorder="1" applyAlignment="1" applyProtection="1">
      <alignment horizontal="center" wrapText="1"/>
      <protection hidden="1"/>
    </xf>
    <xf numFmtId="0" fontId="1" fillId="7" borderId="11" xfId="0" applyFont="1" applyFill="1" applyBorder="1" applyAlignment="1" applyProtection="1">
      <alignment horizontal="center" wrapText="1"/>
      <protection locked="0"/>
    </xf>
    <xf numFmtId="179" fontId="1" fillId="4" borderId="0" xfId="17" applyNumberFormat="1" applyFill="1" applyBorder="1" applyAlignment="1" applyProtection="1">
      <alignment horizontal="center"/>
      <protection hidden="1"/>
    </xf>
    <xf numFmtId="0" fontId="15" fillId="4" borderId="0" xfId="0" applyNumberFormat="1" applyFont="1" applyFill="1" applyBorder="1" applyAlignment="1" applyProtection="1">
      <alignment horizontal="left" vertical="center"/>
      <protection hidden="1"/>
    </xf>
    <xf numFmtId="0" fontId="15" fillId="4" borderId="0" xfId="0" applyFont="1" applyFill="1" applyAlignment="1" applyProtection="1">
      <alignment wrapText="1"/>
      <protection hidden="1"/>
    </xf>
    <xf numFmtId="0" fontId="2" fillId="4" borderId="0" xfId="0" applyFont="1" applyFill="1" applyAlignment="1" applyProtection="1">
      <alignment wrapText="1"/>
      <protection hidden="1"/>
    </xf>
    <xf numFmtId="0" fontId="2" fillId="2" borderId="11" xfId="0" applyFont="1" applyFill="1" applyBorder="1" applyAlignment="1" applyProtection="1">
      <alignment wrapText="1"/>
      <protection locked="0"/>
    </xf>
    <xf numFmtId="0" fontId="1" fillId="7" borderId="27" xfId="0" applyFont="1" applyFill="1" applyBorder="1" applyAlignment="1" applyProtection="1">
      <alignment horizontal="center"/>
      <protection locked="0"/>
    </xf>
    <xf numFmtId="0" fontId="0" fillId="2" borderId="2" xfId="0" applyFill="1" applyBorder="1" applyAlignment="1" applyProtection="1">
      <alignment horizontal="right"/>
      <protection locked="0"/>
    </xf>
    <xf numFmtId="0" fontId="36" fillId="4" borderId="0" xfId="0" applyFont="1" applyFill="1" applyBorder="1" applyProtection="1">
      <protection hidden="1"/>
    </xf>
    <xf numFmtId="0" fontId="2" fillId="4" borderId="20" xfId="0" applyFont="1" applyFill="1" applyBorder="1" applyAlignment="1" applyProtection="1">
      <alignment wrapText="1"/>
      <protection hidden="1"/>
    </xf>
    <xf numFmtId="0" fontId="1" fillId="4" borderId="0" xfId="0" applyFont="1" applyFill="1" applyBorder="1" applyAlignment="1" applyProtection="1">
      <alignment horizontal="center"/>
      <protection locked="0"/>
    </xf>
    <xf numFmtId="0" fontId="0" fillId="4" borderId="2" xfId="0" applyFill="1" applyBorder="1" applyAlignment="1" applyProtection="1">
      <alignment horizontal="center"/>
      <protection hidden="1"/>
    </xf>
    <xf numFmtId="194" fontId="0" fillId="4" borderId="8" xfId="0" applyNumberFormat="1" applyFill="1" applyBorder="1" applyAlignment="1" applyProtection="1">
      <alignment horizontal="center"/>
      <protection hidden="1"/>
    </xf>
    <xf numFmtId="194" fontId="0" fillId="4" borderId="9" xfId="0" applyNumberFormat="1" applyFill="1" applyBorder="1" applyAlignment="1" applyProtection="1">
      <alignment horizontal="center"/>
      <protection hidden="1"/>
    </xf>
    <xf numFmtId="0" fontId="3" fillId="4" borderId="0" xfId="0" applyFont="1" applyFill="1" applyAlignment="1" applyProtection="1">
      <alignment horizontal="center"/>
      <protection hidden="1"/>
    </xf>
    <xf numFmtId="9" fontId="3" fillId="2" borderId="11" xfId="17" applyFont="1" applyFill="1" applyBorder="1" applyAlignment="1" applyProtection="1">
      <alignment horizontal="center"/>
      <protection locked="0"/>
    </xf>
    <xf numFmtId="0" fontId="34" fillId="4" borderId="0" xfId="0" applyFont="1" applyFill="1" applyAlignment="1" applyProtection="1">
      <alignment horizontal="center"/>
      <protection hidden="1"/>
    </xf>
    <xf numFmtId="9" fontId="3" fillId="4" borderId="0" xfId="17" applyFont="1" applyFill="1" applyAlignment="1" applyProtection="1">
      <alignment horizontal="center"/>
      <protection hidden="1"/>
    </xf>
    <xf numFmtId="3" fontId="0" fillId="0" borderId="0" xfId="0" applyNumberFormat="1" applyProtection="1">
      <protection locked="0"/>
    </xf>
    <xf numFmtId="0" fontId="2" fillId="4" borderId="0" xfId="0" applyFont="1" applyFill="1" applyAlignment="1" applyProtection="1">
      <alignment horizontal="center" vertical="center" wrapText="1"/>
      <protection hidden="1"/>
    </xf>
    <xf numFmtId="0" fontId="0" fillId="4" borderId="55" xfId="0" applyFill="1" applyBorder="1" applyProtection="1">
      <protection hidden="1"/>
    </xf>
    <xf numFmtId="0" fontId="0" fillId="4" borderId="56" xfId="0" applyFill="1" applyBorder="1" applyProtection="1">
      <protection hidden="1"/>
    </xf>
    <xf numFmtId="0" fontId="0" fillId="0" borderId="0" xfId="0" applyProtection="1">
      <protection locked="0" hidden="1"/>
    </xf>
    <xf numFmtId="4" fontId="0" fillId="5" borderId="22" xfId="0" applyNumberFormat="1" applyFill="1" applyBorder="1" applyAlignment="1" applyProtection="1">
      <alignment horizontal="center"/>
      <protection locked="0"/>
    </xf>
    <xf numFmtId="3" fontId="10" fillId="9" borderId="11" xfId="0" applyNumberFormat="1" applyFont="1" applyFill="1" applyBorder="1" applyAlignment="1" applyProtection="1">
      <alignment horizontal="left"/>
      <protection locked="0"/>
    </xf>
    <xf numFmtId="0" fontId="3" fillId="8" borderId="0" xfId="0" applyFont="1" applyFill="1" applyBorder="1" applyAlignment="1" applyProtection="1">
      <alignment horizontal="right"/>
      <protection hidden="1"/>
    </xf>
    <xf numFmtId="0" fontId="3" fillId="8" borderId="0" xfId="0" applyFont="1" applyFill="1" applyBorder="1" applyAlignment="1" applyProtection="1">
      <protection hidden="1"/>
    </xf>
    <xf numFmtId="0" fontId="3" fillId="8" borderId="0" xfId="0" applyFont="1" applyFill="1" applyBorder="1" applyAlignment="1" applyProtection="1">
      <alignment horizontal="center"/>
      <protection hidden="1"/>
    </xf>
    <xf numFmtId="0" fontId="0" fillId="4" borderId="0" xfId="0" applyFill="1" applyBorder="1"/>
    <xf numFmtId="0" fontId="0" fillId="5" borderId="8" xfId="0" applyFill="1" applyBorder="1" applyProtection="1">
      <protection hidden="1"/>
    </xf>
    <xf numFmtId="0" fontId="19" fillId="8" borderId="0" xfId="0" applyFont="1" applyFill="1" applyBorder="1" applyProtection="1">
      <protection hidden="1"/>
    </xf>
    <xf numFmtId="189" fontId="0" fillId="4" borderId="0" xfId="0" applyNumberFormat="1" applyFill="1" applyBorder="1" applyAlignment="1" applyProtection="1">
      <protection hidden="1"/>
    </xf>
    <xf numFmtId="4" fontId="0" fillId="4" borderId="0" xfId="0" applyNumberFormat="1" applyFill="1" applyAlignment="1" applyProtection="1">
      <protection hidden="1"/>
    </xf>
    <xf numFmtId="195" fontId="0" fillId="0" borderId="0" xfId="0" applyNumberFormat="1"/>
    <xf numFmtId="195" fontId="0" fillId="4" borderId="0" xfId="0" applyNumberFormat="1" applyFill="1" applyAlignment="1" applyProtection="1">
      <alignment horizontal="center"/>
      <protection hidden="1"/>
    </xf>
    <xf numFmtId="0" fontId="2" fillId="7" borderId="11" xfId="0" applyFont="1" applyFill="1" applyBorder="1" applyAlignment="1" applyProtection="1">
      <alignment horizontal="center" wrapText="1"/>
      <protection locked="0"/>
    </xf>
    <xf numFmtId="2" fontId="2" fillId="7" borderId="11" xfId="0" applyNumberFormat="1" applyFont="1" applyFill="1" applyBorder="1" applyAlignment="1" applyProtection="1">
      <alignment horizontal="center" wrapText="1"/>
      <protection locked="0"/>
    </xf>
    <xf numFmtId="0" fontId="0" fillId="7" borderId="11" xfId="0" applyFill="1" applyBorder="1" applyAlignment="1" applyProtection="1">
      <alignment horizontal="center" wrapText="1"/>
      <protection locked="0"/>
    </xf>
    <xf numFmtId="179" fontId="0" fillId="4" borderId="37" xfId="0" applyNumberFormat="1" applyFill="1" applyBorder="1" applyAlignment="1" applyProtection="1">
      <alignment horizontal="center"/>
      <protection hidden="1"/>
    </xf>
    <xf numFmtId="179" fontId="0" fillId="4" borderId="45" xfId="0" applyNumberFormat="1" applyFill="1" applyBorder="1" applyAlignment="1" applyProtection="1">
      <alignment horizontal="center"/>
      <protection hidden="1"/>
    </xf>
    <xf numFmtId="179" fontId="0" fillId="4" borderId="35" xfId="0" applyNumberFormat="1" applyFill="1" applyBorder="1" applyAlignment="1" applyProtection="1">
      <alignment horizontal="center"/>
      <protection hidden="1"/>
    </xf>
    <xf numFmtId="179" fontId="0" fillId="4" borderId="38" xfId="0" applyNumberFormat="1" applyFill="1" applyBorder="1" applyAlignment="1" applyProtection="1">
      <alignment horizontal="center"/>
      <protection hidden="1"/>
    </xf>
    <xf numFmtId="179" fontId="0" fillId="4" borderId="36" xfId="0" applyNumberFormat="1" applyFill="1" applyBorder="1" applyAlignment="1" applyProtection="1">
      <alignment horizontal="center"/>
      <protection hidden="1"/>
    </xf>
    <xf numFmtId="179" fontId="2" fillId="4" borderId="0" xfId="0" applyNumberFormat="1" applyFont="1" applyFill="1" applyBorder="1" applyAlignment="1" applyProtection="1">
      <alignment horizontal="center"/>
      <protection hidden="1"/>
    </xf>
    <xf numFmtId="179" fontId="0" fillId="4" borderId="41" xfId="0" applyNumberFormat="1" applyFill="1" applyBorder="1" applyAlignment="1" applyProtection="1">
      <alignment horizontal="center"/>
      <protection hidden="1"/>
    </xf>
    <xf numFmtId="179" fontId="0" fillId="4" borderId="32" xfId="0" applyNumberFormat="1" applyFill="1" applyBorder="1" applyAlignment="1" applyProtection="1">
      <alignment horizontal="center"/>
      <protection hidden="1"/>
    </xf>
    <xf numFmtId="179" fontId="0" fillId="4" borderId="42" xfId="0" applyNumberFormat="1" applyFill="1" applyBorder="1" applyAlignment="1" applyProtection="1">
      <alignment horizontal="center"/>
      <protection hidden="1"/>
    </xf>
    <xf numFmtId="3" fontId="0" fillId="5" borderId="57" xfId="0" applyNumberFormat="1" applyFill="1" applyBorder="1" applyAlignment="1" applyProtection="1">
      <alignment horizontal="center"/>
      <protection locked="0"/>
    </xf>
    <xf numFmtId="3" fontId="0" fillId="5" borderId="58" xfId="0" applyNumberFormat="1" applyFill="1" applyBorder="1" applyAlignment="1" applyProtection="1">
      <alignment horizontal="center"/>
      <protection locked="0"/>
    </xf>
    <xf numFmtId="3" fontId="0" fillId="0" borderId="0" xfId="0" applyNumberFormat="1" applyFill="1" applyBorder="1" applyAlignment="1" applyProtection="1">
      <alignment horizontal="center"/>
      <protection locked="0"/>
    </xf>
    <xf numFmtId="3" fontId="0" fillId="5" borderId="34" xfId="0" applyNumberFormat="1" applyFill="1" applyBorder="1" applyAlignment="1" applyProtection="1">
      <alignment horizontal="center"/>
      <protection locked="0"/>
    </xf>
    <xf numFmtId="3" fontId="0" fillId="5" borderId="59" xfId="0" applyNumberFormat="1" applyFill="1" applyBorder="1" applyAlignment="1" applyProtection="1">
      <alignment horizontal="center"/>
      <protection locked="0"/>
    </xf>
    <xf numFmtId="179" fontId="0" fillId="0" borderId="0" xfId="17" applyNumberFormat="1" applyFont="1" applyProtection="1">
      <protection hidden="1"/>
    </xf>
    <xf numFmtId="179" fontId="0" fillId="2" borderId="11" xfId="17" applyNumberFormat="1" applyFont="1" applyFill="1" applyBorder="1" applyAlignment="1" applyProtection="1">
      <alignment horizontal="center"/>
      <protection hidden="1"/>
    </xf>
    <xf numFmtId="9" fontId="0" fillId="4" borderId="6" xfId="0" applyNumberFormat="1" applyFill="1" applyBorder="1" applyAlignment="1" applyProtection="1">
      <alignment horizontal="center"/>
      <protection hidden="1"/>
    </xf>
    <xf numFmtId="0" fontId="37" fillId="2" borderId="51" xfId="0" applyFont="1" applyFill="1" applyBorder="1" applyAlignment="1">
      <alignment horizontal="center"/>
    </xf>
    <xf numFmtId="0" fontId="38" fillId="0" borderId="0" xfId="0" applyFont="1" applyFill="1" applyBorder="1" applyAlignment="1"/>
    <xf numFmtId="0" fontId="37" fillId="5" borderId="34" xfId="0" applyFont="1" applyFill="1" applyBorder="1" applyAlignment="1">
      <alignment horizontal="center"/>
    </xf>
    <xf numFmtId="0" fontId="0" fillId="2" borderId="20" xfId="0" applyFill="1" applyBorder="1" applyProtection="1">
      <protection locked="0"/>
    </xf>
    <xf numFmtId="0" fontId="0" fillId="2" borderId="22" xfId="0" applyFill="1" applyBorder="1" applyProtection="1">
      <protection hidden="1"/>
    </xf>
    <xf numFmtId="178" fontId="0" fillId="4" borderId="21" xfId="0" applyNumberFormat="1" applyFill="1" applyBorder="1" applyAlignment="1" applyProtection="1">
      <alignment horizontal="center"/>
      <protection hidden="1"/>
    </xf>
    <xf numFmtId="0" fontId="0" fillId="0" borderId="0" xfId="0" applyFill="1" applyBorder="1" applyAlignment="1"/>
    <xf numFmtId="180" fontId="0" fillId="5" borderId="11" xfId="0" applyNumberFormat="1" applyFill="1" applyBorder="1" applyAlignment="1" applyProtection="1">
      <alignment horizontal="center"/>
      <protection locked="0"/>
    </xf>
    <xf numFmtId="0" fontId="12" fillId="6" borderId="4" xfId="0" applyFont="1" applyFill="1" applyBorder="1" applyAlignment="1" applyProtection="1">
      <protection hidden="1"/>
    </xf>
    <xf numFmtId="0" fontId="2" fillId="4" borderId="0" xfId="0" applyFont="1" applyFill="1" applyBorder="1" applyAlignment="1" applyProtection="1">
      <alignment wrapText="1"/>
      <protection hidden="1"/>
    </xf>
    <xf numFmtId="0" fontId="12" fillId="6" borderId="5" xfId="0" applyFont="1" applyFill="1" applyBorder="1" applyAlignment="1" applyProtection="1">
      <protection hidden="1"/>
    </xf>
    <xf numFmtId="0" fontId="2" fillId="4" borderId="0" xfId="0" applyFont="1" applyFill="1" applyAlignment="1" applyProtection="1">
      <alignment horizontal="left" vertical="center"/>
      <protection hidden="1"/>
    </xf>
    <xf numFmtId="178" fontId="1" fillId="5" borderId="11" xfId="14" applyNumberFormat="1" applyFill="1" applyBorder="1" applyAlignment="1" applyProtection="1">
      <alignment horizontal="center"/>
      <protection locked="0"/>
    </xf>
    <xf numFmtId="178" fontId="0" fillId="5" borderId="20" xfId="0" applyNumberFormat="1" applyFill="1" applyBorder="1" applyAlignment="1" applyProtection="1">
      <alignment horizontal="center"/>
      <protection locked="0"/>
    </xf>
    <xf numFmtId="0" fontId="0" fillId="4" borderId="0" xfId="0" applyFill="1" applyBorder="1" applyAlignment="1" applyProtection="1">
      <alignment horizontal="left" wrapText="1"/>
      <protection hidden="1"/>
    </xf>
    <xf numFmtId="0" fontId="1" fillId="4" borderId="0" xfId="0" applyFont="1" applyFill="1" applyBorder="1" applyAlignment="1" applyProtection="1">
      <alignment horizontal="left"/>
      <protection hidden="1"/>
    </xf>
    <xf numFmtId="0" fontId="1" fillId="4" borderId="0" xfId="0" applyFont="1" applyFill="1" applyAlignment="1" applyProtection="1">
      <alignment vertical="top"/>
      <protection hidden="1"/>
    </xf>
    <xf numFmtId="178" fontId="0" fillId="4" borderId="0" xfId="0" applyNumberFormat="1" applyFill="1" applyBorder="1" applyAlignment="1" applyProtection="1">
      <alignment horizontal="right" indent="1"/>
      <protection hidden="1"/>
    </xf>
    <xf numFmtId="178" fontId="0" fillId="4" borderId="10" xfId="0" applyNumberFormat="1" applyFill="1" applyBorder="1" applyAlignment="1" applyProtection="1">
      <alignment horizontal="right" indent="1"/>
      <protection hidden="1"/>
    </xf>
    <xf numFmtId="178" fontId="0" fillId="4" borderId="4" xfId="0" applyNumberFormat="1" applyFill="1" applyBorder="1" applyAlignment="1" applyProtection="1">
      <alignment horizontal="right" indent="1"/>
      <protection hidden="1"/>
    </xf>
    <xf numFmtId="178" fontId="0" fillId="4" borderId="0" xfId="0" applyNumberFormat="1" applyFill="1" applyAlignment="1" applyProtection="1">
      <alignment horizontal="right" indent="1"/>
      <protection hidden="1"/>
    </xf>
    <xf numFmtId="178" fontId="0" fillId="4" borderId="9" xfId="0" applyNumberFormat="1" applyFill="1" applyBorder="1" applyAlignment="1" applyProtection="1">
      <alignment horizontal="right" indent="1"/>
      <protection hidden="1"/>
    </xf>
    <xf numFmtId="3" fontId="0" fillId="4" borderId="0" xfId="0" applyNumberFormat="1" applyFill="1" applyAlignment="1" applyProtection="1">
      <alignment horizontal="right" indent="1"/>
      <protection hidden="1"/>
    </xf>
    <xf numFmtId="178" fontId="1" fillId="4" borderId="4" xfId="0" applyNumberFormat="1" applyFont="1" applyFill="1" applyBorder="1" applyAlignment="1" applyProtection="1">
      <alignment horizontal="right" indent="1"/>
      <protection hidden="1"/>
    </xf>
    <xf numFmtId="178" fontId="1" fillId="4" borderId="10" xfId="0" applyNumberFormat="1" applyFont="1" applyFill="1" applyBorder="1" applyAlignment="1" applyProtection="1">
      <alignment horizontal="right" indent="1"/>
      <protection hidden="1"/>
    </xf>
    <xf numFmtId="180" fontId="0" fillId="4" borderId="0" xfId="0" applyNumberFormat="1" applyFill="1" applyBorder="1" applyAlignment="1" applyProtection="1">
      <alignment horizontal="right" indent="3"/>
      <protection hidden="1"/>
    </xf>
    <xf numFmtId="180" fontId="0" fillId="4" borderId="10" xfId="0" applyNumberFormat="1" applyFill="1" applyBorder="1" applyAlignment="1" applyProtection="1">
      <alignment horizontal="right" indent="3"/>
      <protection hidden="1"/>
    </xf>
    <xf numFmtId="180" fontId="0" fillId="4" borderId="4" xfId="0" applyNumberFormat="1" applyFill="1" applyBorder="1" applyAlignment="1" applyProtection="1">
      <alignment horizontal="right" indent="3"/>
      <protection hidden="1"/>
    </xf>
    <xf numFmtId="183" fontId="0" fillId="4" borderId="0" xfId="0" applyNumberFormat="1" applyFill="1" applyAlignment="1" applyProtection="1">
      <alignment horizontal="right" indent="3"/>
      <protection hidden="1"/>
    </xf>
    <xf numFmtId="183" fontId="0" fillId="2" borderId="11" xfId="0" applyNumberFormat="1" applyFill="1" applyBorder="1" applyAlignment="1" applyProtection="1">
      <alignment horizontal="right" indent="3"/>
      <protection locked="0"/>
    </xf>
    <xf numFmtId="183" fontId="0" fillId="4" borderId="4" xfId="0" applyNumberFormat="1" applyFill="1" applyBorder="1" applyAlignment="1" applyProtection="1">
      <alignment horizontal="right" indent="3"/>
      <protection hidden="1"/>
    </xf>
    <xf numFmtId="183" fontId="0" fillId="4" borderId="10" xfId="0" applyNumberFormat="1" applyFill="1" applyBorder="1" applyAlignment="1" applyProtection="1">
      <alignment horizontal="right" indent="3"/>
      <protection hidden="1"/>
    </xf>
    <xf numFmtId="0" fontId="0" fillId="0" borderId="43" xfId="0" applyBorder="1" applyAlignment="1"/>
    <xf numFmtId="0" fontId="0" fillId="0" borderId="41" xfId="0" applyBorder="1"/>
    <xf numFmtId="0" fontId="0" fillId="0" borderId="42" xfId="0" applyBorder="1"/>
    <xf numFmtId="0" fontId="0" fillId="0" borderId="8" xfId="0" applyNumberFormat="1" applyFill="1" applyBorder="1" applyProtection="1">
      <protection locked="0"/>
    </xf>
    <xf numFmtId="0" fontId="0" fillId="0" borderId="0" xfId="0" applyNumberFormat="1" applyFill="1" applyBorder="1" applyProtection="1">
      <protection locked="0"/>
    </xf>
    <xf numFmtId="0" fontId="0" fillId="0" borderId="6" xfId="0" applyNumberFormat="1" applyFill="1" applyBorder="1" applyProtection="1">
      <protection locked="0"/>
    </xf>
    <xf numFmtId="0" fontId="0" fillId="0" borderId="0" xfId="0" applyNumberFormat="1" applyBorder="1" applyProtection="1">
      <protection locked="0"/>
    </xf>
    <xf numFmtId="0" fontId="0" fillId="0" borderId="0" xfId="0" applyNumberFormat="1" applyProtection="1">
      <protection locked="0"/>
    </xf>
    <xf numFmtId="0" fontId="0" fillId="0" borderId="9" xfId="0" applyNumberFormat="1" applyFill="1" applyBorder="1" applyProtection="1">
      <protection locked="0"/>
    </xf>
    <xf numFmtId="0" fontId="0" fillId="0" borderId="10" xfId="0" applyNumberFormat="1" applyFill="1" applyBorder="1" applyProtection="1">
      <protection locked="0"/>
    </xf>
    <xf numFmtId="0" fontId="0" fillId="0" borderId="7" xfId="0" applyNumberFormat="1" applyFill="1" applyBorder="1" applyProtection="1">
      <protection locked="0"/>
    </xf>
    <xf numFmtId="0" fontId="0" fillId="0" borderId="0" xfId="0" applyNumberFormat="1" applyFill="1" applyBorder="1" applyAlignment="1" applyProtection="1">
      <alignment horizontal="right"/>
      <protection locked="0"/>
    </xf>
    <xf numFmtId="3" fontId="3" fillId="4" borderId="0" xfId="0" applyNumberFormat="1" applyFont="1" applyFill="1" applyAlignment="1" applyProtection="1">
      <alignment horizontal="center"/>
      <protection locked="0"/>
    </xf>
    <xf numFmtId="0" fontId="0" fillId="0" borderId="0" xfId="0" quotePrefix="1" applyNumberFormat="1" applyFill="1" applyBorder="1" applyProtection="1">
      <protection locked="0"/>
    </xf>
    <xf numFmtId="0" fontId="14" fillId="0" borderId="0" xfId="0" applyFont="1" applyFill="1" applyBorder="1" applyAlignment="1">
      <alignment vertical="top"/>
    </xf>
    <xf numFmtId="0" fontId="0" fillId="0" borderId="0" xfId="0" applyFill="1" applyAlignment="1">
      <alignment wrapText="1"/>
    </xf>
    <xf numFmtId="0" fontId="27" fillId="0" borderId="0" xfId="16"/>
    <xf numFmtId="0" fontId="39" fillId="0" borderId="0" xfId="0" applyFont="1" applyAlignment="1" applyProtection="1">
      <alignment horizontal="center"/>
      <protection hidden="1"/>
    </xf>
    <xf numFmtId="0" fontId="27" fillId="0" borderId="0" xfId="8"/>
    <xf numFmtId="0" fontId="27" fillId="0" borderId="0" xfId="7"/>
    <xf numFmtId="0" fontId="27" fillId="0" borderId="0" xfId="6"/>
    <xf numFmtId="0" fontId="40" fillId="4" borderId="8" xfId="0" applyFont="1" applyFill="1" applyBorder="1" applyAlignment="1" applyProtection="1">
      <alignment horizontal="right"/>
      <protection hidden="1"/>
    </xf>
    <xf numFmtId="0" fontId="40" fillId="4" borderId="0" xfId="0" applyFont="1" applyFill="1" applyBorder="1" applyAlignment="1" applyProtection="1">
      <alignment horizontal="right"/>
      <protection hidden="1"/>
    </xf>
    <xf numFmtId="0" fontId="40" fillId="4" borderId="0" xfId="0" applyFont="1" applyFill="1" applyAlignment="1" applyProtection="1">
      <alignment horizontal="right"/>
      <protection hidden="1"/>
    </xf>
    <xf numFmtId="0" fontId="40" fillId="4" borderId="0" xfId="0" applyFont="1" applyFill="1" applyAlignment="1" applyProtection="1">
      <alignment horizontal="right" vertical="top"/>
      <protection hidden="1"/>
    </xf>
    <xf numFmtId="0" fontId="1" fillId="0" borderId="0" xfId="14"/>
    <xf numFmtId="0" fontId="27" fillId="0" borderId="0" xfId="16" applyFill="1"/>
    <xf numFmtId="0" fontId="43" fillId="6" borderId="0" xfId="0" applyFont="1" applyFill="1" applyBorder="1" applyAlignment="1" applyProtection="1">
      <alignment horizontal="right"/>
      <protection hidden="1"/>
    </xf>
    <xf numFmtId="0" fontId="40" fillId="4" borderId="10" xfId="0" applyFont="1" applyFill="1" applyBorder="1" applyAlignment="1" applyProtection="1">
      <alignment horizontal="center"/>
      <protection hidden="1"/>
    </xf>
    <xf numFmtId="0" fontId="40" fillId="4" borderId="0" xfId="0" applyFont="1" applyFill="1" applyAlignment="1" applyProtection="1">
      <alignment horizontal="center"/>
      <protection hidden="1"/>
    </xf>
    <xf numFmtId="0" fontId="40" fillId="4" borderId="8" xfId="0" applyFont="1" applyFill="1" applyBorder="1" applyAlignment="1" applyProtection="1">
      <alignment horizontal="right" vertical="center"/>
      <protection hidden="1"/>
    </xf>
    <xf numFmtId="0" fontId="42" fillId="6" borderId="8" xfId="0" applyFont="1" applyFill="1" applyBorder="1" applyAlignment="1" applyProtection="1">
      <alignment horizontal="right"/>
      <protection hidden="1"/>
    </xf>
    <xf numFmtId="0" fontId="43" fillId="6" borderId="14" xfId="0" applyFont="1" applyFill="1" applyBorder="1" applyAlignment="1" applyProtection="1">
      <alignment horizontal="right"/>
      <protection hidden="1"/>
    </xf>
    <xf numFmtId="0" fontId="27" fillId="0" borderId="0" xfId="10"/>
    <xf numFmtId="0" fontId="40" fillId="4" borderId="6" xfId="0" applyFont="1" applyFill="1" applyBorder="1" applyAlignment="1" applyProtection="1">
      <alignment horizontal="left"/>
      <protection hidden="1"/>
    </xf>
    <xf numFmtId="0" fontId="27" fillId="0" borderId="0" xfId="13"/>
    <xf numFmtId="0" fontId="43" fillId="6" borderId="16" xfId="0" applyFont="1" applyFill="1" applyBorder="1" applyAlignment="1" applyProtection="1">
      <alignment horizontal="right"/>
      <protection hidden="1"/>
    </xf>
    <xf numFmtId="0" fontId="40" fillId="0" borderId="0" xfId="0" applyFont="1" applyFill="1" applyBorder="1" applyAlignment="1" applyProtection="1">
      <alignment horizontal="right"/>
      <protection hidden="1"/>
    </xf>
    <xf numFmtId="0" fontId="27" fillId="0" borderId="0" xfId="11"/>
    <xf numFmtId="0" fontId="43" fillId="6" borderId="8" xfId="0" applyFont="1" applyFill="1" applyBorder="1" applyAlignment="1" applyProtection="1">
      <alignment horizontal="right" vertical="center"/>
      <protection hidden="1"/>
    </xf>
    <xf numFmtId="0" fontId="40" fillId="4" borderId="0" xfId="0" applyFont="1" applyFill="1" applyAlignment="1" applyProtection="1">
      <alignment horizontal="right" wrapText="1"/>
      <protection hidden="1"/>
    </xf>
    <xf numFmtId="0" fontId="27" fillId="0" borderId="0" xfId="8" applyFont="1"/>
    <xf numFmtId="0" fontId="27" fillId="0" borderId="0" xfId="9" applyFont="1"/>
    <xf numFmtId="0" fontId="40" fillId="4" borderId="0" xfId="0" applyFont="1" applyFill="1" applyBorder="1" applyAlignment="1" applyProtection="1">
      <alignment horizontal="right" wrapText="1"/>
      <protection hidden="1"/>
    </xf>
    <xf numFmtId="0" fontId="1" fillId="0" borderId="0" xfId="12" applyProtection="1">
      <protection hidden="1"/>
    </xf>
    <xf numFmtId="0" fontId="12" fillId="6" borderId="6" xfId="0" applyFont="1" applyFill="1" applyBorder="1" applyAlignment="1" applyProtection="1">
      <protection hidden="1"/>
    </xf>
    <xf numFmtId="0" fontId="40" fillId="4" borderId="5" xfId="0" applyFont="1" applyFill="1" applyBorder="1" applyAlignment="1" applyProtection="1">
      <alignment horizontal="left"/>
      <protection hidden="1"/>
    </xf>
    <xf numFmtId="0" fontId="0" fillId="2" borderId="11" xfId="0" applyFill="1" applyBorder="1"/>
    <xf numFmtId="181" fontId="2" fillId="0" borderId="0" xfId="0" applyNumberFormat="1" applyFont="1"/>
    <xf numFmtId="181" fontId="0" fillId="0" borderId="0" xfId="0" applyNumberFormat="1"/>
    <xf numFmtId="0" fontId="1" fillId="0" borderId="0" xfId="0" quotePrefix="1" applyFont="1" applyFill="1" applyBorder="1" applyProtection="1">
      <protection hidden="1"/>
    </xf>
    <xf numFmtId="0" fontId="0" fillId="0" borderId="0" xfId="0" quotePrefix="1" applyFill="1" applyBorder="1" applyProtection="1">
      <protection hidden="1"/>
    </xf>
    <xf numFmtId="0" fontId="44" fillId="0" borderId="0" xfId="0" applyFont="1"/>
    <xf numFmtId="0" fontId="0" fillId="11" borderId="0" xfId="0" applyFill="1" applyBorder="1" applyProtection="1">
      <protection hidden="1"/>
    </xf>
    <xf numFmtId="0" fontId="0" fillId="0" borderId="37" xfId="0" applyBorder="1"/>
    <xf numFmtId="2" fontId="0" fillId="0" borderId="45" xfId="0" applyNumberFormat="1" applyBorder="1"/>
    <xf numFmtId="3" fontId="0" fillId="0" borderId="45" xfId="0" applyNumberFormat="1" applyBorder="1"/>
    <xf numFmtId="0" fontId="0" fillId="0" borderId="38" xfId="0" applyBorder="1"/>
    <xf numFmtId="2" fontId="0" fillId="0" borderId="0" xfId="0" applyNumberFormat="1" applyBorder="1"/>
    <xf numFmtId="3" fontId="0" fillId="0" borderId="0" xfId="0" applyNumberFormat="1" applyBorder="1"/>
    <xf numFmtId="2" fontId="0" fillId="0" borderId="32" xfId="0" applyNumberFormat="1" applyBorder="1"/>
    <xf numFmtId="3" fontId="0" fillId="0" borderId="32" xfId="0" applyNumberFormat="1" applyBorder="1"/>
    <xf numFmtId="180" fontId="1" fillId="0" borderId="0" xfId="0" applyNumberFormat="1" applyFont="1" applyFill="1" applyBorder="1" applyProtection="1">
      <protection hidden="1"/>
    </xf>
    <xf numFmtId="187" fontId="1" fillId="0" borderId="0" xfId="0" applyNumberFormat="1" applyFont="1" applyFill="1" applyBorder="1" applyProtection="1">
      <protection hidden="1"/>
    </xf>
    <xf numFmtId="3" fontId="0" fillId="0" borderId="0" xfId="0" applyNumberFormat="1" applyFill="1" applyProtection="1">
      <protection hidden="1"/>
    </xf>
    <xf numFmtId="3" fontId="3" fillId="4" borderId="0" xfId="0" applyNumberFormat="1" applyFont="1" applyFill="1" applyAlignment="1" applyProtection="1">
      <alignment horizontal="center"/>
      <protection hidden="1"/>
    </xf>
    <xf numFmtId="0" fontId="12" fillId="4" borderId="4" xfId="0" applyFont="1" applyFill="1" applyBorder="1" applyAlignment="1" applyProtection="1">
      <alignment horizontal="center"/>
      <protection hidden="1"/>
    </xf>
    <xf numFmtId="0" fontId="0" fillId="0" borderId="35" xfId="0" applyBorder="1"/>
    <xf numFmtId="3" fontId="0" fillId="0" borderId="0" xfId="0" applyNumberFormat="1" applyFill="1"/>
    <xf numFmtId="2" fontId="0" fillId="0" borderId="45" xfId="0" applyNumberFormat="1" applyFill="1" applyBorder="1"/>
    <xf numFmtId="3" fontId="0" fillId="0" borderId="35" xfId="0" applyNumberFormat="1" applyBorder="1"/>
    <xf numFmtId="3" fontId="0" fillId="0" borderId="36" xfId="0" applyNumberFormat="1" applyBorder="1"/>
    <xf numFmtId="3" fontId="0" fillId="0" borderId="42" xfId="0" applyNumberFormat="1" applyBorder="1"/>
    <xf numFmtId="180" fontId="0" fillId="12" borderId="0" xfId="0" applyNumberFormat="1" applyFill="1" applyAlignment="1" applyProtection="1">
      <alignment horizontal="center"/>
      <protection hidden="1"/>
    </xf>
    <xf numFmtId="1" fontId="0" fillId="12" borderId="0" xfId="0" applyNumberFormat="1" applyFill="1" applyAlignment="1" applyProtection="1">
      <alignment horizontal="center"/>
      <protection hidden="1"/>
    </xf>
    <xf numFmtId="2" fontId="0" fillId="12" borderId="0" xfId="0" applyNumberFormat="1" applyFill="1" applyAlignment="1" applyProtection="1">
      <alignment horizontal="center"/>
      <protection hidden="1"/>
    </xf>
    <xf numFmtId="180" fontId="3" fillId="4" borderId="0" xfId="0" applyNumberFormat="1" applyFont="1" applyFill="1" applyAlignment="1" applyProtection="1">
      <alignment horizontal="center"/>
      <protection locked="0"/>
    </xf>
    <xf numFmtId="180" fontId="3" fillId="4" borderId="0" xfId="0" applyNumberFormat="1" applyFont="1" applyFill="1" applyAlignment="1" applyProtection="1">
      <alignment horizontal="center"/>
      <protection hidden="1"/>
    </xf>
    <xf numFmtId="9" fontId="3" fillId="4" borderId="0" xfId="17" applyFont="1" applyFill="1" applyAlignment="1" applyProtection="1">
      <alignment horizontal="center"/>
      <protection locked="0"/>
    </xf>
    <xf numFmtId="0" fontId="3" fillId="4" borderId="10" xfId="0" applyFont="1" applyFill="1" applyBorder="1" applyProtection="1">
      <protection hidden="1"/>
    </xf>
    <xf numFmtId="179" fontId="3" fillId="4" borderId="0" xfId="0" applyNumberFormat="1" applyFont="1" applyFill="1" applyAlignment="1" applyProtection="1">
      <alignment horizontal="center"/>
      <protection locked="0"/>
    </xf>
    <xf numFmtId="0" fontId="0" fillId="7" borderId="8" xfId="0" applyFill="1" applyBorder="1" applyProtection="1">
      <protection hidden="1"/>
    </xf>
    <xf numFmtId="0" fontId="0" fillId="0" borderId="0" xfId="0" quotePrefix="1" applyFill="1" applyBorder="1" applyProtection="1">
      <protection locked="0"/>
    </xf>
    <xf numFmtId="0" fontId="0" fillId="0" borderId="14" xfId="0" applyFill="1" applyBorder="1" applyProtection="1">
      <protection hidden="1"/>
    </xf>
    <xf numFmtId="0" fontId="0" fillId="0" borderId="14" xfId="0" applyBorder="1"/>
    <xf numFmtId="176" fontId="10" fillId="4" borderId="10" xfId="0" applyNumberFormat="1" applyFont="1" applyFill="1" applyBorder="1" applyAlignment="1" applyProtection="1">
      <alignment horizontal="center"/>
      <protection hidden="1"/>
    </xf>
    <xf numFmtId="0" fontId="43" fillId="6" borderId="4" xfId="0" applyFont="1" applyFill="1" applyBorder="1" applyAlignment="1" applyProtection="1">
      <alignment horizontal="right"/>
      <protection hidden="1"/>
    </xf>
    <xf numFmtId="0" fontId="3" fillId="4" borderId="6" xfId="0" applyNumberFormat="1" applyFont="1" applyFill="1" applyBorder="1" applyProtection="1">
      <protection hidden="1"/>
    </xf>
    <xf numFmtId="0" fontId="0" fillId="7" borderId="27" xfId="0" applyFill="1" applyBorder="1" applyProtection="1">
      <protection hidden="1"/>
    </xf>
    <xf numFmtId="0" fontId="0" fillId="7" borderId="2" xfId="0" applyFill="1" applyBorder="1" applyProtection="1">
      <protection hidden="1"/>
    </xf>
    <xf numFmtId="0" fontId="0" fillId="5" borderId="27" xfId="0" applyFill="1" applyBorder="1" applyProtection="1">
      <protection hidden="1"/>
    </xf>
    <xf numFmtId="0" fontId="0" fillId="5" borderId="2" xfId="0" applyFill="1" applyBorder="1" applyProtection="1">
      <protection hidden="1"/>
    </xf>
    <xf numFmtId="0" fontId="45" fillId="0" borderId="0" xfId="0" applyFont="1"/>
    <xf numFmtId="0" fontId="0" fillId="0" borderId="8" xfId="0" applyFill="1" applyBorder="1" applyProtection="1">
      <protection locked="0"/>
    </xf>
    <xf numFmtId="2" fontId="0" fillId="0" borderId="0" xfId="0" applyNumberFormat="1" applyBorder="1" applyProtection="1">
      <protection hidden="1"/>
    </xf>
    <xf numFmtId="0" fontId="0" fillId="0" borderId="0" xfId="0" applyBorder="1" applyAlignment="1" applyProtection="1">
      <protection locked="0"/>
    </xf>
    <xf numFmtId="10" fontId="0" fillId="0" borderId="0" xfId="0" applyNumberFormat="1" applyBorder="1"/>
    <xf numFmtId="0" fontId="0" fillId="0" borderId="0" xfId="0" applyFill="1" applyBorder="1" applyProtection="1">
      <protection hidden="1"/>
    </xf>
    <xf numFmtId="0" fontId="0" fillId="0" borderId="22" xfId="0" applyFill="1" applyBorder="1" applyProtection="1">
      <protection hidden="1"/>
    </xf>
    <xf numFmtId="0" fontId="0" fillId="0" borderId="27" xfId="0" applyBorder="1"/>
    <xf numFmtId="0" fontId="3" fillId="4" borderId="4" xfId="0" applyFont="1" applyFill="1" applyBorder="1" applyAlignment="1" applyProtection="1">
      <alignment horizontal="center"/>
      <protection hidden="1"/>
    </xf>
    <xf numFmtId="0" fontId="0" fillId="0" borderId="2" xfId="0" applyBorder="1" applyAlignment="1" applyProtection="1">
      <alignment horizontal="left" indent="1"/>
      <protection hidden="1"/>
    </xf>
    <xf numFmtId="0" fontId="0" fillId="0" borderId="11" xfId="0" applyFill="1" applyBorder="1" applyProtection="1">
      <protection hidden="1"/>
    </xf>
    <xf numFmtId="0" fontId="0" fillId="0" borderId="5" xfId="0" applyFill="1" applyBorder="1" applyProtection="1">
      <protection hidden="1"/>
    </xf>
    <xf numFmtId="0" fontId="0" fillId="0" borderId="6" xfId="0" applyFill="1" applyBorder="1" applyProtection="1">
      <protection hidden="1"/>
    </xf>
    <xf numFmtId="0" fontId="0" fillId="0" borderId="6" xfId="0" applyFill="1" applyBorder="1"/>
    <xf numFmtId="0" fontId="0" fillId="0" borderId="4" xfId="0" applyFill="1" applyBorder="1" applyProtection="1">
      <protection hidden="1"/>
    </xf>
    <xf numFmtId="0" fontId="0" fillId="13" borderId="11" xfId="0" applyFill="1" applyBorder="1" applyProtection="1">
      <protection locked="0"/>
    </xf>
    <xf numFmtId="0" fontId="0" fillId="13" borderId="27" xfId="0" applyFill="1" applyBorder="1" applyProtection="1">
      <protection locked="0"/>
    </xf>
    <xf numFmtId="0" fontId="0" fillId="7" borderId="9" xfId="0" applyFill="1" applyBorder="1" applyProtection="1">
      <protection hidden="1"/>
    </xf>
    <xf numFmtId="0" fontId="0" fillId="7" borderId="8" xfId="0" applyFill="1" applyBorder="1"/>
    <xf numFmtId="0" fontId="0" fillId="7" borderId="9" xfId="0" applyFill="1" applyBorder="1"/>
    <xf numFmtId="0" fontId="0" fillId="0" borderId="2" xfId="0" applyBorder="1"/>
    <xf numFmtId="2" fontId="12" fillId="4" borderId="0" xfId="0" applyNumberFormat="1" applyFont="1" applyFill="1" applyBorder="1" applyAlignment="1" applyProtection="1">
      <protection hidden="1"/>
    </xf>
    <xf numFmtId="0" fontId="12" fillId="4" borderId="0" xfId="0" applyFont="1" applyFill="1" applyBorder="1" applyAlignment="1" applyProtection="1">
      <alignment horizontal="center" wrapText="1"/>
      <protection hidden="1"/>
    </xf>
    <xf numFmtId="0" fontId="3" fillId="4" borderId="9" xfId="0" applyFont="1" applyFill="1" applyBorder="1" applyProtection="1">
      <protection hidden="1"/>
    </xf>
    <xf numFmtId="2" fontId="12" fillId="4" borderId="60" xfId="0" applyNumberFormat="1" applyFont="1" applyFill="1" applyBorder="1" applyAlignment="1" applyProtection="1">
      <protection hidden="1"/>
    </xf>
    <xf numFmtId="0" fontId="12" fillId="4" borderId="60" xfId="0" applyFont="1" applyFill="1" applyBorder="1" applyAlignment="1" applyProtection="1">
      <alignment horizontal="center" wrapText="1"/>
      <protection hidden="1"/>
    </xf>
    <xf numFmtId="0" fontId="12" fillId="4" borderId="61" xfId="0" applyFont="1" applyFill="1" applyBorder="1" applyAlignment="1" applyProtection="1">
      <alignment horizontal="center" wrapText="1"/>
      <protection hidden="1"/>
    </xf>
    <xf numFmtId="0" fontId="3" fillId="4" borderId="62" xfId="0" applyFont="1" applyFill="1" applyBorder="1" applyProtection="1">
      <protection hidden="1"/>
    </xf>
    <xf numFmtId="0" fontId="3" fillId="4" borderId="6" xfId="0" applyNumberFormat="1" applyFont="1" applyFill="1" applyBorder="1" applyAlignment="1" applyProtection="1">
      <alignment horizontal="left" vertical="center" wrapText="1"/>
      <protection hidden="1"/>
    </xf>
    <xf numFmtId="0" fontId="43" fillId="4" borderId="62" xfId="0" applyFont="1" applyFill="1" applyBorder="1" applyAlignment="1" applyProtection="1">
      <alignment horizontal="right"/>
      <protection locked="0"/>
    </xf>
    <xf numFmtId="0" fontId="12" fillId="4" borderId="62" xfId="0" applyFont="1" applyFill="1" applyBorder="1" applyProtection="1">
      <protection hidden="1"/>
    </xf>
    <xf numFmtId="0" fontId="3" fillId="4" borderId="62" xfId="0" applyNumberFormat="1" applyFont="1" applyFill="1" applyBorder="1" applyAlignment="1" applyProtection="1">
      <alignment horizontal="center"/>
      <protection hidden="1"/>
    </xf>
    <xf numFmtId="0" fontId="3" fillId="4" borderId="62" xfId="0" applyNumberFormat="1" applyFont="1" applyFill="1" applyBorder="1" applyAlignment="1" applyProtection="1">
      <alignment vertical="center" wrapText="1"/>
      <protection hidden="1"/>
    </xf>
    <xf numFmtId="0" fontId="12" fillId="4" borderId="62" xfId="0" applyFont="1" applyFill="1" applyBorder="1"/>
    <xf numFmtId="0" fontId="3" fillId="4" borderId="62" xfId="0" applyFont="1" applyFill="1" applyBorder="1" applyAlignment="1" applyProtection="1">
      <alignment vertical="center" wrapText="1"/>
      <protection hidden="1"/>
    </xf>
    <xf numFmtId="0" fontId="12" fillId="4" borderId="62" xfId="0" applyFont="1" applyFill="1" applyBorder="1" applyAlignment="1" applyProtection="1">
      <alignment vertical="center"/>
      <protection hidden="1"/>
    </xf>
    <xf numFmtId="0" fontId="3" fillId="4" borderId="62" xfId="0" applyFont="1" applyFill="1" applyBorder="1" applyAlignment="1" applyProtection="1">
      <alignment vertical="center"/>
      <protection hidden="1"/>
    </xf>
    <xf numFmtId="0" fontId="3" fillId="4" borderId="62" xfId="0" applyFont="1" applyFill="1" applyBorder="1" applyAlignment="1" applyProtection="1">
      <alignment vertical="center"/>
      <protection locked="0"/>
    </xf>
    <xf numFmtId="2" fontId="3" fillId="4" borderId="0" xfId="0" applyNumberFormat="1" applyFont="1" applyFill="1" applyBorder="1" applyAlignment="1" applyProtection="1">
      <alignment vertical="center"/>
      <protection hidden="1"/>
    </xf>
    <xf numFmtId="178" fontId="3" fillId="4" borderId="0" xfId="0" applyNumberFormat="1" applyFont="1" applyFill="1" applyBorder="1" applyAlignment="1" applyProtection="1">
      <alignment horizontal="center" vertical="center"/>
      <protection hidden="1"/>
    </xf>
    <xf numFmtId="2" fontId="3" fillId="4" borderId="0" xfId="0" applyNumberFormat="1" applyFont="1" applyFill="1" applyBorder="1" applyAlignment="1" applyProtection="1">
      <alignment vertical="top"/>
      <protection hidden="1"/>
    </xf>
    <xf numFmtId="178" fontId="3" fillId="4" borderId="0" xfId="0" applyNumberFormat="1" applyFont="1" applyFill="1" applyBorder="1" applyAlignment="1" applyProtection="1">
      <alignment horizontal="center" vertical="top"/>
      <protection hidden="1"/>
    </xf>
    <xf numFmtId="2" fontId="3" fillId="4" borderId="60" xfId="0" applyNumberFormat="1" applyFont="1" applyFill="1" applyBorder="1" applyAlignment="1" applyProtection="1">
      <alignment vertical="center"/>
      <protection hidden="1"/>
    </xf>
    <xf numFmtId="178" fontId="3" fillId="4" borderId="60" xfId="0" applyNumberFormat="1" applyFont="1" applyFill="1" applyBorder="1" applyAlignment="1" applyProtection="1">
      <alignment horizontal="center" vertical="center"/>
      <protection hidden="1"/>
    </xf>
    <xf numFmtId="178" fontId="3" fillId="4" borderId="61" xfId="0" applyNumberFormat="1" applyFont="1" applyFill="1" applyBorder="1" applyAlignment="1" applyProtection="1">
      <alignment horizontal="center" vertical="center"/>
      <protection hidden="1"/>
    </xf>
    <xf numFmtId="0" fontId="29" fillId="0" borderId="0" xfId="0" applyFont="1" applyBorder="1" applyAlignment="1">
      <alignment horizontal="center"/>
    </xf>
    <xf numFmtId="0" fontId="29" fillId="0" borderId="32" xfId="0" applyFont="1" applyBorder="1" applyAlignment="1">
      <alignment horizontal="center"/>
    </xf>
    <xf numFmtId="0" fontId="25" fillId="8" borderId="0" xfId="0" applyFont="1" applyFill="1" applyBorder="1" applyAlignment="1" applyProtection="1">
      <alignment horizontal="center" vertical="center"/>
      <protection hidden="1"/>
    </xf>
    <xf numFmtId="0" fontId="0" fillId="5" borderId="0" xfId="0" applyFill="1" applyBorder="1" applyAlignment="1" applyProtection="1">
      <alignment horizontal="center"/>
      <protection hidden="1"/>
    </xf>
    <xf numFmtId="0" fontId="0" fillId="5" borderId="6" xfId="0" applyFill="1" applyBorder="1" applyAlignment="1" applyProtection="1">
      <alignment horizontal="center"/>
      <protection hidden="1"/>
    </xf>
    <xf numFmtId="0" fontId="0" fillId="4" borderId="4" xfId="0" applyFill="1" applyBorder="1" applyAlignment="1" applyProtection="1">
      <alignment horizontal="center"/>
      <protection hidden="1"/>
    </xf>
    <xf numFmtId="0" fontId="0" fillId="4" borderId="14" xfId="0" applyFill="1" applyBorder="1" applyAlignment="1" applyProtection="1">
      <alignment horizontal="center"/>
      <protection hidden="1"/>
    </xf>
    <xf numFmtId="0" fontId="0" fillId="4" borderId="10" xfId="0" applyFill="1" applyBorder="1" applyAlignment="1" applyProtection="1">
      <alignment horizontal="center"/>
      <protection hidden="1"/>
    </xf>
    <xf numFmtId="0" fontId="0" fillId="2" borderId="27" xfId="0" applyFill="1" applyBorder="1" applyAlignment="1" applyProtection="1">
      <alignment horizontal="center"/>
      <protection locked="0"/>
    </xf>
    <xf numFmtId="0" fontId="0" fillId="2" borderId="14" xfId="0" applyFill="1" applyBorder="1" applyAlignment="1" applyProtection="1">
      <alignment horizontal="center"/>
      <protection locked="0"/>
    </xf>
    <xf numFmtId="0" fontId="0" fillId="2" borderId="2" xfId="0" applyFill="1" applyBorder="1" applyAlignment="1" applyProtection="1">
      <alignment horizontal="center"/>
      <protection locked="0"/>
    </xf>
    <xf numFmtId="0" fontId="36" fillId="4" borderId="8" xfId="0" applyFont="1" applyFill="1" applyBorder="1" applyAlignment="1" applyProtection="1">
      <alignment horizontal="center" vertical="top" wrapText="1"/>
      <protection hidden="1"/>
    </xf>
    <xf numFmtId="0" fontId="36" fillId="4" borderId="0" xfId="0" applyFont="1" applyFill="1" applyBorder="1" applyAlignment="1" applyProtection="1">
      <alignment horizontal="center" vertical="top" wrapText="1"/>
      <protection hidden="1"/>
    </xf>
    <xf numFmtId="0" fontId="36" fillId="4" borderId="6" xfId="0" applyFont="1" applyFill="1" applyBorder="1" applyAlignment="1" applyProtection="1">
      <alignment horizontal="center" vertical="top" wrapText="1"/>
      <protection hidden="1"/>
    </xf>
    <xf numFmtId="0" fontId="0" fillId="4" borderId="0" xfId="0" applyFill="1" applyBorder="1" applyAlignment="1" applyProtection="1">
      <alignment horizontal="center"/>
      <protection hidden="1"/>
    </xf>
    <xf numFmtId="0" fontId="35" fillId="4" borderId="0" xfId="0" applyFont="1" applyFill="1" applyBorder="1" applyAlignment="1" applyProtection="1">
      <alignment horizontal="center"/>
      <protection hidden="1"/>
    </xf>
    <xf numFmtId="0" fontId="36" fillId="4" borderId="8" xfId="0" applyFont="1" applyFill="1" applyBorder="1" applyAlignment="1" applyProtection="1">
      <alignment horizontal="center" wrapText="1"/>
      <protection hidden="1"/>
    </xf>
    <xf numFmtId="0" fontId="36" fillId="4" borderId="0" xfId="0" applyFont="1" applyFill="1" applyBorder="1" applyAlignment="1" applyProtection="1">
      <alignment horizontal="center" wrapText="1"/>
      <protection hidden="1"/>
    </xf>
    <xf numFmtId="0" fontId="36" fillId="4" borderId="6" xfId="0" applyFont="1" applyFill="1" applyBorder="1" applyAlignment="1" applyProtection="1">
      <alignment horizontal="center" wrapText="1"/>
      <protection hidden="1"/>
    </xf>
    <xf numFmtId="0" fontId="1" fillId="7" borderId="14" xfId="0" applyFont="1" applyFill="1" applyBorder="1" applyAlignment="1" applyProtection="1">
      <alignment horizontal="center"/>
      <protection locked="0"/>
    </xf>
    <xf numFmtId="0" fontId="1" fillId="7" borderId="2" xfId="0" applyFont="1" applyFill="1" applyBorder="1" applyAlignment="1" applyProtection="1">
      <alignment horizontal="center"/>
      <protection locked="0"/>
    </xf>
    <xf numFmtId="0" fontId="0" fillId="0" borderId="10" xfId="0" applyFill="1" applyBorder="1" applyAlignment="1">
      <alignment horizontal="center"/>
    </xf>
    <xf numFmtId="0" fontId="4" fillId="4" borderId="8" xfId="0" applyFont="1" applyFill="1" applyBorder="1" applyAlignment="1" applyProtection="1">
      <alignment horizontal="right" wrapText="1"/>
      <protection hidden="1"/>
    </xf>
    <xf numFmtId="0" fontId="0" fillId="0" borderId="0" xfId="0" applyBorder="1" applyAlignment="1" applyProtection="1">
      <alignment wrapText="1"/>
      <protection hidden="1"/>
    </xf>
    <xf numFmtId="0" fontId="2" fillId="0" borderId="63" xfId="0" applyFont="1" applyBorder="1" applyAlignment="1">
      <alignment horizontal="left" wrapText="1"/>
    </xf>
    <xf numFmtId="0" fontId="2" fillId="0" borderId="64" xfId="0" applyFont="1" applyBorder="1" applyAlignment="1">
      <alignment horizontal="left" wrapText="1"/>
    </xf>
    <xf numFmtId="0" fontId="1" fillId="7" borderId="27" xfId="0" applyFont="1" applyFill="1" applyBorder="1" applyAlignment="1" applyProtection="1">
      <alignment horizontal="center"/>
      <protection locked="0"/>
    </xf>
    <xf numFmtId="0" fontId="0" fillId="7" borderId="27" xfId="0" applyFill="1" applyBorder="1" applyAlignment="1" applyProtection="1">
      <alignment horizontal="center"/>
      <protection locked="0"/>
    </xf>
    <xf numFmtId="0" fontId="0" fillId="7" borderId="14" xfId="0" applyFill="1" applyBorder="1" applyAlignment="1" applyProtection="1">
      <alignment horizontal="center"/>
      <protection locked="0"/>
    </xf>
    <xf numFmtId="0" fontId="0" fillId="7" borderId="2" xfId="0" applyFill="1" applyBorder="1" applyAlignment="1" applyProtection="1">
      <alignment horizontal="center"/>
      <protection locked="0"/>
    </xf>
    <xf numFmtId="0" fontId="5" fillId="5" borderId="0" xfId="0" applyFont="1" applyFill="1" applyBorder="1" applyAlignment="1" applyProtection="1">
      <alignment horizontal="center"/>
      <protection hidden="1"/>
    </xf>
    <xf numFmtId="0" fontId="0" fillId="0" borderId="0" xfId="0" applyBorder="1" applyAlignment="1" applyProtection="1">
      <alignment horizontal="center"/>
      <protection hidden="1"/>
    </xf>
    <xf numFmtId="0" fontId="1" fillId="4" borderId="14" xfId="0" applyFont="1" applyFill="1" applyBorder="1" applyAlignment="1" applyProtection="1">
      <alignment horizontal="center"/>
      <protection locked="0"/>
    </xf>
    <xf numFmtId="0" fontId="0" fillId="0" borderId="14" xfId="0" applyBorder="1" applyAlignment="1" applyProtection="1">
      <protection locked="0"/>
    </xf>
    <xf numFmtId="0" fontId="23" fillId="4" borderId="4" xfId="0" applyFont="1" applyFill="1" applyBorder="1" applyAlignment="1" applyProtection="1">
      <alignment horizontal="center"/>
      <protection hidden="1"/>
    </xf>
    <xf numFmtId="0" fontId="24" fillId="0" borderId="4" xfId="0" applyFont="1" applyBorder="1" applyAlignment="1" applyProtection="1">
      <alignment horizontal="center"/>
      <protection hidden="1"/>
    </xf>
    <xf numFmtId="0" fontId="23" fillId="4" borderId="0" xfId="0" applyFont="1" applyFill="1" applyBorder="1" applyAlignment="1" applyProtection="1">
      <alignment horizontal="center" vertical="center"/>
      <protection hidden="1"/>
    </xf>
    <xf numFmtId="0" fontId="26" fillId="0" borderId="0" xfId="0" applyFont="1" applyBorder="1" applyAlignment="1" applyProtection="1">
      <alignment horizontal="center"/>
      <protection hidden="1"/>
    </xf>
    <xf numFmtId="0" fontId="23" fillId="5" borderId="0" xfId="0" applyFont="1" applyFill="1" applyBorder="1" applyAlignment="1" applyProtection="1">
      <alignment horizontal="center" vertical="center"/>
      <protection hidden="1"/>
    </xf>
    <xf numFmtId="0" fontId="26" fillId="5" borderId="0" xfId="0" applyFont="1" applyFill="1" applyBorder="1" applyAlignment="1" applyProtection="1">
      <alignment horizontal="center"/>
      <protection hidden="1"/>
    </xf>
    <xf numFmtId="0" fontId="0" fillId="4" borderId="8" xfId="0" applyFill="1" applyBorder="1" applyAlignment="1" applyProtection="1">
      <protection hidden="1"/>
    </xf>
    <xf numFmtId="0" fontId="0" fillId="4" borderId="0" xfId="0" applyFill="1" applyBorder="1" applyAlignment="1" applyProtection="1">
      <protection hidden="1"/>
    </xf>
    <xf numFmtId="0" fontId="5" fillId="4" borderId="10" xfId="0" applyFont="1" applyFill="1" applyBorder="1" applyAlignment="1" applyProtection="1">
      <alignment horizontal="left"/>
      <protection hidden="1"/>
    </xf>
    <xf numFmtId="0" fontId="0" fillId="0" borderId="10" xfId="0" applyBorder="1" applyAlignment="1">
      <alignment horizontal="left"/>
    </xf>
    <xf numFmtId="0" fontId="0" fillId="0" borderId="10" xfId="0" applyBorder="1" applyAlignment="1"/>
    <xf numFmtId="0" fontId="2" fillId="4" borderId="8" xfId="0" applyFont="1" applyFill="1" applyBorder="1" applyAlignment="1" applyProtection="1">
      <protection hidden="1"/>
    </xf>
    <xf numFmtId="0" fontId="2" fillId="4" borderId="0" xfId="0" applyFont="1" applyFill="1" applyBorder="1" applyAlignment="1" applyProtection="1">
      <protection hidden="1"/>
    </xf>
    <xf numFmtId="0" fontId="2" fillId="4" borderId="28" xfId="0" applyFont="1" applyFill="1" applyBorder="1" applyAlignment="1" applyProtection="1">
      <protection hidden="1"/>
    </xf>
    <xf numFmtId="0" fontId="2" fillId="4" borderId="15" xfId="0" applyFont="1" applyFill="1" applyBorder="1" applyAlignment="1" applyProtection="1">
      <protection hidden="1"/>
    </xf>
    <xf numFmtId="0" fontId="12" fillId="6" borderId="8" xfId="0" applyFont="1" applyFill="1" applyBorder="1" applyAlignment="1" applyProtection="1">
      <protection hidden="1"/>
    </xf>
    <xf numFmtId="0" fontId="12" fillId="6" borderId="0" xfId="0" applyFont="1" applyFill="1" applyBorder="1" applyAlignment="1" applyProtection="1">
      <protection hidden="1"/>
    </xf>
    <xf numFmtId="0" fontId="2" fillId="4" borderId="6" xfId="0" applyFont="1" applyFill="1" applyBorder="1" applyAlignment="1" applyProtection="1">
      <protection hidden="1"/>
    </xf>
    <xf numFmtId="0" fontId="0" fillId="0" borderId="15" xfId="0" applyBorder="1" applyAlignment="1"/>
    <xf numFmtId="0" fontId="5" fillId="4" borderId="0" xfId="0" applyFont="1" applyFill="1" applyAlignment="1" applyProtection="1">
      <alignment horizontal="center"/>
      <protection hidden="1"/>
    </xf>
    <xf numFmtId="0" fontId="3" fillId="4" borderId="0" xfId="0" applyFont="1" applyFill="1" applyAlignment="1" applyProtection="1">
      <alignment wrapText="1"/>
      <protection hidden="1"/>
    </xf>
    <xf numFmtId="0" fontId="3" fillId="0" borderId="0" xfId="0" applyFont="1" applyAlignment="1"/>
    <xf numFmtId="0" fontId="0" fillId="0" borderId="15" xfId="0" applyBorder="1" applyAlignment="1" applyProtection="1">
      <protection hidden="1"/>
    </xf>
    <xf numFmtId="0" fontId="0" fillId="0" borderId="13" xfId="0" applyBorder="1" applyAlignment="1" applyProtection="1">
      <protection hidden="1"/>
    </xf>
    <xf numFmtId="0" fontId="0" fillId="0" borderId="15" xfId="0" applyBorder="1" applyAlignment="1" applyProtection="1">
      <alignment horizontal="center"/>
      <protection hidden="1"/>
    </xf>
    <xf numFmtId="0" fontId="0" fillId="0" borderId="13" xfId="0" applyBorder="1" applyAlignment="1" applyProtection="1">
      <alignment horizontal="center"/>
      <protection hidden="1"/>
    </xf>
    <xf numFmtId="0" fontId="12" fillId="4" borderId="8" xfId="0" applyFont="1" applyFill="1" applyBorder="1" applyAlignment="1" applyProtection="1">
      <protection hidden="1"/>
    </xf>
    <xf numFmtId="0" fontId="12" fillId="4" borderId="0" xfId="0" applyFont="1" applyFill="1" applyBorder="1" applyAlignment="1" applyProtection="1">
      <protection hidden="1"/>
    </xf>
    <xf numFmtId="0" fontId="2" fillId="4" borderId="16" xfId="0" applyFont="1" applyFill="1" applyBorder="1" applyAlignment="1" applyProtection="1">
      <protection hidden="1"/>
    </xf>
    <xf numFmtId="0" fontId="2" fillId="4" borderId="4" xfId="0" applyFont="1" applyFill="1" applyBorder="1" applyAlignment="1" applyProtection="1">
      <protection hidden="1"/>
    </xf>
    <xf numFmtId="0" fontId="5" fillId="4" borderId="0" xfId="0" applyFont="1" applyFill="1" applyAlignment="1" applyProtection="1">
      <alignment horizontal="left"/>
      <protection hidden="1"/>
    </xf>
    <xf numFmtId="0" fontId="0" fillId="0" borderId="0" xfId="0" applyAlignment="1">
      <alignment horizontal="left"/>
    </xf>
    <xf numFmtId="0" fontId="0" fillId="0" borderId="0" xfId="0" applyAlignment="1"/>
    <xf numFmtId="0" fontId="0" fillId="4" borderId="0" xfId="0" applyFill="1" applyAlignment="1">
      <alignment horizontal="left"/>
    </xf>
    <xf numFmtId="0" fontId="11" fillId="4" borderId="0" xfId="0" applyFont="1" applyFill="1" applyAlignment="1" applyProtection="1">
      <alignment horizontal="center" vertical="center"/>
      <protection hidden="1"/>
    </xf>
    <xf numFmtId="0" fontId="11" fillId="4" borderId="0" xfId="0" applyFont="1" applyFill="1" applyAlignment="1" applyProtection="1">
      <alignment vertical="center"/>
      <protection hidden="1"/>
    </xf>
    <xf numFmtId="0" fontId="0" fillId="2" borderId="27" xfId="0" applyFill="1" applyBorder="1" applyAlignment="1" applyProtection="1">
      <alignment horizontal="center" wrapText="1"/>
      <protection locked="0"/>
    </xf>
    <xf numFmtId="0" fontId="0" fillId="2" borderId="14" xfId="0" applyFill="1" applyBorder="1" applyAlignment="1" applyProtection="1">
      <alignment horizontal="center" wrapText="1"/>
      <protection locked="0"/>
    </xf>
    <xf numFmtId="0" fontId="0" fillId="2" borderId="2" xfId="0" applyFill="1" applyBorder="1" applyAlignment="1" applyProtection="1">
      <alignment horizontal="center" wrapText="1"/>
      <protection locked="0"/>
    </xf>
    <xf numFmtId="0" fontId="3" fillId="4" borderId="62" xfId="0" applyFont="1" applyFill="1" applyBorder="1" applyAlignment="1" applyProtection="1">
      <alignment horizontal="center" vertical="center"/>
      <protection locked="0"/>
    </xf>
    <xf numFmtId="1" fontId="3" fillId="4" borderId="62" xfId="0" applyNumberFormat="1" applyFont="1" applyFill="1" applyBorder="1" applyAlignment="1" applyProtection="1">
      <alignment horizontal="center" vertical="center"/>
      <protection locked="0"/>
    </xf>
    <xf numFmtId="3" fontId="3" fillId="4" borderId="62" xfId="0" applyNumberFormat="1" applyFont="1" applyFill="1" applyBorder="1" applyAlignment="1" applyProtection="1">
      <alignment horizontal="center" vertical="center"/>
      <protection locked="0"/>
    </xf>
    <xf numFmtId="10" fontId="3" fillId="4" borderId="62" xfId="0" applyNumberFormat="1" applyFont="1" applyFill="1" applyBorder="1" applyAlignment="1" applyProtection="1">
      <alignment horizontal="center" vertical="center"/>
      <protection locked="0"/>
    </xf>
    <xf numFmtId="1" fontId="3" fillId="4" borderId="62" xfId="0" applyNumberFormat="1" applyFont="1" applyFill="1" applyBorder="1" applyAlignment="1" applyProtection="1">
      <alignment horizontal="center" vertical="center" wrapText="1"/>
      <protection locked="0"/>
    </xf>
    <xf numFmtId="0" fontId="12" fillId="6" borderId="16" xfId="0" applyFont="1" applyFill="1" applyBorder="1" applyAlignment="1" applyProtection="1">
      <protection hidden="1"/>
    </xf>
    <xf numFmtId="0" fontId="12" fillId="6" borderId="4" xfId="0" applyFont="1" applyFill="1" applyBorder="1" applyAlignment="1" applyProtection="1">
      <protection hidden="1"/>
    </xf>
    <xf numFmtId="0" fontId="3" fillId="6" borderId="4" xfId="0" applyFont="1" applyFill="1" applyBorder="1" applyAlignment="1" applyProtection="1">
      <alignment horizontal="left"/>
      <protection hidden="1"/>
    </xf>
    <xf numFmtId="0" fontId="3" fillId="6" borderId="5" xfId="0" applyFont="1" applyFill="1" applyBorder="1" applyAlignment="1" applyProtection="1">
      <alignment horizontal="left"/>
      <protection hidden="1"/>
    </xf>
    <xf numFmtId="0" fontId="2" fillId="4" borderId="0" xfId="0" applyFont="1" applyFill="1" applyAlignment="1" applyProtection="1">
      <alignment horizontal="center" wrapText="1"/>
      <protection hidden="1"/>
    </xf>
    <xf numFmtId="0" fontId="2" fillId="4" borderId="10" xfId="0" applyFont="1" applyFill="1" applyBorder="1" applyAlignment="1" applyProtection="1">
      <alignment horizontal="center" wrapText="1"/>
      <protection hidden="1"/>
    </xf>
    <xf numFmtId="0" fontId="5" fillId="4" borderId="0" xfId="0" applyFont="1" applyFill="1" applyBorder="1" applyAlignment="1" applyProtection="1">
      <alignment horizontal="right"/>
      <protection hidden="1"/>
    </xf>
    <xf numFmtId="0" fontId="0" fillId="0" borderId="6" xfId="0" applyBorder="1" applyAlignment="1"/>
    <xf numFmtId="0" fontId="12" fillId="6" borderId="27" xfId="0" applyFont="1" applyFill="1" applyBorder="1" applyAlignment="1" applyProtection="1">
      <protection hidden="1"/>
    </xf>
    <xf numFmtId="0" fontId="12" fillId="6" borderId="14" xfId="0" applyFont="1" applyFill="1" applyBorder="1" applyAlignment="1" applyProtection="1">
      <protection hidden="1"/>
    </xf>
    <xf numFmtId="0" fontId="3" fillId="6" borderId="14" xfId="0" applyFont="1" applyFill="1" applyBorder="1" applyAlignment="1" applyProtection="1">
      <alignment horizontal="left"/>
      <protection hidden="1"/>
    </xf>
    <xf numFmtId="0" fontId="3" fillId="6" borderId="2" xfId="0" applyFont="1" applyFill="1" applyBorder="1" applyAlignment="1" applyProtection="1">
      <alignment horizontal="left"/>
      <protection hidden="1"/>
    </xf>
    <xf numFmtId="178" fontId="0" fillId="7" borderId="27" xfId="0" applyNumberFormat="1" applyFill="1" applyBorder="1" applyAlignment="1" applyProtection="1">
      <alignment horizontal="center"/>
      <protection locked="0"/>
    </xf>
    <xf numFmtId="0" fontId="2" fillId="4" borderId="0" xfId="0" applyFont="1" applyFill="1" applyAlignment="1" applyProtection="1">
      <protection hidden="1"/>
    </xf>
    <xf numFmtId="0" fontId="12" fillId="4" borderId="0" xfId="0" applyFont="1" applyFill="1" applyAlignment="1" applyProtection="1">
      <alignment horizontal="center" wrapText="1"/>
      <protection hidden="1"/>
    </xf>
    <xf numFmtId="0" fontId="12" fillId="4" borderId="10" xfId="0" applyFont="1" applyFill="1" applyBorder="1" applyAlignment="1" applyProtection="1">
      <alignment horizontal="center" wrapText="1"/>
      <protection hidden="1"/>
    </xf>
    <xf numFmtId="0" fontId="11" fillId="4" borderId="10" xfId="0" applyFont="1" applyFill="1" applyBorder="1" applyAlignment="1" applyProtection="1">
      <alignment vertical="center"/>
      <protection hidden="1"/>
    </xf>
    <xf numFmtId="0" fontId="2" fillId="4" borderId="0" xfId="0" applyFont="1" applyFill="1" applyBorder="1" applyAlignment="1" applyProtection="1">
      <alignment horizontal="center" wrapText="1"/>
      <protection hidden="1"/>
    </xf>
    <xf numFmtId="0" fontId="2" fillId="12" borderId="46" xfId="0" applyFont="1" applyFill="1" applyBorder="1" applyAlignment="1" applyProtection="1">
      <alignment horizontal="center"/>
      <protection hidden="1"/>
    </xf>
    <xf numFmtId="0" fontId="2" fillId="12" borderId="65" xfId="0" applyFont="1" applyFill="1" applyBorder="1" applyAlignment="1" applyProtection="1">
      <alignment horizontal="center"/>
      <protection hidden="1"/>
    </xf>
    <xf numFmtId="0" fontId="2" fillId="12" borderId="0" xfId="0" applyFont="1" applyFill="1" applyBorder="1" applyAlignment="1" applyProtection="1">
      <alignment horizontal="center"/>
      <protection hidden="1"/>
    </xf>
    <xf numFmtId="0" fontId="2" fillId="4" borderId="0" xfId="0" applyNumberFormat="1" applyFont="1" applyFill="1" applyBorder="1" applyAlignment="1" applyProtection="1">
      <alignment horizontal="center" wrapText="1"/>
      <protection hidden="1"/>
    </xf>
    <xf numFmtId="0" fontId="2" fillId="4" borderId="10"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protection locked="0"/>
    </xf>
    <xf numFmtId="0" fontId="2" fillId="4" borderId="4" xfId="0" applyFont="1" applyFill="1" applyBorder="1" applyAlignment="1" applyProtection="1">
      <alignment horizontal="center"/>
      <protection hidden="1"/>
    </xf>
    <xf numFmtId="0" fontId="0" fillId="0" borderId="4" xfId="0" applyBorder="1" applyAlignment="1" applyProtection="1">
      <alignment horizontal="center"/>
      <protection hidden="1"/>
    </xf>
    <xf numFmtId="2" fontId="0" fillId="2" borderId="27" xfId="0" applyNumberFormat="1" applyFill="1" applyBorder="1" applyAlignment="1" applyProtection="1">
      <alignment horizontal="center"/>
      <protection locked="0"/>
    </xf>
    <xf numFmtId="2" fontId="0" fillId="2" borderId="14" xfId="0" applyNumberFormat="1" applyFill="1" applyBorder="1" applyAlignment="1" applyProtection="1">
      <alignment horizontal="center"/>
      <protection locked="0"/>
    </xf>
    <xf numFmtId="2" fontId="0" fillId="2" borderId="2" xfId="0" applyNumberFormat="1" applyFill="1" applyBorder="1" applyAlignment="1" applyProtection="1">
      <alignment horizontal="center"/>
      <protection locked="0"/>
    </xf>
    <xf numFmtId="2" fontId="0" fillId="7" borderId="27" xfId="0" applyNumberFormat="1" applyFill="1" applyBorder="1" applyAlignment="1" applyProtection="1">
      <alignment horizontal="center"/>
      <protection locked="0"/>
    </xf>
    <xf numFmtId="2" fontId="0" fillId="7" borderId="14" xfId="0" applyNumberFormat="1" applyFill="1" applyBorder="1" applyAlignment="1" applyProtection="1">
      <alignment horizontal="center"/>
      <protection locked="0"/>
    </xf>
    <xf numFmtId="2" fontId="0" fillId="7" borderId="2" xfId="0" applyNumberFormat="1" applyFill="1" applyBorder="1" applyAlignment="1" applyProtection="1">
      <alignment horizontal="center"/>
      <protection locked="0"/>
    </xf>
    <xf numFmtId="0" fontId="0" fillId="0" borderId="14" xfId="0" applyBorder="1" applyAlignment="1" applyProtection="1">
      <alignment horizontal="center"/>
      <protection locked="0"/>
    </xf>
    <xf numFmtId="0" fontId="0" fillId="0" borderId="2" xfId="0" applyBorder="1" applyAlignment="1" applyProtection="1">
      <alignment horizontal="center"/>
      <protection locked="0"/>
    </xf>
    <xf numFmtId="0" fontId="5" fillId="4" borderId="0" xfId="0" applyFont="1" applyFill="1" applyBorder="1" applyAlignment="1" applyProtection="1">
      <alignment horizontal="center"/>
      <protection hidden="1"/>
    </xf>
    <xf numFmtId="0" fontId="2" fillId="4" borderId="0" xfId="0" applyFont="1" applyFill="1" applyBorder="1" applyAlignment="1" applyProtection="1">
      <alignment horizontal="center"/>
      <protection hidden="1"/>
    </xf>
    <xf numFmtId="0" fontId="16" fillId="2" borderId="11" xfId="0" applyFont="1" applyFill="1" applyBorder="1" applyAlignment="1" applyProtection="1">
      <alignment horizontal="center"/>
      <protection locked="0"/>
    </xf>
    <xf numFmtId="0" fontId="2" fillId="4" borderId="0" xfId="0" applyFont="1" applyFill="1" applyAlignment="1" applyProtection="1">
      <alignment horizontal="center" vertical="center" textRotation="90"/>
      <protection hidden="1"/>
    </xf>
    <xf numFmtId="0" fontId="2" fillId="4" borderId="0" xfId="0" applyFont="1" applyFill="1" applyAlignment="1" applyProtection="1">
      <alignment horizontal="center"/>
      <protection hidden="1"/>
    </xf>
    <xf numFmtId="0" fontId="2" fillId="4" borderId="6" xfId="0" applyFont="1" applyFill="1" applyBorder="1" applyAlignment="1" applyProtection="1">
      <alignment horizontal="center"/>
      <protection hidden="1"/>
    </xf>
    <xf numFmtId="0" fontId="0" fillId="7" borderId="27" xfId="0" applyFill="1" applyBorder="1" applyAlignment="1" applyProtection="1">
      <protection locked="0"/>
    </xf>
    <xf numFmtId="0" fontId="0" fillId="7" borderId="14" xfId="0" applyFill="1" applyBorder="1" applyAlignment="1" applyProtection="1">
      <protection locked="0"/>
    </xf>
    <xf numFmtId="0" fontId="0" fillId="7" borderId="2" xfId="0" applyFill="1" applyBorder="1" applyAlignment="1" applyProtection="1">
      <protection locked="0"/>
    </xf>
    <xf numFmtId="0" fontId="0" fillId="0" borderId="0" xfId="0" applyAlignment="1">
      <alignment horizontal="right"/>
    </xf>
    <xf numFmtId="0" fontId="0" fillId="0" borderId="6" xfId="0" applyBorder="1" applyAlignment="1">
      <alignment horizontal="right"/>
    </xf>
    <xf numFmtId="0" fontId="5" fillId="4" borderId="0" xfId="0" applyFont="1" applyFill="1" applyBorder="1" applyAlignment="1" applyProtection="1">
      <alignment horizontal="right" indent="1"/>
      <protection hidden="1"/>
    </xf>
    <xf numFmtId="0" fontId="5" fillId="4" borderId="6" xfId="0" applyFont="1" applyFill="1" applyBorder="1" applyAlignment="1" applyProtection="1">
      <alignment horizontal="right" indent="1"/>
      <protection hidden="1"/>
    </xf>
    <xf numFmtId="1" fontId="3" fillId="4" borderId="62" xfId="0" applyNumberFormat="1" applyFont="1" applyFill="1" applyBorder="1" applyAlignment="1" applyProtection="1">
      <alignment horizontal="center" vertical="center" wrapText="1"/>
      <protection hidden="1"/>
    </xf>
    <xf numFmtId="0" fontId="5" fillId="4" borderId="6" xfId="0" applyFont="1" applyFill="1" applyBorder="1" applyAlignment="1" applyProtection="1">
      <alignment horizontal="right"/>
      <protection hidden="1"/>
    </xf>
    <xf numFmtId="0" fontId="5" fillId="4" borderId="8" xfId="0" applyFont="1" applyFill="1" applyBorder="1" applyAlignment="1" applyProtection="1">
      <alignment horizontal="right"/>
      <protection hidden="1"/>
    </xf>
    <xf numFmtId="0" fontId="0" fillId="0" borderId="10" xfId="0" applyBorder="1" applyAlignment="1" applyProtection="1">
      <protection hidden="1"/>
    </xf>
    <xf numFmtId="0" fontId="0" fillId="4" borderId="0" xfId="0" applyFill="1" applyAlignment="1" applyProtection="1">
      <alignment horizontal="left" vertical="center"/>
      <protection hidden="1"/>
    </xf>
    <xf numFmtId="0" fontId="0" fillId="4" borderId="0" xfId="0" applyFill="1" applyAlignment="1" applyProtection="1">
      <alignment horizontal="center" vertical="center"/>
      <protection hidden="1"/>
    </xf>
    <xf numFmtId="0" fontId="3" fillId="4" borderId="21" xfId="0" applyFont="1" applyFill="1" applyBorder="1" applyAlignment="1" applyProtection="1">
      <alignment horizontal="right" vertical="top" wrapText="1" indent="1"/>
      <protection hidden="1"/>
    </xf>
    <xf numFmtId="0" fontId="34" fillId="4" borderId="21" xfId="0" applyFont="1" applyFill="1" applyBorder="1" applyAlignment="1" applyProtection="1">
      <alignment horizontal="right" vertical="top" wrapText="1" indent="1"/>
      <protection hidden="1"/>
    </xf>
    <xf numFmtId="0" fontId="2" fillId="4" borderId="9" xfId="0" applyFont="1" applyFill="1" applyBorder="1" applyAlignment="1" applyProtection="1">
      <protection hidden="1"/>
    </xf>
    <xf numFmtId="0" fontId="2" fillId="0" borderId="6" xfId="0" applyFont="1" applyBorder="1" applyAlignment="1" applyProtection="1">
      <alignment horizontal="center"/>
      <protection hidden="1"/>
    </xf>
    <xf numFmtId="0" fontId="12" fillId="6" borderId="0" xfId="0" applyFont="1" applyFill="1" applyAlignment="1" applyProtection="1">
      <alignment horizontal="center"/>
      <protection hidden="1"/>
    </xf>
    <xf numFmtId="0" fontId="0" fillId="0" borderId="0" xfId="0" applyAlignment="1" applyProtection="1">
      <alignment horizontal="center"/>
      <protection hidden="1"/>
    </xf>
    <xf numFmtId="0" fontId="0" fillId="0" borderId="6" xfId="0" applyBorder="1" applyAlignment="1" applyProtection="1">
      <alignment horizontal="center"/>
      <protection hidden="1"/>
    </xf>
    <xf numFmtId="0" fontId="23" fillId="4" borderId="0" xfId="0" applyFont="1" applyFill="1" applyBorder="1" applyAlignment="1" applyProtection="1">
      <alignment horizontal="center"/>
      <protection hidden="1"/>
    </xf>
    <xf numFmtId="0" fontId="0" fillId="4" borderId="0" xfId="0" applyFill="1" applyAlignment="1" applyProtection="1">
      <alignment horizontal="center"/>
      <protection hidden="1"/>
    </xf>
    <xf numFmtId="0" fontId="0" fillId="9" borderId="11" xfId="0" applyFill="1" applyBorder="1" applyAlignment="1" applyProtection="1">
      <alignment horizontal="center"/>
      <protection locked="0"/>
    </xf>
    <xf numFmtId="3" fontId="0" fillId="7" borderId="27" xfId="0" applyNumberFormat="1" applyFill="1" applyBorder="1" applyAlignment="1" applyProtection="1">
      <alignment horizontal="center"/>
      <protection locked="0"/>
    </xf>
    <xf numFmtId="0" fontId="15" fillId="4" borderId="0" xfId="0" applyFont="1" applyFill="1" applyAlignment="1" applyProtection="1">
      <alignment horizontal="center"/>
      <protection hidden="1"/>
    </xf>
    <xf numFmtId="0" fontId="15" fillId="4" borderId="10" xfId="0" applyFont="1" applyFill="1" applyBorder="1" applyAlignment="1" applyProtection="1">
      <alignment horizontal="center"/>
      <protection hidden="1"/>
    </xf>
    <xf numFmtId="0" fontId="2" fillId="4" borderId="10" xfId="0" applyFont="1" applyFill="1" applyBorder="1" applyAlignment="1" applyProtection="1">
      <protection hidden="1"/>
    </xf>
    <xf numFmtId="0" fontId="0" fillId="0" borderId="37" xfId="0" applyBorder="1" applyAlignment="1">
      <alignment horizontal="center"/>
    </xf>
    <xf numFmtId="0" fontId="0" fillId="0" borderId="35" xfId="0" applyBorder="1" applyAlignment="1">
      <alignment horizontal="center"/>
    </xf>
    <xf numFmtId="0" fontId="0" fillId="4" borderId="6" xfId="0" applyFill="1" applyBorder="1" applyAlignment="1" applyProtection="1">
      <alignment horizontal="center"/>
      <protection hidden="1"/>
    </xf>
    <xf numFmtId="179" fontId="0" fillId="2" borderId="27" xfId="17" applyNumberFormat="1" applyFont="1" applyFill="1" applyBorder="1" applyAlignment="1" applyProtection="1">
      <alignment horizontal="center"/>
      <protection locked="0"/>
    </xf>
    <xf numFmtId="179" fontId="0" fillId="2" borderId="2" xfId="17" applyNumberFormat="1" applyFont="1" applyFill="1" applyBorder="1" applyAlignment="1" applyProtection="1">
      <alignment horizontal="center"/>
      <protection locked="0"/>
    </xf>
    <xf numFmtId="0" fontId="2" fillId="4" borderId="10" xfId="0" applyFont="1" applyFill="1" applyBorder="1" applyAlignment="1" applyProtection="1">
      <alignment horizontal="center"/>
      <protection hidden="1"/>
    </xf>
    <xf numFmtId="179" fontId="0" fillId="4" borderId="9" xfId="0" applyNumberFormat="1" applyFill="1" applyBorder="1" applyAlignment="1" applyProtection="1">
      <alignment horizontal="center"/>
      <protection hidden="1"/>
    </xf>
    <xf numFmtId="179" fontId="0" fillId="4" borderId="7" xfId="0" applyNumberFormat="1" applyFill="1" applyBorder="1" applyAlignment="1" applyProtection="1">
      <alignment horizontal="center"/>
      <protection hidden="1"/>
    </xf>
    <xf numFmtId="0" fontId="40" fillId="4" borderId="8" xfId="0" applyFont="1" applyFill="1" applyBorder="1" applyAlignment="1" applyProtection="1">
      <alignment horizontal="right" vertical="center"/>
      <protection hidden="1"/>
    </xf>
    <xf numFmtId="0" fontId="0" fillId="2" borderId="11" xfId="0" applyFill="1" applyBorder="1" applyAlignment="1" applyProtection="1">
      <alignment horizontal="left" indent="1"/>
      <protection locked="0"/>
    </xf>
    <xf numFmtId="0" fontId="0" fillId="2" borderId="22" xfId="0" applyFill="1" applyBorder="1" applyAlignment="1" applyProtection="1">
      <alignment horizontal="left" indent="1"/>
      <protection locked="0"/>
    </xf>
    <xf numFmtId="179" fontId="0" fillId="4" borderId="0" xfId="0" applyNumberFormat="1" applyFill="1" applyAlignment="1" applyProtection="1">
      <alignment horizontal="center"/>
      <protection hidden="1"/>
    </xf>
    <xf numFmtId="179" fontId="0" fillId="4" borderId="4" xfId="0" applyNumberFormat="1" applyFill="1" applyBorder="1" applyAlignment="1" applyProtection="1">
      <alignment horizontal="center"/>
      <protection hidden="1"/>
    </xf>
    <xf numFmtId="0" fontId="0" fillId="2" borderId="27" xfId="0" applyFill="1" applyBorder="1" applyAlignment="1" applyProtection="1">
      <alignment horizontal="left" indent="1"/>
      <protection locked="0"/>
    </xf>
    <xf numFmtId="0" fontId="0" fillId="2" borderId="2" xfId="0" applyFill="1" applyBorder="1" applyAlignment="1" applyProtection="1">
      <alignment horizontal="left" indent="1"/>
      <protection locked="0"/>
    </xf>
    <xf numFmtId="0" fontId="0" fillId="0" borderId="0" xfId="0" applyAlignment="1" applyProtection="1">
      <protection hidden="1"/>
    </xf>
    <xf numFmtId="0" fontId="0" fillId="2" borderId="27" xfId="0" applyFill="1" applyBorder="1" applyAlignment="1" applyProtection="1">
      <alignment horizontal="left"/>
      <protection locked="0"/>
    </xf>
    <xf numFmtId="0" fontId="0" fillId="2" borderId="2" xfId="0" applyFill="1" applyBorder="1" applyAlignment="1" applyProtection="1">
      <alignment horizontal="left"/>
      <protection locked="0"/>
    </xf>
    <xf numFmtId="0" fontId="2" fillId="4" borderId="0" xfId="0" applyFont="1" applyFill="1" applyAlignment="1" applyProtection="1">
      <alignment wrapText="1"/>
      <protection hidden="1"/>
    </xf>
    <xf numFmtId="0" fontId="0" fillId="0" borderId="0" xfId="0" applyAlignment="1" applyProtection="1">
      <alignment wrapText="1"/>
      <protection hidden="1"/>
    </xf>
    <xf numFmtId="0" fontId="0" fillId="4" borderId="10" xfId="0" applyFill="1" applyBorder="1" applyAlignment="1" applyProtection="1">
      <protection hidden="1"/>
    </xf>
    <xf numFmtId="0" fontId="0" fillId="2" borderId="11" xfId="0" applyFill="1" applyBorder="1" applyAlignment="1" applyProtection="1">
      <alignment horizontal="right"/>
      <protection locked="0"/>
    </xf>
    <xf numFmtId="0" fontId="0" fillId="4" borderId="0" xfId="0" applyFill="1" applyAlignment="1" applyProtection="1">
      <protection hidden="1"/>
    </xf>
    <xf numFmtId="0" fontId="0" fillId="2" borderId="27" xfId="0" applyFill="1" applyBorder="1" applyAlignment="1" applyProtection="1">
      <alignment horizontal="right"/>
      <protection locked="0"/>
    </xf>
    <xf numFmtId="0" fontId="0" fillId="2" borderId="2" xfId="0" applyFill="1" applyBorder="1" applyAlignment="1" applyProtection="1">
      <alignment horizontal="right"/>
      <protection locked="0"/>
    </xf>
    <xf numFmtId="0" fontId="2" fillId="4" borderId="8" xfId="0" applyFont="1" applyFill="1" applyBorder="1" applyAlignment="1" applyProtection="1">
      <alignment horizontal="left" vertical="center" textRotation="90"/>
      <protection hidden="1"/>
    </xf>
    <xf numFmtId="0" fontId="2" fillId="4" borderId="0" xfId="0" applyFont="1" applyFill="1" applyBorder="1" applyAlignment="1" applyProtection="1">
      <alignment horizontal="left" vertical="center" textRotation="90"/>
      <protection hidden="1"/>
    </xf>
    <xf numFmtId="0" fontId="2" fillId="4" borderId="6" xfId="0" applyFont="1" applyFill="1" applyBorder="1" applyAlignment="1" applyProtection="1">
      <alignment horizontal="left" vertical="center" textRotation="90"/>
      <protection hidden="1"/>
    </xf>
    <xf numFmtId="0" fontId="3" fillId="4" borderId="0" xfId="0" applyFont="1" applyFill="1" applyBorder="1" applyAlignment="1" applyProtection="1">
      <protection hidden="1"/>
    </xf>
    <xf numFmtId="0" fontId="10" fillId="2" borderId="27" xfId="0" applyFont="1" applyFill="1" applyBorder="1" applyAlignment="1" applyProtection="1">
      <alignment horizontal="left"/>
      <protection locked="0"/>
    </xf>
    <xf numFmtId="0" fontId="10" fillId="2" borderId="2" xfId="0" applyFont="1" applyFill="1" applyBorder="1" applyAlignment="1" applyProtection="1">
      <alignment horizontal="left"/>
      <protection locked="0"/>
    </xf>
    <xf numFmtId="9" fontId="0" fillId="2" borderId="11" xfId="17" applyFont="1" applyFill="1" applyBorder="1" applyAlignment="1" applyProtection="1">
      <alignment horizontal="center"/>
      <protection locked="0"/>
    </xf>
    <xf numFmtId="0" fontId="15" fillId="4" borderId="9" xfId="0" applyFont="1" applyFill="1" applyBorder="1" applyAlignment="1" applyProtection="1">
      <alignment horizontal="center"/>
      <protection hidden="1"/>
    </xf>
    <xf numFmtId="0" fontId="15" fillId="0" borderId="10" xfId="0" applyFont="1" applyBorder="1" applyAlignment="1" applyProtection="1">
      <alignment horizontal="center"/>
      <protection hidden="1"/>
    </xf>
    <xf numFmtId="0" fontId="15" fillId="0" borderId="7" xfId="0" applyFont="1" applyBorder="1" applyAlignment="1" applyProtection="1">
      <alignment horizontal="center"/>
      <protection hidden="1"/>
    </xf>
    <xf numFmtId="0" fontId="8" fillId="4" borderId="6" xfId="0" applyFont="1" applyFill="1" applyBorder="1" applyAlignment="1" applyProtection="1">
      <alignment horizontal="left" vertical="center" textRotation="90"/>
      <protection hidden="1"/>
    </xf>
    <xf numFmtId="0" fontId="8" fillId="4" borderId="66" xfId="0" applyFont="1" applyFill="1" applyBorder="1" applyAlignment="1" applyProtection="1">
      <alignment horizontal="center" vertical="top"/>
      <protection hidden="1"/>
    </xf>
    <xf numFmtId="0" fontId="8" fillId="4" borderId="4" xfId="0" applyFont="1" applyFill="1" applyBorder="1" applyAlignment="1" applyProtection="1">
      <alignment horizontal="center" vertical="top"/>
      <protection hidden="1"/>
    </xf>
    <xf numFmtId="0" fontId="8" fillId="4" borderId="5" xfId="0" applyFont="1" applyFill="1" applyBorder="1" applyAlignment="1" applyProtection="1">
      <alignment horizontal="center" vertical="top"/>
      <protection hidden="1"/>
    </xf>
    <xf numFmtId="0" fontId="8" fillId="4" borderId="8" xfId="0" applyFont="1" applyFill="1" applyBorder="1" applyAlignment="1" applyProtection="1">
      <alignment horizontal="center" vertical="top"/>
      <protection hidden="1"/>
    </xf>
    <xf numFmtId="0" fontId="8" fillId="4" borderId="0" xfId="0" applyFont="1" applyFill="1" applyBorder="1" applyAlignment="1" applyProtection="1">
      <alignment horizontal="center" vertical="top"/>
      <protection hidden="1"/>
    </xf>
    <xf numFmtId="0" fontId="8" fillId="4" borderId="6" xfId="0" applyFont="1" applyFill="1" applyBorder="1" applyAlignment="1" applyProtection="1">
      <alignment horizontal="center" vertical="top"/>
      <protection hidden="1"/>
    </xf>
    <xf numFmtId="0" fontId="8" fillId="4" borderId="9" xfId="0" applyFont="1" applyFill="1" applyBorder="1" applyAlignment="1" applyProtection="1">
      <alignment horizontal="center" vertical="top"/>
      <protection hidden="1"/>
    </xf>
    <xf numFmtId="0" fontId="0" fillId="0" borderId="10" xfId="0" applyBorder="1" applyAlignment="1" applyProtection="1">
      <alignment horizontal="center" vertical="top"/>
      <protection hidden="1"/>
    </xf>
    <xf numFmtId="0" fontId="0" fillId="0" borderId="7" xfId="0" applyBorder="1" applyAlignment="1" applyProtection="1">
      <alignment horizontal="center" vertical="top"/>
      <protection hidden="1"/>
    </xf>
    <xf numFmtId="0" fontId="2" fillId="2" borderId="37" xfId="0" applyFont="1" applyFill="1" applyBorder="1" applyAlignment="1" applyProtection="1">
      <alignment horizontal="center" vertical="center" wrapText="1"/>
      <protection hidden="1"/>
    </xf>
    <xf numFmtId="0" fontId="2" fillId="2" borderId="35" xfId="0" applyFont="1" applyFill="1" applyBorder="1" applyAlignment="1" applyProtection="1">
      <alignment horizontal="center" vertical="center" wrapText="1"/>
      <protection hidden="1"/>
    </xf>
    <xf numFmtId="0" fontId="2" fillId="2" borderId="41" xfId="0" applyFont="1" applyFill="1" applyBorder="1" applyAlignment="1" applyProtection="1">
      <alignment horizontal="center" vertical="center" wrapText="1"/>
      <protection hidden="1"/>
    </xf>
    <xf numFmtId="0" fontId="2" fillId="2" borderId="42" xfId="0" applyFont="1" applyFill="1" applyBorder="1" applyAlignment="1" applyProtection="1">
      <alignment horizontal="center" vertical="center" wrapText="1"/>
      <protection hidden="1"/>
    </xf>
    <xf numFmtId="0" fontId="0" fillId="0" borderId="4" xfId="0" applyBorder="1" applyAlignment="1" applyProtection="1">
      <alignment horizontal="center" vertical="top"/>
      <protection hidden="1"/>
    </xf>
    <xf numFmtId="0" fontId="0" fillId="0" borderId="5" xfId="0" applyBorder="1" applyAlignment="1" applyProtection="1">
      <alignment horizontal="center" vertical="top"/>
      <protection hidden="1"/>
    </xf>
    <xf numFmtId="0" fontId="0" fillId="0" borderId="8" xfId="0" applyBorder="1" applyAlignment="1" applyProtection="1">
      <alignment horizontal="center" vertical="top"/>
      <protection hidden="1"/>
    </xf>
    <xf numFmtId="0" fontId="0" fillId="0" borderId="0" xfId="0" applyAlignment="1" applyProtection="1">
      <alignment horizontal="center" vertical="top"/>
      <protection hidden="1"/>
    </xf>
    <xf numFmtId="0" fontId="0" fillId="0" borderId="6" xfId="0" applyBorder="1" applyAlignment="1" applyProtection="1">
      <alignment horizontal="center" vertical="top"/>
      <protection hidden="1"/>
    </xf>
    <xf numFmtId="0" fontId="10" fillId="4" borderId="0" xfId="0" applyFont="1" applyFill="1" applyBorder="1" applyAlignment="1" applyProtection="1">
      <alignment horizontal="left"/>
      <protection hidden="1"/>
    </xf>
    <xf numFmtId="0" fontId="0" fillId="0" borderId="0" xfId="0" applyAlignment="1" applyProtection="1">
      <alignment horizontal="left"/>
      <protection hidden="1"/>
    </xf>
    <xf numFmtId="0" fontId="0" fillId="4" borderId="0" xfId="0" applyFill="1" applyAlignment="1" applyProtection="1">
      <alignment horizontal="left"/>
      <protection hidden="1"/>
    </xf>
    <xf numFmtId="9" fontId="2" fillId="4" borderId="10" xfId="17" applyFont="1" applyFill="1" applyBorder="1" applyAlignment="1" applyProtection="1">
      <alignment horizontal="center"/>
      <protection hidden="1"/>
    </xf>
    <xf numFmtId="0" fontId="0" fillId="0" borderId="7" xfId="0" applyBorder="1" applyAlignment="1" applyProtection="1">
      <alignment horizontal="center"/>
      <protection hidden="1"/>
    </xf>
    <xf numFmtId="9" fontId="0" fillId="7" borderId="11" xfId="17" applyFont="1" applyFill="1" applyBorder="1" applyAlignment="1" applyProtection="1">
      <alignment horizontal="center"/>
      <protection locked="0"/>
    </xf>
    <xf numFmtId="0" fontId="2" fillId="12" borderId="67" xfId="0" applyFont="1" applyFill="1" applyBorder="1" applyAlignment="1" applyProtection="1">
      <alignment horizontal="center"/>
      <protection hidden="1"/>
    </xf>
    <xf numFmtId="0" fontId="2" fillId="12" borderId="6" xfId="0" applyFont="1" applyFill="1" applyBorder="1" applyAlignment="1" applyProtection="1">
      <alignment horizontal="center"/>
      <protection hidden="1"/>
    </xf>
    <xf numFmtId="0" fontId="12" fillId="6" borderId="4" xfId="0" applyFont="1" applyFill="1" applyBorder="1" applyAlignment="1" applyProtection="1">
      <alignment horizontal="center"/>
      <protection hidden="1"/>
    </xf>
    <xf numFmtId="0" fontId="12" fillId="6" borderId="5" xfId="0" applyFont="1" applyFill="1" applyBorder="1" applyAlignment="1" applyProtection="1">
      <alignment horizontal="center"/>
      <protection hidden="1"/>
    </xf>
    <xf numFmtId="0" fontId="0" fillId="4" borderId="0" xfId="0" applyFill="1" applyBorder="1" applyAlignment="1" applyProtection="1">
      <alignment wrapText="1"/>
      <protection hidden="1"/>
    </xf>
    <xf numFmtId="0" fontId="0" fillId="0" borderId="6" xfId="0" applyBorder="1" applyAlignment="1" applyProtection="1">
      <protection hidden="1"/>
    </xf>
    <xf numFmtId="9" fontId="0" fillId="7" borderId="27" xfId="17" applyFont="1" applyFill="1" applyBorder="1" applyAlignment="1" applyProtection="1">
      <alignment horizontal="center"/>
      <protection locked="0"/>
    </xf>
    <xf numFmtId="9" fontId="0" fillId="7" borderId="2" xfId="17" applyFont="1" applyFill="1" applyBorder="1" applyAlignment="1" applyProtection="1">
      <alignment horizontal="center"/>
      <protection locked="0"/>
    </xf>
    <xf numFmtId="0" fontId="0" fillId="12" borderId="0" xfId="0" applyFill="1" applyAlignment="1" applyProtection="1">
      <alignment horizontal="center"/>
      <protection hidden="1"/>
    </xf>
    <xf numFmtId="0" fontId="0" fillId="2" borderId="27" xfId="0" applyFill="1" applyBorder="1" applyAlignment="1" applyProtection="1">
      <protection locked="0"/>
    </xf>
    <xf numFmtId="0" fontId="0" fillId="2" borderId="14" xfId="0" applyFill="1" applyBorder="1" applyAlignment="1" applyProtection="1">
      <protection locked="0"/>
    </xf>
    <xf numFmtId="0" fontId="0" fillId="2" borderId="2" xfId="0" applyFill="1" applyBorder="1" applyAlignment="1" applyProtection="1">
      <protection locked="0"/>
    </xf>
    <xf numFmtId="0" fontId="0" fillId="0" borderId="10" xfId="0" applyBorder="1" applyAlignment="1" applyProtection="1">
      <alignment wrapText="1"/>
      <protection hidden="1"/>
    </xf>
    <xf numFmtId="0" fontId="2" fillId="4" borderId="11" xfId="0" applyFont="1" applyFill="1" applyBorder="1" applyAlignment="1" applyProtection="1">
      <alignment horizontal="center"/>
      <protection hidden="1"/>
    </xf>
    <xf numFmtId="3" fontId="0" fillId="7" borderId="27" xfId="0" applyNumberFormat="1" applyFont="1" applyFill="1" applyBorder="1" applyAlignment="1" applyProtection="1">
      <alignment horizontal="center"/>
      <protection locked="0"/>
    </xf>
    <xf numFmtId="209" fontId="0" fillId="2" borderId="11" xfId="0" applyNumberFormat="1" applyFill="1" applyBorder="1" applyAlignment="1" applyProtection="1">
      <alignment horizontal="center"/>
      <protection locked="0"/>
    </xf>
    <xf numFmtId="218" fontId="0" fillId="2" borderId="11" xfId="0" applyNumberFormat="1" applyFill="1" applyBorder="1" applyProtection="1">
      <protection locked="0"/>
    </xf>
    <xf numFmtId="218" fontId="0" fillId="4" borderId="0" xfId="0" applyNumberFormat="1" applyFill="1" applyBorder="1" applyProtection="1">
      <protection hidden="1"/>
    </xf>
    <xf numFmtId="218" fontId="0" fillId="4" borderId="0" xfId="0" applyNumberFormat="1" applyFill="1" applyBorder="1" applyAlignment="1" applyProtection="1">
      <alignment horizontal="center"/>
      <protection hidden="1"/>
    </xf>
    <xf numFmtId="218" fontId="10" fillId="4" borderId="0" xfId="0" applyNumberFormat="1" applyFont="1" applyFill="1" applyBorder="1" applyAlignment="1" applyProtection="1">
      <alignment horizontal="center"/>
      <protection hidden="1"/>
    </xf>
    <xf numFmtId="218" fontId="0" fillId="4" borderId="17" xfId="0" applyNumberFormat="1" applyFill="1" applyBorder="1" applyProtection="1">
      <protection hidden="1"/>
    </xf>
    <xf numFmtId="218" fontId="10" fillId="4" borderId="10" xfId="0" applyNumberFormat="1" applyFont="1" applyFill="1" applyBorder="1" applyAlignment="1" applyProtection="1">
      <alignment horizontal="center"/>
      <protection hidden="1"/>
    </xf>
    <xf numFmtId="218" fontId="2" fillId="4" borderId="10" xfId="0" applyNumberFormat="1" applyFont="1" applyFill="1" applyBorder="1" applyAlignment="1" applyProtection="1">
      <alignment horizontal="center"/>
      <protection hidden="1"/>
    </xf>
    <xf numFmtId="218" fontId="2" fillId="4" borderId="15" xfId="0" applyNumberFormat="1" applyFont="1" applyFill="1" applyBorder="1" applyProtection="1">
      <protection hidden="1"/>
    </xf>
    <xf numFmtId="218" fontId="2" fillId="4" borderId="0" xfId="0" applyNumberFormat="1" applyFont="1" applyFill="1" applyBorder="1" applyProtection="1">
      <protection hidden="1"/>
    </xf>
    <xf numFmtId="218" fontId="0" fillId="2" borderId="2" xfId="0" applyNumberFormat="1" applyFill="1" applyBorder="1" applyAlignment="1" applyProtection="1">
      <alignment horizontal="center"/>
      <protection locked="0"/>
    </xf>
    <xf numFmtId="218" fontId="0" fillId="4" borderId="10" xfId="0" applyNumberFormat="1" applyFill="1" applyBorder="1" applyProtection="1">
      <protection hidden="1"/>
    </xf>
    <xf numFmtId="218" fontId="2" fillId="4" borderId="24" xfId="0" applyNumberFormat="1" applyFont="1" applyFill="1" applyBorder="1" applyProtection="1">
      <protection hidden="1"/>
    </xf>
    <xf numFmtId="218" fontId="0" fillId="4" borderId="0" xfId="0" applyNumberFormat="1" applyFill="1" applyProtection="1">
      <protection hidden="1"/>
    </xf>
    <xf numFmtId="218" fontId="12" fillId="6" borderId="4" xfId="0" applyNumberFormat="1" applyFont="1" applyFill="1" applyBorder="1" applyAlignment="1" applyProtection="1">
      <alignment horizontal="center"/>
      <protection hidden="1"/>
    </xf>
    <xf numFmtId="218" fontId="0" fillId="4" borderId="4" xfId="0" applyNumberFormat="1" applyFill="1" applyBorder="1" applyProtection="1">
      <protection hidden="1"/>
    </xf>
    <xf numFmtId="218" fontId="2" fillId="4" borderId="14" xfId="0" applyNumberFormat="1" applyFont="1" applyFill="1" applyBorder="1" applyProtection="1">
      <protection hidden="1"/>
    </xf>
    <xf numFmtId="218" fontId="1" fillId="4" borderId="0" xfId="0" applyNumberFormat="1" applyFont="1" applyFill="1" applyBorder="1" applyProtection="1">
      <protection hidden="1"/>
    </xf>
    <xf numFmtId="219" fontId="0" fillId="4" borderId="0" xfId="0" applyNumberFormat="1" applyFill="1" applyBorder="1" applyProtection="1">
      <protection hidden="1"/>
    </xf>
    <xf numFmtId="219" fontId="0" fillId="4" borderId="10" xfId="0" applyNumberFormat="1" applyFill="1" applyBorder="1" applyProtection="1">
      <protection hidden="1"/>
    </xf>
    <xf numFmtId="218" fontId="10" fillId="4" borderId="4" xfId="0" applyNumberFormat="1" applyFont="1" applyFill="1" applyBorder="1" applyAlignment="1" applyProtection="1">
      <alignment horizontal="center"/>
      <protection hidden="1"/>
    </xf>
    <xf numFmtId="219" fontId="10" fillId="4" borderId="0" xfId="0" applyNumberFormat="1" applyFont="1" applyFill="1" applyBorder="1" applyAlignment="1" applyProtection="1">
      <alignment horizontal="center"/>
      <protection hidden="1"/>
    </xf>
    <xf numFmtId="218" fontId="0" fillId="2" borderId="11" xfId="0" applyNumberFormat="1" applyFill="1" applyBorder="1" applyAlignment="1" applyProtection="1">
      <alignment horizontal="right"/>
      <protection locked="0"/>
    </xf>
    <xf numFmtId="218" fontId="0" fillId="2" borderId="11" xfId="0" applyNumberFormat="1" applyFill="1" applyBorder="1" applyAlignment="1" applyProtection="1">
      <alignment horizontal="center"/>
      <protection locked="0"/>
    </xf>
    <xf numFmtId="218" fontId="3" fillId="4" borderId="0" xfId="0" applyNumberFormat="1" applyFont="1" applyFill="1" applyProtection="1">
      <protection hidden="1"/>
    </xf>
    <xf numFmtId="218" fontId="0" fillId="4" borderId="6" xfId="0" applyNumberFormat="1" applyFill="1" applyBorder="1" applyProtection="1">
      <protection hidden="1"/>
    </xf>
    <xf numFmtId="218" fontId="0" fillId="2" borderId="27" xfId="0" applyNumberFormat="1" applyFill="1" applyBorder="1" applyProtection="1">
      <protection locked="0"/>
    </xf>
    <xf numFmtId="218" fontId="0" fillId="2" borderId="20" xfId="0" applyNumberFormat="1" applyFill="1" applyBorder="1" applyProtection="1">
      <protection locked="0"/>
    </xf>
    <xf numFmtId="218" fontId="0" fillId="2" borderId="16" xfId="0" applyNumberFormat="1" applyFill="1" applyBorder="1" applyProtection="1">
      <protection locked="0"/>
    </xf>
    <xf numFmtId="218" fontId="0" fillId="4" borderId="5" xfId="0" applyNumberFormat="1" applyFill="1" applyBorder="1" applyProtection="1">
      <protection hidden="1"/>
    </xf>
    <xf numFmtId="218" fontId="0" fillId="4" borderId="9" xfId="0" applyNumberFormat="1" applyFill="1" applyBorder="1" applyAlignment="1" applyProtection="1">
      <alignment horizontal="center"/>
      <protection hidden="1"/>
    </xf>
    <xf numFmtId="218" fontId="0" fillId="4" borderId="10" xfId="0" applyNumberFormat="1" applyFill="1" applyBorder="1" applyAlignment="1" applyProtection="1">
      <alignment horizontal="center"/>
      <protection hidden="1"/>
    </xf>
    <xf numFmtId="218" fontId="0" fillId="4" borderId="7" xfId="0" applyNumberFormat="1" applyFill="1" applyBorder="1" applyAlignment="1" applyProtection="1">
      <alignment horizontal="center"/>
      <protection hidden="1"/>
    </xf>
    <xf numFmtId="218" fontId="1" fillId="2" borderId="11" xfId="0" applyNumberFormat="1" applyFont="1" applyFill="1" applyBorder="1" applyProtection="1">
      <protection locked="0"/>
    </xf>
    <xf numFmtId="218" fontId="0" fillId="2" borderId="0" xfId="0" applyNumberFormat="1" applyFill="1" applyProtection="1">
      <protection locked="0"/>
    </xf>
    <xf numFmtId="218" fontId="0" fillId="2" borderId="6" xfId="0" applyNumberFormat="1" applyFill="1" applyBorder="1" applyProtection="1">
      <protection locked="0"/>
    </xf>
    <xf numFmtId="218" fontId="0" fillId="4" borderId="14" xfId="0" applyNumberFormat="1" applyFill="1" applyBorder="1" applyProtection="1">
      <protection hidden="1"/>
    </xf>
    <xf numFmtId="218" fontId="0" fillId="4" borderId="9" xfId="0" applyNumberFormat="1" applyFill="1" applyBorder="1" applyProtection="1">
      <protection locked="0"/>
    </xf>
    <xf numFmtId="218" fontId="0" fillId="4" borderId="7" xfId="0" applyNumberFormat="1" applyFill="1" applyBorder="1" applyProtection="1">
      <protection hidden="1"/>
    </xf>
    <xf numFmtId="218" fontId="3" fillId="4" borderId="6" xfId="0" applyNumberFormat="1" applyFont="1" applyFill="1" applyBorder="1" applyProtection="1">
      <protection hidden="1"/>
    </xf>
    <xf numFmtId="218" fontId="0" fillId="4" borderId="0" xfId="0" applyNumberFormat="1" applyFill="1" applyBorder="1" applyAlignment="1" applyProtection="1">
      <alignment horizontal="right" indent="1"/>
      <protection hidden="1"/>
    </xf>
    <xf numFmtId="218" fontId="0" fillId="4" borderId="10" xfId="0" applyNumberFormat="1" applyFill="1" applyBorder="1" applyAlignment="1" applyProtection="1">
      <alignment horizontal="right" indent="1"/>
      <protection hidden="1"/>
    </xf>
    <xf numFmtId="219" fontId="0" fillId="2" borderId="11" xfId="0" applyNumberFormat="1" applyFill="1" applyBorder="1" applyAlignment="1" applyProtection="1">
      <alignment horizontal="center"/>
      <protection locked="0"/>
    </xf>
    <xf numFmtId="218" fontId="0" fillId="2" borderId="22" xfId="0" applyNumberFormat="1" applyFill="1" applyBorder="1" applyAlignment="1" applyProtection="1">
      <alignment horizontal="center"/>
      <protection locked="0"/>
    </xf>
    <xf numFmtId="218" fontId="0" fillId="4" borderId="20" xfId="0" applyNumberFormat="1" applyFill="1" applyBorder="1" applyProtection="1">
      <protection hidden="1"/>
    </xf>
    <xf numFmtId="218" fontId="0" fillId="4" borderId="21" xfId="0" applyNumberFormat="1" applyFill="1" applyBorder="1" applyProtection="1">
      <protection hidden="1"/>
    </xf>
    <xf numFmtId="218" fontId="0" fillId="4" borderId="22" xfId="0" applyNumberFormat="1" applyFill="1" applyBorder="1" applyProtection="1">
      <protection hidden="1"/>
    </xf>
  </cellXfs>
  <cellStyles count="19">
    <cellStyle name="Active" xfId="1" xr:uid="{0B75B592-9F66-482E-B3C0-D48FB0651052}"/>
    <cellStyle name="Currency_Tools" xfId="2" xr:uid="{3173EE44-A97A-4A8E-B502-BDADF74B0B48}"/>
    <cellStyle name="Greyed" xfId="3" xr:uid="{EDE988DA-D77F-401A-9B03-985879205C5F}"/>
    <cellStyle name="Inactive" xfId="4" xr:uid="{3D570D22-A9D6-4C55-8727-38F23212349C}"/>
    <cellStyle name="Lien hypertexte_HYDROV3" xfId="5" xr:uid="{E4B97884-8A1A-4376-A6ED-FC0FD8303AFF}"/>
    <cellStyle name="Normal" xfId="0" builtinId="0"/>
    <cellStyle name="Normal_Emission Analysis" xfId="6" xr:uid="{479E2A24-06CC-4D61-9CFA-4E39B5496447}"/>
    <cellStyle name="Normal_Energy Model" xfId="7" xr:uid="{46FAAC30-50B3-40E5-B58B-AA884CDF3117}"/>
    <cellStyle name="Normal_Energy Model " xfId="8" xr:uid="{69B33BC1-8756-41DD-9B05-1121E2ECD31F}"/>
    <cellStyle name="Normal_Energy Model _RadioButtons" xfId="9" xr:uid="{F95B54AE-4F6D-4BDC-8194-AD6872510D43}"/>
    <cellStyle name="Normal_Financial Analysis" xfId="10" xr:uid="{A900E2F0-93BE-4010-A720-AD70C9236DA6}"/>
    <cellStyle name="Normal_Modèle énergétique" xfId="11" xr:uid="{209A14CE-F888-4557-B86C-A73AA57EACD0}"/>
    <cellStyle name="Normal_RadioButtons" xfId="12" xr:uid="{4972D6D4-6CB9-40A2-B73D-BEFFDAF828B4}"/>
    <cellStyle name="Normal_Risk analysis" xfId="13" xr:uid="{F1423B6F-878E-4F99-A139-16E547AC3E00}"/>
    <cellStyle name="Normal_Sheet1" xfId="14" xr:uid="{4FAADB1A-030C-4C6E-877E-450A304CA4A0}"/>
    <cellStyle name="Normal_Start" xfId="15" xr:uid="{2AFA2A36-9107-4E26-8478-18D327E9FFB0}"/>
    <cellStyle name="Normal_Tools" xfId="16" xr:uid="{D7D8637B-2B19-462A-82B6-1CE62B68C96E}"/>
    <cellStyle name="Percentagem" xfId="17" builtinId="5"/>
    <cellStyle name="Total" xfId="18" builtinId="25" customBuiltin="1"/>
  </cellStyles>
  <dxfs count="474">
    <dxf>
      <font>
        <condense val="0"/>
        <extend val="0"/>
        <color indexed="9"/>
      </font>
      <fill>
        <patternFill>
          <bgColor indexed="9"/>
        </patternFill>
      </fill>
      <border>
        <left/>
        <right/>
        <bottom/>
      </border>
    </dxf>
    <dxf>
      <font>
        <condense val="0"/>
        <extend val="0"/>
        <color indexed="9"/>
      </font>
      <fill>
        <patternFill>
          <bgColor indexed="9"/>
        </patternFill>
      </fill>
    </dxf>
    <dxf>
      <font>
        <condense val="0"/>
        <extend val="0"/>
        <color auto="1"/>
      </font>
      <fill>
        <patternFill>
          <bgColor indexed="22"/>
        </patternFill>
      </fill>
    </dxf>
    <dxf>
      <font>
        <condense val="0"/>
        <extend val="0"/>
        <color auto="1"/>
      </font>
      <fill>
        <patternFill>
          <bgColor indexed="22"/>
        </patternFill>
      </fill>
    </dxf>
    <dxf>
      <font>
        <condense val="0"/>
        <extend val="0"/>
        <color auto="1"/>
      </font>
      <fill>
        <patternFill>
          <bgColor indexed="22"/>
        </patternFill>
      </fill>
    </dxf>
    <dxf>
      <fill>
        <patternFill>
          <bgColor indexed="43"/>
        </patternFill>
      </fill>
      <border>
        <left style="thin">
          <color indexed="64"/>
        </left>
        <right style="thin">
          <color indexed="64"/>
        </right>
        <top style="thin">
          <color indexed="64"/>
        </top>
        <bottom style="thin">
          <color indexed="64"/>
        </bottom>
      </border>
    </dxf>
    <dxf>
      <font>
        <condense val="0"/>
        <extend val="0"/>
        <color indexed="9"/>
      </font>
      <fill>
        <patternFill>
          <bgColor indexed="9"/>
        </patternFill>
      </fill>
    </dxf>
    <dxf>
      <font>
        <condense val="0"/>
        <extend val="0"/>
        <color indexed="9"/>
      </font>
      <fill>
        <patternFill>
          <bgColor indexed="9"/>
        </patternFill>
      </fill>
      <border>
        <left/>
        <right/>
        <top/>
        <bottom/>
      </border>
    </dxf>
    <dxf>
      <fill>
        <patternFill>
          <bgColor indexed="44"/>
        </patternFill>
      </fill>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b/>
        <i val="0"/>
        <condense val="0"/>
        <extend val="0"/>
        <color indexed="10"/>
      </font>
      <fill>
        <patternFill>
          <bgColor indexed="9"/>
        </patternFill>
      </fill>
      <border>
        <left/>
        <right/>
        <top/>
        <bottom/>
      </border>
    </dxf>
    <dxf>
      <font>
        <condense val="0"/>
        <extend val="0"/>
        <color indexed="9"/>
      </font>
      <fill>
        <patternFill>
          <bgColor indexed="9"/>
        </patternFill>
      </fill>
      <border>
        <left/>
        <right/>
        <top/>
        <bottom/>
      </border>
    </dxf>
    <dxf>
      <font>
        <b/>
        <i val="0"/>
        <condense val="0"/>
        <extend val="0"/>
        <color indexed="10"/>
      </font>
      <fill>
        <patternFill>
          <bgColor indexed="9"/>
        </patternFill>
      </fill>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b/>
        <i val="0"/>
        <condense val="0"/>
        <extend val="0"/>
        <color indexed="10"/>
      </font>
      <fill>
        <patternFill>
          <bgColor indexed="9"/>
        </patternFill>
      </fill>
    </dxf>
    <dxf>
      <font>
        <b/>
        <i val="0"/>
        <condense val="0"/>
        <extend val="0"/>
        <color indexed="10"/>
      </font>
      <fill>
        <patternFill>
          <bgColor indexed="9"/>
        </patternFill>
      </fill>
    </dxf>
    <dxf>
      <font>
        <condense val="0"/>
        <extend val="0"/>
        <color indexed="9"/>
      </font>
      <fill>
        <patternFill patternType="solid">
          <bgColor indexed="9"/>
        </patternFill>
      </fill>
    </dxf>
    <dxf>
      <font>
        <condense val="0"/>
        <extend val="0"/>
        <color auto="1"/>
      </font>
      <fill>
        <patternFill>
          <bgColor indexed="22"/>
        </patternFill>
      </fill>
      <border>
        <left style="thin">
          <color indexed="64"/>
        </left>
        <right style="thin">
          <color indexed="64"/>
        </right>
        <top style="thin">
          <color indexed="64"/>
        </top>
        <bottom style="thin">
          <color indexed="64"/>
        </bottom>
      </border>
    </dxf>
    <dxf>
      <fill>
        <patternFill>
          <bgColor indexed="22"/>
        </patternFill>
      </fill>
    </dxf>
    <dxf>
      <font>
        <condense val="0"/>
        <extend val="0"/>
        <color auto="1"/>
      </font>
      <fill>
        <patternFill>
          <bgColor indexed="43"/>
        </patternFill>
      </fill>
      <border>
        <left style="thin">
          <color indexed="64"/>
        </left>
        <right style="thin">
          <color indexed="64"/>
        </right>
        <top style="thin">
          <color indexed="64"/>
        </top>
        <bottom style="thin">
          <color indexed="64"/>
        </bottom>
      </border>
    </dxf>
    <dxf>
      <font>
        <condense val="0"/>
        <extend val="0"/>
        <color indexed="9"/>
      </font>
      <fill>
        <patternFill>
          <bgColor indexed="9"/>
        </patternFill>
      </fill>
    </dxf>
    <dxf>
      <font>
        <strike/>
        <condense val="0"/>
        <extend val="0"/>
      </font>
      <fill>
        <patternFill>
          <bgColor indexed="9"/>
        </patternFill>
      </fill>
    </dxf>
    <dxf>
      <font>
        <condense val="0"/>
        <extend val="0"/>
        <color indexed="9"/>
      </font>
      <fill>
        <patternFill>
          <bgColor indexed="9"/>
        </patternFill>
      </fill>
    </dxf>
    <dxf>
      <fill>
        <patternFill>
          <bgColor indexed="47"/>
        </patternFill>
      </fill>
    </dxf>
    <dxf>
      <font>
        <condense val="0"/>
        <extend val="0"/>
        <color auto="1"/>
      </font>
      <fill>
        <patternFill>
          <bgColor indexed="47"/>
        </patternFill>
      </fill>
    </dxf>
    <dxf>
      <font>
        <condense val="0"/>
        <extend val="0"/>
        <color indexed="9"/>
      </font>
      <fill>
        <patternFill>
          <bgColor indexed="9"/>
        </patternFill>
      </fill>
    </dxf>
    <dxf>
      <fill>
        <patternFill>
          <bgColor indexed="47"/>
        </patternFill>
      </fill>
    </dxf>
    <dxf>
      <font>
        <condense val="0"/>
        <extend val="0"/>
        <color auto="1"/>
      </font>
      <fill>
        <patternFill>
          <bgColor indexed="47"/>
        </patternFill>
      </fill>
    </dxf>
    <dxf>
      <font>
        <condense val="0"/>
        <extend val="0"/>
        <color indexed="9"/>
      </font>
      <fill>
        <patternFill>
          <bgColor indexed="9"/>
        </patternFill>
      </fill>
    </dxf>
    <dxf>
      <fill>
        <patternFill>
          <bgColor indexed="47"/>
        </patternFill>
      </fill>
    </dxf>
    <dxf>
      <font>
        <condense val="0"/>
        <extend val="0"/>
        <color auto="1"/>
      </font>
      <fill>
        <patternFill>
          <bgColor indexed="47"/>
        </patternFill>
      </fill>
    </dxf>
    <dxf>
      <fill>
        <patternFill>
          <bgColor indexed="47"/>
        </patternFill>
      </fill>
    </dxf>
    <dxf>
      <font>
        <condense val="0"/>
        <extend val="0"/>
        <color auto="1"/>
      </font>
      <fill>
        <patternFill>
          <bgColor indexed="47"/>
        </patternFill>
      </fill>
    </dxf>
    <dxf>
      <font>
        <condense val="0"/>
        <extend val="0"/>
        <color indexed="9"/>
      </font>
      <fill>
        <patternFill>
          <bgColor indexed="9"/>
        </patternFill>
      </fill>
      <border>
        <left/>
        <right/>
        <top/>
        <bottom/>
      </border>
    </dxf>
    <dxf>
      <font>
        <b/>
        <i val="0"/>
        <condense val="0"/>
        <extend val="0"/>
        <color indexed="10"/>
      </font>
      <fill>
        <patternFill>
          <bgColor indexed="9"/>
        </patternFill>
      </fill>
    </dxf>
    <dxf>
      <font>
        <b/>
        <i val="0"/>
        <condense val="0"/>
        <extend val="0"/>
        <color indexed="10"/>
      </font>
      <fill>
        <patternFill>
          <bgColor indexed="9"/>
        </patternFill>
      </fill>
    </dxf>
    <dxf>
      <font>
        <b/>
        <i val="0"/>
        <condense val="0"/>
        <extend val="0"/>
        <color indexed="10"/>
      </font>
      <fill>
        <patternFill>
          <bgColor indexed="9"/>
        </patternFill>
      </fill>
    </dxf>
    <dxf>
      <font>
        <condense val="0"/>
        <extend val="0"/>
        <color indexed="9"/>
      </font>
      <fill>
        <patternFill patternType="solid">
          <bgColor indexed="9"/>
        </patternFill>
      </fill>
      <border>
        <left/>
        <right style="thin">
          <color indexed="64"/>
        </right>
        <top style="thin">
          <color indexed="64"/>
        </top>
        <bottom/>
      </border>
    </dxf>
    <dxf>
      <font>
        <condense val="0"/>
        <extend val="0"/>
        <color indexed="9"/>
      </font>
    </dxf>
    <dxf>
      <font>
        <condense val="0"/>
        <extend val="0"/>
        <color indexed="9"/>
      </font>
      <fill>
        <patternFill>
          <bgColor indexed="9"/>
        </patternFill>
      </fill>
      <border>
        <left/>
        <top/>
        <bottom style="thin">
          <color indexed="64"/>
        </bottom>
      </border>
    </dxf>
    <dxf>
      <font>
        <condense val="0"/>
        <extend val="0"/>
        <color indexed="9"/>
      </font>
      <fill>
        <patternFill>
          <bgColor indexed="9"/>
        </patternFill>
      </fill>
      <border>
        <left/>
        <top/>
        <bottom/>
      </border>
    </dxf>
    <dxf>
      <font>
        <condense val="0"/>
        <extend val="0"/>
        <color indexed="9"/>
      </font>
      <fill>
        <patternFill>
          <bgColor indexed="9"/>
        </patternFill>
      </fill>
    </dxf>
    <dxf>
      <font>
        <condense val="0"/>
        <extend val="0"/>
        <color auto="1"/>
      </font>
      <fill>
        <patternFill>
          <bgColor indexed="9"/>
        </patternFill>
      </fill>
      <border>
        <left/>
        <right/>
        <top/>
        <bottom/>
      </border>
    </dxf>
    <dxf>
      <font>
        <condense val="0"/>
        <extend val="0"/>
        <color auto="1"/>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patternType="solid">
          <bgColor indexed="9"/>
        </patternFill>
      </fill>
      <border>
        <left/>
        <right style="thin">
          <color indexed="64"/>
        </right>
        <top/>
        <bottom/>
      </border>
    </dxf>
    <dxf>
      <font>
        <condense val="0"/>
        <extend val="0"/>
        <color indexed="9"/>
      </font>
      <fill>
        <patternFill>
          <bgColor indexed="9"/>
        </patternFill>
      </fill>
      <border>
        <left/>
        <right style="thin">
          <color indexed="64"/>
        </right>
        <top/>
        <bottom/>
      </border>
    </dxf>
    <dxf>
      <font>
        <condense val="0"/>
        <extend val="0"/>
        <color indexed="9"/>
      </font>
      <fill>
        <patternFill patternType="solid">
          <bgColor indexed="9"/>
        </patternFill>
      </fill>
      <border>
        <left/>
        <right style="thin">
          <color indexed="64"/>
        </right>
        <top/>
        <bottom/>
      </border>
    </dxf>
    <dxf>
      <font>
        <condense val="0"/>
        <extend val="0"/>
        <color indexed="9"/>
      </font>
      <fill>
        <patternFill>
          <bgColor indexed="9"/>
        </patternFill>
      </fill>
      <border>
        <left/>
        <right style="thin">
          <color indexed="64"/>
        </right>
        <top/>
        <bottom/>
      </border>
    </dxf>
    <dxf>
      <font>
        <condense val="0"/>
        <extend val="0"/>
        <color indexed="9"/>
      </font>
      <fill>
        <patternFill>
          <bgColor indexed="9"/>
        </patternFill>
      </fill>
      <border>
        <left/>
        <right style="thin">
          <color indexed="64"/>
        </right>
        <top/>
        <bottom/>
      </border>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border>
        <left/>
        <right style="thin">
          <color indexed="64"/>
        </right>
        <top/>
        <bottom/>
      </border>
    </dxf>
    <dxf>
      <font>
        <condense val="0"/>
        <extend val="0"/>
        <color indexed="9"/>
      </font>
      <fill>
        <patternFill>
          <bgColor indexed="9"/>
        </patternFill>
      </fill>
      <border>
        <left/>
        <right style="thin">
          <color indexed="64"/>
        </right>
        <top/>
        <bottom/>
      </border>
    </dxf>
    <dxf>
      <font>
        <condense val="0"/>
        <extend val="0"/>
        <color indexed="9"/>
      </font>
      <fill>
        <patternFill>
          <bgColor indexed="9"/>
        </patternFill>
      </fill>
      <border>
        <left/>
        <right style="thin">
          <color indexed="64"/>
        </right>
        <top/>
        <bottom/>
      </border>
    </dxf>
    <dxf>
      <font>
        <condense val="0"/>
        <extend val="0"/>
        <color indexed="9"/>
      </font>
      <fill>
        <patternFill>
          <bgColor indexed="9"/>
        </patternFill>
      </fill>
      <border>
        <left/>
        <right style="thin">
          <color indexed="64"/>
        </right>
        <top/>
        <bottom/>
      </border>
    </dxf>
    <dxf>
      <font>
        <condense val="0"/>
        <extend val="0"/>
        <color indexed="9"/>
      </font>
      <fill>
        <patternFill>
          <bgColor indexed="9"/>
        </patternFill>
      </fill>
      <border>
        <left/>
        <right style="thin">
          <color indexed="64"/>
        </right>
        <top/>
        <bottom/>
      </border>
    </dxf>
    <dxf>
      <font>
        <condense val="0"/>
        <extend val="0"/>
        <color indexed="9"/>
      </font>
      <fill>
        <patternFill>
          <bgColor indexed="9"/>
        </patternFill>
      </fill>
      <border>
        <left/>
        <right style="thin">
          <color indexed="64"/>
        </right>
        <top/>
        <bottom/>
      </border>
    </dxf>
    <dxf>
      <font>
        <condense val="0"/>
        <extend val="0"/>
        <color indexed="9"/>
      </font>
      <fill>
        <patternFill patternType="solid">
          <bgColor indexed="9"/>
        </patternFill>
      </fill>
      <border>
        <lef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patternType="solid">
          <bgColor indexed="9"/>
        </patternFill>
      </fill>
      <border>
        <left/>
        <right/>
        <top/>
        <bottom/>
      </border>
    </dxf>
    <dxf>
      <font>
        <condense val="0"/>
        <extend val="0"/>
        <color indexed="9"/>
      </font>
      <fill>
        <patternFill patternType="solid">
          <bgColor indexed="9"/>
        </patternFill>
      </fill>
      <border>
        <left/>
        <right/>
        <top/>
        <bottom/>
      </border>
    </dxf>
    <dxf>
      <font>
        <condense val="0"/>
        <extend val="0"/>
        <color indexed="9"/>
      </font>
      <fill>
        <patternFill patternType="solid">
          <bgColor indexed="9"/>
        </patternFill>
      </fill>
      <border>
        <left/>
        <right style="thin">
          <color indexed="64"/>
        </right>
        <top/>
        <bottom/>
      </border>
    </dxf>
    <dxf>
      <font>
        <condense val="0"/>
        <extend val="0"/>
        <color indexed="9"/>
      </font>
      <fill>
        <patternFill patternType="solid">
          <bgColor indexed="9"/>
        </patternFill>
      </fill>
      <border>
        <left/>
        <right style="thin">
          <color indexed="64"/>
        </right>
        <top/>
        <bottom/>
      </border>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fill>
        <patternFill>
          <bgColor indexed="9"/>
        </patternFill>
      </fill>
    </dxf>
    <dxf>
      <font>
        <condense val="0"/>
        <extend val="0"/>
        <color indexed="9"/>
      </font>
      <fill>
        <patternFill patternType="solid">
          <bgColor indexed="9"/>
        </patternFill>
      </fill>
      <border>
        <left/>
        <top/>
        <bottom/>
      </border>
    </dxf>
    <dxf>
      <font>
        <condense val="0"/>
        <extend val="0"/>
        <color indexed="9"/>
      </font>
      <fill>
        <patternFill>
          <bgColor indexed="9"/>
        </patternFill>
      </fill>
      <border>
        <left/>
        <right/>
        <top/>
        <bottom style="thin">
          <color indexed="64"/>
        </bottom>
      </border>
    </dxf>
    <dxf>
      <font>
        <condense val="0"/>
        <extend val="0"/>
        <color indexed="9"/>
      </font>
      <fill>
        <patternFill>
          <bgColor indexed="9"/>
        </patternFill>
      </fill>
      <border>
        <left/>
        <right/>
        <top/>
        <bottom style="thin">
          <color indexed="64"/>
        </bottom>
      </border>
    </dxf>
    <dxf>
      <font>
        <condense val="0"/>
        <extend val="0"/>
        <color indexed="9"/>
      </font>
      <fill>
        <patternFill>
          <bgColor indexed="9"/>
        </patternFill>
      </fill>
      <border>
        <left/>
        <top/>
        <bottom/>
      </border>
    </dxf>
    <dxf>
      <font>
        <condense val="0"/>
        <extend val="0"/>
        <color indexed="9"/>
      </font>
      <fill>
        <patternFill>
          <bgColor indexed="9"/>
        </patternFill>
      </fill>
      <border>
        <left/>
        <right style="thin">
          <color indexed="64"/>
        </right>
        <top/>
        <bottom/>
      </border>
    </dxf>
    <dxf>
      <font>
        <condense val="0"/>
        <extend val="0"/>
        <color indexed="9"/>
      </font>
      <fill>
        <patternFill patternType="solid">
          <bgColor indexed="9"/>
        </patternFill>
      </fill>
      <border>
        <left/>
        <right style="thin">
          <color indexed="64"/>
        </right>
        <top/>
        <bottom/>
      </border>
    </dxf>
    <dxf>
      <font>
        <condense val="0"/>
        <extend val="0"/>
        <color indexed="9"/>
      </font>
      <fill>
        <patternFill>
          <bgColor indexed="9"/>
        </patternFill>
      </fill>
      <border>
        <left/>
        <right style="thin">
          <color indexed="64"/>
        </right>
        <top/>
        <bottom/>
      </border>
    </dxf>
    <dxf>
      <font>
        <condense val="0"/>
        <extend val="0"/>
        <color indexed="9"/>
      </font>
      <fill>
        <patternFill patternType="solid">
          <bgColor indexed="9"/>
        </patternFill>
      </fill>
      <border>
        <left/>
        <right style="thin">
          <color indexed="64"/>
        </right>
        <top/>
        <bottom/>
      </border>
    </dxf>
    <dxf>
      <font>
        <condense val="0"/>
        <extend val="0"/>
        <color indexed="9"/>
      </font>
      <fill>
        <patternFill patternType="solid">
          <bgColor indexed="9"/>
        </patternFill>
      </fill>
      <border>
        <left/>
        <right style="thin">
          <color indexed="64"/>
        </right>
        <top/>
        <bottom/>
      </border>
    </dxf>
    <dxf>
      <font>
        <condense val="0"/>
        <extend val="0"/>
        <color indexed="9"/>
      </font>
      <fill>
        <patternFill patternType="solid">
          <bgColor indexed="9"/>
        </patternFill>
      </fill>
      <border>
        <left/>
        <right style="thin">
          <color indexed="64"/>
        </right>
        <top/>
        <bottom/>
      </border>
    </dxf>
    <dxf>
      <font>
        <condense val="0"/>
        <extend val="0"/>
        <color indexed="9"/>
      </font>
      <fill>
        <patternFill patternType="solid">
          <bgColor indexed="9"/>
        </patternFill>
      </fill>
      <border>
        <left/>
        <right style="thin">
          <color indexed="64"/>
        </right>
        <top/>
        <bottom/>
      </border>
    </dxf>
    <dxf>
      <font>
        <condense val="0"/>
        <extend val="0"/>
        <color indexed="9"/>
      </font>
      <fill>
        <patternFill patternType="solid">
          <bgColor indexed="9"/>
        </patternFill>
      </fill>
      <border>
        <left/>
        <right style="thin">
          <color indexed="64"/>
        </right>
        <top/>
        <bottom/>
      </border>
    </dxf>
    <dxf>
      <font>
        <condense val="0"/>
        <extend val="0"/>
        <color indexed="9"/>
      </font>
      <fill>
        <patternFill patternType="solid">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patternType="solid">
          <bgColor indexed="9"/>
        </patternFill>
      </fill>
      <border>
        <left/>
        <right/>
        <top/>
        <bottom/>
      </border>
    </dxf>
    <dxf>
      <font>
        <condense val="0"/>
        <extend val="0"/>
        <color indexed="9"/>
      </font>
      <fill>
        <patternFill patternType="solid">
          <bgColor indexed="9"/>
        </patternFill>
      </fill>
      <border>
        <left/>
        <right/>
        <top/>
        <bottom/>
      </border>
    </dxf>
    <dxf>
      <font>
        <condense val="0"/>
        <extend val="0"/>
        <color indexed="9"/>
      </font>
      <fill>
        <patternFill patternType="solid">
          <bgColor indexed="9"/>
        </patternFill>
      </fill>
      <border>
        <left/>
        <right/>
        <top/>
        <bottom/>
      </border>
    </dxf>
    <dxf>
      <font>
        <condense val="0"/>
        <extend val="0"/>
        <color indexed="9"/>
      </font>
      <fill>
        <patternFill patternType="solid">
          <bgColor indexed="9"/>
        </patternFill>
      </fill>
      <border>
        <left/>
        <right/>
        <top/>
        <bottom/>
      </border>
    </dxf>
    <dxf>
      <font>
        <condense val="0"/>
        <extend val="0"/>
        <color indexed="9"/>
      </font>
      <fill>
        <patternFill patternType="solid">
          <bgColor indexed="9"/>
        </patternFill>
      </fill>
      <border>
        <left/>
        <right/>
        <top/>
        <bottom/>
      </border>
    </dxf>
    <dxf>
      <font>
        <condense val="0"/>
        <extend val="0"/>
        <color indexed="9"/>
      </font>
      <fill>
        <patternFill>
          <bgColor indexed="9"/>
        </patternFill>
      </fill>
      <border>
        <left/>
        <right/>
        <top/>
        <bottom/>
      </border>
    </dxf>
    <dxf>
      <font>
        <condense val="0"/>
        <extend val="0"/>
        <color indexed="9"/>
      </font>
    </dxf>
    <dxf>
      <font>
        <condense val="0"/>
        <extend val="0"/>
        <color indexed="9"/>
      </font>
      <fill>
        <patternFill>
          <bgColor indexed="9"/>
        </patternFill>
      </fill>
      <border>
        <left/>
        <right style="thin">
          <color indexed="64"/>
        </right>
        <top/>
        <bottom/>
      </border>
    </dxf>
    <dxf>
      <font>
        <condense val="0"/>
        <extend val="0"/>
        <color indexed="9"/>
      </font>
      <fill>
        <patternFill>
          <bgColor indexed="9"/>
        </patternFill>
      </fill>
      <border>
        <left/>
        <right style="thin">
          <color indexed="64"/>
        </right>
        <top/>
        <bottom/>
      </border>
    </dxf>
    <dxf>
      <font>
        <condense val="0"/>
        <extend val="0"/>
        <color indexed="9"/>
      </font>
      <fill>
        <patternFill>
          <bgColor indexed="9"/>
        </patternFill>
      </fill>
      <border>
        <left style="thin">
          <color indexed="64"/>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style="thin">
          <color indexed="64"/>
        </right>
        <top/>
        <bottom/>
      </border>
    </dxf>
    <dxf>
      <font>
        <condense val="0"/>
        <extend val="0"/>
        <color indexed="9"/>
      </font>
      <fill>
        <patternFill>
          <bgColor indexed="9"/>
        </patternFill>
      </fill>
      <border>
        <left/>
        <right/>
        <top/>
        <bottom/>
      </border>
    </dxf>
    <dxf>
      <font>
        <condense val="0"/>
        <extend val="0"/>
        <color indexed="9"/>
      </font>
      <fill>
        <patternFill patternType="solid">
          <bgColor indexed="9"/>
        </patternFill>
      </fill>
      <border>
        <lef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style="thin">
          <color indexed="64"/>
        </right>
        <top/>
        <bottom/>
      </border>
    </dxf>
    <dxf>
      <font>
        <condense val="0"/>
        <extend val="0"/>
        <color indexed="9"/>
      </font>
      <fill>
        <patternFill>
          <bgColor indexed="9"/>
        </patternFill>
      </fill>
      <border>
        <left/>
        <right style="thin">
          <color indexed="64"/>
        </right>
        <top/>
        <bottom/>
      </border>
    </dxf>
    <dxf>
      <font>
        <condense val="0"/>
        <extend val="0"/>
        <color indexed="9"/>
      </font>
      <fill>
        <patternFill>
          <bgColor indexed="9"/>
        </patternFill>
      </fill>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patternType="solid">
          <bgColor indexed="9"/>
        </patternFill>
      </fill>
      <border>
        <left/>
        <top/>
        <bottom style="thin">
          <color indexed="64"/>
        </bottom>
      </border>
    </dxf>
    <dxf>
      <font>
        <condense val="0"/>
        <extend val="0"/>
        <color indexed="9"/>
      </font>
      <fill>
        <patternFill>
          <bgColor indexed="9"/>
        </patternFill>
      </fill>
      <border>
        <left/>
        <right/>
        <top/>
        <bottom style="thin">
          <color indexed="64"/>
        </bottom>
      </border>
    </dxf>
    <dxf>
      <font>
        <condense val="0"/>
        <extend val="0"/>
        <color indexed="9"/>
      </font>
      <fill>
        <patternFill>
          <bgColor indexed="9"/>
        </patternFill>
      </fill>
    </dxf>
    <dxf>
      <font>
        <condense val="0"/>
        <extend val="0"/>
        <color indexed="9"/>
      </font>
    </dxf>
    <dxf>
      <font>
        <condense val="0"/>
        <extend val="0"/>
        <color indexed="9"/>
      </font>
      <fill>
        <patternFill>
          <bgColor indexed="9"/>
        </patternFill>
      </fill>
      <border>
        <left/>
        <right style="thin">
          <color indexed="64"/>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dxf>
    <dxf>
      <font>
        <condense val="0"/>
        <extend val="0"/>
        <color indexed="9"/>
      </font>
      <fill>
        <patternFill>
          <bgColor indexed="9"/>
        </patternFill>
      </fill>
      <border>
        <left/>
        <right style="thin">
          <color indexed="64"/>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top/>
        <bottom/>
      </border>
    </dxf>
    <dxf>
      <font>
        <condense val="0"/>
        <extend val="0"/>
        <color indexed="9"/>
      </font>
      <fill>
        <patternFill>
          <bgColor indexed="9"/>
        </patternFill>
      </fill>
    </dxf>
    <dxf>
      <font>
        <condense val="0"/>
        <extend val="0"/>
        <color indexed="9"/>
      </font>
      <fill>
        <patternFill patternType="solid">
          <bgColor indexed="9"/>
        </patternFill>
      </fill>
    </dxf>
    <dxf>
      <font>
        <condense val="0"/>
        <extend val="0"/>
        <color indexed="9"/>
      </font>
      <fill>
        <patternFill patternType="solid">
          <bgColor indexed="9"/>
        </patternFill>
      </fill>
      <border>
        <left/>
        <right/>
        <top/>
        <bottom style="thin">
          <color indexed="64"/>
        </bottom>
      </border>
    </dxf>
    <dxf>
      <font>
        <condense val="0"/>
        <extend val="0"/>
        <color indexed="9"/>
      </font>
      <fill>
        <patternFill patternType="solid">
          <bgColor indexed="9"/>
        </patternFill>
      </fill>
      <border>
        <left/>
        <right/>
        <top/>
        <bottom/>
      </border>
    </dxf>
    <dxf>
      <font>
        <condense val="0"/>
        <extend val="0"/>
        <color indexed="9"/>
      </font>
    </dxf>
    <dxf>
      <font>
        <condense val="0"/>
        <extend val="0"/>
        <color indexed="9"/>
      </font>
      <fill>
        <patternFill>
          <bgColor indexed="9"/>
        </patternFill>
      </fill>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style="thin">
          <color indexed="64"/>
        </bottom>
      </border>
    </dxf>
    <dxf>
      <font>
        <condense val="0"/>
        <extend val="0"/>
        <color indexed="9"/>
      </font>
      <fill>
        <patternFill>
          <bgColor indexed="9"/>
        </patternFill>
      </fill>
    </dxf>
    <dxf>
      <font>
        <condense val="0"/>
        <extend val="0"/>
        <color indexed="9"/>
      </font>
      <fill>
        <patternFill>
          <bgColor indexed="9"/>
        </patternFill>
      </fill>
      <border>
        <left/>
        <right/>
        <top/>
        <bottom/>
      </border>
    </dxf>
    <dxf>
      <font>
        <b/>
        <i val="0"/>
        <condense val="0"/>
        <extend val="0"/>
        <color indexed="10"/>
      </font>
      <fill>
        <patternFill>
          <bgColor indexed="9"/>
        </patternFill>
      </fill>
    </dxf>
    <dxf>
      <font>
        <b/>
        <i val="0"/>
        <condense val="0"/>
        <extend val="0"/>
        <color indexed="10"/>
      </font>
      <fill>
        <patternFill>
          <bgColor indexed="9"/>
        </patternFill>
      </fill>
    </dxf>
    <dxf>
      <font>
        <condense val="0"/>
        <extend val="0"/>
        <color indexed="9"/>
      </font>
      <fill>
        <patternFill>
          <bgColor indexed="9"/>
        </patternFill>
      </fill>
      <border>
        <left/>
        <right/>
        <top/>
        <bottom/>
      </border>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dxf>
    <dxf>
      <font>
        <condense val="0"/>
        <extend val="0"/>
        <color indexed="9"/>
      </font>
    </dxf>
    <dxf>
      <font>
        <condense val="0"/>
        <extend val="0"/>
        <color indexed="9"/>
      </font>
    </dxf>
    <dxf>
      <font>
        <condense val="0"/>
        <extend val="0"/>
        <color indexed="9"/>
      </font>
      <fill>
        <patternFill>
          <bgColor indexed="9"/>
        </patternFill>
      </fill>
      <border>
        <left/>
        <right/>
        <top/>
        <bottom/>
      </border>
    </dxf>
    <dxf>
      <font>
        <condense val="0"/>
        <extend val="0"/>
        <color indexed="9"/>
      </font>
    </dxf>
    <dxf>
      <font>
        <condense val="0"/>
        <extend val="0"/>
        <color indexed="9"/>
      </font>
    </dxf>
    <dxf>
      <font>
        <condense val="0"/>
        <extend val="0"/>
        <color indexed="9"/>
      </font>
      <fill>
        <patternFill>
          <bgColor indexed="9"/>
        </patternFill>
      </fill>
      <border>
        <left/>
        <right/>
        <top/>
        <bottom/>
      </border>
    </dxf>
    <dxf>
      <font>
        <condense val="0"/>
        <extend val="0"/>
        <color indexed="9"/>
      </font>
    </dxf>
    <dxf>
      <font>
        <condense val="0"/>
        <extend val="0"/>
        <color indexed="9"/>
      </font>
      <fill>
        <patternFill>
          <bgColor indexed="9"/>
        </patternFill>
      </fill>
    </dxf>
    <dxf>
      <font>
        <condense val="0"/>
        <extend val="0"/>
        <color auto="1"/>
      </font>
      <fill>
        <patternFill>
          <bgColor indexed="22"/>
        </patternFill>
      </fill>
      <border>
        <left style="thin">
          <color indexed="64"/>
        </left>
        <right style="thin">
          <color indexed="64"/>
        </right>
        <top style="thin">
          <color indexed="64"/>
        </top>
        <bottom style="thin">
          <color indexed="64"/>
        </bottom>
      </border>
    </dxf>
    <dxf>
      <font>
        <condense val="0"/>
        <extend val="0"/>
        <color indexed="9"/>
      </font>
      <fill>
        <patternFill>
          <bgColor indexed="9"/>
        </patternFill>
      </fill>
      <border>
        <left/>
        <top/>
      </border>
    </dxf>
    <dxf>
      <font>
        <condense val="0"/>
        <extend val="0"/>
        <color indexed="9"/>
      </font>
      <fill>
        <patternFill>
          <bgColor indexed="9"/>
        </patternFill>
      </fill>
      <border>
        <left/>
        <top/>
        <bottom/>
      </border>
    </dxf>
    <dxf>
      <font>
        <condense val="0"/>
        <extend val="0"/>
        <color auto="1"/>
      </font>
      <fill>
        <patternFill>
          <bgColor indexed="9"/>
        </patternFill>
      </fill>
    </dxf>
    <dxf>
      <font>
        <condense val="0"/>
        <extend val="0"/>
        <color indexed="9"/>
      </font>
      <fill>
        <patternFill>
          <bgColor indexed="9"/>
        </patternFill>
      </fill>
    </dxf>
    <dxf>
      <border>
        <top style="thin">
          <color indexed="64"/>
        </top>
      </border>
    </dxf>
    <dxf>
      <font>
        <condense val="0"/>
        <extend val="0"/>
        <color indexed="9"/>
      </font>
      <fill>
        <patternFill patternType="solid">
          <bgColor indexed="9"/>
        </patternFill>
      </fill>
      <border>
        <left/>
        <right style="thin">
          <color indexed="64"/>
        </right>
        <top/>
        <bottom style="thin">
          <color indexed="64"/>
        </bottom>
      </border>
    </dxf>
    <dxf>
      <font>
        <condense val="0"/>
        <extend val="0"/>
        <color indexed="9"/>
      </font>
      <fill>
        <patternFill>
          <bgColor indexed="9"/>
        </patternFill>
      </fill>
      <border>
        <left/>
        <top/>
        <bottom/>
      </border>
    </dxf>
    <dxf>
      <border>
        <top style="thin">
          <color indexed="64"/>
        </top>
      </border>
    </dxf>
    <dxf>
      <font>
        <condense val="0"/>
        <extend val="0"/>
        <color indexed="9"/>
      </font>
      <fill>
        <patternFill patternType="solid">
          <bgColor indexed="9"/>
        </patternFill>
      </fill>
      <border>
        <left/>
        <right/>
        <top/>
        <bottom style="thin">
          <color indexed="64"/>
        </bottom>
      </border>
    </dxf>
    <dxf>
      <font>
        <condense val="0"/>
        <extend val="0"/>
        <color indexed="9"/>
      </font>
      <fill>
        <patternFill>
          <bgColor indexed="9"/>
        </patternFill>
      </fill>
      <border>
        <left/>
        <right/>
        <top/>
        <bottom/>
      </border>
    </dxf>
    <dxf>
      <font>
        <condense val="0"/>
        <extend val="0"/>
        <color indexed="9"/>
      </font>
      <fill>
        <patternFill>
          <bgColor indexed="9"/>
        </patternFill>
      </fill>
    </dxf>
    <dxf>
      <font>
        <condense val="0"/>
        <extend val="0"/>
        <color indexed="9"/>
      </font>
      <fill>
        <patternFill>
          <bgColor indexed="9"/>
        </patternFill>
      </fill>
    </dxf>
    <dxf>
      <font>
        <condense val="0"/>
        <extend val="0"/>
        <color indexed="18"/>
      </font>
      <fill>
        <patternFill>
          <bgColor indexed="18"/>
        </patternFill>
      </fill>
    </dxf>
    <dxf>
      <font>
        <condense val="0"/>
        <extend val="0"/>
        <color indexed="9"/>
      </font>
      <fill>
        <patternFill>
          <bgColor indexed="9"/>
        </patternFill>
      </fill>
    </dxf>
    <dxf>
      <font>
        <condense val="0"/>
        <extend val="0"/>
        <color indexed="9"/>
      </font>
    </dxf>
    <dxf>
      <font>
        <strike val="0"/>
        <condense val="0"/>
        <extend val="0"/>
        <color indexed="18"/>
      </font>
    </dxf>
    <dxf>
      <border>
        <left/>
        <right style="thin">
          <color indexed="64"/>
        </right>
        <top/>
        <bottom/>
      </border>
    </dxf>
    <dxf>
      <font>
        <condense val="0"/>
        <extend val="0"/>
        <color auto="1"/>
      </font>
      <fill>
        <patternFill>
          <bgColor indexed="43"/>
        </patternFill>
      </fill>
      <border>
        <left style="thin">
          <color indexed="64"/>
        </left>
        <right style="thin">
          <color indexed="64"/>
        </right>
        <top style="thin">
          <color indexed="64"/>
        </top>
        <bottom style="thin">
          <color indexed="64"/>
        </bottom>
      </border>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border>
        <top style="thin">
          <color indexed="64"/>
        </top>
      </border>
    </dxf>
    <dxf>
      <border>
        <top style="thin">
          <color indexed="64"/>
        </top>
      </border>
    </dxf>
    <dxf>
      <border>
        <top style="thin">
          <color indexed="64"/>
        </top>
      </border>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border>
        <left/>
        <right/>
        <top/>
        <bottom/>
      </border>
    </dxf>
    <dxf>
      <font>
        <condense val="0"/>
        <extend val="0"/>
        <color indexed="18"/>
      </font>
      <fill>
        <patternFill>
          <bgColor indexed="18"/>
        </patternFill>
      </fill>
    </dxf>
    <dxf>
      <font>
        <condense val="0"/>
        <extend val="0"/>
        <color indexed="9"/>
      </font>
      <fill>
        <patternFill>
          <bgColor indexed="9"/>
        </patternFill>
      </fill>
      <border>
        <left/>
        <right/>
        <top/>
        <bottom style="thin">
          <color indexed="64"/>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style="thin">
          <color indexed="64"/>
        </bottom>
      </border>
    </dxf>
    <dxf>
      <font>
        <condense val="0"/>
        <extend val="0"/>
        <color indexed="9"/>
      </font>
      <fill>
        <patternFill>
          <bgColor indexed="9"/>
        </patternFill>
      </fill>
      <border>
        <left/>
        <right/>
        <top/>
        <bottom/>
      </border>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border>
        <left/>
        <right/>
        <top/>
        <bottom style="thin">
          <color indexed="64"/>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style="thin">
          <color indexed="64"/>
        </left>
        <right/>
        <top/>
        <bottom/>
      </border>
    </dxf>
    <dxf>
      <font>
        <b val="0"/>
        <i/>
        <condense val="0"/>
        <extend val="0"/>
        <u/>
        <color indexed="12"/>
      </font>
      <fill>
        <patternFill>
          <bgColor indexed="9"/>
        </patternFill>
      </fill>
    </dxf>
    <dxf>
      <font>
        <b val="0"/>
        <i/>
        <condense val="0"/>
        <extend val="0"/>
        <u/>
        <color indexed="12"/>
      </font>
      <fill>
        <patternFill>
          <bgColor indexed="9"/>
        </patternFill>
      </fill>
    </dxf>
    <dxf>
      <font>
        <b val="0"/>
        <i/>
        <condense val="0"/>
        <extend val="0"/>
        <u/>
        <color indexed="12"/>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ill>
        <patternFill>
          <bgColor indexed="43"/>
        </patternFill>
      </fill>
      <border>
        <left style="thin">
          <color indexed="64"/>
        </left>
        <right style="thin">
          <color indexed="64"/>
        </right>
        <top style="thin">
          <color indexed="64"/>
        </top>
        <bottom style="thin">
          <color indexed="64"/>
        </bottom>
      </border>
    </dxf>
    <dxf>
      <font>
        <b val="0"/>
        <i/>
        <condense val="0"/>
        <extend val="0"/>
        <u/>
        <color indexed="12"/>
      </font>
      <fill>
        <patternFill>
          <bgColor indexed="9"/>
        </patternFill>
      </fill>
    </dxf>
    <dxf>
      <font>
        <b val="0"/>
        <i/>
        <condense val="0"/>
        <extend val="0"/>
        <u/>
        <color indexed="12"/>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border>
        <left/>
        <right/>
        <top/>
        <bottom/>
      </border>
    </dxf>
    <dxf>
      <font>
        <condense val="0"/>
        <extend val="0"/>
        <color indexed="9"/>
      </font>
      <fill>
        <patternFill>
          <bgColor indexed="9"/>
        </patternFill>
      </fill>
      <border>
        <left/>
        <right/>
        <top style="thin">
          <color indexed="64"/>
        </top>
        <bottom/>
      </border>
    </dxf>
    <dxf>
      <font>
        <condense val="0"/>
        <extend val="0"/>
        <color indexed="9"/>
      </font>
      <fill>
        <patternFill>
          <bgColor indexed="9"/>
        </patternFill>
      </fill>
    </dxf>
    <dxf>
      <font>
        <condense val="0"/>
        <extend val="0"/>
        <color indexed="9"/>
      </font>
      <fill>
        <patternFill>
          <bgColor indexed="9"/>
        </patternFill>
      </fill>
    </dxf>
    <dxf>
      <font>
        <condense val="0"/>
        <extend val="0"/>
        <color auto="1"/>
      </font>
      <fill>
        <patternFill>
          <bgColor indexed="43"/>
        </patternFill>
      </fill>
      <border>
        <left style="thin">
          <color indexed="64"/>
        </left>
        <right style="thin">
          <color indexed="64"/>
        </right>
        <top style="thin">
          <color indexed="64"/>
        </top>
        <bottom style="thin">
          <color indexed="64"/>
        </bottom>
      </border>
    </dxf>
    <dxf>
      <font>
        <condense val="0"/>
        <extend val="0"/>
        <color indexed="9"/>
      </font>
      <fill>
        <patternFill>
          <bgColor indexed="9"/>
        </patternFill>
      </fill>
    </dxf>
    <dxf>
      <font>
        <b/>
        <i val="0"/>
        <condense val="0"/>
        <extend val="0"/>
        <color auto="1"/>
      </font>
      <fill>
        <patternFill>
          <bgColor indexed="9"/>
        </patternFill>
      </fill>
    </dxf>
    <dxf>
      <font>
        <condense val="0"/>
        <extend val="0"/>
        <color indexed="9"/>
      </font>
      <fill>
        <patternFill>
          <bgColor indexed="9"/>
        </patternFill>
      </fill>
    </dxf>
    <dxf>
      <font>
        <condense val="0"/>
        <extend val="0"/>
        <color auto="1"/>
      </font>
      <fill>
        <patternFill>
          <bgColor indexed="43"/>
        </patternFill>
      </fill>
      <border>
        <left style="thin">
          <color indexed="64"/>
        </left>
        <right style="thin">
          <color indexed="64"/>
        </right>
        <top style="thin">
          <color indexed="64"/>
        </top>
        <bottom style="thin">
          <color indexed="64"/>
        </bottom>
      </border>
    </dxf>
    <dxf>
      <font>
        <condense val="0"/>
        <extend val="0"/>
        <color indexed="9"/>
      </font>
      <fill>
        <patternFill>
          <bgColor indexed="9"/>
        </patternFill>
      </fill>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b/>
        <i val="0"/>
        <condense val="0"/>
        <extend val="0"/>
        <color indexed="10"/>
      </font>
      <fill>
        <patternFill>
          <bgColor indexed="9"/>
        </patternFill>
      </fill>
    </dxf>
    <dxf>
      <font>
        <b val="0"/>
        <i/>
        <condense val="0"/>
        <extend val="0"/>
        <color indexed="12"/>
      </font>
      <fill>
        <patternFill>
          <bgColor indexed="9"/>
        </patternFill>
      </fill>
    </dxf>
    <dxf>
      <font>
        <condense val="0"/>
        <extend val="0"/>
        <color indexed="9"/>
      </font>
      <fill>
        <patternFill>
          <bgColor indexed="9"/>
        </patternFill>
      </fill>
      <border>
        <left/>
        <right/>
        <top/>
        <bottom/>
      </border>
    </dxf>
    <dxf>
      <font>
        <strike val="0"/>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dxf>
    <dxf>
      <font>
        <strike val="0"/>
        <condense val="0"/>
        <extend val="0"/>
        <color indexed="9"/>
      </font>
      <fill>
        <patternFill>
          <bgColor indexed="9"/>
        </patternFill>
      </fill>
      <border>
        <left/>
        <right/>
        <top/>
        <bottom/>
      </border>
    </dxf>
    <dxf>
      <font>
        <condense val="0"/>
        <extend val="0"/>
        <color indexed="9"/>
      </font>
      <fill>
        <patternFill>
          <bgColor indexed="9"/>
        </patternFill>
      </fill>
    </dxf>
    <dxf>
      <font>
        <condense val="0"/>
        <extend val="0"/>
        <color indexed="9"/>
      </font>
    </dxf>
    <dxf>
      <fill>
        <patternFill>
          <bgColor indexed="44"/>
        </patternFill>
      </fill>
      <border>
        <left style="thin">
          <color indexed="64"/>
        </left>
        <right style="thin">
          <color indexed="64"/>
        </right>
        <top style="thin">
          <color indexed="64"/>
        </top>
        <bottom style="thin">
          <color indexed="64"/>
        </bottom>
      </border>
    </dxf>
    <dxf>
      <fill>
        <patternFill>
          <bgColor indexed="44"/>
        </patternFill>
      </fill>
    </dxf>
    <dxf>
      <fill>
        <patternFill>
          <bgColor indexed="22"/>
        </patternFill>
      </fill>
    </dxf>
    <dxf>
      <font>
        <condense val="0"/>
        <extend val="0"/>
        <color indexed="9"/>
      </font>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dxf>
    <dxf>
      <font>
        <condense val="0"/>
        <extend val="0"/>
        <color indexed="9"/>
      </font>
    </dxf>
    <dxf>
      <font>
        <condense val="0"/>
        <extend val="0"/>
        <color indexed="9"/>
      </font>
    </dxf>
    <dxf>
      <font>
        <condense val="0"/>
        <extend val="0"/>
        <color indexed="9"/>
      </font>
    </dxf>
    <dxf>
      <font>
        <b val="0"/>
        <i/>
        <condense val="0"/>
        <extend val="0"/>
        <color indexed="12"/>
      </font>
      <fill>
        <patternFill>
          <bgColor indexed="9"/>
        </patternFill>
      </fill>
    </dxf>
    <dxf>
      <font>
        <condense val="0"/>
        <extend val="0"/>
        <color indexed="9"/>
      </font>
      <fill>
        <patternFill>
          <bgColor indexed="9"/>
        </patternFill>
      </fill>
      <border>
        <left/>
        <right/>
        <top/>
        <bottom/>
      </border>
    </dxf>
    <dxf>
      <font>
        <b/>
        <i val="0"/>
        <condense val="0"/>
        <extend val="0"/>
        <color indexed="10"/>
      </font>
      <fill>
        <patternFill>
          <bgColor indexed="9"/>
        </patternFill>
      </fill>
    </dxf>
    <dxf>
      <font>
        <b val="0"/>
        <i/>
        <condense val="0"/>
        <extend val="0"/>
        <color indexed="12"/>
      </font>
      <fill>
        <patternFill>
          <bgColor indexed="9"/>
        </patternFill>
      </fill>
    </dxf>
    <dxf>
      <font>
        <condense val="0"/>
        <extend val="0"/>
        <color indexed="9"/>
      </font>
    </dxf>
    <dxf>
      <font>
        <condense val="0"/>
        <extend val="0"/>
        <color indexed="9"/>
      </font>
      <fill>
        <patternFill>
          <bgColor indexed="9"/>
        </patternFill>
      </fill>
      <border>
        <left/>
        <right/>
        <top/>
        <bottom/>
      </border>
    </dxf>
    <dxf>
      <fill>
        <patternFill>
          <bgColor indexed="43"/>
        </patternFill>
      </fill>
    </dxf>
    <dxf>
      <font>
        <condense val="0"/>
        <extend val="0"/>
        <color indexed="9"/>
      </font>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border>
        <left/>
        <right/>
      </border>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ill>
        <patternFill>
          <bgColor indexed="43"/>
        </patternFill>
      </fill>
    </dxf>
    <dxf>
      <font>
        <b val="0"/>
        <i/>
        <condense val="0"/>
        <extend val="0"/>
        <u/>
        <color indexed="12"/>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ill>
        <patternFill>
          <bgColor indexed="43"/>
        </patternFill>
      </fill>
    </dxf>
    <dxf>
      <fill>
        <patternFill>
          <bgColor indexed="43"/>
        </patternFill>
      </fill>
    </dxf>
    <dxf>
      <font>
        <condense val="0"/>
        <extend val="0"/>
        <color indexed="9"/>
      </font>
      <fill>
        <patternFill>
          <bgColor indexed="9"/>
        </patternFill>
      </fill>
    </dxf>
    <dxf>
      <fill>
        <patternFill>
          <bgColor indexed="43"/>
        </patternFill>
      </fill>
    </dxf>
    <dxf>
      <fill>
        <patternFill>
          <bgColor indexed="43"/>
        </patternFill>
      </fill>
    </dxf>
    <dxf>
      <font>
        <b/>
        <i val="0"/>
        <condense val="0"/>
        <extend val="0"/>
      </font>
    </dxf>
    <dxf>
      <font>
        <condense val="0"/>
        <extend val="0"/>
        <color indexed="9"/>
      </font>
      <fill>
        <patternFill>
          <bgColor indexed="9"/>
        </patternFill>
      </fill>
    </dxf>
    <dxf>
      <fill>
        <patternFill>
          <bgColor indexed="43"/>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dxf>
    <dxf>
      <font>
        <condense val="0"/>
        <extend val="0"/>
        <color indexed="9"/>
      </font>
      <fill>
        <patternFill>
          <bgColor indexed="9"/>
        </patternFill>
      </fill>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b/>
        <i val="0"/>
        <condense val="0"/>
        <extend val="0"/>
        <color indexed="10"/>
      </font>
    </dxf>
    <dxf>
      <font>
        <b/>
        <i val="0"/>
        <condense val="0"/>
        <extend val="0"/>
        <color indexed="10"/>
      </font>
    </dxf>
    <dxf>
      <font>
        <condense val="0"/>
        <extend val="0"/>
        <color indexed="9"/>
      </font>
      <fill>
        <patternFill>
          <bgColor indexed="9"/>
        </patternFill>
      </fill>
      <border>
        <left/>
        <right/>
        <top/>
        <bottom/>
      </border>
    </dxf>
    <dxf>
      <font>
        <b/>
        <i val="0"/>
        <condense val="0"/>
        <extend val="0"/>
        <color indexed="10"/>
      </font>
      <fill>
        <patternFill>
          <bgColor indexed="9"/>
        </patternFill>
      </fill>
    </dxf>
    <dxf>
      <font>
        <b/>
        <i val="0"/>
        <condense val="0"/>
        <extend val="0"/>
        <color indexed="10"/>
      </font>
      <fill>
        <patternFill>
          <bgColor indexed="9"/>
        </patternFill>
      </fill>
    </dxf>
    <dxf>
      <font>
        <condense val="0"/>
        <extend val="0"/>
        <color indexed="10"/>
      </font>
      <fill>
        <patternFill>
          <bgColor indexed="9"/>
        </patternFill>
      </fill>
    </dxf>
    <dxf>
      <font>
        <condense val="0"/>
        <extend val="0"/>
        <color indexed="9"/>
      </font>
      <fill>
        <patternFill>
          <bgColor indexed="9"/>
        </patternFill>
      </fill>
      <border>
        <left/>
        <right/>
        <top/>
        <bottom/>
      </border>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b/>
        <i val="0"/>
        <condense val="0"/>
        <extend val="0"/>
        <color auto="1"/>
      </font>
      <fill>
        <patternFill>
          <bgColor indexed="9"/>
        </patternFill>
      </fill>
      <border>
        <left/>
        <right/>
        <top/>
        <bottom/>
      </border>
    </dxf>
    <dxf>
      <font>
        <condense val="0"/>
        <extend val="0"/>
        <color indexed="9"/>
      </font>
      <fill>
        <patternFill>
          <bgColor indexed="9"/>
        </patternFill>
      </fill>
      <border>
        <top style="thin">
          <color indexed="64"/>
        </top>
      </border>
    </dxf>
    <dxf>
      <font>
        <condense val="0"/>
        <extend val="0"/>
        <color indexed="9"/>
      </font>
      <fill>
        <patternFill>
          <bgColor indexed="9"/>
        </patternFill>
      </fill>
      <border>
        <bottom style="thin">
          <color indexed="64"/>
        </bottom>
      </border>
    </dxf>
    <dxf>
      <font>
        <condense val="0"/>
        <extend val="0"/>
        <color auto="1"/>
      </font>
      <fill>
        <patternFill>
          <bgColor indexed="43"/>
        </patternFill>
      </fill>
      <border>
        <left style="thin">
          <color indexed="64"/>
        </left>
        <right style="thin">
          <color indexed="64"/>
        </right>
        <top style="thin">
          <color indexed="64"/>
        </top>
        <bottom style="thin">
          <color indexed="64"/>
        </bottom>
      </border>
    </dxf>
    <dxf>
      <font>
        <condense val="0"/>
        <extend val="0"/>
        <color indexed="9"/>
      </font>
      <fill>
        <patternFill>
          <bgColor indexed="9"/>
        </patternFill>
      </fill>
    </dxf>
    <dxf>
      <font>
        <condense val="0"/>
        <extend val="0"/>
        <color indexed="9"/>
      </font>
      <fill>
        <patternFill>
          <bgColor indexed="9"/>
        </patternFill>
      </fill>
      <border>
        <left/>
        <right/>
        <top/>
        <bottom/>
      </border>
    </dxf>
    <dxf>
      <font>
        <condense val="0"/>
        <extend val="0"/>
        <color indexed="9"/>
      </font>
      <fill>
        <patternFill>
          <bgColor indexed="9"/>
        </patternFill>
      </fill>
    </dxf>
    <dxf>
      <font>
        <condense val="0"/>
        <extend val="0"/>
        <color indexed="9"/>
      </font>
      <fill>
        <patternFill>
          <bgColor indexed="9"/>
        </patternFill>
      </fill>
      <border>
        <left/>
        <right/>
        <top/>
        <bottom/>
      </border>
    </dxf>
    <dxf>
      <font>
        <condense val="0"/>
        <extend val="0"/>
        <color indexed="9"/>
      </font>
      <fill>
        <patternFill>
          <bgColor indexed="9"/>
        </patternFill>
      </fill>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style="thin">
          <color indexed="64"/>
        </bottom>
      </border>
    </dxf>
    <dxf>
      <font>
        <condense val="0"/>
        <extend val="0"/>
        <color indexed="9"/>
      </font>
      <fill>
        <patternFill>
          <bgColor indexed="9"/>
        </patternFill>
      </fill>
      <border>
        <left/>
        <right/>
        <top/>
        <bottom style="thin">
          <color indexed="64"/>
        </bottom>
      </border>
    </dxf>
    <dxf>
      <font>
        <condense val="0"/>
        <extend val="0"/>
        <color indexed="9"/>
      </font>
      <fill>
        <patternFill>
          <bgColor indexed="9"/>
        </patternFill>
      </fill>
      <border>
        <left/>
        <right/>
        <top/>
        <bottom style="thin">
          <color indexed="64"/>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dxf>
    <dxf>
      <font>
        <condense val="0"/>
        <extend val="0"/>
        <color indexed="9"/>
      </font>
      <fill>
        <patternFill>
          <bgColor indexed="9"/>
        </patternFill>
      </fill>
      <border>
        <left/>
        <right/>
        <top/>
        <bottom/>
      </border>
    </dxf>
    <dxf>
      <font>
        <condense val="0"/>
        <extend val="0"/>
        <color indexed="9"/>
      </font>
    </dxf>
    <dxf>
      <font>
        <condense val="0"/>
        <extend val="0"/>
        <color indexed="9"/>
      </font>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ill>
        <patternFill>
          <bgColor indexed="44"/>
        </patternFill>
      </fill>
      <border>
        <left style="thin">
          <color indexed="64"/>
        </left>
        <right style="thin">
          <color indexed="64"/>
        </right>
        <top style="thin">
          <color indexed="64"/>
        </top>
        <bottom style="thin">
          <color indexed="64"/>
        </bottom>
      </border>
    </dxf>
    <dxf>
      <fill>
        <patternFill>
          <bgColor indexed="44"/>
        </patternFill>
      </fill>
    </dxf>
    <dxf>
      <font>
        <condense val="0"/>
        <extend val="0"/>
        <color indexed="9"/>
      </font>
      <fill>
        <patternFill>
          <bgColor indexed="9"/>
        </patternFill>
      </fill>
    </dxf>
    <dxf>
      <font>
        <condense val="0"/>
        <extend val="0"/>
        <color indexed="9"/>
      </font>
    </dxf>
    <dxf>
      <font>
        <condense val="0"/>
        <extend val="0"/>
        <color indexed="9"/>
      </font>
      <fill>
        <patternFill>
          <bgColor indexed="9"/>
        </patternFill>
      </fill>
    </dxf>
    <dxf>
      <font>
        <condense val="0"/>
        <extend val="0"/>
        <color indexed="9"/>
      </font>
    </dxf>
    <dxf>
      <font>
        <condense val="0"/>
        <extend val="0"/>
        <color indexed="9"/>
      </font>
      <fill>
        <patternFill>
          <bgColor indexed="9"/>
        </patternFill>
      </fill>
    </dxf>
    <dxf>
      <font>
        <condense val="0"/>
        <extend val="0"/>
        <color indexed="9"/>
      </font>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dxf>
    <dxf>
      <font>
        <condense val="0"/>
        <extend val="0"/>
        <color indexed="9"/>
      </font>
      <fill>
        <patternFill>
          <bgColor indexed="9"/>
        </patternFill>
      </fill>
      <border>
        <lef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style="thin">
          <color indexed="64"/>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dxf>
    <dxf>
      <font>
        <condense val="0"/>
        <extend val="0"/>
        <color indexed="9"/>
      </font>
      <fill>
        <patternFill>
          <bgColor indexed="9"/>
        </patternFill>
      </fill>
      <border>
        <left/>
        <right/>
        <top/>
        <bottom/>
      </border>
    </dxf>
    <dxf>
      <fill>
        <patternFill>
          <bgColor indexed="22"/>
        </patternFill>
      </fill>
    </dxf>
    <dxf>
      <font>
        <condense val="0"/>
        <extend val="0"/>
        <color indexed="9"/>
      </font>
      <fill>
        <patternFill>
          <bgColor indexed="9"/>
        </patternFill>
      </fill>
      <border>
        <left/>
        <right/>
        <top/>
        <bottom/>
      </border>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dxf>
    <dxf>
      <font>
        <condense val="0"/>
        <extend val="0"/>
        <color indexed="22"/>
      </font>
      <fill>
        <patternFill>
          <bgColor indexed="22"/>
        </patternFill>
      </fill>
      <border>
        <left style="thin">
          <color indexed="64"/>
        </left>
        <right style="thin">
          <color indexed="64"/>
        </right>
        <top style="thin">
          <color indexed="64"/>
        </top>
        <bottom style="thin">
          <color indexed="64"/>
        </bottom>
      </border>
    </dxf>
    <dxf>
      <font>
        <b val="0"/>
        <i/>
        <condense val="0"/>
        <extend val="0"/>
        <color indexed="12"/>
      </font>
      <border>
        <bottom/>
      </border>
    </dxf>
    <dxf>
      <font>
        <condense val="0"/>
        <extend val="0"/>
        <color indexed="9"/>
      </font>
    </dxf>
    <dxf>
      <font>
        <b val="0"/>
        <i/>
        <condense val="0"/>
        <extend val="0"/>
        <color indexed="12"/>
      </font>
      <border>
        <bottom/>
      </border>
    </dxf>
    <dxf>
      <font>
        <condense val="0"/>
        <extend val="0"/>
        <color indexed="9"/>
      </font>
    </dxf>
    <dxf>
      <font>
        <b val="0"/>
        <i/>
        <condense val="0"/>
        <extend val="0"/>
        <color indexed="12"/>
      </font>
      <fill>
        <patternFill>
          <bgColor indexed="9"/>
        </patternFill>
      </fill>
    </dxf>
    <dxf>
      <font>
        <condense val="0"/>
        <extend val="0"/>
        <color indexed="9"/>
      </font>
      <fill>
        <patternFill>
          <bgColor indexed="9"/>
        </patternFill>
      </fill>
    </dxf>
    <dxf>
      <font>
        <condense val="0"/>
        <extend val="0"/>
        <color auto="1"/>
      </font>
      <fill>
        <patternFill>
          <bgColor indexed="9"/>
        </patternFill>
      </fill>
    </dxf>
    <dxf>
      <font>
        <condense val="0"/>
        <extend val="0"/>
        <color indexed="9"/>
      </font>
      <fill>
        <patternFill patternType="solid">
          <bgColor indexed="9"/>
        </patternFill>
      </fill>
      <border>
        <left/>
        <right/>
        <top/>
        <bottom/>
      </border>
    </dxf>
    <dxf>
      <font>
        <condense val="0"/>
        <extend val="0"/>
        <color indexed="9"/>
      </font>
      <fill>
        <patternFill>
          <bgColor indexed="9"/>
        </patternFill>
      </fill>
    </dxf>
    <dxf>
      <font>
        <b val="0"/>
        <i/>
        <condense val="0"/>
        <extend val="0"/>
        <u/>
        <color indexed="12"/>
      </font>
      <fill>
        <patternFill patternType="solid">
          <bgColor indexed="9"/>
        </patternFill>
      </fill>
      <border>
        <left/>
        <right/>
        <top/>
        <bottom/>
      </border>
    </dxf>
    <dxf>
      <font>
        <condense val="0"/>
        <extend val="0"/>
        <color auto="1"/>
      </font>
      <fill>
        <patternFill>
          <bgColor indexed="43"/>
        </patternFill>
      </fill>
      <border>
        <left style="thin">
          <color indexed="64"/>
        </left>
        <right style="thin">
          <color indexed="64"/>
        </right>
        <top style="thin">
          <color indexed="64"/>
        </top>
        <bottom style="thin">
          <color indexed="64"/>
        </bottom>
      </border>
    </dxf>
    <dxf>
      <font>
        <strike val="0"/>
        <condense val="0"/>
        <extend val="0"/>
        <color indexed="9"/>
      </font>
      <fill>
        <patternFill>
          <bgColor indexed="9"/>
        </patternFill>
      </fill>
      <border>
        <left/>
        <right/>
        <top/>
        <bottom/>
      </border>
    </dxf>
    <dxf>
      <font>
        <condense val="0"/>
        <extend val="0"/>
        <color auto="1"/>
      </font>
      <fill>
        <patternFill>
          <bgColor indexed="9"/>
        </patternFill>
      </fill>
    </dxf>
    <dxf>
      <font>
        <b/>
        <i val="0"/>
        <strike val="0"/>
        <condense val="0"/>
        <extend val="0"/>
        <color indexed="9"/>
      </font>
      <fill>
        <patternFill>
          <bgColor indexed="9"/>
        </patternFill>
      </fill>
    </dxf>
    <dxf>
      <font>
        <b val="0"/>
        <i/>
        <condense val="0"/>
        <extend val="0"/>
        <u/>
        <color indexed="12"/>
      </font>
      <fill>
        <patternFill patternType="solid">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dxf>
    <dxf>
      <border>
        <left style="thin">
          <color indexed="64"/>
        </left>
        <right/>
      </border>
    </dxf>
    <dxf>
      <font>
        <b/>
        <i val="0"/>
        <condense val="0"/>
        <extend val="0"/>
        <color indexed="10"/>
      </font>
      <fill>
        <patternFill>
          <bgColor indexed="43"/>
        </patternFill>
      </fill>
    </dxf>
    <dxf>
      <font>
        <b val="0"/>
        <i/>
        <condense val="0"/>
        <extend val="0"/>
        <color indexed="12"/>
      </font>
    </dxf>
    <dxf>
      <font>
        <condense val="0"/>
        <extend val="0"/>
        <color indexed="9"/>
      </font>
    </dxf>
    <dxf>
      <font>
        <b/>
        <i val="0"/>
        <condense val="0"/>
        <extend val="0"/>
        <color indexed="10"/>
      </font>
      <fill>
        <patternFill>
          <bgColor indexed="43"/>
        </patternFill>
      </fill>
    </dxf>
    <dxf>
      <fill>
        <patternFill patternType="solid">
          <bgColor indexed="9"/>
        </patternFill>
      </fill>
      <border>
        <left/>
        <right/>
        <top/>
        <bottom/>
      </border>
    </dxf>
    <dxf>
      <border>
        <left style="thin">
          <color indexed="64"/>
        </left>
        <right style="thin">
          <color indexed="64"/>
        </right>
      </border>
    </dxf>
    <dxf>
      <font>
        <condense val="0"/>
        <extend val="0"/>
        <color auto="1"/>
      </font>
      <fill>
        <patternFill>
          <bgColor indexed="43"/>
        </patternFill>
      </fill>
      <border>
        <left style="thin">
          <color indexed="64"/>
        </left>
        <right style="thin">
          <color indexed="64"/>
        </right>
        <top style="thin">
          <color indexed="64"/>
        </top>
        <bottom style="thin">
          <color indexed="64"/>
        </bottom>
      </border>
    </dxf>
    <dxf>
      <fill>
        <patternFill>
          <bgColor indexed="43"/>
        </patternFill>
      </fill>
      <border>
        <left style="thin">
          <color indexed="64"/>
        </left>
        <right style="thin">
          <color indexed="64"/>
        </right>
        <top style="thin">
          <color indexed="64"/>
        </top>
        <bottom style="thin">
          <color indexed="64"/>
        </bottom>
      </border>
    </dxf>
    <dxf>
      <border>
        <left/>
        <right/>
      </border>
    </dxf>
    <dxf>
      <font>
        <condense val="0"/>
        <extend val="0"/>
        <color indexed="9"/>
      </font>
      <border>
        <left/>
        <right style="thin">
          <color indexed="64"/>
        </right>
        <top/>
        <bottom style="thin">
          <color indexed="64"/>
        </bottom>
      </border>
    </dxf>
    <dxf>
      <fill>
        <patternFill>
          <bgColor indexed="43"/>
        </patternFill>
      </fill>
      <border>
        <left style="thin">
          <color indexed="64"/>
        </left>
        <right style="thin">
          <color indexed="64"/>
        </right>
        <top style="thin">
          <color indexed="64"/>
        </top>
      </border>
    </dxf>
    <dxf>
      <font>
        <condense val="0"/>
        <extend val="0"/>
        <color indexed="9"/>
      </font>
      <border>
        <left/>
        <right/>
        <top/>
        <bottom style="thin">
          <color indexed="64"/>
        </bottom>
      </border>
    </dxf>
    <dxf>
      <fill>
        <patternFill>
          <bgColor indexed="43"/>
        </patternFill>
      </fill>
      <border>
        <left style="thin">
          <color indexed="64"/>
        </left>
        <right style="thin">
          <color indexed="64"/>
        </right>
        <top style="thin">
          <color indexed="64"/>
        </top>
      </border>
    </dxf>
    <dxf>
      <font>
        <condense val="0"/>
        <extend val="0"/>
        <color indexed="9"/>
      </font>
    </dxf>
    <dxf>
      <fill>
        <patternFill>
          <bgColor indexed="43"/>
        </patternFill>
      </fill>
      <border>
        <left style="thin">
          <color indexed="64"/>
        </left>
        <right style="thin">
          <color indexed="64"/>
        </right>
        <top style="thin">
          <color indexed="64"/>
        </top>
      </border>
    </dxf>
    <dxf>
      <font>
        <condense val="0"/>
        <extend val="0"/>
        <color indexed="9"/>
      </font>
      <fill>
        <patternFill>
          <bgColor indexed="9"/>
        </patternFill>
      </fill>
      <border>
        <left/>
        <right style="thin">
          <color indexed="64"/>
        </right>
        <top/>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ill>
        <patternFill>
          <bgColor indexed="22"/>
        </patternFill>
      </fill>
    </dxf>
    <dxf>
      <fill>
        <patternFill>
          <bgColor indexed="22"/>
        </patternFill>
      </fill>
    </dxf>
    <dxf>
      <font>
        <strike val="0"/>
        <condense val="0"/>
        <extend val="0"/>
        <u/>
        <color indexed="9"/>
      </font>
      <fill>
        <patternFill>
          <bgColor indexed="9"/>
        </patternFill>
      </fill>
      <border>
        <left/>
        <right style="thin">
          <color indexed="64"/>
        </right>
        <top/>
        <bottom/>
      </border>
    </dxf>
    <dxf>
      <font>
        <condense val="0"/>
        <extend val="0"/>
        <color indexed="9"/>
      </font>
      <fill>
        <patternFill>
          <bgColor indexed="9"/>
        </patternFill>
      </fill>
      <border>
        <left/>
        <right style="thin">
          <color indexed="64"/>
        </right>
        <top/>
        <bottom/>
      </border>
    </dxf>
    <dxf>
      <font>
        <condense val="0"/>
        <extend val="0"/>
        <color indexed="9"/>
      </font>
      <fill>
        <patternFill>
          <bgColor indexed="9"/>
        </patternFill>
      </fill>
      <border>
        <left/>
        <right style="thin">
          <color indexed="64"/>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style="thin">
          <color indexed="64"/>
        </right>
        <top/>
        <bottom/>
      </border>
    </dxf>
    <dxf>
      <font>
        <condense val="0"/>
        <extend val="0"/>
        <color indexed="9"/>
      </font>
      <fill>
        <patternFill>
          <bgColor indexed="9"/>
        </patternFill>
      </fill>
      <border>
        <left/>
        <right style="thin">
          <color indexed="64"/>
        </right>
        <top/>
        <bottom/>
      </border>
    </dxf>
    <dxf>
      <font>
        <condense val="0"/>
        <extend val="0"/>
        <color indexed="9"/>
      </font>
      <fill>
        <patternFill>
          <bgColor indexed="9"/>
        </patternFill>
      </fill>
      <border>
        <left style="thin">
          <color indexed="64"/>
        </left>
        <right/>
        <top/>
      </border>
    </dxf>
    <dxf>
      <font>
        <condense val="0"/>
        <extend val="0"/>
        <color indexed="9"/>
      </font>
      <fill>
        <patternFill>
          <bgColor indexed="9"/>
        </patternFill>
      </fill>
    </dxf>
    <dxf>
      <font>
        <condense val="0"/>
        <extend val="0"/>
        <color indexed="22"/>
      </font>
      <fill>
        <patternFill>
          <bgColor indexed="22"/>
        </patternFill>
      </fill>
    </dxf>
    <dxf>
      <font>
        <condense val="0"/>
        <extend val="0"/>
        <color indexed="9"/>
      </font>
      <fill>
        <patternFill>
          <bgColor indexed="9"/>
        </patternFill>
      </fill>
      <border>
        <left/>
        <right/>
        <top/>
      </border>
    </dxf>
    <dxf>
      <font>
        <strike val="0"/>
        <condense val="0"/>
        <extend val="0"/>
        <u/>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dxf>
    <dxf>
      <font>
        <condense val="0"/>
        <extend val="0"/>
        <color indexed="9"/>
      </font>
      <fill>
        <patternFill>
          <bgColor indexed="9"/>
        </patternFill>
      </fill>
      <border>
        <left/>
        <right/>
        <top/>
        <bottom/>
      </border>
    </dxf>
    <dxf>
      <font>
        <condense val="0"/>
        <extend val="0"/>
        <color indexed="9"/>
      </font>
      <fill>
        <patternFill>
          <bgColor indexed="9"/>
        </patternFill>
      </fill>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22"/>
      </font>
      <fill>
        <patternFill>
          <bgColor indexed="22"/>
        </patternFill>
      </fill>
    </dxf>
    <dxf>
      <fill>
        <patternFill>
          <bgColor indexed="22"/>
        </patternFill>
      </fill>
    </dxf>
    <dxf>
      <font>
        <condense val="0"/>
        <extend val="0"/>
        <color auto="1"/>
      </font>
      <fill>
        <patternFill>
          <bgColor indexed="22"/>
        </patternFill>
      </fill>
      <border>
        <left style="thin">
          <color indexed="64"/>
        </left>
        <right style="thin">
          <color indexed="64"/>
        </right>
        <top style="thin">
          <color indexed="64"/>
        </top>
        <bottom style="thin">
          <color indexed="64"/>
        </bottom>
      </border>
    </dxf>
    <dxf>
      <font>
        <condense val="0"/>
        <extend val="0"/>
        <color indexed="18"/>
      </font>
      <fill>
        <patternFill>
          <bgColor indexe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ADBCF"/>
      <rgbColor rgb="0000FFFF"/>
      <rgbColor rgb="00FDF7E6"/>
      <rgbColor rgb="00008000"/>
      <rgbColor rgb="00000080"/>
      <rgbColor rgb="00808000"/>
      <rgbColor rgb="00800080"/>
      <rgbColor rgb="00008080"/>
      <rgbColor rgb="00EAEAEA"/>
      <rgbColor rgb="00808080"/>
      <rgbColor rgb="009999FF"/>
      <rgbColor rgb="00993366"/>
      <rgbColor rgb="00FFFFCC"/>
      <rgbColor rgb="00CCFFFF"/>
      <rgbColor rgb="00660066"/>
      <rgbColor rgb="00FF8080"/>
      <rgbColor rgb="000066CC"/>
      <rgbColor rgb="00CCCCFF"/>
      <rgbColor rgb="005D82F9"/>
      <rgbColor rgb="00FF00FF"/>
      <rgbColor rgb="00FFFF00"/>
      <rgbColor rgb="0000FFFF"/>
      <rgbColor rgb="00800080"/>
      <rgbColor rgb="00800000"/>
      <rgbColor rgb="00008080"/>
      <rgbColor rgb="000000FF"/>
      <rgbColor rgb="0000CCFF"/>
      <rgbColor rgb="00CCFFFF"/>
      <rgbColor rgb="00CCFFCC"/>
      <rgbColor rgb="00FFFFCC"/>
      <rgbColor rgb="00DAE8F4"/>
      <rgbColor rgb="00B8D3EA"/>
      <rgbColor rgb="00CC99FF"/>
      <rgbColor rgb="00FFCC99"/>
      <rgbColor rgb="003366FF"/>
      <rgbColor rgb="0033CCCC"/>
      <rgbColor rgb="0099CC00"/>
      <rgbColor rgb="00FFCC00"/>
      <rgbColor rgb="00FF9900"/>
      <rgbColor rgb="002B348D"/>
      <rgbColor rgb="00666699"/>
      <rgbColor rgb="00969696"/>
      <rgbColor rgb="00003366"/>
      <rgbColor rgb="00339966"/>
      <rgbColor rgb="00003300"/>
      <rgbColor rgb="00333300"/>
      <rgbColor rgb="00DFE4EB"/>
      <rgbColor rgb="00993366"/>
      <rgbColor rgb="00364980"/>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_rels/activeX81.xml.rels><?xml version="1.0" encoding="UTF-8" standalone="yes"?>
<Relationships xmlns="http://schemas.openxmlformats.org/package/2006/relationships"><Relationship Id="rId1" Type="http://schemas.microsoft.com/office/2006/relationships/activeXControlBinary" Target="activeX81.bin"/></Relationships>
</file>

<file path=xl/activeX/_rels/activeX82.xml.rels><?xml version="1.0" encoding="UTF-8" standalone="yes"?>
<Relationships xmlns="http://schemas.openxmlformats.org/package/2006/relationships"><Relationship Id="rId1" Type="http://schemas.microsoft.com/office/2006/relationships/activeXControlBinary" Target="activeX82.bin"/></Relationships>
</file>

<file path=xl/activeX/_rels/activeX83.xml.rels><?xml version="1.0" encoding="UTF-8" standalone="yes"?>
<Relationships xmlns="http://schemas.openxmlformats.org/package/2006/relationships"><Relationship Id="rId1" Type="http://schemas.microsoft.com/office/2006/relationships/activeXControlBinary" Target="activeX83.bin"/></Relationships>
</file>

<file path=xl/activeX/_rels/activeX84.xml.rels><?xml version="1.0" encoding="UTF-8" standalone="yes"?>
<Relationships xmlns="http://schemas.openxmlformats.org/package/2006/relationships"><Relationship Id="rId1" Type="http://schemas.microsoft.com/office/2006/relationships/activeXControlBinary" Target="activeX84.bin"/></Relationships>
</file>

<file path=xl/activeX/_rels/activeX85.xml.rels><?xml version="1.0" encoding="UTF-8" standalone="yes"?>
<Relationships xmlns="http://schemas.openxmlformats.org/package/2006/relationships"><Relationship Id="rId1" Type="http://schemas.microsoft.com/office/2006/relationships/activeXControlBinary" Target="activeX85.bin"/></Relationships>
</file>

<file path=xl/activeX/_rels/activeX86.xml.rels><?xml version="1.0" encoding="UTF-8" standalone="yes"?>
<Relationships xmlns="http://schemas.openxmlformats.org/package/2006/relationships"><Relationship Id="rId1" Type="http://schemas.microsoft.com/office/2006/relationships/activeXControlBinary" Target="activeX86.bin"/></Relationships>
</file>

<file path=xl/activeX/_rels/activeX87.xml.rels><?xml version="1.0" encoding="UTF-8" standalone="yes"?>
<Relationships xmlns="http://schemas.openxmlformats.org/package/2006/relationships"><Relationship Id="rId1" Type="http://schemas.microsoft.com/office/2006/relationships/activeXControlBinary" Target="activeX87.bin"/></Relationships>
</file>

<file path=xl/activeX/_rels/activeX88.xml.rels><?xml version="1.0" encoding="UTF-8" standalone="yes"?>
<Relationships xmlns="http://schemas.openxmlformats.org/package/2006/relationships"><Relationship Id="rId1" Type="http://schemas.microsoft.com/office/2006/relationships/activeXControlBinary" Target="activeX88.bin"/></Relationships>
</file>

<file path=xl/activeX/_rels/activeX89.xml.rels><?xml version="1.0" encoding="UTF-8" standalone="yes"?>
<Relationships xmlns="http://schemas.openxmlformats.org/package/2006/relationships"><Relationship Id="rId1" Type="http://schemas.microsoft.com/office/2006/relationships/activeXControlBinary" Target="activeX89.bin"/></Relationships>
</file>

<file path=xl/activeX/_rels/activeX90.xml.rels><?xml version="1.0" encoding="UTF-8" standalone="yes"?>
<Relationships xmlns="http://schemas.openxmlformats.org/package/2006/relationships"><Relationship Id="rId1" Type="http://schemas.microsoft.com/office/2006/relationships/activeXControlBinary" Target="activeX90.bin"/></Relationships>
</file>

<file path=xl/activeX/_rels/activeX91.xml.rels><?xml version="1.0" encoding="UTF-8" standalone="yes"?>
<Relationships xmlns="http://schemas.openxmlformats.org/package/2006/relationships"><Relationship Id="rId1" Type="http://schemas.microsoft.com/office/2006/relationships/activeXControlBinary" Target="activeX91.bin"/></Relationships>
</file>

<file path=xl/activeX/_rels/activeX92.xml.rels><?xml version="1.0" encoding="UTF-8" standalone="yes"?>
<Relationships xmlns="http://schemas.openxmlformats.org/package/2006/relationships"><Relationship Id="rId1" Type="http://schemas.microsoft.com/office/2006/relationships/activeXControlBinary" Target="activeX92.bin"/></Relationships>
</file>

<file path=xl/activeX/_rels/activeX93.xml.rels><?xml version="1.0" encoding="UTF-8" standalone="yes"?>
<Relationships xmlns="http://schemas.openxmlformats.org/package/2006/relationships"><Relationship Id="rId1" Type="http://schemas.microsoft.com/office/2006/relationships/activeXControlBinary" Target="activeX93.bin"/></Relationships>
</file>

<file path=xl/activeX/_rels/activeX94.xml.rels><?xml version="1.0" encoding="UTF-8" standalone="yes"?>
<Relationships xmlns="http://schemas.openxmlformats.org/package/2006/relationships"><Relationship Id="rId1" Type="http://schemas.microsoft.com/office/2006/relationships/activeXControlBinary" Target="activeX94.bin"/></Relationships>
</file>

<file path=xl/activeX/_rels/activeX95.xml.rels><?xml version="1.0" encoding="UTF-8" standalone="yes"?>
<Relationships xmlns="http://schemas.openxmlformats.org/package/2006/relationships"><Relationship Id="rId1" Type="http://schemas.microsoft.com/office/2006/relationships/activeXControlBinary" Target="activeX95.bin"/></Relationships>
</file>

<file path=xl/activeX/_rels/activeX96.xml.rels><?xml version="1.0" encoding="UTF-8" standalone="yes"?>
<Relationships xmlns="http://schemas.openxmlformats.org/package/2006/relationships"><Relationship Id="rId1" Type="http://schemas.microsoft.com/office/2006/relationships/activeXControlBinary" Target="activeX96.bin"/></Relationships>
</file>

<file path=xl/activeX/_rels/activeX97.xml.rels><?xml version="1.0" encoding="UTF-8" standalone="yes"?>
<Relationships xmlns="http://schemas.openxmlformats.org/package/2006/relationships"><Relationship Id="rId1" Type="http://schemas.microsoft.com/office/2006/relationships/activeXControlBinary" Target="activeX97.bin"/></Relationships>
</file>

<file path=xl/activeX/_rels/activeX98.xml.rels><?xml version="1.0" encoding="UTF-8" standalone="yes"?>
<Relationships xmlns="http://schemas.openxmlformats.org/package/2006/relationships"><Relationship Id="rId1" Type="http://schemas.microsoft.com/office/2006/relationships/activeXControlBinary" Target="activeX98.bin"/></Relationships>
</file>

<file path=xl/activeX/_rels/activeX99.xml.rels><?xml version="1.0" encoding="UTF-8" standalone="yes"?>
<Relationships xmlns="http://schemas.openxmlformats.org/package/2006/relationships"><Relationship Id="rId1" Type="http://schemas.microsoft.com/office/2006/relationships/activeXControlBinary" Target="activeX99.bin"/></Relationships>
</file>

<file path=xl/activeX/_rels/activeX100.xml.rels><?xml version="1.0" encoding="UTF-8" standalone="yes"?>
<Relationships xmlns="http://schemas.openxmlformats.org/package/2006/relationships"><Relationship Id="rId1" Type="http://schemas.microsoft.com/office/2006/relationships/activeXControlBinary" Target="activeX100.bin"/></Relationships>
</file>

<file path=xl/activeX/_rels/activeX101.xml.rels><?xml version="1.0" encoding="UTF-8" standalone="yes"?>
<Relationships xmlns="http://schemas.openxmlformats.org/package/2006/relationships"><Relationship Id="rId1" Type="http://schemas.microsoft.com/office/2006/relationships/activeXControlBinary" Target="activeX101.bin"/></Relationships>
</file>

<file path=xl/activeX/_rels/activeX102.xml.rels><?xml version="1.0" encoding="UTF-8" standalone="yes"?>
<Relationships xmlns="http://schemas.openxmlformats.org/package/2006/relationships"><Relationship Id="rId1" Type="http://schemas.microsoft.com/office/2006/relationships/activeXControlBinary" Target="activeX102.bin"/></Relationships>
</file>

<file path=xl/activeX/_rels/activeX103.xml.rels><?xml version="1.0" encoding="UTF-8" standalone="yes"?>
<Relationships xmlns="http://schemas.openxmlformats.org/package/2006/relationships"><Relationship Id="rId1" Type="http://schemas.microsoft.com/office/2006/relationships/activeXControlBinary" Target="activeX103.bin"/></Relationships>
</file>

<file path=xl/activeX/_rels/activeX104.xml.rels><?xml version="1.0" encoding="UTF-8" standalone="yes"?>
<Relationships xmlns="http://schemas.openxmlformats.org/package/2006/relationships"><Relationship Id="rId1" Type="http://schemas.microsoft.com/office/2006/relationships/activeXControlBinary" Target="activeX104.bin"/></Relationships>
</file>

<file path=xl/activeX/_rels/activeX105.xml.rels><?xml version="1.0" encoding="UTF-8" standalone="yes"?>
<Relationships xmlns="http://schemas.openxmlformats.org/package/2006/relationships"><Relationship Id="rId1" Type="http://schemas.microsoft.com/office/2006/relationships/activeXControlBinary" Target="activeX105.bin"/></Relationships>
</file>

<file path=xl/activeX/_rels/activeX106.xml.rels><?xml version="1.0" encoding="UTF-8" standalone="yes"?>
<Relationships xmlns="http://schemas.openxmlformats.org/package/2006/relationships"><Relationship Id="rId1" Type="http://schemas.microsoft.com/office/2006/relationships/activeXControlBinary" Target="activeX106.bin"/></Relationships>
</file>

<file path=xl/activeX/_rels/activeX107.xml.rels><?xml version="1.0" encoding="UTF-8" standalone="yes"?>
<Relationships xmlns="http://schemas.openxmlformats.org/package/2006/relationships"><Relationship Id="rId1" Type="http://schemas.microsoft.com/office/2006/relationships/activeXControlBinary" Target="activeX107.bin"/></Relationships>
</file>

<file path=xl/activeX/_rels/activeX108.xml.rels><?xml version="1.0" encoding="UTF-8" standalone="yes"?>
<Relationships xmlns="http://schemas.openxmlformats.org/package/2006/relationships"><Relationship Id="rId1" Type="http://schemas.microsoft.com/office/2006/relationships/activeXControlBinary" Target="activeX108.bin"/></Relationships>
</file>

<file path=xl/activeX/_rels/activeX109.xml.rels><?xml version="1.0" encoding="UTF-8" standalone="yes"?>
<Relationships xmlns="http://schemas.openxmlformats.org/package/2006/relationships"><Relationship Id="rId1" Type="http://schemas.microsoft.com/office/2006/relationships/activeXControlBinary" Target="activeX109.bin"/></Relationships>
</file>

<file path=xl/activeX/_rels/activeX110.xml.rels><?xml version="1.0" encoding="UTF-8" standalone="yes"?>
<Relationships xmlns="http://schemas.openxmlformats.org/package/2006/relationships"><Relationship Id="rId1" Type="http://schemas.microsoft.com/office/2006/relationships/activeXControlBinary" Target="activeX110.bin"/></Relationships>
</file>

<file path=xl/activeX/_rels/activeX111.xml.rels><?xml version="1.0" encoding="UTF-8" standalone="yes"?>
<Relationships xmlns="http://schemas.openxmlformats.org/package/2006/relationships"><Relationship Id="rId1" Type="http://schemas.microsoft.com/office/2006/relationships/activeXControlBinary" Target="activeX111.bin"/></Relationships>
</file>

<file path=xl/activeX/_rels/activeX112.xml.rels><?xml version="1.0" encoding="UTF-8" standalone="yes"?>
<Relationships xmlns="http://schemas.openxmlformats.org/package/2006/relationships"><Relationship Id="rId1" Type="http://schemas.microsoft.com/office/2006/relationships/activeXControlBinary" Target="activeX112.bin"/></Relationships>
</file>

<file path=xl/activeX/_rels/activeX113.xml.rels><?xml version="1.0" encoding="UTF-8" standalone="yes"?>
<Relationships xmlns="http://schemas.openxmlformats.org/package/2006/relationships"><Relationship Id="rId1" Type="http://schemas.microsoft.com/office/2006/relationships/activeXControlBinary" Target="activeX113.bin"/></Relationships>
</file>

<file path=xl/activeX/_rels/activeX114.xml.rels><?xml version="1.0" encoding="UTF-8" standalone="yes"?>
<Relationships xmlns="http://schemas.openxmlformats.org/package/2006/relationships"><Relationship Id="rId1" Type="http://schemas.microsoft.com/office/2006/relationships/activeXControlBinary" Target="activeX114.bin"/></Relationships>
</file>

<file path=xl/activeX/_rels/activeX115.xml.rels><?xml version="1.0" encoding="UTF-8" standalone="yes"?>
<Relationships xmlns="http://schemas.openxmlformats.org/package/2006/relationships"><Relationship Id="rId1" Type="http://schemas.microsoft.com/office/2006/relationships/activeXControlBinary" Target="activeX115.bin"/></Relationships>
</file>

<file path=xl/activeX/_rels/activeX116.xml.rels><?xml version="1.0" encoding="UTF-8" standalone="yes"?>
<Relationships xmlns="http://schemas.openxmlformats.org/package/2006/relationships"><Relationship Id="rId1" Type="http://schemas.microsoft.com/office/2006/relationships/activeXControlBinary" Target="activeX116.bin"/></Relationships>
</file>

<file path=xl/activeX/_rels/activeX117.xml.rels><?xml version="1.0" encoding="UTF-8" standalone="yes"?>
<Relationships xmlns="http://schemas.openxmlformats.org/package/2006/relationships"><Relationship Id="rId1" Type="http://schemas.microsoft.com/office/2006/relationships/activeXControlBinary" Target="activeX117.bin"/></Relationships>
</file>

<file path=xl/activeX/_rels/activeX118.xml.rels><?xml version="1.0" encoding="UTF-8" standalone="yes"?>
<Relationships xmlns="http://schemas.openxmlformats.org/package/2006/relationships"><Relationship Id="rId1" Type="http://schemas.microsoft.com/office/2006/relationships/activeXControlBinary" Target="activeX118.bin"/></Relationships>
</file>

<file path=xl/activeX/_rels/activeX119.xml.rels><?xml version="1.0" encoding="UTF-8" standalone="yes"?>
<Relationships xmlns="http://schemas.openxmlformats.org/package/2006/relationships"><Relationship Id="rId1" Type="http://schemas.microsoft.com/office/2006/relationships/activeXControlBinary" Target="activeX119.bin"/></Relationships>
</file>

<file path=xl/activeX/_rels/activeX120.xml.rels><?xml version="1.0" encoding="UTF-8" standalone="yes"?>
<Relationships xmlns="http://schemas.openxmlformats.org/package/2006/relationships"><Relationship Id="rId1" Type="http://schemas.microsoft.com/office/2006/relationships/activeXControlBinary" Target="activeX120.bin"/></Relationships>
</file>

<file path=xl/activeX/_rels/activeX121.xml.rels><?xml version="1.0" encoding="UTF-8" standalone="yes"?>
<Relationships xmlns="http://schemas.openxmlformats.org/package/2006/relationships"><Relationship Id="rId1" Type="http://schemas.microsoft.com/office/2006/relationships/activeXControlBinary" Target="activeX121.bin"/></Relationships>
</file>

<file path=xl/activeX/_rels/activeX122.xml.rels><?xml version="1.0" encoding="UTF-8" standalone="yes"?>
<Relationships xmlns="http://schemas.openxmlformats.org/package/2006/relationships"><Relationship Id="rId1" Type="http://schemas.microsoft.com/office/2006/relationships/activeXControlBinary" Target="activeX122.bin"/></Relationships>
</file>

<file path=xl/activeX/_rels/activeX123.xml.rels><?xml version="1.0" encoding="UTF-8" standalone="yes"?>
<Relationships xmlns="http://schemas.openxmlformats.org/package/2006/relationships"><Relationship Id="rId1" Type="http://schemas.microsoft.com/office/2006/relationships/activeXControlBinary" Target="activeX123.bin"/></Relationships>
</file>

<file path=xl/activeX/_rels/activeX124.xml.rels><?xml version="1.0" encoding="UTF-8" standalone="yes"?>
<Relationships xmlns="http://schemas.openxmlformats.org/package/2006/relationships"><Relationship Id="rId1" Type="http://schemas.microsoft.com/office/2006/relationships/activeXControlBinary" Target="activeX124.bin"/></Relationships>
</file>

<file path=xl/activeX/_rels/activeX125.xml.rels><?xml version="1.0" encoding="UTF-8" standalone="yes"?>
<Relationships xmlns="http://schemas.openxmlformats.org/package/2006/relationships"><Relationship Id="rId1" Type="http://schemas.microsoft.com/office/2006/relationships/activeXControlBinary" Target="activeX125.bin"/></Relationships>
</file>

<file path=xl/activeX/_rels/activeX126.xml.rels><?xml version="1.0" encoding="UTF-8" standalone="yes"?>
<Relationships xmlns="http://schemas.openxmlformats.org/package/2006/relationships"><Relationship Id="rId1" Type="http://schemas.microsoft.com/office/2006/relationships/activeXControlBinary" Target="activeX126.bin"/></Relationships>
</file>

<file path=xl/activeX/_rels/activeX127.xml.rels><?xml version="1.0" encoding="UTF-8" standalone="yes"?>
<Relationships xmlns="http://schemas.openxmlformats.org/package/2006/relationships"><Relationship Id="rId1" Type="http://schemas.microsoft.com/office/2006/relationships/activeXControlBinary" Target="activeX127.bin"/></Relationships>
</file>

<file path=xl/activeX/_rels/activeX128.xml.rels><?xml version="1.0" encoding="UTF-8" standalone="yes"?>
<Relationships xmlns="http://schemas.openxmlformats.org/package/2006/relationships"><Relationship Id="rId1" Type="http://schemas.microsoft.com/office/2006/relationships/activeXControlBinary" Target="activeX128.bin"/></Relationships>
</file>

<file path=xl/activeX/_rels/activeX129.xml.rels><?xml version="1.0" encoding="UTF-8" standalone="yes"?>
<Relationships xmlns="http://schemas.openxmlformats.org/package/2006/relationships"><Relationship Id="rId1" Type="http://schemas.microsoft.com/office/2006/relationships/activeXControlBinary" Target="activeX129.bin"/></Relationships>
</file>

<file path=xl/activeX/_rels/activeX130.xml.rels><?xml version="1.0" encoding="UTF-8" standalone="yes"?>
<Relationships xmlns="http://schemas.openxmlformats.org/package/2006/relationships"><Relationship Id="rId1" Type="http://schemas.microsoft.com/office/2006/relationships/activeXControlBinary" Target="activeX130.bin"/></Relationships>
</file>

<file path=xl/activeX/_rels/activeX131.xml.rels><?xml version="1.0" encoding="UTF-8" standalone="yes"?>
<Relationships xmlns="http://schemas.openxmlformats.org/package/2006/relationships"><Relationship Id="rId1" Type="http://schemas.microsoft.com/office/2006/relationships/activeXControlBinary" Target="activeX131.bin"/></Relationships>
</file>

<file path=xl/activeX/_rels/activeX132.xml.rels><?xml version="1.0" encoding="UTF-8" standalone="yes"?>
<Relationships xmlns="http://schemas.openxmlformats.org/package/2006/relationships"><Relationship Id="rId1" Type="http://schemas.microsoft.com/office/2006/relationships/activeXControlBinary" Target="activeX132.bin"/></Relationships>
</file>

<file path=xl/activeX/_rels/activeX133.xml.rels><?xml version="1.0" encoding="UTF-8" standalone="yes"?>
<Relationships xmlns="http://schemas.openxmlformats.org/package/2006/relationships"><Relationship Id="rId1" Type="http://schemas.microsoft.com/office/2006/relationships/activeXControlBinary" Target="activeX133.bin"/></Relationships>
</file>

<file path=xl/activeX/_rels/activeX134.xml.rels><?xml version="1.0" encoding="UTF-8" standalone="yes"?>
<Relationships xmlns="http://schemas.openxmlformats.org/package/2006/relationships"><Relationship Id="rId1" Type="http://schemas.microsoft.com/office/2006/relationships/activeXControlBinary" Target="activeX134.bin"/></Relationships>
</file>

<file path=xl/activeX/_rels/activeX135.xml.rels><?xml version="1.0" encoding="UTF-8" standalone="yes"?>
<Relationships xmlns="http://schemas.openxmlformats.org/package/2006/relationships"><Relationship Id="rId1" Type="http://schemas.microsoft.com/office/2006/relationships/activeXControlBinary" Target="activeX135.bin"/></Relationships>
</file>

<file path=xl/activeX/_rels/activeX136.xml.rels><?xml version="1.0" encoding="UTF-8" standalone="yes"?>
<Relationships xmlns="http://schemas.openxmlformats.org/package/2006/relationships"><Relationship Id="rId1" Type="http://schemas.microsoft.com/office/2006/relationships/activeXControlBinary" Target="activeX136.bin"/></Relationships>
</file>

<file path=xl/activeX/_rels/activeX137.xml.rels><?xml version="1.0" encoding="UTF-8" standalone="yes"?>
<Relationships xmlns="http://schemas.openxmlformats.org/package/2006/relationships"><Relationship Id="rId1" Type="http://schemas.microsoft.com/office/2006/relationships/activeXControlBinary" Target="activeX137.bin"/></Relationships>
</file>

<file path=xl/activeX/_rels/activeX138.xml.rels><?xml version="1.0" encoding="UTF-8" standalone="yes"?>
<Relationships xmlns="http://schemas.openxmlformats.org/package/2006/relationships"><Relationship Id="rId1" Type="http://schemas.microsoft.com/office/2006/relationships/activeXControlBinary" Target="activeX138.bin"/></Relationships>
</file>

<file path=xl/activeX/_rels/activeX139.xml.rels><?xml version="1.0" encoding="UTF-8" standalone="yes"?>
<Relationships xmlns="http://schemas.openxmlformats.org/package/2006/relationships"><Relationship Id="rId1" Type="http://schemas.microsoft.com/office/2006/relationships/activeXControlBinary" Target="activeX139.bin"/></Relationships>
</file>

<file path=xl/activeX/_rels/activeX140.xml.rels><?xml version="1.0" encoding="UTF-8" standalone="yes"?>
<Relationships xmlns="http://schemas.openxmlformats.org/package/2006/relationships"><Relationship Id="rId1" Type="http://schemas.microsoft.com/office/2006/relationships/activeXControlBinary" Target="activeX140.bin"/></Relationships>
</file>

<file path=xl/activeX/_rels/activeX141.xml.rels><?xml version="1.0" encoding="UTF-8" standalone="yes"?>
<Relationships xmlns="http://schemas.openxmlformats.org/package/2006/relationships"><Relationship Id="rId1" Type="http://schemas.microsoft.com/office/2006/relationships/activeXControlBinary" Target="activeX141.bin"/></Relationships>
</file>

<file path=xl/activeX/_rels/activeX142.xml.rels><?xml version="1.0" encoding="UTF-8" standalone="yes"?>
<Relationships xmlns="http://schemas.openxmlformats.org/package/2006/relationships"><Relationship Id="rId1" Type="http://schemas.microsoft.com/office/2006/relationships/activeXControlBinary" Target="activeX142.bin"/></Relationships>
</file>

<file path=xl/activeX/_rels/activeX143.xml.rels><?xml version="1.0" encoding="UTF-8" standalone="yes"?>
<Relationships xmlns="http://schemas.openxmlformats.org/package/2006/relationships"><Relationship Id="rId1" Type="http://schemas.microsoft.com/office/2006/relationships/activeXControlBinary" Target="activeX143.bin"/></Relationships>
</file>

<file path=xl/activeX/_rels/activeX144.xml.rels><?xml version="1.0" encoding="UTF-8" standalone="yes"?>
<Relationships xmlns="http://schemas.openxmlformats.org/package/2006/relationships"><Relationship Id="rId1" Type="http://schemas.microsoft.com/office/2006/relationships/activeXControlBinary" Target="activeX144.bin"/></Relationships>
</file>

<file path=xl/activeX/_rels/activeX145.xml.rels><?xml version="1.0" encoding="UTF-8" standalone="yes"?>
<Relationships xmlns="http://schemas.openxmlformats.org/package/2006/relationships"><Relationship Id="rId1" Type="http://schemas.microsoft.com/office/2006/relationships/activeXControlBinary" Target="activeX145.bin"/></Relationships>
</file>

<file path=xl/activeX/_rels/activeX146.xml.rels><?xml version="1.0" encoding="UTF-8" standalone="yes"?>
<Relationships xmlns="http://schemas.openxmlformats.org/package/2006/relationships"><Relationship Id="rId1" Type="http://schemas.microsoft.com/office/2006/relationships/activeXControlBinary" Target="activeX146.bin"/></Relationships>
</file>

<file path=xl/activeX/_rels/activeX147.xml.rels><?xml version="1.0" encoding="UTF-8" standalone="yes"?>
<Relationships xmlns="http://schemas.openxmlformats.org/package/2006/relationships"><Relationship Id="rId1" Type="http://schemas.microsoft.com/office/2006/relationships/activeXControlBinary" Target="activeX147.bin"/></Relationships>
</file>

<file path=xl/activeX/_rels/activeX148.xml.rels><?xml version="1.0" encoding="UTF-8" standalone="yes"?>
<Relationships xmlns="http://schemas.openxmlformats.org/package/2006/relationships"><Relationship Id="rId1" Type="http://schemas.microsoft.com/office/2006/relationships/activeXControlBinary" Target="activeX148.bin"/></Relationships>
</file>

<file path=xl/activeX/_rels/activeX149.xml.rels><?xml version="1.0" encoding="UTF-8" standalone="yes"?>
<Relationships xmlns="http://schemas.openxmlformats.org/package/2006/relationships"><Relationship Id="rId1" Type="http://schemas.microsoft.com/office/2006/relationships/activeXControlBinary" Target="activeX149.bin"/></Relationships>
</file>

<file path=xl/activeX/_rels/activeX150.xml.rels><?xml version="1.0" encoding="UTF-8" standalone="yes"?>
<Relationships xmlns="http://schemas.openxmlformats.org/package/2006/relationships"><Relationship Id="rId1" Type="http://schemas.microsoft.com/office/2006/relationships/activeXControlBinary" Target="activeX150.bin"/></Relationships>
</file>

<file path=xl/activeX/_rels/activeX151.xml.rels><?xml version="1.0" encoding="UTF-8" standalone="yes"?>
<Relationships xmlns="http://schemas.openxmlformats.org/package/2006/relationships"><Relationship Id="rId1" Type="http://schemas.microsoft.com/office/2006/relationships/activeXControlBinary" Target="activeX151.bin"/></Relationships>
</file>

<file path=xl/activeX/_rels/activeX152.xml.rels><?xml version="1.0" encoding="UTF-8" standalone="yes"?>
<Relationships xmlns="http://schemas.openxmlformats.org/package/2006/relationships"><Relationship Id="rId1" Type="http://schemas.microsoft.com/office/2006/relationships/activeXControlBinary" Target="activeX152.bin"/></Relationships>
</file>

<file path=xl/activeX/_rels/activeX153.xml.rels><?xml version="1.0" encoding="UTF-8" standalone="yes"?>
<Relationships xmlns="http://schemas.openxmlformats.org/package/2006/relationships"><Relationship Id="rId1" Type="http://schemas.microsoft.com/office/2006/relationships/activeXControlBinary" Target="activeX153.bin"/></Relationships>
</file>

<file path=xl/activeX/_rels/activeX154.xml.rels><?xml version="1.0" encoding="UTF-8" standalone="yes"?>
<Relationships xmlns="http://schemas.openxmlformats.org/package/2006/relationships"><Relationship Id="rId1" Type="http://schemas.microsoft.com/office/2006/relationships/activeXControlBinary" Target="activeX154.bin"/></Relationships>
</file>

<file path=xl/activeX/_rels/activeX155.xml.rels><?xml version="1.0" encoding="UTF-8" standalone="yes"?>
<Relationships xmlns="http://schemas.openxmlformats.org/package/2006/relationships"><Relationship Id="rId1" Type="http://schemas.microsoft.com/office/2006/relationships/activeXControlBinary" Target="activeX155.bin"/></Relationships>
</file>

<file path=xl/activeX/_rels/activeX156.xml.rels><?xml version="1.0" encoding="UTF-8" standalone="yes"?>
<Relationships xmlns="http://schemas.openxmlformats.org/package/2006/relationships"><Relationship Id="rId1" Type="http://schemas.microsoft.com/office/2006/relationships/activeXControlBinary" Target="activeX156.bin"/></Relationships>
</file>

<file path=xl/activeX/_rels/activeX157.xml.rels><?xml version="1.0" encoding="UTF-8" standalone="yes"?>
<Relationships xmlns="http://schemas.openxmlformats.org/package/2006/relationships"><Relationship Id="rId1" Type="http://schemas.microsoft.com/office/2006/relationships/activeXControlBinary" Target="activeX157.bin"/></Relationships>
</file>

<file path=xl/activeX/_rels/activeX158.xml.rels><?xml version="1.0" encoding="UTF-8" standalone="yes"?>
<Relationships xmlns="http://schemas.openxmlformats.org/package/2006/relationships"><Relationship Id="rId1" Type="http://schemas.microsoft.com/office/2006/relationships/activeXControlBinary" Target="activeX158.bin"/></Relationships>
</file>

<file path=xl/activeX/_rels/activeX159.xml.rels><?xml version="1.0" encoding="UTF-8" standalone="yes"?>
<Relationships xmlns="http://schemas.openxmlformats.org/package/2006/relationships"><Relationship Id="rId1" Type="http://schemas.microsoft.com/office/2006/relationships/activeXControlBinary" Target="activeX159.bin"/></Relationships>
</file>

<file path=xl/activeX/_rels/activeX160.xml.rels><?xml version="1.0" encoding="UTF-8" standalone="yes"?>
<Relationships xmlns="http://schemas.openxmlformats.org/package/2006/relationships"><Relationship Id="rId1" Type="http://schemas.microsoft.com/office/2006/relationships/activeXControlBinary" Target="activeX160.bin"/></Relationships>
</file>

<file path=xl/activeX/_rels/activeX161.xml.rels><?xml version="1.0" encoding="UTF-8" standalone="yes"?>
<Relationships xmlns="http://schemas.openxmlformats.org/package/2006/relationships"><Relationship Id="rId1" Type="http://schemas.microsoft.com/office/2006/relationships/activeXControlBinary" Target="activeX161.bin"/></Relationships>
</file>

<file path=xl/activeX/_rels/activeX162.xml.rels><?xml version="1.0" encoding="UTF-8" standalone="yes"?>
<Relationships xmlns="http://schemas.openxmlformats.org/package/2006/relationships"><Relationship Id="rId1" Type="http://schemas.microsoft.com/office/2006/relationships/activeXControlBinary" Target="activeX162.bin"/></Relationships>
</file>

<file path=xl/activeX/_rels/activeX163.xml.rels><?xml version="1.0" encoding="UTF-8" standalone="yes"?>
<Relationships xmlns="http://schemas.openxmlformats.org/package/2006/relationships"><Relationship Id="rId1" Type="http://schemas.microsoft.com/office/2006/relationships/activeXControlBinary" Target="activeX163.bin"/></Relationships>
</file>

<file path=xl/activeX/_rels/activeX164.xml.rels><?xml version="1.0" encoding="UTF-8" standalone="yes"?>
<Relationships xmlns="http://schemas.openxmlformats.org/package/2006/relationships"><Relationship Id="rId1" Type="http://schemas.microsoft.com/office/2006/relationships/activeXControlBinary" Target="activeX164.bin"/></Relationships>
</file>

<file path=xl/activeX/_rels/activeX165.xml.rels><?xml version="1.0" encoding="UTF-8" standalone="yes"?>
<Relationships xmlns="http://schemas.openxmlformats.org/package/2006/relationships"><Relationship Id="rId1" Type="http://schemas.microsoft.com/office/2006/relationships/activeXControlBinary" Target="activeX165.bin"/></Relationships>
</file>

<file path=xl/activeX/_rels/activeX166.xml.rels><?xml version="1.0" encoding="UTF-8" standalone="yes"?>
<Relationships xmlns="http://schemas.openxmlformats.org/package/2006/relationships"><Relationship Id="rId1" Type="http://schemas.microsoft.com/office/2006/relationships/activeXControlBinary" Target="activeX166.bin"/></Relationships>
</file>

<file path=xl/activeX/_rels/activeX167.xml.rels><?xml version="1.0" encoding="UTF-8" standalone="yes"?>
<Relationships xmlns="http://schemas.openxmlformats.org/package/2006/relationships"><Relationship Id="rId1" Type="http://schemas.microsoft.com/office/2006/relationships/activeXControlBinary" Target="activeX167.bin"/></Relationships>
</file>

<file path=xl/activeX/_rels/activeX168.xml.rels><?xml version="1.0" encoding="UTF-8" standalone="yes"?>
<Relationships xmlns="http://schemas.openxmlformats.org/package/2006/relationships"><Relationship Id="rId1" Type="http://schemas.microsoft.com/office/2006/relationships/activeXControlBinary" Target="activeX168.bin"/></Relationships>
</file>

<file path=xl/activeX/_rels/activeX169.xml.rels><?xml version="1.0" encoding="UTF-8" standalone="yes"?>
<Relationships xmlns="http://schemas.openxmlformats.org/package/2006/relationships"><Relationship Id="rId1" Type="http://schemas.microsoft.com/office/2006/relationships/activeXControlBinary" Target="activeX169.bin"/></Relationships>
</file>

<file path=xl/activeX/_rels/activeX170.xml.rels><?xml version="1.0" encoding="UTF-8" standalone="yes"?>
<Relationships xmlns="http://schemas.openxmlformats.org/package/2006/relationships"><Relationship Id="rId1" Type="http://schemas.microsoft.com/office/2006/relationships/activeXControlBinary" Target="activeX170.bin"/></Relationships>
</file>

<file path=xl/activeX/_rels/activeX171.xml.rels><?xml version="1.0" encoding="UTF-8" standalone="yes"?>
<Relationships xmlns="http://schemas.openxmlformats.org/package/2006/relationships"><Relationship Id="rId1" Type="http://schemas.microsoft.com/office/2006/relationships/activeXControlBinary" Target="activeX171.bin"/></Relationships>
</file>

<file path=xl/activeX/_rels/activeX172.xml.rels><?xml version="1.0" encoding="UTF-8" standalone="yes"?>
<Relationships xmlns="http://schemas.openxmlformats.org/package/2006/relationships"><Relationship Id="rId1" Type="http://schemas.microsoft.com/office/2006/relationships/activeXControlBinary" Target="activeX172.bin"/></Relationships>
</file>

<file path=xl/activeX/_rels/activeX173.xml.rels><?xml version="1.0" encoding="UTF-8" standalone="yes"?>
<Relationships xmlns="http://schemas.openxmlformats.org/package/2006/relationships"><Relationship Id="rId1" Type="http://schemas.microsoft.com/office/2006/relationships/activeXControlBinary" Target="activeX173.bin"/></Relationships>
</file>

<file path=xl/activeX/_rels/activeX174.xml.rels><?xml version="1.0" encoding="UTF-8" standalone="yes"?>
<Relationships xmlns="http://schemas.openxmlformats.org/package/2006/relationships"><Relationship Id="rId1" Type="http://schemas.microsoft.com/office/2006/relationships/activeXControlBinary" Target="activeX174.bin"/></Relationships>
</file>

<file path=xl/activeX/_rels/activeX175.xml.rels><?xml version="1.0" encoding="UTF-8" standalone="yes"?>
<Relationships xmlns="http://schemas.openxmlformats.org/package/2006/relationships"><Relationship Id="rId1" Type="http://schemas.microsoft.com/office/2006/relationships/activeXControlBinary" Target="activeX175.bin"/></Relationships>
</file>

<file path=xl/activeX/_rels/activeX176.xml.rels><?xml version="1.0" encoding="UTF-8" standalone="yes"?>
<Relationships xmlns="http://schemas.openxmlformats.org/package/2006/relationships"><Relationship Id="rId1" Type="http://schemas.microsoft.com/office/2006/relationships/activeXControlBinary" Target="activeX176.bin"/></Relationships>
</file>

<file path=xl/activeX/_rels/activeX177.xml.rels><?xml version="1.0" encoding="UTF-8" standalone="yes"?>
<Relationships xmlns="http://schemas.openxmlformats.org/package/2006/relationships"><Relationship Id="rId1" Type="http://schemas.microsoft.com/office/2006/relationships/activeXControlBinary" Target="activeX177.bin"/></Relationships>
</file>

<file path=xl/activeX/_rels/activeX178.xml.rels><?xml version="1.0" encoding="UTF-8" standalone="yes"?>
<Relationships xmlns="http://schemas.openxmlformats.org/package/2006/relationships"><Relationship Id="rId1" Type="http://schemas.microsoft.com/office/2006/relationships/activeXControlBinary" Target="activeX178.bin"/></Relationships>
</file>

<file path=xl/activeX/_rels/activeX179.xml.rels><?xml version="1.0" encoding="UTF-8" standalone="yes"?>
<Relationships xmlns="http://schemas.openxmlformats.org/package/2006/relationships"><Relationship Id="rId1" Type="http://schemas.microsoft.com/office/2006/relationships/activeXControlBinary" Target="activeX179.bin"/></Relationships>
</file>

<file path=xl/activeX/_rels/activeX180.xml.rels><?xml version="1.0" encoding="UTF-8" standalone="yes"?>
<Relationships xmlns="http://schemas.openxmlformats.org/package/2006/relationships"><Relationship Id="rId1" Type="http://schemas.microsoft.com/office/2006/relationships/activeXControlBinary" Target="activeX180.bin"/></Relationships>
</file>

<file path=xl/activeX/_rels/activeX181.xml.rels><?xml version="1.0" encoding="UTF-8" standalone="yes"?>
<Relationships xmlns="http://schemas.openxmlformats.org/package/2006/relationships"><Relationship Id="rId1" Type="http://schemas.microsoft.com/office/2006/relationships/activeXControlBinary" Target="activeX181.bin"/></Relationships>
</file>

<file path=xl/activeX/_rels/activeX182.xml.rels><?xml version="1.0" encoding="UTF-8" standalone="yes"?>
<Relationships xmlns="http://schemas.openxmlformats.org/package/2006/relationships"><Relationship Id="rId1" Type="http://schemas.microsoft.com/office/2006/relationships/activeXControlBinary" Target="activeX182.bin"/></Relationships>
</file>

<file path=xl/activeX/_rels/activeX183.xml.rels><?xml version="1.0" encoding="UTF-8" standalone="yes"?>
<Relationships xmlns="http://schemas.openxmlformats.org/package/2006/relationships"><Relationship Id="rId1" Type="http://schemas.microsoft.com/office/2006/relationships/activeXControlBinary" Target="activeX183.bin"/></Relationships>
</file>

<file path=xl/activeX/_rels/activeX184.xml.rels><?xml version="1.0" encoding="UTF-8" standalone="yes"?>
<Relationships xmlns="http://schemas.openxmlformats.org/package/2006/relationships"><Relationship Id="rId1" Type="http://schemas.microsoft.com/office/2006/relationships/activeXControlBinary" Target="activeX184.bin"/></Relationships>
</file>

<file path=xl/activeX/_rels/activeX185.xml.rels><?xml version="1.0" encoding="UTF-8" standalone="yes"?>
<Relationships xmlns="http://schemas.openxmlformats.org/package/2006/relationships"><Relationship Id="rId1" Type="http://schemas.microsoft.com/office/2006/relationships/activeXControlBinary" Target="activeX185.bin"/></Relationships>
</file>

<file path=xl/activeX/_rels/activeX186.xml.rels><?xml version="1.0" encoding="UTF-8" standalone="yes"?>
<Relationships xmlns="http://schemas.openxmlformats.org/package/2006/relationships"><Relationship Id="rId1" Type="http://schemas.microsoft.com/office/2006/relationships/activeXControlBinary" Target="activeX186.bin"/></Relationships>
</file>

<file path=xl/activeX/_rels/activeX187.xml.rels><?xml version="1.0" encoding="UTF-8" standalone="yes"?>
<Relationships xmlns="http://schemas.openxmlformats.org/package/2006/relationships"><Relationship Id="rId1" Type="http://schemas.microsoft.com/office/2006/relationships/activeXControlBinary" Target="activeX187.bin"/></Relationships>
</file>

<file path=xl/activeX/_rels/activeX188.xml.rels><?xml version="1.0" encoding="UTF-8" standalone="yes"?>
<Relationships xmlns="http://schemas.openxmlformats.org/package/2006/relationships"><Relationship Id="rId1" Type="http://schemas.microsoft.com/office/2006/relationships/activeXControlBinary" Target="activeX188.bin"/></Relationships>
</file>

<file path=xl/activeX/_rels/activeX189.xml.rels><?xml version="1.0" encoding="UTF-8" standalone="yes"?>
<Relationships xmlns="http://schemas.openxmlformats.org/package/2006/relationships"><Relationship Id="rId1" Type="http://schemas.microsoft.com/office/2006/relationships/activeXControlBinary" Target="activeX189.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activeX/activeX10.xml><?xml version="1.0" encoding="utf-8"?>
<ax:ocx xmlns:ax="http://schemas.microsoft.com/office/2006/activeX" xmlns:r="http://schemas.openxmlformats.org/officeDocument/2006/relationships" ax:classid="{8BD21D40-EC42-11CE-9E0D-00AA006002F3}" ax:persistence="persistStreamInit" r:id="rId1"/>
</file>

<file path=xl/activeX/activeX11.xml><?xml version="1.0" encoding="utf-8"?>
<ax:ocx xmlns:ax="http://schemas.microsoft.com/office/2006/activeX" xmlns:r="http://schemas.openxmlformats.org/officeDocument/2006/relationships" ax:classid="{8BD21D40-EC42-11CE-9E0D-00AA006002F3}" ax:persistence="persistStreamInit" r:id="rId1"/>
</file>

<file path=xl/activeX/activeX12.xml><?xml version="1.0" encoding="utf-8"?>
<ax:ocx xmlns:ax="http://schemas.microsoft.com/office/2006/activeX" xmlns:r="http://schemas.openxmlformats.org/officeDocument/2006/relationships" ax:classid="{8BD21D40-EC42-11CE-9E0D-00AA006002F3}" ax:persistence="persistStreamInit" r:id="rId1"/>
</file>

<file path=xl/activeX/activeX13.xml><?xml version="1.0" encoding="utf-8"?>
<ax:ocx xmlns:ax="http://schemas.microsoft.com/office/2006/activeX" xmlns:r="http://schemas.openxmlformats.org/officeDocument/2006/relationships" ax:classid="{8BD21D40-EC42-11CE-9E0D-00AA006002F3}" ax:persistence="persistStreamInit" r:id="rId1"/>
</file>

<file path=xl/activeX/activeX14.xml><?xml version="1.0" encoding="utf-8"?>
<ax:ocx xmlns:ax="http://schemas.microsoft.com/office/2006/activeX" xmlns:r="http://schemas.openxmlformats.org/officeDocument/2006/relationships" ax:classid="{8BD21D40-EC42-11CE-9E0D-00AA006002F3}" ax:persistence="persistStreamInit" r:id="rId1"/>
</file>

<file path=xl/activeX/activeX15.xml><?xml version="1.0" encoding="utf-8"?>
<ax:ocx xmlns:ax="http://schemas.microsoft.com/office/2006/activeX" xmlns:r="http://schemas.openxmlformats.org/officeDocument/2006/relationships" ax:classid="{8BD21D40-EC42-11CE-9E0D-00AA006002F3}" ax:persistence="persistStreamInit" r:id="rId1"/>
</file>

<file path=xl/activeX/activeX16.xml><?xml version="1.0" encoding="utf-8"?>
<ax:ocx xmlns:ax="http://schemas.microsoft.com/office/2006/activeX" xmlns:r="http://schemas.openxmlformats.org/officeDocument/2006/relationships" ax:classid="{8BD21D40-EC42-11CE-9E0D-00AA006002F3}" ax:persistence="persistStreamInit" r:id="rId1"/>
</file>

<file path=xl/activeX/activeX17.xml><?xml version="1.0" encoding="utf-8"?>
<ax:ocx xmlns:ax="http://schemas.microsoft.com/office/2006/activeX" xmlns:r="http://schemas.openxmlformats.org/officeDocument/2006/relationships" ax:classid="{8BD21D40-EC42-11CE-9E0D-00AA006002F3}" ax:persistence="persistStreamInit" r:id="rId1"/>
</file>

<file path=xl/activeX/activeX18.xml><?xml version="1.0" encoding="utf-8"?>
<ax:ocx xmlns:ax="http://schemas.microsoft.com/office/2006/activeX" xmlns:r="http://schemas.openxmlformats.org/officeDocument/2006/relationships" ax:classid="{8BD21D40-EC42-11CE-9E0D-00AA006002F3}" ax:persistence="persistStreamInit" r:id="rId1"/>
</file>

<file path=xl/activeX/activeX19.xml><?xml version="1.0" encoding="utf-8"?>
<ax:ocx xmlns:ax="http://schemas.microsoft.com/office/2006/activeX" xmlns:r="http://schemas.openxmlformats.org/officeDocument/2006/relationships" ax:classid="{8BD21D40-EC42-11CE-9E0D-00AA006002F3}" ax:persistence="persistStreamInit" r:id="rId1"/>
</file>

<file path=xl/activeX/activeX20.xml><?xml version="1.0" encoding="utf-8"?>
<ax:ocx xmlns:ax="http://schemas.microsoft.com/office/2006/activeX" xmlns:r="http://schemas.openxmlformats.org/officeDocument/2006/relationships" ax:classid="{8BD21D40-EC42-11CE-9E0D-00AA006002F3}" ax:persistence="persistStreamInit" r:id="rId1"/>
</file>

<file path=xl/activeX/activeX21.xml><?xml version="1.0" encoding="utf-8"?>
<ax:ocx xmlns:ax="http://schemas.microsoft.com/office/2006/activeX" xmlns:r="http://schemas.openxmlformats.org/officeDocument/2006/relationships" ax:classid="{8BD21D40-EC42-11CE-9E0D-00AA006002F3}" ax:persistence="persistStreamInit" r:id="rId1"/>
</file>

<file path=xl/activeX/activeX22.xml><?xml version="1.0" encoding="utf-8"?>
<ax:ocx xmlns:ax="http://schemas.microsoft.com/office/2006/activeX" xmlns:r="http://schemas.openxmlformats.org/officeDocument/2006/relationships" ax:classid="{8BD21D40-EC42-11CE-9E0D-00AA006002F3}" ax:persistence="persistStreamInit" r:id="rId1"/>
</file>

<file path=xl/activeX/activeX23.xml><?xml version="1.0" encoding="utf-8"?>
<ax:ocx xmlns:ax="http://schemas.microsoft.com/office/2006/activeX" xmlns:r="http://schemas.openxmlformats.org/officeDocument/2006/relationships" ax:classid="{8BD21D40-EC42-11CE-9E0D-00AA006002F3}" ax:persistence="persistStreamInit" r:id="rId1"/>
</file>

<file path=xl/activeX/activeX24.xml><?xml version="1.0" encoding="utf-8"?>
<ax:ocx xmlns:ax="http://schemas.microsoft.com/office/2006/activeX" xmlns:r="http://schemas.openxmlformats.org/officeDocument/2006/relationships" ax:classid="{8BD21D40-EC42-11CE-9E0D-00AA006002F3}" ax:persistence="persistStreamInit" r:id="rId1"/>
</file>

<file path=xl/activeX/activeX25.xml><?xml version="1.0" encoding="utf-8"?>
<ax:ocx xmlns:ax="http://schemas.microsoft.com/office/2006/activeX" xmlns:r="http://schemas.openxmlformats.org/officeDocument/2006/relationships" ax:classid="{8BD21D40-EC42-11CE-9E0D-00AA006002F3}" ax:persistence="persistStreamInit" r:id="rId1"/>
</file>

<file path=xl/activeX/activeX26.xml><?xml version="1.0" encoding="utf-8"?>
<ax:ocx xmlns:ax="http://schemas.microsoft.com/office/2006/activeX" xmlns:r="http://schemas.openxmlformats.org/officeDocument/2006/relationships" ax:classid="{8BD21D40-EC42-11CE-9E0D-00AA006002F3}" ax:persistence="persistStreamInit" r:id="rId1"/>
</file>

<file path=xl/activeX/activeX27.xml><?xml version="1.0" encoding="utf-8"?>
<ax:ocx xmlns:ax="http://schemas.microsoft.com/office/2006/activeX" xmlns:r="http://schemas.openxmlformats.org/officeDocument/2006/relationships" ax:classid="{8BD21D40-EC42-11CE-9E0D-00AA006002F3}" ax:persistence="persistStreamInit" r:id="rId1"/>
</file>

<file path=xl/activeX/activeX28.xml><?xml version="1.0" encoding="utf-8"?>
<ax:ocx xmlns:ax="http://schemas.microsoft.com/office/2006/activeX" xmlns:r="http://schemas.openxmlformats.org/officeDocument/2006/relationships" ax:classid="{8BD21D40-EC42-11CE-9E0D-00AA006002F3}" ax:persistence="persistStreamInit" r:id="rId1"/>
</file>

<file path=xl/activeX/activeX29.xml><?xml version="1.0" encoding="utf-8"?>
<ax:ocx xmlns:ax="http://schemas.microsoft.com/office/2006/activeX" xmlns:r="http://schemas.openxmlformats.org/officeDocument/2006/relationships" ax:classid="{8BD21D40-EC42-11CE-9E0D-00AA006002F3}" ax:persistence="persistStreamInit" r:id="rId1"/>
</file>

<file path=xl/activeX/activeX30.xml><?xml version="1.0" encoding="utf-8"?>
<ax:ocx xmlns:ax="http://schemas.microsoft.com/office/2006/activeX" xmlns:r="http://schemas.openxmlformats.org/officeDocument/2006/relationships" ax:classid="{8BD21D40-EC42-11CE-9E0D-00AA006002F3}" ax:persistence="persistStreamInit" r:id="rId1"/>
</file>

<file path=xl/activeX/activeX31.xml><?xml version="1.0" encoding="utf-8"?>
<ax:ocx xmlns:ax="http://schemas.microsoft.com/office/2006/activeX" xmlns:r="http://schemas.openxmlformats.org/officeDocument/2006/relationships" ax:classid="{8BD21D40-EC42-11CE-9E0D-00AA006002F3}" ax:persistence="persistStreamInit" r:id="rId1"/>
</file>

<file path=xl/activeX/activeX32.xml><?xml version="1.0" encoding="utf-8"?>
<ax:ocx xmlns:ax="http://schemas.microsoft.com/office/2006/activeX" xmlns:r="http://schemas.openxmlformats.org/officeDocument/2006/relationships" ax:classid="{8BD21D40-EC42-11CE-9E0D-00AA006002F3}" ax:persistence="persistStreamInit" r:id="rId1"/>
</file>

<file path=xl/activeX/activeX33.xml><?xml version="1.0" encoding="utf-8"?>
<ax:ocx xmlns:ax="http://schemas.microsoft.com/office/2006/activeX" xmlns:r="http://schemas.openxmlformats.org/officeDocument/2006/relationships" ax:classid="{8BD21D40-EC42-11CE-9E0D-00AA006002F3}" ax:persistence="persistStreamInit" r:id="rId1"/>
</file>

<file path=xl/activeX/activeX34.xml><?xml version="1.0" encoding="utf-8"?>
<ax:ocx xmlns:ax="http://schemas.microsoft.com/office/2006/activeX" xmlns:r="http://schemas.openxmlformats.org/officeDocument/2006/relationships" ax:classid="{8BD21D40-EC42-11CE-9E0D-00AA006002F3}" ax:persistence="persistStreamInit" r:id="rId1"/>
</file>

<file path=xl/activeX/activeX35.xml><?xml version="1.0" encoding="utf-8"?>
<ax:ocx xmlns:ax="http://schemas.microsoft.com/office/2006/activeX" xmlns:r="http://schemas.openxmlformats.org/officeDocument/2006/relationships" ax:classid="{8BD21D40-EC42-11CE-9E0D-00AA006002F3}" ax:persistence="persistStreamInit" r:id="rId1"/>
</file>

<file path=xl/activeX/activeX36.xml><?xml version="1.0" encoding="utf-8"?>
<ax:ocx xmlns:ax="http://schemas.microsoft.com/office/2006/activeX" xmlns:r="http://schemas.openxmlformats.org/officeDocument/2006/relationships" ax:classid="{8BD21D40-EC42-11CE-9E0D-00AA006002F3}" ax:persistence="persistStreamInit" r:id="rId1"/>
</file>

<file path=xl/activeX/activeX37.xml><?xml version="1.0" encoding="utf-8"?>
<ax:ocx xmlns:ax="http://schemas.microsoft.com/office/2006/activeX" xmlns:r="http://schemas.openxmlformats.org/officeDocument/2006/relationships" ax:classid="{8BD21D40-EC42-11CE-9E0D-00AA006002F3}" ax:persistence="persistStreamInit" r:id="rId1"/>
</file>

<file path=xl/activeX/activeX38.xml><?xml version="1.0" encoding="utf-8"?>
<ax:ocx xmlns:ax="http://schemas.microsoft.com/office/2006/activeX" xmlns:r="http://schemas.openxmlformats.org/officeDocument/2006/relationships" ax:classid="{8BD21D40-EC42-11CE-9E0D-00AA006002F3}" ax:persistence="persistStreamInit" r:id="rId1"/>
</file>

<file path=xl/activeX/activeX39.xml><?xml version="1.0" encoding="utf-8"?>
<ax:ocx xmlns:ax="http://schemas.microsoft.com/office/2006/activeX" xmlns:r="http://schemas.openxmlformats.org/officeDocument/2006/relationships" ax:classid="{8BD21D40-EC42-11CE-9E0D-00AA006002F3}" ax:persistence="persistStreamInit" r:id="rId1"/>
</file>

<file path=xl/activeX/activeX40.xml><?xml version="1.0" encoding="utf-8"?>
<ax:ocx xmlns:ax="http://schemas.microsoft.com/office/2006/activeX" xmlns:r="http://schemas.openxmlformats.org/officeDocument/2006/relationships" ax:classid="{8BD21D40-EC42-11CE-9E0D-00AA006002F3}" ax:persistence="persistStreamInit" r:id="rId1"/>
</file>

<file path=xl/activeX/activeX41.xml><?xml version="1.0" encoding="utf-8"?>
<ax:ocx xmlns:ax="http://schemas.microsoft.com/office/2006/activeX" xmlns:r="http://schemas.openxmlformats.org/officeDocument/2006/relationships" ax:classid="{8BD21D40-EC42-11CE-9E0D-00AA006002F3}" ax:persistence="persistStreamInit" r:id="rId1"/>
</file>

<file path=xl/activeX/activeX42.xml><?xml version="1.0" encoding="utf-8"?>
<ax:ocx xmlns:ax="http://schemas.microsoft.com/office/2006/activeX" xmlns:r="http://schemas.openxmlformats.org/officeDocument/2006/relationships" ax:classid="{8BD21D40-EC42-11CE-9E0D-00AA006002F3}" ax:persistence="persistStreamInit" r:id="rId1"/>
</file>

<file path=xl/activeX/activeX43.xml><?xml version="1.0" encoding="utf-8"?>
<ax:ocx xmlns:ax="http://schemas.microsoft.com/office/2006/activeX" xmlns:r="http://schemas.openxmlformats.org/officeDocument/2006/relationships" ax:classid="{8BD21D40-EC42-11CE-9E0D-00AA006002F3}" ax:persistence="persistStreamInit" r:id="rId1"/>
</file>

<file path=xl/activeX/activeX44.xml><?xml version="1.0" encoding="utf-8"?>
<ax:ocx xmlns:ax="http://schemas.microsoft.com/office/2006/activeX" xmlns:r="http://schemas.openxmlformats.org/officeDocument/2006/relationships" ax:classid="{8BD21D40-EC42-11CE-9E0D-00AA006002F3}" ax:persistence="persistStreamInit" r:id="rId1"/>
</file>

<file path=xl/activeX/activeX45.xml><?xml version="1.0" encoding="utf-8"?>
<ax:ocx xmlns:ax="http://schemas.microsoft.com/office/2006/activeX" xmlns:r="http://schemas.openxmlformats.org/officeDocument/2006/relationships" ax:classid="{8BD21D40-EC42-11CE-9E0D-00AA006002F3}" ax:persistence="persistStreamInit" r:id="rId1"/>
</file>

<file path=xl/activeX/activeX46.xml><?xml version="1.0" encoding="utf-8"?>
<ax:ocx xmlns:ax="http://schemas.microsoft.com/office/2006/activeX" xmlns:r="http://schemas.openxmlformats.org/officeDocument/2006/relationships" ax:classid="{8BD21D40-EC42-11CE-9E0D-00AA006002F3}" ax:persistence="persistStreamInit" r:id="rId1"/>
</file>

<file path=xl/activeX/activeX47.xml><?xml version="1.0" encoding="utf-8"?>
<ax:ocx xmlns:ax="http://schemas.microsoft.com/office/2006/activeX" xmlns:r="http://schemas.openxmlformats.org/officeDocument/2006/relationships" ax:classid="{8BD21D40-EC42-11CE-9E0D-00AA006002F3}" ax:persistence="persistStreamInit" r:id="rId1"/>
</file>

<file path=xl/activeX/activeX48.xml><?xml version="1.0" encoding="utf-8"?>
<ax:ocx xmlns:ax="http://schemas.microsoft.com/office/2006/activeX" xmlns:r="http://schemas.openxmlformats.org/officeDocument/2006/relationships" ax:classid="{8BD21D40-EC42-11CE-9E0D-00AA006002F3}" ax:persistence="persistStreamInit" r:id="rId1"/>
</file>

<file path=xl/activeX/activeX49.xml><?xml version="1.0" encoding="utf-8"?>
<ax:ocx xmlns:ax="http://schemas.microsoft.com/office/2006/activeX" xmlns:r="http://schemas.openxmlformats.org/officeDocument/2006/relationships" ax:classid="{8BD21D40-EC42-11CE-9E0D-00AA006002F3}" ax:persistence="persistStreamInit" r:id="rId1"/>
</file>

<file path=xl/activeX/activeX50.xml><?xml version="1.0" encoding="utf-8"?>
<ax:ocx xmlns:ax="http://schemas.microsoft.com/office/2006/activeX" xmlns:r="http://schemas.openxmlformats.org/officeDocument/2006/relationships" ax:classid="{8BD21D40-EC42-11CE-9E0D-00AA006002F3}" ax:persistence="persistStreamInit" r:id="rId1"/>
</file>

<file path=xl/activeX/activeX51.xml><?xml version="1.0" encoding="utf-8"?>
<ax:ocx xmlns:ax="http://schemas.microsoft.com/office/2006/activeX" xmlns:r="http://schemas.openxmlformats.org/officeDocument/2006/relationships" ax:classid="{8BD21D40-EC42-11CE-9E0D-00AA006002F3}" ax:persistence="persistStreamInit" r:id="rId1"/>
</file>

<file path=xl/activeX/activeX52.xml><?xml version="1.0" encoding="utf-8"?>
<ax:ocx xmlns:ax="http://schemas.microsoft.com/office/2006/activeX" xmlns:r="http://schemas.openxmlformats.org/officeDocument/2006/relationships" ax:classid="{8BD21D40-EC42-11CE-9E0D-00AA006002F3}" ax:persistence="persistStreamInit" r:id="rId1"/>
</file>

<file path=xl/activeX/activeX53.xml><?xml version="1.0" encoding="utf-8"?>
<ax:ocx xmlns:ax="http://schemas.microsoft.com/office/2006/activeX" xmlns:r="http://schemas.openxmlformats.org/officeDocument/2006/relationships" ax:classid="{8BD21D40-EC42-11CE-9E0D-00AA006002F3}" ax:persistence="persistStreamInit" r:id="rId1"/>
</file>

<file path=xl/activeX/activeX54.xml><?xml version="1.0" encoding="utf-8"?>
<ax:ocx xmlns:ax="http://schemas.microsoft.com/office/2006/activeX" xmlns:r="http://schemas.openxmlformats.org/officeDocument/2006/relationships" ax:classid="{8BD21D40-EC42-11CE-9E0D-00AA006002F3}" ax:persistence="persistStreamInit" r:id="rId1"/>
</file>

<file path=xl/activeX/activeX55.xml><?xml version="1.0" encoding="utf-8"?>
<ax:ocx xmlns:ax="http://schemas.microsoft.com/office/2006/activeX" xmlns:r="http://schemas.openxmlformats.org/officeDocument/2006/relationships" ax:classid="{8BD21D40-EC42-11CE-9E0D-00AA006002F3}" ax:persistence="persistStreamInit" r:id="rId1"/>
</file>

<file path=xl/activeX/activeX56.xml><?xml version="1.0" encoding="utf-8"?>
<ax:ocx xmlns:ax="http://schemas.microsoft.com/office/2006/activeX" xmlns:r="http://schemas.openxmlformats.org/officeDocument/2006/relationships" ax:classid="{8BD21D40-EC42-11CE-9E0D-00AA006002F3}" ax:persistence="persistStreamInit" r:id="rId1"/>
</file>

<file path=xl/activeX/activeX57.xml><?xml version="1.0" encoding="utf-8"?>
<ax:ocx xmlns:ax="http://schemas.microsoft.com/office/2006/activeX" xmlns:r="http://schemas.openxmlformats.org/officeDocument/2006/relationships" ax:classid="{8BD21D40-EC42-11CE-9E0D-00AA006002F3}" ax:persistence="persistStreamInit" r:id="rId1"/>
</file>

<file path=xl/activeX/activeX58.xml><?xml version="1.0" encoding="utf-8"?>
<ax:ocx xmlns:ax="http://schemas.microsoft.com/office/2006/activeX" xmlns:r="http://schemas.openxmlformats.org/officeDocument/2006/relationships" ax:classid="{8BD21D40-EC42-11CE-9E0D-00AA006002F3}" ax:persistence="persistStreamInit" r:id="rId1"/>
</file>

<file path=xl/activeX/activeX59.xml><?xml version="1.0" encoding="utf-8"?>
<ax:ocx xmlns:ax="http://schemas.microsoft.com/office/2006/activeX" xmlns:r="http://schemas.openxmlformats.org/officeDocument/2006/relationships" ax:classid="{8BD21D40-EC42-11CE-9E0D-00AA006002F3}" ax:persistence="persistStreamInit" r:id="rId1"/>
</file>

<file path=xl/activeX/activeX60.xml><?xml version="1.0" encoding="utf-8"?>
<ax:ocx xmlns:ax="http://schemas.microsoft.com/office/2006/activeX" xmlns:r="http://schemas.openxmlformats.org/officeDocument/2006/relationships" ax:classid="{8BD21D40-EC42-11CE-9E0D-00AA006002F3}" ax:persistence="persistStreamInit" r:id="rId1"/>
</file>

<file path=xl/activeX/activeX61.xml><?xml version="1.0" encoding="utf-8"?>
<ax:ocx xmlns:ax="http://schemas.microsoft.com/office/2006/activeX" xmlns:r="http://schemas.openxmlformats.org/officeDocument/2006/relationships" ax:classid="{8BD21D40-EC42-11CE-9E0D-00AA006002F3}" ax:persistence="persistStreamInit" r:id="rId1"/>
</file>

<file path=xl/activeX/activeX62.xml><?xml version="1.0" encoding="utf-8"?>
<ax:ocx xmlns:ax="http://schemas.microsoft.com/office/2006/activeX" xmlns:r="http://schemas.openxmlformats.org/officeDocument/2006/relationships" ax:classid="{8BD21D40-EC42-11CE-9E0D-00AA006002F3}" ax:persistence="persistStreamInit" r:id="rId1"/>
</file>

<file path=xl/activeX/activeX63.xml><?xml version="1.0" encoding="utf-8"?>
<ax:ocx xmlns:ax="http://schemas.microsoft.com/office/2006/activeX" xmlns:r="http://schemas.openxmlformats.org/officeDocument/2006/relationships" ax:classid="{8BD21D40-EC42-11CE-9E0D-00AA006002F3}" ax:persistence="persistStreamInit" r:id="rId1"/>
</file>

<file path=xl/activeX/activeX64.xml><?xml version="1.0" encoding="utf-8"?>
<ax:ocx xmlns:ax="http://schemas.microsoft.com/office/2006/activeX" xmlns:r="http://schemas.openxmlformats.org/officeDocument/2006/relationships" ax:classid="{8BD21D40-EC42-11CE-9E0D-00AA006002F3}" ax:persistence="persistStreamInit" r:id="rId1"/>
</file>

<file path=xl/activeX/activeX65.xml><?xml version="1.0" encoding="utf-8"?>
<ax:ocx xmlns:ax="http://schemas.microsoft.com/office/2006/activeX" xmlns:r="http://schemas.openxmlformats.org/officeDocument/2006/relationships" ax:classid="{8BD21D40-EC42-11CE-9E0D-00AA006002F3}" ax:persistence="persistStreamInit" r:id="rId1"/>
</file>

<file path=xl/activeX/activeX66.xml><?xml version="1.0" encoding="utf-8"?>
<ax:ocx xmlns:ax="http://schemas.microsoft.com/office/2006/activeX" xmlns:r="http://schemas.openxmlformats.org/officeDocument/2006/relationships" ax:classid="{8BD21D40-EC42-11CE-9E0D-00AA006002F3}" ax:persistence="persistStreamInit" r:id="rId1"/>
</file>

<file path=xl/activeX/activeX67.xml><?xml version="1.0" encoding="utf-8"?>
<ax:ocx xmlns:ax="http://schemas.microsoft.com/office/2006/activeX" xmlns:r="http://schemas.openxmlformats.org/officeDocument/2006/relationships" ax:classid="{8BD21D40-EC42-11CE-9E0D-00AA006002F3}" ax:persistence="persistStreamInit" r:id="rId1"/>
</file>

<file path=xl/activeX/activeX68.xml><?xml version="1.0" encoding="utf-8"?>
<ax:ocx xmlns:ax="http://schemas.microsoft.com/office/2006/activeX" xmlns:r="http://schemas.openxmlformats.org/officeDocument/2006/relationships" ax:classid="{8BD21D40-EC42-11CE-9E0D-00AA006002F3}" ax:persistence="persistStreamInit" r:id="rId1"/>
</file>

<file path=xl/activeX/activeX69.xml><?xml version="1.0" encoding="utf-8"?>
<ax:ocx xmlns:ax="http://schemas.microsoft.com/office/2006/activeX" xmlns:r="http://schemas.openxmlformats.org/officeDocument/2006/relationships" ax:classid="{8BD21D40-EC42-11CE-9E0D-00AA006002F3}" ax:persistence="persistStreamInit" r:id="rId1"/>
</file>

<file path=xl/activeX/activeX70.xml><?xml version="1.0" encoding="utf-8"?>
<ax:ocx xmlns:ax="http://schemas.microsoft.com/office/2006/activeX" xmlns:r="http://schemas.openxmlformats.org/officeDocument/2006/relationships" ax:classid="{8BD21D40-EC42-11CE-9E0D-00AA006002F3}" ax:persistence="persistStreamInit" r:id="rId1"/>
</file>

<file path=xl/activeX/activeX71.xml><?xml version="1.0" encoding="utf-8"?>
<ax:ocx xmlns:ax="http://schemas.microsoft.com/office/2006/activeX" xmlns:r="http://schemas.openxmlformats.org/officeDocument/2006/relationships" ax:classid="{8BD21D40-EC42-11CE-9E0D-00AA006002F3}" ax:persistence="persistStreamInit" r:id="rId1"/>
</file>

<file path=xl/activeX/activeX72.xml><?xml version="1.0" encoding="utf-8"?>
<ax:ocx xmlns:ax="http://schemas.microsoft.com/office/2006/activeX" xmlns:r="http://schemas.openxmlformats.org/officeDocument/2006/relationships" ax:classid="{8BD21D40-EC42-11CE-9E0D-00AA006002F3}" ax:persistence="persistStreamInit" r:id="rId1"/>
</file>

<file path=xl/activeX/activeX73.xml><?xml version="1.0" encoding="utf-8"?>
<ax:ocx xmlns:ax="http://schemas.microsoft.com/office/2006/activeX" xmlns:r="http://schemas.openxmlformats.org/officeDocument/2006/relationships" ax:classid="{8BD21D40-EC42-11CE-9E0D-00AA006002F3}" ax:persistence="persistStreamInit" r:id="rId1"/>
</file>

<file path=xl/activeX/activeX74.xml><?xml version="1.0" encoding="utf-8"?>
<ax:ocx xmlns:ax="http://schemas.microsoft.com/office/2006/activeX" xmlns:r="http://schemas.openxmlformats.org/officeDocument/2006/relationships" ax:classid="{8BD21D40-EC42-11CE-9E0D-00AA006002F3}" ax:persistence="persistStreamInit" r:id="rId1"/>
</file>

<file path=xl/activeX/activeX75.xml><?xml version="1.0" encoding="utf-8"?>
<ax:ocx xmlns:ax="http://schemas.microsoft.com/office/2006/activeX" xmlns:r="http://schemas.openxmlformats.org/officeDocument/2006/relationships" ax:classid="{8BD21D40-EC42-11CE-9E0D-00AA006002F3}" ax:persistence="persistStreamInit" r:id="rId1"/>
</file>

<file path=xl/activeX/activeX76.xml><?xml version="1.0" encoding="utf-8"?>
<ax:ocx xmlns:ax="http://schemas.microsoft.com/office/2006/activeX" xmlns:r="http://schemas.openxmlformats.org/officeDocument/2006/relationships" ax:classid="{8BD21D40-EC42-11CE-9E0D-00AA006002F3}" ax:persistence="persistStreamInit" r:id="rId1"/>
</file>

<file path=xl/activeX/activeX77.xml><?xml version="1.0" encoding="utf-8"?>
<ax:ocx xmlns:ax="http://schemas.microsoft.com/office/2006/activeX" xmlns:r="http://schemas.openxmlformats.org/officeDocument/2006/relationships" ax:classid="{8BD21D40-EC42-11CE-9E0D-00AA006002F3}" ax:persistence="persistStreamInit" r:id="rId1"/>
</file>

<file path=xl/activeX/activeX78.xml><?xml version="1.0" encoding="utf-8"?>
<ax:ocx xmlns:ax="http://schemas.microsoft.com/office/2006/activeX" xmlns:r="http://schemas.openxmlformats.org/officeDocument/2006/relationships" ax:classid="{8BD21D40-EC42-11CE-9E0D-00AA006002F3}" ax:persistence="persistStreamInit" r:id="rId1"/>
</file>

<file path=xl/activeX/activeX79.xml><?xml version="1.0" encoding="utf-8"?>
<ax:ocx xmlns:ax="http://schemas.microsoft.com/office/2006/activeX" xmlns:r="http://schemas.openxmlformats.org/officeDocument/2006/relationships" ax:classid="{8BD21D40-EC42-11CE-9E0D-00AA006002F3}" ax:persistence="persistStreamInit" r:id="rId1"/>
</file>

<file path=xl/activeX/activeX80.xml><?xml version="1.0" encoding="utf-8"?>
<ax:ocx xmlns:ax="http://schemas.microsoft.com/office/2006/activeX" xmlns:r="http://schemas.openxmlformats.org/officeDocument/2006/relationships" ax:classid="{8BD21D40-EC42-11CE-9E0D-00AA006002F3}" ax:persistence="persistStreamInit" r:id="rId1"/>
</file>

<file path=xl/activeX/activeX81.xml><?xml version="1.0" encoding="utf-8"?>
<ax:ocx xmlns:ax="http://schemas.microsoft.com/office/2006/activeX" xmlns:r="http://schemas.openxmlformats.org/officeDocument/2006/relationships" ax:classid="{8BD21D40-EC42-11CE-9E0D-00AA006002F3}" ax:persistence="persistStreamInit" r:id="rId1"/>
</file>

<file path=xl/activeX/activeX82.xml><?xml version="1.0" encoding="utf-8"?>
<ax:ocx xmlns:ax="http://schemas.microsoft.com/office/2006/activeX" xmlns:r="http://schemas.openxmlformats.org/officeDocument/2006/relationships" ax:classid="{8BD21D40-EC42-11CE-9E0D-00AA006002F3}" ax:persistence="persistStreamInit" r:id="rId1"/>
</file>

<file path=xl/activeX/activeX83.xml><?xml version="1.0" encoding="utf-8"?>
<ax:ocx xmlns:ax="http://schemas.microsoft.com/office/2006/activeX" xmlns:r="http://schemas.openxmlformats.org/officeDocument/2006/relationships" ax:classid="{8BD21D40-EC42-11CE-9E0D-00AA006002F3}" ax:persistence="persistStreamInit" r:id="rId1"/>
</file>

<file path=xl/activeX/activeX84.xml><?xml version="1.0" encoding="utf-8"?>
<ax:ocx xmlns:ax="http://schemas.microsoft.com/office/2006/activeX" xmlns:r="http://schemas.openxmlformats.org/officeDocument/2006/relationships" ax:classid="{8BD21D40-EC42-11CE-9E0D-00AA006002F3}" ax:persistence="persistStreamInit" r:id="rId1"/>
</file>

<file path=xl/activeX/activeX85.xml><?xml version="1.0" encoding="utf-8"?>
<ax:ocx xmlns:ax="http://schemas.microsoft.com/office/2006/activeX" xmlns:r="http://schemas.openxmlformats.org/officeDocument/2006/relationships" ax:classid="{8BD21D40-EC42-11CE-9E0D-00AA006002F3}" ax:persistence="persistStreamInit" r:id="rId1"/>
</file>

<file path=xl/activeX/activeX86.xml><?xml version="1.0" encoding="utf-8"?>
<ax:ocx xmlns:ax="http://schemas.microsoft.com/office/2006/activeX" xmlns:r="http://schemas.openxmlformats.org/officeDocument/2006/relationships" ax:classid="{8BD21D40-EC42-11CE-9E0D-00AA006002F3}" ax:persistence="persistStreamInit" r:id="rId1"/>
</file>

<file path=xl/activeX/activeX87.xml><?xml version="1.0" encoding="utf-8"?>
<ax:ocx xmlns:ax="http://schemas.microsoft.com/office/2006/activeX" xmlns:r="http://schemas.openxmlformats.org/officeDocument/2006/relationships" ax:classid="{8BD21D40-EC42-11CE-9E0D-00AA006002F3}" ax:persistence="persistStreamInit" r:id="rId1"/>
</file>

<file path=xl/activeX/activeX88.xml><?xml version="1.0" encoding="utf-8"?>
<ax:ocx xmlns:ax="http://schemas.microsoft.com/office/2006/activeX" xmlns:r="http://schemas.openxmlformats.org/officeDocument/2006/relationships" ax:classid="{8BD21D40-EC42-11CE-9E0D-00AA006002F3}" ax:persistence="persistStreamInit" r:id="rId1"/>
</file>

<file path=xl/activeX/activeX89.xml><?xml version="1.0" encoding="utf-8"?>
<ax:ocx xmlns:ax="http://schemas.microsoft.com/office/2006/activeX" xmlns:r="http://schemas.openxmlformats.org/officeDocument/2006/relationships" ax:classid="{8BD21D40-EC42-11CE-9E0D-00AA006002F3}" ax:persistence="persistStreamInit" r:id="rId1"/>
</file>

<file path=xl/activeX/activeX90.xml><?xml version="1.0" encoding="utf-8"?>
<ax:ocx xmlns:ax="http://schemas.microsoft.com/office/2006/activeX" xmlns:r="http://schemas.openxmlformats.org/officeDocument/2006/relationships" ax:classid="{8BD21D40-EC42-11CE-9E0D-00AA006002F3}" ax:persistence="persistStreamInit" r:id="rId1"/>
</file>

<file path=xl/activeX/activeX91.xml><?xml version="1.0" encoding="utf-8"?>
<ax:ocx xmlns:ax="http://schemas.microsoft.com/office/2006/activeX" xmlns:r="http://schemas.openxmlformats.org/officeDocument/2006/relationships" ax:classid="{8BD21D40-EC42-11CE-9E0D-00AA006002F3}" ax:persistence="persistStreamInit" r:id="rId1"/>
</file>

<file path=xl/activeX/activeX92.xml><?xml version="1.0" encoding="utf-8"?>
<ax:ocx xmlns:ax="http://schemas.microsoft.com/office/2006/activeX" xmlns:r="http://schemas.openxmlformats.org/officeDocument/2006/relationships" ax:classid="{8BD21D40-EC42-11CE-9E0D-00AA006002F3}" ax:persistence="persistStreamInit" r:id="rId1"/>
</file>

<file path=xl/activeX/activeX93.xml><?xml version="1.0" encoding="utf-8"?>
<ax:ocx xmlns:ax="http://schemas.microsoft.com/office/2006/activeX" xmlns:r="http://schemas.openxmlformats.org/officeDocument/2006/relationships" ax:classid="{8BD21D40-EC42-11CE-9E0D-00AA006002F3}" ax:persistence="persistStreamInit" r:id="rId1"/>
</file>

<file path=xl/activeX/activeX94.xml><?xml version="1.0" encoding="utf-8"?>
<ax:ocx xmlns:ax="http://schemas.microsoft.com/office/2006/activeX" xmlns:r="http://schemas.openxmlformats.org/officeDocument/2006/relationships" ax:classid="{8BD21D40-EC42-11CE-9E0D-00AA006002F3}" ax:persistence="persistStreamInit" r:id="rId1"/>
</file>

<file path=xl/activeX/activeX95.xml><?xml version="1.0" encoding="utf-8"?>
<ax:ocx xmlns:ax="http://schemas.microsoft.com/office/2006/activeX" xmlns:r="http://schemas.openxmlformats.org/officeDocument/2006/relationships" ax:classid="{8BD21D40-EC42-11CE-9E0D-00AA006002F3}" ax:persistence="persistStreamInit" r:id="rId1"/>
</file>

<file path=xl/activeX/activeX96.xml><?xml version="1.0" encoding="utf-8"?>
<ax:ocx xmlns:ax="http://schemas.microsoft.com/office/2006/activeX" xmlns:r="http://schemas.openxmlformats.org/officeDocument/2006/relationships" ax:classid="{8BD21D40-EC42-11CE-9E0D-00AA006002F3}" ax:persistence="persistStreamInit" r:id="rId1"/>
</file>

<file path=xl/activeX/activeX97.xml><?xml version="1.0" encoding="utf-8"?>
<ax:ocx xmlns:ax="http://schemas.microsoft.com/office/2006/activeX" xmlns:r="http://schemas.openxmlformats.org/officeDocument/2006/relationships" ax:classid="{8BD21D40-EC42-11CE-9E0D-00AA006002F3}" ax:persistence="persistStreamInit" r:id="rId1"/>
</file>

<file path=xl/activeX/activeX98.xml><?xml version="1.0" encoding="utf-8"?>
<ax:ocx xmlns:ax="http://schemas.microsoft.com/office/2006/activeX" xmlns:r="http://schemas.openxmlformats.org/officeDocument/2006/relationships" ax:classid="{8BD21D40-EC42-11CE-9E0D-00AA006002F3}" ax:persistence="persistStreamInit" r:id="rId1"/>
</file>

<file path=xl/activeX/activeX99.xml><?xml version="1.0" encoding="utf-8"?>
<ax:ocx xmlns:ax="http://schemas.microsoft.com/office/2006/activeX" xmlns:r="http://schemas.openxmlformats.org/officeDocument/2006/relationships" ax:classid="{8BD21D40-EC42-11CE-9E0D-00AA006002F3}" ax:persistence="persistStreamInit" r:id="rId1"/>
</file>

<file path=xl/activeX/activeX100.xml><?xml version="1.0" encoding="utf-8"?>
<ax:ocx xmlns:ax="http://schemas.microsoft.com/office/2006/activeX" xmlns:r="http://schemas.openxmlformats.org/officeDocument/2006/relationships" ax:classid="{8BD21D40-EC42-11CE-9E0D-00AA006002F3}" ax:persistence="persistStreamInit" r:id="rId1"/>
</file>

<file path=xl/activeX/activeX101.xml><?xml version="1.0" encoding="utf-8"?>
<ax:ocx xmlns:ax="http://schemas.microsoft.com/office/2006/activeX" xmlns:r="http://schemas.openxmlformats.org/officeDocument/2006/relationships" ax:classid="{8BD21D40-EC42-11CE-9E0D-00AA006002F3}" ax:persistence="persistStreamInit" r:id="rId1"/>
</file>

<file path=xl/activeX/activeX102.xml><?xml version="1.0" encoding="utf-8"?>
<ax:ocx xmlns:ax="http://schemas.microsoft.com/office/2006/activeX" xmlns:r="http://schemas.openxmlformats.org/officeDocument/2006/relationships" ax:classid="{8BD21D40-EC42-11CE-9E0D-00AA006002F3}" ax:persistence="persistStreamInit" r:id="rId1"/>
</file>

<file path=xl/activeX/activeX103.xml><?xml version="1.0" encoding="utf-8"?>
<ax:ocx xmlns:ax="http://schemas.microsoft.com/office/2006/activeX" xmlns:r="http://schemas.openxmlformats.org/officeDocument/2006/relationships" ax:classid="{8BD21D40-EC42-11CE-9E0D-00AA006002F3}" ax:persistence="persistStreamInit" r:id="rId1"/>
</file>

<file path=xl/activeX/activeX104.xml><?xml version="1.0" encoding="utf-8"?>
<ax:ocx xmlns:ax="http://schemas.microsoft.com/office/2006/activeX" xmlns:r="http://schemas.openxmlformats.org/officeDocument/2006/relationships" ax:classid="{8BD21D40-EC42-11CE-9E0D-00AA006002F3}" ax:persistence="persistStreamInit" r:id="rId1"/>
</file>

<file path=xl/activeX/activeX105.xml><?xml version="1.0" encoding="utf-8"?>
<ax:ocx xmlns:ax="http://schemas.microsoft.com/office/2006/activeX" xmlns:r="http://schemas.openxmlformats.org/officeDocument/2006/relationships" ax:classid="{8BD21D40-EC42-11CE-9E0D-00AA006002F3}" ax:persistence="persistStreamInit" r:id="rId1"/>
</file>

<file path=xl/activeX/activeX106.xml><?xml version="1.0" encoding="utf-8"?>
<ax:ocx xmlns:ax="http://schemas.microsoft.com/office/2006/activeX" xmlns:r="http://schemas.openxmlformats.org/officeDocument/2006/relationships" ax:classid="{8BD21D50-EC42-11CE-9E0D-00AA006002F3}" ax:persistence="persistStreamInit" r:id="rId1"/>
</file>

<file path=xl/activeX/activeX107.xml><?xml version="1.0" encoding="utf-8"?>
<ax:ocx xmlns:ax="http://schemas.microsoft.com/office/2006/activeX" xmlns:r="http://schemas.openxmlformats.org/officeDocument/2006/relationships" ax:classid="{8BD21D50-EC42-11CE-9E0D-00AA006002F3}" ax:persistence="persistStreamInit" r:id="rId1"/>
</file>

<file path=xl/activeX/activeX108.xml><?xml version="1.0" encoding="utf-8"?>
<ax:ocx xmlns:ax="http://schemas.microsoft.com/office/2006/activeX" xmlns:r="http://schemas.openxmlformats.org/officeDocument/2006/relationships" ax:classid="{8BD21D50-EC42-11CE-9E0D-00AA006002F3}" ax:persistence="persistStreamInit" r:id="rId1"/>
</file>

<file path=xl/activeX/activeX109.xml><?xml version="1.0" encoding="utf-8"?>
<ax:ocx xmlns:ax="http://schemas.microsoft.com/office/2006/activeX" xmlns:r="http://schemas.openxmlformats.org/officeDocument/2006/relationships" ax:classid="{8BD21D40-EC42-11CE-9E0D-00AA006002F3}" ax:persistence="persistStreamInit" r:id="rId1"/>
</file>

<file path=xl/activeX/activeX110.xml><?xml version="1.0" encoding="utf-8"?>
<ax:ocx xmlns:ax="http://schemas.microsoft.com/office/2006/activeX" xmlns:r="http://schemas.openxmlformats.org/officeDocument/2006/relationships" ax:classid="{8BD21D50-EC42-11CE-9E0D-00AA006002F3}" ax:persistence="persistStreamInit" r:id="rId1"/>
</file>

<file path=xl/activeX/activeX111.xml><?xml version="1.0" encoding="utf-8"?>
<ax:ocx xmlns:ax="http://schemas.microsoft.com/office/2006/activeX" xmlns:r="http://schemas.openxmlformats.org/officeDocument/2006/relationships" ax:classid="{8BD21D50-EC42-11CE-9E0D-00AA006002F3}" ax:persistence="persistStreamInit" r:id="rId1"/>
</file>

<file path=xl/activeX/activeX112.xml><?xml version="1.0" encoding="utf-8"?>
<ax:ocx xmlns:ax="http://schemas.microsoft.com/office/2006/activeX" xmlns:r="http://schemas.openxmlformats.org/officeDocument/2006/relationships" ax:classid="{8BD21D50-EC42-11CE-9E0D-00AA006002F3}" ax:persistence="persistStreamInit" r:id="rId1"/>
</file>

<file path=xl/activeX/activeX113.xml><?xml version="1.0" encoding="utf-8"?>
<ax:ocx xmlns:ax="http://schemas.microsoft.com/office/2006/activeX" xmlns:r="http://schemas.openxmlformats.org/officeDocument/2006/relationships" ax:classid="{8BD21D50-EC42-11CE-9E0D-00AA006002F3}" ax:persistence="persistStreamInit" r:id="rId1"/>
</file>

<file path=xl/activeX/activeX114.xml><?xml version="1.0" encoding="utf-8"?>
<ax:ocx xmlns:ax="http://schemas.microsoft.com/office/2006/activeX" xmlns:r="http://schemas.openxmlformats.org/officeDocument/2006/relationships" ax:classid="{8BD21D40-EC42-11CE-9E0D-00AA006002F3}" ax:persistence="persistStreamInit" r:id="rId1"/>
</file>

<file path=xl/activeX/activeX115.xml><?xml version="1.0" encoding="utf-8"?>
<ax:ocx xmlns:ax="http://schemas.microsoft.com/office/2006/activeX" xmlns:r="http://schemas.openxmlformats.org/officeDocument/2006/relationships" ax:classid="{8BD21D50-EC42-11CE-9E0D-00AA006002F3}" ax:persistence="persistStreamInit" r:id="rId1"/>
</file>

<file path=xl/activeX/activeX116.xml><?xml version="1.0" encoding="utf-8"?>
<ax:ocx xmlns:ax="http://schemas.microsoft.com/office/2006/activeX" xmlns:r="http://schemas.openxmlformats.org/officeDocument/2006/relationships" ax:classid="{8BD21D50-EC42-11CE-9E0D-00AA006002F3}" ax:persistence="persistStreamInit" r:id="rId1"/>
</file>

<file path=xl/activeX/activeX117.xml><?xml version="1.0" encoding="utf-8"?>
<ax:ocx xmlns:ax="http://schemas.microsoft.com/office/2006/activeX" xmlns:r="http://schemas.openxmlformats.org/officeDocument/2006/relationships" ax:classid="{8BD21D40-EC42-11CE-9E0D-00AA006002F3}" ax:persistence="persistStreamInit" r:id="rId1"/>
</file>

<file path=xl/activeX/activeX118.xml><?xml version="1.0" encoding="utf-8"?>
<ax:ocx xmlns:ax="http://schemas.microsoft.com/office/2006/activeX" xmlns:r="http://schemas.openxmlformats.org/officeDocument/2006/relationships" ax:classid="{8BD21D40-EC42-11CE-9E0D-00AA006002F3}" ax:persistence="persistStreamInit" r:id="rId1"/>
</file>

<file path=xl/activeX/activeX119.xml><?xml version="1.0" encoding="utf-8"?>
<ax:ocx xmlns:ax="http://schemas.microsoft.com/office/2006/activeX" xmlns:r="http://schemas.openxmlformats.org/officeDocument/2006/relationships" ax:classid="{8BD21D40-EC42-11CE-9E0D-00AA006002F3}" ax:persistence="persistStreamInit" r:id="rId1"/>
</file>

<file path=xl/activeX/activeX120.xml><?xml version="1.0" encoding="utf-8"?>
<ax:ocx xmlns:ax="http://schemas.microsoft.com/office/2006/activeX" xmlns:r="http://schemas.openxmlformats.org/officeDocument/2006/relationships" ax:classid="{8BD21D40-EC42-11CE-9E0D-00AA006002F3}" ax:persistence="persistStreamInit" r:id="rId1"/>
</file>

<file path=xl/activeX/activeX121.xml><?xml version="1.0" encoding="utf-8"?>
<ax:ocx xmlns:ax="http://schemas.microsoft.com/office/2006/activeX" xmlns:r="http://schemas.openxmlformats.org/officeDocument/2006/relationships" ax:classid="{8BD21D40-EC42-11CE-9E0D-00AA006002F3}" ax:persistence="persistStreamInit" r:id="rId1"/>
</file>

<file path=xl/activeX/activeX122.xml><?xml version="1.0" encoding="utf-8"?>
<ax:ocx xmlns:ax="http://schemas.microsoft.com/office/2006/activeX" xmlns:r="http://schemas.openxmlformats.org/officeDocument/2006/relationships" ax:classid="{8BD21D40-EC42-11CE-9E0D-00AA006002F3}" ax:persistence="persistStreamInit" r:id="rId1"/>
</file>

<file path=xl/activeX/activeX123.xml><?xml version="1.0" encoding="utf-8"?>
<ax:ocx xmlns:ax="http://schemas.microsoft.com/office/2006/activeX" xmlns:r="http://schemas.openxmlformats.org/officeDocument/2006/relationships" ax:classid="{8BD21D50-EC42-11CE-9E0D-00AA006002F3}" ax:persistence="persistStreamInit" r:id="rId1"/>
</file>

<file path=xl/activeX/activeX124.xml><?xml version="1.0" encoding="utf-8"?>
<ax:ocx xmlns:ax="http://schemas.microsoft.com/office/2006/activeX" xmlns:r="http://schemas.openxmlformats.org/officeDocument/2006/relationships" ax:classid="{8BD21D50-EC42-11CE-9E0D-00AA006002F3}" ax:persistence="persistStreamInit" r:id="rId1"/>
</file>

<file path=xl/activeX/activeX125.xml><?xml version="1.0" encoding="utf-8"?>
<ax:ocx xmlns:ax="http://schemas.microsoft.com/office/2006/activeX" xmlns:r="http://schemas.openxmlformats.org/officeDocument/2006/relationships" ax:classid="{8BD21D40-EC42-11CE-9E0D-00AA006002F3}" ax:persistence="persistStreamInit" r:id="rId1"/>
</file>

<file path=xl/activeX/activeX126.xml><?xml version="1.0" encoding="utf-8"?>
<ax:ocx xmlns:ax="http://schemas.microsoft.com/office/2006/activeX" xmlns:r="http://schemas.openxmlformats.org/officeDocument/2006/relationships" ax:classid="{8BD21D40-EC42-11CE-9E0D-00AA006002F3}" ax:persistence="persistStreamInit" r:id="rId1"/>
</file>

<file path=xl/activeX/activeX127.xml><?xml version="1.0" encoding="utf-8"?>
<ax:ocx xmlns:ax="http://schemas.microsoft.com/office/2006/activeX" xmlns:r="http://schemas.openxmlformats.org/officeDocument/2006/relationships" ax:classid="{8BD21D40-EC42-11CE-9E0D-00AA006002F3}" ax:persistence="persistStreamInit" r:id="rId1"/>
</file>

<file path=xl/activeX/activeX128.xml><?xml version="1.0" encoding="utf-8"?>
<ax:ocx xmlns:ax="http://schemas.microsoft.com/office/2006/activeX" xmlns:r="http://schemas.openxmlformats.org/officeDocument/2006/relationships" ax:classid="{8BD21D40-EC42-11CE-9E0D-00AA006002F3}" ax:persistence="persistStreamInit" r:id="rId1"/>
</file>

<file path=xl/activeX/activeX129.xml><?xml version="1.0" encoding="utf-8"?>
<ax:ocx xmlns:ax="http://schemas.microsoft.com/office/2006/activeX" xmlns:r="http://schemas.openxmlformats.org/officeDocument/2006/relationships" ax:classid="{8BD21D50-EC42-11CE-9E0D-00AA006002F3}" ax:persistence="persistStreamInit" r:id="rId1"/>
</file>

<file path=xl/activeX/activeX130.xml><?xml version="1.0" encoding="utf-8"?>
<ax:ocx xmlns:ax="http://schemas.microsoft.com/office/2006/activeX" xmlns:r="http://schemas.openxmlformats.org/officeDocument/2006/relationships" ax:classid="{8BD21D50-EC42-11CE-9E0D-00AA006002F3}" ax:persistence="persistStreamInit" r:id="rId1"/>
</file>

<file path=xl/activeX/activeX131.xml><?xml version="1.0" encoding="utf-8"?>
<ax:ocx xmlns:ax="http://schemas.microsoft.com/office/2006/activeX" xmlns:r="http://schemas.openxmlformats.org/officeDocument/2006/relationships" ax:classid="{8BD21D50-EC42-11CE-9E0D-00AA006002F3}" ax:persistence="persistStreamInit" r:id="rId1"/>
</file>

<file path=xl/activeX/activeX132.xml><?xml version="1.0" encoding="utf-8"?>
<ax:ocx xmlns:ax="http://schemas.microsoft.com/office/2006/activeX" xmlns:r="http://schemas.openxmlformats.org/officeDocument/2006/relationships" ax:classid="{8BD21D50-EC42-11CE-9E0D-00AA006002F3}" ax:persistence="persistStreamInit" r:id="rId1"/>
</file>

<file path=xl/activeX/activeX133.xml><?xml version="1.0" encoding="utf-8"?>
<ax:ocx xmlns:ax="http://schemas.microsoft.com/office/2006/activeX" xmlns:r="http://schemas.openxmlformats.org/officeDocument/2006/relationships" ax:classid="{8BD21D50-EC42-11CE-9E0D-00AA006002F3}" ax:persistence="persistStreamInit" r:id="rId1"/>
</file>

<file path=xl/activeX/activeX134.xml><?xml version="1.0" encoding="utf-8"?>
<ax:ocx xmlns:ax="http://schemas.microsoft.com/office/2006/activeX" xmlns:r="http://schemas.openxmlformats.org/officeDocument/2006/relationships" ax:classid="{8BD21D50-EC42-11CE-9E0D-00AA006002F3}" ax:persistence="persistStreamInit" r:id="rId1"/>
</file>

<file path=xl/activeX/activeX135.xml><?xml version="1.0" encoding="utf-8"?>
<ax:ocx xmlns:ax="http://schemas.microsoft.com/office/2006/activeX" xmlns:r="http://schemas.openxmlformats.org/officeDocument/2006/relationships" ax:classid="{8BD21D50-EC42-11CE-9E0D-00AA006002F3}" ax:persistence="persistStreamInit" r:id="rId1"/>
</file>

<file path=xl/activeX/activeX136.xml><?xml version="1.0" encoding="utf-8"?>
<ax:ocx xmlns:ax="http://schemas.microsoft.com/office/2006/activeX" xmlns:r="http://schemas.openxmlformats.org/officeDocument/2006/relationships" ax:classid="{8BD21D40-EC42-11CE-9E0D-00AA006002F3}" ax:persistence="persistStreamInit" r:id="rId1"/>
</file>

<file path=xl/activeX/activeX137.xml><?xml version="1.0" encoding="utf-8"?>
<ax:ocx xmlns:ax="http://schemas.microsoft.com/office/2006/activeX" xmlns:r="http://schemas.openxmlformats.org/officeDocument/2006/relationships" ax:classid="{8BD21D40-EC42-11CE-9E0D-00AA006002F3}" ax:persistence="persistStreamInit" r:id="rId1"/>
</file>

<file path=xl/activeX/activeX138.xml><?xml version="1.0" encoding="utf-8"?>
<ax:ocx xmlns:ax="http://schemas.microsoft.com/office/2006/activeX" xmlns:r="http://schemas.openxmlformats.org/officeDocument/2006/relationships" ax:classid="{8BD21D50-EC42-11CE-9E0D-00AA006002F3}" ax:persistence="persistStreamInit" r:id="rId1"/>
</file>

<file path=xl/activeX/activeX139.xml><?xml version="1.0" encoding="utf-8"?>
<ax:ocx xmlns:ax="http://schemas.microsoft.com/office/2006/activeX" xmlns:r="http://schemas.openxmlformats.org/officeDocument/2006/relationships" ax:classid="{8BD21D50-EC42-11CE-9E0D-00AA006002F3}" ax:persistence="persistStreamInit" r:id="rId1"/>
</file>

<file path=xl/activeX/activeX140.xml><?xml version="1.0" encoding="utf-8"?>
<ax:ocx xmlns:ax="http://schemas.microsoft.com/office/2006/activeX" xmlns:r="http://schemas.openxmlformats.org/officeDocument/2006/relationships" ax:classid="{8BD21D50-EC42-11CE-9E0D-00AA006002F3}" ax:persistence="persistStreamInit" r:id="rId1"/>
</file>

<file path=xl/activeX/activeX141.xml><?xml version="1.0" encoding="utf-8"?>
<ax:ocx xmlns:ax="http://schemas.microsoft.com/office/2006/activeX" xmlns:r="http://schemas.openxmlformats.org/officeDocument/2006/relationships" ax:classid="{8BD21D50-EC42-11CE-9E0D-00AA006002F3}" ax:persistence="persistStreamInit" r:id="rId1"/>
</file>

<file path=xl/activeX/activeX142.xml><?xml version="1.0" encoding="utf-8"?>
<ax:ocx xmlns:ax="http://schemas.microsoft.com/office/2006/activeX" xmlns:r="http://schemas.openxmlformats.org/officeDocument/2006/relationships" ax:classid="{8BD21D50-EC42-11CE-9E0D-00AA006002F3}" ax:persistence="persistStreamInit" r:id="rId1"/>
</file>

<file path=xl/activeX/activeX143.xml><?xml version="1.0" encoding="utf-8"?>
<ax:ocx xmlns:ax="http://schemas.microsoft.com/office/2006/activeX" xmlns:r="http://schemas.openxmlformats.org/officeDocument/2006/relationships" ax:classid="{8BD21D40-EC42-11CE-9E0D-00AA006002F3}" ax:persistence="persistStreamInit" r:id="rId1"/>
</file>

<file path=xl/activeX/activeX144.xml><?xml version="1.0" encoding="utf-8"?>
<ax:ocx xmlns:ax="http://schemas.microsoft.com/office/2006/activeX" xmlns:r="http://schemas.openxmlformats.org/officeDocument/2006/relationships" ax:classid="{8BD21D50-EC42-11CE-9E0D-00AA006002F3}" ax:persistence="persistStreamInit" r:id="rId1"/>
</file>

<file path=xl/activeX/activeX145.xml><?xml version="1.0" encoding="utf-8"?>
<ax:ocx xmlns:ax="http://schemas.microsoft.com/office/2006/activeX" xmlns:r="http://schemas.openxmlformats.org/officeDocument/2006/relationships" ax:classid="{8BD21D50-EC42-11CE-9E0D-00AA006002F3}" ax:persistence="persistStreamInit" r:id="rId1"/>
</file>

<file path=xl/activeX/activeX146.xml><?xml version="1.0" encoding="utf-8"?>
<ax:ocx xmlns:ax="http://schemas.microsoft.com/office/2006/activeX" xmlns:r="http://schemas.openxmlformats.org/officeDocument/2006/relationships" ax:classid="{8BD21D50-EC42-11CE-9E0D-00AA006002F3}" ax:persistence="persistStreamInit" r:id="rId1"/>
</file>

<file path=xl/activeX/activeX147.xml><?xml version="1.0" encoding="utf-8"?>
<ax:ocx xmlns:ax="http://schemas.microsoft.com/office/2006/activeX" xmlns:r="http://schemas.openxmlformats.org/officeDocument/2006/relationships" ax:classid="{8BD21D40-EC42-11CE-9E0D-00AA006002F3}" ax:persistence="persistStreamInit" r:id="rId1"/>
</file>

<file path=xl/activeX/activeX148.xml><?xml version="1.0" encoding="utf-8"?>
<ax:ocx xmlns:ax="http://schemas.microsoft.com/office/2006/activeX" xmlns:r="http://schemas.openxmlformats.org/officeDocument/2006/relationships" ax:classid="{8BD21D40-EC42-11CE-9E0D-00AA006002F3}" ax:persistence="persistStreamInit" r:id="rId1"/>
</file>

<file path=xl/activeX/activeX149.xml><?xml version="1.0" encoding="utf-8"?>
<ax:ocx xmlns:ax="http://schemas.microsoft.com/office/2006/activeX" xmlns:r="http://schemas.openxmlformats.org/officeDocument/2006/relationships" ax:classid="{8BD21D40-EC42-11CE-9E0D-00AA006002F3}" ax:persistence="persistStreamInit" r:id="rId1"/>
</file>

<file path=xl/activeX/activeX150.xml><?xml version="1.0" encoding="utf-8"?>
<ax:ocx xmlns:ax="http://schemas.microsoft.com/office/2006/activeX" xmlns:r="http://schemas.openxmlformats.org/officeDocument/2006/relationships" ax:classid="{8BD21D40-EC42-11CE-9E0D-00AA006002F3}" ax:persistence="persistStreamInit" r:id="rId1"/>
</file>

<file path=xl/activeX/activeX151.xml><?xml version="1.0" encoding="utf-8"?>
<ax:ocx xmlns:ax="http://schemas.microsoft.com/office/2006/activeX" xmlns:r="http://schemas.openxmlformats.org/officeDocument/2006/relationships" ax:classid="{8BD21D40-EC42-11CE-9E0D-00AA006002F3}" ax:persistence="persistStreamInit" r:id="rId1"/>
</file>

<file path=xl/activeX/activeX152.xml><?xml version="1.0" encoding="utf-8"?>
<ax:ocx xmlns:ax="http://schemas.microsoft.com/office/2006/activeX" xmlns:r="http://schemas.openxmlformats.org/officeDocument/2006/relationships" ax:classid="{8BD21D40-EC42-11CE-9E0D-00AA006002F3}" ax:persistence="persistStreamInit" r:id="rId1"/>
</file>

<file path=xl/activeX/activeX153.xml><?xml version="1.0" encoding="utf-8"?>
<ax:ocx xmlns:ax="http://schemas.microsoft.com/office/2006/activeX" xmlns:r="http://schemas.openxmlformats.org/officeDocument/2006/relationships" ax:classid="{8BD21D40-EC42-11CE-9E0D-00AA006002F3}" ax:persistence="persistStreamInit" r:id="rId1"/>
</file>

<file path=xl/activeX/activeX154.xml><?xml version="1.0" encoding="utf-8"?>
<ax:ocx xmlns:ax="http://schemas.microsoft.com/office/2006/activeX" xmlns:r="http://schemas.openxmlformats.org/officeDocument/2006/relationships" ax:classid="{8BD21D40-EC42-11CE-9E0D-00AA006002F3}" ax:persistence="persistStreamInit" r:id="rId1"/>
</file>

<file path=xl/activeX/activeX155.xml><?xml version="1.0" encoding="utf-8"?>
<ax:ocx xmlns:ax="http://schemas.microsoft.com/office/2006/activeX" xmlns:r="http://schemas.openxmlformats.org/officeDocument/2006/relationships" ax:classid="{8BD21D50-EC42-11CE-9E0D-00AA006002F3}" ax:persistence="persistStreamInit" r:id="rId1"/>
</file>

<file path=xl/activeX/activeX156.xml><?xml version="1.0" encoding="utf-8"?>
<ax:ocx xmlns:ax="http://schemas.microsoft.com/office/2006/activeX" xmlns:r="http://schemas.openxmlformats.org/officeDocument/2006/relationships" ax:classid="{8BD21D50-EC42-11CE-9E0D-00AA006002F3}" ax:persistence="persistStreamInit" r:id="rId1"/>
</file>

<file path=xl/activeX/activeX157.xml><?xml version="1.0" encoding="utf-8"?>
<ax:ocx xmlns:ax="http://schemas.microsoft.com/office/2006/activeX" xmlns:r="http://schemas.openxmlformats.org/officeDocument/2006/relationships" ax:classid="{8BD21D40-EC42-11CE-9E0D-00AA006002F3}" ax:persistence="persistStreamInit" r:id="rId1"/>
</file>

<file path=xl/activeX/activeX158.xml><?xml version="1.0" encoding="utf-8"?>
<ax:ocx xmlns:ax="http://schemas.microsoft.com/office/2006/activeX" xmlns:r="http://schemas.openxmlformats.org/officeDocument/2006/relationships" ax:classid="{8BD21D40-EC42-11CE-9E0D-00AA006002F3}" ax:persistence="persistStreamInit" r:id="rId1"/>
</file>

<file path=xl/activeX/activeX159.xml><?xml version="1.0" encoding="utf-8"?>
<ax:ocx xmlns:ax="http://schemas.microsoft.com/office/2006/activeX" xmlns:r="http://schemas.openxmlformats.org/officeDocument/2006/relationships" ax:classid="{8BD21D40-EC42-11CE-9E0D-00AA006002F3}" ax:persistence="persistStreamInit" r:id="rId1"/>
</file>

<file path=xl/activeX/activeX160.xml><?xml version="1.0" encoding="utf-8"?>
<ax:ocx xmlns:ax="http://schemas.microsoft.com/office/2006/activeX" xmlns:r="http://schemas.openxmlformats.org/officeDocument/2006/relationships" ax:classid="{8BD21D40-EC42-11CE-9E0D-00AA006002F3}" ax:persistence="persistStreamInit" r:id="rId1"/>
</file>

<file path=xl/activeX/activeX161.xml><?xml version="1.0" encoding="utf-8"?>
<ax:ocx xmlns:ax="http://schemas.microsoft.com/office/2006/activeX" xmlns:r="http://schemas.openxmlformats.org/officeDocument/2006/relationships" ax:classid="{8BD21D50-EC42-11CE-9E0D-00AA006002F3}" ax:persistence="persistStreamInit" r:id="rId1"/>
</file>

<file path=xl/activeX/activeX162.xml><?xml version="1.0" encoding="utf-8"?>
<ax:ocx xmlns:ax="http://schemas.microsoft.com/office/2006/activeX" xmlns:r="http://schemas.openxmlformats.org/officeDocument/2006/relationships" ax:classid="{8BD21D50-EC42-11CE-9E0D-00AA006002F3}" ax:persistence="persistStreamInit" r:id="rId1"/>
</file>

<file path=xl/activeX/activeX163.xml><?xml version="1.0" encoding="utf-8"?>
<ax:ocx xmlns:ax="http://schemas.microsoft.com/office/2006/activeX" xmlns:r="http://schemas.openxmlformats.org/officeDocument/2006/relationships" ax:classid="{8BD21D40-EC42-11CE-9E0D-00AA006002F3}" ax:persistence="persistStreamInit" r:id="rId1"/>
</file>

<file path=xl/activeX/activeX164.xml><?xml version="1.0" encoding="utf-8"?>
<ax:ocx xmlns:ax="http://schemas.microsoft.com/office/2006/activeX" xmlns:r="http://schemas.openxmlformats.org/officeDocument/2006/relationships" ax:classid="{8BD21D40-EC42-11CE-9E0D-00AA006002F3}" ax:persistence="persistStreamInit" r:id="rId1"/>
</file>

<file path=xl/activeX/activeX165.xml><?xml version="1.0" encoding="utf-8"?>
<ax:ocx xmlns:ax="http://schemas.microsoft.com/office/2006/activeX" xmlns:r="http://schemas.openxmlformats.org/officeDocument/2006/relationships" ax:classid="{8BD21D50-EC42-11CE-9E0D-00AA006002F3}" ax:persistence="persistStreamInit" r:id="rId1"/>
</file>

<file path=xl/activeX/activeX166.xml><?xml version="1.0" encoding="utf-8"?>
<ax:ocx xmlns:ax="http://schemas.microsoft.com/office/2006/activeX" xmlns:r="http://schemas.openxmlformats.org/officeDocument/2006/relationships" ax:classid="{8BD21D50-EC42-11CE-9E0D-00AA006002F3}" ax:persistence="persistStreamInit" r:id="rId1"/>
</file>

<file path=xl/activeX/activeX167.xml><?xml version="1.0" encoding="utf-8"?>
<ax:ocx xmlns:ax="http://schemas.microsoft.com/office/2006/activeX" xmlns:r="http://schemas.openxmlformats.org/officeDocument/2006/relationships" ax:classid="{8BD21D40-EC42-11CE-9E0D-00AA006002F3}" ax:persistence="persistStreamInit" r:id="rId1"/>
</file>

<file path=xl/activeX/activeX168.xml><?xml version="1.0" encoding="utf-8"?>
<ax:ocx xmlns:ax="http://schemas.microsoft.com/office/2006/activeX" xmlns:r="http://schemas.openxmlformats.org/officeDocument/2006/relationships" ax:classid="{8BD21D40-EC42-11CE-9E0D-00AA006002F3}" ax:persistence="persistStreamInit" r:id="rId1"/>
</file>

<file path=xl/activeX/activeX169.xml><?xml version="1.0" encoding="utf-8"?>
<ax:ocx xmlns:ax="http://schemas.microsoft.com/office/2006/activeX" xmlns:r="http://schemas.openxmlformats.org/officeDocument/2006/relationships" ax:classid="{8BD21D40-EC42-11CE-9E0D-00AA006002F3}" ax:persistence="persistStreamInit" r:id="rId1"/>
</file>

<file path=xl/activeX/activeX170.xml><?xml version="1.0" encoding="utf-8"?>
<ax:ocx xmlns:ax="http://schemas.microsoft.com/office/2006/activeX" xmlns:r="http://schemas.openxmlformats.org/officeDocument/2006/relationships" ax:classid="{8BD21D40-EC42-11CE-9E0D-00AA006002F3}" ax:persistence="persistStreamInit" r:id="rId1"/>
</file>

<file path=xl/activeX/activeX171.xml><?xml version="1.0" encoding="utf-8"?>
<ax:ocx xmlns:ax="http://schemas.microsoft.com/office/2006/activeX" xmlns:r="http://schemas.openxmlformats.org/officeDocument/2006/relationships" ax:classid="{8BD21D50-EC42-11CE-9E0D-00AA006002F3}" ax:persistence="persistStreamInit" r:id="rId1"/>
</file>

<file path=xl/activeX/activeX172.xml><?xml version="1.0" encoding="utf-8"?>
<ax:ocx xmlns:ax="http://schemas.microsoft.com/office/2006/activeX" xmlns:r="http://schemas.openxmlformats.org/officeDocument/2006/relationships" ax:classid="{8BD21D50-EC42-11CE-9E0D-00AA006002F3}" ax:persistence="persistStreamInit" r:id="rId1"/>
</file>

<file path=xl/activeX/activeX173.xml><?xml version="1.0" encoding="utf-8"?>
<ax:ocx xmlns:ax="http://schemas.microsoft.com/office/2006/activeX" xmlns:r="http://schemas.openxmlformats.org/officeDocument/2006/relationships" ax:classid="{8BD21D50-EC42-11CE-9E0D-00AA006002F3}" ax:persistence="persistStreamInit" r:id="rId1"/>
</file>

<file path=xl/activeX/activeX174.xml><?xml version="1.0" encoding="utf-8"?>
<ax:ocx xmlns:ax="http://schemas.microsoft.com/office/2006/activeX" xmlns:r="http://schemas.openxmlformats.org/officeDocument/2006/relationships" ax:classid="{8BD21D50-EC42-11CE-9E0D-00AA006002F3}" ax:persistence="persistStreamInit" r:id="rId1"/>
</file>

<file path=xl/activeX/activeX175.xml><?xml version="1.0" encoding="utf-8"?>
<ax:ocx xmlns:ax="http://schemas.microsoft.com/office/2006/activeX" xmlns:r="http://schemas.openxmlformats.org/officeDocument/2006/relationships" ax:classid="{8BD21D40-EC42-11CE-9E0D-00AA006002F3}" ax:persistence="persistStreamInit" r:id="rId1"/>
</file>

<file path=xl/activeX/activeX176.xml><?xml version="1.0" encoding="utf-8"?>
<ax:ocx xmlns:ax="http://schemas.microsoft.com/office/2006/activeX" xmlns:r="http://schemas.openxmlformats.org/officeDocument/2006/relationships" ax:classid="{8BD21D40-EC42-11CE-9E0D-00AA006002F3}" ax:persistence="persistStreamInit" r:id="rId1"/>
</file>

<file path=xl/activeX/activeX177.xml><?xml version="1.0" encoding="utf-8"?>
<ax:ocx xmlns:ax="http://schemas.microsoft.com/office/2006/activeX" xmlns:r="http://schemas.openxmlformats.org/officeDocument/2006/relationships" ax:classid="{8BD21D40-EC42-11CE-9E0D-00AA006002F3}" ax:persistence="persistStreamInit" r:id="rId1"/>
</file>

<file path=xl/activeX/activeX178.xml><?xml version="1.0" encoding="utf-8"?>
<ax:ocx xmlns:ax="http://schemas.microsoft.com/office/2006/activeX" xmlns:r="http://schemas.openxmlformats.org/officeDocument/2006/relationships" ax:classid="{8BD21D40-EC42-11CE-9E0D-00AA006002F3}" ax:persistence="persistStreamInit" r:id="rId1"/>
</file>

<file path=xl/activeX/activeX179.xml><?xml version="1.0" encoding="utf-8"?>
<ax:ocx xmlns:ax="http://schemas.microsoft.com/office/2006/activeX" xmlns:r="http://schemas.openxmlformats.org/officeDocument/2006/relationships" ax:classid="{8BD21D40-EC42-11CE-9E0D-00AA006002F3}" ax:persistence="persistStreamInit" r:id="rId1"/>
</file>

<file path=xl/activeX/activeX180.xml><?xml version="1.0" encoding="utf-8"?>
<ax:ocx xmlns:ax="http://schemas.microsoft.com/office/2006/activeX" xmlns:r="http://schemas.openxmlformats.org/officeDocument/2006/relationships" ax:classid="{8BD21D40-EC42-11CE-9E0D-00AA006002F3}" ax:persistence="persistStreamInit" r:id="rId1"/>
</file>

<file path=xl/activeX/activeX181.xml><?xml version="1.0" encoding="utf-8"?>
<ax:ocx xmlns:ax="http://schemas.microsoft.com/office/2006/activeX" xmlns:r="http://schemas.openxmlformats.org/officeDocument/2006/relationships" ax:classid="{8BD21D40-EC42-11CE-9E0D-00AA006002F3}" ax:persistence="persistStreamInit" r:id="rId1"/>
</file>

<file path=xl/activeX/activeX182.xml><?xml version="1.0" encoding="utf-8"?>
<ax:ocx xmlns:ax="http://schemas.microsoft.com/office/2006/activeX" xmlns:r="http://schemas.openxmlformats.org/officeDocument/2006/relationships" ax:classid="{8BD21D40-EC42-11CE-9E0D-00AA006002F3}" ax:persistence="persistStreamInit" r:id="rId1"/>
</file>

<file path=xl/activeX/activeX183.xml><?xml version="1.0" encoding="utf-8"?>
<ax:ocx xmlns:ax="http://schemas.microsoft.com/office/2006/activeX" xmlns:r="http://schemas.openxmlformats.org/officeDocument/2006/relationships" ax:classid="{8BD21D40-EC42-11CE-9E0D-00AA006002F3}" ax:persistence="persistStreamInit" r:id="rId1"/>
</file>

<file path=xl/activeX/activeX184.xml><?xml version="1.0" encoding="utf-8"?>
<ax:ocx xmlns:ax="http://schemas.microsoft.com/office/2006/activeX" xmlns:r="http://schemas.openxmlformats.org/officeDocument/2006/relationships" ax:classid="{8BD21D40-EC42-11CE-9E0D-00AA006002F3}" ax:persistence="persistStreamInit" r:id="rId1"/>
</file>

<file path=xl/activeX/activeX185.xml><?xml version="1.0" encoding="utf-8"?>
<ax:ocx xmlns:ax="http://schemas.microsoft.com/office/2006/activeX" xmlns:r="http://schemas.openxmlformats.org/officeDocument/2006/relationships" ax:classid="{8BD21D40-EC42-11CE-9E0D-00AA006002F3}" ax:persistence="persistStreamInit" r:id="rId1"/>
</file>

<file path=xl/activeX/activeX186.xml><?xml version="1.0" encoding="utf-8"?>
<ax:ocx xmlns:ax="http://schemas.microsoft.com/office/2006/activeX" xmlns:r="http://schemas.openxmlformats.org/officeDocument/2006/relationships" ax:classid="{8BD21D40-EC42-11CE-9E0D-00AA006002F3}" ax:persistence="persistStreamInit" r:id="rId1"/>
</file>

<file path=xl/activeX/activeX187.xml><?xml version="1.0" encoding="utf-8"?>
<ax:ocx xmlns:ax="http://schemas.microsoft.com/office/2006/activeX" xmlns:r="http://schemas.openxmlformats.org/officeDocument/2006/relationships" ax:classid="{8BD21D40-EC42-11CE-9E0D-00AA006002F3}" ax:persistence="persistStreamInit" r:id="rId1"/>
</file>

<file path=xl/activeX/activeX188.xml><?xml version="1.0" encoding="utf-8"?>
<ax:ocx xmlns:ax="http://schemas.microsoft.com/office/2006/activeX" xmlns:r="http://schemas.openxmlformats.org/officeDocument/2006/relationships" ax:classid="{8BD21D40-EC42-11CE-9E0D-00AA006002F3}" ax:persistence="persistStreamInit" r:id="rId1"/>
</file>

<file path=xl/activeX/activeX189.xml><?xml version="1.0" encoding="utf-8"?>
<ax:ocx xmlns:ax="http://schemas.microsoft.com/office/2006/activeX" xmlns:r="http://schemas.openxmlformats.org/officeDocument/2006/relationships" ax:classid="{8BD21D40-EC42-11CE-9E0D-00AA006002F3}"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'Carga e Rede'!$B$261</c:f>
          <c:strCache>
            <c:ptCount val="1"/>
            <c:pt idx="0">
              <c:v>Gráfico das características da carga do caso proposto</c:v>
            </c:pt>
          </c:strCache>
        </c:strRef>
      </c:tx>
      <c:layout>
        <c:manualLayout>
          <c:xMode val="edge"/>
          <c:yMode val="edge"/>
          <c:x val="0.28713968957871394"/>
          <c:y val="1.1933174224343675E-2"/>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pt-PT"/>
        </a:p>
      </c:txPr>
    </c:title>
    <c:autoTitleDeleted val="0"/>
    <c:plotArea>
      <c:layout>
        <c:manualLayout>
          <c:layoutTarget val="inner"/>
          <c:xMode val="edge"/>
          <c:yMode val="edge"/>
          <c:x val="0.10804145811355631"/>
          <c:y val="7.8396418019036407E-2"/>
          <c:w val="0.69146533192676041"/>
          <c:h val="0.80690947326910645"/>
        </c:manualLayout>
      </c:layout>
      <c:lineChart>
        <c:grouping val="standard"/>
        <c:varyColors val="0"/>
        <c:ser>
          <c:idx val="1"/>
          <c:order val="0"/>
          <c:tx>
            <c:strRef>
              <c:f>'Carga e Rede'!$AA$229</c:f>
              <c:strCache>
                <c:ptCount val="1"/>
                <c:pt idx="0">
                  <c:v>Eletricidade </c:v>
                </c:pt>
              </c:strCache>
            </c:strRef>
          </c:tx>
          <c:cat>
            <c:strRef>
              <c:f>'Carga e Rede'!$A$230:$A$241</c:f>
              <c:strCache>
                <c:ptCount val="12"/>
                <c:pt idx="0">
                  <c:v>Janeiro</c:v>
                </c:pt>
                <c:pt idx="1">
                  <c:v>Fev</c:v>
                </c:pt>
                <c:pt idx="2">
                  <c:v>Mar</c:v>
                </c:pt>
                <c:pt idx="3">
                  <c:v>Abr</c:v>
                </c:pt>
                <c:pt idx="4">
                  <c:v>Mai</c:v>
                </c:pt>
                <c:pt idx="5">
                  <c:v>Junho</c:v>
                </c:pt>
                <c:pt idx="6">
                  <c:v>Julho</c:v>
                </c:pt>
                <c:pt idx="7">
                  <c:v>Ago</c:v>
                </c:pt>
                <c:pt idx="8">
                  <c:v>Set</c:v>
                </c:pt>
                <c:pt idx="9">
                  <c:v>Out</c:v>
                </c:pt>
                <c:pt idx="10">
                  <c:v>Novembro</c:v>
                </c:pt>
                <c:pt idx="11">
                  <c:v>Dez</c:v>
                </c:pt>
              </c:strCache>
            </c:strRef>
          </c:cat>
          <c:val>
            <c:numRef>
              <c:f>'Carga e Rede'!$AB$230:$AB$241</c:f>
            </c:numRef>
          </c:val>
          <c:smooth val="0"/>
          <c:extLst>
            <c:ext xmlns:c16="http://schemas.microsoft.com/office/drawing/2014/chart" uri="{C3380CC4-5D6E-409C-BE32-E72D297353CC}">
              <c16:uniqueId val="{00000000-21EF-4C0A-B940-C15B5F24C0EE}"/>
            </c:ext>
          </c:extLst>
        </c:ser>
        <c:ser>
          <c:idx val="2"/>
          <c:order val="1"/>
          <c:tx>
            <c:strRef>
              <c:f>'Carga e Rede'!$AC$229</c:f>
              <c:strCache>
                <c:ptCount val="1"/>
                <c:pt idx="0">
                  <c:v>Aquecimento</c:v>
                </c:pt>
              </c:strCache>
            </c:strRef>
          </c:tx>
          <c:spPr>
            <a:ln w="25400">
              <a:solidFill>
                <a:srgbClr val="FF0000"/>
              </a:solidFill>
              <a:prstDash val="solid"/>
            </a:ln>
          </c:spPr>
          <c:marker>
            <c:spPr>
              <a:solidFill>
                <a:srgbClr val="FF0000"/>
              </a:solidFill>
              <a:ln>
                <a:solidFill>
                  <a:srgbClr val="FF0000"/>
                </a:solidFill>
                <a:prstDash val="solid"/>
              </a:ln>
            </c:spPr>
          </c:marker>
          <c:cat>
            <c:strRef>
              <c:f>'Carga e Rede'!$A$230:$A$241</c:f>
              <c:strCache>
                <c:ptCount val="12"/>
                <c:pt idx="0">
                  <c:v>Janeiro</c:v>
                </c:pt>
                <c:pt idx="1">
                  <c:v>Fev</c:v>
                </c:pt>
                <c:pt idx="2">
                  <c:v>Mar</c:v>
                </c:pt>
                <c:pt idx="3">
                  <c:v>Abr</c:v>
                </c:pt>
                <c:pt idx="4">
                  <c:v>Mai</c:v>
                </c:pt>
                <c:pt idx="5">
                  <c:v>Junho</c:v>
                </c:pt>
                <c:pt idx="6">
                  <c:v>Julho</c:v>
                </c:pt>
                <c:pt idx="7">
                  <c:v>Ago</c:v>
                </c:pt>
                <c:pt idx="8">
                  <c:v>Set</c:v>
                </c:pt>
                <c:pt idx="9">
                  <c:v>Out</c:v>
                </c:pt>
                <c:pt idx="10">
                  <c:v>Novembro</c:v>
                </c:pt>
                <c:pt idx="11">
                  <c:v>Dez</c:v>
                </c:pt>
              </c:strCache>
            </c:strRef>
          </c:cat>
          <c:val>
            <c:numRef>
              <c:f>'Carga e Rede'!$AD$230:$AD$241</c:f>
            </c:numRef>
          </c:val>
          <c:smooth val="0"/>
          <c:extLst>
            <c:ext xmlns:c16="http://schemas.microsoft.com/office/drawing/2014/chart" uri="{C3380CC4-5D6E-409C-BE32-E72D297353CC}">
              <c16:uniqueId val="{00000001-21EF-4C0A-B940-C15B5F24C0EE}"/>
            </c:ext>
          </c:extLst>
        </c:ser>
        <c:ser>
          <c:idx val="3"/>
          <c:order val="2"/>
          <c:tx>
            <c:strRef>
              <c:f>'Carga e Rede'!$AE$229</c:f>
              <c:strCache>
                <c:ptCount val="1"/>
                <c:pt idx="0">
                  <c:v>Refrigeração</c:v>
                </c:pt>
              </c:strCache>
            </c:strRef>
          </c:tx>
          <c:spPr>
            <a:ln w="25400">
              <a:solidFill>
                <a:srgbClr val="0000FF"/>
              </a:solidFill>
              <a:prstDash val="solid"/>
            </a:ln>
          </c:spPr>
          <c:marker>
            <c:spPr>
              <a:solidFill>
                <a:srgbClr val="0000FF"/>
              </a:solidFill>
              <a:ln>
                <a:solidFill>
                  <a:srgbClr val="0000FF"/>
                </a:solidFill>
                <a:prstDash val="solid"/>
              </a:ln>
            </c:spPr>
          </c:marker>
          <c:cat>
            <c:strRef>
              <c:f>'Carga e Rede'!$A$230:$A$241</c:f>
              <c:strCache>
                <c:ptCount val="12"/>
                <c:pt idx="0">
                  <c:v>Janeiro</c:v>
                </c:pt>
                <c:pt idx="1">
                  <c:v>Fev</c:v>
                </c:pt>
                <c:pt idx="2">
                  <c:v>Mar</c:v>
                </c:pt>
                <c:pt idx="3">
                  <c:v>Abr</c:v>
                </c:pt>
                <c:pt idx="4">
                  <c:v>Mai</c:v>
                </c:pt>
                <c:pt idx="5">
                  <c:v>Junho</c:v>
                </c:pt>
                <c:pt idx="6">
                  <c:v>Julho</c:v>
                </c:pt>
                <c:pt idx="7">
                  <c:v>Ago</c:v>
                </c:pt>
                <c:pt idx="8">
                  <c:v>Set</c:v>
                </c:pt>
                <c:pt idx="9">
                  <c:v>Out</c:v>
                </c:pt>
                <c:pt idx="10">
                  <c:v>Novembro</c:v>
                </c:pt>
                <c:pt idx="11">
                  <c:v>Dez</c:v>
                </c:pt>
              </c:strCache>
            </c:strRef>
          </c:cat>
          <c:val>
            <c:numRef>
              <c:f>'Carga e Rede'!$AF$230:$AF$241</c:f>
            </c:numRef>
          </c:val>
          <c:smooth val="0"/>
          <c:extLst>
            <c:ext xmlns:c16="http://schemas.microsoft.com/office/drawing/2014/chart" uri="{C3380CC4-5D6E-409C-BE32-E72D297353CC}">
              <c16:uniqueId val="{00000002-21EF-4C0A-B940-C15B5F24C0EE}"/>
            </c:ext>
          </c:extLst>
        </c:ser>
        <c:ser>
          <c:idx val="0"/>
          <c:order val="3"/>
          <c:tx>
            <c:strRef>
              <c:f>'Carga e Rede'!$J$246</c:f>
              <c:strCache>
                <c:ptCount val="1"/>
              </c:strCache>
            </c:strRef>
          </c:tx>
          <c:spPr>
            <a:ln w="28575">
              <a:noFill/>
            </a:ln>
          </c:spPr>
          <c:marker>
            <c:symbol val="none"/>
          </c:marker>
          <c:cat>
            <c:strRef>
              <c:f>'Carga e Rede'!$A$230:$A$241</c:f>
              <c:strCache>
                <c:ptCount val="12"/>
                <c:pt idx="0">
                  <c:v>Janeiro</c:v>
                </c:pt>
                <c:pt idx="1">
                  <c:v>Fev</c:v>
                </c:pt>
                <c:pt idx="2">
                  <c:v>Mar</c:v>
                </c:pt>
                <c:pt idx="3">
                  <c:v>Abr</c:v>
                </c:pt>
                <c:pt idx="4">
                  <c:v>Mai</c:v>
                </c:pt>
                <c:pt idx="5">
                  <c:v>Junho</c:v>
                </c:pt>
                <c:pt idx="6">
                  <c:v>Julho</c:v>
                </c:pt>
                <c:pt idx="7">
                  <c:v>Ago</c:v>
                </c:pt>
                <c:pt idx="8">
                  <c:v>Set</c:v>
                </c:pt>
                <c:pt idx="9">
                  <c:v>Out</c:v>
                </c:pt>
                <c:pt idx="10">
                  <c:v>Novembro</c:v>
                </c:pt>
                <c:pt idx="11">
                  <c:v>Dez</c:v>
                </c:pt>
              </c:strCache>
            </c:strRef>
          </c:cat>
          <c:val>
            <c:numRef>
              <c:f>'Carga e Rede'!$J$245</c:f>
              <c:numCache>
                <c:formatCode>General</c:formatCode>
                <c:ptCount val="1"/>
                <c:pt idx="0">
                  <c:v>0</c:v>
                </c:pt>
              </c:numCache>
            </c:numRef>
          </c:val>
          <c:smooth val="0"/>
          <c:extLst>
            <c:ext xmlns:c16="http://schemas.microsoft.com/office/drawing/2014/chart" uri="{C3380CC4-5D6E-409C-BE32-E72D297353CC}">
              <c16:uniqueId val="{00000003-21EF-4C0A-B940-C15B5F24C0EE}"/>
            </c:ext>
          </c:extLst>
        </c:ser>
        <c:ser>
          <c:idx val="4"/>
          <c:order val="4"/>
          <c:tx>
            <c:strRef>
              <c:f>'Carga e Rede'!$J$246</c:f>
              <c:strCache>
                <c:ptCount val="1"/>
              </c:strCache>
            </c:strRef>
          </c:tx>
          <c:spPr>
            <a:ln w="28575">
              <a:noFill/>
            </a:ln>
          </c:spPr>
          <c:marker>
            <c:symbol val="none"/>
          </c:marker>
          <c:cat>
            <c:strRef>
              <c:f>'Carga e Rede'!$A$230:$A$241</c:f>
              <c:strCache>
                <c:ptCount val="12"/>
                <c:pt idx="0">
                  <c:v>Janeiro</c:v>
                </c:pt>
                <c:pt idx="1">
                  <c:v>Fev</c:v>
                </c:pt>
                <c:pt idx="2">
                  <c:v>Mar</c:v>
                </c:pt>
                <c:pt idx="3">
                  <c:v>Abr</c:v>
                </c:pt>
                <c:pt idx="4">
                  <c:v>Mai</c:v>
                </c:pt>
                <c:pt idx="5">
                  <c:v>Junho</c:v>
                </c:pt>
                <c:pt idx="6">
                  <c:v>Julho</c:v>
                </c:pt>
                <c:pt idx="7">
                  <c:v>Ago</c:v>
                </c:pt>
                <c:pt idx="8">
                  <c:v>Set</c:v>
                </c:pt>
                <c:pt idx="9">
                  <c:v>Out</c:v>
                </c:pt>
                <c:pt idx="10">
                  <c:v>Novembro</c:v>
                </c:pt>
                <c:pt idx="11">
                  <c:v>Dez</c:v>
                </c:pt>
              </c:strCache>
            </c:strRef>
          </c:cat>
          <c:val>
            <c:numRef>
              <c:f>'Carga e Rede'!$J$245</c:f>
              <c:numCache>
                <c:formatCode>General</c:formatCode>
                <c:ptCount val="1"/>
                <c:pt idx="0">
                  <c:v>0</c:v>
                </c:pt>
              </c:numCache>
            </c:numRef>
          </c:val>
          <c:smooth val="0"/>
          <c:extLst>
            <c:ext xmlns:c16="http://schemas.microsoft.com/office/drawing/2014/chart" uri="{C3380CC4-5D6E-409C-BE32-E72D297353CC}">
              <c16:uniqueId val="{00000004-21EF-4C0A-B940-C15B5F24C0EE}"/>
            </c:ext>
          </c:extLst>
        </c:ser>
        <c:dLbls>
          <c:showLegendKey val="0"/>
          <c:showVal val="0"/>
          <c:showCatName val="0"/>
          <c:showSerName val="0"/>
          <c:showPercent val="0"/>
          <c:showBubbleSize val="0"/>
        </c:dLbls>
        <c:smooth val="0"/>
        <c:axId val="1755240640"/>
        <c:axId val="1"/>
      </c:lineChart>
      <c:catAx>
        <c:axId val="1755240640"/>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pt-PT"/>
          </a:p>
        </c:txPr>
        <c:crossAx val="1"/>
        <c:crosses val="autoZero"/>
        <c:auto val="1"/>
        <c:lblAlgn val="ctr"/>
        <c:lblOffset val="100"/>
        <c:tickLblSkip val="1"/>
        <c:tickMarkSkip val="1"/>
        <c:noMultiLvlLbl val="0"/>
      </c:catAx>
      <c:valAx>
        <c:axId val="1"/>
        <c:scaling>
          <c:orientation val="minMax"/>
          <c:min val="0"/>
        </c:scaling>
        <c:delete val="0"/>
        <c:axPos val="l"/>
        <c:majorGridlines>
          <c:spPr>
            <a:ln w="3175">
              <a:solidFill>
                <a:srgbClr val="000000"/>
              </a:solidFill>
              <a:prstDash val="solid"/>
            </a:ln>
          </c:spPr>
        </c:majorGridlines>
        <c:title>
          <c:tx>
            <c:strRef>
              <c:f>Language!$C$1364</c:f>
              <c:strCache>
                <c:ptCount val="1"/>
                <c:pt idx="0">
                  <c:v>kW</c:v>
                </c:pt>
              </c:strCache>
            </c:strRef>
          </c:tx>
          <c:layout>
            <c:manualLayout>
              <c:xMode val="edge"/>
              <c:yMode val="edge"/>
              <c:x val="3.543759826124647E-2"/>
              <c:y val="0.4455211072789142"/>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pt-PT"/>
            </a:p>
          </c:tx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pt-PT"/>
          </a:p>
        </c:txPr>
        <c:crossAx val="1755240640"/>
        <c:crosses val="autoZero"/>
        <c:crossBetween val="midCat"/>
      </c:valAx>
      <c:spPr>
        <a:solidFill>
          <a:srgbClr val="FFFFFF"/>
        </a:solidFill>
        <a:ln w="12700">
          <a:solidFill>
            <a:srgbClr val="808080"/>
          </a:solidFill>
          <a:prstDash val="solid"/>
        </a:ln>
      </c:spPr>
    </c:plotArea>
    <c:legend>
      <c:legendPos val="r"/>
      <c:layout>
        <c:manualLayout>
          <c:xMode val="edge"/>
          <c:yMode val="edge"/>
          <c:x val="0.84185904162083092"/>
          <c:y val="0.41683949093048622"/>
          <c:w val="0.15298670468879574"/>
          <c:h val="0.21798028424805244"/>
        </c:manualLayout>
      </c:layout>
      <c:overlay val="0"/>
      <c:spPr>
        <a:no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PT"/>
    </a:p>
  </c:txPr>
  <c:printSettings>
    <c:headerFooter alignWithMargins="0"/>
    <c:pageMargins b="1" l="0.75" r="0.7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'Carga e Rede'!$B$260</c:f>
          <c:strCache>
            <c:ptCount val="1"/>
            <c:pt idx="0">
              <c:v>Gráfico das características da carga do caso referência</c:v>
            </c:pt>
          </c:strCache>
        </c:strRef>
      </c:tx>
      <c:layout>
        <c:manualLayout>
          <c:xMode val="edge"/>
          <c:yMode val="edge"/>
          <c:x val="0.34843615421858676"/>
          <c:y val="1.2285012285012284E-2"/>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pt-PT"/>
        </a:p>
      </c:txPr>
    </c:title>
    <c:autoTitleDeleted val="0"/>
    <c:plotArea>
      <c:layout>
        <c:manualLayout>
          <c:layoutTarget val="inner"/>
          <c:xMode val="edge"/>
          <c:yMode val="edge"/>
          <c:x val="0.16316749340097414"/>
          <c:y val="8.2355719766055532E-2"/>
          <c:w val="0.66949136467616199"/>
          <c:h val="0.82747889860179602"/>
        </c:manualLayout>
      </c:layout>
      <c:lineChart>
        <c:grouping val="standard"/>
        <c:varyColors val="0"/>
        <c:ser>
          <c:idx val="0"/>
          <c:order val="0"/>
          <c:tx>
            <c:strRef>
              <c:f>'Carga e Rede'!$AA$229</c:f>
              <c:strCache>
                <c:ptCount val="1"/>
                <c:pt idx="0">
                  <c:v>Eletricidade </c:v>
                </c:pt>
              </c:strCache>
            </c:strRef>
          </c:tx>
          <c:cat>
            <c:strRef>
              <c:f>'Carga e Rede'!$A$230:$A$241</c:f>
              <c:strCache>
                <c:ptCount val="12"/>
                <c:pt idx="0">
                  <c:v>Janeiro</c:v>
                </c:pt>
                <c:pt idx="1">
                  <c:v>Fev</c:v>
                </c:pt>
                <c:pt idx="2">
                  <c:v>Mar</c:v>
                </c:pt>
                <c:pt idx="3">
                  <c:v>Abr</c:v>
                </c:pt>
                <c:pt idx="4">
                  <c:v>Mai</c:v>
                </c:pt>
                <c:pt idx="5">
                  <c:v>Junho</c:v>
                </c:pt>
                <c:pt idx="6">
                  <c:v>Julho</c:v>
                </c:pt>
                <c:pt idx="7">
                  <c:v>Ago</c:v>
                </c:pt>
                <c:pt idx="8">
                  <c:v>Set</c:v>
                </c:pt>
                <c:pt idx="9">
                  <c:v>Out</c:v>
                </c:pt>
                <c:pt idx="10">
                  <c:v>Novembro</c:v>
                </c:pt>
                <c:pt idx="11">
                  <c:v>Dez</c:v>
                </c:pt>
              </c:strCache>
            </c:strRef>
          </c:cat>
          <c:val>
            <c:numRef>
              <c:f>'Carga e Rede'!$AA$230:$AA$241</c:f>
            </c:numRef>
          </c:val>
          <c:smooth val="0"/>
          <c:extLst>
            <c:ext xmlns:c16="http://schemas.microsoft.com/office/drawing/2014/chart" uri="{C3380CC4-5D6E-409C-BE32-E72D297353CC}">
              <c16:uniqueId val="{00000000-218C-453D-8401-E9BF2BDF801F}"/>
            </c:ext>
          </c:extLst>
        </c:ser>
        <c:ser>
          <c:idx val="2"/>
          <c:order val="1"/>
          <c:tx>
            <c:strRef>
              <c:f>'Carga e Rede'!$AC$229</c:f>
              <c:strCache>
                <c:ptCount val="1"/>
                <c:pt idx="0">
                  <c:v>Aquecimento</c:v>
                </c:pt>
              </c:strCache>
            </c:strRef>
          </c:tx>
          <c:spPr>
            <a:ln w="25400">
              <a:solidFill>
                <a:srgbClr val="FF0000"/>
              </a:solidFill>
              <a:prstDash val="solid"/>
            </a:ln>
          </c:spPr>
          <c:marker>
            <c:spPr>
              <a:solidFill>
                <a:srgbClr val="FF0000"/>
              </a:solidFill>
              <a:ln>
                <a:solidFill>
                  <a:srgbClr val="FF0000"/>
                </a:solidFill>
                <a:prstDash val="solid"/>
              </a:ln>
            </c:spPr>
          </c:marker>
          <c:cat>
            <c:strRef>
              <c:f>'Carga e Rede'!$A$230:$A$241</c:f>
              <c:strCache>
                <c:ptCount val="12"/>
                <c:pt idx="0">
                  <c:v>Janeiro</c:v>
                </c:pt>
                <c:pt idx="1">
                  <c:v>Fev</c:v>
                </c:pt>
                <c:pt idx="2">
                  <c:v>Mar</c:v>
                </c:pt>
                <c:pt idx="3">
                  <c:v>Abr</c:v>
                </c:pt>
                <c:pt idx="4">
                  <c:v>Mai</c:v>
                </c:pt>
                <c:pt idx="5">
                  <c:v>Junho</c:v>
                </c:pt>
                <c:pt idx="6">
                  <c:v>Julho</c:v>
                </c:pt>
                <c:pt idx="7">
                  <c:v>Ago</c:v>
                </c:pt>
                <c:pt idx="8">
                  <c:v>Set</c:v>
                </c:pt>
                <c:pt idx="9">
                  <c:v>Out</c:v>
                </c:pt>
                <c:pt idx="10">
                  <c:v>Novembro</c:v>
                </c:pt>
                <c:pt idx="11">
                  <c:v>Dez</c:v>
                </c:pt>
              </c:strCache>
            </c:strRef>
          </c:cat>
          <c:val>
            <c:numRef>
              <c:f>'Carga e Rede'!$AC$230:$AC$241</c:f>
            </c:numRef>
          </c:val>
          <c:smooth val="0"/>
          <c:extLst>
            <c:ext xmlns:c16="http://schemas.microsoft.com/office/drawing/2014/chart" uri="{C3380CC4-5D6E-409C-BE32-E72D297353CC}">
              <c16:uniqueId val="{00000001-218C-453D-8401-E9BF2BDF801F}"/>
            </c:ext>
          </c:extLst>
        </c:ser>
        <c:ser>
          <c:idx val="1"/>
          <c:order val="2"/>
          <c:tx>
            <c:strRef>
              <c:f>'Carga e Rede'!$AE$229</c:f>
              <c:strCache>
                <c:ptCount val="1"/>
                <c:pt idx="0">
                  <c:v>Refrigeração</c:v>
                </c:pt>
              </c:strCache>
            </c:strRef>
          </c:tx>
          <c:spPr>
            <a:ln w="25400">
              <a:solidFill>
                <a:srgbClr val="0000FF"/>
              </a:solidFill>
              <a:prstDash val="solid"/>
            </a:ln>
          </c:spPr>
          <c:marker>
            <c:spPr>
              <a:solidFill>
                <a:srgbClr val="0000FF"/>
              </a:solidFill>
              <a:ln>
                <a:solidFill>
                  <a:srgbClr val="0000FF"/>
                </a:solidFill>
                <a:prstDash val="solid"/>
              </a:ln>
            </c:spPr>
          </c:marker>
          <c:cat>
            <c:strRef>
              <c:f>'Carga e Rede'!$A$230:$A$241</c:f>
              <c:strCache>
                <c:ptCount val="12"/>
                <c:pt idx="0">
                  <c:v>Janeiro</c:v>
                </c:pt>
                <c:pt idx="1">
                  <c:v>Fev</c:v>
                </c:pt>
                <c:pt idx="2">
                  <c:v>Mar</c:v>
                </c:pt>
                <c:pt idx="3">
                  <c:v>Abr</c:v>
                </c:pt>
                <c:pt idx="4">
                  <c:v>Mai</c:v>
                </c:pt>
                <c:pt idx="5">
                  <c:v>Junho</c:v>
                </c:pt>
                <c:pt idx="6">
                  <c:v>Julho</c:v>
                </c:pt>
                <c:pt idx="7">
                  <c:v>Ago</c:v>
                </c:pt>
                <c:pt idx="8">
                  <c:v>Set</c:v>
                </c:pt>
                <c:pt idx="9">
                  <c:v>Out</c:v>
                </c:pt>
                <c:pt idx="10">
                  <c:v>Novembro</c:v>
                </c:pt>
                <c:pt idx="11">
                  <c:v>Dez</c:v>
                </c:pt>
              </c:strCache>
            </c:strRef>
          </c:cat>
          <c:val>
            <c:numRef>
              <c:f>'Carga e Rede'!$AE$230:$AE$241</c:f>
            </c:numRef>
          </c:val>
          <c:smooth val="0"/>
          <c:extLst>
            <c:ext xmlns:c16="http://schemas.microsoft.com/office/drawing/2014/chart" uri="{C3380CC4-5D6E-409C-BE32-E72D297353CC}">
              <c16:uniqueId val="{00000002-218C-453D-8401-E9BF2BDF801F}"/>
            </c:ext>
          </c:extLst>
        </c:ser>
        <c:ser>
          <c:idx val="3"/>
          <c:order val="3"/>
          <c:tx>
            <c:strRef>
              <c:f>'Carga e Rede'!$J$246</c:f>
              <c:strCache>
                <c:ptCount val="1"/>
              </c:strCache>
            </c:strRef>
          </c:tx>
          <c:spPr>
            <a:ln w="28575">
              <a:noFill/>
            </a:ln>
          </c:spPr>
          <c:marker>
            <c:symbol val="none"/>
          </c:marker>
          <c:cat>
            <c:strRef>
              <c:f>'Carga e Rede'!$A$230:$A$241</c:f>
              <c:strCache>
                <c:ptCount val="12"/>
                <c:pt idx="0">
                  <c:v>Janeiro</c:v>
                </c:pt>
                <c:pt idx="1">
                  <c:v>Fev</c:v>
                </c:pt>
                <c:pt idx="2">
                  <c:v>Mar</c:v>
                </c:pt>
                <c:pt idx="3">
                  <c:v>Abr</c:v>
                </c:pt>
                <c:pt idx="4">
                  <c:v>Mai</c:v>
                </c:pt>
                <c:pt idx="5">
                  <c:v>Junho</c:v>
                </c:pt>
                <c:pt idx="6">
                  <c:v>Julho</c:v>
                </c:pt>
                <c:pt idx="7">
                  <c:v>Ago</c:v>
                </c:pt>
                <c:pt idx="8">
                  <c:v>Set</c:v>
                </c:pt>
                <c:pt idx="9">
                  <c:v>Out</c:v>
                </c:pt>
                <c:pt idx="10">
                  <c:v>Novembro</c:v>
                </c:pt>
                <c:pt idx="11">
                  <c:v>Dez</c:v>
                </c:pt>
              </c:strCache>
            </c:strRef>
          </c:cat>
          <c:val>
            <c:numRef>
              <c:f>'Carga e Rede'!$J$245</c:f>
              <c:numCache>
                <c:formatCode>General</c:formatCode>
                <c:ptCount val="1"/>
                <c:pt idx="0">
                  <c:v>0</c:v>
                </c:pt>
              </c:numCache>
            </c:numRef>
          </c:val>
          <c:smooth val="0"/>
          <c:extLst>
            <c:ext xmlns:c16="http://schemas.microsoft.com/office/drawing/2014/chart" uri="{C3380CC4-5D6E-409C-BE32-E72D297353CC}">
              <c16:uniqueId val="{00000003-218C-453D-8401-E9BF2BDF801F}"/>
            </c:ext>
          </c:extLst>
        </c:ser>
        <c:ser>
          <c:idx val="4"/>
          <c:order val="4"/>
          <c:tx>
            <c:strRef>
              <c:f>'Carga e Rede'!$J$246</c:f>
              <c:strCache>
                <c:ptCount val="1"/>
              </c:strCache>
            </c:strRef>
          </c:tx>
          <c:spPr>
            <a:ln w="28575">
              <a:noFill/>
            </a:ln>
          </c:spPr>
          <c:marker>
            <c:symbol val="none"/>
          </c:marker>
          <c:cat>
            <c:strRef>
              <c:f>'Carga e Rede'!$A$230:$A$241</c:f>
              <c:strCache>
                <c:ptCount val="12"/>
                <c:pt idx="0">
                  <c:v>Janeiro</c:v>
                </c:pt>
                <c:pt idx="1">
                  <c:v>Fev</c:v>
                </c:pt>
                <c:pt idx="2">
                  <c:v>Mar</c:v>
                </c:pt>
                <c:pt idx="3">
                  <c:v>Abr</c:v>
                </c:pt>
                <c:pt idx="4">
                  <c:v>Mai</c:v>
                </c:pt>
                <c:pt idx="5">
                  <c:v>Junho</c:v>
                </c:pt>
                <c:pt idx="6">
                  <c:v>Julho</c:v>
                </c:pt>
                <c:pt idx="7">
                  <c:v>Ago</c:v>
                </c:pt>
                <c:pt idx="8">
                  <c:v>Set</c:v>
                </c:pt>
                <c:pt idx="9">
                  <c:v>Out</c:v>
                </c:pt>
                <c:pt idx="10">
                  <c:v>Novembro</c:v>
                </c:pt>
                <c:pt idx="11">
                  <c:v>Dez</c:v>
                </c:pt>
              </c:strCache>
            </c:strRef>
          </c:cat>
          <c:val>
            <c:numRef>
              <c:f>'Carga e Rede'!$J$245</c:f>
              <c:numCache>
                <c:formatCode>General</c:formatCode>
                <c:ptCount val="1"/>
                <c:pt idx="0">
                  <c:v>0</c:v>
                </c:pt>
              </c:numCache>
            </c:numRef>
          </c:val>
          <c:smooth val="0"/>
          <c:extLst>
            <c:ext xmlns:c16="http://schemas.microsoft.com/office/drawing/2014/chart" uri="{C3380CC4-5D6E-409C-BE32-E72D297353CC}">
              <c16:uniqueId val="{00000004-218C-453D-8401-E9BF2BDF801F}"/>
            </c:ext>
          </c:extLst>
        </c:ser>
        <c:dLbls>
          <c:showLegendKey val="0"/>
          <c:showVal val="0"/>
          <c:showCatName val="0"/>
          <c:showSerName val="0"/>
          <c:showPercent val="0"/>
          <c:showBubbleSize val="0"/>
        </c:dLbls>
        <c:smooth val="0"/>
        <c:axId val="1755244000"/>
        <c:axId val="1"/>
      </c:lineChart>
      <c:catAx>
        <c:axId val="1755244000"/>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pt-PT"/>
          </a:p>
        </c:txPr>
        <c:crossAx val="1"/>
        <c:crosses val="autoZero"/>
        <c:auto val="1"/>
        <c:lblAlgn val="ctr"/>
        <c:lblOffset val="100"/>
        <c:tickLblSkip val="1"/>
        <c:tickMarkSkip val="1"/>
        <c:noMultiLvlLbl val="0"/>
      </c:catAx>
      <c:valAx>
        <c:axId val="1"/>
        <c:scaling>
          <c:orientation val="minMax"/>
          <c:min val="0"/>
        </c:scaling>
        <c:delete val="0"/>
        <c:axPos val="l"/>
        <c:majorGridlines>
          <c:spPr>
            <a:ln w="3175">
              <a:solidFill>
                <a:srgbClr val="000000"/>
              </a:solidFill>
              <a:prstDash val="solid"/>
            </a:ln>
          </c:spPr>
        </c:majorGridlines>
        <c:title>
          <c:tx>
            <c:strRef>
              <c:f>Language!$C$1364</c:f>
              <c:strCache>
                <c:ptCount val="1"/>
                <c:pt idx="0">
                  <c:v>kW</c:v>
                </c:pt>
              </c:strCache>
            </c:strRef>
          </c:tx>
          <c:layout>
            <c:manualLayout>
              <c:xMode val="edge"/>
              <c:yMode val="edge"/>
              <c:x val="9.6722998665525903E-2"/>
              <c:y val="0.45491730918392576"/>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pt-PT"/>
            </a:p>
          </c:tx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pt-PT"/>
          </a:p>
        </c:txPr>
        <c:crossAx val="1755244000"/>
        <c:crosses val="autoZero"/>
        <c:crossBetween val="midCat"/>
      </c:valAx>
      <c:spPr>
        <a:noFill/>
        <a:ln w="12700">
          <a:solidFill>
            <a:srgbClr val="808080"/>
          </a:solidFill>
          <a:prstDash val="solid"/>
        </a:ln>
      </c:spPr>
    </c:plotArea>
    <c:legend>
      <c:legendPos val="r"/>
      <c:layout>
        <c:manualLayout>
          <c:xMode val="edge"/>
          <c:yMode val="edge"/>
          <c:x val="0.8553677360246944"/>
          <c:y val="0.43923050541896275"/>
          <c:w val="0.13709433723896283"/>
          <c:h val="0.21373270129762031"/>
        </c:manualLayout>
      </c:layout>
      <c:overlay val="0"/>
      <c:spPr>
        <a:no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PT"/>
    </a:p>
  </c:txPr>
  <c:printSettings>
    <c:headerFooter alignWithMargins="0"/>
    <c:pageMargins b="1" l="0.75" r="0.75" t="1" header="0.5" footer="0.5"/>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2375116569188185E-2"/>
          <c:y val="5.5729420766887076E-2"/>
          <c:w val="0.94007745889790872"/>
          <c:h val="0.8049805221883688"/>
        </c:manualLayout>
      </c:layout>
      <c:areaChart>
        <c:grouping val="standard"/>
        <c:varyColors val="0"/>
        <c:ser>
          <c:idx val="3"/>
          <c:order val="0"/>
          <c:spPr>
            <a:gradFill rotWithShape="0">
              <a:gsLst>
                <a:gs pos="0">
                  <a:srgbClr xmlns:mc="http://schemas.openxmlformats.org/markup-compatibility/2006" xmlns:a14="http://schemas.microsoft.com/office/drawing/2010/main" val="5E765E" mc:Ignorable="a14" a14:legacySpreadsheetColorIndex="42">
                    <a:gamma/>
                    <a:shade val="46275"/>
                    <a:invGamma/>
                  </a:srgbClr>
                </a:gs>
                <a:gs pos="100000">
                  <a:srgbClr xmlns:mc="http://schemas.openxmlformats.org/markup-compatibility/2006" xmlns:a14="http://schemas.microsoft.com/office/drawing/2010/main" val="CCFFCC" mc:Ignorable="a14" a14:legacySpreadsheetColorIndex="42"/>
                </a:gs>
              </a:gsLst>
              <a:lin ang="5400000" scaled="1"/>
            </a:gradFill>
            <a:ln w="12700">
              <a:solidFill>
                <a:srgbClr val="000000"/>
              </a:solidFill>
              <a:prstDash val="solid"/>
            </a:ln>
          </c:spPr>
          <c:cat>
            <c:numRef>
              <c:f>'Análise Financeira'!$M$6:$M$56</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cat>
          <c:val>
            <c:numRef>
              <c:f>'Análise Financeira'!$P$6</c:f>
              <c:numCache>
                <c:formatCode>#,##0</c:formatCode>
                <c:ptCount val="1"/>
                <c:pt idx="0">
                  <c:v>-6082.125</c:v>
                </c:pt>
              </c:numCache>
            </c:numRef>
          </c:val>
          <c:extLst>
            <c:ext xmlns:c16="http://schemas.microsoft.com/office/drawing/2014/chart" uri="{C3380CC4-5D6E-409C-BE32-E72D297353CC}">
              <c16:uniqueId val="{00000000-6730-4936-9D06-26BB06DE8EE5}"/>
            </c:ext>
          </c:extLst>
        </c:ser>
        <c:dLbls>
          <c:showLegendKey val="0"/>
          <c:showVal val="0"/>
          <c:showCatName val="0"/>
          <c:showSerName val="0"/>
          <c:showPercent val="0"/>
          <c:showBubbleSize val="0"/>
        </c:dLbls>
        <c:axId val="1755223360"/>
        <c:axId val="1"/>
      </c:areaChart>
      <c:catAx>
        <c:axId val="17552233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755223360"/>
        <c:crosses val="autoZero"/>
        <c:crossBetween val="midCat"/>
      </c:valAx>
      <c:spPr>
        <a:noFill/>
        <a:ln w="12700">
          <a:solidFill>
            <a:srgbClr val="000000"/>
          </a:solidFill>
          <a:prstDash val="solid"/>
        </a:ln>
      </c:spPr>
    </c:plotArea>
    <c:plotVisOnly val="1"/>
    <c:dispBlanksAs val="zero"/>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pt-PT"/>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pt-PT"/>
              <a:t> </a:t>
            </a:r>
          </a:p>
        </c:rich>
      </c:tx>
      <c:layout>
        <c:manualLayout>
          <c:xMode val="edge"/>
          <c:yMode val="edge"/>
          <c:x val="0.49633303172066817"/>
          <c:y val="3.8793103448275863E-2"/>
        </c:manualLayout>
      </c:layout>
      <c:overlay val="0"/>
      <c:spPr>
        <a:noFill/>
        <a:ln w="25400">
          <a:noFill/>
        </a:ln>
      </c:spPr>
    </c:title>
    <c:autoTitleDeleted val="0"/>
    <c:plotArea>
      <c:layout/>
      <c:barChart>
        <c:barDir val="col"/>
        <c:grouping val="stacked"/>
        <c:varyColors val="0"/>
        <c:ser>
          <c:idx val="0"/>
          <c:order val="0"/>
          <c:tx>
            <c:strRef>
              <c:f>'Modelo Energético'!$B$1057</c:f>
              <c:strCache>
                <c:ptCount val="1"/>
                <c:pt idx="0">
                  <c:v>Base</c:v>
                </c:pt>
              </c:strCache>
            </c:strRef>
          </c:tx>
          <c:spPr>
            <a:gradFill rotWithShape="0">
              <a:gsLst>
                <a:gs pos="0">
                  <a:srgbClr val="000080"/>
                </a:gs>
                <a:gs pos="50000">
                  <a:srgbClr val="3366FF"/>
                </a:gs>
                <a:gs pos="100000">
                  <a:srgbClr val="000080"/>
                </a:gs>
              </a:gsLst>
              <a:lin ang="0" scaled="1"/>
            </a:gradFill>
            <a:ln w="12700">
              <a:solidFill>
                <a:srgbClr val="000000"/>
              </a:solidFill>
              <a:prstDash val="solid"/>
            </a:ln>
          </c:spPr>
          <c:invertIfNegative val="0"/>
          <c:val>
            <c:numRef>
              <c:f>'Modelo Energético'!$C$1057:$D$1057</c:f>
            </c:numRef>
          </c:val>
          <c:extLst>
            <c:ext xmlns:c15="http://schemas.microsoft.com/office/drawing/2012/chart" uri="{02D57815-91ED-43cb-92C2-25804820EDAC}">
              <c15:filteredCategoryTitle>
                <c15:cat>
                  <c:multiLvlStrRef>
                    <c:extLst>
                      <c:ext uri="{02D57815-91ED-43cb-92C2-25804820EDAC}">
                        <c15:formulaRef>
                          <c15:sqref>'Modelo Energético'!$C$1056:$D$1056</c15:sqref>
                        </c15:formulaRef>
                      </c:ext>
                    </c:extLst>
                  </c:multiLvlStrRef>
                </c15:cat>
              </c15:filteredCategoryTitle>
            </c:ext>
            <c:ext xmlns:c16="http://schemas.microsoft.com/office/drawing/2014/chart" uri="{C3380CC4-5D6E-409C-BE32-E72D297353CC}">
              <c16:uniqueId val="{00000000-ADD1-4B94-B840-AB4DB5564F1D}"/>
            </c:ext>
          </c:extLst>
        </c:ser>
        <c:ser>
          <c:idx val="1"/>
          <c:order val="1"/>
          <c:tx>
            <c:strRef>
              <c:f>'Modelo Energético'!$B$1058</c:f>
              <c:strCache>
                <c:ptCount val="1"/>
                <c:pt idx="0">
                  <c:v>Ponta</c:v>
                </c:pt>
              </c:strCache>
            </c:strRef>
          </c:tx>
          <c:spPr>
            <a:gradFill rotWithShape="0">
              <a:gsLst>
                <a:gs pos="0">
                  <a:srgbClr val="000080"/>
                </a:gs>
                <a:gs pos="50000">
                  <a:srgbClr val="DAE8F4"/>
                </a:gs>
                <a:gs pos="100000">
                  <a:srgbClr val="000080"/>
                </a:gs>
              </a:gsLst>
              <a:lin ang="0" scaled="1"/>
            </a:gradFill>
            <a:ln w="12700">
              <a:solidFill>
                <a:srgbClr val="000000"/>
              </a:solidFill>
              <a:prstDash val="solid"/>
            </a:ln>
          </c:spPr>
          <c:invertIfNegative val="0"/>
          <c:val>
            <c:numRef>
              <c:f>'Modelo Energético'!$C$1058:$D$1058</c:f>
            </c:numRef>
          </c:val>
          <c:extLst>
            <c:ext xmlns:c15="http://schemas.microsoft.com/office/drawing/2012/chart" uri="{02D57815-91ED-43cb-92C2-25804820EDAC}">
              <c15:filteredCategoryTitle>
                <c15:cat>
                  <c:multiLvlStrRef>
                    <c:extLst>
                      <c:ext uri="{02D57815-91ED-43cb-92C2-25804820EDAC}">
                        <c15:formulaRef>
                          <c15:sqref>'Modelo Energético'!$C$1056:$D$1056</c15:sqref>
                        </c15:formulaRef>
                      </c:ext>
                    </c:extLst>
                  </c:multiLvlStrRef>
                </c15:cat>
              </c15:filteredCategoryTitle>
            </c:ext>
            <c:ext xmlns:c16="http://schemas.microsoft.com/office/drawing/2014/chart" uri="{C3380CC4-5D6E-409C-BE32-E72D297353CC}">
              <c16:uniqueId val="{00000001-ADD1-4B94-B840-AB4DB5564F1D}"/>
            </c:ext>
          </c:extLst>
        </c:ser>
        <c:dLbls>
          <c:showLegendKey val="0"/>
          <c:showVal val="0"/>
          <c:showCatName val="0"/>
          <c:showSerName val="0"/>
          <c:showPercent val="0"/>
          <c:showBubbleSize val="0"/>
        </c:dLbls>
        <c:gapWidth val="150"/>
        <c:overlap val="100"/>
        <c:axId val="1632954224"/>
        <c:axId val="1"/>
      </c:barChart>
      <c:catAx>
        <c:axId val="1632954224"/>
        <c:scaling>
          <c:orientation val="minMax"/>
        </c:scaling>
        <c:delete val="0"/>
        <c:axPos val="b"/>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pt-PT"/>
          </a:p>
        </c:txPr>
        <c:crossAx val="1"/>
        <c:crosses val="autoZero"/>
        <c:auto val="1"/>
        <c:lblAlgn val="ctr"/>
        <c:lblOffset val="100"/>
        <c:tickLblSkip val="1"/>
        <c:tickMarkSkip val="1"/>
        <c:noMultiLvlLbl val="0"/>
      </c:catAx>
      <c:valAx>
        <c:axId val="1"/>
        <c:scaling>
          <c:orientation val="minMax"/>
          <c:min val="0"/>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pt-PT"/>
          </a:p>
        </c:txPr>
        <c:crossAx val="1632954224"/>
        <c:crosses val="autoZero"/>
        <c:crossBetween val="between"/>
      </c:valAx>
      <c:spPr>
        <a:solidFill>
          <a:srgbClr val="FFFFFF"/>
        </a:solidFill>
        <a:ln w="12700">
          <a:solidFill>
            <a:srgbClr val="808080"/>
          </a:solidFill>
          <a:prstDash val="solid"/>
        </a:ln>
      </c:spPr>
    </c:plotArea>
    <c:legend>
      <c:legendPos val="r"/>
      <c:overlay val="0"/>
      <c:spPr>
        <a:no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PT"/>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pt-PT"/>
              <a:t> </a:t>
            </a:r>
          </a:p>
        </c:rich>
      </c:tx>
      <c:overlay val="0"/>
      <c:spPr>
        <a:noFill/>
        <a:ln w="25400">
          <a:noFill/>
        </a:ln>
      </c:spPr>
    </c:title>
    <c:autoTitleDeleted val="0"/>
    <c:plotArea>
      <c:layout/>
      <c:barChart>
        <c:barDir val="col"/>
        <c:grouping val="stacked"/>
        <c:varyColors val="0"/>
        <c:ser>
          <c:idx val="0"/>
          <c:order val="0"/>
          <c:tx>
            <c:strRef>
              <c:f>'Modelo Energético'!$B$1053</c:f>
              <c:strCache>
                <c:ptCount val="1"/>
                <c:pt idx="0">
                  <c:v>Base</c:v>
                </c:pt>
              </c:strCache>
            </c:strRef>
          </c:tx>
          <c:spPr>
            <a:gradFill rotWithShape="0">
              <a:gsLst>
                <a:gs pos="0">
                  <a:srgbClr xmlns:mc="http://schemas.openxmlformats.org/markup-compatibility/2006" xmlns:a14="http://schemas.microsoft.com/office/drawing/2010/main" val="002B00" mc:Ignorable="a14" a14:legacySpreadsheetColorIndex="17">
                    <a:gamma/>
                    <a:shade val="33333"/>
                    <a:invGamma/>
                  </a:srgbClr>
                </a:gs>
                <a:gs pos="50000">
                  <a:srgbClr xmlns:mc="http://schemas.openxmlformats.org/markup-compatibility/2006" xmlns:a14="http://schemas.microsoft.com/office/drawing/2010/main" val="008000" mc:Ignorable="a14" a14:legacySpreadsheetColorIndex="17"/>
                </a:gs>
                <a:gs pos="100000">
                  <a:srgbClr xmlns:mc="http://schemas.openxmlformats.org/markup-compatibility/2006" xmlns:a14="http://schemas.microsoft.com/office/drawing/2010/main" val="002B00" mc:Ignorable="a14" a14:legacySpreadsheetColorIndex="17">
                    <a:gamma/>
                    <a:shade val="33333"/>
                    <a:invGamma/>
                  </a:srgbClr>
                </a:gs>
              </a:gsLst>
              <a:lin ang="0" scaled="1"/>
            </a:gradFill>
            <a:ln w="3175">
              <a:solidFill>
                <a:srgbClr val="000000"/>
              </a:solidFill>
              <a:prstDash val="solid"/>
            </a:ln>
          </c:spPr>
          <c:invertIfNegative val="0"/>
          <c:val>
            <c:numRef>
              <c:f>'Modelo Energético'!$C$1053:$D$1053</c:f>
            </c:numRef>
          </c:val>
          <c:extLst>
            <c:ext xmlns:c15="http://schemas.microsoft.com/office/drawing/2012/chart" uri="{02D57815-91ED-43cb-92C2-25804820EDAC}">
              <c15:filteredCategoryTitle>
                <c15:cat>
                  <c:multiLvlStrRef>
                    <c:extLst>
                      <c:ext uri="{02D57815-91ED-43cb-92C2-25804820EDAC}">
                        <c15:formulaRef>
                          <c15:sqref>'Modelo Energético'!$C$1052:$D$1052</c15:sqref>
                        </c15:formulaRef>
                      </c:ext>
                    </c:extLst>
                  </c:multiLvlStrRef>
                </c15:cat>
              </c15:filteredCategoryTitle>
            </c:ext>
            <c:ext xmlns:c16="http://schemas.microsoft.com/office/drawing/2014/chart" uri="{C3380CC4-5D6E-409C-BE32-E72D297353CC}">
              <c16:uniqueId val="{00000000-2BAD-460E-A7BA-A35E6C8E4D60}"/>
            </c:ext>
          </c:extLst>
        </c:ser>
        <c:ser>
          <c:idx val="1"/>
          <c:order val="1"/>
          <c:tx>
            <c:strRef>
              <c:f>'Modelo Energético'!$B$1054</c:f>
              <c:strCache>
                <c:ptCount val="1"/>
                <c:pt idx="0">
                  <c:v>Interm.</c:v>
                </c:pt>
              </c:strCache>
            </c:strRef>
          </c:tx>
          <c:spPr>
            <a:gradFill rotWithShape="0">
              <a:gsLst>
                <a:gs pos="0">
                  <a:srgbClr val="339966"/>
                </a:gs>
                <a:gs pos="50000">
                  <a:srgbClr val="00FF00"/>
                </a:gs>
                <a:gs pos="100000">
                  <a:srgbClr val="339966"/>
                </a:gs>
              </a:gsLst>
              <a:lin ang="0" scaled="1"/>
            </a:gradFill>
            <a:ln w="3175">
              <a:solidFill>
                <a:srgbClr val="000000"/>
              </a:solidFill>
              <a:prstDash val="solid"/>
            </a:ln>
          </c:spPr>
          <c:invertIfNegative val="0"/>
          <c:val>
            <c:numRef>
              <c:f>'Modelo Energético'!$C$1054:$D$1054</c:f>
            </c:numRef>
          </c:val>
          <c:extLst>
            <c:ext xmlns:c15="http://schemas.microsoft.com/office/drawing/2012/chart" uri="{02D57815-91ED-43cb-92C2-25804820EDAC}">
              <c15:filteredCategoryTitle>
                <c15:cat>
                  <c:multiLvlStrRef>
                    <c:extLst>
                      <c:ext uri="{02D57815-91ED-43cb-92C2-25804820EDAC}">
                        <c15:formulaRef>
                          <c15:sqref>'Modelo Energético'!$C$1052:$D$1052</c15:sqref>
                        </c15:formulaRef>
                      </c:ext>
                    </c:extLst>
                  </c:multiLvlStrRef>
                </c15:cat>
              </c15:filteredCategoryTitle>
            </c:ext>
            <c:ext xmlns:c16="http://schemas.microsoft.com/office/drawing/2014/chart" uri="{C3380CC4-5D6E-409C-BE32-E72D297353CC}">
              <c16:uniqueId val="{00000001-2BAD-460E-A7BA-A35E6C8E4D60}"/>
            </c:ext>
          </c:extLst>
        </c:ser>
        <c:ser>
          <c:idx val="2"/>
          <c:order val="2"/>
          <c:tx>
            <c:strRef>
              <c:f>'Modelo Energético'!$B$1055</c:f>
              <c:strCache>
                <c:ptCount val="1"/>
                <c:pt idx="0">
                  <c:v>Ponta</c:v>
                </c:pt>
              </c:strCache>
            </c:strRef>
          </c:tx>
          <c:spPr>
            <a:gradFill rotWithShape="0">
              <a:gsLst>
                <a:gs pos="0">
                  <a:srgbClr val="339966"/>
                </a:gs>
                <a:gs pos="50000">
                  <a:srgbClr val="99CC00"/>
                </a:gs>
                <a:gs pos="100000">
                  <a:srgbClr val="339966"/>
                </a:gs>
              </a:gsLst>
              <a:lin ang="0" scaled="1"/>
            </a:gradFill>
            <a:ln w="3175">
              <a:solidFill>
                <a:srgbClr val="000000"/>
              </a:solidFill>
              <a:prstDash val="solid"/>
            </a:ln>
          </c:spPr>
          <c:invertIfNegative val="0"/>
          <c:val>
            <c:numRef>
              <c:f>'Modelo Energético'!$C$1055:$D$1055</c:f>
            </c:numRef>
          </c:val>
          <c:extLst>
            <c:ext xmlns:c15="http://schemas.microsoft.com/office/drawing/2012/chart" uri="{02D57815-91ED-43cb-92C2-25804820EDAC}">
              <c15:filteredCategoryTitle>
                <c15:cat>
                  <c:multiLvlStrRef>
                    <c:extLst>
                      <c:ext uri="{02D57815-91ED-43cb-92C2-25804820EDAC}">
                        <c15:formulaRef>
                          <c15:sqref>'Modelo Energético'!$C$1052:$D$1052</c15:sqref>
                        </c15:formulaRef>
                      </c:ext>
                    </c:extLst>
                  </c:multiLvlStrRef>
                </c15:cat>
              </c15:filteredCategoryTitle>
            </c:ext>
            <c:ext xmlns:c16="http://schemas.microsoft.com/office/drawing/2014/chart" uri="{C3380CC4-5D6E-409C-BE32-E72D297353CC}">
              <c16:uniqueId val="{00000002-2BAD-460E-A7BA-A35E6C8E4D60}"/>
            </c:ext>
          </c:extLst>
        </c:ser>
        <c:dLbls>
          <c:showLegendKey val="0"/>
          <c:showVal val="0"/>
          <c:showCatName val="0"/>
          <c:showSerName val="0"/>
          <c:showPercent val="0"/>
          <c:showBubbleSize val="0"/>
        </c:dLbls>
        <c:gapWidth val="150"/>
        <c:overlap val="100"/>
        <c:axId val="1754928688"/>
        <c:axId val="1"/>
      </c:barChart>
      <c:catAx>
        <c:axId val="1754928688"/>
        <c:scaling>
          <c:orientation val="minMax"/>
        </c:scaling>
        <c:delete val="0"/>
        <c:axPos val="b"/>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pt-PT"/>
          </a:p>
        </c:txPr>
        <c:crossAx val="1"/>
        <c:crosses val="autoZero"/>
        <c:auto val="1"/>
        <c:lblAlgn val="ctr"/>
        <c:lblOffset val="100"/>
        <c:tickMarkSkip val="1"/>
        <c:noMultiLvlLbl val="0"/>
      </c:catAx>
      <c:valAx>
        <c:axId val="1"/>
        <c:scaling>
          <c:orientation val="minMax"/>
          <c:min val="0"/>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pt-PT"/>
          </a:p>
        </c:txPr>
        <c:crossAx val="1754928688"/>
        <c:crosses val="autoZero"/>
        <c:crossBetween val="between"/>
      </c:valAx>
      <c:spPr>
        <a:solidFill>
          <a:srgbClr val="FFFFFF"/>
        </a:solidFill>
        <a:ln w="12700">
          <a:solidFill>
            <a:srgbClr val="808080"/>
          </a:solidFill>
          <a:prstDash val="solid"/>
        </a:ln>
      </c:spPr>
    </c:plotArea>
    <c:legend>
      <c:legendPos val="t"/>
      <c:overlay val="0"/>
      <c:spPr>
        <a:no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PT"/>
    </a:p>
  </c:txPr>
  <c:printSettings>
    <c:headerFooter alignWithMargins="0"/>
    <c:pageMargins b="1" l="0.75" r="0.75" t="1" header="0.5" footer="0.5"/>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pt-PT"/>
              <a:t> </a:t>
            </a:r>
          </a:p>
        </c:rich>
      </c:tx>
      <c:overlay val="0"/>
      <c:spPr>
        <a:noFill/>
        <a:ln w="25400">
          <a:noFill/>
        </a:ln>
      </c:spPr>
    </c:title>
    <c:autoTitleDeleted val="0"/>
    <c:plotArea>
      <c:layout/>
      <c:barChart>
        <c:barDir val="col"/>
        <c:grouping val="stacked"/>
        <c:varyColors val="0"/>
        <c:ser>
          <c:idx val="0"/>
          <c:order val="0"/>
          <c:tx>
            <c:strRef>
              <c:f>'Modelo Energético'!$B$1048</c:f>
              <c:strCache>
                <c:ptCount val="1"/>
                <c:pt idx="0">
                  <c:v>Base</c:v>
                </c:pt>
              </c:strCache>
            </c:strRef>
          </c:tx>
          <c:spPr>
            <a:gradFill rotWithShape="0">
              <a:gsLst>
                <a:gs pos="0">
                  <a:srgbClr xmlns:mc="http://schemas.openxmlformats.org/markup-compatibility/2006" xmlns:a14="http://schemas.microsoft.com/office/drawing/2010/main" val="760000" mc:Ignorable="a14" a14:legacySpreadsheetColorIndex="10">
                    <a:gamma/>
                    <a:shade val="46275"/>
                    <a:invGamma/>
                  </a:srgbClr>
                </a:gs>
                <a:gs pos="50000">
                  <a:srgbClr xmlns:mc="http://schemas.openxmlformats.org/markup-compatibility/2006" xmlns:a14="http://schemas.microsoft.com/office/drawing/2010/main" val="FF0000" mc:Ignorable="a14" a14:legacySpreadsheetColorIndex="10"/>
                </a:gs>
                <a:gs pos="100000">
                  <a:srgbClr xmlns:mc="http://schemas.openxmlformats.org/markup-compatibility/2006" xmlns:a14="http://schemas.microsoft.com/office/drawing/2010/main" val="760000" mc:Ignorable="a14" a14:legacySpreadsheetColorIndex="10">
                    <a:gamma/>
                    <a:shade val="46275"/>
                    <a:invGamma/>
                  </a:srgbClr>
                </a:gs>
              </a:gsLst>
              <a:lin ang="0" scaled="1"/>
            </a:gradFill>
            <a:ln w="3175">
              <a:solidFill>
                <a:srgbClr val="000000"/>
              </a:solidFill>
              <a:prstDash val="solid"/>
            </a:ln>
          </c:spPr>
          <c:invertIfNegative val="0"/>
          <c:val>
            <c:numRef>
              <c:f>'Modelo Energético'!$C$1048:$D$1048</c:f>
            </c:numRef>
          </c:val>
          <c:extLst>
            <c:ext xmlns:c15="http://schemas.microsoft.com/office/drawing/2012/chart" uri="{02D57815-91ED-43cb-92C2-25804820EDAC}">
              <c15:filteredCategoryTitle>
                <c15:cat>
                  <c:multiLvlStrRef>
                    <c:extLst>
                      <c:ext uri="{02D57815-91ED-43cb-92C2-25804820EDAC}">
                        <c15:formulaRef>
                          <c15:sqref>'Modelo Energético'!$C$1047:$D$1047</c15:sqref>
                        </c15:formulaRef>
                      </c:ext>
                    </c:extLst>
                  </c:multiLvlStrRef>
                </c15:cat>
              </c15:filteredCategoryTitle>
            </c:ext>
            <c:ext xmlns:c16="http://schemas.microsoft.com/office/drawing/2014/chart" uri="{C3380CC4-5D6E-409C-BE32-E72D297353CC}">
              <c16:uniqueId val="{00000000-9EF6-476D-82F0-842006FA676F}"/>
            </c:ext>
          </c:extLst>
        </c:ser>
        <c:ser>
          <c:idx val="1"/>
          <c:order val="1"/>
          <c:tx>
            <c:strRef>
              <c:f>'Modelo Energético'!$B$1049</c:f>
              <c:strCache>
                <c:ptCount val="1"/>
                <c:pt idx="0">
                  <c:v>Interm.</c:v>
                </c:pt>
              </c:strCache>
            </c:strRef>
          </c:tx>
          <c:spPr>
            <a:gradFill rotWithShape="0">
              <a:gsLst>
                <a:gs pos="0">
                  <a:srgbClr xmlns:mc="http://schemas.openxmlformats.org/markup-compatibility/2006" xmlns:a14="http://schemas.microsoft.com/office/drawing/2010/main" val="764700" mc:Ignorable="a14" a14:legacySpreadsheetColorIndex="52">
                    <a:gamma/>
                    <a:shade val="46275"/>
                    <a:invGamma/>
                  </a:srgbClr>
                </a:gs>
                <a:gs pos="50000">
                  <a:srgbClr xmlns:mc="http://schemas.openxmlformats.org/markup-compatibility/2006" xmlns:a14="http://schemas.microsoft.com/office/drawing/2010/main" val="FF9900" mc:Ignorable="a14" a14:legacySpreadsheetColorIndex="52"/>
                </a:gs>
                <a:gs pos="100000">
                  <a:srgbClr xmlns:mc="http://schemas.openxmlformats.org/markup-compatibility/2006" xmlns:a14="http://schemas.microsoft.com/office/drawing/2010/main" val="764700" mc:Ignorable="a14" a14:legacySpreadsheetColorIndex="52">
                    <a:gamma/>
                    <a:shade val="46275"/>
                    <a:invGamma/>
                  </a:srgbClr>
                </a:gs>
              </a:gsLst>
              <a:lin ang="0" scaled="1"/>
            </a:gradFill>
            <a:ln w="3175">
              <a:solidFill>
                <a:srgbClr val="000000"/>
              </a:solidFill>
              <a:prstDash val="solid"/>
            </a:ln>
          </c:spPr>
          <c:invertIfNegative val="0"/>
          <c:val>
            <c:numRef>
              <c:f>'Modelo Energético'!$C$1049:$D$1049</c:f>
            </c:numRef>
          </c:val>
          <c:extLst>
            <c:ext xmlns:c15="http://schemas.microsoft.com/office/drawing/2012/chart" uri="{02D57815-91ED-43cb-92C2-25804820EDAC}">
              <c15:filteredCategoryTitle>
                <c15:cat>
                  <c:multiLvlStrRef>
                    <c:extLst>
                      <c:ext uri="{02D57815-91ED-43cb-92C2-25804820EDAC}">
                        <c15:formulaRef>
                          <c15:sqref>'Modelo Energético'!$C$1047:$D$1047</c15:sqref>
                        </c15:formulaRef>
                      </c:ext>
                    </c:extLst>
                  </c:multiLvlStrRef>
                </c15:cat>
              </c15:filteredCategoryTitle>
            </c:ext>
            <c:ext xmlns:c16="http://schemas.microsoft.com/office/drawing/2014/chart" uri="{C3380CC4-5D6E-409C-BE32-E72D297353CC}">
              <c16:uniqueId val="{00000001-9EF6-476D-82F0-842006FA676F}"/>
            </c:ext>
          </c:extLst>
        </c:ser>
        <c:ser>
          <c:idx val="3"/>
          <c:order val="2"/>
          <c:tx>
            <c:strRef>
              <c:f>'Modelo Energético'!$B$1050</c:f>
              <c:strCache>
                <c:ptCount val="1"/>
              </c:strCache>
            </c:strRef>
          </c:tx>
          <c:spPr>
            <a:gradFill rotWithShape="0">
              <a:gsLst>
                <a:gs pos="0">
                  <a:srgbClr xmlns:mc="http://schemas.openxmlformats.org/markup-compatibility/2006" xmlns:a14="http://schemas.microsoft.com/office/drawing/2010/main" val="765E47" mc:Ignorable="a14" a14:legacySpreadsheetColorIndex="47">
                    <a:gamma/>
                    <a:shade val="46275"/>
                    <a:invGamma/>
                  </a:srgbClr>
                </a:gs>
                <a:gs pos="50000">
                  <a:srgbClr xmlns:mc="http://schemas.openxmlformats.org/markup-compatibility/2006" xmlns:a14="http://schemas.microsoft.com/office/drawing/2010/main" val="FFCC99" mc:Ignorable="a14" a14:legacySpreadsheetColorIndex="47"/>
                </a:gs>
                <a:gs pos="100000">
                  <a:srgbClr xmlns:mc="http://schemas.openxmlformats.org/markup-compatibility/2006" xmlns:a14="http://schemas.microsoft.com/office/drawing/2010/main" val="765E47" mc:Ignorable="a14" a14:legacySpreadsheetColorIndex="47">
                    <a:gamma/>
                    <a:shade val="46275"/>
                    <a:invGamma/>
                  </a:srgbClr>
                </a:gs>
              </a:gsLst>
              <a:lin ang="0" scaled="1"/>
            </a:gradFill>
            <a:ln w="3175">
              <a:solidFill>
                <a:srgbClr val="000000"/>
              </a:solidFill>
              <a:prstDash val="solid"/>
            </a:ln>
          </c:spPr>
          <c:invertIfNegative val="0"/>
          <c:val>
            <c:numRef>
              <c:f>'Modelo Energético'!$C$1050:$D$1050</c:f>
            </c:numRef>
          </c:val>
          <c:extLst>
            <c:ext xmlns:c15="http://schemas.microsoft.com/office/drawing/2012/chart" uri="{02D57815-91ED-43cb-92C2-25804820EDAC}">
              <c15:filteredCategoryTitle>
                <c15:cat>
                  <c:multiLvlStrRef>
                    <c:extLst>
                      <c:ext uri="{02D57815-91ED-43cb-92C2-25804820EDAC}">
                        <c15:formulaRef>
                          <c15:sqref>'Modelo Energético'!$C$1047:$D$1047</c15:sqref>
                        </c15:formulaRef>
                      </c:ext>
                    </c:extLst>
                  </c:multiLvlStrRef>
                </c15:cat>
              </c15:filteredCategoryTitle>
            </c:ext>
            <c:ext xmlns:c16="http://schemas.microsoft.com/office/drawing/2014/chart" uri="{C3380CC4-5D6E-409C-BE32-E72D297353CC}">
              <c16:uniqueId val="{00000002-9EF6-476D-82F0-842006FA676F}"/>
            </c:ext>
          </c:extLst>
        </c:ser>
        <c:ser>
          <c:idx val="4"/>
          <c:order val="3"/>
          <c:tx>
            <c:strRef>
              <c:f>'Modelo Energético'!$B$1051</c:f>
              <c:strCache>
                <c:ptCount val="1"/>
                <c:pt idx="0">
                  <c:v>Ponta</c:v>
                </c:pt>
              </c:strCache>
            </c:strRef>
          </c:tx>
          <c:spPr>
            <a:gradFill rotWithShape="0">
              <a:gsLst>
                <a:gs pos="0">
                  <a:srgbClr xmlns:mc="http://schemas.openxmlformats.org/markup-compatibility/2006" xmlns:a14="http://schemas.microsoft.com/office/drawing/2010/main" val="763B3B" mc:Ignorable="a14" a14:legacySpreadsheetColorIndex="29">
                    <a:gamma/>
                    <a:shade val="46275"/>
                    <a:invGamma/>
                  </a:srgbClr>
                </a:gs>
                <a:gs pos="50000">
                  <a:srgbClr xmlns:mc="http://schemas.openxmlformats.org/markup-compatibility/2006" xmlns:a14="http://schemas.microsoft.com/office/drawing/2010/main" val="FF8080" mc:Ignorable="a14" a14:legacySpreadsheetColorIndex="29"/>
                </a:gs>
                <a:gs pos="100000">
                  <a:srgbClr xmlns:mc="http://schemas.openxmlformats.org/markup-compatibility/2006" xmlns:a14="http://schemas.microsoft.com/office/drawing/2010/main" val="763B3B" mc:Ignorable="a14" a14:legacySpreadsheetColorIndex="29">
                    <a:gamma/>
                    <a:shade val="46275"/>
                    <a:invGamma/>
                  </a:srgbClr>
                </a:gs>
              </a:gsLst>
              <a:lin ang="0" scaled="1"/>
            </a:gradFill>
            <a:ln w="3175">
              <a:solidFill>
                <a:srgbClr val="000000"/>
              </a:solidFill>
              <a:prstDash val="solid"/>
            </a:ln>
          </c:spPr>
          <c:invertIfNegative val="0"/>
          <c:val>
            <c:numRef>
              <c:f>'Modelo Energético'!$C$1051:$D$1051</c:f>
            </c:numRef>
          </c:val>
          <c:extLst>
            <c:ext xmlns:c15="http://schemas.microsoft.com/office/drawing/2012/chart" uri="{02D57815-91ED-43cb-92C2-25804820EDAC}">
              <c15:filteredCategoryTitle>
                <c15:cat>
                  <c:multiLvlStrRef>
                    <c:extLst>
                      <c:ext uri="{02D57815-91ED-43cb-92C2-25804820EDAC}">
                        <c15:formulaRef>
                          <c15:sqref>'Modelo Energético'!$C$1047:$D$1047</c15:sqref>
                        </c15:formulaRef>
                      </c:ext>
                    </c:extLst>
                  </c:multiLvlStrRef>
                </c15:cat>
              </c15:filteredCategoryTitle>
            </c:ext>
            <c:ext xmlns:c16="http://schemas.microsoft.com/office/drawing/2014/chart" uri="{C3380CC4-5D6E-409C-BE32-E72D297353CC}">
              <c16:uniqueId val="{00000003-9EF6-476D-82F0-842006FA676F}"/>
            </c:ext>
          </c:extLst>
        </c:ser>
        <c:dLbls>
          <c:showLegendKey val="0"/>
          <c:showVal val="0"/>
          <c:showCatName val="0"/>
          <c:showSerName val="0"/>
          <c:showPercent val="0"/>
          <c:showBubbleSize val="0"/>
        </c:dLbls>
        <c:gapWidth val="150"/>
        <c:overlap val="100"/>
        <c:axId val="1754942608"/>
        <c:axId val="1"/>
      </c:barChart>
      <c:catAx>
        <c:axId val="1754942608"/>
        <c:scaling>
          <c:orientation val="minMax"/>
        </c:scaling>
        <c:delete val="0"/>
        <c:axPos val="b"/>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pt-PT"/>
          </a:p>
        </c:txPr>
        <c:crossAx val="1"/>
        <c:crosses val="autoZero"/>
        <c:auto val="1"/>
        <c:lblAlgn val="ctr"/>
        <c:lblOffset val="100"/>
        <c:tickMarkSkip val="1"/>
        <c:noMultiLvlLbl val="0"/>
      </c:catAx>
      <c:valAx>
        <c:axId val="1"/>
        <c:scaling>
          <c:orientation val="minMax"/>
          <c:min val="0"/>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pt-PT"/>
          </a:p>
        </c:txPr>
        <c:crossAx val="1754942608"/>
        <c:crosses val="autoZero"/>
        <c:crossBetween val="between"/>
      </c:valAx>
      <c:spPr>
        <a:solidFill>
          <a:srgbClr val="FFFFFF"/>
        </a:solidFill>
        <a:ln w="12700">
          <a:solidFill>
            <a:srgbClr val="808080"/>
          </a:solidFill>
          <a:prstDash val="solid"/>
        </a:ln>
      </c:spPr>
    </c:plotArea>
    <c:legend>
      <c:legendPos val="t"/>
      <c:overlay val="0"/>
      <c:spPr>
        <a:no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PT"/>
    </a:p>
  </c:txPr>
  <c:printSettings>
    <c:headerFooter alignWithMargins="0"/>
    <c:pageMargins b="1" l="0.75" r="0.75" t="1" header="0.5" footer="0.5"/>
    <c:pageSetup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2541670180687911E-2"/>
          <c:y val="6.4287738085249069E-2"/>
          <c:w val="0.95372125683400744"/>
          <c:h val="0.80359672606561339"/>
        </c:manualLayout>
      </c:layout>
      <c:areaChart>
        <c:grouping val="standard"/>
        <c:varyColors val="0"/>
        <c:ser>
          <c:idx val="3"/>
          <c:order val="0"/>
          <c:spPr>
            <a:gradFill rotWithShape="0">
              <a:gsLst>
                <a:gs pos="0">
                  <a:srgbClr xmlns:mc="http://schemas.openxmlformats.org/markup-compatibility/2006" xmlns:a14="http://schemas.microsoft.com/office/drawing/2010/main" val="5E765E" mc:Ignorable="a14" a14:legacySpreadsheetColorIndex="42">
                    <a:gamma/>
                    <a:shade val="46275"/>
                    <a:invGamma/>
                  </a:srgbClr>
                </a:gs>
                <a:gs pos="100000">
                  <a:srgbClr xmlns:mc="http://schemas.openxmlformats.org/markup-compatibility/2006" xmlns:a14="http://schemas.microsoft.com/office/drawing/2010/main" val="CCFFCC" mc:Ignorable="a14" a14:legacySpreadsheetColorIndex="42"/>
                </a:gs>
              </a:gsLst>
              <a:lin ang="5400000" scaled="1"/>
            </a:gradFill>
            <a:ln w="12700">
              <a:solidFill>
                <a:srgbClr val="000000"/>
              </a:solidFill>
              <a:prstDash val="solid"/>
            </a:ln>
          </c:spPr>
          <c:cat>
            <c:numRef>
              <c:f>'Análise Financeira'!$M$6:$M$56</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cat>
          <c:val>
            <c:numRef>
              <c:f>'Análise Financeira'!$P$6</c:f>
              <c:numCache>
                <c:formatCode>#,##0</c:formatCode>
                <c:ptCount val="1"/>
                <c:pt idx="0">
                  <c:v>-6082.125</c:v>
                </c:pt>
              </c:numCache>
            </c:numRef>
          </c:val>
          <c:extLst>
            <c:ext xmlns:c16="http://schemas.microsoft.com/office/drawing/2014/chart" uri="{C3380CC4-5D6E-409C-BE32-E72D297353CC}">
              <c16:uniqueId val="{00000000-E7AE-44CC-BB55-C18FB3CA3EE1}"/>
            </c:ext>
          </c:extLst>
        </c:ser>
        <c:dLbls>
          <c:showLegendKey val="0"/>
          <c:showVal val="0"/>
          <c:showCatName val="0"/>
          <c:showSerName val="0"/>
          <c:showPercent val="0"/>
          <c:showBubbleSize val="0"/>
        </c:dLbls>
        <c:axId val="1754943568"/>
        <c:axId val="1"/>
      </c:areaChart>
      <c:catAx>
        <c:axId val="175494356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754943568"/>
        <c:crosses val="autoZero"/>
        <c:crossBetween val="midCat"/>
      </c:valAx>
      <c:spPr>
        <a:noFill/>
        <a:ln w="12700">
          <a:solidFill>
            <a:srgbClr val="000000"/>
          </a:solidFill>
          <a:prstDash val="solid"/>
        </a:ln>
      </c:spPr>
    </c:plotArea>
    <c:plotVisOnly val="1"/>
    <c:dispBlanksAs val="zero"/>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pt-PT"/>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0341340075853349E-2"/>
          <c:y val="3.1872540961681559E-2"/>
          <c:w val="0.95448798988621997"/>
          <c:h val="0.84263030167445618"/>
        </c:manualLayout>
      </c:layout>
      <c:areaChart>
        <c:grouping val="standard"/>
        <c:varyColors val="0"/>
        <c:ser>
          <c:idx val="3"/>
          <c:order val="0"/>
          <c:spPr>
            <a:gradFill rotWithShape="0">
              <a:gsLst>
                <a:gs pos="0">
                  <a:srgbClr xmlns:mc="http://schemas.openxmlformats.org/markup-compatibility/2006" xmlns:a14="http://schemas.microsoft.com/office/drawing/2010/main" val="5E765E" mc:Ignorable="a14" a14:legacySpreadsheetColorIndex="42">
                    <a:gamma/>
                    <a:shade val="46275"/>
                    <a:invGamma/>
                  </a:srgbClr>
                </a:gs>
                <a:gs pos="100000">
                  <a:srgbClr xmlns:mc="http://schemas.openxmlformats.org/markup-compatibility/2006" xmlns:a14="http://schemas.microsoft.com/office/drawing/2010/main" val="CCFFCC" mc:Ignorable="a14" a14:legacySpreadsheetColorIndex="42"/>
                </a:gs>
              </a:gsLst>
              <a:lin ang="5400000" scaled="1"/>
            </a:gradFill>
            <a:ln w="12700">
              <a:solidFill>
                <a:srgbClr val="000000"/>
              </a:solidFill>
              <a:prstDash val="solid"/>
            </a:ln>
          </c:spPr>
          <c:cat>
            <c:numRef>
              <c:f>'Análise Financeira'!$M$6:$M$56</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cat>
          <c:val>
            <c:numRef>
              <c:f>'Análise Financeira'!$P$6:$P$31</c:f>
              <c:numCache>
                <c:formatCode>#,##0</c:formatCode>
                <c:ptCount val="26"/>
                <c:pt idx="0">
                  <c:v>-6082.125</c:v>
                </c:pt>
                <c:pt idx="1">
                  <c:v>-5269.9358268138676</c:v>
                </c:pt>
                <c:pt idx="2">
                  <c:v>-4422.1690867002908</c:v>
                </c:pt>
                <c:pt idx="3">
                  <c:v>-3537.3089769821704</c:v>
                </c:pt>
                <c:pt idx="4">
                  <c:v>-2613.7762818753254</c:v>
                </c:pt>
                <c:pt idx="5">
                  <c:v>-1649.9257525342061</c:v>
                </c:pt>
                <c:pt idx="6">
                  <c:v>-644.04337979654224</c:v>
                </c:pt>
                <c:pt idx="7">
                  <c:v>405.65644474021519</c:v>
                </c:pt>
                <c:pt idx="8">
                  <c:v>1501.0338838547179</c:v>
                </c:pt>
                <c:pt idx="9">
                  <c:v>2644.0267307779636</c:v>
                </c:pt>
                <c:pt idx="10">
                  <c:v>1793.1867589500353</c:v>
                </c:pt>
                <c:pt idx="11">
                  <c:v>3037.5504636537971</c:v>
                </c:pt>
                <c:pt idx="12">
                  <c:v>4335.8414181578837</c:v>
                </c:pt>
                <c:pt idx="13">
                  <c:v>5690.3412935026718</c:v>
                </c:pt>
                <c:pt idx="14">
                  <c:v>7103.4267650016063</c:v>
                </c:pt>
                <c:pt idx="15">
                  <c:v>8577.5734245350632</c:v>
                </c:pt>
                <c:pt idx="16">
                  <c:v>10115.359852699661</c:v>
                </c:pt>
                <c:pt idx="17">
                  <c:v>11719.471857308139</c:v>
                </c:pt>
                <c:pt idx="18">
                  <c:v>13392.706884997771</c:v>
                </c:pt>
                <c:pt idx="19">
                  <c:v>15137.97861297871</c:v>
                </c:pt>
                <c:pt idx="20">
                  <c:v>14212.073154947191</c:v>
                </c:pt>
                <c:pt idx="21">
                  <c:v>16110.648328520983</c:v>
                </c:pt>
                <c:pt idx="22">
                  <c:v>18090.747392752855</c:v>
                </c:pt>
                <c:pt idx="23">
                  <c:v>20155.798729780585</c:v>
                </c:pt>
                <c:pt idx="24">
                  <c:v>22309.372879822804</c:v>
                </c:pt>
                <c:pt idx="25">
                  <c:v>24555.188378186092</c:v>
                </c:pt>
              </c:numCache>
            </c:numRef>
          </c:val>
          <c:extLst>
            <c:ext xmlns:c16="http://schemas.microsoft.com/office/drawing/2014/chart" uri="{C3380CC4-5D6E-409C-BE32-E72D297353CC}">
              <c16:uniqueId val="{00000000-2FFC-4335-AB59-D6BD1B700D17}"/>
            </c:ext>
          </c:extLst>
        </c:ser>
        <c:dLbls>
          <c:showLegendKey val="0"/>
          <c:showVal val="0"/>
          <c:showCatName val="0"/>
          <c:showSerName val="0"/>
          <c:showPercent val="0"/>
          <c:showBubbleSize val="0"/>
        </c:dLbls>
        <c:axId val="1755218080"/>
        <c:axId val="1"/>
      </c:areaChart>
      <c:catAx>
        <c:axId val="1755218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pt-PT"/>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pt-PT"/>
          </a:p>
        </c:txPr>
        <c:crossAx val="1755218080"/>
        <c:crosses val="autoZero"/>
        <c:crossBetween val="midCat"/>
      </c:valAx>
      <c:spPr>
        <a:noFill/>
        <a:ln w="12700">
          <a:solidFill>
            <a:srgbClr val="000000"/>
          </a:solidFill>
          <a:prstDash val="solid"/>
        </a:ln>
      </c:spPr>
    </c:plotArea>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PT"/>
    </a:p>
  </c:txPr>
  <c:printSettings>
    <c:headerFooter alignWithMargins="0"/>
    <c:pageMargins b="1" l="0.75" r="0.75" t="1" header="0.5" footer="0.5"/>
    <c:pageSetup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spPr>
            <a:solidFill>
              <a:srgbClr val="9999FF"/>
            </a:solidFill>
            <a:ln w="12700">
              <a:solidFill>
                <a:srgbClr val="000000"/>
              </a:solidFill>
              <a:prstDash val="solid"/>
            </a:ln>
          </c:spPr>
          <c:invertIfNegative val="0"/>
          <c:cat>
            <c:strRef>
              <c:f>'Análise de Risco'!$I$668:$I$680</c:f>
              <c:strCache>
                <c:ptCount val="5"/>
                <c:pt idx="0">
                  <c:v>Custos iniciais</c:v>
                </c:pt>
                <c:pt idx="1">
                  <c:v>O&amp;M</c:v>
                </c:pt>
                <c:pt idx="4">
                  <c:v>Preço eletricidade exportada</c:v>
                </c:pt>
              </c:strCache>
            </c:strRef>
          </c:cat>
          <c:val>
            <c:numRef>
              <c:f>'Análise de Risco'!$J$668:$J$680</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15EB-4C86-8FFE-5B2C1D1B67FB}"/>
            </c:ext>
          </c:extLst>
        </c:ser>
        <c:dLbls>
          <c:showLegendKey val="0"/>
          <c:showVal val="0"/>
          <c:showCatName val="0"/>
          <c:showSerName val="0"/>
          <c:showPercent val="0"/>
          <c:showBubbleSize val="0"/>
        </c:dLbls>
        <c:gapWidth val="50"/>
        <c:axId val="1755257440"/>
        <c:axId val="1"/>
      </c:barChart>
      <c:catAx>
        <c:axId val="1755257440"/>
        <c:scaling>
          <c:orientation val="minMax"/>
        </c:scaling>
        <c:delete val="0"/>
        <c:axPos val="l"/>
        <c:numFmt formatCode="General" sourceLinked="1"/>
        <c:majorTickMark val="out"/>
        <c:minorTickMark val="none"/>
        <c:tickLblPos val="high"/>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755257440"/>
        <c:crosses val="autoZero"/>
        <c:crossBetween val="between"/>
      </c:valAx>
      <c:spPr>
        <a:noFill/>
        <a:ln w="12700">
          <a:solidFill>
            <a:srgbClr val="808080"/>
          </a:solidFill>
          <a:prstDash val="solid"/>
        </a:ln>
      </c:spPr>
    </c:plotArea>
    <c:plotVisOnly val="0"/>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pt-PT"/>
    </a:p>
  </c:txPr>
  <c:printSettings>
    <c:headerFooter alignWithMargins="0"/>
    <c:pageMargins b="1" l="0.75" r="0.75" t="1" header="0.5" footer="0.5"/>
    <c:pageSetup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cat>
            <c:numRef>
              <c:f>'Análise de Risco'!$D$645:$D$664</c:f>
              <c:numCache>
                <c:formatCode>0.0%</c:formatCode>
                <c:ptCount val="20"/>
                <c:pt idx="0">
                  <c:v>0.76503425885073117</c:v>
                </c:pt>
                <c:pt idx="1">
                  <c:v>0.80591256764753971</c:v>
                </c:pt>
                <c:pt idx="2">
                  <c:v>0.84679087644434825</c:v>
                </c:pt>
                <c:pt idx="3">
                  <c:v>0.88766918524115679</c:v>
                </c:pt>
                <c:pt idx="4">
                  <c:v>0.92854749403796533</c:v>
                </c:pt>
                <c:pt idx="5">
                  <c:v>0.96942580283477386</c:v>
                </c:pt>
                <c:pt idx="6">
                  <c:v>1.0103041116315823</c:v>
                </c:pt>
                <c:pt idx="7">
                  <c:v>1.0511824204283911</c:v>
                </c:pt>
                <c:pt idx="8">
                  <c:v>1.0920607292251994</c:v>
                </c:pt>
                <c:pt idx="9">
                  <c:v>1.1329390380220081</c:v>
                </c:pt>
                <c:pt idx="10">
                  <c:v>1.1738173468188164</c:v>
                </c:pt>
                <c:pt idx="11">
                  <c:v>1.2146956556156252</c:v>
                </c:pt>
                <c:pt idx="12">
                  <c:v>1.2555739644124335</c:v>
                </c:pt>
                <c:pt idx="13">
                  <c:v>1.2964522732092423</c:v>
                </c:pt>
                <c:pt idx="14">
                  <c:v>1.3373305820060506</c:v>
                </c:pt>
                <c:pt idx="15">
                  <c:v>1.3782088908028594</c:v>
                </c:pt>
                <c:pt idx="16">
                  <c:v>1.4190871995996677</c:v>
                </c:pt>
                <c:pt idx="17">
                  <c:v>1.4599655083964764</c:v>
                </c:pt>
                <c:pt idx="18">
                  <c:v>1.5008438171932847</c:v>
                </c:pt>
                <c:pt idx="19">
                  <c:v>1.5417221259900935</c:v>
                </c:pt>
              </c:numCache>
            </c:numRef>
          </c:cat>
          <c:val>
            <c:numRef>
              <c:f>'Análise de Risco'!$C$645:$C$664</c:f>
              <c:numCache>
                <c:formatCode>0%</c:formatCode>
                <c:ptCount val="20"/>
                <c:pt idx="0">
                  <c:v>0.01</c:v>
                </c:pt>
                <c:pt idx="1">
                  <c:v>8.0000000000000002E-3</c:v>
                </c:pt>
                <c:pt idx="2">
                  <c:v>5.6000000000000001E-2</c:v>
                </c:pt>
                <c:pt idx="3">
                  <c:v>6.6000000000000003E-2</c:v>
                </c:pt>
                <c:pt idx="4">
                  <c:v>6.6000000000000003E-2</c:v>
                </c:pt>
                <c:pt idx="5">
                  <c:v>0.122</c:v>
                </c:pt>
                <c:pt idx="6">
                  <c:v>0.11799999999999999</c:v>
                </c:pt>
                <c:pt idx="7">
                  <c:v>0.126</c:v>
                </c:pt>
                <c:pt idx="8">
                  <c:v>0.126</c:v>
                </c:pt>
                <c:pt idx="9">
                  <c:v>0.10199999999999999</c:v>
                </c:pt>
                <c:pt idx="10">
                  <c:v>7.5999999999999998E-2</c:v>
                </c:pt>
                <c:pt idx="11">
                  <c:v>4.8000000000000001E-2</c:v>
                </c:pt>
                <c:pt idx="12">
                  <c:v>0.03</c:v>
                </c:pt>
                <c:pt idx="13">
                  <c:v>1.6E-2</c:v>
                </c:pt>
                <c:pt idx="14">
                  <c:v>0.02</c:v>
                </c:pt>
                <c:pt idx="15">
                  <c:v>2E-3</c:v>
                </c:pt>
                <c:pt idx="16">
                  <c:v>2E-3</c:v>
                </c:pt>
                <c:pt idx="17">
                  <c:v>2E-3</c:v>
                </c:pt>
                <c:pt idx="18">
                  <c:v>0</c:v>
                </c:pt>
                <c:pt idx="19">
                  <c:v>4.0000000000000001E-3</c:v>
                </c:pt>
              </c:numCache>
            </c:numRef>
          </c:val>
          <c:extLst>
            <c:ext xmlns:c16="http://schemas.microsoft.com/office/drawing/2014/chart" uri="{C3380CC4-5D6E-409C-BE32-E72D297353CC}">
              <c16:uniqueId val="{00000000-6E53-45F1-B631-DFDD89ECC313}"/>
            </c:ext>
          </c:extLst>
        </c:ser>
        <c:dLbls>
          <c:showLegendKey val="0"/>
          <c:showVal val="0"/>
          <c:showCatName val="0"/>
          <c:showSerName val="0"/>
          <c:showPercent val="0"/>
          <c:showBubbleSize val="0"/>
        </c:dLbls>
        <c:gapWidth val="0"/>
        <c:axId val="1755261280"/>
        <c:axId val="1"/>
      </c:barChart>
      <c:catAx>
        <c:axId val="1755261280"/>
        <c:scaling>
          <c:orientation val="minMax"/>
        </c:scaling>
        <c:delete val="0"/>
        <c:axPos val="b"/>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755261280"/>
        <c:crosses val="autoZero"/>
        <c:crossBetween val="between"/>
      </c:valAx>
      <c:spPr>
        <a:noFill/>
        <a:ln w="12700">
          <a:solidFill>
            <a:srgbClr val="808080"/>
          </a:solidFill>
          <a:prstDash val="solid"/>
        </a:ln>
      </c:spPr>
    </c:plotArea>
    <c:plotVisOnly val="0"/>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pt-PT"/>
    </a:p>
  </c:txPr>
  <c:printSettings>
    <c:headerFooter alignWithMargins="0"/>
    <c:pageMargins b="1" l="0.75" r="0.75" t="1" header="0.5" footer="0.5"/>
    <c:pageSetup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cat>
            <c:numRef>
              <c:f>'Análise de Risco'!$G$645:$G$664</c:f>
              <c:numCache>
                <c:formatCode>#\ ##0.0</c:formatCode>
                <c:ptCount val="20"/>
                <c:pt idx="0">
                  <c:v>3.4674081654829797E-2</c:v>
                </c:pt>
                <c:pt idx="1">
                  <c:v>0.10402224496448939</c:v>
                </c:pt>
                <c:pt idx="2">
                  <c:v>0.17337040827414898</c:v>
                </c:pt>
                <c:pt idx="3">
                  <c:v>0.24271857158380858</c:v>
                </c:pt>
                <c:pt idx="4">
                  <c:v>0.31206673489346815</c:v>
                </c:pt>
                <c:pt idx="5">
                  <c:v>0.38141489820312779</c:v>
                </c:pt>
                <c:pt idx="6">
                  <c:v>0.45076306151278733</c:v>
                </c:pt>
                <c:pt idx="7">
                  <c:v>0.52011122482244698</c:v>
                </c:pt>
                <c:pt idx="8">
                  <c:v>0.58945938813210652</c:v>
                </c:pt>
                <c:pt idx="9">
                  <c:v>0.65880755144176606</c:v>
                </c:pt>
                <c:pt idx="10">
                  <c:v>0.7281557147514256</c:v>
                </c:pt>
                <c:pt idx="11">
                  <c:v>0.79750387806108514</c:v>
                </c:pt>
                <c:pt idx="12">
                  <c:v>0.86685204137074467</c:v>
                </c:pt>
                <c:pt idx="13">
                  <c:v>0.93620020468040421</c:v>
                </c:pt>
                <c:pt idx="14">
                  <c:v>1.0055483679900639</c:v>
                </c:pt>
                <c:pt idx="15">
                  <c:v>1.0748965312997232</c:v>
                </c:pt>
                <c:pt idx="16">
                  <c:v>1.1442446946093829</c:v>
                </c:pt>
                <c:pt idx="17">
                  <c:v>1.2135928579190423</c:v>
                </c:pt>
                <c:pt idx="18">
                  <c:v>1.282941021228702</c:v>
                </c:pt>
                <c:pt idx="19">
                  <c:v>1.3522891845383613</c:v>
                </c:pt>
              </c:numCache>
            </c:numRef>
          </c:cat>
          <c:val>
            <c:numRef>
              <c:f>'Análise de Risco'!$F$645:$F$664</c:f>
              <c:numCache>
                <c:formatCode>0%</c:formatCode>
                <c:ptCount val="20"/>
                <c:pt idx="0">
                  <c:v>0</c:v>
                </c:pt>
                <c:pt idx="1">
                  <c:v>0</c:v>
                </c:pt>
                <c:pt idx="2">
                  <c:v>0</c:v>
                </c:pt>
                <c:pt idx="3">
                  <c:v>0</c:v>
                </c:pt>
                <c:pt idx="4">
                  <c:v>0</c:v>
                </c:pt>
                <c:pt idx="5">
                  <c:v>0</c:v>
                </c:pt>
                <c:pt idx="6">
                  <c:v>0</c:v>
                </c:pt>
                <c:pt idx="7">
                  <c:v>0</c:v>
                </c:pt>
                <c:pt idx="8">
                  <c:v>0</c:v>
                </c:pt>
                <c:pt idx="9">
                  <c:v>6.0000000000000001E-3</c:v>
                </c:pt>
                <c:pt idx="10">
                  <c:v>1.2E-2</c:v>
                </c:pt>
                <c:pt idx="11">
                  <c:v>7.1999999999999995E-2</c:v>
                </c:pt>
                <c:pt idx="12">
                  <c:v>0.154</c:v>
                </c:pt>
                <c:pt idx="13">
                  <c:v>0.22600000000000001</c:v>
                </c:pt>
                <c:pt idx="14">
                  <c:v>0.20799999999999999</c:v>
                </c:pt>
                <c:pt idx="15">
                  <c:v>0.16800000000000001</c:v>
                </c:pt>
                <c:pt idx="16">
                  <c:v>7.3999999999999996E-2</c:v>
                </c:pt>
                <c:pt idx="17">
                  <c:v>6.2E-2</c:v>
                </c:pt>
                <c:pt idx="18">
                  <c:v>8.0000000000000002E-3</c:v>
                </c:pt>
                <c:pt idx="19">
                  <c:v>8.0000000000000002E-3</c:v>
                </c:pt>
              </c:numCache>
            </c:numRef>
          </c:val>
          <c:extLst>
            <c:ext xmlns:c16="http://schemas.microsoft.com/office/drawing/2014/chart" uri="{C3380CC4-5D6E-409C-BE32-E72D297353CC}">
              <c16:uniqueId val="{00000000-096D-48FB-A660-217D7BEDB676}"/>
            </c:ext>
          </c:extLst>
        </c:ser>
        <c:dLbls>
          <c:showLegendKey val="0"/>
          <c:showVal val="0"/>
          <c:showCatName val="0"/>
          <c:showSerName val="0"/>
          <c:showPercent val="0"/>
          <c:showBubbleSize val="0"/>
        </c:dLbls>
        <c:gapWidth val="0"/>
        <c:axId val="1755252640"/>
        <c:axId val="1"/>
      </c:barChart>
      <c:catAx>
        <c:axId val="1755252640"/>
        <c:scaling>
          <c:orientation val="minMax"/>
        </c:scaling>
        <c:delete val="0"/>
        <c:axPos val="b"/>
        <c:numFmt formatCode="#\ ##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755252640"/>
        <c:crosses val="autoZero"/>
        <c:crossBetween val="between"/>
      </c:valAx>
      <c:spPr>
        <a:noFill/>
        <a:ln w="12700">
          <a:solidFill>
            <a:srgbClr val="808080"/>
          </a:solidFill>
          <a:prstDash val="solid"/>
        </a:ln>
      </c:spPr>
    </c:plotArea>
    <c:plotVisOnly val="0"/>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pt-PT"/>
    </a:p>
  </c:txPr>
  <c:printSettings>
    <c:headerFooter alignWithMargins="0"/>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cat>
            <c:numRef>
              <c:f>'Análise de Risco'!$O$645:$O$664</c:f>
              <c:numCache>
                <c:formatCode>#0.0%</c:formatCode>
                <c:ptCount val="20"/>
                <c:pt idx="0">
                  <c:v>0.76503425885073117</c:v>
                </c:pt>
                <c:pt idx="1">
                  <c:v>0.80591256764753971</c:v>
                </c:pt>
                <c:pt idx="2">
                  <c:v>0.84679087644434825</c:v>
                </c:pt>
                <c:pt idx="3">
                  <c:v>0.88766918524115679</c:v>
                </c:pt>
                <c:pt idx="4">
                  <c:v>0.92854749403796533</c:v>
                </c:pt>
                <c:pt idx="5">
                  <c:v>0.96942580283477386</c:v>
                </c:pt>
                <c:pt idx="6">
                  <c:v>1.0103041116315823</c:v>
                </c:pt>
                <c:pt idx="7">
                  <c:v>1.0511824204283911</c:v>
                </c:pt>
                <c:pt idx="8">
                  <c:v>1.0920607292251994</c:v>
                </c:pt>
                <c:pt idx="9">
                  <c:v>1.1329390380220081</c:v>
                </c:pt>
                <c:pt idx="10">
                  <c:v>1.1738173468188164</c:v>
                </c:pt>
                <c:pt idx="11">
                  <c:v>1.2146956556156252</c:v>
                </c:pt>
                <c:pt idx="12">
                  <c:v>1.2555739644124335</c:v>
                </c:pt>
                <c:pt idx="13">
                  <c:v>1.2964522732092423</c:v>
                </c:pt>
                <c:pt idx="14">
                  <c:v>1.3373305820060506</c:v>
                </c:pt>
                <c:pt idx="15">
                  <c:v>1.3782088908028594</c:v>
                </c:pt>
                <c:pt idx="16">
                  <c:v>1.4190871995996677</c:v>
                </c:pt>
                <c:pt idx="17">
                  <c:v>1.4599655083964764</c:v>
                </c:pt>
                <c:pt idx="18">
                  <c:v>1.5008438171932847</c:v>
                </c:pt>
                <c:pt idx="19">
                  <c:v>1.5417221259900935</c:v>
                </c:pt>
              </c:numCache>
            </c:numRef>
          </c:cat>
          <c:val>
            <c:numRef>
              <c:f>'Análise de Risco'!$N$645:$N$664</c:f>
              <c:numCache>
                <c:formatCode>0%</c:formatCode>
                <c:ptCount val="20"/>
                <c:pt idx="0">
                  <c:v>0.01</c:v>
                </c:pt>
                <c:pt idx="1">
                  <c:v>8.0000000000000002E-3</c:v>
                </c:pt>
                <c:pt idx="2">
                  <c:v>5.6000000000000001E-2</c:v>
                </c:pt>
                <c:pt idx="3">
                  <c:v>6.6000000000000003E-2</c:v>
                </c:pt>
                <c:pt idx="4">
                  <c:v>6.6000000000000003E-2</c:v>
                </c:pt>
                <c:pt idx="5">
                  <c:v>0.122</c:v>
                </c:pt>
                <c:pt idx="6">
                  <c:v>0.11799999999999999</c:v>
                </c:pt>
                <c:pt idx="7">
                  <c:v>0.126</c:v>
                </c:pt>
                <c:pt idx="8">
                  <c:v>0.126</c:v>
                </c:pt>
                <c:pt idx="9">
                  <c:v>0.10199999999999999</c:v>
                </c:pt>
                <c:pt idx="10">
                  <c:v>7.5999999999999998E-2</c:v>
                </c:pt>
                <c:pt idx="11">
                  <c:v>4.8000000000000001E-2</c:v>
                </c:pt>
                <c:pt idx="12">
                  <c:v>0.03</c:v>
                </c:pt>
                <c:pt idx="13">
                  <c:v>1.6E-2</c:v>
                </c:pt>
                <c:pt idx="14">
                  <c:v>0.02</c:v>
                </c:pt>
                <c:pt idx="15">
                  <c:v>2E-3</c:v>
                </c:pt>
                <c:pt idx="16">
                  <c:v>2E-3</c:v>
                </c:pt>
                <c:pt idx="17">
                  <c:v>2E-3</c:v>
                </c:pt>
                <c:pt idx="18">
                  <c:v>0</c:v>
                </c:pt>
                <c:pt idx="19">
                  <c:v>4.0000000000000001E-3</c:v>
                </c:pt>
              </c:numCache>
            </c:numRef>
          </c:val>
          <c:extLst>
            <c:ext xmlns:c16="http://schemas.microsoft.com/office/drawing/2014/chart" uri="{C3380CC4-5D6E-409C-BE32-E72D297353CC}">
              <c16:uniqueId val="{00000000-D884-4A2F-B261-66E9E70630EE}"/>
            </c:ext>
          </c:extLst>
        </c:ser>
        <c:dLbls>
          <c:showLegendKey val="0"/>
          <c:showVal val="0"/>
          <c:showCatName val="0"/>
          <c:showSerName val="0"/>
          <c:showPercent val="0"/>
          <c:showBubbleSize val="0"/>
        </c:dLbls>
        <c:gapWidth val="0"/>
        <c:axId val="1755250240"/>
        <c:axId val="1"/>
      </c:barChart>
      <c:catAx>
        <c:axId val="1755250240"/>
        <c:scaling>
          <c:orientation val="minMax"/>
        </c:scaling>
        <c:delete val="0"/>
        <c:axPos val="b"/>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755250240"/>
        <c:crosses val="autoZero"/>
        <c:crossBetween val="between"/>
      </c:valAx>
      <c:spPr>
        <a:noFill/>
        <a:ln w="12700">
          <a:solidFill>
            <a:srgbClr val="808080"/>
          </a:solidFill>
          <a:prstDash val="solid"/>
        </a:ln>
      </c:spPr>
    </c:plotArea>
    <c:plotVisOnly val="0"/>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pt-PT"/>
    </a:p>
  </c:txPr>
  <c:printSettings>
    <c:headerFooter alignWithMargins="0"/>
    <c:pageMargins b="1" l="0.75" r="0.75" t="1" header="0.5" footer="0.5"/>
    <c:pageSetup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cat>
            <c:numRef>
              <c:f>'Análise de Risco'!$M$645:$M$664</c:f>
              <c:numCache>
                <c:formatCode>0.0%</c:formatCode>
                <c:ptCount val="20"/>
                <c:pt idx="0">
                  <c:v>0.2639070110785926</c:v>
                </c:pt>
                <c:pt idx="1">
                  <c:v>0.2718015385118564</c:v>
                </c:pt>
                <c:pt idx="2">
                  <c:v>0.27969606594512031</c:v>
                </c:pt>
                <c:pt idx="3">
                  <c:v>0.28759059337838411</c:v>
                </c:pt>
                <c:pt idx="4">
                  <c:v>0.29548512081164802</c:v>
                </c:pt>
                <c:pt idx="5">
                  <c:v>0.30337964824491181</c:v>
                </c:pt>
                <c:pt idx="6">
                  <c:v>0.31127417567817572</c:v>
                </c:pt>
                <c:pt idx="7">
                  <c:v>0.31916870311143952</c:v>
                </c:pt>
                <c:pt idx="8">
                  <c:v>0.32706323054470343</c:v>
                </c:pt>
                <c:pt idx="9">
                  <c:v>0.33495775797796723</c:v>
                </c:pt>
                <c:pt idx="10">
                  <c:v>0.34285228541123114</c:v>
                </c:pt>
                <c:pt idx="11">
                  <c:v>0.35074681284449494</c:v>
                </c:pt>
                <c:pt idx="12">
                  <c:v>0.35864134027775885</c:v>
                </c:pt>
                <c:pt idx="13">
                  <c:v>0.36653586771102264</c:v>
                </c:pt>
                <c:pt idx="14">
                  <c:v>0.37443039514428655</c:v>
                </c:pt>
                <c:pt idx="15">
                  <c:v>0.38232492257755035</c:v>
                </c:pt>
                <c:pt idx="16">
                  <c:v>0.39021945001081426</c:v>
                </c:pt>
                <c:pt idx="17">
                  <c:v>0.39811397744407806</c:v>
                </c:pt>
                <c:pt idx="18">
                  <c:v>0.40600850487734197</c:v>
                </c:pt>
                <c:pt idx="19">
                  <c:v>0.41390303231060577</c:v>
                </c:pt>
              </c:numCache>
            </c:numRef>
          </c:cat>
          <c:val>
            <c:numRef>
              <c:f>'Análise de Risco'!$L$645:$L$664</c:f>
              <c:numCache>
                <c:formatCode>0%</c:formatCode>
                <c:ptCount val="20"/>
                <c:pt idx="0">
                  <c:v>4.0000000000000001E-3</c:v>
                </c:pt>
                <c:pt idx="1">
                  <c:v>6.0000000000000001E-3</c:v>
                </c:pt>
                <c:pt idx="2">
                  <c:v>1.6E-2</c:v>
                </c:pt>
                <c:pt idx="3">
                  <c:v>0.04</c:v>
                </c:pt>
                <c:pt idx="4">
                  <c:v>5.1999999999999998E-2</c:v>
                </c:pt>
                <c:pt idx="5">
                  <c:v>7.5999999999999998E-2</c:v>
                </c:pt>
                <c:pt idx="6">
                  <c:v>6.8000000000000005E-2</c:v>
                </c:pt>
                <c:pt idx="7">
                  <c:v>0.10199999999999999</c:v>
                </c:pt>
                <c:pt idx="8">
                  <c:v>0.104</c:v>
                </c:pt>
                <c:pt idx="9">
                  <c:v>0.10199999999999999</c:v>
                </c:pt>
                <c:pt idx="10">
                  <c:v>7.3999999999999996E-2</c:v>
                </c:pt>
                <c:pt idx="11">
                  <c:v>5.8000000000000003E-2</c:v>
                </c:pt>
                <c:pt idx="12">
                  <c:v>7.8E-2</c:v>
                </c:pt>
                <c:pt idx="13">
                  <c:v>0.09</c:v>
                </c:pt>
                <c:pt idx="14">
                  <c:v>0.05</c:v>
                </c:pt>
                <c:pt idx="15">
                  <c:v>3.2000000000000001E-2</c:v>
                </c:pt>
                <c:pt idx="16">
                  <c:v>2.8000000000000001E-2</c:v>
                </c:pt>
                <c:pt idx="17">
                  <c:v>0.01</c:v>
                </c:pt>
                <c:pt idx="18">
                  <c:v>6.0000000000000001E-3</c:v>
                </c:pt>
                <c:pt idx="19">
                  <c:v>4.0000000000000001E-3</c:v>
                </c:pt>
              </c:numCache>
            </c:numRef>
          </c:val>
          <c:extLst>
            <c:ext xmlns:c16="http://schemas.microsoft.com/office/drawing/2014/chart" uri="{C3380CC4-5D6E-409C-BE32-E72D297353CC}">
              <c16:uniqueId val="{00000000-F1A0-45EE-89AB-72016C23C14F}"/>
            </c:ext>
          </c:extLst>
        </c:ser>
        <c:dLbls>
          <c:showLegendKey val="0"/>
          <c:showVal val="0"/>
          <c:showCatName val="0"/>
          <c:showSerName val="0"/>
          <c:showPercent val="0"/>
          <c:showBubbleSize val="0"/>
        </c:dLbls>
        <c:gapWidth val="0"/>
        <c:axId val="1755263200"/>
        <c:axId val="1"/>
      </c:barChart>
      <c:catAx>
        <c:axId val="1755263200"/>
        <c:scaling>
          <c:orientation val="minMax"/>
        </c:scaling>
        <c:delete val="0"/>
        <c:axPos val="b"/>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755263200"/>
        <c:crosses val="autoZero"/>
        <c:crossBetween val="between"/>
      </c:valAx>
      <c:spPr>
        <a:noFill/>
        <a:ln w="12700">
          <a:solidFill>
            <a:srgbClr val="808080"/>
          </a:solidFill>
          <a:prstDash val="solid"/>
        </a:ln>
      </c:spPr>
    </c:plotArea>
    <c:plotVisOnly val="0"/>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pt-PT"/>
    </a:p>
  </c:txPr>
  <c:printSettings>
    <c:headerFooter alignWithMargins="0"/>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2"/>
          <c:order val="0"/>
          <c:tx>
            <c:strRef>
              <c:f>Ferramentas!$E$869</c:f>
              <c:strCache>
                <c:ptCount val="1"/>
                <c:pt idx="0">
                  <c:v>Teórico</c:v>
                </c:pt>
              </c:strCache>
            </c:strRef>
          </c:tx>
          <c:spPr>
            <a:ln w="25400">
              <a:solidFill>
                <a:srgbClr val="0000FF"/>
              </a:solidFill>
              <a:prstDash val="solid"/>
            </a:ln>
          </c:spPr>
          <c:marker>
            <c:symbol val="none"/>
          </c:marker>
          <c:xVal>
            <c:numRef>
              <c:f>Ferramentas!$B$872:$B$973</c:f>
              <c:numCache>
                <c:formatCode>General</c:formatCode>
                <c:ptCount val="10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pt idx="56">
                  <c:v>2026</c:v>
                </c:pt>
                <c:pt idx="57">
                  <c:v>2027</c:v>
                </c:pt>
                <c:pt idx="58">
                  <c:v>2028</c:v>
                </c:pt>
                <c:pt idx="59">
                  <c:v>2029</c:v>
                </c:pt>
                <c:pt idx="60">
                  <c:v>2030</c:v>
                </c:pt>
                <c:pt idx="61">
                  <c:v>2031</c:v>
                </c:pt>
                <c:pt idx="62">
                  <c:v>2032</c:v>
                </c:pt>
                <c:pt idx="63">
                  <c:v>2033</c:v>
                </c:pt>
                <c:pt idx="64">
                  <c:v>2034</c:v>
                </c:pt>
                <c:pt idx="65">
                  <c:v>2035</c:v>
                </c:pt>
                <c:pt idx="66">
                  <c:v>2036</c:v>
                </c:pt>
                <c:pt idx="67">
                  <c:v>2037</c:v>
                </c:pt>
                <c:pt idx="68">
                  <c:v>2038</c:v>
                </c:pt>
                <c:pt idx="69">
                  <c:v>2039</c:v>
                </c:pt>
                <c:pt idx="70">
                  <c:v>2040</c:v>
                </c:pt>
                <c:pt idx="71">
                  <c:v>2041</c:v>
                </c:pt>
                <c:pt idx="72">
                  <c:v>2042</c:v>
                </c:pt>
                <c:pt idx="73">
                  <c:v>2043</c:v>
                </c:pt>
                <c:pt idx="74">
                  <c:v>2044</c:v>
                </c:pt>
                <c:pt idx="75">
                  <c:v>2045</c:v>
                </c:pt>
                <c:pt idx="76">
                  <c:v>2046</c:v>
                </c:pt>
                <c:pt idx="77">
                  <c:v>2047</c:v>
                </c:pt>
                <c:pt idx="78">
                  <c:v>2048</c:v>
                </c:pt>
                <c:pt idx="79">
                  <c:v>2049</c:v>
                </c:pt>
                <c:pt idx="80">
                  <c:v>2050</c:v>
                </c:pt>
                <c:pt idx="81">
                  <c:v>2051</c:v>
                </c:pt>
                <c:pt idx="82">
                  <c:v>2052</c:v>
                </c:pt>
                <c:pt idx="83">
                  <c:v>2053</c:v>
                </c:pt>
                <c:pt idx="84">
                  <c:v>2054</c:v>
                </c:pt>
                <c:pt idx="85">
                  <c:v>2055</c:v>
                </c:pt>
                <c:pt idx="86">
                  <c:v>2056</c:v>
                </c:pt>
                <c:pt idx="87">
                  <c:v>2057</c:v>
                </c:pt>
                <c:pt idx="88">
                  <c:v>2058</c:v>
                </c:pt>
                <c:pt idx="89">
                  <c:v>2059</c:v>
                </c:pt>
                <c:pt idx="90">
                  <c:v>2060</c:v>
                </c:pt>
                <c:pt idx="91">
                  <c:v>2061</c:v>
                </c:pt>
                <c:pt idx="92">
                  <c:v>2062</c:v>
                </c:pt>
                <c:pt idx="93">
                  <c:v>2063</c:v>
                </c:pt>
                <c:pt idx="94">
                  <c:v>2064</c:v>
                </c:pt>
                <c:pt idx="95">
                  <c:v>2065</c:v>
                </c:pt>
                <c:pt idx="96">
                  <c:v>2066</c:v>
                </c:pt>
                <c:pt idx="97">
                  <c:v>2067</c:v>
                </c:pt>
                <c:pt idx="98">
                  <c:v>2068</c:v>
                </c:pt>
                <c:pt idx="99">
                  <c:v>2069</c:v>
                </c:pt>
                <c:pt idx="100">
                  <c:v>2070</c:v>
                </c:pt>
                <c:pt idx="101">
                  <c:v>2071</c:v>
                </c:pt>
              </c:numCache>
            </c:numRef>
          </c:xVal>
          <c:yVal>
            <c:numRef>
              <c:f>Ferramentas!$E$872:$E$973</c:f>
              <c:numCache>
                <c:formatCode>General</c:formatCode>
                <c:ptCount val="10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numCache>
            </c:numRef>
          </c:yVal>
          <c:smooth val="0"/>
          <c:extLst>
            <c:ext xmlns:c16="http://schemas.microsoft.com/office/drawing/2014/chart" uri="{C3380CC4-5D6E-409C-BE32-E72D297353CC}">
              <c16:uniqueId val="{00000000-3C1D-4B4C-A526-08396580D561}"/>
            </c:ext>
          </c:extLst>
        </c:ser>
        <c:ser>
          <c:idx val="3"/>
          <c:order val="1"/>
          <c:tx>
            <c:strRef>
              <c:f>Ferramentas!$F$869</c:f>
              <c:strCache>
                <c:ptCount val="1"/>
                <c:pt idx="0">
                  <c:v>Potencial</c:v>
                </c:pt>
              </c:strCache>
            </c:strRef>
          </c:tx>
          <c:spPr>
            <a:ln w="25400">
              <a:solidFill>
                <a:srgbClr val="FF0000"/>
              </a:solidFill>
              <a:prstDash val="solid"/>
            </a:ln>
          </c:spPr>
          <c:marker>
            <c:symbol val="none"/>
          </c:marker>
          <c:xVal>
            <c:numRef>
              <c:f>Ferramentas!$B$872:$B$973</c:f>
              <c:numCache>
                <c:formatCode>General</c:formatCode>
                <c:ptCount val="10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pt idx="56">
                  <c:v>2026</c:v>
                </c:pt>
                <c:pt idx="57">
                  <c:v>2027</c:v>
                </c:pt>
                <c:pt idx="58">
                  <c:v>2028</c:v>
                </c:pt>
                <c:pt idx="59">
                  <c:v>2029</c:v>
                </c:pt>
                <c:pt idx="60">
                  <c:v>2030</c:v>
                </c:pt>
                <c:pt idx="61">
                  <c:v>2031</c:v>
                </c:pt>
                <c:pt idx="62">
                  <c:v>2032</c:v>
                </c:pt>
                <c:pt idx="63">
                  <c:v>2033</c:v>
                </c:pt>
                <c:pt idx="64">
                  <c:v>2034</c:v>
                </c:pt>
                <c:pt idx="65">
                  <c:v>2035</c:v>
                </c:pt>
                <c:pt idx="66">
                  <c:v>2036</c:v>
                </c:pt>
                <c:pt idx="67">
                  <c:v>2037</c:v>
                </c:pt>
                <c:pt idx="68">
                  <c:v>2038</c:v>
                </c:pt>
                <c:pt idx="69">
                  <c:v>2039</c:v>
                </c:pt>
                <c:pt idx="70">
                  <c:v>2040</c:v>
                </c:pt>
                <c:pt idx="71">
                  <c:v>2041</c:v>
                </c:pt>
                <c:pt idx="72">
                  <c:v>2042</c:v>
                </c:pt>
                <c:pt idx="73">
                  <c:v>2043</c:v>
                </c:pt>
                <c:pt idx="74">
                  <c:v>2044</c:v>
                </c:pt>
                <c:pt idx="75">
                  <c:v>2045</c:v>
                </c:pt>
                <c:pt idx="76">
                  <c:v>2046</c:v>
                </c:pt>
                <c:pt idx="77">
                  <c:v>2047</c:v>
                </c:pt>
                <c:pt idx="78">
                  <c:v>2048</c:v>
                </c:pt>
                <c:pt idx="79">
                  <c:v>2049</c:v>
                </c:pt>
                <c:pt idx="80">
                  <c:v>2050</c:v>
                </c:pt>
                <c:pt idx="81">
                  <c:v>2051</c:v>
                </c:pt>
                <c:pt idx="82">
                  <c:v>2052</c:v>
                </c:pt>
                <c:pt idx="83">
                  <c:v>2053</c:v>
                </c:pt>
                <c:pt idx="84">
                  <c:v>2054</c:v>
                </c:pt>
                <c:pt idx="85">
                  <c:v>2055</c:v>
                </c:pt>
                <c:pt idx="86">
                  <c:v>2056</c:v>
                </c:pt>
                <c:pt idx="87">
                  <c:v>2057</c:v>
                </c:pt>
                <c:pt idx="88">
                  <c:v>2058</c:v>
                </c:pt>
                <c:pt idx="89">
                  <c:v>2059</c:v>
                </c:pt>
                <c:pt idx="90">
                  <c:v>2060</c:v>
                </c:pt>
                <c:pt idx="91">
                  <c:v>2061</c:v>
                </c:pt>
                <c:pt idx="92">
                  <c:v>2062</c:v>
                </c:pt>
                <c:pt idx="93">
                  <c:v>2063</c:v>
                </c:pt>
                <c:pt idx="94">
                  <c:v>2064</c:v>
                </c:pt>
                <c:pt idx="95">
                  <c:v>2065</c:v>
                </c:pt>
                <c:pt idx="96">
                  <c:v>2066</c:v>
                </c:pt>
                <c:pt idx="97">
                  <c:v>2067</c:v>
                </c:pt>
                <c:pt idx="98">
                  <c:v>2068</c:v>
                </c:pt>
                <c:pt idx="99">
                  <c:v>2069</c:v>
                </c:pt>
                <c:pt idx="100">
                  <c:v>2070</c:v>
                </c:pt>
                <c:pt idx="101">
                  <c:v>2071</c:v>
                </c:pt>
              </c:numCache>
            </c:numRef>
          </c:xVal>
          <c:yVal>
            <c:numRef>
              <c:f>Ferramentas!$F$872:$F$973</c:f>
              <c:numCache>
                <c:formatCode>General</c:formatCode>
                <c:ptCount val="10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numCache>
            </c:numRef>
          </c:yVal>
          <c:smooth val="0"/>
          <c:extLst>
            <c:ext xmlns:c16="http://schemas.microsoft.com/office/drawing/2014/chart" uri="{C3380CC4-5D6E-409C-BE32-E72D297353CC}">
              <c16:uniqueId val="{00000001-3C1D-4B4C-A526-08396580D561}"/>
            </c:ext>
          </c:extLst>
        </c:ser>
        <c:ser>
          <c:idx val="5"/>
          <c:order val="2"/>
          <c:tx>
            <c:strRef>
              <c:f>Ferramentas!$C$869</c:f>
              <c:strCache>
                <c:ptCount val="1"/>
                <c:pt idx="0">
                  <c:v>Necessário</c:v>
                </c:pt>
              </c:strCache>
            </c:strRef>
          </c:tx>
          <c:spPr>
            <a:ln w="25400">
              <a:solidFill>
                <a:srgbClr val="008000"/>
              </a:solidFill>
              <a:prstDash val="solid"/>
            </a:ln>
          </c:spPr>
          <c:marker>
            <c:symbol val="none"/>
          </c:marker>
          <c:xVal>
            <c:numRef>
              <c:f>Ferramentas!$B$872:$B$973</c:f>
              <c:numCache>
                <c:formatCode>General</c:formatCode>
                <c:ptCount val="10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pt idx="56">
                  <c:v>2026</c:v>
                </c:pt>
                <c:pt idx="57">
                  <c:v>2027</c:v>
                </c:pt>
                <c:pt idx="58">
                  <c:v>2028</c:v>
                </c:pt>
                <c:pt idx="59">
                  <c:v>2029</c:v>
                </c:pt>
                <c:pt idx="60">
                  <c:v>2030</c:v>
                </c:pt>
                <c:pt idx="61">
                  <c:v>2031</c:v>
                </c:pt>
                <c:pt idx="62">
                  <c:v>2032</c:v>
                </c:pt>
                <c:pt idx="63">
                  <c:v>2033</c:v>
                </c:pt>
                <c:pt idx="64">
                  <c:v>2034</c:v>
                </c:pt>
                <c:pt idx="65">
                  <c:v>2035</c:v>
                </c:pt>
                <c:pt idx="66">
                  <c:v>2036</c:v>
                </c:pt>
                <c:pt idx="67">
                  <c:v>2037</c:v>
                </c:pt>
                <c:pt idx="68">
                  <c:v>2038</c:v>
                </c:pt>
                <c:pt idx="69">
                  <c:v>2039</c:v>
                </c:pt>
                <c:pt idx="70">
                  <c:v>2040</c:v>
                </c:pt>
                <c:pt idx="71">
                  <c:v>2041</c:v>
                </c:pt>
                <c:pt idx="72">
                  <c:v>2042</c:v>
                </c:pt>
                <c:pt idx="73">
                  <c:v>2043</c:v>
                </c:pt>
                <c:pt idx="74">
                  <c:v>2044</c:v>
                </c:pt>
                <c:pt idx="75">
                  <c:v>2045</c:v>
                </c:pt>
                <c:pt idx="76">
                  <c:v>2046</c:v>
                </c:pt>
                <c:pt idx="77">
                  <c:v>2047</c:v>
                </c:pt>
                <c:pt idx="78">
                  <c:v>2048</c:v>
                </c:pt>
                <c:pt idx="79">
                  <c:v>2049</c:v>
                </c:pt>
                <c:pt idx="80">
                  <c:v>2050</c:v>
                </c:pt>
                <c:pt idx="81">
                  <c:v>2051</c:v>
                </c:pt>
                <c:pt idx="82">
                  <c:v>2052</c:v>
                </c:pt>
                <c:pt idx="83">
                  <c:v>2053</c:v>
                </c:pt>
                <c:pt idx="84">
                  <c:v>2054</c:v>
                </c:pt>
                <c:pt idx="85">
                  <c:v>2055</c:v>
                </c:pt>
                <c:pt idx="86">
                  <c:v>2056</c:v>
                </c:pt>
                <c:pt idx="87">
                  <c:v>2057</c:v>
                </c:pt>
                <c:pt idx="88">
                  <c:v>2058</c:v>
                </c:pt>
                <c:pt idx="89">
                  <c:v>2059</c:v>
                </c:pt>
                <c:pt idx="90">
                  <c:v>2060</c:v>
                </c:pt>
                <c:pt idx="91">
                  <c:v>2061</c:v>
                </c:pt>
                <c:pt idx="92">
                  <c:v>2062</c:v>
                </c:pt>
                <c:pt idx="93">
                  <c:v>2063</c:v>
                </c:pt>
                <c:pt idx="94">
                  <c:v>2064</c:v>
                </c:pt>
                <c:pt idx="95">
                  <c:v>2065</c:v>
                </c:pt>
                <c:pt idx="96">
                  <c:v>2066</c:v>
                </c:pt>
                <c:pt idx="97">
                  <c:v>2067</c:v>
                </c:pt>
                <c:pt idx="98">
                  <c:v>2068</c:v>
                </c:pt>
                <c:pt idx="99">
                  <c:v>2069</c:v>
                </c:pt>
                <c:pt idx="100">
                  <c:v>2070</c:v>
                </c:pt>
                <c:pt idx="101">
                  <c:v>2071</c:v>
                </c:pt>
              </c:numCache>
            </c:numRef>
          </c:xVal>
          <c:yVal>
            <c:numRef>
              <c:f>Ferramentas!$H$872:$H$973</c:f>
              <c:numCache>
                <c:formatCode>General</c:formatCode>
                <c:ptCount val="10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numCache>
            </c:numRef>
          </c:yVal>
          <c:smooth val="0"/>
          <c:extLst>
            <c:ext xmlns:c16="http://schemas.microsoft.com/office/drawing/2014/chart" uri="{C3380CC4-5D6E-409C-BE32-E72D297353CC}">
              <c16:uniqueId val="{00000002-3C1D-4B4C-A526-08396580D561}"/>
            </c:ext>
          </c:extLst>
        </c:ser>
        <c:dLbls>
          <c:showLegendKey val="0"/>
          <c:showVal val="0"/>
          <c:showCatName val="0"/>
          <c:showSerName val="0"/>
          <c:showPercent val="0"/>
          <c:showBubbleSize val="0"/>
        </c:dLbls>
        <c:axId val="1755265120"/>
        <c:axId val="1"/>
      </c:scatterChart>
      <c:scatterChart>
        <c:scatterStyle val="lineMarker"/>
        <c:varyColors val="0"/>
        <c:ser>
          <c:idx val="1"/>
          <c:order val="3"/>
          <c:tx>
            <c:v> </c:v>
          </c:tx>
          <c:spPr>
            <a:ln w="28575">
              <a:noFill/>
            </a:ln>
          </c:spPr>
          <c:marker>
            <c:symbol val="none"/>
          </c:marker>
          <c:xVal>
            <c:numRef>
              <c:f>Ferramentas!$B$872:$B$973</c:f>
              <c:numCache>
                <c:formatCode>General</c:formatCode>
                <c:ptCount val="102"/>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pt idx="56">
                  <c:v>2026</c:v>
                </c:pt>
                <c:pt idx="57">
                  <c:v>2027</c:v>
                </c:pt>
                <c:pt idx="58">
                  <c:v>2028</c:v>
                </c:pt>
                <c:pt idx="59">
                  <c:v>2029</c:v>
                </c:pt>
                <c:pt idx="60">
                  <c:v>2030</c:v>
                </c:pt>
                <c:pt idx="61">
                  <c:v>2031</c:v>
                </c:pt>
                <c:pt idx="62">
                  <c:v>2032</c:v>
                </c:pt>
                <c:pt idx="63">
                  <c:v>2033</c:v>
                </c:pt>
                <c:pt idx="64">
                  <c:v>2034</c:v>
                </c:pt>
                <c:pt idx="65">
                  <c:v>2035</c:v>
                </c:pt>
                <c:pt idx="66">
                  <c:v>2036</c:v>
                </c:pt>
                <c:pt idx="67">
                  <c:v>2037</c:v>
                </c:pt>
                <c:pt idx="68">
                  <c:v>2038</c:v>
                </c:pt>
                <c:pt idx="69">
                  <c:v>2039</c:v>
                </c:pt>
                <c:pt idx="70">
                  <c:v>2040</c:v>
                </c:pt>
                <c:pt idx="71">
                  <c:v>2041</c:v>
                </c:pt>
                <c:pt idx="72">
                  <c:v>2042</c:v>
                </c:pt>
                <c:pt idx="73">
                  <c:v>2043</c:v>
                </c:pt>
                <c:pt idx="74">
                  <c:v>2044</c:v>
                </c:pt>
                <c:pt idx="75">
                  <c:v>2045</c:v>
                </c:pt>
                <c:pt idx="76">
                  <c:v>2046</c:v>
                </c:pt>
                <c:pt idx="77">
                  <c:v>2047</c:v>
                </c:pt>
                <c:pt idx="78">
                  <c:v>2048</c:v>
                </c:pt>
                <c:pt idx="79">
                  <c:v>2049</c:v>
                </c:pt>
                <c:pt idx="80">
                  <c:v>2050</c:v>
                </c:pt>
                <c:pt idx="81">
                  <c:v>2051</c:v>
                </c:pt>
                <c:pt idx="82">
                  <c:v>2052</c:v>
                </c:pt>
                <c:pt idx="83">
                  <c:v>2053</c:v>
                </c:pt>
                <c:pt idx="84">
                  <c:v>2054</c:v>
                </c:pt>
                <c:pt idx="85">
                  <c:v>2055</c:v>
                </c:pt>
                <c:pt idx="86">
                  <c:v>2056</c:v>
                </c:pt>
                <c:pt idx="87">
                  <c:v>2057</c:v>
                </c:pt>
                <c:pt idx="88">
                  <c:v>2058</c:v>
                </c:pt>
                <c:pt idx="89">
                  <c:v>2059</c:v>
                </c:pt>
                <c:pt idx="90">
                  <c:v>2060</c:v>
                </c:pt>
                <c:pt idx="91">
                  <c:v>2061</c:v>
                </c:pt>
                <c:pt idx="92">
                  <c:v>2062</c:v>
                </c:pt>
                <c:pt idx="93">
                  <c:v>2063</c:v>
                </c:pt>
                <c:pt idx="94">
                  <c:v>2064</c:v>
                </c:pt>
                <c:pt idx="95">
                  <c:v>2065</c:v>
                </c:pt>
                <c:pt idx="96">
                  <c:v>2066</c:v>
                </c:pt>
                <c:pt idx="97">
                  <c:v>2067</c:v>
                </c:pt>
                <c:pt idx="98">
                  <c:v>2068</c:v>
                </c:pt>
                <c:pt idx="99">
                  <c:v>2069</c:v>
                </c:pt>
                <c:pt idx="100">
                  <c:v>2070</c:v>
                </c:pt>
                <c:pt idx="101">
                  <c:v>2071</c:v>
                </c:pt>
              </c:numCache>
            </c:numRef>
          </c:xVal>
          <c:yVal>
            <c:numRef>
              <c:f>Ferramentas!$I$872:$I$973</c:f>
              <c:numCache>
                <c:formatCode>General</c:formatCode>
                <c:ptCount val="10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numCache>
            </c:numRef>
          </c:yVal>
          <c:smooth val="0"/>
          <c:extLst>
            <c:ext xmlns:c16="http://schemas.microsoft.com/office/drawing/2014/chart" uri="{C3380CC4-5D6E-409C-BE32-E72D297353CC}">
              <c16:uniqueId val="{00000003-3C1D-4B4C-A526-08396580D561}"/>
            </c:ext>
          </c:extLst>
        </c:ser>
        <c:dLbls>
          <c:showLegendKey val="0"/>
          <c:showVal val="0"/>
          <c:showCatName val="0"/>
          <c:showSerName val="0"/>
          <c:showPercent val="0"/>
          <c:showBubbleSize val="0"/>
        </c:dLbls>
        <c:axId val="3"/>
        <c:axId val="4"/>
      </c:scatterChart>
      <c:valAx>
        <c:axId val="1755265120"/>
        <c:scaling>
          <c:orientation val="minMax"/>
        </c:scaling>
        <c:delete val="0"/>
        <c:axPos val="b"/>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755265120"/>
        <c:crosses val="autoZero"/>
        <c:crossBetween val="midCat"/>
      </c:valAx>
      <c:valAx>
        <c:axId val="3"/>
        <c:scaling>
          <c:orientation val="minMax"/>
        </c:scaling>
        <c:delete val="1"/>
        <c:axPos val="b"/>
        <c:numFmt formatCode="General" sourceLinked="1"/>
        <c:majorTickMark val="out"/>
        <c:minorTickMark val="none"/>
        <c:tickLblPos val="nextTo"/>
        <c:crossAx val="4"/>
        <c:crosses val="autoZero"/>
        <c:crossBetween val="midCat"/>
      </c:valAx>
      <c:valAx>
        <c:axId val="4"/>
        <c:scaling>
          <c:orientation val="minMax"/>
        </c:scaling>
        <c:delete val="0"/>
        <c:axPos val="r"/>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3"/>
        <c:crosses val="max"/>
        <c:crossBetween val="midCat"/>
      </c:valAx>
      <c:spPr>
        <a:solidFill>
          <a:srgbClr val="FFFFFF"/>
        </a:solidFill>
        <a:ln w="12700">
          <a:solidFill>
            <a:srgbClr val="808080"/>
          </a:solidFill>
          <a:prstDash val="solid"/>
        </a:ln>
      </c:spPr>
    </c:plotArea>
    <c:legend>
      <c:legendPos val="r"/>
      <c:overlay val="0"/>
      <c:spPr>
        <a:solidFill>
          <a:srgbClr val="FFFFFF"/>
        </a:solidFill>
        <a:ln w="25400">
          <a:noFill/>
        </a:ln>
      </c:spPr>
      <c:txPr>
        <a:bodyPr/>
        <a:lstStyle/>
        <a:p>
          <a:pPr>
            <a:defRPr sz="735" b="0" i="0" u="none" strike="noStrike" baseline="0">
              <a:solidFill>
                <a:srgbClr val="000000"/>
              </a:solidFill>
              <a:latin typeface="Arial"/>
              <a:ea typeface="Arial"/>
              <a:cs typeface="Arial"/>
            </a:defRPr>
          </a:pPr>
          <a:endParaRPr lang="en-US"/>
        </a:p>
      </c:txPr>
    </c:legend>
    <c:plotVisOnly val="0"/>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pt-PT"/>
    </a:p>
  </c:txPr>
  <c:printSettings>
    <c:headerFooter alignWithMargins="0"/>
    <c:pageMargins b="1" l="0.75" r="0.75" t="1" header="0.5" footer="0.5"/>
    <c:pageSetup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Language!$C$393</c:f>
          <c:strCache>
            <c:ptCount val="1"/>
            <c:pt idx="0">
              <c:v>Gráfico das características da carga do caso proposto</c:v>
            </c:pt>
          </c:strCache>
        </c:strRef>
      </c:tx>
      <c:layout>
        <c:manualLayout>
          <c:xMode val="edge"/>
          <c:yMode val="edge"/>
          <c:x val="0.27479726009858524"/>
          <c:y val="3.5335689045936397E-2"/>
        </c:manualLayout>
      </c:layout>
      <c:overlay val="0"/>
      <c:spPr>
        <a:noFill/>
        <a:ln w="25400">
          <a:noFill/>
        </a:ln>
      </c:spPr>
      <c:txPr>
        <a:bodyPr/>
        <a:lstStyle/>
        <a:p>
          <a:pPr>
            <a:defRPr sz="800" b="1" i="0" u="none" strike="noStrike" baseline="0">
              <a:solidFill>
                <a:srgbClr val="000000"/>
              </a:solidFill>
              <a:latin typeface="Arial"/>
              <a:ea typeface="Arial"/>
              <a:cs typeface="Arial"/>
            </a:defRPr>
          </a:pPr>
          <a:endParaRPr lang="pt-PT"/>
        </a:p>
      </c:txPr>
    </c:title>
    <c:autoTitleDeleted val="0"/>
    <c:plotArea>
      <c:layout>
        <c:manualLayout>
          <c:layoutTarget val="inner"/>
          <c:xMode val="edge"/>
          <c:yMode val="edge"/>
          <c:x val="8.7805017474938823E-2"/>
          <c:y val="0.13427585005081238"/>
          <c:w val="0.87805017474938829"/>
          <c:h val="0.63957707524202745"/>
        </c:manualLayout>
      </c:layout>
      <c:lineChart>
        <c:grouping val="standard"/>
        <c:varyColors val="0"/>
        <c:ser>
          <c:idx val="0"/>
          <c:order val="0"/>
          <c:tx>
            <c:strRef>
              <c:f>'Carga e Rede'!$AA$229</c:f>
              <c:strCache>
                <c:ptCount val="1"/>
                <c:pt idx="0">
                  <c:v>Eletricidade </c:v>
                </c:pt>
              </c:strCache>
            </c:strRef>
          </c:tx>
          <c:cat>
            <c:strRef>
              <c:f>'Carga e Rede'!$A$230:$A$241</c:f>
              <c:strCache>
                <c:ptCount val="12"/>
                <c:pt idx="0">
                  <c:v>Janeiro</c:v>
                </c:pt>
                <c:pt idx="1">
                  <c:v>Fev</c:v>
                </c:pt>
                <c:pt idx="2">
                  <c:v>Mar</c:v>
                </c:pt>
                <c:pt idx="3">
                  <c:v>Abr</c:v>
                </c:pt>
                <c:pt idx="4">
                  <c:v>Mai</c:v>
                </c:pt>
                <c:pt idx="5">
                  <c:v>Junho</c:v>
                </c:pt>
                <c:pt idx="6">
                  <c:v>Julho</c:v>
                </c:pt>
                <c:pt idx="7">
                  <c:v>Ago</c:v>
                </c:pt>
                <c:pt idx="8">
                  <c:v>Set</c:v>
                </c:pt>
                <c:pt idx="9">
                  <c:v>Out</c:v>
                </c:pt>
                <c:pt idx="10">
                  <c:v>Novembro</c:v>
                </c:pt>
                <c:pt idx="11">
                  <c:v>Dez</c:v>
                </c:pt>
              </c:strCache>
            </c:strRef>
          </c:cat>
          <c:val>
            <c:numRef>
              <c:f>'Carga e Rede'!$AB$230:$AB$241</c:f>
            </c:numRef>
          </c:val>
          <c:smooth val="0"/>
          <c:extLst>
            <c:ext xmlns:c16="http://schemas.microsoft.com/office/drawing/2014/chart" uri="{C3380CC4-5D6E-409C-BE32-E72D297353CC}">
              <c16:uniqueId val="{00000000-680F-4D77-8E2C-BE91E4F7D6F2}"/>
            </c:ext>
          </c:extLst>
        </c:ser>
        <c:ser>
          <c:idx val="2"/>
          <c:order val="1"/>
          <c:tx>
            <c:strRef>
              <c:f>'Carga e Rede'!$AC$229</c:f>
              <c:strCache>
                <c:ptCount val="1"/>
                <c:pt idx="0">
                  <c:v>Aquecimento</c:v>
                </c:pt>
              </c:strCache>
            </c:strRef>
          </c:tx>
          <c:spPr>
            <a:ln w="25400">
              <a:solidFill>
                <a:srgbClr val="FF0000"/>
              </a:solidFill>
              <a:prstDash val="solid"/>
            </a:ln>
          </c:spPr>
          <c:marker>
            <c:spPr>
              <a:solidFill>
                <a:srgbClr val="FF0000"/>
              </a:solidFill>
              <a:ln>
                <a:solidFill>
                  <a:srgbClr val="FF0000"/>
                </a:solidFill>
                <a:prstDash val="solid"/>
              </a:ln>
            </c:spPr>
          </c:marker>
          <c:cat>
            <c:strRef>
              <c:f>'Carga e Rede'!$A$230:$A$241</c:f>
              <c:strCache>
                <c:ptCount val="12"/>
                <c:pt idx="0">
                  <c:v>Janeiro</c:v>
                </c:pt>
                <c:pt idx="1">
                  <c:v>Fev</c:v>
                </c:pt>
                <c:pt idx="2">
                  <c:v>Mar</c:v>
                </c:pt>
                <c:pt idx="3">
                  <c:v>Abr</c:v>
                </c:pt>
                <c:pt idx="4">
                  <c:v>Mai</c:v>
                </c:pt>
                <c:pt idx="5">
                  <c:v>Junho</c:v>
                </c:pt>
                <c:pt idx="6">
                  <c:v>Julho</c:v>
                </c:pt>
                <c:pt idx="7">
                  <c:v>Ago</c:v>
                </c:pt>
                <c:pt idx="8">
                  <c:v>Set</c:v>
                </c:pt>
                <c:pt idx="9">
                  <c:v>Out</c:v>
                </c:pt>
                <c:pt idx="10">
                  <c:v>Novembro</c:v>
                </c:pt>
                <c:pt idx="11">
                  <c:v>Dez</c:v>
                </c:pt>
              </c:strCache>
            </c:strRef>
          </c:cat>
          <c:val>
            <c:numRef>
              <c:f>'Carga e Rede'!$AD$230:$AD$241</c:f>
            </c:numRef>
          </c:val>
          <c:smooth val="0"/>
          <c:extLst>
            <c:ext xmlns:c16="http://schemas.microsoft.com/office/drawing/2014/chart" uri="{C3380CC4-5D6E-409C-BE32-E72D297353CC}">
              <c16:uniqueId val="{00000001-680F-4D77-8E2C-BE91E4F7D6F2}"/>
            </c:ext>
          </c:extLst>
        </c:ser>
        <c:ser>
          <c:idx val="3"/>
          <c:order val="2"/>
          <c:tx>
            <c:strRef>
              <c:f>'Carga e Rede'!$AE$229</c:f>
              <c:strCache>
                <c:ptCount val="1"/>
                <c:pt idx="0">
                  <c:v>Refrigeração</c:v>
                </c:pt>
              </c:strCache>
            </c:strRef>
          </c:tx>
          <c:spPr>
            <a:ln w="25400">
              <a:solidFill>
                <a:srgbClr val="0000FF"/>
              </a:solidFill>
              <a:prstDash val="solid"/>
            </a:ln>
          </c:spPr>
          <c:marker>
            <c:spPr>
              <a:solidFill>
                <a:srgbClr val="0000FF"/>
              </a:solidFill>
              <a:ln>
                <a:solidFill>
                  <a:srgbClr val="0000FF"/>
                </a:solidFill>
                <a:prstDash val="solid"/>
              </a:ln>
            </c:spPr>
          </c:marker>
          <c:cat>
            <c:strRef>
              <c:f>'Carga e Rede'!$A$230:$A$241</c:f>
              <c:strCache>
                <c:ptCount val="12"/>
                <c:pt idx="0">
                  <c:v>Janeiro</c:v>
                </c:pt>
                <c:pt idx="1">
                  <c:v>Fev</c:v>
                </c:pt>
                <c:pt idx="2">
                  <c:v>Mar</c:v>
                </c:pt>
                <c:pt idx="3">
                  <c:v>Abr</c:v>
                </c:pt>
                <c:pt idx="4">
                  <c:v>Mai</c:v>
                </c:pt>
                <c:pt idx="5">
                  <c:v>Junho</c:v>
                </c:pt>
                <c:pt idx="6">
                  <c:v>Julho</c:v>
                </c:pt>
                <c:pt idx="7">
                  <c:v>Ago</c:v>
                </c:pt>
                <c:pt idx="8">
                  <c:v>Set</c:v>
                </c:pt>
                <c:pt idx="9">
                  <c:v>Out</c:v>
                </c:pt>
                <c:pt idx="10">
                  <c:v>Novembro</c:v>
                </c:pt>
                <c:pt idx="11">
                  <c:v>Dez</c:v>
                </c:pt>
              </c:strCache>
            </c:strRef>
          </c:cat>
          <c:val>
            <c:numRef>
              <c:f>'Carga e Rede'!$AF$230:$AF$241</c:f>
            </c:numRef>
          </c:val>
          <c:smooth val="0"/>
          <c:extLst>
            <c:ext xmlns:c16="http://schemas.microsoft.com/office/drawing/2014/chart" uri="{C3380CC4-5D6E-409C-BE32-E72D297353CC}">
              <c16:uniqueId val="{00000002-680F-4D77-8E2C-BE91E4F7D6F2}"/>
            </c:ext>
          </c:extLst>
        </c:ser>
        <c:dLbls>
          <c:showLegendKey val="0"/>
          <c:showVal val="0"/>
          <c:showCatName val="0"/>
          <c:showSerName val="0"/>
          <c:showPercent val="0"/>
          <c:showBubbleSize val="0"/>
        </c:dLbls>
        <c:marker val="1"/>
        <c:smooth val="0"/>
        <c:axId val="1632931184"/>
        <c:axId val="1"/>
      </c:lineChart>
      <c:catAx>
        <c:axId val="1632931184"/>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
        <c:crosses val="autoZero"/>
        <c:auto val="1"/>
        <c:lblAlgn val="ctr"/>
        <c:lblOffset val="100"/>
        <c:tickLblSkip val="1"/>
        <c:tickMarkSkip val="1"/>
        <c:noMultiLvlLbl val="0"/>
      </c:catAx>
      <c:valAx>
        <c:axId val="1"/>
        <c:scaling>
          <c:orientation val="minMax"/>
          <c:min val="0"/>
        </c:scaling>
        <c:delete val="0"/>
        <c:axPos val="l"/>
        <c:majorGridlines>
          <c:spPr>
            <a:ln w="3175">
              <a:solidFill>
                <a:srgbClr val="000000"/>
              </a:solidFill>
              <a:prstDash val="solid"/>
            </a:ln>
          </c:spPr>
        </c:majorGridlines>
        <c:title>
          <c:tx>
            <c:strRef>
              <c:f>'Modelo Energético'!$R$20</c:f>
              <c:strCache>
                <c:ptCount val="1"/>
                <c:pt idx="0">
                  <c:v>kW</c:v>
                </c:pt>
              </c:strCache>
            </c:strRef>
          </c:tx>
          <c:layout>
            <c:manualLayout>
              <c:xMode val="edge"/>
              <c:yMode val="edge"/>
              <c:x val="1.3008130081300813E-2"/>
              <c:y val="0.41696187269877483"/>
            </c:manualLayout>
          </c:layout>
          <c:overlay val="0"/>
          <c:spPr>
            <a:noFill/>
            <a:ln w="25400">
              <a:noFill/>
            </a:ln>
          </c:spPr>
          <c:txPr>
            <a:bodyPr/>
            <a:lstStyle/>
            <a:p>
              <a:pPr>
                <a:defRPr sz="800" b="1" i="0" u="none" strike="noStrike" baseline="0">
                  <a:solidFill>
                    <a:srgbClr val="000000"/>
                  </a:solidFill>
                  <a:latin typeface="Arial"/>
                  <a:ea typeface="Arial"/>
                  <a:cs typeface="Arial"/>
                </a:defRPr>
              </a:pPr>
              <a:endParaRPr lang="pt-PT"/>
            </a:p>
          </c:tx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632931184"/>
        <c:crosses val="autoZero"/>
        <c:crossBetween val="midCat"/>
      </c:valAx>
      <c:spPr>
        <a:noFill/>
        <a:ln w="12700">
          <a:solidFill>
            <a:srgbClr val="808080"/>
          </a:solidFill>
          <a:prstDash val="solid"/>
        </a:ln>
      </c:spPr>
    </c:plotArea>
    <c:legend>
      <c:legendPos val="r"/>
      <c:layout>
        <c:manualLayout>
          <c:xMode val="edge"/>
          <c:yMode val="edge"/>
          <c:x val="0.17969304805987449"/>
          <c:y val="0.91552336332876261"/>
          <c:w val="0.63543628589288936"/>
          <c:h val="6.7607879138124022E-2"/>
        </c:manualLayout>
      </c:layout>
      <c:overlay val="0"/>
      <c:spPr>
        <a:noFill/>
        <a:ln w="25400">
          <a:noFill/>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pt-PT"/>
    </a:p>
  </c:txPr>
  <c:printSettings>
    <c:headerFooter alignWithMargins="0"/>
    <c:pageMargins b="1" l="0.75" r="0.75" t="1" header="0.5" footer="0.5"/>
    <c:pageSetup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Language!$C$1897</c:f>
          <c:strCache>
            <c:ptCount val="1"/>
            <c:pt idx="0">
              <c:v>Curvas de potência e de energia</c:v>
            </c:pt>
          </c:strCache>
        </c:strRef>
      </c:tx>
      <c:layout>
        <c:manualLayout>
          <c:xMode val="edge"/>
          <c:yMode val="edge"/>
          <c:x val="0.3862520458265139"/>
          <c:y val="1.5015015015015015E-2"/>
        </c:manualLayout>
      </c:layout>
      <c:overlay val="0"/>
      <c:spPr>
        <a:noFill/>
        <a:ln w="25400">
          <a:noFill/>
        </a:ln>
      </c:spPr>
      <c:txPr>
        <a:bodyPr/>
        <a:lstStyle/>
        <a:p>
          <a:pPr>
            <a:defRPr sz="800" b="1" i="0" u="none" strike="noStrike" baseline="0">
              <a:solidFill>
                <a:srgbClr val="000000"/>
              </a:solidFill>
              <a:latin typeface="Arial"/>
              <a:ea typeface="Arial"/>
              <a:cs typeface="Arial"/>
            </a:defRPr>
          </a:pPr>
          <a:endParaRPr lang="pt-PT"/>
        </a:p>
      </c:txPr>
    </c:title>
    <c:autoTitleDeleted val="0"/>
    <c:plotArea>
      <c:layout>
        <c:manualLayout>
          <c:layoutTarget val="inner"/>
          <c:xMode val="edge"/>
          <c:yMode val="edge"/>
          <c:x val="6.6408300369953613E-2"/>
          <c:y val="0.17765656604874744"/>
          <c:w val="0.86330790480939701"/>
          <c:h val="0.67337569389444596"/>
        </c:manualLayout>
      </c:layout>
      <c:scatterChart>
        <c:scatterStyle val="lineMarker"/>
        <c:varyColors val="0"/>
        <c:ser>
          <c:idx val="1"/>
          <c:order val="1"/>
          <c:tx>
            <c:strRef>
              <c:f>Language!$C$189</c:f>
              <c:strCache>
                <c:ptCount val="1"/>
                <c:pt idx="0">
                  <c:v>Eletricidade </c:v>
                </c:pt>
              </c:strCache>
            </c:strRef>
          </c:tx>
          <c:spPr>
            <a:ln w="25400">
              <a:solidFill>
                <a:srgbClr val="008000"/>
              </a:solidFill>
              <a:prstDash val="solid"/>
            </a:ln>
          </c:spPr>
          <c:marker>
            <c:symbol val="triangle"/>
            <c:size val="6"/>
            <c:spPr>
              <a:solidFill>
                <a:srgbClr val="008000"/>
              </a:solidFill>
              <a:ln>
                <a:solidFill>
                  <a:srgbClr val="008000"/>
                </a:solidFill>
                <a:prstDash val="solid"/>
              </a:ln>
            </c:spPr>
          </c:marker>
          <c:xVal>
            <c:numRef>
              <c:f>Charts!$A$51:$A$81</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xVal>
          <c:yVal>
            <c:numRef>
              <c:f>Charts!$C$51:$C$81</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0"/>
          <c:extLst>
            <c:ext xmlns:c16="http://schemas.microsoft.com/office/drawing/2014/chart" uri="{C3380CC4-5D6E-409C-BE32-E72D297353CC}">
              <c16:uniqueId val="{00000000-0A80-460A-A9F0-7D115BE1C6FC}"/>
            </c:ext>
          </c:extLst>
        </c:ser>
        <c:dLbls>
          <c:showLegendKey val="0"/>
          <c:showVal val="0"/>
          <c:showCatName val="0"/>
          <c:showSerName val="0"/>
          <c:showPercent val="0"/>
          <c:showBubbleSize val="0"/>
        </c:dLbls>
        <c:axId val="1632928784"/>
        <c:axId val="1"/>
      </c:scatterChart>
      <c:scatterChart>
        <c:scatterStyle val="lineMarker"/>
        <c:varyColors val="0"/>
        <c:ser>
          <c:idx val="0"/>
          <c:order val="0"/>
          <c:tx>
            <c:strRef>
              <c:f>Language!$C$847</c:f>
              <c:strCache>
                <c:ptCount val="1"/>
                <c:pt idx="0">
                  <c:v>Energia</c:v>
                </c:pt>
              </c:strCache>
            </c:strRef>
          </c:tx>
          <c:spPr>
            <a:ln w="25400">
              <a:solidFill>
                <a:srgbClr val="0000FF"/>
              </a:solidFill>
              <a:prstDash val="solid"/>
            </a:ln>
          </c:spPr>
          <c:marker>
            <c:symbol val="square"/>
            <c:size val="6"/>
            <c:spPr>
              <a:solidFill>
                <a:srgbClr val="0000FF"/>
              </a:solidFill>
              <a:ln>
                <a:solidFill>
                  <a:srgbClr val="0000FF"/>
                </a:solidFill>
                <a:prstDash val="solid"/>
              </a:ln>
            </c:spPr>
          </c:marker>
          <c:xVal>
            <c:numRef>
              <c:f>Charts!$A$51:$A$81</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xVal>
          <c:yVal>
            <c:numRef>
              <c:f>Charts!$B$51:$B$81</c:f>
              <c:numCache>
                <c:formatCode>#,##0</c:formatCode>
                <c:ptCount val="31"/>
                <c:pt idx="3">
                  <c:v>0</c:v>
                </c:pt>
                <c:pt idx="4">
                  <c:v>0</c:v>
                </c:pt>
                <c:pt idx="5">
                  <c:v>0</c:v>
                </c:pt>
                <c:pt idx="6">
                  <c:v>0</c:v>
                </c:pt>
                <c:pt idx="7">
                  <c:v>0</c:v>
                </c:pt>
                <c:pt idx="8">
                  <c:v>0</c:v>
                </c:pt>
                <c:pt idx="9">
                  <c:v>0</c:v>
                </c:pt>
                <c:pt idx="10">
                  <c:v>0</c:v>
                </c:pt>
                <c:pt idx="11">
                  <c:v>0</c:v>
                </c:pt>
                <c:pt idx="12">
                  <c:v>0</c:v>
                </c:pt>
                <c:pt idx="13">
                  <c:v>0</c:v>
                </c:pt>
                <c:pt idx="14">
                  <c:v>0</c:v>
                </c:pt>
                <c:pt idx="15">
                  <c:v>0</c:v>
                </c:pt>
              </c:numCache>
            </c:numRef>
          </c:yVal>
          <c:smooth val="0"/>
          <c:extLst>
            <c:ext xmlns:c16="http://schemas.microsoft.com/office/drawing/2014/chart" uri="{C3380CC4-5D6E-409C-BE32-E72D297353CC}">
              <c16:uniqueId val="{00000001-0A80-460A-A9F0-7D115BE1C6FC}"/>
            </c:ext>
          </c:extLst>
        </c:ser>
        <c:dLbls>
          <c:showLegendKey val="0"/>
          <c:showVal val="0"/>
          <c:showCatName val="0"/>
          <c:showSerName val="0"/>
          <c:showPercent val="0"/>
          <c:showBubbleSize val="0"/>
        </c:dLbls>
        <c:axId val="3"/>
        <c:axId val="4"/>
      </c:scatterChart>
      <c:valAx>
        <c:axId val="1632928784"/>
        <c:scaling>
          <c:orientation val="minMax"/>
          <c:max val="30"/>
        </c:scaling>
        <c:delete val="0"/>
        <c:axPos val="b"/>
        <c:majorGridlines>
          <c:spPr>
            <a:ln w="3175">
              <a:solidFill>
                <a:srgbClr val="000000"/>
              </a:solidFill>
              <a:prstDash val="solid"/>
            </a:ln>
          </c:spPr>
        </c:majorGridlines>
        <c:title>
          <c:tx>
            <c:strRef>
              <c:f>Charts!$D$52</c:f>
              <c:strCache>
                <c:ptCount val="1"/>
                <c:pt idx="0">
                  <c:v>Velocidade do Vento - m/s</c:v>
                </c:pt>
              </c:strCache>
            </c:strRef>
          </c:tx>
          <c:layout>
            <c:manualLayout>
              <c:xMode val="edge"/>
              <c:yMode val="edge"/>
              <c:x val="0.41734860883797054"/>
              <c:y val="0.92492776240807739"/>
            </c:manualLayout>
          </c:layout>
          <c:overlay val="0"/>
          <c:spPr>
            <a:noFill/>
            <a:ln w="25400">
              <a:noFill/>
            </a:ln>
          </c:spPr>
          <c:txPr>
            <a:bodyPr/>
            <a:lstStyle/>
            <a:p>
              <a:pPr>
                <a:defRPr sz="800" b="1" i="0" u="none" strike="noStrike" baseline="0">
                  <a:solidFill>
                    <a:srgbClr val="000000"/>
                  </a:solidFill>
                  <a:latin typeface="Arial"/>
                  <a:ea typeface="Arial"/>
                  <a:cs typeface="Arial"/>
                </a:defRPr>
              </a:pPr>
              <a:endParaRPr lang="pt-PT"/>
            </a:p>
          </c:tx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
        <c:crosses val="autoZero"/>
        <c:crossBetween val="midCat"/>
      </c:valAx>
      <c:valAx>
        <c:axId val="1"/>
        <c:scaling>
          <c:orientation val="minMax"/>
          <c:min val="0"/>
        </c:scaling>
        <c:delete val="0"/>
        <c:axPos val="l"/>
        <c:majorGridlines>
          <c:spPr>
            <a:ln w="3175">
              <a:solidFill>
                <a:srgbClr val="000000"/>
              </a:solidFill>
              <a:prstDash val="solid"/>
            </a:ln>
          </c:spPr>
        </c:majorGridlines>
        <c:title>
          <c:tx>
            <c:strRef>
              <c:f>Charts!$D$50</c:f>
              <c:strCache>
                <c:ptCount val="1"/>
                <c:pt idx="0">
                  <c:v>Potência - kW</c:v>
                </c:pt>
              </c:strCache>
            </c:strRef>
          </c:tx>
          <c:layout>
            <c:manualLayout>
              <c:xMode val="edge"/>
              <c:yMode val="edge"/>
              <c:x val="8.1833060556464818E-3"/>
              <c:y val="0.40540666650902873"/>
            </c:manualLayout>
          </c:layout>
          <c:overlay val="0"/>
          <c:spPr>
            <a:noFill/>
            <a:ln w="25400">
              <a:noFill/>
            </a:ln>
          </c:spPr>
          <c:txPr>
            <a:bodyPr/>
            <a:lstStyle/>
            <a:p>
              <a:pPr>
                <a:defRPr sz="800" b="1" i="0" u="none" strike="noStrike" baseline="0">
                  <a:solidFill>
                    <a:srgbClr val="000000"/>
                  </a:solidFill>
                  <a:latin typeface="Arial"/>
                  <a:ea typeface="Arial"/>
                  <a:cs typeface="Arial"/>
                </a:defRPr>
              </a:pPr>
              <a:endParaRPr lang="pt-PT"/>
            </a:p>
          </c:tx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632928784"/>
        <c:crosses val="autoZero"/>
        <c:crossBetween val="midCat"/>
      </c:valAx>
      <c:valAx>
        <c:axId val="3"/>
        <c:scaling>
          <c:orientation val="minMax"/>
        </c:scaling>
        <c:delete val="1"/>
        <c:axPos val="b"/>
        <c:numFmt formatCode="General" sourceLinked="1"/>
        <c:majorTickMark val="out"/>
        <c:minorTickMark val="none"/>
        <c:tickLblPos val="nextTo"/>
        <c:crossAx val="4"/>
        <c:crosses val="autoZero"/>
        <c:crossBetween val="midCat"/>
      </c:valAx>
      <c:valAx>
        <c:axId val="4"/>
        <c:scaling>
          <c:orientation val="minMax"/>
        </c:scaling>
        <c:delete val="0"/>
        <c:axPos val="r"/>
        <c:title>
          <c:tx>
            <c:strRef>
              <c:f>Charts!$D$51</c:f>
              <c:strCache>
                <c:ptCount val="1"/>
                <c:pt idx="0">
                  <c:v>Energia - MWh</c:v>
                </c:pt>
              </c:strCache>
            </c:strRef>
          </c:tx>
          <c:layout>
            <c:manualLayout>
              <c:xMode val="edge"/>
              <c:yMode val="edge"/>
              <c:x val="0.95744680851063835"/>
              <c:y val="0.39339465449701672"/>
            </c:manualLayout>
          </c:layout>
          <c:overlay val="0"/>
          <c:spPr>
            <a:noFill/>
            <a:ln w="25400">
              <a:noFill/>
            </a:ln>
          </c:spPr>
          <c:txPr>
            <a:bodyPr/>
            <a:lstStyle/>
            <a:p>
              <a:pPr>
                <a:defRPr sz="800" b="1" i="0" u="none" strike="noStrike" baseline="0">
                  <a:solidFill>
                    <a:srgbClr val="000000"/>
                  </a:solidFill>
                  <a:latin typeface="Arial"/>
                  <a:ea typeface="Arial"/>
                  <a:cs typeface="Arial"/>
                </a:defRPr>
              </a:pPr>
              <a:endParaRPr lang="pt-PT"/>
            </a:p>
          </c:txPr>
        </c:title>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3"/>
        <c:crosses val="max"/>
        <c:crossBetween val="midCat"/>
      </c:valAx>
      <c:spPr>
        <a:noFill/>
        <a:ln w="12700">
          <a:solidFill>
            <a:srgbClr val="808080"/>
          </a:solidFill>
          <a:prstDash val="solid"/>
        </a:ln>
      </c:spPr>
    </c:plotArea>
    <c:legend>
      <c:legendPos val="r"/>
      <c:layout>
        <c:manualLayout>
          <c:xMode val="edge"/>
          <c:yMode val="edge"/>
          <c:x val="0.13021235366657574"/>
          <c:y val="8.5962854539716499E-2"/>
          <c:w val="0.73960616882615005"/>
          <c:h val="6.8770283631773205E-2"/>
        </c:manualLayout>
      </c:layout>
      <c:overlay val="0"/>
      <c:spPr>
        <a:solidFill>
          <a:srgbClr val="FFFFFF"/>
        </a:solidFill>
        <a:ln w="25400">
          <a:noFill/>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pt-PT"/>
    </a:p>
  </c:txPr>
  <c:printSettings>
    <c:headerFooter alignWithMargins="0"/>
    <c:pageMargins b="1" l="0.75" r="0.75" t="1" header="0.5" footer="0.5"/>
    <c:pageSetup orientation="landscape" verticalDpi="300"/>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Language!$C$2045</c:f>
          <c:strCache>
            <c:ptCount val="1"/>
            <c:pt idx="0">
              <c:v>Eficiência da turbina</c:v>
            </c:pt>
          </c:strCache>
        </c:strRef>
      </c:tx>
      <c:layout>
        <c:manualLayout>
          <c:xMode val="edge"/>
          <c:yMode val="edge"/>
          <c:x val="0.45689655172413796"/>
          <c:y val="3.4334763948497854E-2"/>
        </c:manualLayout>
      </c:layout>
      <c:overlay val="0"/>
      <c:spPr>
        <a:noFill/>
        <a:ln w="25400">
          <a:noFill/>
        </a:ln>
      </c:spPr>
      <c:txPr>
        <a:bodyPr/>
        <a:lstStyle/>
        <a:p>
          <a:pPr>
            <a:defRPr sz="800" b="1" i="0" u="none" strike="noStrike" baseline="0">
              <a:solidFill>
                <a:srgbClr val="000000"/>
              </a:solidFill>
              <a:latin typeface="Arial"/>
              <a:ea typeface="Arial"/>
              <a:cs typeface="Arial"/>
            </a:defRPr>
          </a:pPr>
          <a:endParaRPr lang="pt-PT"/>
        </a:p>
      </c:txPr>
    </c:title>
    <c:autoTitleDeleted val="0"/>
    <c:plotArea>
      <c:layout>
        <c:manualLayout>
          <c:layoutTarget val="inner"/>
          <c:xMode val="edge"/>
          <c:yMode val="edge"/>
          <c:x val="9.8961388786597548E-2"/>
          <c:y val="0.15143390363927231"/>
          <c:w val="0.86851639895606014"/>
          <c:h val="0.68573843157406333"/>
        </c:manualLayout>
      </c:layout>
      <c:scatterChart>
        <c:scatterStyle val="lineMarker"/>
        <c:varyColors val="0"/>
        <c:ser>
          <c:idx val="0"/>
          <c:order val="0"/>
          <c:spPr>
            <a:ln w="25400">
              <a:solidFill>
                <a:srgbClr val="0000FF"/>
              </a:solidFill>
              <a:prstDash val="solid"/>
            </a:ln>
          </c:spPr>
          <c:marker>
            <c:symbol val="diamond"/>
            <c:size val="6"/>
            <c:spPr>
              <a:solidFill>
                <a:srgbClr val="0000FF"/>
              </a:solidFill>
              <a:ln>
                <a:solidFill>
                  <a:srgbClr val="0000FF"/>
                </a:solidFill>
                <a:prstDash val="solid"/>
              </a:ln>
            </c:spPr>
          </c:marker>
          <c:xVal>
            <c:numRef>
              <c:f>Charts!$A$99:$A$119</c:f>
              <c:numCache>
                <c:formatCode>0%</c:formatCode>
                <c:ptCount val="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numCache>
            </c:numRef>
          </c:xVal>
          <c:yVal>
            <c:numRef>
              <c:f>Charts!$B$99:$B$119</c:f>
              <c:numCache>
                <c:formatCode>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0-CAEC-4359-A2B0-87C47AA0A9D0}"/>
            </c:ext>
          </c:extLst>
        </c:ser>
        <c:dLbls>
          <c:showLegendKey val="0"/>
          <c:showVal val="0"/>
          <c:showCatName val="0"/>
          <c:showSerName val="0"/>
          <c:showPercent val="0"/>
          <c:showBubbleSize val="0"/>
        </c:dLbls>
        <c:axId val="1632938384"/>
        <c:axId val="1"/>
      </c:scatterChart>
      <c:valAx>
        <c:axId val="1632938384"/>
        <c:scaling>
          <c:orientation val="minMax"/>
          <c:max val="1"/>
        </c:scaling>
        <c:delete val="0"/>
        <c:axPos val="b"/>
        <c:majorGridlines>
          <c:spPr>
            <a:ln w="3175">
              <a:solidFill>
                <a:srgbClr val="000000"/>
              </a:solidFill>
              <a:prstDash val="solid"/>
            </a:ln>
          </c:spPr>
        </c:majorGridlines>
        <c:title>
          <c:tx>
            <c:strRef>
              <c:f>Language!$C$1877</c:f>
              <c:strCache>
                <c:ptCount val="1"/>
                <c:pt idx="0">
                  <c:v>Percentual de vazão</c:v>
                </c:pt>
              </c:strCache>
            </c:strRef>
          </c:tx>
          <c:layout>
            <c:manualLayout>
              <c:xMode val="edge"/>
              <c:yMode val="edge"/>
              <c:x val="0.41379310344827586"/>
              <c:y val="0.89270386266094426"/>
            </c:manualLayout>
          </c:layout>
          <c:overlay val="0"/>
          <c:spPr>
            <a:noFill/>
            <a:ln w="25400">
              <a:noFill/>
            </a:ln>
          </c:spPr>
          <c:txPr>
            <a:bodyPr/>
            <a:lstStyle/>
            <a:p>
              <a:pPr>
                <a:defRPr sz="800" b="1" i="0" u="none" strike="noStrike" baseline="0">
                  <a:solidFill>
                    <a:srgbClr val="000000"/>
                  </a:solidFill>
                  <a:latin typeface="Arial"/>
                  <a:ea typeface="Arial"/>
                  <a:cs typeface="Arial"/>
                </a:defRPr>
              </a:pPr>
              <a:endParaRPr lang="pt-PT"/>
            </a:p>
          </c:tx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
        <c:crosses val="autoZero"/>
        <c:crossBetween val="midCat"/>
      </c:valAx>
      <c:valAx>
        <c:axId val="1"/>
        <c:scaling>
          <c:orientation val="minMax"/>
          <c:min val="0"/>
        </c:scaling>
        <c:delete val="0"/>
        <c:axPos val="l"/>
        <c:majorGridlines>
          <c:spPr>
            <a:ln w="3175">
              <a:solidFill>
                <a:srgbClr val="000000"/>
              </a:solidFill>
              <a:prstDash val="solid"/>
            </a:ln>
          </c:spPr>
        </c:majorGridlines>
        <c:title>
          <c:tx>
            <c:strRef>
              <c:f>Language!$C$476</c:f>
              <c:strCache>
                <c:ptCount val="1"/>
                <c:pt idx="0">
                  <c:v>Eficiência</c:v>
                </c:pt>
              </c:strCache>
            </c:strRef>
          </c:tx>
          <c:layout>
            <c:manualLayout>
              <c:xMode val="edge"/>
              <c:yMode val="edge"/>
              <c:x val="3.2327586206896554E-2"/>
              <c:y val="0.36480686695278969"/>
            </c:manualLayout>
          </c:layout>
          <c:overlay val="0"/>
          <c:spPr>
            <a:noFill/>
            <a:ln w="25400">
              <a:noFill/>
            </a:ln>
          </c:spPr>
          <c:txPr>
            <a:bodyPr/>
            <a:lstStyle/>
            <a:p>
              <a:pPr>
                <a:defRPr sz="800" b="1" i="0" u="none" strike="noStrike" baseline="0">
                  <a:solidFill>
                    <a:srgbClr val="000000"/>
                  </a:solidFill>
                  <a:latin typeface="Arial"/>
                  <a:ea typeface="Arial"/>
                  <a:cs typeface="Arial"/>
                </a:defRPr>
              </a:pPr>
              <a:endParaRPr lang="pt-PT"/>
            </a:p>
          </c:tx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632938384"/>
        <c:crosses val="autoZero"/>
        <c:crossBetween val="midCat"/>
      </c:valAx>
      <c:spPr>
        <a:solidFill>
          <a:srgbClr val="FFFFFF"/>
        </a:solidFill>
        <a:ln w="3175">
          <a:solidFill>
            <a:srgbClr val="000000"/>
          </a:solidFill>
          <a:prstDash val="solid"/>
        </a:ln>
      </c:spPr>
    </c:plotArea>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pt-PT"/>
    </a:p>
  </c:txPr>
  <c:printSettings>
    <c:headerFooter alignWithMargins="0"/>
    <c:pageMargins b="1" l="0.75" r="0.75" t="1" header="0.5" footer="0.5"/>
    <c:pageSetup orientation="landscape" verticalDpi="300"/>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Language!$C$1669</c:f>
          <c:strCache>
            <c:ptCount val="1"/>
            <c:pt idx="0">
              <c:v>Curvas de duração do fluxo e de potência</c:v>
            </c:pt>
          </c:strCache>
        </c:strRef>
      </c:tx>
      <c:layout>
        <c:manualLayout>
          <c:xMode val="edge"/>
          <c:yMode val="edge"/>
          <c:x val="0.27586206896551724"/>
          <c:y val="2.1459227467811159E-2"/>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pt-PT"/>
        </a:p>
      </c:txPr>
    </c:title>
    <c:autoTitleDeleted val="0"/>
    <c:plotArea>
      <c:layout>
        <c:manualLayout>
          <c:layoutTarget val="inner"/>
          <c:xMode val="edge"/>
          <c:yMode val="edge"/>
          <c:x val="9.7532297155859635E-2"/>
          <c:y val="0.21143601640200288"/>
          <c:w val="0.81276914296549696"/>
          <c:h val="0.6200218318815488"/>
        </c:manualLayout>
      </c:layout>
      <c:lineChart>
        <c:grouping val="standard"/>
        <c:varyColors val="0"/>
        <c:ser>
          <c:idx val="1"/>
          <c:order val="0"/>
          <c:tx>
            <c:strRef>
              <c:f>Language!$C$1490</c:f>
              <c:strCache>
                <c:ptCount val="1"/>
                <c:pt idx="0">
                  <c:v>Fluxo disponível</c:v>
                </c:pt>
              </c:strCache>
            </c:strRef>
          </c:tx>
          <c:spPr>
            <a:ln w="25400">
              <a:solidFill>
                <a:srgbClr val="0000FF"/>
              </a:solidFill>
              <a:prstDash val="solid"/>
            </a:ln>
          </c:spPr>
          <c:marker>
            <c:symbol val="square"/>
            <c:size val="6"/>
            <c:spPr>
              <a:solidFill>
                <a:srgbClr val="0000FF"/>
              </a:solidFill>
              <a:ln>
                <a:solidFill>
                  <a:srgbClr val="0000FF"/>
                </a:solidFill>
                <a:prstDash val="solid"/>
              </a:ln>
            </c:spPr>
          </c:marker>
          <c:cat>
            <c:numRef>
              <c:f>Charts!$A$137:$A$157</c:f>
              <c:numCache>
                <c:formatCode>0%</c:formatCode>
                <c:ptCount val="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numCache>
            </c:numRef>
          </c:cat>
          <c:val>
            <c:numRef>
              <c:f>Charts!$B$137:$B$157</c:f>
              <c:numCache>
                <c:formatCode>#,##0.00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smooth val="0"/>
          <c:extLst>
            <c:ext xmlns:c16="http://schemas.microsoft.com/office/drawing/2014/chart" uri="{C3380CC4-5D6E-409C-BE32-E72D297353CC}">
              <c16:uniqueId val="{00000000-1BC7-420D-9CCC-ADF11013A172}"/>
            </c:ext>
          </c:extLst>
        </c:ser>
        <c:dLbls>
          <c:showLegendKey val="0"/>
          <c:showVal val="0"/>
          <c:showCatName val="0"/>
          <c:showSerName val="0"/>
          <c:showPercent val="0"/>
          <c:showBubbleSize val="0"/>
        </c:dLbls>
        <c:marker val="1"/>
        <c:smooth val="0"/>
        <c:axId val="1632940784"/>
        <c:axId val="1"/>
      </c:lineChart>
      <c:lineChart>
        <c:grouping val="standard"/>
        <c:varyColors val="0"/>
        <c:ser>
          <c:idx val="2"/>
          <c:order val="1"/>
          <c:tx>
            <c:strRef>
              <c:f>Language!$C$1492</c:f>
              <c:strCache>
                <c:ptCount val="1"/>
                <c:pt idx="0">
                  <c:v>Potência disponível</c:v>
                </c:pt>
              </c:strCache>
            </c:strRef>
          </c:tx>
          <c:spPr>
            <a:ln w="25400">
              <a:solidFill>
                <a:srgbClr val="008000"/>
              </a:solidFill>
              <a:prstDash val="solid"/>
            </a:ln>
          </c:spPr>
          <c:marker>
            <c:symbol val="diamond"/>
            <c:size val="6"/>
            <c:spPr>
              <a:solidFill>
                <a:srgbClr val="008000"/>
              </a:solidFill>
              <a:ln>
                <a:solidFill>
                  <a:srgbClr val="008000"/>
                </a:solidFill>
                <a:prstDash val="solid"/>
              </a:ln>
            </c:spPr>
          </c:marker>
          <c:cat>
            <c:numRef>
              <c:f>Charts!$A$137:$A$157</c:f>
              <c:numCache>
                <c:formatCode>0%</c:formatCode>
                <c:ptCount val="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numCache>
            </c:numRef>
          </c:cat>
          <c:val>
            <c:numRef>
              <c:f>Charts!$D$137:$D$157</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smooth val="0"/>
          <c:extLst>
            <c:ext xmlns:c16="http://schemas.microsoft.com/office/drawing/2014/chart" uri="{C3380CC4-5D6E-409C-BE32-E72D297353CC}">
              <c16:uniqueId val="{00000001-1BC7-420D-9CCC-ADF11013A172}"/>
            </c:ext>
          </c:extLst>
        </c:ser>
        <c:dLbls>
          <c:showLegendKey val="0"/>
          <c:showVal val="0"/>
          <c:showCatName val="0"/>
          <c:showSerName val="0"/>
          <c:showPercent val="0"/>
          <c:showBubbleSize val="0"/>
        </c:dLbls>
        <c:marker val="1"/>
        <c:smooth val="0"/>
        <c:axId val="3"/>
        <c:axId val="4"/>
      </c:lineChart>
      <c:catAx>
        <c:axId val="1632940784"/>
        <c:scaling>
          <c:orientation val="minMax"/>
        </c:scaling>
        <c:delete val="0"/>
        <c:axPos val="b"/>
        <c:majorGridlines>
          <c:spPr>
            <a:ln w="3175">
              <a:solidFill>
                <a:srgbClr val="000000"/>
              </a:solidFill>
              <a:prstDash val="solid"/>
            </a:ln>
          </c:spPr>
        </c:majorGridlines>
        <c:title>
          <c:tx>
            <c:strRef>
              <c:f>Language!$C$1879</c:f>
              <c:strCache>
                <c:ptCount val="1"/>
                <c:pt idx="0">
                  <c:v>Percentual de tempo de fluxo equalizado ou excedido</c:v>
                </c:pt>
              </c:strCache>
            </c:strRef>
          </c:tx>
          <c:layout>
            <c:manualLayout>
              <c:xMode val="edge"/>
              <c:yMode val="edge"/>
              <c:x val="0.26724137931034481"/>
              <c:y val="0.89270386266094426"/>
            </c:manualLayout>
          </c:layout>
          <c:overlay val="0"/>
          <c:spPr>
            <a:noFill/>
            <a:ln w="25400">
              <a:noFill/>
            </a:ln>
          </c:spPr>
          <c:txPr>
            <a:bodyPr/>
            <a:lstStyle/>
            <a:p>
              <a:pPr>
                <a:defRPr sz="800" b="1" i="0" u="none" strike="noStrike" baseline="0">
                  <a:solidFill>
                    <a:srgbClr val="000000"/>
                  </a:solidFill>
                  <a:latin typeface="Arial"/>
                  <a:ea typeface="Arial"/>
                  <a:cs typeface="Arial"/>
                </a:defRPr>
              </a:pPr>
              <a:endParaRPr lang="pt-PT"/>
            </a:p>
          </c:txPr>
        </c:title>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
        <c:crosses val="autoZero"/>
        <c:auto val="1"/>
        <c:lblAlgn val="ctr"/>
        <c:lblOffset val="100"/>
        <c:tickLblSkip val="5"/>
        <c:tickMarkSkip val="1"/>
        <c:noMultiLvlLbl val="0"/>
      </c:catAx>
      <c:valAx>
        <c:axId val="1"/>
        <c:scaling>
          <c:orientation val="minMax"/>
          <c:min val="0"/>
        </c:scaling>
        <c:delete val="0"/>
        <c:axPos val="l"/>
        <c:majorGridlines>
          <c:spPr>
            <a:ln w="3175">
              <a:solidFill>
                <a:srgbClr val="000000"/>
              </a:solidFill>
              <a:prstDash val="solid"/>
            </a:ln>
          </c:spPr>
        </c:majorGridlines>
        <c:title>
          <c:tx>
            <c:strRef>
              <c:f>Charts!$E$136</c:f>
              <c:strCache>
                <c:ptCount val="1"/>
                <c:pt idx="0">
                  <c:v>Fluxo - m³/s</c:v>
                </c:pt>
              </c:strCache>
            </c:strRef>
          </c:tx>
          <c:layout>
            <c:manualLayout>
              <c:xMode val="edge"/>
              <c:yMode val="edge"/>
              <c:x val="4.5258620689655173E-2"/>
              <c:y val="0.36909871244635195"/>
            </c:manualLayout>
          </c:layout>
          <c:overlay val="0"/>
          <c:spPr>
            <a:noFill/>
            <a:ln w="25400">
              <a:noFill/>
            </a:ln>
          </c:spPr>
          <c:txPr>
            <a:bodyPr/>
            <a:lstStyle/>
            <a:p>
              <a:pPr>
                <a:defRPr sz="800" b="1" i="0" u="none" strike="noStrike" baseline="0">
                  <a:solidFill>
                    <a:srgbClr val="000000"/>
                  </a:solidFill>
                  <a:latin typeface="Arial"/>
                  <a:ea typeface="Arial"/>
                  <a:cs typeface="Arial"/>
                </a:defRPr>
              </a:pPr>
              <a:endParaRPr lang="pt-PT"/>
            </a:p>
          </c:txPr>
        </c:title>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1632940784"/>
        <c:crosses val="autoZero"/>
        <c:crossBetween val="midCat"/>
      </c:valAx>
      <c:catAx>
        <c:axId val="3"/>
        <c:scaling>
          <c:orientation val="minMax"/>
        </c:scaling>
        <c:delete val="1"/>
        <c:axPos val="b"/>
        <c:numFmt formatCode="0%" sourceLinked="1"/>
        <c:majorTickMark val="out"/>
        <c:minorTickMark val="none"/>
        <c:tickLblPos val="nextTo"/>
        <c:crossAx val="4"/>
        <c:crosses val="autoZero"/>
        <c:auto val="0"/>
        <c:lblAlgn val="ctr"/>
        <c:lblOffset val="100"/>
        <c:noMultiLvlLbl val="0"/>
      </c:catAx>
      <c:valAx>
        <c:axId val="4"/>
        <c:scaling>
          <c:orientation val="minMax"/>
        </c:scaling>
        <c:delete val="0"/>
        <c:axPos val="r"/>
        <c:title>
          <c:tx>
            <c:strRef>
              <c:f>Charts!$E$137</c:f>
              <c:strCache>
                <c:ptCount val="1"/>
                <c:pt idx="0">
                  <c:v>Eletricidade  - kW</c:v>
                </c:pt>
              </c:strCache>
            </c:strRef>
          </c:tx>
          <c:layout>
            <c:manualLayout>
              <c:xMode val="edge"/>
              <c:yMode val="edge"/>
              <c:x val="0.9181034482758621"/>
              <c:y val="0.36480686695278969"/>
            </c:manualLayout>
          </c:layout>
          <c:overlay val="0"/>
          <c:spPr>
            <a:noFill/>
            <a:ln w="25400">
              <a:noFill/>
            </a:ln>
          </c:spPr>
          <c:txPr>
            <a:bodyPr/>
            <a:lstStyle/>
            <a:p>
              <a:pPr>
                <a:defRPr sz="800" b="1" i="0" u="none" strike="noStrike" baseline="0">
                  <a:solidFill>
                    <a:srgbClr val="000000"/>
                  </a:solidFill>
                  <a:latin typeface="Arial"/>
                  <a:ea typeface="Arial"/>
                  <a:cs typeface="Arial"/>
                </a:defRPr>
              </a:pPr>
              <a:endParaRPr lang="pt-PT"/>
            </a:p>
          </c:txPr>
        </c:title>
        <c:numFmt formatCode="#,##0"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PT"/>
          </a:p>
        </c:txPr>
        <c:crossAx val="3"/>
        <c:crosses val="max"/>
        <c:crossBetween val="midCat"/>
      </c:valAx>
      <c:spPr>
        <a:solidFill>
          <a:srgbClr val="FFFFFF"/>
        </a:solidFill>
        <a:ln w="12700">
          <a:solidFill>
            <a:srgbClr val="000000"/>
          </a:solidFill>
          <a:prstDash val="solid"/>
        </a:ln>
      </c:spPr>
    </c:plotArea>
    <c:legend>
      <c:legendPos val="r"/>
      <c:layout>
        <c:manualLayout>
          <c:xMode val="edge"/>
          <c:yMode val="edge"/>
          <c:x val="0.13004306287447953"/>
          <c:y val="0.10571800820100143"/>
          <c:w val="0.73864459712704367"/>
          <c:h val="6.8573843157406333E-2"/>
        </c:manualLayout>
      </c:layout>
      <c:overlay val="0"/>
      <c:spPr>
        <a:solidFill>
          <a:srgbClr val="FFFFFF"/>
        </a:solidFill>
        <a:ln w="25400">
          <a:noFill/>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pt-PT"/>
    </a:p>
  </c:txPr>
  <c:printSettings>
    <c:headerFooter alignWithMargins="0">
      <c:oddHeader>&amp;A</c:oddHeader>
      <c:oddFooter>Page &amp;P</c:oddFooter>
    </c:headerFooter>
    <c:pageMargins b="1" l="0.75" r="0.75" t="1" header="0.5" footer="0.5"/>
    <c:pageSetup orientation="landscape"/>
  </c:printSettings>
</c:chartSpace>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 Id="rId4" Type="http://schemas.openxmlformats.org/officeDocument/2006/relationships/image" Target="../media/image7.jpe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30.emf"/><Relationship Id="rId18" Type="http://schemas.openxmlformats.org/officeDocument/2006/relationships/image" Target="../media/image28.emf"/><Relationship Id="rId26" Type="http://schemas.openxmlformats.org/officeDocument/2006/relationships/image" Target="../media/image19.emf"/><Relationship Id="rId3" Type="http://schemas.openxmlformats.org/officeDocument/2006/relationships/image" Target="../media/image38.emf"/><Relationship Id="rId21" Type="http://schemas.openxmlformats.org/officeDocument/2006/relationships/image" Target="../media/image24.emf"/><Relationship Id="rId7" Type="http://schemas.openxmlformats.org/officeDocument/2006/relationships/image" Target="../media/image35.emf"/><Relationship Id="rId12" Type="http://schemas.openxmlformats.org/officeDocument/2006/relationships/image" Target="../media/image10.emf"/><Relationship Id="rId17" Type="http://schemas.openxmlformats.org/officeDocument/2006/relationships/image" Target="../media/image27.emf"/><Relationship Id="rId25" Type="http://schemas.openxmlformats.org/officeDocument/2006/relationships/image" Target="../media/image20.emf"/><Relationship Id="rId33" Type="http://schemas.openxmlformats.org/officeDocument/2006/relationships/image" Target="../media/image11.emf"/><Relationship Id="rId2" Type="http://schemas.openxmlformats.org/officeDocument/2006/relationships/image" Target="../media/image39.emf"/><Relationship Id="rId16" Type="http://schemas.openxmlformats.org/officeDocument/2006/relationships/image" Target="../media/image13.emf"/><Relationship Id="rId20" Type="http://schemas.openxmlformats.org/officeDocument/2006/relationships/image" Target="../media/image25.emf"/><Relationship Id="rId29" Type="http://schemas.openxmlformats.org/officeDocument/2006/relationships/image" Target="../media/image21.emf"/><Relationship Id="rId1" Type="http://schemas.openxmlformats.org/officeDocument/2006/relationships/image" Target="../media/image40.emf"/><Relationship Id="rId6" Type="http://schemas.openxmlformats.org/officeDocument/2006/relationships/image" Target="../media/image36.emf"/><Relationship Id="rId11" Type="http://schemas.openxmlformats.org/officeDocument/2006/relationships/image" Target="../media/image31.emf"/><Relationship Id="rId24" Type="http://schemas.openxmlformats.org/officeDocument/2006/relationships/image" Target="../media/image14.emf"/><Relationship Id="rId32" Type="http://schemas.openxmlformats.org/officeDocument/2006/relationships/image" Target="../media/image8.emf"/><Relationship Id="rId5" Type="http://schemas.openxmlformats.org/officeDocument/2006/relationships/image" Target="../media/image37.emf"/><Relationship Id="rId15" Type="http://schemas.openxmlformats.org/officeDocument/2006/relationships/image" Target="../media/image18.emf"/><Relationship Id="rId23" Type="http://schemas.openxmlformats.org/officeDocument/2006/relationships/image" Target="../media/image17.emf"/><Relationship Id="rId28" Type="http://schemas.openxmlformats.org/officeDocument/2006/relationships/image" Target="../media/image22.emf"/><Relationship Id="rId10" Type="http://schemas.openxmlformats.org/officeDocument/2006/relationships/image" Target="../media/image32.emf"/><Relationship Id="rId19" Type="http://schemas.openxmlformats.org/officeDocument/2006/relationships/image" Target="../media/image26.emf"/><Relationship Id="rId31" Type="http://schemas.openxmlformats.org/officeDocument/2006/relationships/image" Target="../media/image12.emf"/><Relationship Id="rId4" Type="http://schemas.openxmlformats.org/officeDocument/2006/relationships/image" Target="../media/image9.emf"/><Relationship Id="rId9" Type="http://schemas.openxmlformats.org/officeDocument/2006/relationships/image" Target="../media/image33.emf"/><Relationship Id="rId14" Type="http://schemas.openxmlformats.org/officeDocument/2006/relationships/image" Target="../media/image29.emf"/><Relationship Id="rId22" Type="http://schemas.openxmlformats.org/officeDocument/2006/relationships/image" Target="../media/image15.emf"/><Relationship Id="rId27" Type="http://schemas.openxmlformats.org/officeDocument/2006/relationships/image" Target="../media/image23.emf"/><Relationship Id="rId30" Type="http://schemas.openxmlformats.org/officeDocument/2006/relationships/image" Target="../media/image16.emf"/><Relationship Id="rId8" Type="http://schemas.openxmlformats.org/officeDocument/2006/relationships/image" Target="../media/image34.emf"/></Relationships>
</file>

<file path=xl/drawings/_rels/vmlDrawing4.vml.rels><?xml version="1.0" encoding="UTF-8" standalone="yes"?>
<Relationships xmlns="http://schemas.openxmlformats.org/package/2006/relationships"><Relationship Id="rId8" Type="http://schemas.openxmlformats.org/officeDocument/2006/relationships/image" Target="../media/image44.emf"/><Relationship Id="rId3" Type="http://schemas.openxmlformats.org/officeDocument/2006/relationships/image" Target="../media/image45.emf"/><Relationship Id="rId7" Type="http://schemas.openxmlformats.org/officeDocument/2006/relationships/image" Target="../media/image46.emf"/><Relationship Id="rId2" Type="http://schemas.openxmlformats.org/officeDocument/2006/relationships/image" Target="../media/image42.emf"/><Relationship Id="rId1" Type="http://schemas.openxmlformats.org/officeDocument/2006/relationships/image" Target="../media/image50.emf"/><Relationship Id="rId6" Type="http://schemas.openxmlformats.org/officeDocument/2006/relationships/image" Target="../media/image47.emf"/><Relationship Id="rId5" Type="http://schemas.openxmlformats.org/officeDocument/2006/relationships/image" Target="../media/image48.emf"/><Relationship Id="rId10" Type="http://schemas.openxmlformats.org/officeDocument/2006/relationships/image" Target="../media/image41.emf"/><Relationship Id="rId4" Type="http://schemas.openxmlformats.org/officeDocument/2006/relationships/image" Target="../media/image49.emf"/><Relationship Id="rId9" Type="http://schemas.openxmlformats.org/officeDocument/2006/relationships/image" Target="../media/image43.emf"/></Relationships>
</file>

<file path=xl/drawings/_rels/vmlDrawing5.vml.rels><?xml version="1.0" encoding="UTF-8" standalone="yes"?>
<Relationships xmlns="http://schemas.openxmlformats.org/package/2006/relationships"><Relationship Id="rId2" Type="http://schemas.openxmlformats.org/officeDocument/2006/relationships/image" Target="../media/image51.emf"/><Relationship Id="rId1" Type="http://schemas.openxmlformats.org/officeDocument/2006/relationships/image" Target="../media/image52.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3.emf"/><Relationship Id="rId2" Type="http://schemas.openxmlformats.org/officeDocument/2006/relationships/image" Target="../media/image54.emf"/><Relationship Id="rId1" Type="http://schemas.openxmlformats.org/officeDocument/2006/relationships/image" Target="../media/image41.emf"/><Relationship Id="rId4" Type="http://schemas.openxmlformats.org/officeDocument/2006/relationships/image" Target="../media/image50.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56.emf"/><Relationship Id="rId1" Type="http://schemas.openxmlformats.org/officeDocument/2006/relationships/image" Target="../media/image55.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57.emf"/></Relationships>
</file>

<file path=xl/drawings/_rels/vmlDrawing9.vml.rels><?xml version="1.0" encoding="UTF-8" standalone="yes"?>
<Relationships xmlns="http://schemas.openxmlformats.org/package/2006/relationships"><Relationship Id="rId8" Type="http://schemas.openxmlformats.org/officeDocument/2006/relationships/image" Target="../media/image76.emf"/><Relationship Id="rId13" Type="http://schemas.openxmlformats.org/officeDocument/2006/relationships/image" Target="../media/image71.emf"/><Relationship Id="rId18" Type="http://schemas.openxmlformats.org/officeDocument/2006/relationships/image" Target="../media/image67.emf"/><Relationship Id="rId26" Type="http://schemas.openxmlformats.org/officeDocument/2006/relationships/image" Target="../media/image59.emf"/><Relationship Id="rId3" Type="http://schemas.openxmlformats.org/officeDocument/2006/relationships/image" Target="../media/image78.emf"/><Relationship Id="rId21" Type="http://schemas.openxmlformats.org/officeDocument/2006/relationships/image" Target="../media/image65.emf"/><Relationship Id="rId7" Type="http://schemas.openxmlformats.org/officeDocument/2006/relationships/image" Target="../media/image77.emf"/><Relationship Id="rId12" Type="http://schemas.openxmlformats.org/officeDocument/2006/relationships/image" Target="../media/image72.emf"/><Relationship Id="rId17" Type="http://schemas.openxmlformats.org/officeDocument/2006/relationships/image" Target="../media/image68.emf"/><Relationship Id="rId25" Type="http://schemas.openxmlformats.org/officeDocument/2006/relationships/image" Target="../media/image61.emf"/><Relationship Id="rId2" Type="http://schemas.openxmlformats.org/officeDocument/2006/relationships/image" Target="../media/image82.emf"/><Relationship Id="rId16" Type="http://schemas.openxmlformats.org/officeDocument/2006/relationships/image" Target="../media/image69.emf"/><Relationship Id="rId20" Type="http://schemas.openxmlformats.org/officeDocument/2006/relationships/image" Target="../media/image66.emf"/><Relationship Id="rId1" Type="http://schemas.openxmlformats.org/officeDocument/2006/relationships/image" Target="../media/image83.emf"/><Relationship Id="rId6" Type="http://schemas.openxmlformats.org/officeDocument/2006/relationships/image" Target="../media/image79.emf"/><Relationship Id="rId11" Type="http://schemas.openxmlformats.org/officeDocument/2006/relationships/image" Target="../media/image73.emf"/><Relationship Id="rId24" Type="http://schemas.openxmlformats.org/officeDocument/2006/relationships/image" Target="../media/image62.emf"/><Relationship Id="rId5" Type="http://schemas.openxmlformats.org/officeDocument/2006/relationships/image" Target="../media/image80.emf"/><Relationship Id="rId15" Type="http://schemas.openxmlformats.org/officeDocument/2006/relationships/image" Target="../media/image58.emf"/><Relationship Id="rId23" Type="http://schemas.openxmlformats.org/officeDocument/2006/relationships/image" Target="../media/image63.emf"/><Relationship Id="rId10" Type="http://schemas.openxmlformats.org/officeDocument/2006/relationships/image" Target="../media/image74.emf"/><Relationship Id="rId19" Type="http://schemas.openxmlformats.org/officeDocument/2006/relationships/image" Target="../media/image60.emf"/><Relationship Id="rId4" Type="http://schemas.openxmlformats.org/officeDocument/2006/relationships/image" Target="../media/image81.emf"/><Relationship Id="rId9" Type="http://schemas.openxmlformats.org/officeDocument/2006/relationships/image" Target="../media/image75.emf"/><Relationship Id="rId14" Type="http://schemas.openxmlformats.org/officeDocument/2006/relationships/image" Target="../media/image70.emf"/><Relationship Id="rId22" Type="http://schemas.openxmlformats.org/officeDocument/2006/relationships/image" Target="../media/image6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60960</xdr:colOff>
          <xdr:row>0</xdr:row>
          <xdr:rowOff>30480</xdr:rowOff>
        </xdr:from>
        <xdr:to>
          <xdr:col>0</xdr:col>
          <xdr:colOff>1089660</xdr:colOff>
          <xdr:row>0</xdr:row>
          <xdr:rowOff>281940</xdr:rowOff>
        </xdr:to>
        <xdr:sp macro="" textlink="">
          <xdr:nvSpPr>
            <xdr:cNvPr id="141316" name="cnxButton" hidden="1">
              <a:extLst>
                <a:ext uri="{63B3BB69-23CF-44E3-9099-C40C66FF867C}">
                  <a14:compatExt spid="_x0000_s141316"/>
                </a:ext>
                <a:ext uri="{FF2B5EF4-FFF2-40B4-BE49-F238E27FC236}">
                  <a16:creationId xmlns:a16="http://schemas.microsoft.com/office/drawing/2014/main" id="{BB5B1216-B470-EE69-7BE8-61551C54176E}"/>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22860</xdr:colOff>
          <xdr:row>43</xdr:row>
          <xdr:rowOff>15240</xdr:rowOff>
        </xdr:from>
        <xdr:to>
          <xdr:col>3</xdr:col>
          <xdr:colOff>350520</xdr:colOff>
          <xdr:row>44</xdr:row>
          <xdr:rowOff>0</xdr:rowOff>
        </xdr:to>
        <xdr:sp macro="" textlink="">
          <xdr:nvSpPr>
            <xdr:cNvPr id="1073" name="CheckBox20" hidden="1">
              <a:extLst>
                <a:ext uri="{63B3BB69-23CF-44E3-9099-C40C66FF867C}">
                  <a14:compatExt spid="_x0000_s1073"/>
                </a:ext>
                <a:ext uri="{FF2B5EF4-FFF2-40B4-BE49-F238E27FC236}">
                  <a16:creationId xmlns:a16="http://schemas.microsoft.com/office/drawing/2014/main" id="{9854FE6E-9F8B-70A2-3526-2552612ABBA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xdr:colOff>
          <xdr:row>30</xdr:row>
          <xdr:rowOff>106680</xdr:rowOff>
        </xdr:from>
        <xdr:to>
          <xdr:col>3</xdr:col>
          <xdr:colOff>312420</xdr:colOff>
          <xdr:row>30</xdr:row>
          <xdr:rowOff>251460</xdr:rowOff>
        </xdr:to>
        <xdr:sp macro="" textlink="">
          <xdr:nvSpPr>
            <xdr:cNvPr id="1084" name="CheckBox19" hidden="1">
              <a:extLst>
                <a:ext uri="{63B3BB69-23CF-44E3-9099-C40C66FF867C}">
                  <a14:compatExt spid="_x0000_s1084"/>
                </a:ext>
                <a:ext uri="{FF2B5EF4-FFF2-40B4-BE49-F238E27FC236}">
                  <a16:creationId xmlns:a16="http://schemas.microsoft.com/office/drawing/2014/main" id="{6A7E7ED3-4574-6A82-D84A-1191192CC4B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45720</xdr:colOff>
      <xdr:row>3</xdr:row>
      <xdr:rowOff>7620</xdr:rowOff>
    </xdr:from>
    <xdr:to>
      <xdr:col>12</xdr:col>
      <xdr:colOff>213360</xdr:colOff>
      <xdr:row>42</xdr:row>
      <xdr:rowOff>45720</xdr:rowOff>
    </xdr:to>
    <xdr:pic>
      <xdr:nvPicPr>
        <xdr:cNvPr id="164610" name="WindT" descr="!!Images_Background6">
          <a:extLst>
            <a:ext uri="{FF2B5EF4-FFF2-40B4-BE49-F238E27FC236}">
              <a16:creationId xmlns:a16="http://schemas.microsoft.com/office/drawing/2014/main" id="{AD01596F-4463-118D-FFC6-1F70C9CA3F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61860" y="1805940"/>
          <a:ext cx="4267200" cy="4282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72</xdr:row>
      <xdr:rowOff>114300</xdr:rowOff>
    </xdr:from>
    <xdr:to>
      <xdr:col>2</xdr:col>
      <xdr:colOff>344244</xdr:colOff>
      <xdr:row>77</xdr:row>
      <xdr:rowOff>7620</xdr:rowOff>
    </xdr:to>
    <xdr:pic>
      <xdr:nvPicPr>
        <xdr:cNvPr id="164611" name="PartnersEN" descr="Logos_partners new">
          <a:extLst>
            <a:ext uri="{FF2B5EF4-FFF2-40B4-BE49-F238E27FC236}">
              <a16:creationId xmlns:a16="http://schemas.microsoft.com/office/drawing/2014/main" id="{BD93FB6A-7016-4CD2-C153-F885D6ABBF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1460" y="6797040"/>
          <a:ext cx="2865120" cy="556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72</xdr:row>
      <xdr:rowOff>106680</xdr:rowOff>
    </xdr:from>
    <xdr:to>
      <xdr:col>2</xdr:col>
      <xdr:colOff>344244</xdr:colOff>
      <xdr:row>77</xdr:row>
      <xdr:rowOff>7620</xdr:rowOff>
    </xdr:to>
    <xdr:pic>
      <xdr:nvPicPr>
        <xdr:cNvPr id="164612" name="PartnersFR" descr="logos_partenaires new" hidden="1">
          <a:extLst>
            <a:ext uri="{FF2B5EF4-FFF2-40B4-BE49-F238E27FC236}">
              <a16:creationId xmlns:a16="http://schemas.microsoft.com/office/drawing/2014/main" id="{11A685DA-DC95-F907-B237-1A774755992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1460" y="6789420"/>
          <a:ext cx="2865120" cy="563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22860</xdr:rowOff>
    </xdr:from>
    <xdr:to>
      <xdr:col>255</xdr:col>
      <xdr:colOff>0</xdr:colOff>
      <xdr:row>1</xdr:row>
      <xdr:rowOff>22860</xdr:rowOff>
    </xdr:to>
    <xdr:pic>
      <xdr:nvPicPr>
        <xdr:cNvPr id="164613" name="Image 8" descr="Maq_header_final.jpg">
          <a:extLst>
            <a:ext uri="{FF2B5EF4-FFF2-40B4-BE49-F238E27FC236}">
              <a16:creationId xmlns:a16="http://schemas.microsoft.com/office/drawing/2014/main" id="{9A54E62C-78CA-3D98-5E8F-9EFD48BE1AA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22860"/>
          <a:ext cx="11559540" cy="1318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83820</xdr:colOff>
      <xdr:row>248</xdr:row>
      <xdr:rowOff>30480</xdr:rowOff>
    </xdr:from>
    <xdr:to>
      <xdr:col>18</xdr:col>
      <xdr:colOff>853440</xdr:colOff>
      <xdr:row>249</xdr:row>
      <xdr:rowOff>7620</xdr:rowOff>
    </xdr:to>
    <xdr:graphicFrame macro="">
      <xdr:nvGraphicFramePr>
        <xdr:cNvPr id="265446" name="Chart 1">
          <a:extLst>
            <a:ext uri="{FF2B5EF4-FFF2-40B4-BE49-F238E27FC236}">
              <a16:creationId xmlns:a16="http://schemas.microsoft.com/office/drawing/2014/main" id="{E5D64179-1B0D-C8D4-846E-C7A3CE64F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1036320</xdr:colOff>
      <xdr:row>248</xdr:row>
      <xdr:rowOff>60960</xdr:rowOff>
    </xdr:from>
    <xdr:to>
      <xdr:col>8</xdr:col>
      <xdr:colOff>518160</xdr:colOff>
      <xdr:row>248</xdr:row>
      <xdr:rowOff>3947160</xdr:rowOff>
    </xdr:to>
    <xdr:graphicFrame macro="">
      <xdr:nvGraphicFramePr>
        <xdr:cNvPr id="265447" name="Chart 2">
          <a:extLst>
            <a:ext uri="{FF2B5EF4-FFF2-40B4-BE49-F238E27FC236}">
              <a16:creationId xmlns:a16="http://schemas.microsoft.com/office/drawing/2014/main" id="{4770228F-4507-D1DD-4ED1-C7BB7598F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99060</xdr:colOff>
          <xdr:row>1</xdr:row>
          <xdr:rowOff>30480</xdr:rowOff>
        </xdr:to>
        <xdr:sp macro="" textlink="">
          <xdr:nvSpPr>
            <xdr:cNvPr id="8202" name="OptionButton5" hidden="1">
              <a:extLst>
                <a:ext uri="{63B3BB69-23CF-44E3-9099-C40C66FF867C}">
                  <a14:compatExt spid="_x0000_s8202"/>
                </a:ext>
                <a:ext uri="{FF2B5EF4-FFF2-40B4-BE49-F238E27FC236}">
                  <a16:creationId xmlns:a16="http://schemas.microsoft.com/office/drawing/2014/main" id="{C65F87D8-AB87-4C15-E2ED-8B13B9688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175260</xdr:colOff>
          <xdr:row>1</xdr:row>
          <xdr:rowOff>7620</xdr:rowOff>
        </xdr:to>
        <xdr:sp macro="" textlink="">
          <xdr:nvSpPr>
            <xdr:cNvPr id="8203" name="OptionButton6" hidden="1">
              <a:extLst>
                <a:ext uri="{63B3BB69-23CF-44E3-9099-C40C66FF867C}">
                  <a14:compatExt spid="_x0000_s8203"/>
                </a:ext>
                <a:ext uri="{FF2B5EF4-FFF2-40B4-BE49-F238E27FC236}">
                  <a16:creationId xmlns:a16="http://schemas.microsoft.com/office/drawing/2014/main" id="{EB125FAD-3569-2092-53A0-C7C1A06F75F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144780</xdr:rowOff>
        </xdr:to>
        <xdr:sp macro="" textlink="">
          <xdr:nvSpPr>
            <xdr:cNvPr id="8205" name="CheckBox11" hidden="1">
              <a:extLst>
                <a:ext uri="{63B3BB69-23CF-44E3-9099-C40C66FF867C}">
                  <a14:compatExt spid="_x0000_s8205"/>
                </a:ext>
                <a:ext uri="{FF2B5EF4-FFF2-40B4-BE49-F238E27FC236}">
                  <a16:creationId xmlns:a16="http://schemas.microsoft.com/office/drawing/2014/main" id="{4C385313-6105-2022-395F-7999863BF3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8216" name="CheckBox23" hidden="1">
              <a:extLst>
                <a:ext uri="{63B3BB69-23CF-44E3-9099-C40C66FF867C}">
                  <a14:compatExt spid="_x0000_s8216"/>
                </a:ext>
                <a:ext uri="{FF2B5EF4-FFF2-40B4-BE49-F238E27FC236}">
                  <a16:creationId xmlns:a16="http://schemas.microsoft.com/office/drawing/2014/main" id="{732378D3-720A-3DE5-B358-F5E3EFA1D2D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8217" name="CheckBox24" hidden="1">
              <a:extLst>
                <a:ext uri="{63B3BB69-23CF-44E3-9099-C40C66FF867C}">
                  <a14:compatExt spid="_x0000_s8217"/>
                </a:ext>
                <a:ext uri="{FF2B5EF4-FFF2-40B4-BE49-F238E27FC236}">
                  <a16:creationId xmlns:a16="http://schemas.microsoft.com/office/drawing/2014/main" id="{7EEAECBD-8DCF-84C3-700E-F1C99A2F92B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8218" name="CheckBox25" hidden="1">
              <a:extLst>
                <a:ext uri="{63B3BB69-23CF-44E3-9099-C40C66FF867C}">
                  <a14:compatExt spid="_x0000_s8218"/>
                </a:ext>
                <a:ext uri="{FF2B5EF4-FFF2-40B4-BE49-F238E27FC236}">
                  <a16:creationId xmlns:a16="http://schemas.microsoft.com/office/drawing/2014/main" id="{EFB52819-2A59-9D92-F9ED-B7A09253DAD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8219" name="CheckBox26" hidden="1">
              <a:extLst>
                <a:ext uri="{63B3BB69-23CF-44E3-9099-C40C66FF867C}">
                  <a14:compatExt spid="_x0000_s8219"/>
                </a:ext>
                <a:ext uri="{FF2B5EF4-FFF2-40B4-BE49-F238E27FC236}">
                  <a16:creationId xmlns:a16="http://schemas.microsoft.com/office/drawing/2014/main" id="{EA7A207E-FA7F-60D0-A1D7-D77EDCE664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38100</xdr:colOff>
          <xdr:row>0</xdr:row>
          <xdr:rowOff>144780</xdr:rowOff>
        </xdr:to>
        <xdr:sp macro="" textlink="">
          <xdr:nvSpPr>
            <xdr:cNvPr id="8220" name="CheckBox27" hidden="1">
              <a:extLst>
                <a:ext uri="{63B3BB69-23CF-44E3-9099-C40C66FF867C}">
                  <a14:compatExt spid="_x0000_s8220"/>
                </a:ext>
                <a:ext uri="{FF2B5EF4-FFF2-40B4-BE49-F238E27FC236}">
                  <a16:creationId xmlns:a16="http://schemas.microsoft.com/office/drawing/2014/main" id="{6803CC80-DD26-3940-F742-F85381BE53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1</xdr:row>
          <xdr:rowOff>15240</xdr:rowOff>
        </xdr:to>
        <xdr:sp macro="" textlink="">
          <xdr:nvSpPr>
            <xdr:cNvPr id="8223" name="OptionButton9" hidden="1">
              <a:extLst>
                <a:ext uri="{63B3BB69-23CF-44E3-9099-C40C66FF867C}">
                  <a14:compatExt spid="_x0000_s8223"/>
                </a:ext>
                <a:ext uri="{FF2B5EF4-FFF2-40B4-BE49-F238E27FC236}">
                  <a16:creationId xmlns:a16="http://schemas.microsoft.com/office/drawing/2014/main" id="{0A51BC8C-6BF9-8FB4-3B4F-262F8650F73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1</xdr:row>
          <xdr:rowOff>30480</xdr:rowOff>
        </xdr:to>
        <xdr:sp macro="" textlink="">
          <xdr:nvSpPr>
            <xdr:cNvPr id="8224" name="OptionButton10" hidden="1">
              <a:extLst>
                <a:ext uri="{63B3BB69-23CF-44E3-9099-C40C66FF867C}">
                  <a14:compatExt spid="_x0000_s8224"/>
                </a:ext>
                <a:ext uri="{FF2B5EF4-FFF2-40B4-BE49-F238E27FC236}">
                  <a16:creationId xmlns:a16="http://schemas.microsoft.com/office/drawing/2014/main" id="{B43C698C-1464-70F0-78AF-09872042D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8226" name="CheckBox29" hidden="1">
              <a:extLst>
                <a:ext uri="{63B3BB69-23CF-44E3-9099-C40C66FF867C}">
                  <a14:compatExt spid="_x0000_s8226"/>
                </a:ext>
                <a:ext uri="{FF2B5EF4-FFF2-40B4-BE49-F238E27FC236}">
                  <a16:creationId xmlns:a16="http://schemas.microsoft.com/office/drawing/2014/main" id="{8EFD71CA-F4FB-6952-0935-BED475B40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205740</xdr:colOff>
          <xdr:row>1</xdr:row>
          <xdr:rowOff>0</xdr:rowOff>
        </xdr:to>
        <xdr:sp macro="" textlink="">
          <xdr:nvSpPr>
            <xdr:cNvPr id="8227" name="OptionButton11" hidden="1">
              <a:extLst>
                <a:ext uri="{63B3BB69-23CF-44E3-9099-C40C66FF867C}">
                  <a14:compatExt spid="_x0000_s8227"/>
                </a:ext>
                <a:ext uri="{FF2B5EF4-FFF2-40B4-BE49-F238E27FC236}">
                  <a16:creationId xmlns:a16="http://schemas.microsoft.com/office/drawing/2014/main" id="{D07F0A00-2537-0058-0000-FBE7014118E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236220</xdr:colOff>
          <xdr:row>1</xdr:row>
          <xdr:rowOff>0</xdr:rowOff>
        </xdr:to>
        <xdr:sp macro="" textlink="">
          <xdr:nvSpPr>
            <xdr:cNvPr id="8228" name="OptionButton12" hidden="1">
              <a:extLst>
                <a:ext uri="{63B3BB69-23CF-44E3-9099-C40C66FF867C}">
                  <a14:compatExt spid="_x0000_s8228"/>
                </a:ext>
                <a:ext uri="{FF2B5EF4-FFF2-40B4-BE49-F238E27FC236}">
                  <a16:creationId xmlns:a16="http://schemas.microsoft.com/office/drawing/2014/main" id="{9D7B3BAD-C817-CE39-793B-313E68FCF97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182880</xdr:colOff>
          <xdr:row>1</xdr:row>
          <xdr:rowOff>0</xdr:rowOff>
        </xdr:to>
        <xdr:sp macro="" textlink="">
          <xdr:nvSpPr>
            <xdr:cNvPr id="8229" name="OptionButton13" hidden="1">
              <a:extLst>
                <a:ext uri="{63B3BB69-23CF-44E3-9099-C40C66FF867C}">
                  <a14:compatExt spid="_x0000_s8229"/>
                </a:ext>
                <a:ext uri="{FF2B5EF4-FFF2-40B4-BE49-F238E27FC236}">
                  <a16:creationId xmlns:a16="http://schemas.microsoft.com/office/drawing/2014/main" id="{CD8D3E14-1654-7765-A448-9785E5C5D7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182880</xdr:colOff>
          <xdr:row>1</xdr:row>
          <xdr:rowOff>0</xdr:rowOff>
        </xdr:to>
        <xdr:sp macro="" textlink="">
          <xdr:nvSpPr>
            <xdr:cNvPr id="8230" name="OptionButton14" hidden="1">
              <a:extLst>
                <a:ext uri="{63B3BB69-23CF-44E3-9099-C40C66FF867C}">
                  <a14:compatExt spid="_x0000_s8230"/>
                </a:ext>
                <a:ext uri="{FF2B5EF4-FFF2-40B4-BE49-F238E27FC236}">
                  <a16:creationId xmlns:a16="http://schemas.microsoft.com/office/drawing/2014/main" id="{DD3848D5-D276-D778-233A-B2F718ED43A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8231" name="CheckBox15" hidden="1">
              <a:extLst>
                <a:ext uri="{63B3BB69-23CF-44E3-9099-C40C66FF867C}">
                  <a14:compatExt spid="_x0000_s8231"/>
                </a:ext>
                <a:ext uri="{FF2B5EF4-FFF2-40B4-BE49-F238E27FC236}">
                  <a16:creationId xmlns:a16="http://schemas.microsoft.com/office/drawing/2014/main" id="{48782FD1-45C7-E7D6-2A75-A9141D74897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68580</xdr:colOff>
          <xdr:row>0</xdr:row>
          <xdr:rowOff>144780</xdr:rowOff>
        </xdr:to>
        <xdr:sp macro="" textlink="">
          <xdr:nvSpPr>
            <xdr:cNvPr id="8875" name="OptionButton15" hidden="1">
              <a:extLst>
                <a:ext uri="{63B3BB69-23CF-44E3-9099-C40C66FF867C}">
                  <a14:compatExt spid="_x0000_s8875"/>
                </a:ext>
                <a:ext uri="{FF2B5EF4-FFF2-40B4-BE49-F238E27FC236}">
                  <a16:creationId xmlns:a16="http://schemas.microsoft.com/office/drawing/2014/main" id="{49EF6DC3-9E37-2E6C-428A-6534869A7E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68580</xdr:colOff>
          <xdr:row>0</xdr:row>
          <xdr:rowOff>144780</xdr:rowOff>
        </xdr:to>
        <xdr:sp macro="" textlink="">
          <xdr:nvSpPr>
            <xdr:cNvPr id="8876" name="OptionButton16" hidden="1">
              <a:extLst>
                <a:ext uri="{63B3BB69-23CF-44E3-9099-C40C66FF867C}">
                  <a14:compatExt spid="_x0000_s8876"/>
                </a:ext>
                <a:ext uri="{FF2B5EF4-FFF2-40B4-BE49-F238E27FC236}">
                  <a16:creationId xmlns:a16="http://schemas.microsoft.com/office/drawing/2014/main" id="{C517A067-4169-E74F-8103-9BEF2C094A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68580</xdr:colOff>
          <xdr:row>0</xdr:row>
          <xdr:rowOff>160020</xdr:rowOff>
        </xdr:to>
        <xdr:sp macro="" textlink="">
          <xdr:nvSpPr>
            <xdr:cNvPr id="8877" name="OptionButton17" hidden="1">
              <a:extLst>
                <a:ext uri="{63B3BB69-23CF-44E3-9099-C40C66FF867C}">
                  <a14:compatExt spid="_x0000_s8877"/>
                </a:ext>
                <a:ext uri="{FF2B5EF4-FFF2-40B4-BE49-F238E27FC236}">
                  <a16:creationId xmlns:a16="http://schemas.microsoft.com/office/drawing/2014/main" id="{3B9B45B3-D5DA-0943-906B-1C70DCF867B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087" name="CheckBox1" hidden="1">
              <a:extLst>
                <a:ext uri="{63B3BB69-23CF-44E3-9099-C40C66FF867C}">
                  <a14:compatExt spid="_x0000_s9087"/>
                </a:ext>
                <a:ext uri="{FF2B5EF4-FFF2-40B4-BE49-F238E27FC236}">
                  <a16:creationId xmlns:a16="http://schemas.microsoft.com/office/drawing/2014/main" id="{182EEC72-97F3-3F00-55B7-CA59D86674DB}"/>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088" name="CheckBox2" hidden="1">
              <a:extLst>
                <a:ext uri="{63B3BB69-23CF-44E3-9099-C40C66FF867C}">
                  <a14:compatExt spid="_x0000_s9088"/>
                </a:ext>
                <a:ext uri="{FF2B5EF4-FFF2-40B4-BE49-F238E27FC236}">
                  <a16:creationId xmlns:a16="http://schemas.microsoft.com/office/drawing/2014/main" id="{402BBB6B-25E1-0220-9864-B8ABF21B4E8A}"/>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089" name="CheckBox3" hidden="1">
              <a:extLst>
                <a:ext uri="{63B3BB69-23CF-44E3-9099-C40C66FF867C}">
                  <a14:compatExt spid="_x0000_s9089"/>
                </a:ext>
                <a:ext uri="{FF2B5EF4-FFF2-40B4-BE49-F238E27FC236}">
                  <a16:creationId xmlns:a16="http://schemas.microsoft.com/office/drawing/2014/main" id="{4DA665A1-A829-8585-6360-E8C8F2B2A520}"/>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090" name="CheckBox4" hidden="1">
              <a:extLst>
                <a:ext uri="{63B3BB69-23CF-44E3-9099-C40C66FF867C}">
                  <a14:compatExt spid="_x0000_s9090"/>
                </a:ext>
                <a:ext uri="{FF2B5EF4-FFF2-40B4-BE49-F238E27FC236}">
                  <a16:creationId xmlns:a16="http://schemas.microsoft.com/office/drawing/2014/main" id="{E692BC83-BD0D-F4BE-4810-F02FDEDD0234}"/>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091" name="CheckBox5" hidden="1">
              <a:extLst>
                <a:ext uri="{63B3BB69-23CF-44E3-9099-C40C66FF867C}">
                  <a14:compatExt spid="_x0000_s9091"/>
                </a:ext>
                <a:ext uri="{FF2B5EF4-FFF2-40B4-BE49-F238E27FC236}">
                  <a16:creationId xmlns:a16="http://schemas.microsoft.com/office/drawing/2014/main" id="{915F8474-4458-4AE2-E787-D81805C78652}"/>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092" name="CheckBox6" hidden="1">
              <a:extLst>
                <a:ext uri="{63B3BB69-23CF-44E3-9099-C40C66FF867C}">
                  <a14:compatExt spid="_x0000_s9092"/>
                </a:ext>
                <a:ext uri="{FF2B5EF4-FFF2-40B4-BE49-F238E27FC236}">
                  <a16:creationId xmlns:a16="http://schemas.microsoft.com/office/drawing/2014/main" id="{A25523CE-315A-DC38-1B5D-BA5E9A385962}"/>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093" name="CheckBox7" hidden="1">
              <a:extLst>
                <a:ext uri="{63B3BB69-23CF-44E3-9099-C40C66FF867C}">
                  <a14:compatExt spid="_x0000_s9093"/>
                </a:ext>
                <a:ext uri="{FF2B5EF4-FFF2-40B4-BE49-F238E27FC236}">
                  <a16:creationId xmlns:a16="http://schemas.microsoft.com/office/drawing/2014/main" id="{067334C4-F841-6A47-E099-E36A1035BE1D}"/>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094" name="CheckBox8" hidden="1">
              <a:extLst>
                <a:ext uri="{63B3BB69-23CF-44E3-9099-C40C66FF867C}">
                  <a14:compatExt spid="_x0000_s9094"/>
                </a:ext>
                <a:ext uri="{FF2B5EF4-FFF2-40B4-BE49-F238E27FC236}">
                  <a16:creationId xmlns:a16="http://schemas.microsoft.com/office/drawing/2014/main" id="{8D72FDE8-8BE3-6B8A-E6C3-0EEE255FC0BF}"/>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095" name="CheckBox9" hidden="1">
              <a:extLst>
                <a:ext uri="{63B3BB69-23CF-44E3-9099-C40C66FF867C}">
                  <a14:compatExt spid="_x0000_s9095"/>
                </a:ext>
                <a:ext uri="{FF2B5EF4-FFF2-40B4-BE49-F238E27FC236}">
                  <a16:creationId xmlns:a16="http://schemas.microsoft.com/office/drawing/2014/main" id="{A077CC73-C1B3-1CBE-F7C6-56FF32824529}"/>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096" name="CheckBox12" hidden="1">
              <a:extLst>
                <a:ext uri="{63B3BB69-23CF-44E3-9099-C40C66FF867C}">
                  <a14:compatExt spid="_x0000_s9096"/>
                </a:ext>
                <a:ext uri="{FF2B5EF4-FFF2-40B4-BE49-F238E27FC236}">
                  <a16:creationId xmlns:a16="http://schemas.microsoft.com/office/drawing/2014/main" id="{658DBC77-F164-C5E8-BB25-AB1E50DD6266}"/>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097" name="CheckBox13" hidden="1">
              <a:extLst>
                <a:ext uri="{63B3BB69-23CF-44E3-9099-C40C66FF867C}">
                  <a14:compatExt spid="_x0000_s9097"/>
                </a:ext>
                <a:ext uri="{FF2B5EF4-FFF2-40B4-BE49-F238E27FC236}">
                  <a16:creationId xmlns:a16="http://schemas.microsoft.com/office/drawing/2014/main" id="{5C512B90-D32A-B9DA-E0CC-C96F4092A39C}"/>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098" name="CheckBox14" hidden="1">
              <a:extLst>
                <a:ext uri="{63B3BB69-23CF-44E3-9099-C40C66FF867C}">
                  <a14:compatExt spid="_x0000_s9098"/>
                </a:ext>
                <a:ext uri="{FF2B5EF4-FFF2-40B4-BE49-F238E27FC236}">
                  <a16:creationId xmlns:a16="http://schemas.microsoft.com/office/drawing/2014/main" id="{6232EAD3-4717-20F9-7170-3389E312E28C}"/>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099" name="CheckBox16" hidden="1">
              <a:extLst>
                <a:ext uri="{63B3BB69-23CF-44E3-9099-C40C66FF867C}">
                  <a14:compatExt spid="_x0000_s9099"/>
                </a:ext>
                <a:ext uri="{FF2B5EF4-FFF2-40B4-BE49-F238E27FC236}">
                  <a16:creationId xmlns:a16="http://schemas.microsoft.com/office/drawing/2014/main" id="{55312389-76C8-A2E9-1848-A547B24DEDD7}"/>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00" name="CheckBox17" hidden="1">
              <a:extLst>
                <a:ext uri="{63B3BB69-23CF-44E3-9099-C40C66FF867C}">
                  <a14:compatExt spid="_x0000_s9100"/>
                </a:ext>
                <a:ext uri="{FF2B5EF4-FFF2-40B4-BE49-F238E27FC236}">
                  <a16:creationId xmlns:a16="http://schemas.microsoft.com/office/drawing/2014/main" id="{CC04A45B-4F49-B344-0AC9-EC537D98AC76}"/>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01" name="CheckBox18" hidden="1">
              <a:extLst>
                <a:ext uri="{63B3BB69-23CF-44E3-9099-C40C66FF867C}">
                  <a14:compatExt spid="_x0000_s9101"/>
                </a:ext>
                <a:ext uri="{FF2B5EF4-FFF2-40B4-BE49-F238E27FC236}">
                  <a16:creationId xmlns:a16="http://schemas.microsoft.com/office/drawing/2014/main" id="{E6D175C0-2975-A536-5233-5453A2B83696}"/>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02" name="CheckBox19" hidden="1">
              <a:extLst>
                <a:ext uri="{63B3BB69-23CF-44E3-9099-C40C66FF867C}">
                  <a14:compatExt spid="_x0000_s9102"/>
                </a:ext>
                <a:ext uri="{FF2B5EF4-FFF2-40B4-BE49-F238E27FC236}">
                  <a16:creationId xmlns:a16="http://schemas.microsoft.com/office/drawing/2014/main" id="{FD3750E5-C0C0-8A09-6B0C-387FC422DD4C}"/>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03" name="CheckBox20" hidden="1">
              <a:extLst>
                <a:ext uri="{63B3BB69-23CF-44E3-9099-C40C66FF867C}">
                  <a14:compatExt spid="_x0000_s9103"/>
                </a:ext>
                <a:ext uri="{FF2B5EF4-FFF2-40B4-BE49-F238E27FC236}">
                  <a16:creationId xmlns:a16="http://schemas.microsoft.com/office/drawing/2014/main" id="{5DEA4725-677A-622A-62D8-7F6A82AE7BF8}"/>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04" name="CheckBox21" hidden="1">
              <a:extLst>
                <a:ext uri="{63B3BB69-23CF-44E3-9099-C40C66FF867C}">
                  <a14:compatExt spid="_x0000_s9104"/>
                </a:ext>
                <a:ext uri="{FF2B5EF4-FFF2-40B4-BE49-F238E27FC236}">
                  <a16:creationId xmlns:a16="http://schemas.microsoft.com/office/drawing/2014/main" id="{FD656E7D-09C1-053E-9FFB-5B75F9F28F9A}"/>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05" name="CheckBox22" hidden="1">
              <a:extLst>
                <a:ext uri="{63B3BB69-23CF-44E3-9099-C40C66FF867C}">
                  <a14:compatExt spid="_x0000_s9105"/>
                </a:ext>
                <a:ext uri="{FF2B5EF4-FFF2-40B4-BE49-F238E27FC236}">
                  <a16:creationId xmlns:a16="http://schemas.microsoft.com/office/drawing/2014/main" id="{BAA4DF57-7B35-6B07-925C-073FDF4E72A6}"/>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06" name="CheckBox33" hidden="1">
              <a:extLst>
                <a:ext uri="{63B3BB69-23CF-44E3-9099-C40C66FF867C}">
                  <a14:compatExt spid="_x0000_s9106"/>
                </a:ext>
                <a:ext uri="{FF2B5EF4-FFF2-40B4-BE49-F238E27FC236}">
                  <a16:creationId xmlns:a16="http://schemas.microsoft.com/office/drawing/2014/main" id="{D245D865-270E-2F6D-ABAE-14233F9B4266}"/>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07" name="CheckBox34" hidden="1">
              <a:extLst>
                <a:ext uri="{63B3BB69-23CF-44E3-9099-C40C66FF867C}">
                  <a14:compatExt spid="_x0000_s9107"/>
                </a:ext>
                <a:ext uri="{FF2B5EF4-FFF2-40B4-BE49-F238E27FC236}">
                  <a16:creationId xmlns:a16="http://schemas.microsoft.com/office/drawing/2014/main" id="{70F33509-5462-5160-B64F-7C64A7287B21}"/>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08" name="CheckBox35" hidden="1">
              <a:extLst>
                <a:ext uri="{63B3BB69-23CF-44E3-9099-C40C66FF867C}">
                  <a14:compatExt spid="_x0000_s9108"/>
                </a:ext>
                <a:ext uri="{FF2B5EF4-FFF2-40B4-BE49-F238E27FC236}">
                  <a16:creationId xmlns:a16="http://schemas.microsoft.com/office/drawing/2014/main" id="{7804C1FC-A302-881C-5D97-D7F653223AF2}"/>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09" name="CheckBox36" hidden="1">
              <a:extLst>
                <a:ext uri="{63B3BB69-23CF-44E3-9099-C40C66FF867C}">
                  <a14:compatExt spid="_x0000_s9109"/>
                </a:ext>
                <a:ext uri="{FF2B5EF4-FFF2-40B4-BE49-F238E27FC236}">
                  <a16:creationId xmlns:a16="http://schemas.microsoft.com/office/drawing/2014/main" id="{EC532566-3809-9D4C-48D4-16C73DFC339E}"/>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10" name="CheckBox37" hidden="1">
              <a:extLst>
                <a:ext uri="{63B3BB69-23CF-44E3-9099-C40C66FF867C}">
                  <a14:compatExt spid="_x0000_s9110"/>
                </a:ext>
                <a:ext uri="{FF2B5EF4-FFF2-40B4-BE49-F238E27FC236}">
                  <a16:creationId xmlns:a16="http://schemas.microsoft.com/office/drawing/2014/main" id="{DA927959-BCC8-5387-B6D6-4D36495C9478}"/>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11" name="CheckBox38" hidden="1">
              <a:extLst>
                <a:ext uri="{63B3BB69-23CF-44E3-9099-C40C66FF867C}">
                  <a14:compatExt spid="_x0000_s9111"/>
                </a:ext>
                <a:ext uri="{FF2B5EF4-FFF2-40B4-BE49-F238E27FC236}">
                  <a16:creationId xmlns:a16="http://schemas.microsoft.com/office/drawing/2014/main" id="{93F4E90F-6348-618E-D208-3734B6BB9CDE}"/>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12" name="CheckBox39" hidden="1">
              <a:extLst>
                <a:ext uri="{63B3BB69-23CF-44E3-9099-C40C66FF867C}">
                  <a14:compatExt spid="_x0000_s9112"/>
                </a:ext>
                <a:ext uri="{FF2B5EF4-FFF2-40B4-BE49-F238E27FC236}">
                  <a16:creationId xmlns:a16="http://schemas.microsoft.com/office/drawing/2014/main" id="{877DEBA8-9961-79CA-7D77-0510F8AF67C9}"/>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13" name="CheckBox40" hidden="1">
              <a:extLst>
                <a:ext uri="{63B3BB69-23CF-44E3-9099-C40C66FF867C}">
                  <a14:compatExt spid="_x0000_s9113"/>
                </a:ext>
                <a:ext uri="{FF2B5EF4-FFF2-40B4-BE49-F238E27FC236}">
                  <a16:creationId xmlns:a16="http://schemas.microsoft.com/office/drawing/2014/main" id="{E482EC88-6DF1-AE42-C1C9-E7D2AA1BED28}"/>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14" name="CheckBox41" hidden="1">
              <a:extLst>
                <a:ext uri="{63B3BB69-23CF-44E3-9099-C40C66FF867C}">
                  <a14:compatExt spid="_x0000_s9114"/>
                </a:ext>
                <a:ext uri="{FF2B5EF4-FFF2-40B4-BE49-F238E27FC236}">
                  <a16:creationId xmlns:a16="http://schemas.microsoft.com/office/drawing/2014/main" id="{70BFE8A5-6C43-3DAC-AED8-0F6CE0EB0195}"/>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15" name="CheckBox42" hidden="1">
              <a:extLst>
                <a:ext uri="{63B3BB69-23CF-44E3-9099-C40C66FF867C}">
                  <a14:compatExt spid="_x0000_s9115"/>
                </a:ext>
                <a:ext uri="{FF2B5EF4-FFF2-40B4-BE49-F238E27FC236}">
                  <a16:creationId xmlns:a16="http://schemas.microsoft.com/office/drawing/2014/main" id="{809955D1-C5B1-65CD-2E6E-D2079264E635}"/>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16" name="CheckBox43" hidden="1">
              <a:extLst>
                <a:ext uri="{63B3BB69-23CF-44E3-9099-C40C66FF867C}">
                  <a14:compatExt spid="_x0000_s9116"/>
                </a:ext>
                <a:ext uri="{FF2B5EF4-FFF2-40B4-BE49-F238E27FC236}">
                  <a16:creationId xmlns:a16="http://schemas.microsoft.com/office/drawing/2014/main" id="{3CA313E2-21DE-38C0-1FD4-C947F1040ADD}"/>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17" name="CheckBox44" hidden="1">
              <a:extLst>
                <a:ext uri="{63B3BB69-23CF-44E3-9099-C40C66FF867C}">
                  <a14:compatExt spid="_x0000_s9117"/>
                </a:ext>
                <a:ext uri="{FF2B5EF4-FFF2-40B4-BE49-F238E27FC236}">
                  <a16:creationId xmlns:a16="http://schemas.microsoft.com/office/drawing/2014/main" id="{CF4AD523-3CEF-E205-C439-37C860A739BA}"/>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18" name="CheckBox45" hidden="1">
              <a:extLst>
                <a:ext uri="{63B3BB69-23CF-44E3-9099-C40C66FF867C}">
                  <a14:compatExt spid="_x0000_s9118"/>
                </a:ext>
                <a:ext uri="{FF2B5EF4-FFF2-40B4-BE49-F238E27FC236}">
                  <a16:creationId xmlns:a16="http://schemas.microsoft.com/office/drawing/2014/main" id="{1BA0F9CF-D097-42E0-601A-E6F5172B4CA6}"/>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19" name="CheckBox46" hidden="1">
              <a:extLst>
                <a:ext uri="{63B3BB69-23CF-44E3-9099-C40C66FF867C}">
                  <a14:compatExt spid="_x0000_s9119"/>
                </a:ext>
                <a:ext uri="{FF2B5EF4-FFF2-40B4-BE49-F238E27FC236}">
                  <a16:creationId xmlns:a16="http://schemas.microsoft.com/office/drawing/2014/main" id="{F2C745DB-3686-9A9D-DEE9-1AFF24B682D6}"/>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20" name="CheckBox47" hidden="1">
              <a:extLst>
                <a:ext uri="{63B3BB69-23CF-44E3-9099-C40C66FF867C}">
                  <a14:compatExt spid="_x0000_s9120"/>
                </a:ext>
                <a:ext uri="{FF2B5EF4-FFF2-40B4-BE49-F238E27FC236}">
                  <a16:creationId xmlns:a16="http://schemas.microsoft.com/office/drawing/2014/main" id="{55CC8996-B8A2-5A92-69A0-0C40B29D7289}"/>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21" name="CheckBox48" hidden="1">
              <a:extLst>
                <a:ext uri="{63B3BB69-23CF-44E3-9099-C40C66FF867C}">
                  <a14:compatExt spid="_x0000_s9121"/>
                </a:ext>
                <a:ext uri="{FF2B5EF4-FFF2-40B4-BE49-F238E27FC236}">
                  <a16:creationId xmlns:a16="http://schemas.microsoft.com/office/drawing/2014/main" id="{3E795BD6-339F-6E6C-8F35-110EDB3D21D2}"/>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22" name="CheckBox49" hidden="1">
              <a:extLst>
                <a:ext uri="{63B3BB69-23CF-44E3-9099-C40C66FF867C}">
                  <a14:compatExt spid="_x0000_s9122"/>
                </a:ext>
                <a:ext uri="{FF2B5EF4-FFF2-40B4-BE49-F238E27FC236}">
                  <a16:creationId xmlns:a16="http://schemas.microsoft.com/office/drawing/2014/main" id="{D5ABB9C9-2AF2-CF1C-AE83-7E427C10F7FF}"/>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23" name="CheckBox50" hidden="1">
              <a:extLst>
                <a:ext uri="{63B3BB69-23CF-44E3-9099-C40C66FF867C}">
                  <a14:compatExt spid="_x0000_s9123"/>
                </a:ext>
                <a:ext uri="{FF2B5EF4-FFF2-40B4-BE49-F238E27FC236}">
                  <a16:creationId xmlns:a16="http://schemas.microsoft.com/office/drawing/2014/main" id="{43A148DD-7F1E-64F4-9D7B-5E302FD8868E}"/>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24" name="CheckBox51" hidden="1">
              <a:extLst>
                <a:ext uri="{63B3BB69-23CF-44E3-9099-C40C66FF867C}">
                  <a14:compatExt spid="_x0000_s9124"/>
                </a:ext>
                <a:ext uri="{FF2B5EF4-FFF2-40B4-BE49-F238E27FC236}">
                  <a16:creationId xmlns:a16="http://schemas.microsoft.com/office/drawing/2014/main" id="{B9FE07AE-27C4-E199-DB0A-722BAFBDB850}"/>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25" name="CheckBox52" hidden="1">
              <a:extLst>
                <a:ext uri="{63B3BB69-23CF-44E3-9099-C40C66FF867C}">
                  <a14:compatExt spid="_x0000_s9125"/>
                </a:ext>
                <a:ext uri="{FF2B5EF4-FFF2-40B4-BE49-F238E27FC236}">
                  <a16:creationId xmlns:a16="http://schemas.microsoft.com/office/drawing/2014/main" id="{97B684DC-969D-953D-EF3A-EFBFDB5B5D77}"/>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26" name="CheckBox53" hidden="1">
              <a:extLst>
                <a:ext uri="{63B3BB69-23CF-44E3-9099-C40C66FF867C}">
                  <a14:compatExt spid="_x0000_s9126"/>
                </a:ext>
                <a:ext uri="{FF2B5EF4-FFF2-40B4-BE49-F238E27FC236}">
                  <a16:creationId xmlns:a16="http://schemas.microsoft.com/office/drawing/2014/main" id="{1EAA9068-6A78-A143-9508-7B407FE118CA}"/>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27" name="CheckBox54" hidden="1">
              <a:extLst>
                <a:ext uri="{63B3BB69-23CF-44E3-9099-C40C66FF867C}">
                  <a14:compatExt spid="_x0000_s9127"/>
                </a:ext>
                <a:ext uri="{FF2B5EF4-FFF2-40B4-BE49-F238E27FC236}">
                  <a16:creationId xmlns:a16="http://schemas.microsoft.com/office/drawing/2014/main" id="{42D714CA-7DAE-FE3A-BB09-7A8B1F19BFCB}"/>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28" name="CheckBox55" hidden="1">
              <a:extLst>
                <a:ext uri="{63B3BB69-23CF-44E3-9099-C40C66FF867C}">
                  <a14:compatExt spid="_x0000_s9128"/>
                </a:ext>
                <a:ext uri="{FF2B5EF4-FFF2-40B4-BE49-F238E27FC236}">
                  <a16:creationId xmlns:a16="http://schemas.microsoft.com/office/drawing/2014/main" id="{8919B2B7-A694-6E08-A68D-B9C59ACBDEB7}"/>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29" name="CheckBox56" hidden="1">
              <a:extLst>
                <a:ext uri="{63B3BB69-23CF-44E3-9099-C40C66FF867C}">
                  <a14:compatExt spid="_x0000_s9129"/>
                </a:ext>
                <a:ext uri="{FF2B5EF4-FFF2-40B4-BE49-F238E27FC236}">
                  <a16:creationId xmlns:a16="http://schemas.microsoft.com/office/drawing/2014/main" id="{1A6B5994-F250-DCEE-CC5C-F05CCC3BD918}"/>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30" name="CheckBox57" hidden="1">
              <a:extLst>
                <a:ext uri="{63B3BB69-23CF-44E3-9099-C40C66FF867C}">
                  <a14:compatExt spid="_x0000_s9130"/>
                </a:ext>
                <a:ext uri="{FF2B5EF4-FFF2-40B4-BE49-F238E27FC236}">
                  <a16:creationId xmlns:a16="http://schemas.microsoft.com/office/drawing/2014/main" id="{22B75CCF-0C33-88C3-D48F-6D08FF0F4AB4}"/>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31" name="CheckBox58" hidden="1">
              <a:extLst>
                <a:ext uri="{63B3BB69-23CF-44E3-9099-C40C66FF867C}">
                  <a14:compatExt spid="_x0000_s9131"/>
                </a:ext>
                <a:ext uri="{FF2B5EF4-FFF2-40B4-BE49-F238E27FC236}">
                  <a16:creationId xmlns:a16="http://schemas.microsoft.com/office/drawing/2014/main" id="{980D9D06-9F64-B908-183B-50056BEC7A1B}"/>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32" name="CheckBox59" hidden="1">
              <a:extLst>
                <a:ext uri="{63B3BB69-23CF-44E3-9099-C40C66FF867C}">
                  <a14:compatExt spid="_x0000_s9132"/>
                </a:ext>
                <a:ext uri="{FF2B5EF4-FFF2-40B4-BE49-F238E27FC236}">
                  <a16:creationId xmlns:a16="http://schemas.microsoft.com/office/drawing/2014/main" id="{074421D1-2AAD-F470-4744-7A890E854093}"/>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33" name="CheckBox60" hidden="1">
              <a:extLst>
                <a:ext uri="{63B3BB69-23CF-44E3-9099-C40C66FF867C}">
                  <a14:compatExt spid="_x0000_s9133"/>
                </a:ext>
                <a:ext uri="{FF2B5EF4-FFF2-40B4-BE49-F238E27FC236}">
                  <a16:creationId xmlns:a16="http://schemas.microsoft.com/office/drawing/2014/main" id="{74BE18C8-85B2-19EB-29B8-9D3A6EC4C27F}"/>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34" name="CheckBox61" hidden="1">
              <a:extLst>
                <a:ext uri="{63B3BB69-23CF-44E3-9099-C40C66FF867C}">
                  <a14:compatExt spid="_x0000_s9134"/>
                </a:ext>
                <a:ext uri="{FF2B5EF4-FFF2-40B4-BE49-F238E27FC236}">
                  <a16:creationId xmlns:a16="http://schemas.microsoft.com/office/drawing/2014/main" id="{E5E9B467-7944-484B-FAE5-6831EA3ACF9D}"/>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35" name="CheckBox62" hidden="1">
              <a:extLst>
                <a:ext uri="{63B3BB69-23CF-44E3-9099-C40C66FF867C}">
                  <a14:compatExt spid="_x0000_s9135"/>
                </a:ext>
                <a:ext uri="{FF2B5EF4-FFF2-40B4-BE49-F238E27FC236}">
                  <a16:creationId xmlns:a16="http://schemas.microsoft.com/office/drawing/2014/main" id="{546712AC-AEE1-2862-EA03-B59860668AB4}"/>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36" name="CheckBox63" hidden="1">
              <a:extLst>
                <a:ext uri="{63B3BB69-23CF-44E3-9099-C40C66FF867C}">
                  <a14:compatExt spid="_x0000_s9136"/>
                </a:ext>
                <a:ext uri="{FF2B5EF4-FFF2-40B4-BE49-F238E27FC236}">
                  <a16:creationId xmlns:a16="http://schemas.microsoft.com/office/drawing/2014/main" id="{1431F4B5-EE52-81B4-874B-3DC7EFECB0AE}"/>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37" name="CheckBox64" hidden="1">
              <a:extLst>
                <a:ext uri="{63B3BB69-23CF-44E3-9099-C40C66FF867C}">
                  <a14:compatExt spid="_x0000_s9137"/>
                </a:ext>
                <a:ext uri="{FF2B5EF4-FFF2-40B4-BE49-F238E27FC236}">
                  <a16:creationId xmlns:a16="http://schemas.microsoft.com/office/drawing/2014/main" id="{AE3998A2-C515-AA0F-CC6C-E4F44B552D66}"/>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38" name="CheckBox65" hidden="1">
              <a:extLst>
                <a:ext uri="{63B3BB69-23CF-44E3-9099-C40C66FF867C}">
                  <a14:compatExt spid="_x0000_s9138"/>
                </a:ext>
                <a:ext uri="{FF2B5EF4-FFF2-40B4-BE49-F238E27FC236}">
                  <a16:creationId xmlns:a16="http://schemas.microsoft.com/office/drawing/2014/main" id="{A5A4748C-2596-9A68-E170-B02EC064A9CF}"/>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39" name="CheckBox66" hidden="1">
              <a:extLst>
                <a:ext uri="{63B3BB69-23CF-44E3-9099-C40C66FF867C}">
                  <a14:compatExt spid="_x0000_s9139"/>
                </a:ext>
                <a:ext uri="{FF2B5EF4-FFF2-40B4-BE49-F238E27FC236}">
                  <a16:creationId xmlns:a16="http://schemas.microsoft.com/office/drawing/2014/main" id="{86D451AD-1778-72D8-E5B5-A830A880A7CE}"/>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40" name="CheckBox67" hidden="1">
              <a:extLst>
                <a:ext uri="{63B3BB69-23CF-44E3-9099-C40C66FF867C}">
                  <a14:compatExt spid="_x0000_s9140"/>
                </a:ext>
                <a:ext uri="{FF2B5EF4-FFF2-40B4-BE49-F238E27FC236}">
                  <a16:creationId xmlns:a16="http://schemas.microsoft.com/office/drawing/2014/main" id="{BDABE6C2-646B-64E6-9409-2E1CDDC178A9}"/>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41" name="CheckBox68" hidden="1">
              <a:extLst>
                <a:ext uri="{63B3BB69-23CF-44E3-9099-C40C66FF867C}">
                  <a14:compatExt spid="_x0000_s9141"/>
                </a:ext>
                <a:ext uri="{FF2B5EF4-FFF2-40B4-BE49-F238E27FC236}">
                  <a16:creationId xmlns:a16="http://schemas.microsoft.com/office/drawing/2014/main" id="{BB5116EA-EAAD-C3B4-4134-F4C6BC644852}"/>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42" name="CheckBox69" hidden="1">
              <a:extLst>
                <a:ext uri="{63B3BB69-23CF-44E3-9099-C40C66FF867C}">
                  <a14:compatExt spid="_x0000_s9142"/>
                </a:ext>
                <a:ext uri="{FF2B5EF4-FFF2-40B4-BE49-F238E27FC236}">
                  <a16:creationId xmlns:a16="http://schemas.microsoft.com/office/drawing/2014/main" id="{B727714E-546B-BC23-0DE2-CE541EACF6E1}"/>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43" name="CheckBox70" hidden="1">
              <a:extLst>
                <a:ext uri="{63B3BB69-23CF-44E3-9099-C40C66FF867C}">
                  <a14:compatExt spid="_x0000_s9143"/>
                </a:ext>
                <a:ext uri="{FF2B5EF4-FFF2-40B4-BE49-F238E27FC236}">
                  <a16:creationId xmlns:a16="http://schemas.microsoft.com/office/drawing/2014/main" id="{F67425E3-E2EE-5A0F-6A9D-47E8C1E9F7A5}"/>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44" name="CheckBox71" hidden="1">
              <a:extLst>
                <a:ext uri="{63B3BB69-23CF-44E3-9099-C40C66FF867C}">
                  <a14:compatExt spid="_x0000_s9144"/>
                </a:ext>
                <a:ext uri="{FF2B5EF4-FFF2-40B4-BE49-F238E27FC236}">
                  <a16:creationId xmlns:a16="http://schemas.microsoft.com/office/drawing/2014/main" id="{39F546C6-104A-E0BF-D89F-7EBB40AC65EA}"/>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45" name="CheckBox72" hidden="1">
              <a:extLst>
                <a:ext uri="{63B3BB69-23CF-44E3-9099-C40C66FF867C}">
                  <a14:compatExt spid="_x0000_s9145"/>
                </a:ext>
                <a:ext uri="{FF2B5EF4-FFF2-40B4-BE49-F238E27FC236}">
                  <a16:creationId xmlns:a16="http://schemas.microsoft.com/office/drawing/2014/main" id="{CC895FB9-B82B-8D32-DA1C-963D21B8A4F3}"/>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46" name="CheckBox73" hidden="1">
              <a:extLst>
                <a:ext uri="{63B3BB69-23CF-44E3-9099-C40C66FF867C}">
                  <a14:compatExt spid="_x0000_s9146"/>
                </a:ext>
                <a:ext uri="{FF2B5EF4-FFF2-40B4-BE49-F238E27FC236}">
                  <a16:creationId xmlns:a16="http://schemas.microsoft.com/office/drawing/2014/main" id="{7A6CE2C0-A081-1392-AE0C-A4EEDF54FBCF}"/>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47" name="CheckBox74" hidden="1">
              <a:extLst>
                <a:ext uri="{63B3BB69-23CF-44E3-9099-C40C66FF867C}">
                  <a14:compatExt spid="_x0000_s9147"/>
                </a:ext>
                <a:ext uri="{FF2B5EF4-FFF2-40B4-BE49-F238E27FC236}">
                  <a16:creationId xmlns:a16="http://schemas.microsoft.com/office/drawing/2014/main" id="{23E11EAF-0263-9B92-75F3-57936583CAAA}"/>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48" name="CheckBox75" hidden="1">
              <a:extLst>
                <a:ext uri="{63B3BB69-23CF-44E3-9099-C40C66FF867C}">
                  <a14:compatExt spid="_x0000_s9148"/>
                </a:ext>
                <a:ext uri="{FF2B5EF4-FFF2-40B4-BE49-F238E27FC236}">
                  <a16:creationId xmlns:a16="http://schemas.microsoft.com/office/drawing/2014/main" id="{DF6718E9-4573-9076-DD5E-3352A2A4A286}"/>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49" name="CheckBox76" hidden="1">
              <a:extLst>
                <a:ext uri="{63B3BB69-23CF-44E3-9099-C40C66FF867C}">
                  <a14:compatExt spid="_x0000_s9149"/>
                </a:ext>
                <a:ext uri="{FF2B5EF4-FFF2-40B4-BE49-F238E27FC236}">
                  <a16:creationId xmlns:a16="http://schemas.microsoft.com/office/drawing/2014/main" id="{B6F3FD43-E8E0-6CB3-0562-A643D54EBD25}"/>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50" name="CheckBox77" hidden="1">
              <a:extLst>
                <a:ext uri="{63B3BB69-23CF-44E3-9099-C40C66FF867C}">
                  <a14:compatExt spid="_x0000_s9150"/>
                </a:ext>
                <a:ext uri="{FF2B5EF4-FFF2-40B4-BE49-F238E27FC236}">
                  <a16:creationId xmlns:a16="http://schemas.microsoft.com/office/drawing/2014/main" id="{61D6D9AC-AAF0-0F2F-A8C3-ABB562DD8346}"/>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51" name="CheckBox78" hidden="1">
              <a:extLst>
                <a:ext uri="{63B3BB69-23CF-44E3-9099-C40C66FF867C}">
                  <a14:compatExt spid="_x0000_s9151"/>
                </a:ext>
                <a:ext uri="{FF2B5EF4-FFF2-40B4-BE49-F238E27FC236}">
                  <a16:creationId xmlns:a16="http://schemas.microsoft.com/office/drawing/2014/main" id="{3B06DF5E-E6BA-FC33-1DDC-A8106426A234}"/>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52" name="CheckBox79" hidden="1">
              <a:extLst>
                <a:ext uri="{63B3BB69-23CF-44E3-9099-C40C66FF867C}">
                  <a14:compatExt spid="_x0000_s9152"/>
                </a:ext>
                <a:ext uri="{FF2B5EF4-FFF2-40B4-BE49-F238E27FC236}">
                  <a16:creationId xmlns:a16="http://schemas.microsoft.com/office/drawing/2014/main" id="{2C0C7FA6-A619-506D-7028-4B1B9E8AFAB0}"/>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53" name="CheckBox80" hidden="1">
              <a:extLst>
                <a:ext uri="{63B3BB69-23CF-44E3-9099-C40C66FF867C}">
                  <a14:compatExt spid="_x0000_s9153"/>
                </a:ext>
                <a:ext uri="{FF2B5EF4-FFF2-40B4-BE49-F238E27FC236}">
                  <a16:creationId xmlns:a16="http://schemas.microsoft.com/office/drawing/2014/main" id="{24ED354B-7177-C5C6-8EB3-5F8BD467A2E0}"/>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54" name="CheckBox81" hidden="1">
              <a:extLst>
                <a:ext uri="{63B3BB69-23CF-44E3-9099-C40C66FF867C}">
                  <a14:compatExt spid="_x0000_s9154"/>
                </a:ext>
                <a:ext uri="{FF2B5EF4-FFF2-40B4-BE49-F238E27FC236}">
                  <a16:creationId xmlns:a16="http://schemas.microsoft.com/office/drawing/2014/main" id="{AF861F2C-ED50-B5C2-F0E0-1BF3BF7CA48D}"/>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55" name="CheckBox82" hidden="1">
              <a:extLst>
                <a:ext uri="{63B3BB69-23CF-44E3-9099-C40C66FF867C}">
                  <a14:compatExt spid="_x0000_s9155"/>
                </a:ext>
                <a:ext uri="{FF2B5EF4-FFF2-40B4-BE49-F238E27FC236}">
                  <a16:creationId xmlns:a16="http://schemas.microsoft.com/office/drawing/2014/main" id="{05A790A4-F170-0A8F-5617-927ED5FC0A2E}"/>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56" name="CheckBox83" hidden="1">
              <a:extLst>
                <a:ext uri="{63B3BB69-23CF-44E3-9099-C40C66FF867C}">
                  <a14:compatExt spid="_x0000_s9156"/>
                </a:ext>
                <a:ext uri="{FF2B5EF4-FFF2-40B4-BE49-F238E27FC236}">
                  <a16:creationId xmlns:a16="http://schemas.microsoft.com/office/drawing/2014/main" id="{43508B0C-B6DE-6924-6C2C-160E1767907D}"/>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57" name="CheckBox84" hidden="1">
              <a:extLst>
                <a:ext uri="{63B3BB69-23CF-44E3-9099-C40C66FF867C}">
                  <a14:compatExt spid="_x0000_s9157"/>
                </a:ext>
                <a:ext uri="{FF2B5EF4-FFF2-40B4-BE49-F238E27FC236}">
                  <a16:creationId xmlns:a16="http://schemas.microsoft.com/office/drawing/2014/main" id="{DAC7DB21-C4FC-7115-4047-0464C216B3F2}"/>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58" name="CheckBox85" hidden="1">
              <a:extLst>
                <a:ext uri="{63B3BB69-23CF-44E3-9099-C40C66FF867C}">
                  <a14:compatExt spid="_x0000_s9158"/>
                </a:ext>
                <a:ext uri="{FF2B5EF4-FFF2-40B4-BE49-F238E27FC236}">
                  <a16:creationId xmlns:a16="http://schemas.microsoft.com/office/drawing/2014/main" id="{CC0953A6-507A-FAD9-B5FB-60AC47F44162}"/>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59" name="CheckBox86" hidden="1">
              <a:extLst>
                <a:ext uri="{63B3BB69-23CF-44E3-9099-C40C66FF867C}">
                  <a14:compatExt spid="_x0000_s9159"/>
                </a:ext>
                <a:ext uri="{FF2B5EF4-FFF2-40B4-BE49-F238E27FC236}">
                  <a16:creationId xmlns:a16="http://schemas.microsoft.com/office/drawing/2014/main" id="{76AFB001-DAD0-3E7C-D0F8-C36E7E5FAD82}"/>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60" name="CheckBox87" hidden="1">
              <a:extLst>
                <a:ext uri="{63B3BB69-23CF-44E3-9099-C40C66FF867C}">
                  <a14:compatExt spid="_x0000_s9160"/>
                </a:ext>
                <a:ext uri="{FF2B5EF4-FFF2-40B4-BE49-F238E27FC236}">
                  <a16:creationId xmlns:a16="http://schemas.microsoft.com/office/drawing/2014/main" id="{301875D1-33A0-2130-A40A-CBF37815209F}"/>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161" name="CheckBox88" hidden="1">
              <a:extLst>
                <a:ext uri="{63B3BB69-23CF-44E3-9099-C40C66FF867C}">
                  <a14:compatExt spid="_x0000_s9161"/>
                </a:ext>
                <a:ext uri="{FF2B5EF4-FFF2-40B4-BE49-F238E27FC236}">
                  <a16:creationId xmlns:a16="http://schemas.microsoft.com/office/drawing/2014/main" id="{16CBFE7B-A09B-E017-8759-418E0B07BCD8}"/>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200" name="CheckBox90" hidden="1">
              <a:extLst>
                <a:ext uri="{63B3BB69-23CF-44E3-9099-C40C66FF867C}">
                  <a14:compatExt spid="_x0000_s9200"/>
                </a:ext>
                <a:ext uri="{FF2B5EF4-FFF2-40B4-BE49-F238E27FC236}">
                  <a16:creationId xmlns:a16="http://schemas.microsoft.com/office/drawing/2014/main" id="{4FAC7C23-0A12-E61F-F926-F377DCEE659C}"/>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201" name="CheckBox91" hidden="1">
              <a:extLst>
                <a:ext uri="{63B3BB69-23CF-44E3-9099-C40C66FF867C}">
                  <a14:compatExt spid="_x0000_s9201"/>
                </a:ext>
                <a:ext uri="{FF2B5EF4-FFF2-40B4-BE49-F238E27FC236}">
                  <a16:creationId xmlns:a16="http://schemas.microsoft.com/office/drawing/2014/main" id="{A910226A-8042-3DD8-BCDE-3E4D5E10322E}"/>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202" name="CheckBox92" hidden="1">
              <a:extLst>
                <a:ext uri="{63B3BB69-23CF-44E3-9099-C40C66FF867C}">
                  <a14:compatExt spid="_x0000_s9202"/>
                </a:ext>
                <a:ext uri="{FF2B5EF4-FFF2-40B4-BE49-F238E27FC236}">
                  <a16:creationId xmlns:a16="http://schemas.microsoft.com/office/drawing/2014/main" id="{F8C79C03-E9F7-6493-5E22-47155B5C82AD}"/>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203" name="CheckBox93" hidden="1">
              <a:extLst>
                <a:ext uri="{63B3BB69-23CF-44E3-9099-C40C66FF867C}">
                  <a14:compatExt spid="_x0000_s9203"/>
                </a:ext>
                <a:ext uri="{FF2B5EF4-FFF2-40B4-BE49-F238E27FC236}">
                  <a16:creationId xmlns:a16="http://schemas.microsoft.com/office/drawing/2014/main" id="{19F27A48-5462-C8A8-5390-6D112989AE66}"/>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9204" name="CheckBox94" hidden="1">
              <a:extLst>
                <a:ext uri="{63B3BB69-23CF-44E3-9099-C40C66FF867C}">
                  <a14:compatExt spid="_x0000_s9204"/>
                </a:ext>
                <a:ext uri="{FF2B5EF4-FFF2-40B4-BE49-F238E27FC236}">
                  <a16:creationId xmlns:a16="http://schemas.microsoft.com/office/drawing/2014/main" id="{337B0429-7B1A-59F6-097B-11AD061AA6A2}"/>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68715" name="CheckBox95" hidden="1">
              <a:extLst>
                <a:ext uri="{63B3BB69-23CF-44E3-9099-C40C66FF867C}">
                  <a14:compatExt spid="_x0000_s68715"/>
                </a:ext>
                <a:ext uri="{FF2B5EF4-FFF2-40B4-BE49-F238E27FC236}">
                  <a16:creationId xmlns:a16="http://schemas.microsoft.com/office/drawing/2014/main" id="{40298485-3D35-271B-AFD5-E814ADA9C3C3}"/>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68716" name="CheckBox96" hidden="1">
              <a:extLst>
                <a:ext uri="{63B3BB69-23CF-44E3-9099-C40C66FF867C}">
                  <a14:compatExt spid="_x0000_s68716"/>
                </a:ext>
                <a:ext uri="{FF2B5EF4-FFF2-40B4-BE49-F238E27FC236}">
                  <a16:creationId xmlns:a16="http://schemas.microsoft.com/office/drawing/2014/main" id="{439E414D-9017-11A2-A212-A2FEEF7547F6}"/>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68717" name="CheckBox97" hidden="1">
              <a:extLst>
                <a:ext uri="{63B3BB69-23CF-44E3-9099-C40C66FF867C}">
                  <a14:compatExt spid="_x0000_s68717"/>
                </a:ext>
                <a:ext uri="{FF2B5EF4-FFF2-40B4-BE49-F238E27FC236}">
                  <a16:creationId xmlns:a16="http://schemas.microsoft.com/office/drawing/2014/main" id="{4B0C0DFB-EEB0-5096-24A3-E839B40CCF49}"/>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68718" name="CheckBox98" hidden="1">
              <a:extLst>
                <a:ext uri="{63B3BB69-23CF-44E3-9099-C40C66FF867C}">
                  <a14:compatExt spid="_x0000_s68718"/>
                </a:ext>
                <a:ext uri="{FF2B5EF4-FFF2-40B4-BE49-F238E27FC236}">
                  <a16:creationId xmlns:a16="http://schemas.microsoft.com/office/drawing/2014/main" id="{8715E295-2026-D23F-A250-D74EFC1DC0B8}"/>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68719" name="CheckBox99" hidden="1">
              <a:extLst>
                <a:ext uri="{63B3BB69-23CF-44E3-9099-C40C66FF867C}">
                  <a14:compatExt spid="_x0000_s68719"/>
                </a:ext>
                <a:ext uri="{FF2B5EF4-FFF2-40B4-BE49-F238E27FC236}">
                  <a16:creationId xmlns:a16="http://schemas.microsoft.com/office/drawing/2014/main" id="{EFE328A8-83B9-745E-48E2-C3488C7CAB8E}"/>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68720" name="CheckBox100" hidden="1">
              <a:extLst>
                <a:ext uri="{63B3BB69-23CF-44E3-9099-C40C66FF867C}">
                  <a14:compatExt spid="_x0000_s68720"/>
                </a:ext>
                <a:ext uri="{FF2B5EF4-FFF2-40B4-BE49-F238E27FC236}">
                  <a16:creationId xmlns:a16="http://schemas.microsoft.com/office/drawing/2014/main" id="{857E8782-0D71-4B7A-D1DF-28F14C53E36C}"/>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68721" name="CheckBox101" hidden="1">
              <a:extLst>
                <a:ext uri="{63B3BB69-23CF-44E3-9099-C40C66FF867C}">
                  <a14:compatExt spid="_x0000_s68721"/>
                </a:ext>
                <a:ext uri="{FF2B5EF4-FFF2-40B4-BE49-F238E27FC236}">
                  <a16:creationId xmlns:a16="http://schemas.microsoft.com/office/drawing/2014/main" id="{948C4BC2-CD42-6E76-0F4A-0A76C3333B49}"/>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68722" name="CheckBox102" hidden="1">
              <a:extLst>
                <a:ext uri="{63B3BB69-23CF-44E3-9099-C40C66FF867C}">
                  <a14:compatExt spid="_x0000_s68722"/>
                </a:ext>
                <a:ext uri="{FF2B5EF4-FFF2-40B4-BE49-F238E27FC236}">
                  <a16:creationId xmlns:a16="http://schemas.microsoft.com/office/drawing/2014/main" id="{39FBDBD8-9149-C987-C374-3EC03CC85BDA}"/>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68723" name="CheckBox103" hidden="1">
              <a:extLst>
                <a:ext uri="{63B3BB69-23CF-44E3-9099-C40C66FF867C}">
                  <a14:compatExt spid="_x0000_s68723"/>
                </a:ext>
                <a:ext uri="{FF2B5EF4-FFF2-40B4-BE49-F238E27FC236}">
                  <a16:creationId xmlns:a16="http://schemas.microsoft.com/office/drawing/2014/main" id="{C1BDF4C0-BCDA-193D-B9A1-E047D17E6729}"/>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68724" name="CheckBox104" hidden="1">
              <a:extLst>
                <a:ext uri="{63B3BB69-23CF-44E3-9099-C40C66FF867C}">
                  <a14:compatExt spid="_x0000_s68724"/>
                </a:ext>
                <a:ext uri="{FF2B5EF4-FFF2-40B4-BE49-F238E27FC236}">
                  <a16:creationId xmlns:a16="http://schemas.microsoft.com/office/drawing/2014/main" id="{DFEBB4C9-E185-6F8A-F6CA-379D147F5FC6}"/>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68745" name="CheckBox105" hidden="1">
              <a:extLst>
                <a:ext uri="{63B3BB69-23CF-44E3-9099-C40C66FF867C}">
                  <a14:compatExt spid="_x0000_s68745"/>
                </a:ext>
                <a:ext uri="{FF2B5EF4-FFF2-40B4-BE49-F238E27FC236}">
                  <a16:creationId xmlns:a16="http://schemas.microsoft.com/office/drawing/2014/main" id="{26F235CD-5A78-CA9F-1824-94445A545A60}"/>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80633" name="CheckBox10SD" hidden="1">
              <a:extLst>
                <a:ext uri="{63B3BB69-23CF-44E3-9099-C40C66FF867C}">
                  <a14:compatExt spid="_x0000_s80633"/>
                </a:ext>
                <a:ext uri="{FF2B5EF4-FFF2-40B4-BE49-F238E27FC236}">
                  <a16:creationId xmlns:a16="http://schemas.microsoft.com/office/drawing/2014/main" id="{D837E4AE-EAD0-A5C3-CE2B-1CDD270E1B79}"/>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82184" name="EE1Show1" hidden="1">
              <a:extLst>
                <a:ext uri="{63B3BB69-23CF-44E3-9099-C40C66FF867C}">
                  <a14:compatExt spid="_x0000_s82184"/>
                </a:ext>
                <a:ext uri="{FF2B5EF4-FFF2-40B4-BE49-F238E27FC236}">
                  <a16:creationId xmlns:a16="http://schemas.microsoft.com/office/drawing/2014/main" id="{599C9047-D80B-C671-9C38-92FCC9A98A2A}"/>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82185" name="EE1Show2" hidden="1">
              <a:extLst>
                <a:ext uri="{63B3BB69-23CF-44E3-9099-C40C66FF867C}">
                  <a14:compatExt spid="_x0000_s82185"/>
                </a:ext>
                <a:ext uri="{FF2B5EF4-FFF2-40B4-BE49-F238E27FC236}">
                  <a16:creationId xmlns:a16="http://schemas.microsoft.com/office/drawing/2014/main" id="{23B18443-2026-40D3-0620-A1AD05575B13}"/>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82186" name="EE1Show3" hidden="1">
              <a:extLst>
                <a:ext uri="{63B3BB69-23CF-44E3-9099-C40C66FF867C}">
                  <a14:compatExt spid="_x0000_s82186"/>
                </a:ext>
                <a:ext uri="{FF2B5EF4-FFF2-40B4-BE49-F238E27FC236}">
                  <a16:creationId xmlns:a16="http://schemas.microsoft.com/office/drawing/2014/main" id="{A7701106-B68F-7F51-1217-03CEB5F7176B}"/>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4</xdr:col>
      <xdr:colOff>716280</xdr:colOff>
      <xdr:row>993</xdr:row>
      <xdr:rowOff>83820</xdr:rowOff>
    </xdr:from>
    <xdr:to>
      <xdr:col>10</xdr:col>
      <xdr:colOff>579120</xdr:colOff>
      <xdr:row>1013</xdr:row>
      <xdr:rowOff>30480</xdr:rowOff>
    </xdr:to>
    <xdr:graphicFrame macro="">
      <xdr:nvGraphicFramePr>
        <xdr:cNvPr id="270598" name="Chart 6037">
          <a:extLst>
            <a:ext uri="{FF2B5EF4-FFF2-40B4-BE49-F238E27FC236}">
              <a16:creationId xmlns:a16="http://schemas.microsoft.com/office/drawing/2014/main" id="{8E283C80-18B6-C4CB-AF10-2C0E57100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173896" name="CheckBox10" hidden="1">
              <a:extLst>
                <a:ext uri="{63B3BB69-23CF-44E3-9099-C40C66FF867C}">
                  <a14:compatExt spid="_x0000_s173896"/>
                </a:ext>
                <a:ext uri="{FF2B5EF4-FFF2-40B4-BE49-F238E27FC236}">
                  <a16:creationId xmlns:a16="http://schemas.microsoft.com/office/drawing/2014/main" id="{5B504230-E08B-401C-A9B4-CB9E53777BD5}"/>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30480</xdr:colOff>
          <xdr:row>1</xdr:row>
          <xdr:rowOff>7620</xdr:rowOff>
        </xdr:to>
        <xdr:sp macro="" textlink="">
          <xdr:nvSpPr>
            <xdr:cNvPr id="175962" name="CheckBox28" hidden="1">
              <a:extLst>
                <a:ext uri="{63B3BB69-23CF-44E3-9099-C40C66FF867C}">
                  <a14:compatExt spid="_x0000_s175962"/>
                </a:ext>
                <a:ext uri="{FF2B5EF4-FFF2-40B4-BE49-F238E27FC236}">
                  <a16:creationId xmlns:a16="http://schemas.microsoft.com/office/drawing/2014/main" id="{FD771986-7C22-06B5-9EE8-8A4657E6A2E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175965" name="CheckBox31" hidden="1">
              <a:extLst>
                <a:ext uri="{63B3BB69-23CF-44E3-9099-C40C66FF867C}">
                  <a14:compatExt spid="_x0000_s175965"/>
                </a:ext>
                <a:ext uri="{FF2B5EF4-FFF2-40B4-BE49-F238E27FC236}">
                  <a16:creationId xmlns:a16="http://schemas.microsoft.com/office/drawing/2014/main" id="{90D81714-B766-69D4-7816-ABDEC6C52FF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211489" name="CheckBox32" hidden="1">
              <a:extLst>
                <a:ext uri="{63B3BB69-23CF-44E3-9099-C40C66FF867C}">
                  <a14:compatExt spid="_x0000_s211489"/>
                </a:ext>
                <a:ext uri="{FF2B5EF4-FFF2-40B4-BE49-F238E27FC236}">
                  <a16:creationId xmlns:a16="http://schemas.microsoft.com/office/drawing/2014/main" id="{9C3EAF09-9745-B29E-846B-F51647DBD29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211490" name="CheckBox89" hidden="1">
              <a:extLst>
                <a:ext uri="{63B3BB69-23CF-44E3-9099-C40C66FF867C}">
                  <a14:compatExt spid="_x0000_s211490"/>
                </a:ext>
                <a:ext uri="{FF2B5EF4-FFF2-40B4-BE49-F238E27FC236}">
                  <a16:creationId xmlns:a16="http://schemas.microsoft.com/office/drawing/2014/main" id="{94220291-8BC6-6378-6A39-2ED297F0DE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212928" name="CheckBox106" hidden="1">
              <a:extLst>
                <a:ext uri="{63B3BB69-23CF-44E3-9099-C40C66FF867C}">
                  <a14:compatExt spid="_x0000_s212928"/>
                </a:ext>
                <a:ext uri="{FF2B5EF4-FFF2-40B4-BE49-F238E27FC236}">
                  <a16:creationId xmlns:a16="http://schemas.microsoft.com/office/drawing/2014/main" id="{13B01D8F-75F2-D5FF-B1A5-383A66520B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868680</xdr:colOff>
          <xdr:row>0</xdr:row>
          <xdr:rowOff>7620</xdr:rowOff>
        </xdr:from>
        <xdr:to>
          <xdr:col>17</xdr:col>
          <xdr:colOff>114300</xdr:colOff>
          <xdr:row>0</xdr:row>
          <xdr:rowOff>160020</xdr:rowOff>
        </xdr:to>
        <xdr:sp macro="" textlink="">
          <xdr:nvSpPr>
            <xdr:cNvPr id="213343" name="CheckBox30" hidden="1">
              <a:extLst>
                <a:ext uri="{63B3BB69-23CF-44E3-9099-C40C66FF867C}">
                  <a14:compatExt spid="_x0000_s213343"/>
                </a:ext>
                <a:ext uri="{FF2B5EF4-FFF2-40B4-BE49-F238E27FC236}">
                  <a16:creationId xmlns:a16="http://schemas.microsoft.com/office/drawing/2014/main" id="{6FB814A3-220E-D340-F6EC-0627DA419A4A}"/>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807720</xdr:colOff>
          <xdr:row>1</xdr:row>
          <xdr:rowOff>83820</xdr:rowOff>
        </xdr:from>
        <xdr:to>
          <xdr:col>8</xdr:col>
          <xdr:colOff>963930</xdr:colOff>
          <xdr:row>2</xdr:row>
          <xdr:rowOff>76200</xdr:rowOff>
        </xdr:to>
        <xdr:sp macro="" textlink="">
          <xdr:nvSpPr>
            <xdr:cNvPr id="4098" name="CheckBox1" hidden="1">
              <a:extLst>
                <a:ext uri="{63B3BB69-23CF-44E3-9099-C40C66FF867C}">
                  <a14:compatExt spid="_x0000_s4098"/>
                </a:ext>
                <a:ext uri="{FF2B5EF4-FFF2-40B4-BE49-F238E27FC236}">
                  <a16:creationId xmlns:a16="http://schemas.microsoft.com/office/drawing/2014/main" id="{92E32F66-68E7-4693-1352-05D9E73BBB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6</xdr:col>
      <xdr:colOff>861060</xdr:colOff>
      <xdr:row>922</xdr:row>
      <xdr:rowOff>30480</xdr:rowOff>
    </xdr:from>
    <xdr:to>
      <xdr:col>10</xdr:col>
      <xdr:colOff>777240</xdr:colOff>
      <xdr:row>935</xdr:row>
      <xdr:rowOff>137160</xdr:rowOff>
    </xdr:to>
    <xdr:graphicFrame macro="">
      <xdr:nvGraphicFramePr>
        <xdr:cNvPr id="268230" name="Chart 3">
          <a:extLst>
            <a:ext uri="{FF2B5EF4-FFF2-40B4-BE49-F238E27FC236}">
              <a16:creationId xmlns:a16="http://schemas.microsoft.com/office/drawing/2014/main" id="{F8B54D6B-6E7A-E6BF-6C30-BC82E9751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861060</xdr:colOff>
      <xdr:row>865</xdr:row>
      <xdr:rowOff>83820</xdr:rowOff>
    </xdr:from>
    <xdr:to>
      <xdr:col>10</xdr:col>
      <xdr:colOff>807720</xdr:colOff>
      <xdr:row>890</xdr:row>
      <xdr:rowOff>137160</xdr:rowOff>
    </xdr:to>
    <xdr:graphicFrame macro="">
      <xdr:nvGraphicFramePr>
        <xdr:cNvPr id="268231" name="Chart 4">
          <a:extLst>
            <a:ext uri="{FF2B5EF4-FFF2-40B4-BE49-F238E27FC236}">
              <a16:creationId xmlns:a16="http://schemas.microsoft.com/office/drawing/2014/main" id="{6C0254F6-CCB3-B0D3-1408-FB457643C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838200</xdr:colOff>
      <xdr:row>891</xdr:row>
      <xdr:rowOff>76200</xdr:rowOff>
    </xdr:from>
    <xdr:to>
      <xdr:col>10</xdr:col>
      <xdr:colOff>792480</xdr:colOff>
      <xdr:row>921</xdr:row>
      <xdr:rowOff>152400</xdr:rowOff>
    </xdr:to>
    <xdr:graphicFrame macro="">
      <xdr:nvGraphicFramePr>
        <xdr:cNvPr id="268232" name="Chart 5">
          <a:extLst>
            <a:ext uri="{FF2B5EF4-FFF2-40B4-BE49-F238E27FC236}">
              <a16:creationId xmlns:a16="http://schemas.microsoft.com/office/drawing/2014/main" id="{EC58120F-1DAC-0E15-2BFB-C06675999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xdr:from>
          <xdr:col>12</xdr:col>
          <xdr:colOff>0</xdr:colOff>
          <xdr:row>266</xdr:row>
          <xdr:rowOff>91440</xdr:rowOff>
        </xdr:from>
        <xdr:to>
          <xdr:col>12</xdr:col>
          <xdr:colOff>160020</xdr:colOff>
          <xdr:row>266</xdr:row>
          <xdr:rowOff>243840</xdr:rowOff>
        </xdr:to>
        <xdr:sp macro="" textlink="">
          <xdr:nvSpPr>
            <xdr:cNvPr id="4104" name="CheckBox2" hidden="1">
              <a:extLst>
                <a:ext uri="{63B3BB69-23CF-44E3-9099-C40C66FF867C}">
                  <a14:compatExt spid="_x0000_s4104"/>
                </a:ext>
                <a:ext uri="{FF2B5EF4-FFF2-40B4-BE49-F238E27FC236}">
                  <a16:creationId xmlns:a16="http://schemas.microsoft.com/office/drawing/2014/main" id="{70DFFD1B-3C72-ED5E-CF9F-45D6ECEB84F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60960</xdr:colOff>
          <xdr:row>446</xdr:row>
          <xdr:rowOff>7620</xdr:rowOff>
        </xdr:from>
        <xdr:to>
          <xdr:col>13</xdr:col>
          <xdr:colOff>304800</xdr:colOff>
          <xdr:row>447</xdr:row>
          <xdr:rowOff>0</xdr:rowOff>
        </xdr:to>
        <xdr:sp macro="" textlink="">
          <xdr:nvSpPr>
            <xdr:cNvPr id="4107" name="OptionButton1" hidden="1">
              <a:extLst>
                <a:ext uri="{63B3BB69-23CF-44E3-9099-C40C66FF867C}">
                  <a14:compatExt spid="_x0000_s4107"/>
                </a:ext>
                <a:ext uri="{FF2B5EF4-FFF2-40B4-BE49-F238E27FC236}">
                  <a16:creationId xmlns:a16="http://schemas.microsoft.com/office/drawing/2014/main" id="{45EED157-7896-005C-4EB1-A62CE00BADA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60960</xdr:colOff>
          <xdr:row>447</xdr:row>
          <xdr:rowOff>0</xdr:rowOff>
        </xdr:from>
        <xdr:to>
          <xdr:col>13</xdr:col>
          <xdr:colOff>304800</xdr:colOff>
          <xdr:row>447</xdr:row>
          <xdr:rowOff>152400</xdr:rowOff>
        </xdr:to>
        <xdr:sp macro="" textlink="">
          <xdr:nvSpPr>
            <xdr:cNvPr id="4108" name="OptionButton2" hidden="1">
              <a:extLst>
                <a:ext uri="{63B3BB69-23CF-44E3-9099-C40C66FF867C}">
                  <a14:compatExt spid="_x0000_s4108"/>
                </a:ext>
                <a:ext uri="{FF2B5EF4-FFF2-40B4-BE49-F238E27FC236}">
                  <a16:creationId xmlns:a16="http://schemas.microsoft.com/office/drawing/2014/main" id="{9DEE9F43-7F37-84E7-1B42-F3608FD6DB5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129540</xdr:colOff>
          <xdr:row>311</xdr:row>
          <xdr:rowOff>53340</xdr:rowOff>
        </xdr:from>
        <xdr:to>
          <xdr:col>13</xdr:col>
          <xdr:colOff>373380</xdr:colOff>
          <xdr:row>312</xdr:row>
          <xdr:rowOff>45720</xdr:rowOff>
        </xdr:to>
        <xdr:sp macro="" textlink="">
          <xdr:nvSpPr>
            <xdr:cNvPr id="4109" name="OptionButton3" hidden="1">
              <a:extLst>
                <a:ext uri="{63B3BB69-23CF-44E3-9099-C40C66FF867C}">
                  <a14:compatExt spid="_x0000_s4109"/>
                </a:ext>
                <a:ext uri="{FF2B5EF4-FFF2-40B4-BE49-F238E27FC236}">
                  <a16:creationId xmlns:a16="http://schemas.microsoft.com/office/drawing/2014/main" id="{45437FEB-B7CA-774D-E250-C098D14374B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129540</xdr:colOff>
          <xdr:row>312</xdr:row>
          <xdr:rowOff>38100</xdr:rowOff>
        </xdr:from>
        <xdr:to>
          <xdr:col>13</xdr:col>
          <xdr:colOff>373380</xdr:colOff>
          <xdr:row>312</xdr:row>
          <xdr:rowOff>182880</xdr:rowOff>
        </xdr:to>
        <xdr:sp macro="" textlink="">
          <xdr:nvSpPr>
            <xdr:cNvPr id="4110" name="OptionButton4" hidden="1">
              <a:extLst>
                <a:ext uri="{63B3BB69-23CF-44E3-9099-C40C66FF867C}">
                  <a14:compatExt spid="_x0000_s4110"/>
                </a:ext>
                <a:ext uri="{FF2B5EF4-FFF2-40B4-BE49-F238E27FC236}">
                  <a16:creationId xmlns:a16="http://schemas.microsoft.com/office/drawing/2014/main" id="{854A8023-7BF1-37F9-97FC-AC576273D4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228600</xdr:colOff>
          <xdr:row>222</xdr:row>
          <xdr:rowOff>121920</xdr:rowOff>
        </xdr:from>
        <xdr:to>
          <xdr:col>12</xdr:col>
          <xdr:colOff>472440</xdr:colOff>
          <xdr:row>223</xdr:row>
          <xdr:rowOff>83820</xdr:rowOff>
        </xdr:to>
        <xdr:sp macro="" textlink="">
          <xdr:nvSpPr>
            <xdr:cNvPr id="4111" name="OptionButton5" hidden="1">
              <a:extLst>
                <a:ext uri="{63B3BB69-23CF-44E3-9099-C40C66FF867C}">
                  <a14:compatExt spid="_x0000_s4111"/>
                </a:ext>
                <a:ext uri="{FF2B5EF4-FFF2-40B4-BE49-F238E27FC236}">
                  <a16:creationId xmlns:a16="http://schemas.microsoft.com/office/drawing/2014/main" id="{DE778EDE-6AEA-0878-422F-F49255DB3FD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205740</xdr:colOff>
          <xdr:row>223</xdr:row>
          <xdr:rowOff>121920</xdr:rowOff>
        </xdr:from>
        <xdr:to>
          <xdr:col>12</xdr:col>
          <xdr:colOff>449580</xdr:colOff>
          <xdr:row>224</xdr:row>
          <xdr:rowOff>114300</xdr:rowOff>
        </xdr:to>
        <xdr:sp macro="" textlink="">
          <xdr:nvSpPr>
            <xdr:cNvPr id="4112" name="OptionButton6" hidden="1">
              <a:extLst>
                <a:ext uri="{63B3BB69-23CF-44E3-9099-C40C66FF867C}">
                  <a14:compatExt spid="_x0000_s4112"/>
                </a:ext>
                <a:ext uri="{FF2B5EF4-FFF2-40B4-BE49-F238E27FC236}">
                  <a16:creationId xmlns:a16="http://schemas.microsoft.com/office/drawing/2014/main" id="{2557D0E3-B87F-FC3A-A140-68E8045D9B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205740</xdr:colOff>
          <xdr:row>224</xdr:row>
          <xdr:rowOff>137160</xdr:rowOff>
        </xdr:from>
        <xdr:to>
          <xdr:col>12</xdr:col>
          <xdr:colOff>449580</xdr:colOff>
          <xdr:row>224</xdr:row>
          <xdr:rowOff>289560</xdr:rowOff>
        </xdr:to>
        <xdr:sp macro="" textlink="">
          <xdr:nvSpPr>
            <xdr:cNvPr id="4113" name="OptionButton7" hidden="1">
              <a:extLst>
                <a:ext uri="{63B3BB69-23CF-44E3-9099-C40C66FF867C}">
                  <a14:compatExt spid="_x0000_s4113"/>
                </a:ext>
                <a:ext uri="{FF2B5EF4-FFF2-40B4-BE49-F238E27FC236}">
                  <a16:creationId xmlns:a16="http://schemas.microsoft.com/office/drawing/2014/main" id="{F1520423-0A6A-778D-CADB-6DF169DB033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38100</xdr:colOff>
          <xdr:row>453</xdr:row>
          <xdr:rowOff>0</xdr:rowOff>
        </xdr:from>
        <xdr:to>
          <xdr:col>12</xdr:col>
          <xdr:colOff>198120</xdr:colOff>
          <xdr:row>453</xdr:row>
          <xdr:rowOff>152400</xdr:rowOff>
        </xdr:to>
        <xdr:sp macro="" textlink="">
          <xdr:nvSpPr>
            <xdr:cNvPr id="4115" name="CheckBox4" hidden="1">
              <a:extLst>
                <a:ext uri="{63B3BB69-23CF-44E3-9099-C40C66FF867C}">
                  <a14:compatExt spid="_x0000_s4115"/>
                </a:ext>
                <a:ext uri="{FF2B5EF4-FFF2-40B4-BE49-F238E27FC236}">
                  <a16:creationId xmlns:a16="http://schemas.microsoft.com/office/drawing/2014/main" id="{31CB937C-478C-22C4-333D-65089FFC84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601980</xdr:colOff>
          <xdr:row>295</xdr:row>
          <xdr:rowOff>30480</xdr:rowOff>
        </xdr:from>
        <xdr:to>
          <xdr:col>13</xdr:col>
          <xdr:colOff>144780</xdr:colOff>
          <xdr:row>296</xdr:row>
          <xdr:rowOff>15240</xdr:rowOff>
        </xdr:to>
        <xdr:sp macro="" textlink="">
          <xdr:nvSpPr>
            <xdr:cNvPr id="4116" name="CheckBox5" hidden="1">
              <a:extLst>
                <a:ext uri="{63B3BB69-23CF-44E3-9099-C40C66FF867C}">
                  <a14:compatExt spid="_x0000_s4116"/>
                </a:ext>
                <a:ext uri="{FF2B5EF4-FFF2-40B4-BE49-F238E27FC236}">
                  <a16:creationId xmlns:a16="http://schemas.microsoft.com/office/drawing/2014/main" id="{31160CDC-0DF6-1E83-6759-F7F0E1A472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548640</xdr:colOff>
          <xdr:row>228</xdr:row>
          <xdr:rowOff>144780</xdr:rowOff>
        </xdr:from>
        <xdr:to>
          <xdr:col>13</xdr:col>
          <xdr:colOff>99060</xdr:colOff>
          <xdr:row>228</xdr:row>
          <xdr:rowOff>297180</xdr:rowOff>
        </xdr:to>
        <xdr:sp macro="" textlink="">
          <xdr:nvSpPr>
            <xdr:cNvPr id="69686" name="CheckBox7" hidden="1">
              <a:extLst>
                <a:ext uri="{63B3BB69-23CF-44E3-9099-C40C66FF867C}">
                  <a14:compatExt spid="_x0000_s69686"/>
                </a:ext>
                <a:ext uri="{FF2B5EF4-FFF2-40B4-BE49-F238E27FC236}">
                  <a16:creationId xmlns:a16="http://schemas.microsoft.com/office/drawing/2014/main" id="{C34E74C2-8E61-763D-55EE-755F465FE5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236220</xdr:colOff>
          <xdr:row>966</xdr:row>
          <xdr:rowOff>7620</xdr:rowOff>
        </xdr:from>
        <xdr:to>
          <xdr:col>14</xdr:col>
          <xdr:colOff>396240</xdr:colOff>
          <xdr:row>967</xdr:row>
          <xdr:rowOff>0</xdr:rowOff>
        </xdr:to>
        <xdr:sp macro="" textlink="">
          <xdr:nvSpPr>
            <xdr:cNvPr id="215041" name="GHG" hidden="1">
              <a:extLst>
                <a:ext uri="{63B3BB69-23CF-44E3-9099-C40C66FF867C}">
                  <a14:compatExt spid="_x0000_s215041"/>
                </a:ext>
                <a:ext uri="{FF2B5EF4-FFF2-40B4-BE49-F238E27FC236}">
                  <a16:creationId xmlns:a16="http://schemas.microsoft.com/office/drawing/2014/main" id="{A3445D48-52DC-787B-C3CF-4B577B012D3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4</xdr:col>
      <xdr:colOff>960120</xdr:colOff>
      <xdr:row>1007</xdr:row>
      <xdr:rowOff>0</xdr:rowOff>
    </xdr:from>
    <xdr:to>
      <xdr:col>10</xdr:col>
      <xdr:colOff>754380</xdr:colOff>
      <xdr:row>1025</xdr:row>
      <xdr:rowOff>53340</xdr:rowOff>
    </xdr:to>
    <xdr:graphicFrame macro="">
      <xdr:nvGraphicFramePr>
        <xdr:cNvPr id="268233" name="Chart 49155">
          <a:extLst>
            <a:ext uri="{FF2B5EF4-FFF2-40B4-BE49-F238E27FC236}">
              <a16:creationId xmlns:a16="http://schemas.microsoft.com/office/drawing/2014/main" id="{842E79A3-19A8-F0D3-2BBB-09B9D94AB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53340</xdr:colOff>
          <xdr:row>4</xdr:row>
          <xdr:rowOff>15240</xdr:rowOff>
        </xdr:from>
        <xdr:to>
          <xdr:col>1</xdr:col>
          <xdr:colOff>53340</xdr:colOff>
          <xdr:row>5</xdr:row>
          <xdr:rowOff>7620</xdr:rowOff>
        </xdr:to>
        <xdr:sp macro="" textlink="">
          <xdr:nvSpPr>
            <xdr:cNvPr id="9217" name="Level2Btn" hidden="1">
              <a:extLst>
                <a:ext uri="{63B3BB69-23CF-44E3-9099-C40C66FF867C}">
                  <a14:compatExt spid="_x0000_s9217"/>
                </a:ext>
                <a:ext uri="{FF2B5EF4-FFF2-40B4-BE49-F238E27FC236}">
                  <a16:creationId xmlns:a16="http://schemas.microsoft.com/office/drawing/2014/main" id="{7D10F85D-6637-D211-B771-3B8D21ED86E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53340</xdr:colOff>
          <xdr:row>5</xdr:row>
          <xdr:rowOff>15240</xdr:rowOff>
        </xdr:from>
        <xdr:to>
          <xdr:col>1</xdr:col>
          <xdr:colOff>53340</xdr:colOff>
          <xdr:row>6</xdr:row>
          <xdr:rowOff>7620</xdr:rowOff>
        </xdr:to>
        <xdr:sp macro="" textlink="">
          <xdr:nvSpPr>
            <xdr:cNvPr id="9218" name="Level3Btn" hidden="1">
              <a:extLst>
                <a:ext uri="{63B3BB69-23CF-44E3-9099-C40C66FF867C}">
                  <a14:compatExt spid="_x0000_s9218"/>
                </a:ext>
                <a:ext uri="{FF2B5EF4-FFF2-40B4-BE49-F238E27FC236}">
                  <a16:creationId xmlns:a16="http://schemas.microsoft.com/office/drawing/2014/main" id="{8F600EA1-BC60-6348-0372-BF533F211CE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4</xdr:row>
          <xdr:rowOff>30480</xdr:rowOff>
        </xdr:from>
        <xdr:to>
          <xdr:col>3</xdr:col>
          <xdr:colOff>236220</xdr:colOff>
          <xdr:row>5</xdr:row>
          <xdr:rowOff>15240</xdr:rowOff>
        </xdr:to>
        <xdr:sp macro="" textlink="">
          <xdr:nvSpPr>
            <xdr:cNvPr id="9219" name="CostRefBtn" hidden="1">
              <a:extLst>
                <a:ext uri="{63B3BB69-23CF-44E3-9099-C40C66FF867C}">
                  <a14:compatExt spid="_x0000_s9219"/>
                </a:ext>
                <a:ext uri="{FF2B5EF4-FFF2-40B4-BE49-F238E27FC236}">
                  <a16:creationId xmlns:a16="http://schemas.microsoft.com/office/drawing/2014/main" id="{379F114F-1DAB-A155-7CF9-7E2B91C3C4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5</xdr:row>
          <xdr:rowOff>15240</xdr:rowOff>
        </xdr:from>
        <xdr:to>
          <xdr:col>3</xdr:col>
          <xdr:colOff>236220</xdr:colOff>
          <xdr:row>6</xdr:row>
          <xdr:rowOff>7620</xdr:rowOff>
        </xdr:to>
        <xdr:sp macro="" textlink="">
          <xdr:nvSpPr>
            <xdr:cNvPr id="9220" name="Currency2Btn" hidden="1">
              <a:extLst>
                <a:ext uri="{63B3BB69-23CF-44E3-9099-C40C66FF867C}">
                  <a14:compatExt spid="_x0000_s9220"/>
                </a:ext>
                <a:ext uri="{FF2B5EF4-FFF2-40B4-BE49-F238E27FC236}">
                  <a16:creationId xmlns:a16="http://schemas.microsoft.com/office/drawing/2014/main" id="{59555E15-F4FA-6A95-3F8B-31268F79966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6</xdr:row>
          <xdr:rowOff>15240</xdr:rowOff>
        </xdr:from>
        <xdr:to>
          <xdr:col>3</xdr:col>
          <xdr:colOff>236220</xdr:colOff>
          <xdr:row>7</xdr:row>
          <xdr:rowOff>0</xdr:rowOff>
        </xdr:to>
        <xdr:sp macro="" textlink="">
          <xdr:nvSpPr>
            <xdr:cNvPr id="9222" name="AllocationBtn" hidden="1">
              <a:extLst>
                <a:ext uri="{63B3BB69-23CF-44E3-9099-C40C66FF867C}">
                  <a14:compatExt spid="_x0000_s9222"/>
                </a:ext>
                <a:ext uri="{FF2B5EF4-FFF2-40B4-BE49-F238E27FC236}">
                  <a16:creationId xmlns:a16="http://schemas.microsoft.com/office/drawing/2014/main" id="{5CB7A6AC-9DD9-4A6B-99FF-D1ECDE99B62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99060</xdr:colOff>
          <xdr:row>2</xdr:row>
          <xdr:rowOff>0</xdr:rowOff>
        </xdr:from>
        <xdr:to>
          <xdr:col>1</xdr:col>
          <xdr:colOff>99060</xdr:colOff>
          <xdr:row>2</xdr:row>
          <xdr:rowOff>152400</xdr:rowOff>
        </xdr:to>
        <xdr:sp macro="" textlink="">
          <xdr:nvSpPr>
            <xdr:cNvPr id="10241" name="GHGAnalChkBox" hidden="1">
              <a:extLst>
                <a:ext uri="{63B3BB69-23CF-44E3-9099-C40C66FF867C}">
                  <a14:compatExt spid="_x0000_s10241"/>
                </a:ext>
                <a:ext uri="{FF2B5EF4-FFF2-40B4-BE49-F238E27FC236}">
                  <a16:creationId xmlns:a16="http://schemas.microsoft.com/office/drawing/2014/main" id="{BBB53BBE-BDE3-F7FC-71D5-96B745E83E1A}"/>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68580</xdr:colOff>
          <xdr:row>5</xdr:row>
          <xdr:rowOff>0</xdr:rowOff>
        </xdr:from>
        <xdr:to>
          <xdr:col>13</xdr:col>
          <xdr:colOff>228600</xdr:colOff>
          <xdr:row>6</xdr:row>
          <xdr:rowOff>0</xdr:rowOff>
        </xdr:to>
        <xdr:sp macro="" textlink="">
          <xdr:nvSpPr>
            <xdr:cNvPr id="10242" name="StandardAnalBtn" hidden="1">
              <a:extLst>
                <a:ext uri="{63B3BB69-23CF-44E3-9099-C40C66FF867C}">
                  <a14:compatExt spid="_x0000_s10242"/>
                </a:ext>
                <a:ext uri="{FF2B5EF4-FFF2-40B4-BE49-F238E27FC236}">
                  <a16:creationId xmlns:a16="http://schemas.microsoft.com/office/drawing/2014/main" id="{347AB4F6-BB7F-37E1-4F57-07206959E81A}"/>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68580</xdr:colOff>
          <xdr:row>6</xdr:row>
          <xdr:rowOff>0</xdr:rowOff>
        </xdr:from>
        <xdr:to>
          <xdr:col>13</xdr:col>
          <xdr:colOff>228600</xdr:colOff>
          <xdr:row>7</xdr:row>
          <xdr:rowOff>0</xdr:rowOff>
        </xdr:to>
        <xdr:sp macro="" textlink="">
          <xdr:nvSpPr>
            <xdr:cNvPr id="10243" name="CustomAnalBtn" hidden="1">
              <a:extLst>
                <a:ext uri="{63B3BB69-23CF-44E3-9099-C40C66FF867C}">
                  <a14:compatExt spid="_x0000_s10243"/>
                </a:ext>
                <a:ext uri="{FF2B5EF4-FFF2-40B4-BE49-F238E27FC236}">
                  <a16:creationId xmlns:a16="http://schemas.microsoft.com/office/drawing/2014/main" id="{3EAC4736-F783-D504-5A11-75110343769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68580</xdr:colOff>
          <xdr:row>4</xdr:row>
          <xdr:rowOff>0</xdr:rowOff>
        </xdr:from>
        <xdr:to>
          <xdr:col>13</xdr:col>
          <xdr:colOff>228600</xdr:colOff>
          <xdr:row>5</xdr:row>
          <xdr:rowOff>0</xdr:rowOff>
        </xdr:to>
        <xdr:sp macro="" textlink="">
          <xdr:nvSpPr>
            <xdr:cNvPr id="10244" name="SimplifiedAnalBtn" hidden="1">
              <a:extLst>
                <a:ext uri="{63B3BB69-23CF-44E3-9099-C40C66FF867C}">
                  <a14:compatExt spid="_x0000_s10244"/>
                </a:ext>
                <a:ext uri="{FF2B5EF4-FFF2-40B4-BE49-F238E27FC236}">
                  <a16:creationId xmlns:a16="http://schemas.microsoft.com/office/drawing/2014/main" id="{4B933623-23F5-095A-9B5B-29268A15B6C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266700</xdr:colOff>
          <xdr:row>44</xdr:row>
          <xdr:rowOff>7620</xdr:rowOff>
        </xdr:from>
        <xdr:to>
          <xdr:col>13</xdr:col>
          <xdr:colOff>419100</xdr:colOff>
          <xdr:row>45</xdr:row>
          <xdr:rowOff>0</xdr:rowOff>
        </xdr:to>
        <xdr:sp macro="" textlink="">
          <xdr:nvSpPr>
            <xdr:cNvPr id="10246" name="BaselineChkBox" hidden="1">
              <a:extLst>
                <a:ext uri="{63B3BB69-23CF-44E3-9099-C40C66FF867C}">
                  <a14:compatExt spid="_x0000_s10246"/>
                </a:ext>
                <a:ext uri="{FF2B5EF4-FFF2-40B4-BE49-F238E27FC236}">
                  <a16:creationId xmlns:a16="http://schemas.microsoft.com/office/drawing/2014/main" id="{FB3AA672-BA7E-B680-5D9C-A58FE9E463C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6</xdr:col>
      <xdr:colOff>60960</xdr:colOff>
      <xdr:row>58</xdr:row>
      <xdr:rowOff>15240</xdr:rowOff>
    </xdr:from>
    <xdr:to>
      <xdr:col>16</xdr:col>
      <xdr:colOff>7620</xdr:colOff>
      <xdr:row>85</xdr:row>
      <xdr:rowOff>106680</xdr:rowOff>
    </xdr:to>
    <xdr:graphicFrame macro="">
      <xdr:nvGraphicFramePr>
        <xdr:cNvPr id="253774" name="Chart 1">
          <a:extLst>
            <a:ext uri="{FF2B5EF4-FFF2-40B4-BE49-F238E27FC236}">
              <a16:creationId xmlns:a16="http://schemas.microsoft.com/office/drawing/2014/main" id="{E7A20F64-AF96-6185-385C-ED2E21464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17</xdr:col>
          <xdr:colOff>60960</xdr:colOff>
          <xdr:row>19</xdr:row>
          <xdr:rowOff>30480</xdr:rowOff>
        </xdr:from>
        <xdr:to>
          <xdr:col>18</xdr:col>
          <xdr:colOff>68580</xdr:colOff>
          <xdr:row>20</xdr:row>
          <xdr:rowOff>7620</xdr:rowOff>
        </xdr:to>
        <xdr:sp macro="" textlink="">
          <xdr:nvSpPr>
            <xdr:cNvPr id="11266" name="CheckBox1" hidden="1">
              <a:extLst>
                <a:ext uri="{63B3BB69-23CF-44E3-9099-C40C66FF867C}">
                  <a14:compatExt spid="_x0000_s11266"/>
                </a:ext>
                <a:ext uri="{FF2B5EF4-FFF2-40B4-BE49-F238E27FC236}">
                  <a16:creationId xmlns:a16="http://schemas.microsoft.com/office/drawing/2014/main" id="{ACDF7AAF-38C3-EEF8-C1FC-2DE294EFD5B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83820</xdr:colOff>
          <xdr:row>47</xdr:row>
          <xdr:rowOff>137160</xdr:rowOff>
        </xdr:from>
        <xdr:to>
          <xdr:col>18</xdr:col>
          <xdr:colOff>99060</xdr:colOff>
          <xdr:row>48</xdr:row>
          <xdr:rowOff>114300</xdr:rowOff>
        </xdr:to>
        <xdr:sp macro="" textlink="">
          <xdr:nvSpPr>
            <xdr:cNvPr id="11267" name="CheckBox2" hidden="1">
              <a:extLst>
                <a:ext uri="{63B3BB69-23CF-44E3-9099-C40C66FF867C}">
                  <a14:compatExt spid="_x0000_s11267"/>
                </a:ext>
                <a:ext uri="{FF2B5EF4-FFF2-40B4-BE49-F238E27FC236}">
                  <a16:creationId xmlns:a16="http://schemas.microsoft.com/office/drawing/2014/main" id="{F500E072-E51F-AE6E-23B2-181059480BC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0</xdr:colOff>
          <xdr:row>62</xdr:row>
          <xdr:rowOff>121920</xdr:rowOff>
        </xdr:from>
        <xdr:to>
          <xdr:col>18</xdr:col>
          <xdr:colOff>160020</xdr:colOff>
          <xdr:row>63</xdr:row>
          <xdr:rowOff>106680</xdr:rowOff>
        </xdr:to>
        <xdr:sp macro="" textlink="">
          <xdr:nvSpPr>
            <xdr:cNvPr id="11268" name="CheckBox3" hidden="1">
              <a:extLst>
                <a:ext uri="{63B3BB69-23CF-44E3-9099-C40C66FF867C}">
                  <a14:compatExt spid="_x0000_s11268"/>
                </a:ext>
                <a:ext uri="{FF2B5EF4-FFF2-40B4-BE49-F238E27FC236}">
                  <a16:creationId xmlns:a16="http://schemas.microsoft.com/office/drawing/2014/main" id="{41A62674-5AD1-46FB-F801-C9FF5C4B77D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7620</xdr:colOff>
          <xdr:row>38</xdr:row>
          <xdr:rowOff>45720</xdr:rowOff>
        </xdr:from>
        <xdr:to>
          <xdr:col>18</xdr:col>
          <xdr:colOff>205740</xdr:colOff>
          <xdr:row>39</xdr:row>
          <xdr:rowOff>30480</xdr:rowOff>
        </xdr:to>
        <xdr:sp macro="" textlink="">
          <xdr:nvSpPr>
            <xdr:cNvPr id="11269" name="CheckBox4" hidden="1">
              <a:extLst>
                <a:ext uri="{63B3BB69-23CF-44E3-9099-C40C66FF867C}">
                  <a14:compatExt spid="_x0000_s11269"/>
                </a:ext>
                <a:ext uri="{FF2B5EF4-FFF2-40B4-BE49-F238E27FC236}">
                  <a16:creationId xmlns:a16="http://schemas.microsoft.com/office/drawing/2014/main" id="{64BE5402-EEF3-EBD4-D26D-D367DCAE2F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152400</xdr:colOff>
          <xdr:row>57</xdr:row>
          <xdr:rowOff>0</xdr:rowOff>
        </xdr:from>
        <xdr:to>
          <xdr:col>18</xdr:col>
          <xdr:colOff>167640</xdr:colOff>
          <xdr:row>57</xdr:row>
          <xdr:rowOff>144780</xdr:rowOff>
        </xdr:to>
        <xdr:sp macro="" textlink="">
          <xdr:nvSpPr>
            <xdr:cNvPr id="11270" name="CheckBox5" hidden="1">
              <a:extLst>
                <a:ext uri="{63B3BB69-23CF-44E3-9099-C40C66FF867C}">
                  <a14:compatExt spid="_x0000_s11270"/>
                </a:ext>
                <a:ext uri="{FF2B5EF4-FFF2-40B4-BE49-F238E27FC236}">
                  <a16:creationId xmlns:a16="http://schemas.microsoft.com/office/drawing/2014/main" id="{05BF75B7-7D85-B576-8B62-E234BFD6137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1</xdr:col>
      <xdr:colOff>30480</xdr:colOff>
      <xdr:row>59</xdr:row>
      <xdr:rowOff>15240</xdr:rowOff>
    </xdr:from>
    <xdr:to>
      <xdr:col>7</xdr:col>
      <xdr:colOff>1143000</xdr:colOff>
      <xdr:row>73</xdr:row>
      <xdr:rowOff>152400</xdr:rowOff>
    </xdr:to>
    <xdr:graphicFrame macro="">
      <xdr:nvGraphicFramePr>
        <xdr:cNvPr id="251953" name="Chart 1">
          <a:extLst>
            <a:ext uri="{FF2B5EF4-FFF2-40B4-BE49-F238E27FC236}">
              <a16:creationId xmlns:a16="http://schemas.microsoft.com/office/drawing/2014/main" id="{49666526-1771-75EC-59CD-D7871C9AB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76200</xdr:colOff>
      <xdr:row>76</xdr:row>
      <xdr:rowOff>0</xdr:rowOff>
    </xdr:from>
    <xdr:to>
      <xdr:col>7</xdr:col>
      <xdr:colOff>982980</xdr:colOff>
      <xdr:row>76</xdr:row>
      <xdr:rowOff>0</xdr:rowOff>
    </xdr:to>
    <xdr:graphicFrame macro="">
      <xdr:nvGraphicFramePr>
        <xdr:cNvPr id="251954" name="Chart 2">
          <a:extLst>
            <a:ext uri="{FF2B5EF4-FFF2-40B4-BE49-F238E27FC236}">
              <a16:creationId xmlns:a16="http://schemas.microsoft.com/office/drawing/2014/main" id="{D1639787-1C8D-F9CC-36C9-AC383E19E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76200</xdr:colOff>
      <xdr:row>76</xdr:row>
      <xdr:rowOff>0</xdr:rowOff>
    </xdr:from>
    <xdr:to>
      <xdr:col>7</xdr:col>
      <xdr:colOff>982980</xdr:colOff>
      <xdr:row>76</xdr:row>
      <xdr:rowOff>0</xdr:rowOff>
    </xdr:to>
    <xdr:graphicFrame macro="">
      <xdr:nvGraphicFramePr>
        <xdr:cNvPr id="251955" name="Chart 3">
          <a:extLst>
            <a:ext uri="{FF2B5EF4-FFF2-40B4-BE49-F238E27FC236}">
              <a16:creationId xmlns:a16="http://schemas.microsoft.com/office/drawing/2014/main" id="{DF17B2E2-FAAE-4D35-5138-9E871E72D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76200</xdr:colOff>
      <xdr:row>81</xdr:row>
      <xdr:rowOff>15240</xdr:rowOff>
    </xdr:from>
    <xdr:to>
      <xdr:col>7</xdr:col>
      <xdr:colOff>982980</xdr:colOff>
      <xdr:row>97</xdr:row>
      <xdr:rowOff>144780</xdr:rowOff>
    </xdr:to>
    <xdr:graphicFrame macro="">
      <xdr:nvGraphicFramePr>
        <xdr:cNvPr id="251956" name="Chart 4">
          <a:extLst>
            <a:ext uri="{FF2B5EF4-FFF2-40B4-BE49-F238E27FC236}">
              <a16:creationId xmlns:a16="http://schemas.microsoft.com/office/drawing/2014/main" id="{2A2871EF-62A7-30CB-60E5-E340BBEA0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76200</xdr:colOff>
      <xdr:row>76</xdr:row>
      <xdr:rowOff>0</xdr:rowOff>
    </xdr:from>
    <xdr:to>
      <xdr:col>7</xdr:col>
      <xdr:colOff>929640</xdr:colOff>
      <xdr:row>76</xdr:row>
      <xdr:rowOff>0</xdr:rowOff>
    </xdr:to>
    <xdr:graphicFrame macro="">
      <xdr:nvGraphicFramePr>
        <xdr:cNvPr id="251957" name="Chart 5">
          <a:extLst>
            <a:ext uri="{FF2B5EF4-FFF2-40B4-BE49-F238E27FC236}">
              <a16:creationId xmlns:a16="http://schemas.microsoft.com/office/drawing/2014/main" id="{233EFB48-4C02-7518-D6F3-73066684E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xdr:from>
          <xdr:col>0</xdr:col>
          <xdr:colOff>0</xdr:colOff>
          <xdr:row>2</xdr:row>
          <xdr:rowOff>0</xdr:rowOff>
        </xdr:from>
        <xdr:to>
          <xdr:col>1</xdr:col>
          <xdr:colOff>0</xdr:colOff>
          <xdr:row>2</xdr:row>
          <xdr:rowOff>160020</xdr:rowOff>
        </xdr:to>
        <xdr:sp macro="" textlink="">
          <xdr:nvSpPr>
            <xdr:cNvPr id="13318" name="SensChkBox" hidden="1">
              <a:extLst>
                <a:ext uri="{63B3BB69-23CF-44E3-9099-C40C66FF867C}">
                  <a14:compatExt spid="_x0000_s13318"/>
                </a:ext>
                <a:ext uri="{FF2B5EF4-FFF2-40B4-BE49-F238E27FC236}">
                  <a16:creationId xmlns:a16="http://schemas.microsoft.com/office/drawing/2014/main" id="{5F7B09F2-C77D-ED03-C1DD-41400C9AE2BA}"/>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36</xdr:row>
          <xdr:rowOff>0</xdr:rowOff>
        </xdr:from>
        <xdr:to>
          <xdr:col>1</xdr:col>
          <xdr:colOff>0</xdr:colOff>
          <xdr:row>36</xdr:row>
          <xdr:rowOff>152400</xdr:rowOff>
        </xdr:to>
        <xdr:sp macro="" textlink="">
          <xdr:nvSpPr>
            <xdr:cNvPr id="13319" name="RiskChkBox" hidden="1">
              <a:extLst>
                <a:ext uri="{63B3BB69-23CF-44E3-9099-C40C66FF867C}">
                  <a14:compatExt spid="_x0000_s13319"/>
                </a:ext>
                <a:ext uri="{FF2B5EF4-FFF2-40B4-BE49-F238E27FC236}">
                  <a16:creationId xmlns:a16="http://schemas.microsoft.com/office/drawing/2014/main" id="{04EAF006-DD1E-B4D0-19A3-D6B34EC33CA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4</xdr:col>
      <xdr:colOff>678180</xdr:colOff>
      <xdr:row>394</xdr:row>
      <xdr:rowOff>15240</xdr:rowOff>
    </xdr:from>
    <xdr:to>
      <xdr:col>9</xdr:col>
      <xdr:colOff>754380</xdr:colOff>
      <xdr:row>418</xdr:row>
      <xdr:rowOff>45720</xdr:rowOff>
    </xdr:to>
    <xdr:graphicFrame macro="">
      <xdr:nvGraphicFramePr>
        <xdr:cNvPr id="151319" name="Chart 1">
          <a:extLst>
            <a:ext uri="{FF2B5EF4-FFF2-40B4-BE49-F238E27FC236}">
              <a16:creationId xmlns:a16="http://schemas.microsoft.com/office/drawing/2014/main" id="{F876DB80-DA36-5F01-729C-40F854AEE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10</xdr:col>
          <xdr:colOff>243840</xdr:colOff>
          <xdr:row>3</xdr:row>
          <xdr:rowOff>45720</xdr:rowOff>
        </xdr:from>
        <xdr:to>
          <xdr:col>11</xdr:col>
          <xdr:colOff>182880</xdr:colOff>
          <xdr:row>4</xdr:row>
          <xdr:rowOff>38100</xdr:rowOff>
        </xdr:to>
        <xdr:sp macro="" textlink="">
          <xdr:nvSpPr>
            <xdr:cNvPr id="16386" name="CheckBox1" hidden="1">
              <a:extLst>
                <a:ext uri="{63B3BB69-23CF-44E3-9099-C40C66FF867C}">
                  <a14:compatExt spid="_x0000_s16386"/>
                </a:ext>
                <a:ext uri="{FF2B5EF4-FFF2-40B4-BE49-F238E27FC236}">
                  <a16:creationId xmlns:a16="http://schemas.microsoft.com/office/drawing/2014/main" id="{D7111718-D280-268A-19CA-D27604036FB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243840</xdr:colOff>
          <xdr:row>4</xdr:row>
          <xdr:rowOff>45720</xdr:rowOff>
        </xdr:from>
        <xdr:to>
          <xdr:col>11</xdr:col>
          <xdr:colOff>182880</xdr:colOff>
          <xdr:row>5</xdr:row>
          <xdr:rowOff>38100</xdr:rowOff>
        </xdr:to>
        <xdr:sp macro="" textlink="">
          <xdr:nvSpPr>
            <xdr:cNvPr id="16387" name="CheckBox2" hidden="1">
              <a:extLst>
                <a:ext uri="{63B3BB69-23CF-44E3-9099-C40C66FF867C}">
                  <a14:compatExt spid="_x0000_s16387"/>
                </a:ext>
                <a:ext uri="{FF2B5EF4-FFF2-40B4-BE49-F238E27FC236}">
                  <a16:creationId xmlns:a16="http://schemas.microsoft.com/office/drawing/2014/main" id="{82F9BC7E-535F-2BCA-1F5E-3EE5E3EFD39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243840</xdr:colOff>
          <xdr:row>7</xdr:row>
          <xdr:rowOff>45720</xdr:rowOff>
        </xdr:from>
        <xdr:to>
          <xdr:col>11</xdr:col>
          <xdr:colOff>182880</xdr:colOff>
          <xdr:row>8</xdr:row>
          <xdr:rowOff>38100</xdr:rowOff>
        </xdr:to>
        <xdr:sp macro="" textlink="">
          <xdr:nvSpPr>
            <xdr:cNvPr id="16388" name="CheckBox3" hidden="1">
              <a:extLst>
                <a:ext uri="{63B3BB69-23CF-44E3-9099-C40C66FF867C}">
                  <a14:compatExt spid="_x0000_s16388"/>
                </a:ext>
                <a:ext uri="{FF2B5EF4-FFF2-40B4-BE49-F238E27FC236}">
                  <a16:creationId xmlns:a16="http://schemas.microsoft.com/office/drawing/2014/main" id="{7D8CFA6D-AFAD-CE5E-3C86-0E62EFFE38A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243840</xdr:colOff>
          <xdr:row>8</xdr:row>
          <xdr:rowOff>45720</xdr:rowOff>
        </xdr:from>
        <xdr:to>
          <xdr:col>11</xdr:col>
          <xdr:colOff>182880</xdr:colOff>
          <xdr:row>9</xdr:row>
          <xdr:rowOff>38100</xdr:rowOff>
        </xdr:to>
        <xdr:sp macro="" textlink="">
          <xdr:nvSpPr>
            <xdr:cNvPr id="16389" name="CheckBox4" hidden="1">
              <a:extLst>
                <a:ext uri="{63B3BB69-23CF-44E3-9099-C40C66FF867C}">
                  <a14:compatExt spid="_x0000_s16389"/>
                </a:ext>
                <a:ext uri="{FF2B5EF4-FFF2-40B4-BE49-F238E27FC236}">
                  <a16:creationId xmlns:a16="http://schemas.microsoft.com/office/drawing/2014/main" id="{5C645DF9-5CC6-147E-88D3-AA4428B93DC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243840</xdr:colOff>
          <xdr:row>9</xdr:row>
          <xdr:rowOff>38100</xdr:rowOff>
        </xdr:from>
        <xdr:to>
          <xdr:col>11</xdr:col>
          <xdr:colOff>182880</xdr:colOff>
          <xdr:row>10</xdr:row>
          <xdr:rowOff>30480</xdr:rowOff>
        </xdr:to>
        <xdr:sp macro="" textlink="">
          <xdr:nvSpPr>
            <xdr:cNvPr id="16390" name="CheckBox5" hidden="1">
              <a:extLst>
                <a:ext uri="{63B3BB69-23CF-44E3-9099-C40C66FF867C}">
                  <a14:compatExt spid="_x0000_s16390"/>
                </a:ext>
                <a:ext uri="{FF2B5EF4-FFF2-40B4-BE49-F238E27FC236}">
                  <a16:creationId xmlns:a16="http://schemas.microsoft.com/office/drawing/2014/main" id="{1235B1F8-7AE7-C005-3642-42A9C153FD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289560</xdr:colOff>
          <xdr:row>3</xdr:row>
          <xdr:rowOff>76200</xdr:rowOff>
        </xdr:from>
        <xdr:to>
          <xdr:col>11</xdr:col>
          <xdr:colOff>487680</xdr:colOff>
          <xdr:row>4</xdr:row>
          <xdr:rowOff>68580</xdr:rowOff>
        </xdr:to>
        <xdr:sp macro="" textlink="">
          <xdr:nvSpPr>
            <xdr:cNvPr id="16391" name="CheckBox6" hidden="1">
              <a:extLst>
                <a:ext uri="{63B3BB69-23CF-44E3-9099-C40C66FF867C}">
                  <a14:compatExt spid="_x0000_s16391"/>
                </a:ext>
                <a:ext uri="{FF2B5EF4-FFF2-40B4-BE49-F238E27FC236}">
                  <a16:creationId xmlns:a16="http://schemas.microsoft.com/office/drawing/2014/main" id="{73A6FECC-C961-AFB2-C502-C68A5FC3CAEA}"/>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289560</xdr:colOff>
          <xdr:row>4</xdr:row>
          <xdr:rowOff>76200</xdr:rowOff>
        </xdr:from>
        <xdr:to>
          <xdr:col>11</xdr:col>
          <xdr:colOff>487680</xdr:colOff>
          <xdr:row>5</xdr:row>
          <xdr:rowOff>68580</xdr:rowOff>
        </xdr:to>
        <xdr:sp macro="" textlink="">
          <xdr:nvSpPr>
            <xdr:cNvPr id="16392" name="CheckBox7" hidden="1">
              <a:extLst>
                <a:ext uri="{63B3BB69-23CF-44E3-9099-C40C66FF867C}">
                  <a14:compatExt spid="_x0000_s16392"/>
                </a:ext>
                <a:ext uri="{FF2B5EF4-FFF2-40B4-BE49-F238E27FC236}">
                  <a16:creationId xmlns:a16="http://schemas.microsoft.com/office/drawing/2014/main" id="{E12DF63A-7C8E-ECC0-1569-4542996D51C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289560</xdr:colOff>
          <xdr:row>5</xdr:row>
          <xdr:rowOff>76200</xdr:rowOff>
        </xdr:from>
        <xdr:to>
          <xdr:col>11</xdr:col>
          <xdr:colOff>487680</xdr:colOff>
          <xdr:row>6</xdr:row>
          <xdr:rowOff>68580</xdr:rowOff>
        </xdr:to>
        <xdr:sp macro="" textlink="">
          <xdr:nvSpPr>
            <xdr:cNvPr id="16393" name="CheckBox8" hidden="1">
              <a:extLst>
                <a:ext uri="{63B3BB69-23CF-44E3-9099-C40C66FF867C}">
                  <a14:compatExt spid="_x0000_s16393"/>
                </a:ext>
                <a:ext uri="{FF2B5EF4-FFF2-40B4-BE49-F238E27FC236}">
                  <a16:creationId xmlns:a16="http://schemas.microsoft.com/office/drawing/2014/main" id="{8BF83E72-E6F6-BDE3-5F0A-0CC8C1B550C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289560</xdr:colOff>
          <xdr:row>7</xdr:row>
          <xdr:rowOff>76200</xdr:rowOff>
        </xdr:from>
        <xdr:to>
          <xdr:col>11</xdr:col>
          <xdr:colOff>487680</xdr:colOff>
          <xdr:row>8</xdr:row>
          <xdr:rowOff>68580</xdr:rowOff>
        </xdr:to>
        <xdr:sp macro="" textlink="">
          <xdr:nvSpPr>
            <xdr:cNvPr id="16394" name="CheckBox9" hidden="1">
              <a:extLst>
                <a:ext uri="{63B3BB69-23CF-44E3-9099-C40C66FF867C}">
                  <a14:compatExt spid="_x0000_s16394"/>
                </a:ext>
                <a:ext uri="{FF2B5EF4-FFF2-40B4-BE49-F238E27FC236}">
                  <a16:creationId xmlns:a16="http://schemas.microsoft.com/office/drawing/2014/main" id="{267B6B4A-CACD-E4AC-83AB-EC6F01E9FA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289560</xdr:colOff>
          <xdr:row>8</xdr:row>
          <xdr:rowOff>76200</xdr:rowOff>
        </xdr:from>
        <xdr:to>
          <xdr:col>11</xdr:col>
          <xdr:colOff>487680</xdr:colOff>
          <xdr:row>9</xdr:row>
          <xdr:rowOff>68580</xdr:rowOff>
        </xdr:to>
        <xdr:sp macro="" textlink="">
          <xdr:nvSpPr>
            <xdr:cNvPr id="16395" name="CheckBox10" hidden="1">
              <a:extLst>
                <a:ext uri="{63B3BB69-23CF-44E3-9099-C40C66FF867C}">
                  <a14:compatExt spid="_x0000_s16395"/>
                </a:ext>
                <a:ext uri="{FF2B5EF4-FFF2-40B4-BE49-F238E27FC236}">
                  <a16:creationId xmlns:a16="http://schemas.microsoft.com/office/drawing/2014/main" id="{D8ACD141-79D5-D2DC-A355-ED743F14C3F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289560</xdr:colOff>
          <xdr:row>9</xdr:row>
          <xdr:rowOff>76200</xdr:rowOff>
        </xdr:from>
        <xdr:to>
          <xdr:col>11</xdr:col>
          <xdr:colOff>487680</xdr:colOff>
          <xdr:row>10</xdr:row>
          <xdr:rowOff>68580</xdr:rowOff>
        </xdr:to>
        <xdr:sp macro="" textlink="">
          <xdr:nvSpPr>
            <xdr:cNvPr id="16396" name="CheckBox11" hidden="1">
              <a:extLst>
                <a:ext uri="{63B3BB69-23CF-44E3-9099-C40C66FF867C}">
                  <a14:compatExt spid="_x0000_s16396"/>
                </a:ext>
                <a:ext uri="{FF2B5EF4-FFF2-40B4-BE49-F238E27FC236}">
                  <a16:creationId xmlns:a16="http://schemas.microsoft.com/office/drawing/2014/main" id="{40C9C3E3-C8C4-CAC2-CEF5-3CD7736FD5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68580</xdr:colOff>
          <xdr:row>3</xdr:row>
          <xdr:rowOff>53340</xdr:rowOff>
        </xdr:from>
        <xdr:to>
          <xdr:col>12</xdr:col>
          <xdr:colOff>266700</xdr:colOff>
          <xdr:row>4</xdr:row>
          <xdr:rowOff>45720</xdr:rowOff>
        </xdr:to>
        <xdr:sp macro="" textlink="">
          <xdr:nvSpPr>
            <xdr:cNvPr id="16397" name="CheckBox12" hidden="1">
              <a:extLst>
                <a:ext uri="{63B3BB69-23CF-44E3-9099-C40C66FF867C}">
                  <a14:compatExt spid="_x0000_s16397"/>
                </a:ext>
                <a:ext uri="{FF2B5EF4-FFF2-40B4-BE49-F238E27FC236}">
                  <a16:creationId xmlns:a16="http://schemas.microsoft.com/office/drawing/2014/main" id="{D0637D5B-91D1-FDE2-4726-C740586CB71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68580</xdr:colOff>
          <xdr:row>4</xdr:row>
          <xdr:rowOff>53340</xdr:rowOff>
        </xdr:from>
        <xdr:to>
          <xdr:col>12</xdr:col>
          <xdr:colOff>266700</xdr:colOff>
          <xdr:row>5</xdr:row>
          <xdr:rowOff>45720</xdr:rowOff>
        </xdr:to>
        <xdr:sp macro="" textlink="">
          <xdr:nvSpPr>
            <xdr:cNvPr id="16398" name="CheckBox13" hidden="1">
              <a:extLst>
                <a:ext uri="{63B3BB69-23CF-44E3-9099-C40C66FF867C}">
                  <a14:compatExt spid="_x0000_s16398"/>
                </a:ext>
                <a:ext uri="{FF2B5EF4-FFF2-40B4-BE49-F238E27FC236}">
                  <a16:creationId xmlns:a16="http://schemas.microsoft.com/office/drawing/2014/main" id="{0D576239-1FA4-D7C4-0E99-D9BB873B7A0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68580</xdr:colOff>
          <xdr:row>5</xdr:row>
          <xdr:rowOff>45720</xdr:rowOff>
        </xdr:from>
        <xdr:to>
          <xdr:col>12</xdr:col>
          <xdr:colOff>266700</xdr:colOff>
          <xdr:row>6</xdr:row>
          <xdr:rowOff>38100</xdr:rowOff>
        </xdr:to>
        <xdr:sp macro="" textlink="">
          <xdr:nvSpPr>
            <xdr:cNvPr id="16399" name="CheckBox14" hidden="1">
              <a:extLst>
                <a:ext uri="{63B3BB69-23CF-44E3-9099-C40C66FF867C}">
                  <a14:compatExt spid="_x0000_s16399"/>
                </a:ext>
                <a:ext uri="{FF2B5EF4-FFF2-40B4-BE49-F238E27FC236}">
                  <a16:creationId xmlns:a16="http://schemas.microsoft.com/office/drawing/2014/main" id="{DAD924F2-A41A-F975-85DB-11B7559219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68580</xdr:colOff>
          <xdr:row>8</xdr:row>
          <xdr:rowOff>53340</xdr:rowOff>
        </xdr:from>
        <xdr:to>
          <xdr:col>12</xdr:col>
          <xdr:colOff>266700</xdr:colOff>
          <xdr:row>9</xdr:row>
          <xdr:rowOff>45720</xdr:rowOff>
        </xdr:to>
        <xdr:sp macro="" textlink="">
          <xdr:nvSpPr>
            <xdr:cNvPr id="16400" name="CheckBox15" hidden="1">
              <a:extLst>
                <a:ext uri="{63B3BB69-23CF-44E3-9099-C40C66FF867C}">
                  <a14:compatExt spid="_x0000_s16400"/>
                </a:ext>
                <a:ext uri="{FF2B5EF4-FFF2-40B4-BE49-F238E27FC236}">
                  <a16:creationId xmlns:a16="http://schemas.microsoft.com/office/drawing/2014/main" id="{E2128774-26F3-0BCE-0CB7-51CDDD24CB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845820</xdr:colOff>
          <xdr:row>471</xdr:row>
          <xdr:rowOff>7620</xdr:rowOff>
        </xdr:from>
        <xdr:to>
          <xdr:col>13</xdr:col>
          <xdr:colOff>167640</xdr:colOff>
          <xdr:row>472</xdr:row>
          <xdr:rowOff>0</xdr:rowOff>
        </xdr:to>
        <xdr:sp macro="" textlink="">
          <xdr:nvSpPr>
            <xdr:cNvPr id="16403" name="OptionButton3" hidden="1">
              <a:extLst>
                <a:ext uri="{63B3BB69-23CF-44E3-9099-C40C66FF867C}">
                  <a14:compatExt spid="_x0000_s16403"/>
                </a:ext>
                <a:ext uri="{FF2B5EF4-FFF2-40B4-BE49-F238E27FC236}">
                  <a16:creationId xmlns:a16="http://schemas.microsoft.com/office/drawing/2014/main" id="{9C516455-6F3F-EE1B-78ED-D3F6A20115E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845820</xdr:colOff>
          <xdr:row>472</xdr:row>
          <xdr:rowOff>7620</xdr:rowOff>
        </xdr:from>
        <xdr:to>
          <xdr:col>13</xdr:col>
          <xdr:colOff>198120</xdr:colOff>
          <xdr:row>472</xdr:row>
          <xdr:rowOff>152400</xdr:rowOff>
        </xdr:to>
        <xdr:sp macro="" textlink="">
          <xdr:nvSpPr>
            <xdr:cNvPr id="16404" name="OptionButton4" hidden="1">
              <a:extLst>
                <a:ext uri="{63B3BB69-23CF-44E3-9099-C40C66FF867C}">
                  <a14:compatExt spid="_x0000_s16404"/>
                </a:ext>
                <a:ext uri="{FF2B5EF4-FFF2-40B4-BE49-F238E27FC236}">
                  <a16:creationId xmlns:a16="http://schemas.microsoft.com/office/drawing/2014/main" id="{D1DF859B-2842-6528-9EF7-661639E689C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777240</xdr:colOff>
          <xdr:row>449</xdr:row>
          <xdr:rowOff>0</xdr:rowOff>
        </xdr:from>
        <xdr:to>
          <xdr:col>13</xdr:col>
          <xdr:colOff>91440</xdr:colOff>
          <xdr:row>450</xdr:row>
          <xdr:rowOff>7620</xdr:rowOff>
        </xdr:to>
        <xdr:sp macro="" textlink="">
          <xdr:nvSpPr>
            <xdr:cNvPr id="16405" name="OptionButton5" hidden="1">
              <a:extLst>
                <a:ext uri="{63B3BB69-23CF-44E3-9099-C40C66FF867C}">
                  <a14:compatExt spid="_x0000_s16405"/>
                </a:ext>
                <a:ext uri="{FF2B5EF4-FFF2-40B4-BE49-F238E27FC236}">
                  <a16:creationId xmlns:a16="http://schemas.microsoft.com/office/drawing/2014/main" id="{7514F657-032D-572D-B332-79BD2970A9E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777240</xdr:colOff>
          <xdr:row>450</xdr:row>
          <xdr:rowOff>0</xdr:rowOff>
        </xdr:from>
        <xdr:to>
          <xdr:col>13</xdr:col>
          <xdr:colOff>152400</xdr:colOff>
          <xdr:row>451</xdr:row>
          <xdr:rowOff>68580</xdr:rowOff>
        </xdr:to>
        <xdr:sp macro="" textlink="">
          <xdr:nvSpPr>
            <xdr:cNvPr id="16406" name="OptionButton6" hidden="1">
              <a:extLst>
                <a:ext uri="{63B3BB69-23CF-44E3-9099-C40C66FF867C}">
                  <a14:compatExt spid="_x0000_s16406"/>
                </a:ext>
                <a:ext uri="{FF2B5EF4-FFF2-40B4-BE49-F238E27FC236}">
                  <a16:creationId xmlns:a16="http://schemas.microsoft.com/office/drawing/2014/main" id="{B2740298-DEB2-3E93-8C3F-F6074CB1CEE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289560</xdr:colOff>
          <xdr:row>6</xdr:row>
          <xdr:rowOff>76200</xdr:rowOff>
        </xdr:from>
        <xdr:to>
          <xdr:col>11</xdr:col>
          <xdr:colOff>487680</xdr:colOff>
          <xdr:row>7</xdr:row>
          <xdr:rowOff>68580</xdr:rowOff>
        </xdr:to>
        <xdr:sp macro="" textlink="">
          <xdr:nvSpPr>
            <xdr:cNvPr id="16438" name="CheckBox16" hidden="1">
              <a:extLst>
                <a:ext uri="{63B3BB69-23CF-44E3-9099-C40C66FF867C}">
                  <a14:compatExt spid="_x0000_s16438"/>
                </a:ext>
                <a:ext uri="{FF2B5EF4-FFF2-40B4-BE49-F238E27FC236}">
                  <a16:creationId xmlns:a16="http://schemas.microsoft.com/office/drawing/2014/main" id="{9D1E1402-6D44-5F4B-35FA-8D34CE3A53BD}"/>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243840</xdr:colOff>
          <xdr:row>5</xdr:row>
          <xdr:rowOff>38100</xdr:rowOff>
        </xdr:from>
        <xdr:to>
          <xdr:col>11</xdr:col>
          <xdr:colOff>182880</xdr:colOff>
          <xdr:row>6</xdr:row>
          <xdr:rowOff>30480</xdr:rowOff>
        </xdr:to>
        <xdr:sp macro="" textlink="">
          <xdr:nvSpPr>
            <xdr:cNvPr id="16439" name="CheckBox17" hidden="1">
              <a:extLst>
                <a:ext uri="{63B3BB69-23CF-44E3-9099-C40C66FF867C}">
                  <a14:compatExt spid="_x0000_s16439"/>
                </a:ext>
                <a:ext uri="{FF2B5EF4-FFF2-40B4-BE49-F238E27FC236}">
                  <a16:creationId xmlns:a16="http://schemas.microsoft.com/office/drawing/2014/main" id="{69AA02AA-7C3C-C919-F185-CAA3B727AD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68580</xdr:colOff>
          <xdr:row>7</xdr:row>
          <xdr:rowOff>53340</xdr:rowOff>
        </xdr:from>
        <xdr:to>
          <xdr:col>12</xdr:col>
          <xdr:colOff>266700</xdr:colOff>
          <xdr:row>8</xdr:row>
          <xdr:rowOff>45720</xdr:rowOff>
        </xdr:to>
        <xdr:sp macro="" textlink="">
          <xdr:nvSpPr>
            <xdr:cNvPr id="16440" name="CheckBox18" hidden="1">
              <a:extLst>
                <a:ext uri="{63B3BB69-23CF-44E3-9099-C40C66FF867C}">
                  <a14:compatExt spid="_x0000_s16440"/>
                </a:ext>
                <a:ext uri="{FF2B5EF4-FFF2-40B4-BE49-F238E27FC236}">
                  <a16:creationId xmlns:a16="http://schemas.microsoft.com/office/drawing/2014/main" id="{78559824-AD8F-5513-1F92-A81A019094D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68580</xdr:colOff>
          <xdr:row>6</xdr:row>
          <xdr:rowOff>53340</xdr:rowOff>
        </xdr:from>
        <xdr:to>
          <xdr:col>12</xdr:col>
          <xdr:colOff>266700</xdr:colOff>
          <xdr:row>7</xdr:row>
          <xdr:rowOff>45720</xdr:rowOff>
        </xdr:to>
        <xdr:sp macro="" textlink="">
          <xdr:nvSpPr>
            <xdr:cNvPr id="16441" name="CheckBox19" hidden="1">
              <a:extLst>
                <a:ext uri="{63B3BB69-23CF-44E3-9099-C40C66FF867C}">
                  <a14:compatExt spid="_x0000_s16441"/>
                </a:ext>
                <a:ext uri="{FF2B5EF4-FFF2-40B4-BE49-F238E27FC236}">
                  <a16:creationId xmlns:a16="http://schemas.microsoft.com/office/drawing/2014/main" id="{54AAC8A6-213F-6DB3-A762-D53E8098B1E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106680</xdr:colOff>
          <xdr:row>545</xdr:row>
          <xdr:rowOff>38100</xdr:rowOff>
        </xdr:from>
        <xdr:to>
          <xdr:col>12</xdr:col>
          <xdr:colOff>373380</xdr:colOff>
          <xdr:row>546</xdr:row>
          <xdr:rowOff>7620</xdr:rowOff>
        </xdr:to>
        <xdr:sp macro="" textlink="">
          <xdr:nvSpPr>
            <xdr:cNvPr id="16456" name="OptionButton7" hidden="1">
              <a:extLst>
                <a:ext uri="{63B3BB69-23CF-44E3-9099-C40C66FF867C}">
                  <a14:compatExt spid="_x0000_s16456"/>
                </a:ext>
                <a:ext uri="{FF2B5EF4-FFF2-40B4-BE49-F238E27FC236}">
                  <a16:creationId xmlns:a16="http://schemas.microsoft.com/office/drawing/2014/main" id="{7E947041-09C3-EC9A-FA83-D48D9AB80B85}"/>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106680</xdr:colOff>
          <xdr:row>546</xdr:row>
          <xdr:rowOff>15240</xdr:rowOff>
        </xdr:from>
        <xdr:to>
          <xdr:col>12</xdr:col>
          <xdr:colOff>373380</xdr:colOff>
          <xdr:row>546</xdr:row>
          <xdr:rowOff>152400</xdr:rowOff>
        </xdr:to>
        <xdr:sp macro="" textlink="">
          <xdr:nvSpPr>
            <xdr:cNvPr id="16457" name="OptionButton8" hidden="1">
              <a:extLst>
                <a:ext uri="{63B3BB69-23CF-44E3-9099-C40C66FF867C}">
                  <a14:compatExt spid="_x0000_s16457"/>
                </a:ext>
                <a:ext uri="{FF2B5EF4-FFF2-40B4-BE49-F238E27FC236}">
                  <a16:creationId xmlns:a16="http://schemas.microsoft.com/office/drawing/2014/main" id="{6C6821F6-6D6A-1D4F-261F-4AC9D80C8F5D}"/>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243840</xdr:colOff>
          <xdr:row>6</xdr:row>
          <xdr:rowOff>45720</xdr:rowOff>
        </xdr:from>
        <xdr:to>
          <xdr:col>11</xdr:col>
          <xdr:colOff>182880</xdr:colOff>
          <xdr:row>7</xdr:row>
          <xdr:rowOff>38100</xdr:rowOff>
        </xdr:to>
        <xdr:sp macro="" textlink="">
          <xdr:nvSpPr>
            <xdr:cNvPr id="16731" name="CheckBox20" hidden="1">
              <a:extLst>
                <a:ext uri="{63B3BB69-23CF-44E3-9099-C40C66FF867C}">
                  <a14:compatExt spid="_x0000_s16731"/>
                </a:ext>
                <a:ext uri="{FF2B5EF4-FFF2-40B4-BE49-F238E27FC236}">
                  <a16:creationId xmlns:a16="http://schemas.microsoft.com/office/drawing/2014/main" id="{29919D62-FD3C-CEB4-C509-A02D28076876}"/>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68580</xdr:colOff>
          <xdr:row>9</xdr:row>
          <xdr:rowOff>45720</xdr:rowOff>
        </xdr:from>
        <xdr:to>
          <xdr:col>12</xdr:col>
          <xdr:colOff>266700</xdr:colOff>
          <xdr:row>10</xdr:row>
          <xdr:rowOff>38100</xdr:rowOff>
        </xdr:to>
        <xdr:sp macro="" textlink="">
          <xdr:nvSpPr>
            <xdr:cNvPr id="16732" name="CheckBox21" hidden="1">
              <a:extLst>
                <a:ext uri="{63B3BB69-23CF-44E3-9099-C40C66FF867C}">
                  <a14:compatExt spid="_x0000_s16732"/>
                </a:ext>
                <a:ext uri="{FF2B5EF4-FFF2-40B4-BE49-F238E27FC236}">
                  <a16:creationId xmlns:a16="http://schemas.microsoft.com/office/drawing/2014/main" id="{ADD53C81-CB4B-CA36-D7BD-05A2C69542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579120</xdr:colOff>
          <xdr:row>136</xdr:row>
          <xdr:rowOff>7620</xdr:rowOff>
        </xdr:from>
        <xdr:to>
          <xdr:col>12</xdr:col>
          <xdr:colOff>114300</xdr:colOff>
          <xdr:row>137</xdr:row>
          <xdr:rowOff>0</xdr:rowOff>
        </xdr:to>
        <xdr:sp macro="" textlink="">
          <xdr:nvSpPr>
            <xdr:cNvPr id="16747" name="OptionButton10" hidden="1">
              <a:extLst>
                <a:ext uri="{63B3BB69-23CF-44E3-9099-C40C66FF867C}">
                  <a14:compatExt spid="_x0000_s16747"/>
                </a:ext>
                <a:ext uri="{FF2B5EF4-FFF2-40B4-BE49-F238E27FC236}">
                  <a16:creationId xmlns:a16="http://schemas.microsoft.com/office/drawing/2014/main" id="{ED39DD3C-C945-F1B2-B4B4-813651F6D475}"/>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579120</xdr:colOff>
          <xdr:row>137</xdr:row>
          <xdr:rowOff>7620</xdr:rowOff>
        </xdr:from>
        <xdr:to>
          <xdr:col>12</xdr:col>
          <xdr:colOff>129540</xdr:colOff>
          <xdr:row>138</xdr:row>
          <xdr:rowOff>0</xdr:rowOff>
        </xdr:to>
        <xdr:sp macro="" textlink="">
          <xdr:nvSpPr>
            <xdr:cNvPr id="16748" name="OptionButton11" hidden="1">
              <a:extLst>
                <a:ext uri="{63B3BB69-23CF-44E3-9099-C40C66FF867C}">
                  <a14:compatExt spid="_x0000_s16748"/>
                </a:ext>
                <a:ext uri="{FF2B5EF4-FFF2-40B4-BE49-F238E27FC236}">
                  <a16:creationId xmlns:a16="http://schemas.microsoft.com/office/drawing/2014/main" id="{93C3BF61-C12C-49B2-382B-93C17FAA34FD}"/>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45720</xdr:colOff>
          <xdr:row>336</xdr:row>
          <xdr:rowOff>68580</xdr:rowOff>
        </xdr:from>
        <xdr:to>
          <xdr:col>12</xdr:col>
          <xdr:colOff>243840</xdr:colOff>
          <xdr:row>337</xdr:row>
          <xdr:rowOff>53340</xdr:rowOff>
        </xdr:to>
        <xdr:sp macro="" textlink="">
          <xdr:nvSpPr>
            <xdr:cNvPr id="16790" name="CheckBox22" hidden="1">
              <a:extLst>
                <a:ext uri="{63B3BB69-23CF-44E3-9099-C40C66FF867C}">
                  <a14:compatExt spid="_x0000_s16790"/>
                </a:ext>
                <a:ext uri="{FF2B5EF4-FFF2-40B4-BE49-F238E27FC236}">
                  <a16:creationId xmlns:a16="http://schemas.microsoft.com/office/drawing/2014/main" id="{B264ED2F-E31A-6E33-AB22-7E1F22C66751}"/>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624840</xdr:colOff>
          <xdr:row>341</xdr:row>
          <xdr:rowOff>0</xdr:rowOff>
        </xdr:from>
        <xdr:to>
          <xdr:col>12</xdr:col>
          <xdr:colOff>152400</xdr:colOff>
          <xdr:row>341</xdr:row>
          <xdr:rowOff>152400</xdr:rowOff>
        </xdr:to>
        <xdr:sp macro="" textlink="">
          <xdr:nvSpPr>
            <xdr:cNvPr id="16791" name="CheckBox23" hidden="1">
              <a:extLst>
                <a:ext uri="{63B3BB69-23CF-44E3-9099-C40C66FF867C}">
                  <a14:compatExt spid="_x0000_s16791"/>
                </a:ext>
                <a:ext uri="{FF2B5EF4-FFF2-40B4-BE49-F238E27FC236}">
                  <a16:creationId xmlns:a16="http://schemas.microsoft.com/office/drawing/2014/main" id="{757805F1-4FB2-2128-D52C-4D037B0D9B84}"/>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7620</xdr:colOff>
          <xdr:row>346</xdr:row>
          <xdr:rowOff>53340</xdr:rowOff>
        </xdr:from>
        <xdr:to>
          <xdr:col>12</xdr:col>
          <xdr:colOff>205740</xdr:colOff>
          <xdr:row>347</xdr:row>
          <xdr:rowOff>45720</xdr:rowOff>
        </xdr:to>
        <xdr:sp macro="" textlink="">
          <xdr:nvSpPr>
            <xdr:cNvPr id="16792" name="CheckBox241" hidden="1">
              <a:extLst>
                <a:ext uri="{63B3BB69-23CF-44E3-9099-C40C66FF867C}">
                  <a14:compatExt spid="_x0000_s16792"/>
                </a:ext>
                <a:ext uri="{FF2B5EF4-FFF2-40B4-BE49-F238E27FC236}">
                  <a16:creationId xmlns:a16="http://schemas.microsoft.com/office/drawing/2014/main" id="{E263F10D-3B4B-8E0A-36B3-366185313325}"/>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213360</xdr:colOff>
          <xdr:row>352</xdr:row>
          <xdr:rowOff>76200</xdr:rowOff>
        </xdr:from>
        <xdr:to>
          <xdr:col>12</xdr:col>
          <xdr:colOff>411480</xdr:colOff>
          <xdr:row>353</xdr:row>
          <xdr:rowOff>68580</xdr:rowOff>
        </xdr:to>
        <xdr:sp macro="" textlink="">
          <xdr:nvSpPr>
            <xdr:cNvPr id="16793" name="CheckBox25" hidden="1">
              <a:extLst>
                <a:ext uri="{63B3BB69-23CF-44E3-9099-C40C66FF867C}">
                  <a14:compatExt spid="_x0000_s16793"/>
                </a:ext>
                <a:ext uri="{FF2B5EF4-FFF2-40B4-BE49-F238E27FC236}">
                  <a16:creationId xmlns:a16="http://schemas.microsoft.com/office/drawing/2014/main" id="{DB3109B1-8CC7-81D8-19B4-9F3C6EB18A8B}"/>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838200</xdr:colOff>
          <xdr:row>502</xdr:row>
          <xdr:rowOff>7620</xdr:rowOff>
        </xdr:from>
        <xdr:to>
          <xdr:col>13</xdr:col>
          <xdr:colOff>152400</xdr:colOff>
          <xdr:row>503</xdr:row>
          <xdr:rowOff>0</xdr:rowOff>
        </xdr:to>
        <xdr:sp macro="" textlink="">
          <xdr:nvSpPr>
            <xdr:cNvPr id="150569" name="OptionButton1" hidden="1">
              <a:extLst>
                <a:ext uri="{63B3BB69-23CF-44E3-9099-C40C66FF867C}">
                  <a14:compatExt spid="_x0000_s150569"/>
                </a:ext>
                <a:ext uri="{FF2B5EF4-FFF2-40B4-BE49-F238E27FC236}">
                  <a16:creationId xmlns:a16="http://schemas.microsoft.com/office/drawing/2014/main" id="{65866C83-87DA-705B-E190-6FD9578B3AB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838200</xdr:colOff>
          <xdr:row>503</xdr:row>
          <xdr:rowOff>7620</xdr:rowOff>
        </xdr:from>
        <xdr:to>
          <xdr:col>13</xdr:col>
          <xdr:colOff>152400</xdr:colOff>
          <xdr:row>504</xdr:row>
          <xdr:rowOff>0</xdr:rowOff>
        </xdr:to>
        <xdr:sp macro="" textlink="">
          <xdr:nvSpPr>
            <xdr:cNvPr id="150570" name="OptionButton2" hidden="1">
              <a:extLst>
                <a:ext uri="{63B3BB69-23CF-44E3-9099-C40C66FF867C}">
                  <a14:compatExt spid="_x0000_s150570"/>
                </a:ext>
                <a:ext uri="{FF2B5EF4-FFF2-40B4-BE49-F238E27FC236}">
                  <a16:creationId xmlns:a16="http://schemas.microsoft.com/office/drawing/2014/main" id="{60131555-0BE3-866B-968A-D89E0BC1400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0</xdr:col>
      <xdr:colOff>175260</xdr:colOff>
      <xdr:row>1</xdr:row>
      <xdr:rowOff>0</xdr:rowOff>
    </xdr:from>
    <xdr:to>
      <xdr:col>9</xdr:col>
      <xdr:colOff>541020</xdr:colOff>
      <xdr:row>17</xdr:row>
      <xdr:rowOff>144780</xdr:rowOff>
    </xdr:to>
    <xdr:graphicFrame macro="">
      <xdr:nvGraphicFramePr>
        <xdr:cNvPr id="162891" name="Chart 1">
          <a:extLst>
            <a:ext uri="{FF2B5EF4-FFF2-40B4-BE49-F238E27FC236}">
              <a16:creationId xmlns:a16="http://schemas.microsoft.com/office/drawing/2014/main" id="{A04361CE-60F8-1383-3E36-0628CA7A5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251460</xdr:colOff>
      <xdr:row>34</xdr:row>
      <xdr:rowOff>76200</xdr:rowOff>
    </xdr:from>
    <xdr:to>
      <xdr:col>10</xdr:col>
      <xdr:colOff>7620</xdr:colOff>
      <xdr:row>51</xdr:row>
      <xdr:rowOff>15240</xdr:rowOff>
    </xdr:to>
    <xdr:graphicFrame macro="">
      <xdr:nvGraphicFramePr>
        <xdr:cNvPr id="162892" name="Chart 2">
          <a:extLst>
            <a:ext uri="{FF2B5EF4-FFF2-40B4-BE49-F238E27FC236}">
              <a16:creationId xmlns:a16="http://schemas.microsoft.com/office/drawing/2014/main" id="{8B80416D-2F8E-7D03-25E0-1C3F02935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289560</xdr:colOff>
      <xdr:row>82</xdr:row>
      <xdr:rowOff>121920</xdr:rowOff>
    </xdr:from>
    <xdr:to>
      <xdr:col>10</xdr:col>
      <xdr:colOff>45720</xdr:colOff>
      <xdr:row>99</xdr:row>
      <xdr:rowOff>68580</xdr:rowOff>
    </xdr:to>
    <xdr:graphicFrame macro="">
      <xdr:nvGraphicFramePr>
        <xdr:cNvPr id="162893" name="Chart 3">
          <a:extLst>
            <a:ext uri="{FF2B5EF4-FFF2-40B4-BE49-F238E27FC236}">
              <a16:creationId xmlns:a16="http://schemas.microsoft.com/office/drawing/2014/main" id="{F21539E9-6C8C-1922-BBD3-D9D660FD4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297180</xdr:colOff>
      <xdr:row>119</xdr:row>
      <xdr:rowOff>83820</xdr:rowOff>
    </xdr:from>
    <xdr:to>
      <xdr:col>10</xdr:col>
      <xdr:colOff>60960</xdr:colOff>
      <xdr:row>136</xdr:row>
      <xdr:rowOff>30480</xdr:rowOff>
    </xdr:to>
    <xdr:graphicFrame macro="">
      <xdr:nvGraphicFramePr>
        <xdr:cNvPr id="162894" name="Chart 4">
          <a:extLst>
            <a:ext uri="{FF2B5EF4-FFF2-40B4-BE49-F238E27FC236}">
              <a16:creationId xmlns:a16="http://schemas.microsoft.com/office/drawing/2014/main" id="{C1A95D26-B1BB-867F-D8BB-9CE75C31D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nalysi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image" Target="../media/image3.emf"/><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ntrol" Target="../activeX/activeX3.xml"/><Relationship Id="rId5" Type="http://schemas.openxmlformats.org/officeDocument/2006/relationships/image" Target="../media/image2.emf"/><Relationship Id="rId4" Type="http://schemas.openxmlformats.org/officeDocument/2006/relationships/control" Target="../activeX/activeX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17" Type="http://schemas.openxmlformats.org/officeDocument/2006/relationships/control" Target="../activeX/activeX99.xml"/><Relationship Id="rId21" Type="http://schemas.openxmlformats.org/officeDocument/2006/relationships/control" Target="../activeX/activeX16.xml"/><Relationship Id="rId42" Type="http://schemas.openxmlformats.org/officeDocument/2006/relationships/control" Target="../activeX/activeX31.xml"/><Relationship Id="rId63" Type="http://schemas.openxmlformats.org/officeDocument/2006/relationships/control" Target="../activeX/activeX49.xml"/><Relationship Id="rId84" Type="http://schemas.openxmlformats.org/officeDocument/2006/relationships/control" Target="../activeX/activeX69.xml"/><Relationship Id="rId138" Type="http://schemas.openxmlformats.org/officeDocument/2006/relationships/image" Target="../media/image33.emf"/><Relationship Id="rId107" Type="http://schemas.openxmlformats.org/officeDocument/2006/relationships/control" Target="../activeX/activeX91.xml"/><Relationship Id="rId11" Type="http://schemas.openxmlformats.org/officeDocument/2006/relationships/control" Target="../activeX/activeX8.xml"/><Relationship Id="rId32" Type="http://schemas.openxmlformats.org/officeDocument/2006/relationships/image" Target="../media/image17.emf"/><Relationship Id="rId53" Type="http://schemas.openxmlformats.org/officeDocument/2006/relationships/control" Target="../activeX/activeX40.xml"/><Relationship Id="rId74" Type="http://schemas.openxmlformats.org/officeDocument/2006/relationships/control" Target="../activeX/activeX59.xml"/><Relationship Id="rId128" Type="http://schemas.openxmlformats.org/officeDocument/2006/relationships/image" Target="../media/image29.emf"/><Relationship Id="rId149" Type="http://schemas.openxmlformats.org/officeDocument/2006/relationships/control" Target="../activeX/activeX119.xml"/><Relationship Id="rId5" Type="http://schemas.openxmlformats.org/officeDocument/2006/relationships/image" Target="../media/image8.emf"/><Relationship Id="rId95" Type="http://schemas.openxmlformats.org/officeDocument/2006/relationships/control" Target="../activeX/activeX79.xml"/><Relationship Id="rId22" Type="http://schemas.openxmlformats.org/officeDocument/2006/relationships/image" Target="../media/image13.emf"/><Relationship Id="rId43" Type="http://schemas.openxmlformats.org/officeDocument/2006/relationships/image" Target="../media/image19.emf"/><Relationship Id="rId64" Type="http://schemas.openxmlformats.org/officeDocument/2006/relationships/control" Target="../activeX/activeX50.xml"/><Relationship Id="rId118" Type="http://schemas.openxmlformats.org/officeDocument/2006/relationships/image" Target="../media/image26.emf"/><Relationship Id="rId139" Type="http://schemas.openxmlformats.org/officeDocument/2006/relationships/control" Target="../activeX/activeX113.xml"/><Relationship Id="rId80" Type="http://schemas.openxmlformats.org/officeDocument/2006/relationships/control" Target="../activeX/activeX65.xml"/><Relationship Id="rId85" Type="http://schemas.openxmlformats.org/officeDocument/2006/relationships/control" Target="../activeX/activeX70.xml"/><Relationship Id="rId150" Type="http://schemas.openxmlformats.org/officeDocument/2006/relationships/control" Target="../activeX/activeX120.xml"/><Relationship Id="rId155" Type="http://schemas.openxmlformats.org/officeDocument/2006/relationships/image" Target="../media/image39.emf"/><Relationship Id="rId12" Type="http://schemas.openxmlformats.org/officeDocument/2006/relationships/control" Target="../activeX/activeX9.xml"/><Relationship Id="rId17" Type="http://schemas.openxmlformats.org/officeDocument/2006/relationships/control" Target="../activeX/activeX13.xml"/><Relationship Id="rId33" Type="http://schemas.openxmlformats.org/officeDocument/2006/relationships/control" Target="../activeX/activeX23.xml"/><Relationship Id="rId38" Type="http://schemas.openxmlformats.org/officeDocument/2006/relationships/control" Target="../activeX/activeX27.xml"/><Relationship Id="rId59" Type="http://schemas.openxmlformats.org/officeDocument/2006/relationships/control" Target="../activeX/activeX45.xml"/><Relationship Id="rId103" Type="http://schemas.openxmlformats.org/officeDocument/2006/relationships/control" Target="../activeX/activeX87.xml"/><Relationship Id="rId108" Type="http://schemas.openxmlformats.org/officeDocument/2006/relationships/control" Target="../activeX/activeX92.xml"/><Relationship Id="rId124" Type="http://schemas.openxmlformats.org/officeDocument/2006/relationships/control" Target="../activeX/activeX103.xml"/><Relationship Id="rId129" Type="http://schemas.openxmlformats.org/officeDocument/2006/relationships/control" Target="../activeX/activeX107.xml"/><Relationship Id="rId54" Type="http://schemas.openxmlformats.org/officeDocument/2006/relationships/control" Target="../activeX/activeX41.xml"/><Relationship Id="rId70" Type="http://schemas.openxmlformats.org/officeDocument/2006/relationships/control" Target="../activeX/activeX55.xml"/><Relationship Id="rId75" Type="http://schemas.openxmlformats.org/officeDocument/2006/relationships/control" Target="../activeX/activeX60.xml"/><Relationship Id="rId91" Type="http://schemas.openxmlformats.org/officeDocument/2006/relationships/control" Target="../activeX/activeX75.xml"/><Relationship Id="rId96" Type="http://schemas.openxmlformats.org/officeDocument/2006/relationships/control" Target="../activeX/activeX80.xml"/><Relationship Id="rId140" Type="http://schemas.openxmlformats.org/officeDocument/2006/relationships/image" Target="../media/image34.emf"/><Relationship Id="rId145" Type="http://schemas.openxmlformats.org/officeDocument/2006/relationships/image" Target="../media/image36.emf"/><Relationship Id="rId1" Type="http://schemas.openxmlformats.org/officeDocument/2006/relationships/printerSettings" Target="../printerSettings/printerSettings4.bin"/><Relationship Id="rId6" Type="http://schemas.openxmlformats.org/officeDocument/2006/relationships/control" Target="../activeX/activeX5.xml"/><Relationship Id="rId23" Type="http://schemas.openxmlformats.org/officeDocument/2006/relationships/control" Target="../activeX/activeX17.xml"/><Relationship Id="rId28" Type="http://schemas.openxmlformats.org/officeDocument/2006/relationships/control" Target="../activeX/activeX20.xml"/><Relationship Id="rId49" Type="http://schemas.openxmlformats.org/officeDocument/2006/relationships/control" Target="../activeX/activeX36.xml"/><Relationship Id="rId114" Type="http://schemas.openxmlformats.org/officeDocument/2006/relationships/image" Target="../media/image25.emf"/><Relationship Id="rId119" Type="http://schemas.openxmlformats.org/officeDocument/2006/relationships/control" Target="../activeX/activeX100.xml"/><Relationship Id="rId44" Type="http://schemas.openxmlformats.org/officeDocument/2006/relationships/control" Target="../activeX/activeX32.xml"/><Relationship Id="rId60" Type="http://schemas.openxmlformats.org/officeDocument/2006/relationships/control" Target="../activeX/activeX46.xml"/><Relationship Id="rId65" Type="http://schemas.openxmlformats.org/officeDocument/2006/relationships/image" Target="../media/image22.emf"/><Relationship Id="rId81" Type="http://schemas.openxmlformats.org/officeDocument/2006/relationships/control" Target="../activeX/activeX66.xml"/><Relationship Id="rId86" Type="http://schemas.openxmlformats.org/officeDocument/2006/relationships/control" Target="../activeX/activeX71.xml"/><Relationship Id="rId130" Type="http://schemas.openxmlformats.org/officeDocument/2006/relationships/control" Target="../activeX/activeX108.xml"/><Relationship Id="rId135" Type="http://schemas.openxmlformats.org/officeDocument/2006/relationships/control" Target="../activeX/activeX111.xml"/><Relationship Id="rId151" Type="http://schemas.openxmlformats.org/officeDocument/2006/relationships/control" Target="../activeX/activeX121.xml"/><Relationship Id="rId156" Type="http://schemas.openxmlformats.org/officeDocument/2006/relationships/control" Target="../activeX/activeX124.xml"/><Relationship Id="rId13" Type="http://schemas.openxmlformats.org/officeDocument/2006/relationships/image" Target="../media/image11.emf"/><Relationship Id="rId18" Type="http://schemas.openxmlformats.org/officeDocument/2006/relationships/control" Target="../activeX/activeX14.xml"/><Relationship Id="rId39" Type="http://schemas.openxmlformats.org/officeDocument/2006/relationships/control" Target="../activeX/activeX28.xml"/><Relationship Id="rId109" Type="http://schemas.openxmlformats.org/officeDocument/2006/relationships/control" Target="../activeX/activeX93.xml"/><Relationship Id="rId34" Type="http://schemas.openxmlformats.org/officeDocument/2006/relationships/control" Target="../activeX/activeX24.xml"/><Relationship Id="rId50" Type="http://schemas.openxmlformats.org/officeDocument/2006/relationships/control" Target="../activeX/activeX37.xml"/><Relationship Id="rId55" Type="http://schemas.openxmlformats.org/officeDocument/2006/relationships/control" Target="../activeX/activeX42.xml"/><Relationship Id="rId76" Type="http://schemas.openxmlformats.org/officeDocument/2006/relationships/control" Target="../activeX/activeX61.xml"/><Relationship Id="rId97" Type="http://schemas.openxmlformats.org/officeDocument/2006/relationships/control" Target="../activeX/activeX81.xml"/><Relationship Id="rId104" Type="http://schemas.openxmlformats.org/officeDocument/2006/relationships/control" Target="../activeX/activeX88.xml"/><Relationship Id="rId120" Type="http://schemas.openxmlformats.org/officeDocument/2006/relationships/image" Target="../media/image27.emf"/><Relationship Id="rId125" Type="http://schemas.openxmlformats.org/officeDocument/2006/relationships/control" Target="../activeX/activeX104.xml"/><Relationship Id="rId141" Type="http://schemas.openxmlformats.org/officeDocument/2006/relationships/control" Target="../activeX/activeX114.xml"/><Relationship Id="rId146" Type="http://schemas.openxmlformats.org/officeDocument/2006/relationships/control" Target="../activeX/activeX117.xml"/><Relationship Id="rId7" Type="http://schemas.openxmlformats.org/officeDocument/2006/relationships/image" Target="../media/image9.emf"/><Relationship Id="rId71" Type="http://schemas.openxmlformats.org/officeDocument/2006/relationships/control" Target="../activeX/activeX56.xml"/><Relationship Id="rId92" Type="http://schemas.openxmlformats.org/officeDocument/2006/relationships/control" Target="../activeX/activeX76.xml"/><Relationship Id="rId2" Type="http://schemas.openxmlformats.org/officeDocument/2006/relationships/drawing" Target="../drawings/drawing4.xml"/><Relationship Id="rId29" Type="http://schemas.openxmlformats.org/officeDocument/2006/relationships/control" Target="../activeX/activeX21.xml"/><Relationship Id="rId24" Type="http://schemas.openxmlformats.org/officeDocument/2006/relationships/image" Target="../media/image14.emf"/><Relationship Id="rId40" Type="http://schemas.openxmlformats.org/officeDocument/2006/relationships/control" Target="../activeX/activeX29.xml"/><Relationship Id="rId45" Type="http://schemas.openxmlformats.org/officeDocument/2006/relationships/control" Target="../activeX/activeX33.xml"/><Relationship Id="rId66" Type="http://schemas.openxmlformats.org/officeDocument/2006/relationships/control" Target="../activeX/activeX51.xml"/><Relationship Id="rId87" Type="http://schemas.openxmlformats.org/officeDocument/2006/relationships/control" Target="../activeX/activeX72.xml"/><Relationship Id="rId110" Type="http://schemas.openxmlformats.org/officeDocument/2006/relationships/control" Target="../activeX/activeX94.xml"/><Relationship Id="rId115" Type="http://schemas.openxmlformats.org/officeDocument/2006/relationships/control" Target="../activeX/activeX97.xml"/><Relationship Id="rId131" Type="http://schemas.openxmlformats.org/officeDocument/2006/relationships/image" Target="../media/image30.emf"/><Relationship Id="rId136" Type="http://schemas.openxmlformats.org/officeDocument/2006/relationships/image" Target="../media/image32.emf"/><Relationship Id="rId157" Type="http://schemas.openxmlformats.org/officeDocument/2006/relationships/image" Target="../media/image40.emf"/><Relationship Id="rId61" Type="http://schemas.openxmlformats.org/officeDocument/2006/relationships/control" Target="../activeX/activeX47.xml"/><Relationship Id="rId82" Type="http://schemas.openxmlformats.org/officeDocument/2006/relationships/control" Target="../activeX/activeX67.xml"/><Relationship Id="rId152" Type="http://schemas.openxmlformats.org/officeDocument/2006/relationships/control" Target="../activeX/activeX122.xml"/><Relationship Id="rId19" Type="http://schemas.openxmlformats.org/officeDocument/2006/relationships/control" Target="../activeX/activeX15.xml"/><Relationship Id="rId14" Type="http://schemas.openxmlformats.org/officeDocument/2006/relationships/control" Target="../activeX/activeX10.xml"/><Relationship Id="rId30" Type="http://schemas.openxmlformats.org/officeDocument/2006/relationships/image" Target="../media/image16.emf"/><Relationship Id="rId35" Type="http://schemas.openxmlformats.org/officeDocument/2006/relationships/control" Target="../activeX/activeX25.xml"/><Relationship Id="rId56" Type="http://schemas.openxmlformats.org/officeDocument/2006/relationships/image" Target="../media/image21.emf"/><Relationship Id="rId77" Type="http://schemas.openxmlformats.org/officeDocument/2006/relationships/control" Target="../activeX/activeX62.xml"/><Relationship Id="rId100" Type="http://schemas.openxmlformats.org/officeDocument/2006/relationships/control" Target="../activeX/activeX84.xml"/><Relationship Id="rId105" Type="http://schemas.openxmlformats.org/officeDocument/2006/relationships/control" Target="../activeX/activeX89.xml"/><Relationship Id="rId126" Type="http://schemas.openxmlformats.org/officeDocument/2006/relationships/control" Target="../activeX/activeX105.xml"/><Relationship Id="rId147" Type="http://schemas.openxmlformats.org/officeDocument/2006/relationships/image" Target="../media/image37.emf"/><Relationship Id="rId8" Type="http://schemas.openxmlformats.org/officeDocument/2006/relationships/control" Target="../activeX/activeX6.xml"/><Relationship Id="rId51" Type="http://schemas.openxmlformats.org/officeDocument/2006/relationships/control" Target="../activeX/activeX38.xml"/><Relationship Id="rId72" Type="http://schemas.openxmlformats.org/officeDocument/2006/relationships/control" Target="../activeX/activeX57.xml"/><Relationship Id="rId93" Type="http://schemas.openxmlformats.org/officeDocument/2006/relationships/control" Target="../activeX/activeX77.xml"/><Relationship Id="rId98" Type="http://schemas.openxmlformats.org/officeDocument/2006/relationships/control" Target="../activeX/activeX82.xml"/><Relationship Id="rId121" Type="http://schemas.openxmlformats.org/officeDocument/2006/relationships/control" Target="../activeX/activeX101.xml"/><Relationship Id="rId142" Type="http://schemas.openxmlformats.org/officeDocument/2006/relationships/control" Target="../activeX/activeX115.xml"/><Relationship Id="rId3" Type="http://schemas.openxmlformats.org/officeDocument/2006/relationships/vmlDrawing" Target="../drawings/vmlDrawing3.vml"/><Relationship Id="rId25" Type="http://schemas.openxmlformats.org/officeDocument/2006/relationships/control" Target="../activeX/activeX18.xml"/><Relationship Id="rId46" Type="http://schemas.openxmlformats.org/officeDocument/2006/relationships/control" Target="../activeX/activeX34.xml"/><Relationship Id="rId67" Type="http://schemas.openxmlformats.org/officeDocument/2006/relationships/control" Target="../activeX/activeX52.xml"/><Relationship Id="rId116" Type="http://schemas.openxmlformats.org/officeDocument/2006/relationships/control" Target="../activeX/activeX98.xml"/><Relationship Id="rId137" Type="http://schemas.openxmlformats.org/officeDocument/2006/relationships/control" Target="../activeX/activeX112.xml"/><Relationship Id="rId20" Type="http://schemas.openxmlformats.org/officeDocument/2006/relationships/image" Target="../media/image12.emf"/><Relationship Id="rId41" Type="http://schemas.openxmlformats.org/officeDocument/2006/relationships/control" Target="../activeX/activeX30.xml"/><Relationship Id="rId62" Type="http://schemas.openxmlformats.org/officeDocument/2006/relationships/control" Target="../activeX/activeX48.xml"/><Relationship Id="rId83" Type="http://schemas.openxmlformats.org/officeDocument/2006/relationships/control" Target="../activeX/activeX68.xml"/><Relationship Id="rId88" Type="http://schemas.openxmlformats.org/officeDocument/2006/relationships/image" Target="../media/image23.emf"/><Relationship Id="rId111" Type="http://schemas.openxmlformats.org/officeDocument/2006/relationships/control" Target="../activeX/activeX95.xml"/><Relationship Id="rId132" Type="http://schemas.openxmlformats.org/officeDocument/2006/relationships/control" Target="../activeX/activeX109.xml"/><Relationship Id="rId153" Type="http://schemas.openxmlformats.org/officeDocument/2006/relationships/image" Target="../media/image38.emf"/><Relationship Id="rId15" Type="http://schemas.openxmlformats.org/officeDocument/2006/relationships/control" Target="../activeX/activeX11.xml"/><Relationship Id="rId36" Type="http://schemas.openxmlformats.org/officeDocument/2006/relationships/control" Target="../activeX/activeX26.xml"/><Relationship Id="rId57" Type="http://schemas.openxmlformats.org/officeDocument/2006/relationships/control" Target="../activeX/activeX43.xml"/><Relationship Id="rId106" Type="http://schemas.openxmlformats.org/officeDocument/2006/relationships/control" Target="../activeX/activeX90.xml"/><Relationship Id="rId127" Type="http://schemas.openxmlformats.org/officeDocument/2006/relationships/control" Target="../activeX/activeX106.xml"/><Relationship Id="rId10" Type="http://schemas.openxmlformats.org/officeDocument/2006/relationships/control" Target="../activeX/activeX7.xml"/><Relationship Id="rId31" Type="http://schemas.openxmlformats.org/officeDocument/2006/relationships/control" Target="../activeX/activeX22.xml"/><Relationship Id="rId52" Type="http://schemas.openxmlformats.org/officeDocument/2006/relationships/control" Target="../activeX/activeX39.xml"/><Relationship Id="rId73" Type="http://schemas.openxmlformats.org/officeDocument/2006/relationships/control" Target="../activeX/activeX58.xml"/><Relationship Id="rId78" Type="http://schemas.openxmlformats.org/officeDocument/2006/relationships/control" Target="../activeX/activeX63.xml"/><Relationship Id="rId94" Type="http://schemas.openxmlformats.org/officeDocument/2006/relationships/control" Target="../activeX/activeX78.xml"/><Relationship Id="rId99" Type="http://schemas.openxmlformats.org/officeDocument/2006/relationships/control" Target="../activeX/activeX83.xml"/><Relationship Id="rId101" Type="http://schemas.openxmlformats.org/officeDocument/2006/relationships/control" Target="../activeX/activeX85.xml"/><Relationship Id="rId122" Type="http://schemas.openxmlformats.org/officeDocument/2006/relationships/image" Target="../media/image28.emf"/><Relationship Id="rId143" Type="http://schemas.openxmlformats.org/officeDocument/2006/relationships/image" Target="../media/image35.emf"/><Relationship Id="rId148" Type="http://schemas.openxmlformats.org/officeDocument/2006/relationships/control" Target="../activeX/activeX118.xml"/><Relationship Id="rId4" Type="http://schemas.openxmlformats.org/officeDocument/2006/relationships/control" Target="../activeX/activeX4.xml"/><Relationship Id="rId9" Type="http://schemas.openxmlformats.org/officeDocument/2006/relationships/image" Target="../media/image10.emf"/><Relationship Id="rId26" Type="http://schemas.openxmlformats.org/officeDocument/2006/relationships/control" Target="../activeX/activeX19.xml"/><Relationship Id="rId47" Type="http://schemas.openxmlformats.org/officeDocument/2006/relationships/image" Target="../media/image20.emf"/><Relationship Id="rId68" Type="http://schemas.openxmlformats.org/officeDocument/2006/relationships/control" Target="../activeX/activeX53.xml"/><Relationship Id="rId89" Type="http://schemas.openxmlformats.org/officeDocument/2006/relationships/control" Target="../activeX/activeX73.xml"/><Relationship Id="rId112" Type="http://schemas.openxmlformats.org/officeDocument/2006/relationships/image" Target="../media/image24.emf"/><Relationship Id="rId133" Type="http://schemas.openxmlformats.org/officeDocument/2006/relationships/control" Target="../activeX/activeX110.xml"/><Relationship Id="rId154" Type="http://schemas.openxmlformats.org/officeDocument/2006/relationships/control" Target="../activeX/activeX123.xml"/><Relationship Id="rId16" Type="http://schemas.openxmlformats.org/officeDocument/2006/relationships/control" Target="../activeX/activeX12.xml"/><Relationship Id="rId37" Type="http://schemas.openxmlformats.org/officeDocument/2006/relationships/image" Target="../media/image18.emf"/><Relationship Id="rId58" Type="http://schemas.openxmlformats.org/officeDocument/2006/relationships/control" Target="../activeX/activeX44.xml"/><Relationship Id="rId79" Type="http://schemas.openxmlformats.org/officeDocument/2006/relationships/control" Target="../activeX/activeX64.xml"/><Relationship Id="rId102" Type="http://schemas.openxmlformats.org/officeDocument/2006/relationships/control" Target="../activeX/activeX86.xml"/><Relationship Id="rId123" Type="http://schemas.openxmlformats.org/officeDocument/2006/relationships/control" Target="../activeX/activeX102.xml"/><Relationship Id="rId144" Type="http://schemas.openxmlformats.org/officeDocument/2006/relationships/control" Target="../activeX/activeX116.xml"/><Relationship Id="rId90" Type="http://schemas.openxmlformats.org/officeDocument/2006/relationships/control" Target="../activeX/activeX74.xml"/><Relationship Id="rId27" Type="http://schemas.openxmlformats.org/officeDocument/2006/relationships/image" Target="../media/image15.emf"/><Relationship Id="rId48" Type="http://schemas.openxmlformats.org/officeDocument/2006/relationships/control" Target="../activeX/activeX35.xml"/><Relationship Id="rId69" Type="http://schemas.openxmlformats.org/officeDocument/2006/relationships/control" Target="../activeX/activeX54.xml"/><Relationship Id="rId113" Type="http://schemas.openxmlformats.org/officeDocument/2006/relationships/control" Target="../activeX/activeX96.xml"/><Relationship Id="rId134" Type="http://schemas.openxmlformats.org/officeDocument/2006/relationships/image" Target="../media/image31.emf"/></Relationships>
</file>

<file path=xl/worksheets/_rels/sheet5.xml.rels><?xml version="1.0" encoding="UTF-8" standalone="yes"?>
<Relationships xmlns="http://schemas.openxmlformats.org/package/2006/relationships"><Relationship Id="rId8" Type="http://schemas.openxmlformats.org/officeDocument/2006/relationships/control" Target="../activeX/activeX127.xml"/><Relationship Id="rId13" Type="http://schemas.openxmlformats.org/officeDocument/2006/relationships/image" Target="../media/image45.emf"/><Relationship Id="rId18" Type="http://schemas.openxmlformats.org/officeDocument/2006/relationships/image" Target="../media/image47.emf"/><Relationship Id="rId26" Type="http://schemas.openxmlformats.org/officeDocument/2006/relationships/image" Target="../media/image50.emf"/><Relationship Id="rId3" Type="http://schemas.openxmlformats.org/officeDocument/2006/relationships/vmlDrawing" Target="../drawings/vmlDrawing4.vml"/><Relationship Id="rId21" Type="http://schemas.openxmlformats.org/officeDocument/2006/relationships/control" Target="../activeX/activeX134.xml"/><Relationship Id="rId7" Type="http://schemas.openxmlformats.org/officeDocument/2006/relationships/image" Target="../media/image42.emf"/><Relationship Id="rId12" Type="http://schemas.openxmlformats.org/officeDocument/2006/relationships/control" Target="../activeX/activeX129.xml"/><Relationship Id="rId17" Type="http://schemas.openxmlformats.org/officeDocument/2006/relationships/control" Target="../activeX/activeX132.xml"/><Relationship Id="rId25" Type="http://schemas.openxmlformats.org/officeDocument/2006/relationships/control" Target="../activeX/activeX137.xml"/><Relationship Id="rId2" Type="http://schemas.openxmlformats.org/officeDocument/2006/relationships/drawing" Target="../drawings/drawing5.xml"/><Relationship Id="rId16" Type="http://schemas.openxmlformats.org/officeDocument/2006/relationships/image" Target="../media/image46.emf"/><Relationship Id="rId20" Type="http://schemas.openxmlformats.org/officeDocument/2006/relationships/image" Target="../media/image48.emf"/><Relationship Id="rId1" Type="http://schemas.openxmlformats.org/officeDocument/2006/relationships/printerSettings" Target="../printerSettings/printerSettings5.bin"/><Relationship Id="rId6" Type="http://schemas.openxmlformats.org/officeDocument/2006/relationships/control" Target="../activeX/activeX126.xml"/><Relationship Id="rId11" Type="http://schemas.openxmlformats.org/officeDocument/2006/relationships/image" Target="../media/image44.emf"/><Relationship Id="rId24" Type="http://schemas.openxmlformats.org/officeDocument/2006/relationships/control" Target="../activeX/activeX136.xml"/><Relationship Id="rId5" Type="http://schemas.openxmlformats.org/officeDocument/2006/relationships/image" Target="../media/image41.emf"/><Relationship Id="rId15" Type="http://schemas.openxmlformats.org/officeDocument/2006/relationships/control" Target="../activeX/activeX131.xml"/><Relationship Id="rId23" Type="http://schemas.openxmlformats.org/officeDocument/2006/relationships/control" Target="../activeX/activeX135.xml"/><Relationship Id="rId10" Type="http://schemas.openxmlformats.org/officeDocument/2006/relationships/control" Target="../activeX/activeX128.xml"/><Relationship Id="rId19" Type="http://schemas.openxmlformats.org/officeDocument/2006/relationships/control" Target="../activeX/activeX133.xml"/><Relationship Id="rId4" Type="http://schemas.openxmlformats.org/officeDocument/2006/relationships/control" Target="../activeX/activeX125.xml"/><Relationship Id="rId9" Type="http://schemas.openxmlformats.org/officeDocument/2006/relationships/image" Target="../media/image43.emf"/><Relationship Id="rId14" Type="http://schemas.openxmlformats.org/officeDocument/2006/relationships/control" Target="../activeX/activeX130.xml"/><Relationship Id="rId22" Type="http://schemas.openxmlformats.org/officeDocument/2006/relationships/image" Target="../media/image49.emf"/></Relationships>
</file>

<file path=xl/worksheets/_rels/sheet6.xml.rels><?xml version="1.0" encoding="UTF-8" standalone="yes"?>
<Relationships xmlns="http://schemas.openxmlformats.org/package/2006/relationships"><Relationship Id="rId8" Type="http://schemas.openxmlformats.org/officeDocument/2006/relationships/image" Target="../media/image52.emf"/><Relationship Id="rId3" Type="http://schemas.openxmlformats.org/officeDocument/2006/relationships/vmlDrawing" Target="../drawings/vmlDrawing5.vml"/><Relationship Id="rId7" Type="http://schemas.openxmlformats.org/officeDocument/2006/relationships/control" Target="../activeX/activeX14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ontrol" Target="../activeX/activeX139.xml"/><Relationship Id="rId5" Type="http://schemas.openxmlformats.org/officeDocument/2006/relationships/image" Target="../media/image51.emf"/><Relationship Id="rId10" Type="http://schemas.openxmlformats.org/officeDocument/2006/relationships/control" Target="../activeX/activeX142.xml"/><Relationship Id="rId4" Type="http://schemas.openxmlformats.org/officeDocument/2006/relationships/control" Target="../activeX/activeX138.xml"/><Relationship Id="rId9" Type="http://schemas.openxmlformats.org/officeDocument/2006/relationships/control" Target="../activeX/activeX141.xml"/></Relationships>
</file>

<file path=xl/worksheets/_rels/sheet7.xml.rels><?xml version="1.0" encoding="UTF-8" standalone="yes"?>
<Relationships xmlns="http://schemas.openxmlformats.org/package/2006/relationships"><Relationship Id="rId8" Type="http://schemas.openxmlformats.org/officeDocument/2006/relationships/control" Target="../activeX/activeX145.xml"/><Relationship Id="rId3" Type="http://schemas.openxmlformats.org/officeDocument/2006/relationships/vmlDrawing" Target="../drawings/vmlDrawing6.vml"/><Relationship Id="rId7" Type="http://schemas.openxmlformats.org/officeDocument/2006/relationships/image" Target="../media/image53.emf"/><Relationship Id="rId12" Type="http://schemas.openxmlformats.org/officeDocument/2006/relationships/image" Target="../media/image41.emf"/><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control" Target="../activeX/activeX144.xml"/><Relationship Id="rId11" Type="http://schemas.openxmlformats.org/officeDocument/2006/relationships/control" Target="../activeX/activeX147.xml"/><Relationship Id="rId5" Type="http://schemas.openxmlformats.org/officeDocument/2006/relationships/image" Target="../media/image50.emf"/><Relationship Id="rId10" Type="http://schemas.openxmlformats.org/officeDocument/2006/relationships/control" Target="../activeX/activeX146.xml"/><Relationship Id="rId4" Type="http://schemas.openxmlformats.org/officeDocument/2006/relationships/control" Target="../activeX/activeX143.xml"/><Relationship Id="rId9" Type="http://schemas.openxmlformats.org/officeDocument/2006/relationships/image" Target="../media/image54.emf"/></Relationships>
</file>

<file path=xl/worksheets/_rels/sheet8.xml.rels><?xml version="1.0" encoding="UTF-8" standalone="yes"?>
<Relationships xmlns="http://schemas.openxmlformats.org/package/2006/relationships"><Relationship Id="rId8" Type="http://schemas.openxmlformats.org/officeDocument/2006/relationships/image" Target="../media/image56.emf"/><Relationship Id="rId3" Type="http://schemas.openxmlformats.org/officeDocument/2006/relationships/vmlDrawing" Target="../drawings/vmlDrawing7.vml"/><Relationship Id="rId7" Type="http://schemas.openxmlformats.org/officeDocument/2006/relationships/control" Target="../activeX/activeX150.x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control" Target="../activeX/activeX149.xml"/><Relationship Id="rId5" Type="http://schemas.openxmlformats.org/officeDocument/2006/relationships/image" Target="../media/image55.emf"/><Relationship Id="rId10" Type="http://schemas.openxmlformats.org/officeDocument/2006/relationships/control" Target="../activeX/activeX152.xml"/><Relationship Id="rId4" Type="http://schemas.openxmlformats.org/officeDocument/2006/relationships/control" Target="../activeX/activeX148.xml"/><Relationship Id="rId9" Type="http://schemas.openxmlformats.org/officeDocument/2006/relationships/control" Target="../activeX/activeX15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control" Target="../activeX/activeX154.xml"/><Relationship Id="rId5" Type="http://schemas.openxmlformats.org/officeDocument/2006/relationships/image" Target="../media/image57.emf"/><Relationship Id="rId4" Type="http://schemas.openxmlformats.org/officeDocument/2006/relationships/control" Target="../activeX/activeX153.xml"/></Relationships>
</file>

<file path=xl/worksheets/_rels/sheet10.xml.rels><?xml version="1.0" encoding="UTF-8" standalone="yes"?>
<Relationships xmlns="http://schemas.openxmlformats.org/package/2006/relationships"><Relationship Id="rId13" Type="http://schemas.openxmlformats.org/officeDocument/2006/relationships/control" Target="../activeX/activeX161.xml"/><Relationship Id="rId18" Type="http://schemas.openxmlformats.org/officeDocument/2006/relationships/image" Target="../media/image63.emf"/><Relationship Id="rId26" Type="http://schemas.openxmlformats.org/officeDocument/2006/relationships/control" Target="../activeX/activeX168.xml"/><Relationship Id="rId39" Type="http://schemas.openxmlformats.org/officeDocument/2006/relationships/image" Target="../media/image71.emf"/><Relationship Id="rId21" Type="http://schemas.openxmlformats.org/officeDocument/2006/relationships/image" Target="../media/image64.emf"/><Relationship Id="rId34" Type="http://schemas.openxmlformats.org/officeDocument/2006/relationships/image" Target="../media/image69.emf"/><Relationship Id="rId42" Type="http://schemas.openxmlformats.org/officeDocument/2006/relationships/control" Target="../activeX/activeX178.xml"/><Relationship Id="rId47" Type="http://schemas.openxmlformats.org/officeDocument/2006/relationships/image" Target="../media/image75.emf"/><Relationship Id="rId50" Type="http://schemas.openxmlformats.org/officeDocument/2006/relationships/control" Target="../activeX/activeX182.xml"/><Relationship Id="rId55" Type="http://schemas.openxmlformats.org/officeDocument/2006/relationships/image" Target="../media/image79.emf"/><Relationship Id="rId63" Type="http://schemas.openxmlformats.org/officeDocument/2006/relationships/control" Target="../activeX/activeX189.xml"/><Relationship Id="rId7" Type="http://schemas.openxmlformats.org/officeDocument/2006/relationships/image" Target="../media/image59.emf"/><Relationship Id="rId2" Type="http://schemas.openxmlformats.org/officeDocument/2006/relationships/drawing" Target="../drawings/drawing10.xml"/><Relationship Id="rId16" Type="http://schemas.openxmlformats.org/officeDocument/2006/relationships/image" Target="../media/image62.emf"/><Relationship Id="rId29" Type="http://schemas.openxmlformats.org/officeDocument/2006/relationships/control" Target="../activeX/activeX171.xml"/><Relationship Id="rId11" Type="http://schemas.openxmlformats.org/officeDocument/2006/relationships/control" Target="../activeX/activeX159.xml"/><Relationship Id="rId24" Type="http://schemas.openxmlformats.org/officeDocument/2006/relationships/control" Target="../activeX/activeX167.xml"/><Relationship Id="rId32" Type="http://schemas.openxmlformats.org/officeDocument/2006/relationships/image" Target="../media/image68.emf"/><Relationship Id="rId37" Type="http://schemas.openxmlformats.org/officeDocument/2006/relationships/image" Target="../media/image70.emf"/><Relationship Id="rId40" Type="http://schemas.openxmlformats.org/officeDocument/2006/relationships/control" Target="../activeX/activeX177.xml"/><Relationship Id="rId45" Type="http://schemas.openxmlformats.org/officeDocument/2006/relationships/image" Target="../media/image74.emf"/><Relationship Id="rId53" Type="http://schemas.openxmlformats.org/officeDocument/2006/relationships/image" Target="../media/image78.emf"/><Relationship Id="rId58" Type="http://schemas.openxmlformats.org/officeDocument/2006/relationships/control" Target="../activeX/activeX186.xml"/><Relationship Id="rId5" Type="http://schemas.openxmlformats.org/officeDocument/2006/relationships/image" Target="../media/image58.emf"/><Relationship Id="rId61" Type="http://schemas.openxmlformats.org/officeDocument/2006/relationships/control" Target="../activeX/activeX188.xml"/><Relationship Id="rId19" Type="http://schemas.openxmlformats.org/officeDocument/2006/relationships/control" Target="../activeX/activeX164.xml"/><Relationship Id="rId14" Type="http://schemas.openxmlformats.org/officeDocument/2006/relationships/image" Target="../media/image61.emf"/><Relationship Id="rId22" Type="http://schemas.openxmlformats.org/officeDocument/2006/relationships/control" Target="../activeX/activeX166.xml"/><Relationship Id="rId27" Type="http://schemas.openxmlformats.org/officeDocument/2006/relationships/control" Target="../activeX/activeX169.xml"/><Relationship Id="rId30" Type="http://schemas.openxmlformats.org/officeDocument/2006/relationships/image" Target="../media/image67.emf"/><Relationship Id="rId35" Type="http://schemas.openxmlformats.org/officeDocument/2006/relationships/control" Target="../activeX/activeX174.xml"/><Relationship Id="rId43" Type="http://schemas.openxmlformats.org/officeDocument/2006/relationships/image" Target="../media/image73.emf"/><Relationship Id="rId48" Type="http://schemas.openxmlformats.org/officeDocument/2006/relationships/control" Target="../activeX/activeX181.xml"/><Relationship Id="rId56" Type="http://schemas.openxmlformats.org/officeDocument/2006/relationships/control" Target="../activeX/activeX185.xml"/><Relationship Id="rId64" Type="http://schemas.openxmlformats.org/officeDocument/2006/relationships/image" Target="../media/image83.emf"/><Relationship Id="rId8" Type="http://schemas.openxmlformats.org/officeDocument/2006/relationships/control" Target="../activeX/activeX157.xml"/><Relationship Id="rId51" Type="http://schemas.openxmlformats.org/officeDocument/2006/relationships/image" Target="../media/image77.emf"/><Relationship Id="rId3" Type="http://schemas.openxmlformats.org/officeDocument/2006/relationships/vmlDrawing" Target="../drawings/vmlDrawing9.vml"/><Relationship Id="rId12" Type="http://schemas.openxmlformats.org/officeDocument/2006/relationships/control" Target="../activeX/activeX160.xml"/><Relationship Id="rId17" Type="http://schemas.openxmlformats.org/officeDocument/2006/relationships/control" Target="../activeX/activeX163.xml"/><Relationship Id="rId25" Type="http://schemas.openxmlformats.org/officeDocument/2006/relationships/image" Target="../media/image66.emf"/><Relationship Id="rId33" Type="http://schemas.openxmlformats.org/officeDocument/2006/relationships/control" Target="../activeX/activeX173.xml"/><Relationship Id="rId38" Type="http://schemas.openxmlformats.org/officeDocument/2006/relationships/control" Target="../activeX/activeX176.xml"/><Relationship Id="rId46" Type="http://schemas.openxmlformats.org/officeDocument/2006/relationships/control" Target="../activeX/activeX180.xml"/><Relationship Id="rId59" Type="http://schemas.openxmlformats.org/officeDocument/2006/relationships/image" Target="../media/image81.emf"/><Relationship Id="rId20" Type="http://schemas.openxmlformats.org/officeDocument/2006/relationships/control" Target="../activeX/activeX165.xml"/><Relationship Id="rId41" Type="http://schemas.openxmlformats.org/officeDocument/2006/relationships/image" Target="../media/image72.emf"/><Relationship Id="rId54" Type="http://schemas.openxmlformats.org/officeDocument/2006/relationships/control" Target="../activeX/activeX184.xml"/><Relationship Id="rId62" Type="http://schemas.openxmlformats.org/officeDocument/2006/relationships/image" Target="../media/image82.emf"/><Relationship Id="rId1" Type="http://schemas.openxmlformats.org/officeDocument/2006/relationships/printerSettings" Target="../printerSettings/printerSettings10.bin"/><Relationship Id="rId6" Type="http://schemas.openxmlformats.org/officeDocument/2006/relationships/control" Target="../activeX/activeX156.xml"/><Relationship Id="rId15" Type="http://schemas.openxmlformats.org/officeDocument/2006/relationships/control" Target="../activeX/activeX162.xml"/><Relationship Id="rId23" Type="http://schemas.openxmlformats.org/officeDocument/2006/relationships/image" Target="../media/image65.emf"/><Relationship Id="rId28" Type="http://schemas.openxmlformats.org/officeDocument/2006/relationships/control" Target="../activeX/activeX170.xml"/><Relationship Id="rId36" Type="http://schemas.openxmlformats.org/officeDocument/2006/relationships/control" Target="../activeX/activeX175.xml"/><Relationship Id="rId49" Type="http://schemas.openxmlformats.org/officeDocument/2006/relationships/image" Target="../media/image76.emf"/><Relationship Id="rId57" Type="http://schemas.openxmlformats.org/officeDocument/2006/relationships/image" Target="../media/image80.emf"/><Relationship Id="rId10" Type="http://schemas.openxmlformats.org/officeDocument/2006/relationships/control" Target="../activeX/activeX158.xml"/><Relationship Id="rId31" Type="http://schemas.openxmlformats.org/officeDocument/2006/relationships/control" Target="../activeX/activeX172.xml"/><Relationship Id="rId44" Type="http://schemas.openxmlformats.org/officeDocument/2006/relationships/control" Target="../activeX/activeX179.xml"/><Relationship Id="rId52" Type="http://schemas.openxmlformats.org/officeDocument/2006/relationships/control" Target="../activeX/activeX183.xml"/><Relationship Id="rId60" Type="http://schemas.openxmlformats.org/officeDocument/2006/relationships/control" Target="../activeX/activeX187.xml"/><Relationship Id="rId4" Type="http://schemas.openxmlformats.org/officeDocument/2006/relationships/control" Target="../activeX/activeX155.xml"/><Relationship Id="rId9" Type="http://schemas.openxmlformats.org/officeDocument/2006/relationships/image" Target="../media/image60.emf"/></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23DA0-DAAB-45B1-969D-5242A6C32A75}">
  <sheetPr codeName="Parameter"/>
  <dimension ref="A1:D44"/>
  <sheetViews>
    <sheetView topLeftCell="B1" workbookViewId="0">
      <selection activeCell="F5" sqref="F5"/>
    </sheetView>
  </sheetViews>
  <sheetFormatPr defaultRowHeight="12.75" customHeight="1"/>
  <cols>
    <col min="1" max="1" width="18.88671875" customWidth="1"/>
    <col min="2" max="2" width="31.6640625" customWidth="1"/>
    <col min="3" max="3" width="30.88671875" customWidth="1"/>
    <col min="4" max="4" width="95.88671875" customWidth="1"/>
  </cols>
  <sheetData>
    <row r="1" spans="1:4" ht="25.5" customHeight="1" thickBot="1">
      <c r="A1" s="1125" t="s">
        <v>2007</v>
      </c>
      <c r="B1" s="1126"/>
      <c r="C1" s="1126"/>
      <c r="D1" s="1126"/>
    </row>
    <row r="2" spans="1:4" ht="18.75" customHeight="1" thickBot="1">
      <c r="A2" s="761" t="s">
        <v>1531</v>
      </c>
      <c r="B2" s="492" t="s">
        <v>1792</v>
      </c>
      <c r="C2" s="493" t="s">
        <v>718</v>
      </c>
      <c r="D2" s="651" t="s">
        <v>2474</v>
      </c>
    </row>
    <row r="3" spans="1:4" ht="18.75" customHeight="1" thickBot="1">
      <c r="A3" s="553" t="s">
        <v>2841</v>
      </c>
      <c r="B3" s="554" t="s">
        <v>2842</v>
      </c>
      <c r="C3" s="769" t="str">
        <f>Iniciar!B80</f>
        <v>RETScreen4 2012-06-01</v>
      </c>
      <c r="D3" s="651" t="s">
        <v>4047</v>
      </c>
    </row>
    <row r="4" spans="1:4" ht="16.2" thickBot="1">
      <c r="A4" s="350" t="s">
        <v>1791</v>
      </c>
      <c r="B4" s="958"/>
      <c r="C4" s="956"/>
      <c r="D4" s="957"/>
    </row>
    <row r="5" spans="1:4" ht="13.2">
      <c r="A5" s="484"/>
      <c r="B5" s="765" t="s">
        <v>4173</v>
      </c>
      <c r="C5" s="770">
        <v>1</v>
      </c>
      <c r="D5" s="652" t="s">
        <v>2010</v>
      </c>
    </row>
    <row r="6" spans="1:4" ht="13.2">
      <c r="A6" s="267"/>
      <c r="B6" s="766" t="s">
        <v>3664</v>
      </c>
      <c r="C6" s="486" t="str">
        <f>IF(TRIM(Iniciar!D14) = "","RETScreen",Iniciar!D14)</f>
        <v>Estudo de Caso Foto Voltaico</v>
      </c>
      <c r="D6" s="653" t="s">
        <v>5805</v>
      </c>
    </row>
    <row r="7" spans="1:4" ht="13.2">
      <c r="A7" s="267"/>
      <c r="B7" s="766" t="s">
        <v>1747</v>
      </c>
      <c r="C7" s="486">
        <f>Iniciar!D15</f>
        <v>0</v>
      </c>
      <c r="D7" s="653"/>
    </row>
    <row r="8" spans="1:4" ht="13.2">
      <c r="A8" s="267"/>
      <c r="B8" s="767" t="s">
        <v>5066</v>
      </c>
      <c r="C8" s="486">
        <f>Iniciar!D17</f>
        <v>0</v>
      </c>
      <c r="D8" s="653"/>
    </row>
    <row r="9" spans="1:4" ht="13.2">
      <c r="A9" s="267"/>
      <c r="B9" s="767" t="s">
        <v>2811</v>
      </c>
      <c r="C9" s="486">
        <f>Iniciar!D18</f>
        <v>0</v>
      </c>
      <c r="D9" s="653"/>
    </row>
    <row r="10" spans="1:4" ht="13.2">
      <c r="A10" s="267"/>
      <c r="B10" s="767" t="s">
        <v>2812</v>
      </c>
      <c r="C10" s="486" t="str">
        <f>EM_Projtype_V</f>
        <v>Produção de eletricidade</v>
      </c>
      <c r="D10" s="653"/>
    </row>
    <row r="11" spans="1:4" ht="13.2">
      <c r="A11" s="267"/>
      <c r="B11" s="767" t="s">
        <v>2813</v>
      </c>
      <c r="C11" s="486" t="str">
        <f>Set_GridType</f>
        <v>Rede Central</v>
      </c>
      <c r="D11" s="653"/>
    </row>
    <row r="12" spans="1:4" ht="13.2">
      <c r="A12" s="267"/>
      <c r="B12" s="767" t="s">
        <v>2003</v>
      </c>
      <c r="C12" s="486" t="str">
        <f>Iniciar!D30</f>
        <v>Poder Calorífico Inferior (PCI)</v>
      </c>
      <c r="D12" s="653" t="s">
        <v>3210</v>
      </c>
    </row>
    <row r="13" spans="1:4" ht="13.2">
      <c r="A13" s="267"/>
      <c r="B13" s="767" t="s">
        <v>2412</v>
      </c>
      <c r="C13" s="486" t="s">
        <v>1790</v>
      </c>
      <c r="D13" s="653" t="s">
        <v>2281</v>
      </c>
    </row>
    <row r="14" spans="1:4" ht="13.2">
      <c r="A14" s="267"/>
      <c r="B14" s="767" t="s">
        <v>4763</v>
      </c>
      <c r="C14" s="486" t="s">
        <v>8850</v>
      </c>
      <c r="D14" s="653"/>
    </row>
    <row r="15" spans="1:4" ht="13.2">
      <c r="A15" s="267"/>
      <c r="B15" s="767" t="s">
        <v>1568</v>
      </c>
      <c r="C15" s="486" t="str">
        <f>OnlineManualLanguage</f>
        <v>English  -  Anglais</v>
      </c>
      <c r="D15" s="653" t="s">
        <v>3969</v>
      </c>
    </row>
    <row r="16" spans="1:4" ht="13.2">
      <c r="A16" s="267"/>
      <c r="B16" s="767" t="s">
        <v>3252</v>
      </c>
      <c r="C16" s="486" t="str">
        <f>Currency_name</f>
        <v>Euro</v>
      </c>
      <c r="D16" s="653" t="s">
        <v>2724</v>
      </c>
    </row>
    <row r="17" spans="1:4" ht="13.2">
      <c r="A17" s="267"/>
      <c r="B17" s="767" t="s">
        <v>5046</v>
      </c>
      <c r="C17" s="827">
        <v>41061</v>
      </c>
      <c r="D17" s="653"/>
    </row>
    <row r="18" spans="1:4" ht="13.2">
      <c r="A18" s="267"/>
      <c r="B18" s="767" t="s">
        <v>1530</v>
      </c>
      <c r="C18" s="827">
        <v>39758</v>
      </c>
      <c r="D18" s="653"/>
    </row>
    <row r="19" spans="1:4" ht="13.2">
      <c r="A19" s="267"/>
      <c r="B19" s="767" t="s">
        <v>1291</v>
      </c>
      <c r="C19" s="486" t="s">
        <v>1292</v>
      </c>
      <c r="D19" s="653"/>
    </row>
    <row r="20" spans="1:4" ht="13.2">
      <c r="A20" s="267"/>
      <c r="B20" s="767" t="s">
        <v>4719</v>
      </c>
      <c r="C20" s="486">
        <f>IF(Iniciar!D37=Language!C80,0,1)</f>
        <v>0</v>
      </c>
      <c r="D20" s="653" t="s">
        <v>4720</v>
      </c>
    </row>
    <row r="21" spans="1:4" ht="13.2">
      <c r="A21" s="267"/>
      <c r="B21" s="767" t="s">
        <v>3369</v>
      </c>
      <c r="C21" s="486">
        <f>Iniciar!N51</f>
        <v>1</v>
      </c>
      <c r="D21" s="653"/>
    </row>
    <row r="22" spans="1:4" ht="13.2">
      <c r="A22" s="267"/>
      <c r="B22" s="767" t="s">
        <v>215</v>
      </c>
      <c r="C22" s="486">
        <f>Iniciar!N52</f>
        <v>1</v>
      </c>
      <c r="D22" s="653"/>
    </row>
    <row r="23" spans="1:4" ht="13.2">
      <c r="A23" s="267"/>
      <c r="B23" s="767" t="s">
        <v>439</v>
      </c>
      <c r="C23" s="486">
        <f>Iniciar!N53</f>
        <v>1</v>
      </c>
      <c r="D23" s="653"/>
    </row>
    <row r="24" spans="1:4" ht="13.2">
      <c r="A24" s="267"/>
      <c r="B24" s="767" t="s">
        <v>1935</v>
      </c>
      <c r="C24" s="486">
        <f>Iniciar!N54</f>
        <v>1</v>
      </c>
      <c r="D24" s="653"/>
    </row>
    <row r="25" spans="1:4" ht="13.2">
      <c r="A25" s="267"/>
      <c r="B25" s="767" t="s">
        <v>3590</v>
      </c>
      <c r="C25" s="486">
        <f>Iniciar!O56</f>
        <v>1</v>
      </c>
      <c r="D25" s="653"/>
    </row>
    <row r="26" spans="1:4" ht="13.2">
      <c r="A26" s="267"/>
      <c r="B26" s="767" t="s">
        <v>3591</v>
      </c>
      <c r="C26" s="486">
        <f>Iniciar!S56</f>
        <v>1</v>
      </c>
      <c r="D26" s="653"/>
    </row>
    <row r="27" spans="1:4" ht="13.2">
      <c r="A27" s="267"/>
      <c r="B27" s="767" t="s">
        <v>3592</v>
      </c>
      <c r="C27" s="486">
        <f>Iniciar!P56</f>
        <v>1</v>
      </c>
      <c r="D27" s="653"/>
    </row>
    <row r="28" spans="1:4" ht="13.2">
      <c r="A28" s="267"/>
      <c r="B28" s="767" t="s">
        <v>1059</v>
      </c>
      <c r="C28" s="486">
        <f>Iniciar!Q56</f>
        <v>1</v>
      </c>
      <c r="D28" s="653"/>
    </row>
    <row r="29" spans="1:4" ht="13.2">
      <c r="A29" s="267"/>
      <c r="B29" s="767" t="s">
        <v>1372</v>
      </c>
      <c r="C29" s="486">
        <f>Iniciar!R56</f>
        <v>1</v>
      </c>
      <c r="D29" s="653"/>
    </row>
    <row r="30" spans="1:4" ht="13.2">
      <c r="A30" s="267"/>
      <c r="B30" s="767" t="s">
        <v>5081</v>
      </c>
      <c r="C30" s="486">
        <f>Iniciar!T56</f>
        <v>1</v>
      </c>
      <c r="D30" s="653"/>
    </row>
    <row r="31" spans="1:4" ht="13.2">
      <c r="A31" s="267"/>
      <c r="B31" s="767" t="s">
        <v>5669</v>
      </c>
      <c r="C31" s="486">
        <f>Iniciar!U56</f>
        <v>1</v>
      </c>
      <c r="D31" s="653"/>
    </row>
    <row r="32" spans="1:4" ht="13.2">
      <c r="A32" s="267"/>
      <c r="B32" s="767" t="s">
        <v>115</v>
      </c>
      <c r="C32" s="771"/>
      <c r="D32" s="653"/>
    </row>
    <row r="33" spans="1:4" ht="13.8" thickBot="1">
      <c r="A33" s="267"/>
      <c r="B33" s="767" t="s">
        <v>2414</v>
      </c>
      <c r="C33" s="771" t="b">
        <v>1</v>
      </c>
      <c r="D33" s="653"/>
    </row>
    <row r="34" spans="1:4" ht="13.2">
      <c r="A34" s="772"/>
      <c r="B34" s="773"/>
      <c r="C34" s="774"/>
      <c r="D34" s="775"/>
    </row>
    <row r="35" spans="1:4" ht="13.8" thickBot="1">
      <c r="A35" s="488"/>
      <c r="B35" s="768"/>
      <c r="C35" s="489"/>
      <c r="D35" s="654"/>
    </row>
    <row r="36" spans="1:4" ht="13.2">
      <c r="A36" s="484" t="s">
        <v>1885</v>
      </c>
      <c r="B36" s="490" t="s">
        <v>2331</v>
      </c>
      <c r="C36" s="763">
        <v>35</v>
      </c>
      <c r="D36" s="652" t="s">
        <v>5412</v>
      </c>
    </row>
    <row r="37" spans="1:4" ht="13.2">
      <c r="A37" s="484"/>
      <c r="B37" s="485" t="s">
        <v>2605</v>
      </c>
      <c r="C37" s="762"/>
      <c r="D37" s="652" t="s">
        <v>3716</v>
      </c>
    </row>
    <row r="38" spans="1:4" ht="13.2">
      <c r="A38" s="484"/>
      <c r="B38" s="485" t="s">
        <v>2606</v>
      </c>
      <c r="C38" s="763" t="s">
        <v>3253</v>
      </c>
      <c r="D38" s="652" t="s">
        <v>415</v>
      </c>
    </row>
    <row r="39" spans="1:4" ht="12.75" customHeight="1">
      <c r="A39" s="267"/>
      <c r="B39" s="485" t="s">
        <v>2607</v>
      </c>
      <c r="C39" s="762">
        <v>207</v>
      </c>
      <c r="D39" s="652" t="s">
        <v>705</v>
      </c>
    </row>
    <row r="40" spans="1:4" ht="13.8" thickBot="1">
      <c r="A40" s="488"/>
      <c r="B40" s="491"/>
      <c r="C40" s="764"/>
      <c r="D40" s="654"/>
    </row>
    <row r="41" spans="1:4" ht="13.2">
      <c r="A41" s="267" t="s">
        <v>2008</v>
      </c>
      <c r="B41" s="490" t="s">
        <v>5862</v>
      </c>
      <c r="C41" s="487"/>
      <c r="D41" s="653" t="s">
        <v>704</v>
      </c>
    </row>
    <row r="42" spans="1:4" ht="12.75" customHeight="1">
      <c r="A42" s="267"/>
      <c r="B42" s="485" t="s">
        <v>3111</v>
      </c>
      <c r="C42" s="486"/>
      <c r="D42" s="653" t="s">
        <v>5105</v>
      </c>
    </row>
    <row r="43" spans="1:4" ht="12.75" customHeight="1">
      <c r="A43" s="267"/>
      <c r="B43" s="485" t="s">
        <v>59</v>
      </c>
      <c r="C43" s="487"/>
      <c r="D43" s="653" t="s">
        <v>5140</v>
      </c>
    </row>
    <row r="44" spans="1:4" ht="12.75" customHeight="1">
      <c r="B44" s="485" t="s">
        <v>2370</v>
      </c>
      <c r="C44" s="487"/>
      <c r="D44" s="653" t="s">
        <v>3867</v>
      </c>
    </row>
  </sheetData>
  <mergeCells count="1">
    <mergeCell ref="A1:D1"/>
  </mergeCells>
  <phoneticPr fontId="17" type="noConversion"/>
  <pageMargins left="0.75" right="0.75" top="1" bottom="1" header="0.5" footer="0.5"/>
  <pageSetup paperSize="9" orientation="portrait" horizontalDpi="300" verticalDpi="300" r:id="rId1"/>
  <headerFooter alignWithMargins="0">
    <oddFooter>&amp;L_x000D_&amp;R28/06/2007_x000D_RETScreen4-v181-25.xls</oddFooter>
  </headerFooter>
  <drawing r:id="rId2"/>
  <legacyDrawing r:id="rId3"/>
  <controls>
    <mc:AlternateContent xmlns:mc="http://schemas.openxmlformats.org/markup-compatibility/2006">
      <mc:Choice Requires="x14">
        <control shapeId="141316" r:id="rId4" name="cnxButton">
          <controlPr defaultSize="0" autoLine="0" r:id="rId5">
            <anchor moveWithCells="1">
              <from>
                <xdr:col>0</xdr:col>
                <xdr:colOff>60960</xdr:colOff>
                <xdr:row>0</xdr:row>
                <xdr:rowOff>30480</xdr:rowOff>
              </from>
              <to>
                <xdr:col>0</xdr:col>
                <xdr:colOff>1059180</xdr:colOff>
                <xdr:row>0</xdr:row>
                <xdr:rowOff>281940</xdr:rowOff>
              </to>
            </anchor>
          </controlPr>
        </control>
      </mc:Choice>
      <mc:Fallback>
        <control shapeId="141316" r:id="rId4" name="cnxButton"/>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6B3CC-8E80-4ABF-8764-E918AD402BCF}">
  <sheetPr codeName="CHP_Intro">
    <pageSetUpPr fitToPage="1"/>
  </sheetPr>
  <dimension ref="A1:AH368"/>
  <sheetViews>
    <sheetView showRowColHeaders="0" topLeftCell="A18" zoomScale="85" zoomScaleNormal="85" workbookViewId="0">
      <selection activeCell="D40" sqref="D40:F40"/>
    </sheetView>
  </sheetViews>
  <sheetFormatPr defaultColWidth="0" defaultRowHeight="13.35" customHeight="1" zeroHeight="1"/>
  <cols>
    <col min="1" max="1" width="3.77734375" customWidth="1"/>
    <col min="2" max="2" width="36.77734375" customWidth="1"/>
    <col min="3" max="3" width="8.77734375" customWidth="1"/>
    <col min="4" max="5" width="14.77734375" customWidth="1"/>
    <col min="6" max="6" width="16.6640625" customWidth="1"/>
    <col min="7" max="7" width="13.109375" customWidth="1"/>
    <col min="8" max="8" width="12.6640625" customWidth="1"/>
    <col min="9" max="11" width="14.33203125" customWidth="1"/>
    <col min="12" max="12" width="2.44140625" customWidth="1"/>
    <col min="13" max="13" width="3.6640625" customWidth="1"/>
    <col min="14" max="14" width="15.6640625" hidden="1" customWidth="1"/>
    <col min="15" max="15" width="7.6640625" hidden="1" customWidth="1"/>
    <col min="16" max="16" width="44.5546875" hidden="1" customWidth="1"/>
    <col min="17" max="17" width="14.88671875" hidden="1" customWidth="1"/>
    <col min="18" max="18" width="8.109375" hidden="1" customWidth="1"/>
    <col min="19" max="19" width="5.88671875" hidden="1" customWidth="1"/>
    <col min="20" max="20" width="7.109375" hidden="1" customWidth="1"/>
    <col min="21" max="21" width="5.6640625" hidden="1" customWidth="1"/>
    <col min="22" max="22" width="3.109375" hidden="1" customWidth="1"/>
    <col min="23" max="23" width="8.6640625" hidden="1" customWidth="1"/>
    <col min="24" max="24" width="19.5546875" hidden="1" customWidth="1"/>
    <col min="25" max="25" width="5.33203125" hidden="1" customWidth="1"/>
    <col min="26" max="26" width="9.6640625" hidden="1" customWidth="1"/>
    <col min="27" max="27" width="9.88671875" hidden="1" customWidth="1"/>
    <col min="28" max="28" width="18.109375" hidden="1" customWidth="1"/>
    <col min="29" max="29" width="5.6640625" hidden="1" customWidth="1"/>
    <col min="30" max="30" width="5.5546875" hidden="1" customWidth="1"/>
    <col min="31" max="31" width="14.33203125" hidden="1" customWidth="1"/>
    <col min="32" max="34" width="14" hidden="1" customWidth="1"/>
  </cols>
  <sheetData>
    <row r="1" spans="1:31" ht="104.1" customHeight="1">
      <c r="A1" s="8"/>
      <c r="B1" s="8"/>
      <c r="C1" s="8"/>
      <c r="D1" s="8"/>
      <c r="E1" s="8"/>
      <c r="F1" s="8"/>
      <c r="G1" s="8"/>
      <c r="H1" s="8"/>
      <c r="I1" s="8"/>
      <c r="J1" s="8"/>
      <c r="K1" s="8"/>
      <c r="L1" s="8"/>
      <c r="M1" s="929"/>
      <c r="N1" s="22"/>
      <c r="W1">
        <v>30000</v>
      </c>
      <c r="X1" s="321"/>
      <c r="Y1" s="321"/>
      <c r="Z1" s="321"/>
      <c r="AA1" s="321"/>
      <c r="AB1" s="321"/>
      <c r="AC1" s="321"/>
      <c r="AD1" s="321"/>
      <c r="AE1" s="321"/>
    </row>
    <row r="2" spans="1:31" ht="24.75" customHeight="1">
      <c r="A2" s="1127" t="str">
        <f>Language!C848</f>
        <v>Software de Análise de Projetos de Energia Limpa</v>
      </c>
      <c r="B2" s="1127"/>
      <c r="C2" s="1127"/>
      <c r="D2" s="1127"/>
      <c r="E2" s="1127"/>
      <c r="F2" s="1127"/>
      <c r="G2" s="1127"/>
      <c r="H2" s="1127"/>
      <c r="I2" s="1127"/>
      <c r="J2" s="1127"/>
      <c r="K2" s="1127"/>
      <c r="L2" s="1127"/>
      <c r="M2" s="1127"/>
      <c r="N2" s="463">
        <f>IF(ISERROR(SUM(N3:O28)+P20),1,SUM(N3:O28)+P20)</f>
        <v>20933</v>
      </c>
      <c r="O2" s="319">
        <v>20933</v>
      </c>
      <c r="W2">
        <v>30000</v>
      </c>
      <c r="X2" s="321"/>
      <c r="Y2" s="321"/>
      <c r="Z2" s="321"/>
      <c r="AA2" s="321"/>
      <c r="AB2" s="321"/>
      <c r="AC2" s="321"/>
      <c r="AD2" s="321"/>
      <c r="AE2" s="321"/>
    </row>
    <row r="3" spans="1:31" ht="14.25" customHeight="1">
      <c r="A3" s="1128"/>
      <c r="B3" s="1128"/>
      <c r="C3" s="1128"/>
      <c r="D3" s="1128"/>
      <c r="E3" s="1128"/>
      <c r="F3" s="1128"/>
      <c r="G3" s="1128"/>
      <c r="H3" s="1128"/>
      <c r="I3" s="1128"/>
      <c r="J3" s="1128"/>
      <c r="K3" s="1128"/>
      <c r="L3" s="1128"/>
      <c r="M3" s="1128"/>
      <c r="N3" s="22"/>
      <c r="P3">
        <f>IF(ISERROR(VLOOKUP(Set_OpenClose,N149:R368,5,FALSE)),0,VLOOKUP(Set_OpenClose,N149:R368,5,FALSE))</f>
        <v>0</v>
      </c>
      <c r="Q3" t="s">
        <v>4411</v>
      </c>
      <c r="W3">
        <v>30000</v>
      </c>
      <c r="X3" s="321"/>
      <c r="Y3" s="321"/>
      <c r="Z3" s="321"/>
      <c r="AA3" s="321"/>
      <c r="AB3" s="321"/>
      <c r="AC3" s="321"/>
      <c r="AD3" s="321"/>
      <c r="AE3" s="321"/>
    </row>
    <row r="4" spans="1:31" ht="26.1" customHeight="1">
      <c r="A4" s="1129"/>
      <c r="B4" s="50"/>
      <c r="C4" s="4" t="str">
        <f>Language!C1910</f>
        <v>Informação sobre o projeto</v>
      </c>
      <c r="D4" s="1159" t="str">
        <f>Language!C1962</f>
        <v>Veja banco de Dados do projeto</v>
      </c>
      <c r="E4" s="1160"/>
      <c r="F4" s="1160"/>
      <c r="G4" s="6"/>
      <c r="H4" s="23"/>
      <c r="I4" s="23"/>
      <c r="J4" s="23"/>
      <c r="K4" s="23"/>
      <c r="L4" s="23"/>
      <c r="M4" s="322"/>
      <c r="N4" s="22"/>
      <c r="P4" s="146">
        <f>IF(ISERROR(VLOOKUP(Set_OpenClose,N149:O368,2,FALSE)),0,VLOOKUP(Set_OpenClose,N149:O368,2,FALSE))</f>
        <v>0</v>
      </c>
      <c r="Q4" s="146">
        <v>0</v>
      </c>
      <c r="R4" s="146" t="s">
        <v>4412</v>
      </c>
      <c r="W4">
        <v>6000000</v>
      </c>
      <c r="X4" s="321"/>
      <c r="Y4" s="321"/>
      <c r="Z4" s="321"/>
      <c r="AA4" s="321"/>
      <c r="AB4" s="321"/>
      <c r="AC4" s="321"/>
      <c r="AD4" s="321"/>
      <c r="AE4" s="321"/>
    </row>
    <row r="5" spans="1:31" ht="12.75" customHeight="1">
      <c r="A5" s="1129"/>
      <c r="B5" s="12"/>
      <c r="C5" s="7"/>
      <c r="D5" s="1139"/>
      <c r="E5" s="1139"/>
      <c r="F5" s="1139"/>
      <c r="G5" s="9"/>
      <c r="H5" s="23"/>
      <c r="I5" s="23"/>
      <c r="J5" s="23"/>
      <c r="K5" s="23"/>
      <c r="L5" s="23"/>
      <c r="M5" s="322"/>
      <c r="N5" s="22"/>
      <c r="R5">
        <v>1</v>
      </c>
      <c r="S5" t="str">
        <f>Set_T1</f>
        <v>Sistema à biomassa</v>
      </c>
      <c r="W5">
        <v>31000</v>
      </c>
      <c r="X5" s="321"/>
      <c r="Y5" s="321"/>
      <c r="Z5" s="321"/>
      <c r="AA5" s="321"/>
      <c r="AB5" s="321"/>
      <c r="AC5" s="321"/>
      <c r="AD5" s="321"/>
      <c r="AE5" s="321"/>
    </row>
    <row r="6" spans="1:31" ht="12.75" hidden="1" customHeight="1">
      <c r="A6" s="1129"/>
      <c r="B6" s="50"/>
      <c r="C6" s="823"/>
      <c r="D6" s="85"/>
      <c r="E6" s="85"/>
      <c r="F6" s="85"/>
      <c r="G6" s="6"/>
      <c r="H6" s="23"/>
      <c r="I6" s="23"/>
      <c r="J6" s="23"/>
      <c r="K6" s="23"/>
      <c r="L6" s="23"/>
      <c r="M6" s="322"/>
      <c r="N6" s="22"/>
      <c r="W6">
        <v>30000</v>
      </c>
      <c r="X6" s="321"/>
      <c r="Y6" s="321"/>
      <c r="Z6" s="321"/>
      <c r="AA6" s="321"/>
      <c r="AB6" s="321"/>
      <c r="AC6" s="321"/>
      <c r="AD6" s="321"/>
      <c r="AE6" s="321"/>
    </row>
    <row r="7" spans="1:31" ht="12.75" hidden="1" customHeight="1">
      <c r="A7" s="1129"/>
      <c r="B7" s="12"/>
      <c r="C7" s="7" t="str">
        <f>C32</f>
        <v>Idioma</v>
      </c>
      <c r="D7" s="1133" t="s">
        <v>1790</v>
      </c>
      <c r="E7" s="1134"/>
      <c r="F7" s="1135"/>
      <c r="G7" s="9"/>
      <c r="H7" s="23"/>
      <c r="I7" s="23"/>
      <c r="J7" s="23"/>
      <c r="K7" s="23"/>
      <c r="L7" s="23"/>
      <c r="M7" s="322"/>
      <c r="N7" s="22"/>
      <c r="W7">
        <v>30000</v>
      </c>
      <c r="X7" s="321"/>
      <c r="Y7" s="321"/>
      <c r="Z7" s="321"/>
      <c r="AA7" s="321"/>
      <c r="AB7" s="321"/>
      <c r="AC7" s="321"/>
      <c r="AD7" s="321"/>
      <c r="AE7" s="321"/>
    </row>
    <row r="8" spans="1:31" ht="12.75" hidden="1" customHeight="1">
      <c r="A8" s="1129"/>
      <c r="B8" s="12"/>
      <c r="C8" s="7"/>
      <c r="D8" s="21"/>
      <c r="E8" s="21"/>
      <c r="F8" s="21"/>
      <c r="G8" s="9"/>
      <c r="H8" s="23"/>
      <c r="I8" s="23"/>
      <c r="J8" s="23"/>
      <c r="K8" s="23"/>
      <c r="L8" s="23"/>
      <c r="M8" s="322"/>
      <c r="N8" s="22"/>
      <c r="W8">
        <v>30000</v>
      </c>
      <c r="X8" s="321"/>
      <c r="Y8" s="321"/>
      <c r="Z8" s="321"/>
      <c r="AA8" s="321"/>
      <c r="AB8" s="321"/>
      <c r="AC8" s="321"/>
      <c r="AD8" s="321"/>
      <c r="AE8" s="321"/>
    </row>
    <row r="9" spans="1:31" ht="16.8" hidden="1">
      <c r="A9" s="1129"/>
      <c r="B9" s="12"/>
      <c r="C9" s="1140" t="str">
        <f>VLOOKUP($D$7,$H$83:$K$118,2,FALSE)</f>
        <v>Observaçao importante</v>
      </c>
      <c r="D9" s="1140"/>
      <c r="E9" s="1140"/>
      <c r="F9" s="21"/>
      <c r="G9" s="9"/>
      <c r="H9" s="23"/>
      <c r="I9" s="23"/>
      <c r="J9" s="23"/>
      <c r="K9" s="23"/>
      <c r="L9" s="23"/>
      <c r="M9" s="322"/>
      <c r="N9" s="22"/>
      <c r="W9">
        <v>30000</v>
      </c>
      <c r="X9" s="321"/>
      <c r="Y9" s="321"/>
      <c r="Z9" s="321"/>
      <c r="AA9" s="321"/>
      <c r="AB9" s="321"/>
      <c r="AC9" s="321"/>
      <c r="AD9" s="321"/>
      <c r="AE9" s="321"/>
    </row>
    <row r="10" spans="1:31" ht="39.9" hidden="1" customHeight="1">
      <c r="A10" s="1129"/>
      <c r="B10" s="1141" t="str">
        <f>VLOOKUP($D$7,$H$83:$K$118,4,FALSE)</f>
        <v>O software RETScreen utiliza macros do Excel. Devido aos parâmetros de segurança de macros definidos em alguns computadores, você poderá ter que habilitar macros quando abrir o arquivo RETScreen no Excel.</v>
      </c>
      <c r="C10" s="1142"/>
      <c r="D10" s="1142"/>
      <c r="E10" s="1142"/>
      <c r="F10" s="1142"/>
      <c r="G10" s="1143"/>
      <c r="H10" s="23"/>
      <c r="I10" s="23"/>
      <c r="J10" s="23"/>
      <c r="K10" s="23"/>
      <c r="L10" s="23"/>
      <c r="M10" s="322"/>
      <c r="N10" s="22"/>
      <c r="W10">
        <v>30000</v>
      </c>
      <c r="X10" s="321"/>
      <c r="Y10" s="321"/>
      <c r="Z10" s="321"/>
      <c r="AA10" s="321"/>
      <c r="AB10" s="321"/>
      <c r="AC10" s="321"/>
      <c r="AD10" s="321"/>
      <c r="AE10" s="321"/>
    </row>
    <row r="11" spans="1:31" ht="13.2" hidden="1">
      <c r="A11" s="1129"/>
      <c r="B11" s="12"/>
      <c r="C11" s="7"/>
      <c r="D11" s="21"/>
      <c r="E11" s="21"/>
      <c r="F11" s="21"/>
      <c r="G11" s="9"/>
      <c r="H11" s="23"/>
      <c r="I11" s="23"/>
      <c r="J11" s="23"/>
      <c r="K11" s="23"/>
      <c r="L11" s="23"/>
      <c r="M11" s="322"/>
      <c r="N11" s="22"/>
      <c r="W11">
        <v>30000</v>
      </c>
      <c r="X11" s="321"/>
      <c r="Y11" s="321"/>
      <c r="Z11" s="321"/>
      <c r="AA11" s="321"/>
      <c r="AB11" s="321"/>
      <c r="AC11" s="321"/>
      <c r="AD11" s="321"/>
      <c r="AE11" s="321"/>
    </row>
    <row r="12" spans="1:31" ht="51" hidden="1" customHeight="1">
      <c r="A12" s="1129"/>
      <c r="B12" s="1136" t="str">
        <f>VLOOKUP($D$7,$H$83:$K$118,3,FALSE)</f>
        <v>Além disso, em alguns computadores, o nível de segurança de macros do Excel é automaticamente definido como "muito alto" . Neste caso você terá que redefinir o nível de segurança para "médio" ou "alto" usando o Menu em "Ferramentas, Macro, Nível de segurança..." antes de usar o RETScreen. Caso isto não seja feito o software não  funcionará corretamente.</v>
      </c>
      <c r="C12" s="1137"/>
      <c r="D12" s="1137"/>
      <c r="E12" s="1137"/>
      <c r="F12" s="1137"/>
      <c r="G12" s="1138"/>
      <c r="H12" s="23"/>
      <c r="I12" s="23"/>
      <c r="J12" s="23"/>
      <c r="K12" s="23"/>
      <c r="L12" s="23"/>
      <c r="M12" s="322"/>
      <c r="N12" s="22"/>
      <c r="W12">
        <v>30000</v>
      </c>
      <c r="X12" s="321"/>
      <c r="Y12" s="321"/>
      <c r="Z12" s="321"/>
      <c r="AA12" s="321"/>
      <c r="AB12" s="321"/>
      <c r="AC12" s="321"/>
      <c r="AD12" s="321"/>
      <c r="AE12" s="321"/>
    </row>
    <row r="13" spans="1:31" ht="12.75" hidden="1" customHeight="1">
      <c r="A13" s="1129"/>
      <c r="B13" s="12"/>
      <c r="C13" s="7"/>
      <c r="D13" s="33"/>
      <c r="E13" s="33"/>
      <c r="F13" s="33"/>
      <c r="G13" s="9"/>
      <c r="H13" s="23"/>
      <c r="I13" s="23"/>
      <c r="J13" s="23"/>
      <c r="K13" s="23"/>
      <c r="L13" s="23"/>
      <c r="M13" s="322"/>
      <c r="N13" s="22"/>
      <c r="W13">
        <v>30000</v>
      </c>
      <c r="X13" s="321"/>
      <c r="Y13" s="321"/>
      <c r="Z13" s="321"/>
      <c r="AA13" s="321"/>
      <c r="AB13" s="321"/>
      <c r="AC13" s="321"/>
      <c r="AD13" s="321"/>
      <c r="AE13" s="321"/>
    </row>
    <row r="14" spans="1:31" ht="12.9" customHeight="1">
      <c r="A14" s="1129"/>
      <c r="B14" s="12"/>
      <c r="C14" s="7" t="str">
        <f>Language!C181</f>
        <v>Nome do Projeto</v>
      </c>
      <c r="D14" s="1344" t="s">
        <v>6020</v>
      </c>
      <c r="E14" s="1144"/>
      <c r="F14" s="1145"/>
      <c r="G14" s="9"/>
      <c r="H14" s="23"/>
      <c r="I14" s="23"/>
      <c r="J14" s="23"/>
      <c r="K14" s="23"/>
      <c r="L14" s="23"/>
      <c r="M14" s="322"/>
      <c r="N14" s="22"/>
      <c r="R14">
        <v>2</v>
      </c>
      <c r="S14" t="str">
        <f>Set_T2</f>
        <v>Fotovoltaica</v>
      </c>
      <c r="W14">
        <v>31002</v>
      </c>
      <c r="X14" s="321"/>
      <c r="Y14" s="321"/>
      <c r="Z14" s="321"/>
      <c r="AA14" s="321"/>
      <c r="AB14" s="321"/>
      <c r="AC14" s="321"/>
      <c r="AD14" s="321"/>
      <c r="AE14" s="321"/>
    </row>
    <row r="15" spans="1:31" ht="12.9" customHeight="1">
      <c r="A15" s="1129"/>
      <c r="B15" s="12"/>
      <c r="C15" s="7" t="str">
        <f>Language!C182</f>
        <v>Localização do Projeto</v>
      </c>
      <c r="D15" s="1151"/>
      <c r="E15" s="1144"/>
      <c r="F15" s="1145"/>
      <c r="G15" s="9"/>
      <c r="H15" s="23"/>
      <c r="I15" s="23"/>
      <c r="J15" s="23"/>
      <c r="K15" s="23"/>
      <c r="L15" s="23"/>
      <c r="M15" s="322"/>
      <c r="N15" s="22"/>
      <c r="R15">
        <v>3</v>
      </c>
      <c r="S15" t="str">
        <f>Set_T3</f>
        <v>Bomba de calor</v>
      </c>
      <c r="W15">
        <v>31004</v>
      </c>
      <c r="X15" s="321"/>
      <c r="Y15" s="321"/>
      <c r="Z15" s="321"/>
      <c r="AA15" s="321"/>
      <c r="AB15" s="321"/>
      <c r="AC15" s="321"/>
      <c r="AD15" s="321"/>
      <c r="AE15" s="321"/>
    </row>
    <row r="16" spans="1:31" ht="12.75" customHeight="1">
      <c r="A16" s="1129"/>
      <c r="B16" s="12"/>
      <c r="C16" s="7"/>
      <c r="D16" s="1131"/>
      <c r="E16" s="1131"/>
      <c r="F16" s="1131"/>
      <c r="G16" s="9"/>
      <c r="H16" s="23"/>
      <c r="I16" s="23"/>
      <c r="J16" s="23"/>
      <c r="K16" s="23"/>
      <c r="L16" s="23"/>
      <c r="M16" s="322"/>
      <c r="N16" s="22"/>
      <c r="R16">
        <v>4</v>
      </c>
      <c r="S16" t="str">
        <f>Equip_PowerType</f>
        <v>Fotovoltaica</v>
      </c>
      <c r="W16">
        <v>31000</v>
      </c>
      <c r="X16" s="321"/>
      <c r="Y16" s="321"/>
      <c r="Z16" s="321"/>
      <c r="AA16" s="321"/>
      <c r="AB16" s="321"/>
      <c r="AC16" s="321"/>
      <c r="AD16" s="321"/>
      <c r="AE16" s="321"/>
    </row>
    <row r="17" spans="1:31" ht="12.75" customHeight="1">
      <c r="A17" s="1129"/>
      <c r="B17" s="12"/>
      <c r="C17" s="7" t="str">
        <f>Language!C1904</f>
        <v>Preparado para</v>
      </c>
      <c r="D17" s="1152"/>
      <c r="E17" s="1153"/>
      <c r="F17" s="1154"/>
      <c r="G17" s="9"/>
      <c r="H17" s="23"/>
      <c r="I17" s="23"/>
      <c r="J17" s="23"/>
      <c r="K17" s="23"/>
      <c r="L17" s="23"/>
      <c r="M17" s="322"/>
      <c r="N17" s="22"/>
      <c r="R17">
        <v>5</v>
      </c>
      <c r="S17" t="str">
        <f>Equip_PowerType&amp;" - "&amp;Equip_CoolType</f>
        <v>Fotovoltaica - Bomba de calor</v>
      </c>
      <c r="W17">
        <v>31006</v>
      </c>
      <c r="X17" s="321"/>
      <c r="Y17" s="321"/>
      <c r="Z17" s="321"/>
      <c r="AA17" s="321"/>
      <c r="AB17" s="321"/>
      <c r="AC17" s="321"/>
      <c r="AD17" s="321"/>
      <c r="AE17" s="321"/>
    </row>
    <row r="18" spans="1:31" ht="13.2">
      <c r="A18" s="1129"/>
      <c r="B18" s="12"/>
      <c r="C18" s="7" t="str">
        <f>Language!C1903</f>
        <v>Preparado por</v>
      </c>
      <c r="D18" s="1152"/>
      <c r="E18" s="1153"/>
      <c r="F18" s="1154"/>
      <c r="G18" s="9"/>
      <c r="H18" s="23"/>
      <c r="I18" s="23"/>
      <c r="J18" s="23"/>
      <c r="K18" s="23"/>
      <c r="L18" s="23"/>
      <c r="M18" s="322"/>
      <c r="N18" s="22"/>
      <c r="P18" s="437" t="s">
        <v>762</v>
      </c>
      <c r="R18">
        <v>6</v>
      </c>
      <c r="S18" t="str">
        <f>Equip_HeatingType&amp;" - "&amp;Equip_CoolType</f>
        <v>Sistema à biomassa - Bomba de calor</v>
      </c>
      <c r="W18">
        <v>31008</v>
      </c>
      <c r="X18" s="321"/>
      <c r="Y18" s="321"/>
      <c r="Z18" s="321"/>
      <c r="AA18" s="321"/>
      <c r="AB18" s="321"/>
      <c r="AC18" s="321"/>
      <c r="AD18" s="321"/>
      <c r="AE18" s="321"/>
    </row>
    <row r="19" spans="1:31" ht="21" customHeight="1">
      <c r="A19" s="1129"/>
      <c r="B19" s="12"/>
      <c r="C19" s="7"/>
      <c r="D19" s="1131"/>
      <c r="E19" s="1131"/>
      <c r="F19" s="1131"/>
      <c r="G19" s="9"/>
      <c r="H19" s="23"/>
      <c r="I19" s="23"/>
      <c r="J19" s="23"/>
      <c r="K19" s="23"/>
      <c r="L19" s="23"/>
      <c r="M19" s="322"/>
      <c r="N19" s="22"/>
      <c r="R19">
        <v>7</v>
      </c>
      <c r="S19" t="str">
        <f>Equip_PowerType&amp;" - "&amp;Equip_CoolType</f>
        <v>Fotovoltaica - Bomba de calor</v>
      </c>
      <c r="W19">
        <v>31000</v>
      </c>
      <c r="X19" s="321"/>
      <c r="Y19" s="321"/>
      <c r="Z19" s="321"/>
      <c r="AA19" s="321"/>
      <c r="AB19" s="321"/>
      <c r="AC19" s="321"/>
      <c r="AD19" s="321"/>
      <c r="AE19" s="321"/>
    </row>
    <row r="20" spans="1:31" ht="12.75" customHeight="1">
      <c r="A20" s="1129"/>
      <c r="B20" s="12"/>
      <c r="C20" s="7" t="str">
        <f>Language!C1911</f>
        <v>Tipo de projeto</v>
      </c>
      <c r="D20" s="1133" t="s">
        <v>8251</v>
      </c>
      <c r="E20" s="1134"/>
      <c r="F20" s="1135"/>
      <c r="G20" s="9"/>
      <c r="H20" s="322"/>
      <c r="I20" s="23"/>
      <c r="J20" s="23"/>
      <c r="K20" s="23"/>
      <c r="L20" s="23"/>
      <c r="M20" s="322"/>
      <c r="N20" s="22">
        <f>IF(D20="",1,IF(MATCH(D20,B107:B116,0)=10,2,MATCH(D20,B107:B116,0)))</f>
        <v>2</v>
      </c>
      <c r="P20">
        <f>IF(D20="",1,MATCH(D20,B107:B116,0))</f>
        <v>2</v>
      </c>
      <c r="Q20" s="319"/>
      <c r="R20">
        <v>8</v>
      </c>
      <c r="S20" t="str">
        <f>D22</f>
        <v>Industrial</v>
      </c>
      <c r="W20">
        <v>31010</v>
      </c>
      <c r="X20" s="321"/>
      <c r="Y20" s="321"/>
      <c r="Z20" s="321"/>
      <c r="AA20" s="321"/>
      <c r="AB20" s="321"/>
      <c r="AC20" s="321"/>
      <c r="AD20" s="321"/>
      <c r="AE20" s="321"/>
    </row>
    <row r="21" spans="1:31" ht="12.75" customHeight="1">
      <c r="A21" s="1129"/>
      <c r="B21" s="12"/>
      <c r="C21" s="7"/>
      <c r="D21" s="1130"/>
      <c r="E21" s="1130"/>
      <c r="F21" s="1130"/>
      <c r="G21" s="9"/>
      <c r="H21" s="23"/>
      <c r="I21" s="23"/>
      <c r="J21" s="23"/>
      <c r="K21" s="23"/>
      <c r="L21" s="23"/>
      <c r="M21" s="322"/>
      <c r="N21" s="22"/>
      <c r="Q21" t="str">
        <f>VLOOKUP(P20,R5:S22,2)</f>
        <v>Fotovoltaica</v>
      </c>
      <c r="R21">
        <v>9</v>
      </c>
      <c r="S21" t="str">
        <f>IF(EE_UserCode=1,'Modelo Energético '!D933,IF(EE_UserCode=2,'Modelo Energético '!D934,G111))</f>
        <v>Energia</v>
      </c>
      <c r="W21">
        <v>31000</v>
      </c>
      <c r="X21" s="321"/>
      <c r="Y21" s="321"/>
      <c r="Z21" s="321"/>
      <c r="AA21" s="321"/>
      <c r="AB21" s="321"/>
      <c r="AC21" s="321"/>
      <c r="AD21" s="321"/>
      <c r="AE21" s="321"/>
    </row>
    <row r="22" spans="1:31" ht="12.75" hidden="1" customHeight="1">
      <c r="A22" s="1129"/>
      <c r="B22" s="12"/>
      <c r="C22" s="7" t="str">
        <f>Language!C1647</f>
        <v>Tipo de instalação</v>
      </c>
      <c r="D22" s="1133" t="s">
        <v>1771</v>
      </c>
      <c r="E22" s="1134"/>
      <c r="F22" s="1135"/>
      <c r="G22" s="9"/>
      <c r="H22" s="23"/>
      <c r="I22" s="23"/>
      <c r="J22" s="23"/>
      <c r="K22" s="23"/>
      <c r="L22" s="23"/>
      <c r="M22" s="322"/>
      <c r="N22" s="22">
        <f>IF(D22="",1,MATCH(D22,G107:G111,0))</f>
        <v>4</v>
      </c>
      <c r="P22">
        <f>IF(HideCode_projectType=8,1,0)</f>
        <v>0</v>
      </c>
      <c r="R22">
        <v>10</v>
      </c>
      <c r="S22" t="str">
        <f>Equip_PowerType&amp;" - "&amp;Equip_PowerTypeInter</f>
        <v>Fotovoltaica - Turbina à gas</v>
      </c>
      <c r="W22">
        <v>31012</v>
      </c>
      <c r="X22" s="321"/>
      <c r="Y22" s="321"/>
      <c r="Z22" s="321"/>
      <c r="AA22" s="321"/>
      <c r="AB22" s="321"/>
      <c r="AC22" s="321"/>
      <c r="AD22" s="321"/>
      <c r="AE22" s="321"/>
    </row>
    <row r="23" spans="1:31" ht="12.75" hidden="1" customHeight="1">
      <c r="A23" s="1129"/>
      <c r="B23" s="12"/>
      <c r="C23" s="7" t="str">
        <f>Language!C2015</f>
        <v>Tecnologia</v>
      </c>
      <c r="D23" s="1133" t="s">
        <v>6409</v>
      </c>
      <c r="E23" s="1134"/>
      <c r="F23" s="1135"/>
      <c r="G23" s="9"/>
      <c r="H23" s="23"/>
      <c r="I23" s="23"/>
      <c r="J23" s="23"/>
      <c r="K23" s="23"/>
      <c r="L23" s="23"/>
      <c r="M23" s="322"/>
      <c r="N23" s="22">
        <f>IF(OR(HideCode_projectType&lt;&gt;1,D23=""),0,MATCH(D23,C107:C114,0))</f>
        <v>0</v>
      </c>
      <c r="W23">
        <v>31014</v>
      </c>
      <c r="X23" s="321"/>
      <c r="Y23" s="321"/>
      <c r="Z23" s="321"/>
      <c r="AA23" s="321"/>
      <c r="AB23" s="321"/>
      <c r="AC23" s="321"/>
      <c r="AD23" s="321"/>
      <c r="AE23" s="321"/>
    </row>
    <row r="24" spans="1:31" ht="12.75" customHeight="1">
      <c r="A24" s="1129"/>
      <c r="B24" s="12"/>
      <c r="C24" s="7" t="str">
        <f>$C$23</f>
        <v>Tecnologia</v>
      </c>
      <c r="D24" s="1133" t="s">
        <v>6152</v>
      </c>
      <c r="E24" s="1134"/>
      <c r="F24" s="1135"/>
      <c r="G24" s="9"/>
      <c r="H24" s="23"/>
      <c r="I24" s="23"/>
      <c r="J24" s="23"/>
      <c r="K24" s="23"/>
      <c r="L24" s="23"/>
      <c r="M24" s="322"/>
      <c r="N24" s="22">
        <f>IF(OR(HideCode_projectType&lt;&gt;2,D24=""),0,IF(P20=10,0,MATCH(D24,D107:D121,0)))</f>
        <v>9</v>
      </c>
      <c r="W24">
        <v>31014</v>
      </c>
      <c r="X24" s="321"/>
      <c r="Y24" s="321"/>
      <c r="Z24" s="321"/>
      <c r="AA24" s="321"/>
      <c r="AB24" s="321"/>
      <c r="AC24" s="321"/>
      <c r="AD24" s="321"/>
      <c r="AE24" s="321"/>
    </row>
    <row r="25" spans="1:31" ht="12.75" hidden="1" customHeight="1">
      <c r="A25" s="1129"/>
      <c r="B25" s="12"/>
      <c r="C25" s="7" t="str">
        <f>$C$23</f>
        <v>Tecnologia</v>
      </c>
      <c r="D25" s="1133" t="s">
        <v>6412</v>
      </c>
      <c r="E25" s="1134"/>
      <c r="F25" s="1135"/>
      <c r="G25" s="9"/>
      <c r="H25" s="23"/>
      <c r="I25" s="23"/>
      <c r="J25" s="23"/>
      <c r="K25" s="23"/>
      <c r="L25" s="23"/>
      <c r="M25" s="322"/>
      <c r="N25" s="22">
        <f>IF(OR(HideCode_projectType&lt;&gt;3,D25=""),0,MATCH(D25,E107:E112,0))</f>
        <v>0</v>
      </c>
      <c r="W25">
        <v>31014</v>
      </c>
      <c r="X25" s="321"/>
      <c r="Y25" s="321"/>
      <c r="Z25" s="321"/>
      <c r="AA25" s="321"/>
      <c r="AB25" s="321"/>
      <c r="AC25" s="321"/>
      <c r="AD25" s="321"/>
      <c r="AE25" s="321"/>
    </row>
    <row r="26" spans="1:31" ht="12.75" customHeight="1">
      <c r="A26" s="1129"/>
      <c r="B26" s="12"/>
      <c r="C26" s="7" t="str">
        <f>Language!C586</f>
        <v>Tipo de grid</v>
      </c>
      <c r="D26" s="1133" t="s">
        <v>6136</v>
      </c>
      <c r="E26" s="1134"/>
      <c r="F26" s="1135"/>
      <c r="G26" s="9"/>
      <c r="H26" s="23"/>
      <c r="I26" s="23"/>
      <c r="J26" s="23"/>
      <c r="K26" s="23"/>
      <c r="L26" s="23"/>
      <c r="M26" s="322"/>
      <c r="N26" s="463">
        <f>O26</f>
        <v>1</v>
      </c>
      <c r="O26">
        <f>IF(OR(N20=1,N20=3,N20=6,N20&gt;7),0,IF(Set_GridType="",1,MATCH(Set_GridType,LN_GridType,0)))</f>
        <v>1</v>
      </c>
      <c r="W26">
        <v>31016</v>
      </c>
      <c r="X26" s="321"/>
      <c r="Y26" s="321"/>
      <c r="Z26" s="321"/>
      <c r="AA26" s="321"/>
      <c r="AB26" s="321"/>
      <c r="AC26" s="321"/>
      <c r="AD26" s="321"/>
      <c r="AE26" s="321"/>
    </row>
    <row r="27" spans="1:31" ht="12.75" customHeight="1">
      <c r="A27" s="1129"/>
      <c r="B27" s="12"/>
      <c r="C27" s="7"/>
      <c r="D27" s="1139"/>
      <c r="E27" s="1139"/>
      <c r="F27" s="1139"/>
      <c r="G27" s="9"/>
      <c r="H27" s="23"/>
      <c r="I27" s="23"/>
      <c r="J27" s="23"/>
      <c r="K27" s="23"/>
      <c r="L27" s="23"/>
      <c r="M27" s="322"/>
      <c r="N27" s="22"/>
      <c r="W27">
        <v>31000</v>
      </c>
      <c r="X27" s="321"/>
      <c r="Y27" s="321"/>
      <c r="Z27" s="321"/>
      <c r="AA27" s="321"/>
      <c r="AB27" s="321"/>
      <c r="AC27" s="321"/>
      <c r="AD27" s="321"/>
      <c r="AE27" s="321"/>
    </row>
    <row r="28" spans="1:31" ht="12.9" customHeight="1">
      <c r="A28" s="1129"/>
      <c r="B28" s="12"/>
      <c r="C28" s="7" t="str">
        <f>Language!C1476</f>
        <v>Tipo de análise</v>
      </c>
      <c r="D28" s="1133" t="s">
        <v>7584</v>
      </c>
      <c r="E28" s="1134"/>
      <c r="F28" s="1135"/>
      <c r="G28" s="9"/>
      <c r="H28" s="23"/>
      <c r="I28" s="23"/>
      <c r="J28" s="23"/>
      <c r="K28" s="23"/>
      <c r="L28" s="23"/>
      <c r="M28" s="322"/>
      <c r="N28" s="22">
        <f>IF(D28="",2,MATCH(D28,E127:E128,0))</f>
        <v>2</v>
      </c>
      <c r="O28">
        <f>Q28+N28</f>
        <v>20912</v>
      </c>
      <c r="Q28">
        <f>N20*10000+(N23+N24+N25)*100+N26*10</f>
        <v>20910</v>
      </c>
      <c r="W28">
        <v>31018</v>
      </c>
      <c r="X28" s="321"/>
      <c r="Y28" s="321"/>
      <c r="Z28" s="321"/>
      <c r="AA28" s="321"/>
      <c r="AB28" s="321"/>
      <c r="AC28" s="321"/>
      <c r="AD28" s="321"/>
      <c r="AE28" s="321"/>
    </row>
    <row r="29" spans="1:31" ht="12.75" customHeight="1">
      <c r="A29" s="1129"/>
      <c r="B29" s="12"/>
      <c r="C29" s="7"/>
      <c r="D29" s="1132"/>
      <c r="E29" s="1132"/>
      <c r="F29" s="1132"/>
      <c r="G29" s="9"/>
      <c r="H29" s="23"/>
      <c r="I29" s="23"/>
      <c r="J29" s="23"/>
      <c r="K29" s="23"/>
      <c r="L29" s="23"/>
      <c r="M29" s="322"/>
      <c r="N29" s="22"/>
      <c r="W29">
        <v>31000</v>
      </c>
      <c r="X29" s="321"/>
      <c r="Y29" s="321"/>
      <c r="Z29" s="321"/>
      <c r="AA29" s="321"/>
      <c r="AB29" s="321"/>
      <c r="AC29" s="321"/>
      <c r="AD29" s="321"/>
      <c r="AE29" s="321"/>
    </row>
    <row r="30" spans="1:31" ht="12.75" customHeight="1">
      <c r="A30" s="1129"/>
      <c r="B30" s="12"/>
      <c r="C30" s="7" t="str">
        <f>Language!C1723</f>
        <v>Poder calorífico de referência</v>
      </c>
      <c r="D30" s="1133" t="s">
        <v>6095</v>
      </c>
      <c r="E30" s="1134"/>
      <c r="F30" s="1135"/>
      <c r="G30" s="9"/>
      <c r="H30" s="23"/>
      <c r="I30" s="23"/>
      <c r="J30" s="23"/>
      <c r="K30" s="23"/>
      <c r="L30" s="23"/>
      <c r="M30" s="322"/>
      <c r="N30" s="22"/>
      <c r="W30">
        <v>31020</v>
      </c>
      <c r="X30" s="321"/>
      <c r="Y30" s="321"/>
      <c r="Z30" s="321"/>
      <c r="AA30" s="321"/>
      <c r="AB30" s="321"/>
      <c r="AC30" s="321"/>
      <c r="AD30" s="321"/>
      <c r="AE30" s="321"/>
    </row>
    <row r="31" spans="1:31" ht="25.5" customHeight="1">
      <c r="A31" s="1129"/>
      <c r="B31" s="12"/>
      <c r="C31" s="10" t="str">
        <f>Language!C1972</f>
        <v>Ver parâmetros</v>
      </c>
      <c r="D31" s="1130"/>
      <c r="E31" s="1130"/>
      <c r="F31" s="1130"/>
      <c r="G31" s="9"/>
      <c r="H31" s="23"/>
      <c r="I31" s="23"/>
      <c r="J31" s="23"/>
      <c r="K31" s="23"/>
      <c r="L31" s="23"/>
      <c r="M31" s="322"/>
      <c r="N31" s="325" t="b">
        <v>1</v>
      </c>
      <c r="W31">
        <v>31022</v>
      </c>
      <c r="X31" s="321"/>
      <c r="Y31" s="321"/>
      <c r="Z31" s="321"/>
      <c r="AA31" s="321"/>
      <c r="AB31" s="321"/>
      <c r="AC31" s="321"/>
      <c r="AD31" s="321"/>
      <c r="AE31" s="321"/>
    </row>
    <row r="32" spans="1:31" ht="12.75" customHeight="1">
      <c r="A32" s="1129"/>
      <c r="B32" s="12"/>
      <c r="C32" s="7" t="str">
        <f>Language!C177</f>
        <v>Idioma</v>
      </c>
      <c r="D32" s="1133" t="s">
        <v>1790</v>
      </c>
      <c r="E32" s="1134"/>
      <c r="F32" s="1135"/>
      <c r="G32" s="9"/>
      <c r="H32" s="23"/>
      <c r="I32" s="23"/>
      <c r="J32" s="23"/>
      <c r="K32" s="23"/>
      <c r="L32" s="23"/>
      <c r="M32" s="322"/>
      <c r="N32" s="22">
        <f>IF(D32="",1,MATCH(D32,H83:H118,0))</f>
        <v>23</v>
      </c>
      <c r="W32">
        <v>31024</v>
      </c>
      <c r="X32" s="321"/>
      <c r="Y32" s="321"/>
      <c r="Z32" s="321"/>
      <c r="AA32" s="321"/>
      <c r="AB32" s="321"/>
      <c r="AC32" s="321"/>
      <c r="AD32" s="321"/>
      <c r="AE32" s="321"/>
    </row>
    <row r="33" spans="1:31" ht="12.75" customHeight="1">
      <c r="A33" s="1129"/>
      <c r="B33" s="12"/>
      <c r="C33" s="7" t="str">
        <f>Language!C2614</f>
        <v>Manual do usuário</v>
      </c>
      <c r="D33" s="1133" t="s">
        <v>3668</v>
      </c>
      <c r="E33" s="1134"/>
      <c r="F33" s="1135"/>
      <c r="G33" s="9"/>
      <c r="H33" s="23"/>
      <c r="I33" s="23"/>
      <c r="J33" s="23"/>
      <c r="K33" s="23"/>
      <c r="L33" s="23"/>
      <c r="M33" s="322"/>
      <c r="N33" s="22" t="str">
        <f>IF(OnlineManualLanguage=B125,"RETScreen4F.chm","RETScreen4.chm")</f>
        <v>RETScreen4.chm</v>
      </c>
      <c r="W33">
        <v>31026</v>
      </c>
      <c r="X33" s="321"/>
      <c r="Y33" s="321"/>
      <c r="Z33" s="321"/>
      <c r="AA33" s="321"/>
      <c r="AB33" s="321"/>
      <c r="AC33" s="321"/>
      <c r="AD33" s="321"/>
      <c r="AE33" s="321"/>
    </row>
    <row r="34" spans="1:31" ht="12.75" customHeight="1">
      <c r="A34" s="1129"/>
      <c r="B34" s="12"/>
      <c r="C34" s="7"/>
      <c r="D34" s="1131" t="s">
        <v>708</v>
      </c>
      <c r="E34" s="1131"/>
      <c r="F34" s="1131"/>
      <c r="G34" s="9"/>
      <c r="H34" s="23"/>
      <c r="I34" s="23"/>
      <c r="J34" s="23"/>
      <c r="K34" s="23"/>
      <c r="L34" s="23"/>
      <c r="M34" s="322"/>
      <c r="N34" s="22"/>
      <c r="W34">
        <v>31000</v>
      </c>
      <c r="X34" s="321"/>
      <c r="Y34" s="321"/>
      <c r="Z34" s="321"/>
      <c r="AA34" s="321"/>
      <c r="AB34" s="321"/>
      <c r="AC34" s="321"/>
      <c r="AD34" s="321"/>
      <c r="AE34" s="321"/>
    </row>
    <row r="35" spans="1:31" ht="12.75" customHeight="1">
      <c r="A35" s="1129"/>
      <c r="B35" s="12"/>
      <c r="C35" s="7" t="str">
        <f>Language!C495</f>
        <v>Moeda</v>
      </c>
      <c r="D35" s="1133" t="s">
        <v>5809</v>
      </c>
      <c r="E35" s="1134"/>
      <c r="F35" s="1135"/>
      <c r="G35" s="9"/>
      <c r="H35" s="23"/>
      <c r="I35" s="23"/>
      <c r="J35" s="23"/>
      <c r="K35" s="23"/>
      <c r="L35" s="23"/>
      <c r="M35" s="322"/>
      <c r="N35" s="22">
        <f>IF(Currency_name="",1,MATCH(Currency_name,currency_list,0))</f>
        <v>2</v>
      </c>
      <c r="O35">
        <v>1</v>
      </c>
      <c r="W35">
        <v>31028</v>
      </c>
      <c r="X35" s="321"/>
      <c r="Y35" s="321"/>
      <c r="Z35" s="321"/>
      <c r="AA35" s="321"/>
      <c r="AB35" s="321"/>
      <c r="AC35" s="321"/>
      <c r="AD35" s="321"/>
      <c r="AE35" s="321"/>
    </row>
    <row r="36" spans="1:31" ht="12.75" customHeight="1">
      <c r="A36" s="1129"/>
      <c r="B36" s="12"/>
      <c r="C36" s="259" t="str">
        <f>Language!C497</f>
        <v>Símbolo</v>
      </c>
      <c r="D36" s="1157"/>
      <c r="E36" s="1158"/>
      <c r="F36" s="1158"/>
      <c r="G36" s="9"/>
      <c r="H36" s="23"/>
      <c r="I36" s="23"/>
      <c r="J36" s="23"/>
      <c r="K36" s="23"/>
      <c r="L36" s="23"/>
      <c r="M36" s="322"/>
      <c r="N36" s="22"/>
      <c r="W36">
        <v>31030</v>
      </c>
      <c r="X36" s="321"/>
      <c r="Y36" s="321"/>
      <c r="Z36" s="321"/>
      <c r="AA36" s="321"/>
      <c r="AB36" s="321"/>
      <c r="AC36" s="321"/>
      <c r="AD36" s="321"/>
      <c r="AE36" s="321"/>
    </row>
    <row r="37" spans="1:31" ht="12.75" customHeight="1">
      <c r="A37" s="1129"/>
      <c r="B37" s="12"/>
      <c r="C37" s="7" t="str">
        <f>Language!C178</f>
        <v>Unidades</v>
      </c>
      <c r="D37" s="1133" t="s">
        <v>6073</v>
      </c>
      <c r="E37" s="1134"/>
      <c r="F37" s="1135"/>
      <c r="G37" s="9"/>
      <c r="H37" s="23"/>
      <c r="I37" s="23"/>
      <c r="J37" s="23"/>
      <c r="K37" s="23"/>
      <c r="L37" s="23"/>
      <c r="M37" s="322"/>
      <c r="N37" s="325" t="b">
        <f>IF(OR(D37=B127,D37=""),TRUE,FALSE)</f>
        <v>1</v>
      </c>
      <c r="W37">
        <v>31032</v>
      </c>
      <c r="X37" s="321"/>
      <c r="Y37" s="321"/>
      <c r="Z37" s="321"/>
      <c r="AA37" s="321"/>
      <c r="AB37" s="321"/>
      <c r="AC37" s="321"/>
      <c r="AD37" s="321"/>
      <c r="AE37" s="321"/>
    </row>
    <row r="38" spans="1:31" ht="12.75" customHeight="1">
      <c r="A38" s="1129"/>
      <c r="B38" s="14"/>
      <c r="C38" s="15"/>
      <c r="D38" s="1132"/>
      <c r="E38" s="1132"/>
      <c r="F38" s="1132"/>
      <c r="G38" s="11"/>
      <c r="H38" s="23"/>
      <c r="I38" s="23"/>
      <c r="J38" s="23"/>
      <c r="K38" s="23"/>
      <c r="L38" s="23"/>
      <c r="M38" s="322"/>
      <c r="N38" s="22">
        <f>IF(OR(D30=C127,D30=""),1,2)</f>
        <v>2</v>
      </c>
      <c r="W38">
        <v>31000</v>
      </c>
      <c r="X38" s="321"/>
      <c r="Y38" s="321"/>
      <c r="Z38" s="321"/>
      <c r="AA38" s="321"/>
      <c r="AB38" s="321"/>
      <c r="AC38" s="321"/>
      <c r="AD38" s="321"/>
      <c r="AE38" s="321"/>
    </row>
    <row r="39" spans="1:31" ht="12.75" customHeight="1">
      <c r="A39" s="1129"/>
      <c r="B39" s="12"/>
      <c r="C39" s="8"/>
      <c r="D39" s="8"/>
      <c r="E39" s="8"/>
      <c r="F39" s="8"/>
      <c r="G39" s="9"/>
      <c r="H39" s="23"/>
      <c r="I39" s="23"/>
      <c r="J39" s="23"/>
      <c r="K39" s="23"/>
      <c r="L39" s="23"/>
      <c r="M39" s="322"/>
      <c r="N39" s="22"/>
      <c r="W39">
        <v>32000</v>
      </c>
      <c r="X39" s="321"/>
      <c r="Y39" s="321"/>
      <c r="Z39" s="321"/>
      <c r="AA39" s="321"/>
      <c r="AB39" s="321"/>
      <c r="AC39" s="321"/>
      <c r="AD39" s="321"/>
      <c r="AE39" s="321"/>
    </row>
    <row r="40" spans="1:31" ht="25.5" customHeight="1">
      <c r="A40" s="1129"/>
      <c r="B40" s="1147" t="str">
        <f>Language!C179</f>
        <v>Condições de Referência do site</v>
      </c>
      <c r="C40" s="1148"/>
      <c r="D40" s="1161" t="str">
        <f>Language!C1964</f>
        <v>Selecionar local de dados climáticos</v>
      </c>
      <c r="E40" s="1162"/>
      <c r="F40" s="1162"/>
      <c r="G40" s="9"/>
      <c r="H40" s="23"/>
      <c r="I40" s="23"/>
      <c r="J40" s="23"/>
      <c r="K40" s="23"/>
      <c r="L40" s="23"/>
      <c r="M40" s="322"/>
      <c r="N40" s="22"/>
      <c r="O40" s="257"/>
      <c r="P40" s="257"/>
      <c r="W40">
        <v>32000</v>
      </c>
      <c r="X40" s="321"/>
      <c r="Y40" s="321"/>
      <c r="Z40" s="321"/>
      <c r="AA40" s="321"/>
      <c r="AB40" s="321"/>
      <c r="AC40" s="321"/>
      <c r="AD40" s="321"/>
      <c r="AE40" s="321"/>
    </row>
    <row r="41" spans="1:31" ht="12.75" customHeight="1">
      <c r="A41" s="1129"/>
      <c r="B41" s="12"/>
      <c r="C41" s="8"/>
      <c r="D41" s="8"/>
      <c r="E41" s="8"/>
      <c r="F41" s="8"/>
      <c r="G41" s="9"/>
      <c r="H41" s="23"/>
      <c r="I41" s="23"/>
      <c r="J41" s="23"/>
      <c r="K41" s="23"/>
      <c r="L41" s="23"/>
      <c r="M41" s="322"/>
      <c r="N41" s="22"/>
      <c r="O41" s="1146" t="s">
        <v>737</v>
      </c>
      <c r="P41" s="1146"/>
      <c r="Q41" s="1146"/>
      <c r="W41">
        <v>32000</v>
      </c>
      <c r="X41" s="321"/>
      <c r="Y41" s="321"/>
      <c r="Z41" s="321"/>
      <c r="AA41" s="321"/>
      <c r="AB41" s="321"/>
      <c r="AC41" s="321"/>
      <c r="AD41" s="321"/>
      <c r="AE41" s="321"/>
    </row>
    <row r="42" spans="1:31" ht="12.75" customHeight="1">
      <c r="A42" s="1129"/>
      <c r="B42" s="12"/>
      <c r="C42" s="13" t="str">
        <f>Language!C1538</f>
        <v>Localização dos dados climáticos</v>
      </c>
      <c r="D42" s="1152" t="s">
        <v>8851</v>
      </c>
      <c r="E42" s="1153"/>
      <c r="F42" s="1154"/>
      <c r="G42" s="9"/>
      <c r="H42" s="23"/>
      <c r="I42" s="23"/>
      <c r="J42" s="23"/>
      <c r="K42" s="23"/>
      <c r="L42" s="23"/>
      <c r="M42" s="322"/>
      <c r="N42" s="22"/>
      <c r="O42" s="709">
        <v>160</v>
      </c>
      <c r="P42" s="709">
        <v>268</v>
      </c>
      <c r="Q42" s="713" t="s">
        <v>8852</v>
      </c>
      <c r="W42">
        <v>32002</v>
      </c>
      <c r="X42" s="321"/>
      <c r="Y42" s="321"/>
      <c r="Z42" s="321"/>
      <c r="AA42" s="321"/>
      <c r="AB42" s="321"/>
      <c r="AC42" s="321"/>
      <c r="AD42" s="321"/>
      <c r="AE42" s="321"/>
    </row>
    <row r="43" spans="1:31" ht="12.75" customHeight="1">
      <c r="A43" s="1129"/>
      <c r="B43" s="12"/>
      <c r="C43" s="8"/>
      <c r="D43" s="8"/>
      <c r="E43" s="8"/>
      <c r="F43" s="8"/>
      <c r="G43" s="9"/>
      <c r="H43" s="23"/>
      <c r="I43" s="23"/>
      <c r="J43" s="23"/>
      <c r="K43" s="23"/>
      <c r="L43" s="23"/>
      <c r="M43" s="23"/>
      <c r="N43" s="22"/>
      <c r="W43">
        <v>32000</v>
      </c>
      <c r="X43" s="321"/>
      <c r="Y43" s="321"/>
      <c r="Z43" s="321"/>
      <c r="AA43" s="321"/>
      <c r="AB43" s="321"/>
      <c r="AC43" s="321"/>
      <c r="AD43" s="321"/>
      <c r="AE43" s="321"/>
    </row>
    <row r="44" spans="1:31" ht="12.75" customHeight="1">
      <c r="A44" s="1129"/>
      <c r="B44" s="12"/>
      <c r="C44" s="7" t="str">
        <f>Language!C1970</f>
        <v>Mostrar dado</v>
      </c>
      <c r="D44" s="8"/>
      <c r="E44" s="8"/>
      <c r="F44" s="8"/>
      <c r="G44" s="9"/>
      <c r="H44" s="23"/>
      <c r="I44" s="23"/>
      <c r="J44" s="23"/>
      <c r="K44" s="23"/>
      <c r="L44" s="23"/>
      <c r="M44" s="23"/>
      <c r="N44" s="325" t="b">
        <v>0</v>
      </c>
      <c r="W44">
        <v>32004</v>
      </c>
      <c r="X44" s="321"/>
      <c r="Y44" s="321"/>
      <c r="Z44" s="321"/>
      <c r="AA44" s="321"/>
      <c r="AB44" s="321"/>
      <c r="AC44" s="321"/>
      <c r="AD44" s="321"/>
      <c r="AE44" s="321"/>
    </row>
    <row r="45" spans="1:31" ht="12.75" customHeight="1">
      <c r="A45" s="1129"/>
      <c r="B45" s="14"/>
      <c r="C45" s="15"/>
      <c r="D45" s="15"/>
      <c r="E45" s="15"/>
      <c r="F45" s="15"/>
      <c r="G45" s="11"/>
      <c r="H45" s="23"/>
      <c r="I45" s="23"/>
      <c r="J45" s="23"/>
      <c r="K45" s="23"/>
      <c r="L45" s="23"/>
      <c r="M45" s="23"/>
      <c r="N45" s="22"/>
      <c r="W45">
        <v>32000</v>
      </c>
      <c r="X45" s="321"/>
      <c r="Y45" s="321"/>
      <c r="Z45" s="321"/>
      <c r="AA45" s="321"/>
      <c r="AB45" s="321"/>
      <c r="AC45" s="321"/>
      <c r="AD45" s="321"/>
      <c r="AE45" s="321"/>
    </row>
    <row r="46" spans="1:31" ht="12.75" customHeight="1">
      <c r="A46" s="23"/>
      <c r="B46" s="23"/>
      <c r="C46" s="23"/>
      <c r="D46" s="23"/>
      <c r="E46" s="23"/>
      <c r="F46" s="23"/>
      <c r="G46" s="23"/>
      <c r="H46" s="23"/>
      <c r="I46" s="23"/>
      <c r="J46" s="23"/>
      <c r="K46" s="23"/>
      <c r="L46" s="23"/>
      <c r="M46" s="23"/>
      <c r="N46" s="22"/>
      <c r="W46">
        <v>30000</v>
      </c>
      <c r="X46" s="321"/>
      <c r="Y46" s="321"/>
      <c r="Z46" s="321"/>
      <c r="AA46" s="321"/>
      <c r="AB46" s="321"/>
      <c r="AC46" s="321"/>
      <c r="AD46" s="321"/>
      <c r="AE46" s="321"/>
    </row>
    <row r="47" spans="1:31" ht="12.75" hidden="1" customHeight="1">
      <c r="A47" s="23"/>
      <c r="B47" s="50"/>
      <c r="C47" s="5"/>
      <c r="D47" s="5"/>
      <c r="E47" s="5"/>
      <c r="F47" s="5"/>
      <c r="G47" s="5"/>
      <c r="H47" s="5"/>
      <c r="I47" s="5"/>
      <c r="J47" s="5"/>
      <c r="K47" s="5"/>
      <c r="L47" s="6"/>
      <c r="M47" s="23"/>
      <c r="N47" s="22"/>
      <c r="W47">
        <v>33000</v>
      </c>
      <c r="X47" s="321"/>
      <c r="Y47" s="321"/>
      <c r="Z47" s="321"/>
      <c r="AA47" s="321"/>
      <c r="AB47" s="321"/>
      <c r="AC47" s="321"/>
      <c r="AD47" s="321"/>
      <c r="AE47" s="321"/>
    </row>
    <row r="48" spans="1:31" ht="38.25" hidden="1" customHeight="1">
      <c r="A48" s="23"/>
      <c r="B48" s="327"/>
      <c r="C48" s="196" t="str">
        <f>Language!C180</f>
        <v>Unidade</v>
      </c>
      <c r="D48" s="20" t="str">
        <f>Language!C1538</f>
        <v>Localização dos dados climáticos</v>
      </c>
      <c r="E48" s="20" t="str">
        <f>C15</f>
        <v>Localização do Projeto</v>
      </c>
      <c r="F48" s="8"/>
      <c r="G48" s="8"/>
      <c r="H48" s="8"/>
      <c r="I48" s="8"/>
      <c r="J48" s="8"/>
      <c r="K48" s="8"/>
      <c r="L48" s="9"/>
      <c r="M48" s="930"/>
      <c r="N48" s="22"/>
      <c r="W48">
        <v>33000</v>
      </c>
      <c r="X48" s="321"/>
      <c r="Y48" s="321"/>
      <c r="Z48" s="321"/>
      <c r="AA48" s="321"/>
      <c r="AB48" s="321"/>
      <c r="AC48" s="321"/>
      <c r="AD48" s="321"/>
      <c r="AE48" s="321"/>
    </row>
    <row r="49" spans="1:34" ht="12.75" hidden="1" customHeight="1">
      <c r="A49" s="23"/>
      <c r="B49" s="17" t="str">
        <f>Language!C1133</f>
        <v>Latitude</v>
      </c>
      <c r="C49" s="21" t="str">
        <f>Language!C2173</f>
        <v>˚N</v>
      </c>
      <c r="D49" s="452">
        <v>40.200000000000003</v>
      </c>
      <c r="E49" s="382">
        <f>Latitude</f>
        <v>40.200000000000003</v>
      </c>
      <c r="F49" s="8"/>
      <c r="G49" s="8"/>
      <c r="H49" s="8"/>
      <c r="I49" s="8"/>
      <c r="J49" s="8"/>
      <c r="K49" s="8"/>
      <c r="L49" s="9"/>
      <c r="M49" s="930"/>
      <c r="N49" s="22"/>
      <c r="O49" t="s">
        <v>4060</v>
      </c>
      <c r="P49">
        <f>E49*PI()/180</f>
        <v>0.70162235930172046</v>
      </c>
      <c r="Q49" s="257"/>
      <c r="R49" s="257"/>
      <c r="S49" s="257"/>
      <c r="W49">
        <v>33002</v>
      </c>
      <c r="X49" s="321"/>
      <c r="Y49" s="321"/>
      <c r="Z49" s="321"/>
      <c r="AA49" s="321"/>
      <c r="AB49" s="321"/>
      <c r="AC49" s="321"/>
      <c r="AD49" s="321"/>
      <c r="AE49" s="321"/>
    </row>
    <row r="50" spans="1:34" ht="12.75" hidden="1" customHeight="1">
      <c r="A50" s="23"/>
      <c r="B50" s="17" t="str">
        <f>Language!C1134</f>
        <v>Longitude</v>
      </c>
      <c r="C50" s="21" t="str">
        <f>Language!C2172</f>
        <v>˚E</v>
      </c>
      <c r="D50" s="725">
        <v>-8.42</v>
      </c>
      <c r="E50" s="725">
        <f>Longitude</f>
        <v>-8.42</v>
      </c>
      <c r="F50" s="8"/>
      <c r="G50" s="8"/>
      <c r="H50" s="8"/>
      <c r="I50" s="8"/>
      <c r="J50" s="8"/>
      <c r="K50" s="8"/>
      <c r="L50" s="9"/>
      <c r="M50" s="930"/>
      <c r="N50" s="22"/>
      <c r="O50" s="257"/>
      <c r="P50" s="257"/>
      <c r="Q50" s="257"/>
      <c r="R50" s="257"/>
      <c r="S50" s="257"/>
      <c r="W50">
        <v>33004</v>
      </c>
      <c r="X50" s="321"/>
      <c r="Y50" s="321"/>
      <c r="Z50" s="321"/>
      <c r="AA50" s="321"/>
      <c r="AB50" s="321"/>
      <c r="AC50" s="321"/>
      <c r="AD50" s="321"/>
      <c r="AE50" s="321"/>
    </row>
    <row r="51" spans="1:34" ht="12.75" hidden="1" customHeight="1">
      <c r="A51" s="23"/>
      <c r="B51" s="17" t="str">
        <f>Language!C1151</f>
        <v>Elevação</v>
      </c>
      <c r="C51" s="303" t="s">
        <v>5569</v>
      </c>
      <c r="D51" s="314">
        <v>140</v>
      </c>
      <c r="E51" s="314">
        <f>Elevation</f>
        <v>140</v>
      </c>
      <c r="F51" s="8"/>
      <c r="G51" s="8"/>
      <c r="H51" s="8"/>
      <c r="I51" s="8"/>
      <c r="J51" s="8"/>
      <c r="K51" s="8"/>
      <c r="L51" s="9"/>
      <c r="M51" s="930"/>
      <c r="N51" s="22">
        <f>IF(C51="",1,VLOOKUP(C51,B87:C88,2,FALSE))</f>
        <v>1</v>
      </c>
      <c r="O51" s="257" t="s">
        <v>5569</v>
      </c>
      <c r="P51" s="257">
        <f>N51*D51</f>
        <v>140</v>
      </c>
      <c r="Q51" s="257"/>
      <c r="R51" s="257"/>
      <c r="S51" s="257"/>
      <c r="W51">
        <v>33006</v>
      </c>
      <c r="X51" s="321"/>
      <c r="Y51" s="321"/>
      <c r="Z51" s="321"/>
      <c r="AA51" s="321"/>
      <c r="AB51" s="321"/>
      <c r="AC51" s="321"/>
      <c r="AD51" s="321"/>
      <c r="AE51" s="321"/>
    </row>
    <row r="52" spans="1:34" ht="12.75" hidden="1" customHeight="1">
      <c r="A52" s="23"/>
      <c r="B52" s="17" t="str">
        <f>Language!C1132</f>
        <v>Temperatura para projeto de aquecimento</v>
      </c>
      <c r="C52" s="303" t="s">
        <v>5568</v>
      </c>
      <c r="D52" s="724">
        <v>3.3</v>
      </c>
      <c r="E52" s="8"/>
      <c r="F52" s="8"/>
      <c r="G52" s="8"/>
      <c r="H52" s="8"/>
      <c r="I52" s="8"/>
      <c r="J52" s="8"/>
      <c r="K52" s="8"/>
      <c r="L52" s="9"/>
      <c r="M52" s="930"/>
      <c r="N52" s="22">
        <f>IF(C52="",1,VLOOKUP(C52,$B$84:$C$85,2,FALSE))</f>
        <v>1</v>
      </c>
      <c r="O52" s="257" t="s">
        <v>5568</v>
      </c>
      <c r="P52" s="257">
        <f>N52*(D52+40)-40</f>
        <v>3.2999999999999972</v>
      </c>
      <c r="Q52" s="257"/>
      <c r="R52" s="257"/>
      <c r="S52" s="257"/>
      <c r="W52">
        <v>33008</v>
      </c>
      <c r="X52" s="321"/>
      <c r="Y52" s="321"/>
      <c r="Z52" s="321"/>
      <c r="AA52" s="321"/>
      <c r="AB52" s="321"/>
      <c r="AC52" s="321"/>
      <c r="AD52" s="321"/>
      <c r="AE52" s="321"/>
    </row>
    <row r="53" spans="1:34" ht="12.75" hidden="1" customHeight="1">
      <c r="A53" s="23"/>
      <c r="B53" s="17" t="str">
        <f>Language!C1130</f>
        <v>Temperatura para projeto de refrigeração</v>
      </c>
      <c r="C53" s="303" t="s">
        <v>5568</v>
      </c>
      <c r="D53" s="452">
        <v>31.3</v>
      </c>
      <c r="E53" s="8"/>
      <c r="F53" s="8"/>
      <c r="G53" s="8"/>
      <c r="H53" s="8"/>
      <c r="I53" s="8"/>
      <c r="J53" s="8"/>
      <c r="K53" s="8"/>
      <c r="L53" s="9"/>
      <c r="M53" s="930"/>
      <c r="N53" s="22">
        <f>IF(C53="",1,VLOOKUP(C53,$B$84:$C$85,2,FALSE))</f>
        <v>1</v>
      </c>
      <c r="O53" s="257" t="s">
        <v>5568</v>
      </c>
      <c r="P53" s="257">
        <f>N53*(D53+40)-40</f>
        <v>31.299999999999997</v>
      </c>
      <c r="Q53" s="257"/>
      <c r="W53">
        <v>33010</v>
      </c>
      <c r="X53" s="321"/>
      <c r="Y53" s="321"/>
      <c r="Z53" s="321"/>
      <c r="AA53" s="321"/>
      <c r="AB53" s="321"/>
      <c r="AC53" s="321"/>
      <c r="AD53" s="321"/>
      <c r="AE53" s="321"/>
    </row>
    <row r="54" spans="1:34" ht="12.75" hidden="1" customHeight="1">
      <c r="A54" s="23"/>
      <c r="B54" s="17" t="str">
        <f>Language!C1150</f>
        <v>Amplitude da Temperatura do Solo</v>
      </c>
      <c r="C54" s="303" t="s">
        <v>5568</v>
      </c>
      <c r="D54" s="452">
        <v>18.43</v>
      </c>
      <c r="E54" s="8"/>
      <c r="F54" s="8"/>
      <c r="G54" s="8"/>
      <c r="H54" s="8"/>
      <c r="I54" s="8"/>
      <c r="J54" s="8"/>
      <c r="K54" s="8"/>
      <c r="L54" s="9"/>
      <c r="M54" s="930"/>
      <c r="N54" s="22">
        <f>IF(C54="",1,VLOOKUP(C54,$B$84:$C$85,2,FALSE))</f>
        <v>1</v>
      </c>
      <c r="O54" s="257" t="s">
        <v>5568</v>
      </c>
      <c r="P54" s="257">
        <f>N54*D54</f>
        <v>18.43</v>
      </c>
      <c r="Q54" s="257"/>
      <c r="W54">
        <v>33012</v>
      </c>
      <c r="X54" s="321"/>
      <c r="Y54" s="321"/>
      <c r="Z54" s="321"/>
      <c r="AA54" s="321"/>
      <c r="AB54" s="321"/>
      <c r="AC54" s="321"/>
      <c r="AD54" s="321"/>
      <c r="AE54" s="321"/>
    </row>
    <row r="55" spans="1:34" ht="12.75" hidden="1" customHeight="1">
      <c r="A55" s="23"/>
      <c r="B55" s="18"/>
      <c r="C55" s="8"/>
      <c r="D55" s="8"/>
      <c r="E55" s="8"/>
      <c r="F55" s="8"/>
      <c r="G55" s="8"/>
      <c r="H55" s="8"/>
      <c r="I55" s="8"/>
      <c r="J55" s="8"/>
      <c r="K55" s="8"/>
      <c r="L55" s="9"/>
      <c r="M55" s="930"/>
      <c r="N55" s="22"/>
      <c r="O55" s="257"/>
      <c r="P55" s="257"/>
      <c r="Q55" s="257"/>
      <c r="R55" s="257"/>
      <c r="S55" s="257"/>
      <c r="W55">
        <v>33000</v>
      </c>
      <c r="X55" s="321"/>
      <c r="Y55" s="321"/>
      <c r="Z55" s="321"/>
      <c r="AA55" s="321"/>
      <c r="AB55" s="321"/>
      <c r="AC55" s="321"/>
      <c r="AD55" s="321"/>
      <c r="AE55" s="321"/>
    </row>
    <row r="56" spans="1:34" ht="38.25" hidden="1" customHeight="1">
      <c r="A56" s="23"/>
      <c r="B56" s="19" t="str">
        <f>Language!C250</f>
        <v>Mês</v>
      </c>
      <c r="C56" s="8"/>
      <c r="D56" s="20" t="str">
        <f>Language!C1144</f>
        <v>Temperatura do Ar</v>
      </c>
      <c r="E56" s="20" t="str">
        <f>Language!C1145</f>
        <v>Humidade relativa</v>
      </c>
      <c r="F56" s="20" t="str">
        <f>Language!C1146</f>
        <v>Radiação solar diária - horizontal</v>
      </c>
      <c r="G56" s="20" t="str">
        <f>Language!C1147</f>
        <v>Pressão Atmosférica</v>
      </c>
      <c r="H56" s="20" t="str">
        <f>Language!C1148</f>
        <v>Velocidade do Vento</v>
      </c>
      <c r="I56" s="20" t="str">
        <f>Language!C1149</f>
        <v>Temperatura do Solo</v>
      </c>
      <c r="J56" s="20" t="str">
        <f>Language!C1136</f>
        <v>Graus-dia
para
aquecimento</v>
      </c>
      <c r="K56" s="20" t="str">
        <f>Language!C1563</f>
        <v>Refrigeração
graus-dias</v>
      </c>
      <c r="L56" s="9"/>
      <c r="M56" s="930"/>
      <c r="N56" s="22"/>
      <c r="O56" s="230">
        <f>IF(D57="",1,VLOOKUP(D57,B84:C85,2,FALSE))</f>
        <v>1</v>
      </c>
      <c r="P56" s="230">
        <f>IF(F57="",1,VLOOKUP(F57,B90:C91,2,FALSE))</f>
        <v>1</v>
      </c>
      <c r="Q56" s="230">
        <f>IF(G57="",1,VLOOKUP(G57,B99:C101,2,FALSE))</f>
        <v>1</v>
      </c>
      <c r="R56" s="230">
        <f>IF(H57="",1,VLOOKUP(H57,B93:C94,2,FALSE))</f>
        <v>1</v>
      </c>
      <c r="S56" s="230">
        <f>IF(I57="",1,VLOOKUP(I57,B84:C85,2,FALSE))</f>
        <v>1</v>
      </c>
      <c r="T56" s="230">
        <f>IF(J57="",1,VLOOKUP(J57,B96:C97,2,FALSE))</f>
        <v>1</v>
      </c>
      <c r="U56" s="230">
        <f>IF(K57="",1,VLOOKUP(K57,B96:C97,2,FALSE))</f>
        <v>1</v>
      </c>
      <c r="W56">
        <v>33000</v>
      </c>
      <c r="X56" t="s">
        <v>5646</v>
      </c>
      <c r="Y56" s="246" t="s">
        <v>4249</v>
      </c>
      <c r="Z56" s="246" t="s">
        <v>3223</v>
      </c>
      <c r="AA56" t="s">
        <v>3224</v>
      </c>
      <c r="AB56" s="246" t="s">
        <v>3424</v>
      </c>
      <c r="AC56" s="246" t="s">
        <v>2729</v>
      </c>
      <c r="AD56" s="246" t="s">
        <v>3338</v>
      </c>
      <c r="AE56" t="s">
        <v>351</v>
      </c>
      <c r="AF56" t="s">
        <v>1370</v>
      </c>
      <c r="AG56" t="s">
        <v>5413</v>
      </c>
      <c r="AH56" t="s">
        <v>2924</v>
      </c>
    </row>
    <row r="57" spans="1:34" ht="12.75" hidden="1" customHeight="1">
      <c r="A57" s="23"/>
      <c r="B57" s="17"/>
      <c r="C57" s="8"/>
      <c r="D57" s="303" t="s">
        <v>5568</v>
      </c>
      <c r="E57" s="21" t="s">
        <v>739</v>
      </c>
      <c r="F57" s="303" t="s">
        <v>740</v>
      </c>
      <c r="G57" s="303" t="s">
        <v>741</v>
      </c>
      <c r="H57" s="303" t="s">
        <v>743</v>
      </c>
      <c r="I57" s="303" t="s">
        <v>5568</v>
      </c>
      <c r="J57" s="303" t="s">
        <v>742</v>
      </c>
      <c r="K57" s="303" t="s">
        <v>742</v>
      </c>
      <c r="L57" s="9"/>
      <c r="M57" s="930"/>
      <c r="N57" s="22"/>
      <c r="O57" s="258" t="s">
        <v>5568</v>
      </c>
      <c r="P57" s="258" t="s">
        <v>740</v>
      </c>
      <c r="Q57" s="258" t="s">
        <v>741</v>
      </c>
      <c r="R57" s="258" t="s">
        <v>743</v>
      </c>
      <c r="S57" s="258" t="s">
        <v>5568</v>
      </c>
      <c r="T57" s="258" t="s">
        <v>742</v>
      </c>
      <c r="U57" s="258" t="s">
        <v>742</v>
      </c>
      <c r="W57">
        <v>33000</v>
      </c>
      <c r="X57" s="546" t="s">
        <v>637</v>
      </c>
      <c r="Y57" s="547" t="s">
        <v>4060</v>
      </c>
      <c r="Z57" s="258" t="s">
        <v>4060</v>
      </c>
      <c r="AA57" s="258" t="s">
        <v>2744</v>
      </c>
      <c r="AB57" s="321"/>
      <c r="AC57" s="321"/>
      <c r="AD57" s="321"/>
      <c r="AE57" s="321"/>
    </row>
    <row r="58" spans="1:34" ht="12.75" hidden="1" customHeight="1">
      <c r="A58" s="23"/>
      <c r="B58" s="17" t="str">
        <f>Language!C251</f>
        <v>Janeiro</v>
      </c>
      <c r="C58" s="8"/>
      <c r="D58" s="427">
        <v>10</v>
      </c>
      <c r="E58" s="445">
        <v>0.8</v>
      </c>
      <c r="F58" s="797">
        <v>1.98</v>
      </c>
      <c r="G58" s="427">
        <v>100.38</v>
      </c>
      <c r="H58" s="427">
        <v>3</v>
      </c>
      <c r="I58" s="427">
        <v>7.81</v>
      </c>
      <c r="J58" s="497">
        <v>248</v>
      </c>
      <c r="K58" s="412">
        <v>0</v>
      </c>
      <c r="L58" s="9"/>
      <c r="M58" s="930"/>
      <c r="N58" s="22"/>
      <c r="O58" s="230">
        <f>$O$56*(D58+40)-40</f>
        <v>10</v>
      </c>
      <c r="P58" s="230">
        <f>F58*$P$56</f>
        <v>1.98</v>
      </c>
      <c r="Q58" s="230">
        <f>G58*$Q$56</f>
        <v>100.38</v>
      </c>
      <c r="R58">
        <f>H58*$R$56</f>
        <v>3</v>
      </c>
      <c r="S58">
        <f>$S$56*(I58+40)-40</f>
        <v>7.8100000000000023</v>
      </c>
      <c r="T58" s="230">
        <f>J58*$T$56</f>
        <v>248</v>
      </c>
      <c r="U58" s="230">
        <f>K58*$U$56</f>
        <v>0</v>
      </c>
      <c r="V58">
        <v>31</v>
      </c>
      <c r="W58">
        <v>33000</v>
      </c>
      <c r="X58" s="328">
        <v>17</v>
      </c>
      <c r="Y58" s="78">
        <v>-0.36506986644100387</v>
      </c>
      <c r="Z58" s="78">
        <f>getsunsethourangle($P$49,Y58)</f>
        <v>1.2419172712175195</v>
      </c>
      <c r="AA58" s="78">
        <f>2*Z58*180/PI()/15</f>
        <v>9.4875490860223799</v>
      </c>
      <c r="AB58" s="78">
        <f>P58*3.6</f>
        <v>7.1280000000000001</v>
      </c>
      <c r="AC58" s="78">
        <f t="shared" ref="AC58:AC69" si="0">GetHExtra_integ(Z58, $P$49, Y58, GetNExtra(X58))/1000000</f>
        <v>15.088110910156876</v>
      </c>
      <c r="AD58" s="78">
        <f>IF(AC58&gt;0,MIN(AB58/AC58,1),1)</f>
        <v>0.47242494719479017</v>
      </c>
      <c r="AE58" s="78">
        <f>GetAlbedo(O58)</f>
        <v>0.2</v>
      </c>
      <c r="AF58" s="203">
        <f>2.943+AD58*(-9.271+4.031*AD58)</f>
        <v>-0.5371916172622071</v>
      </c>
      <c r="AG58" s="203">
        <f>-4.345+AD58*(8.853-3.602*AD58)</f>
        <v>-0.96653550378118736</v>
      </c>
      <c r="AH58" s="203">
        <f>-0.17+AD58*(-0.306+2.936*AD58)</f>
        <v>0.34071009718754697</v>
      </c>
    </row>
    <row r="59" spans="1:34" ht="12.75" hidden="1" customHeight="1">
      <c r="A59" s="23"/>
      <c r="B59" s="17" t="str">
        <f>Language!C252</f>
        <v>Fevereiro</v>
      </c>
      <c r="C59" s="8"/>
      <c r="D59" s="427">
        <v>11</v>
      </c>
      <c r="E59" s="445">
        <v>0.77599999999999991</v>
      </c>
      <c r="F59" s="797">
        <v>2.9</v>
      </c>
      <c r="G59" s="427">
        <v>100.14</v>
      </c>
      <c r="H59" s="427">
        <v>3.1</v>
      </c>
      <c r="I59" s="427">
        <v>9.26</v>
      </c>
      <c r="J59" s="497">
        <v>196</v>
      </c>
      <c r="K59" s="412">
        <v>28</v>
      </c>
      <c r="L59" s="9"/>
      <c r="M59" s="930"/>
      <c r="N59" s="22"/>
      <c r="O59" s="230">
        <f t="shared" ref="O59:O69" si="1">$O$56*(D59+40)-40</f>
        <v>11</v>
      </c>
      <c r="P59" s="230">
        <f t="shared" ref="P59:P69" si="2">F59*$P$56</f>
        <v>2.9</v>
      </c>
      <c r="Q59" s="230">
        <f t="shared" ref="Q59:Q69" si="3">G59*$Q$56</f>
        <v>100.14</v>
      </c>
      <c r="R59">
        <f t="shared" ref="R59:R69" si="4">H59*$R$56</f>
        <v>3.1</v>
      </c>
      <c r="S59">
        <f t="shared" ref="S59:S69" si="5">$S$56*(I59+40)-40</f>
        <v>9.259999999999998</v>
      </c>
      <c r="T59" s="230">
        <f t="shared" ref="T59:T69" si="6">J59*$T$56</f>
        <v>196</v>
      </c>
      <c r="U59" s="230">
        <f t="shared" ref="U59:U69" si="7">K59*$U$56</f>
        <v>28</v>
      </c>
      <c r="V59">
        <v>28</v>
      </c>
      <c r="W59">
        <v>33000</v>
      </c>
      <c r="X59" s="328">
        <v>47</v>
      </c>
      <c r="Y59" s="78">
        <v>-0.22610056454186617</v>
      </c>
      <c r="Z59" s="78">
        <f t="shared" ref="Z59:Z69" si="8">getsunsethourangle($P$49,Y59)</f>
        <v>1.3751606792977349</v>
      </c>
      <c r="AA59" s="78">
        <f t="shared" ref="AA59:AA69" si="9">2*Z59*180/PI()/15</f>
        <v>10.505453743480471</v>
      </c>
      <c r="AB59" s="78">
        <f t="shared" ref="AB59:AB69" si="10">P59*3.6</f>
        <v>10.44</v>
      </c>
      <c r="AC59" s="78">
        <f t="shared" si="0"/>
        <v>20.424400092876638</v>
      </c>
      <c r="AD59" s="78">
        <f t="shared" ref="AD59:AD69" si="11">IF(AC59&gt;0,MIN(AB59/AC59,1),1)</f>
        <v>0.51115332408911873</v>
      </c>
      <c r="AE59" s="78">
        <f t="shared" ref="AE59:AE69" si="12">GetAlbedo(O59)</f>
        <v>0.2</v>
      </c>
      <c r="AF59" s="203">
        <f t="shared" ref="AF59:AF69" si="13">2.943+AD59*(-9.271+4.031*AD59)</f>
        <v>-0.74269197537824994</v>
      </c>
      <c r="AG59" s="203">
        <f t="shared" ref="AG59:AG69" si="14">-4.345+AD59*(8.853-3.602*AD59)</f>
        <v>-0.76088197189896656</v>
      </c>
      <c r="AH59" s="203">
        <f t="shared" ref="AH59:AH69" si="15">-0.17+AD59*(-0.306+2.936*AD59)</f>
        <v>0.44069847088424574</v>
      </c>
    </row>
    <row r="60" spans="1:34" ht="12.75" hidden="1" customHeight="1">
      <c r="A60" s="23"/>
      <c r="B60" s="17" t="str">
        <f>Language!C253</f>
        <v>Março</v>
      </c>
      <c r="C60" s="8"/>
      <c r="D60" s="427">
        <v>12.5</v>
      </c>
      <c r="E60" s="445">
        <v>0.73299999999999998</v>
      </c>
      <c r="F60" s="797">
        <v>4.38</v>
      </c>
      <c r="G60" s="427">
        <v>100.16</v>
      </c>
      <c r="H60" s="427">
        <v>2.8</v>
      </c>
      <c r="I60" s="427">
        <v>12.96</v>
      </c>
      <c r="J60" s="497">
        <v>170.5</v>
      </c>
      <c r="K60" s="412">
        <v>77.5</v>
      </c>
      <c r="L60" s="9"/>
      <c r="M60" s="930"/>
      <c r="N60" s="22"/>
      <c r="O60" s="230">
        <f t="shared" si="1"/>
        <v>12.5</v>
      </c>
      <c r="P60" s="230">
        <f t="shared" si="2"/>
        <v>4.38</v>
      </c>
      <c r="Q60" s="230">
        <f t="shared" si="3"/>
        <v>100.16</v>
      </c>
      <c r="R60" s="230">
        <f t="shared" si="4"/>
        <v>2.8</v>
      </c>
      <c r="S60" s="230">
        <f t="shared" si="5"/>
        <v>12.96</v>
      </c>
      <c r="T60" s="230">
        <f t="shared" si="6"/>
        <v>170.5</v>
      </c>
      <c r="U60" s="230">
        <f t="shared" si="7"/>
        <v>77.5</v>
      </c>
      <c r="V60">
        <v>31</v>
      </c>
      <c r="W60">
        <v>33000</v>
      </c>
      <c r="X60" s="328">
        <v>75</v>
      </c>
      <c r="Y60" s="78">
        <v>-4.2197432789634538E-2</v>
      </c>
      <c r="Z60" s="78">
        <f t="shared" si="8"/>
        <v>1.5351116487041345</v>
      </c>
      <c r="AA60" s="78">
        <f t="shared" si="9"/>
        <v>11.727389140282183</v>
      </c>
      <c r="AB60" s="78">
        <f t="shared" si="10"/>
        <v>15.768000000000001</v>
      </c>
      <c r="AC60" s="78">
        <f t="shared" si="0"/>
        <v>27.346710913945852</v>
      </c>
      <c r="AD60" s="78">
        <f t="shared" si="11"/>
        <v>0.57659584911759465</v>
      </c>
      <c r="AE60" s="78">
        <f t="shared" si="12"/>
        <v>0.2</v>
      </c>
      <c r="AF60" s="203">
        <f t="shared" si="13"/>
        <v>-1.0624626783208515</v>
      </c>
      <c r="AG60" s="203">
        <f t="shared" si="14"/>
        <v>-0.43792785689907765</v>
      </c>
      <c r="AH60" s="203">
        <f t="shared" si="15"/>
        <v>0.62967237234287887</v>
      </c>
    </row>
    <row r="61" spans="1:34" ht="12.75" hidden="1" customHeight="1">
      <c r="A61" s="23"/>
      <c r="B61" s="17" t="str">
        <f>Language!C254</f>
        <v>Abril</v>
      </c>
      <c r="C61" s="8"/>
      <c r="D61" s="427">
        <v>14</v>
      </c>
      <c r="E61" s="445">
        <v>0.747</v>
      </c>
      <c r="F61" s="797">
        <v>5.45</v>
      </c>
      <c r="G61" s="427">
        <v>99.88</v>
      </c>
      <c r="H61" s="427">
        <v>2.7</v>
      </c>
      <c r="I61" s="427">
        <v>15.42</v>
      </c>
      <c r="J61" s="497">
        <v>120</v>
      </c>
      <c r="K61" s="412">
        <v>120</v>
      </c>
      <c r="L61" s="9"/>
      <c r="M61" s="930"/>
      <c r="N61" s="22"/>
      <c r="O61" s="230">
        <f t="shared" si="1"/>
        <v>14</v>
      </c>
      <c r="P61" s="230">
        <f t="shared" si="2"/>
        <v>5.45</v>
      </c>
      <c r="Q61" s="230">
        <f t="shared" si="3"/>
        <v>99.88</v>
      </c>
      <c r="R61" s="230">
        <f t="shared" si="4"/>
        <v>2.7</v>
      </c>
      <c r="S61" s="230">
        <f t="shared" si="5"/>
        <v>15.420000000000002</v>
      </c>
      <c r="T61" s="230">
        <f t="shared" si="6"/>
        <v>120</v>
      </c>
      <c r="U61" s="230">
        <f t="shared" si="7"/>
        <v>120</v>
      </c>
      <c r="V61">
        <v>30</v>
      </c>
      <c r="W61">
        <v>33000</v>
      </c>
      <c r="X61" s="328">
        <v>105</v>
      </c>
      <c r="Y61" s="78">
        <v>0.16432088762734182</v>
      </c>
      <c r="Z61" s="78">
        <f t="shared" si="8"/>
        <v>1.7113880470550695</v>
      </c>
      <c r="AA61" s="78">
        <f t="shared" si="9"/>
        <v>13.074041627385576</v>
      </c>
      <c r="AB61" s="78">
        <f t="shared" si="10"/>
        <v>19.62</v>
      </c>
      <c r="AC61" s="78">
        <f t="shared" si="0"/>
        <v>34.572508087743223</v>
      </c>
      <c r="AD61" s="78">
        <f t="shared" si="11"/>
        <v>0.56750294049264416</v>
      </c>
      <c r="AE61" s="78">
        <f t="shared" si="12"/>
        <v>0.2</v>
      </c>
      <c r="AF61" s="203">
        <f t="shared" si="13"/>
        <v>-1.0200975642246122</v>
      </c>
      <c r="AG61" s="203">
        <f t="shared" si="14"/>
        <v>-0.48095510187762835</v>
      </c>
      <c r="AH61" s="203">
        <f t="shared" si="15"/>
        <v>0.60191104901470471</v>
      </c>
    </row>
    <row r="62" spans="1:34" ht="12.75" hidden="1" customHeight="1">
      <c r="A62" s="23"/>
      <c r="B62" s="17" t="str">
        <f>Language!C255</f>
        <v>Maio</v>
      </c>
      <c r="C62" s="8"/>
      <c r="D62" s="427">
        <v>16.399999999999999</v>
      </c>
      <c r="E62" s="445">
        <v>0.74299999999999999</v>
      </c>
      <c r="F62" s="797">
        <v>6.07</v>
      </c>
      <c r="G62" s="427">
        <v>99.95</v>
      </c>
      <c r="H62" s="427">
        <v>2.5</v>
      </c>
      <c r="I62" s="427">
        <v>19.62</v>
      </c>
      <c r="J62" s="497">
        <v>49.6</v>
      </c>
      <c r="K62" s="412">
        <v>198.4</v>
      </c>
      <c r="L62" s="9"/>
      <c r="M62" s="930"/>
      <c r="N62" s="22"/>
      <c r="O62">
        <f t="shared" si="1"/>
        <v>16.399999999999999</v>
      </c>
      <c r="P62">
        <f t="shared" si="2"/>
        <v>6.07</v>
      </c>
      <c r="Q62" s="230">
        <f t="shared" si="3"/>
        <v>99.95</v>
      </c>
      <c r="R62" s="230">
        <f t="shared" si="4"/>
        <v>2.5</v>
      </c>
      <c r="S62" s="230">
        <f t="shared" si="5"/>
        <v>19.620000000000005</v>
      </c>
      <c r="T62" s="230">
        <f t="shared" si="6"/>
        <v>49.6</v>
      </c>
      <c r="U62" s="230">
        <f t="shared" si="7"/>
        <v>198.4</v>
      </c>
      <c r="V62">
        <v>31</v>
      </c>
      <c r="W62">
        <v>33000</v>
      </c>
      <c r="X62" s="328">
        <v>135</v>
      </c>
      <c r="Y62" s="78">
        <v>0.32798083344713558</v>
      </c>
      <c r="Z62" s="78">
        <f t="shared" si="8"/>
        <v>1.8624685980572053</v>
      </c>
      <c r="AA62" s="78">
        <f t="shared" si="9"/>
        <v>14.228212019243358</v>
      </c>
      <c r="AB62" s="78">
        <f t="shared" si="10"/>
        <v>21.852</v>
      </c>
      <c r="AC62" s="78">
        <f t="shared" si="0"/>
        <v>39.678766241993927</v>
      </c>
      <c r="AD62" s="78">
        <f t="shared" si="11"/>
        <v>0.55072276861453895</v>
      </c>
      <c r="AE62" s="78">
        <f t="shared" si="12"/>
        <v>0.2</v>
      </c>
      <c r="AF62" s="203">
        <f t="shared" si="13"/>
        <v>-0.94016635373955459</v>
      </c>
      <c r="AG62" s="203">
        <f t="shared" si="14"/>
        <v>-0.5619219649248941</v>
      </c>
      <c r="AH62" s="203">
        <f t="shared" si="15"/>
        <v>0.55195462007163043</v>
      </c>
    </row>
    <row r="63" spans="1:34" ht="12.75" hidden="1" customHeight="1">
      <c r="A63" s="23"/>
      <c r="B63" s="17" t="str">
        <f>Language!C256</f>
        <v>Junho</v>
      </c>
      <c r="C63" s="8"/>
      <c r="D63" s="427">
        <v>19.600000000000001</v>
      </c>
      <c r="E63" s="445">
        <v>0.747</v>
      </c>
      <c r="F63" s="797">
        <v>6.42</v>
      </c>
      <c r="G63" s="427">
        <v>100.01</v>
      </c>
      <c r="H63" s="427">
        <v>2.4</v>
      </c>
      <c r="I63" s="427">
        <v>24.53</v>
      </c>
      <c r="J63" s="497">
        <v>0</v>
      </c>
      <c r="K63" s="412">
        <v>288</v>
      </c>
      <c r="L63" s="9"/>
      <c r="M63" s="930"/>
      <c r="N63" s="22"/>
      <c r="O63">
        <f t="shared" si="1"/>
        <v>19.600000000000001</v>
      </c>
      <c r="P63">
        <f t="shared" si="2"/>
        <v>6.42</v>
      </c>
      <c r="Q63" s="502">
        <f t="shared" si="3"/>
        <v>100.01</v>
      </c>
      <c r="R63" s="502">
        <f t="shared" si="4"/>
        <v>2.4</v>
      </c>
      <c r="S63" s="502">
        <f t="shared" si="5"/>
        <v>24.53</v>
      </c>
      <c r="T63" s="502">
        <f t="shared" si="6"/>
        <v>0</v>
      </c>
      <c r="U63" s="502">
        <f t="shared" si="7"/>
        <v>288</v>
      </c>
      <c r="V63" s="22">
        <v>30</v>
      </c>
      <c r="W63" s="22">
        <v>33000</v>
      </c>
      <c r="X63" s="328">
        <v>162</v>
      </c>
      <c r="Y63" s="78">
        <v>0.40292515782194682</v>
      </c>
      <c r="Z63" s="78">
        <f t="shared" si="8"/>
        <v>1.9392880734077846</v>
      </c>
      <c r="AA63" s="78">
        <f t="shared" si="9"/>
        <v>14.815069582176353</v>
      </c>
      <c r="AB63" s="78">
        <f t="shared" si="10"/>
        <v>23.112000000000002</v>
      </c>
      <c r="AC63" s="78">
        <f t="shared" si="0"/>
        <v>41.760125965244434</v>
      </c>
      <c r="AD63" s="78">
        <f t="shared" si="11"/>
        <v>0.55344660644068344</v>
      </c>
      <c r="AE63" s="78">
        <f t="shared" si="12"/>
        <v>0.2</v>
      </c>
      <c r="AF63" s="203">
        <f t="shared" si="13"/>
        <v>-0.95329550605713997</v>
      </c>
      <c r="AG63" s="203">
        <f t="shared" si="14"/>
        <v>-0.54864112572354218</v>
      </c>
      <c r="AH63" s="203">
        <f t="shared" si="15"/>
        <v>0.55995137561571173</v>
      </c>
    </row>
    <row r="64" spans="1:34" ht="12.75" hidden="1" customHeight="1">
      <c r="A64" s="23"/>
      <c r="B64" s="17" t="str">
        <f>Language!C257</f>
        <v>Julho</v>
      </c>
      <c r="C64" s="8"/>
      <c r="D64" s="427">
        <v>21.8</v>
      </c>
      <c r="E64" s="445">
        <v>0.72599999999999998</v>
      </c>
      <c r="F64" s="797">
        <v>6.81</v>
      </c>
      <c r="G64" s="427">
        <v>100.06</v>
      </c>
      <c r="H64" s="427">
        <v>2.4</v>
      </c>
      <c r="I64" s="427">
        <v>26.89</v>
      </c>
      <c r="J64" s="497">
        <v>0</v>
      </c>
      <c r="K64" s="412">
        <v>365.8</v>
      </c>
      <c r="L64" s="9"/>
      <c r="M64" s="930"/>
      <c r="N64" s="22"/>
      <c r="O64" s="502">
        <f t="shared" si="1"/>
        <v>21.799999999999997</v>
      </c>
      <c r="P64" s="502">
        <f t="shared" si="2"/>
        <v>6.81</v>
      </c>
      <c r="Q64" s="502">
        <f t="shared" si="3"/>
        <v>100.06</v>
      </c>
      <c r="R64" s="502">
        <f t="shared" si="4"/>
        <v>2.4</v>
      </c>
      <c r="S64" s="502">
        <f t="shared" si="5"/>
        <v>26.89</v>
      </c>
      <c r="T64" s="502">
        <f t="shared" si="6"/>
        <v>0</v>
      </c>
      <c r="U64" s="502">
        <f t="shared" si="7"/>
        <v>365.8</v>
      </c>
      <c r="V64" s="22">
        <v>31</v>
      </c>
      <c r="W64" s="22">
        <v>33000</v>
      </c>
      <c r="X64" s="328">
        <v>198</v>
      </c>
      <c r="Y64" s="78">
        <v>0.36972520043422891</v>
      </c>
      <c r="Z64" s="78">
        <f t="shared" si="8"/>
        <v>1.9044592470070036</v>
      </c>
      <c r="AA64" s="78">
        <f t="shared" si="9"/>
        <v>14.548996947755207</v>
      </c>
      <c r="AB64" s="78">
        <f t="shared" si="10"/>
        <v>24.515999999999998</v>
      </c>
      <c r="AC64" s="78">
        <f t="shared" si="0"/>
        <v>40.660944502341309</v>
      </c>
      <c r="AD64" s="78">
        <f t="shared" si="11"/>
        <v>0.60293729769578608</v>
      </c>
      <c r="AE64" s="78">
        <f t="shared" si="12"/>
        <v>0.2</v>
      </c>
      <c r="AF64" s="203">
        <f t="shared" si="13"/>
        <v>-1.181428612193312</v>
      </c>
      <c r="AG64" s="203">
        <f t="shared" si="14"/>
        <v>-0.31664335609882066</v>
      </c>
      <c r="AH64" s="203">
        <f t="shared" si="15"/>
        <v>0.71283520512620768</v>
      </c>
    </row>
    <row r="65" spans="1:34" ht="12.75" hidden="1" customHeight="1">
      <c r="A65" s="23"/>
      <c r="B65" s="17" t="str">
        <f>Language!C258</f>
        <v>Agosto</v>
      </c>
      <c r="C65" s="8"/>
      <c r="D65" s="427">
        <v>21.8</v>
      </c>
      <c r="E65" s="445">
        <v>0.71700000000000008</v>
      </c>
      <c r="F65" s="797">
        <v>6.23</v>
      </c>
      <c r="G65" s="427">
        <v>100.02</v>
      </c>
      <c r="H65" s="427">
        <v>2.4</v>
      </c>
      <c r="I65" s="427">
        <v>25.52</v>
      </c>
      <c r="J65" s="497">
        <v>0</v>
      </c>
      <c r="K65" s="412">
        <v>365.8</v>
      </c>
      <c r="L65" s="9"/>
      <c r="M65" s="930"/>
      <c r="N65" s="22"/>
      <c r="O65" s="502">
        <f t="shared" si="1"/>
        <v>21.799999999999997</v>
      </c>
      <c r="P65" s="502">
        <f t="shared" si="2"/>
        <v>6.23</v>
      </c>
      <c r="Q65" s="502">
        <f t="shared" si="3"/>
        <v>100.02</v>
      </c>
      <c r="R65" s="502">
        <f t="shared" si="4"/>
        <v>2.4</v>
      </c>
      <c r="S65" s="502">
        <f t="shared" si="5"/>
        <v>25.519999999999996</v>
      </c>
      <c r="T65" s="502">
        <f t="shared" si="6"/>
        <v>0</v>
      </c>
      <c r="U65" s="502">
        <f t="shared" si="7"/>
        <v>365.8</v>
      </c>
      <c r="V65" s="22">
        <v>31</v>
      </c>
      <c r="W65" s="22">
        <v>33000</v>
      </c>
      <c r="X65" s="328">
        <v>228</v>
      </c>
      <c r="Y65" s="78">
        <v>0.23483334718003088</v>
      </c>
      <c r="Z65" s="78">
        <f t="shared" si="8"/>
        <v>1.7743831943267383</v>
      </c>
      <c r="AA65" s="78">
        <f t="shared" si="9"/>
        <v>13.555289103181799</v>
      </c>
      <c r="AB65" s="78">
        <f t="shared" si="10"/>
        <v>22.428000000000001</v>
      </c>
      <c r="AC65" s="78">
        <f t="shared" si="0"/>
        <v>36.494941371392336</v>
      </c>
      <c r="AD65" s="78">
        <f t="shared" si="11"/>
        <v>0.61455092561351166</v>
      </c>
      <c r="AE65" s="78">
        <f t="shared" si="12"/>
        <v>0.2</v>
      </c>
      <c r="AF65" s="203">
        <f t="shared" si="13"/>
        <v>-1.2321024126278259</v>
      </c>
      <c r="AG65" s="203">
        <f t="shared" si="14"/>
        <v>-0.26475822584465192</v>
      </c>
      <c r="AH65" s="203">
        <f t="shared" si="15"/>
        <v>0.75079487550850199</v>
      </c>
    </row>
    <row r="66" spans="1:34" ht="12.75" hidden="1" customHeight="1">
      <c r="A66" s="23"/>
      <c r="B66" s="17" t="str">
        <f>Language!C259</f>
        <v>Setembro</v>
      </c>
      <c r="C66" s="8"/>
      <c r="D66" s="427">
        <v>20.8</v>
      </c>
      <c r="E66" s="445">
        <v>0.72400000000000009</v>
      </c>
      <c r="F66" s="797">
        <v>4.7</v>
      </c>
      <c r="G66" s="427">
        <v>100.07</v>
      </c>
      <c r="H66" s="427">
        <v>2.2000000000000002</v>
      </c>
      <c r="I66" s="427">
        <v>22.18</v>
      </c>
      <c r="J66" s="497">
        <v>0</v>
      </c>
      <c r="K66" s="412">
        <v>324</v>
      </c>
      <c r="L66" s="9"/>
      <c r="M66" s="930"/>
      <c r="N66" s="22"/>
      <c r="O66" s="502">
        <f t="shared" si="1"/>
        <v>20.799999999999997</v>
      </c>
      <c r="P66" s="502">
        <f t="shared" si="2"/>
        <v>4.7</v>
      </c>
      <c r="Q66" s="502">
        <f t="shared" si="3"/>
        <v>100.07</v>
      </c>
      <c r="R66" s="502">
        <f t="shared" si="4"/>
        <v>2.2000000000000002</v>
      </c>
      <c r="S66" s="502">
        <f t="shared" si="5"/>
        <v>22.18</v>
      </c>
      <c r="T66" s="502">
        <f t="shared" si="6"/>
        <v>0</v>
      </c>
      <c r="U66" s="502">
        <f t="shared" si="7"/>
        <v>324</v>
      </c>
      <c r="V66" s="22">
        <v>30</v>
      </c>
      <c r="W66" s="22">
        <v>33000</v>
      </c>
      <c r="X66" s="328">
        <v>258</v>
      </c>
      <c r="Y66" s="78">
        <v>3.8691973510770042E-2</v>
      </c>
      <c r="Z66" s="78">
        <f t="shared" si="8"/>
        <v>1.6035194168562521</v>
      </c>
      <c r="AA66" s="78">
        <f t="shared" si="9"/>
        <v>12.249985993752288</v>
      </c>
      <c r="AB66" s="78">
        <f t="shared" si="10"/>
        <v>16.920000000000002</v>
      </c>
      <c r="AC66" s="78">
        <f t="shared" si="0"/>
        <v>29.916628511351814</v>
      </c>
      <c r="AD66" s="78">
        <f t="shared" si="11"/>
        <v>0.5655717519632848</v>
      </c>
      <c r="AE66" s="78">
        <f t="shared" si="12"/>
        <v>0.2</v>
      </c>
      <c r="AF66" s="203">
        <f t="shared" si="13"/>
        <v>-1.0110140723711534</v>
      </c>
      <c r="AG66" s="203">
        <f t="shared" si="14"/>
        <v>-0.49017008651002714</v>
      </c>
      <c r="AH66" s="203">
        <f t="shared" si="15"/>
        <v>0.5960774937320884</v>
      </c>
    </row>
    <row r="67" spans="1:34" ht="12.75" hidden="1" customHeight="1">
      <c r="A67" s="23"/>
      <c r="B67" s="17" t="str">
        <f>Language!C260</f>
        <v>Outubro</v>
      </c>
      <c r="C67" s="8"/>
      <c r="D67" s="427">
        <v>17.399999999999999</v>
      </c>
      <c r="E67" s="445">
        <v>0.77700000000000002</v>
      </c>
      <c r="F67" s="797">
        <v>3.55</v>
      </c>
      <c r="G67" s="427">
        <v>100.07</v>
      </c>
      <c r="H67" s="427">
        <v>2.4</v>
      </c>
      <c r="I67" s="427">
        <v>16.73</v>
      </c>
      <c r="J67" s="497">
        <v>18.600000000000001</v>
      </c>
      <c r="K67" s="412">
        <v>229.4</v>
      </c>
      <c r="L67" s="9"/>
      <c r="M67" s="930"/>
      <c r="N67" s="22"/>
      <c r="O67" s="502">
        <f t="shared" si="1"/>
        <v>17.399999999999999</v>
      </c>
      <c r="P67" s="502">
        <f t="shared" si="2"/>
        <v>3.55</v>
      </c>
      <c r="Q67" s="502">
        <f t="shared" si="3"/>
        <v>100.07</v>
      </c>
      <c r="R67" s="502">
        <f t="shared" si="4"/>
        <v>2.4</v>
      </c>
      <c r="S67" s="502">
        <f t="shared" si="5"/>
        <v>16.730000000000004</v>
      </c>
      <c r="T67" s="502">
        <f t="shared" si="6"/>
        <v>18.600000000000001</v>
      </c>
      <c r="U67" s="502">
        <f t="shared" si="7"/>
        <v>229.4</v>
      </c>
      <c r="V67" s="22">
        <v>31</v>
      </c>
      <c r="W67" s="22">
        <v>33000</v>
      </c>
      <c r="X67" s="328">
        <v>288</v>
      </c>
      <c r="Y67" s="78">
        <v>-0.16754108794433939</v>
      </c>
      <c r="Z67" s="78">
        <f t="shared" si="8"/>
        <v>1.4273859019953128</v>
      </c>
      <c r="AA67" s="78">
        <f t="shared" si="9"/>
        <v>10.904425056107408</v>
      </c>
      <c r="AB67" s="78">
        <f t="shared" si="10"/>
        <v>12.78</v>
      </c>
      <c r="AC67" s="78">
        <f t="shared" si="0"/>
        <v>22.424593363882909</v>
      </c>
      <c r="AD67" s="78">
        <f t="shared" si="11"/>
        <v>0.56990999982115575</v>
      </c>
      <c r="AE67" s="78">
        <f t="shared" si="12"/>
        <v>0.2</v>
      </c>
      <c r="AF67" s="203">
        <f t="shared" si="13"/>
        <v>-1.0313772571125561</v>
      </c>
      <c r="AG67" s="203">
        <f t="shared" si="14"/>
        <v>-0.4695070348252397</v>
      </c>
      <c r="AH67" s="203">
        <f t="shared" si="15"/>
        <v>0.60921272963782191</v>
      </c>
    </row>
    <row r="68" spans="1:34" ht="12.75" hidden="1" customHeight="1">
      <c r="A68" s="23"/>
      <c r="B68" s="17" t="str">
        <f>Language!C261</f>
        <v>Novembro</v>
      </c>
      <c r="C68" s="8"/>
      <c r="D68" s="427">
        <v>13</v>
      </c>
      <c r="E68" s="445">
        <v>0.82200000000000006</v>
      </c>
      <c r="F68" s="797">
        <v>2.46</v>
      </c>
      <c r="G68" s="427">
        <v>100.14</v>
      </c>
      <c r="H68" s="427">
        <v>2.6</v>
      </c>
      <c r="I68" s="427">
        <v>11.8</v>
      </c>
      <c r="J68" s="497">
        <v>150</v>
      </c>
      <c r="K68" s="412">
        <v>90</v>
      </c>
      <c r="L68" s="9"/>
      <c r="M68" s="930"/>
      <c r="N68" s="22"/>
      <c r="O68" s="502">
        <f t="shared" si="1"/>
        <v>13</v>
      </c>
      <c r="P68" s="502">
        <f t="shared" si="2"/>
        <v>2.46</v>
      </c>
      <c r="Q68" s="502">
        <f t="shared" si="3"/>
        <v>100.14</v>
      </c>
      <c r="R68" s="502">
        <f t="shared" si="4"/>
        <v>2.6</v>
      </c>
      <c r="S68" s="502">
        <f t="shared" si="5"/>
        <v>11.799999999999997</v>
      </c>
      <c r="T68" s="502">
        <f t="shared" si="6"/>
        <v>150</v>
      </c>
      <c r="U68" s="502">
        <f t="shared" si="7"/>
        <v>90</v>
      </c>
      <c r="V68" s="22">
        <v>30</v>
      </c>
      <c r="W68" s="22">
        <v>33000</v>
      </c>
      <c r="X68" s="328">
        <v>318</v>
      </c>
      <c r="Y68" s="78">
        <v>-0.33007587822273549</v>
      </c>
      <c r="Z68" s="78">
        <f t="shared" si="8"/>
        <v>1.2770667353771026</v>
      </c>
      <c r="AA68" s="78">
        <f t="shared" si="9"/>
        <v>9.7560712124877753</v>
      </c>
      <c r="AB68" s="78">
        <f t="shared" si="10"/>
        <v>8.8559999999999999</v>
      </c>
      <c r="AC68" s="78">
        <f t="shared" si="0"/>
        <v>16.320807805193706</v>
      </c>
      <c r="AD68" s="78">
        <f t="shared" si="11"/>
        <v>0.54262020028088254</v>
      </c>
      <c r="AE68" s="78">
        <f t="shared" si="12"/>
        <v>0.2</v>
      </c>
      <c r="AF68" s="203">
        <f t="shared" si="13"/>
        <v>-0.90075761265826371</v>
      </c>
      <c r="AG68" s="203">
        <f t="shared" si="14"/>
        <v>-0.60174429458716672</v>
      </c>
      <c r="AH68" s="203">
        <f t="shared" si="15"/>
        <v>0.52842431634046172</v>
      </c>
    </row>
    <row r="69" spans="1:34" ht="12.75" hidden="1" customHeight="1">
      <c r="A69" s="23"/>
      <c r="B69" s="17" t="str">
        <f>Language!C262</f>
        <v>Dezembro</v>
      </c>
      <c r="C69" s="8"/>
      <c r="D69" s="427">
        <v>10.4</v>
      </c>
      <c r="E69" s="445">
        <v>0.80500000000000005</v>
      </c>
      <c r="F69" s="797">
        <v>2.17</v>
      </c>
      <c r="G69" s="427">
        <v>100.31</v>
      </c>
      <c r="H69" s="427">
        <v>3</v>
      </c>
      <c r="I69" s="427">
        <v>9.15</v>
      </c>
      <c r="J69" s="497">
        <v>235.6</v>
      </c>
      <c r="K69" s="412">
        <v>12.4</v>
      </c>
      <c r="L69" s="9"/>
      <c r="M69" s="930"/>
      <c r="N69" s="22"/>
      <c r="O69" s="230">
        <f t="shared" si="1"/>
        <v>10.399999999999999</v>
      </c>
      <c r="P69" s="230">
        <f t="shared" si="2"/>
        <v>2.17</v>
      </c>
      <c r="Q69" s="230">
        <f t="shared" si="3"/>
        <v>100.31</v>
      </c>
      <c r="R69" s="230">
        <f t="shared" si="4"/>
        <v>3</v>
      </c>
      <c r="S69" s="230">
        <f t="shared" si="5"/>
        <v>9.1499999999999986</v>
      </c>
      <c r="T69" s="230">
        <f t="shared" si="6"/>
        <v>235.6</v>
      </c>
      <c r="U69" s="230">
        <f t="shared" si="7"/>
        <v>12.4</v>
      </c>
      <c r="V69">
        <v>31</v>
      </c>
      <c r="W69">
        <v>33000</v>
      </c>
      <c r="X69" s="328">
        <v>344</v>
      </c>
      <c r="Y69" s="78">
        <v>-0.40229189374537189</v>
      </c>
      <c r="Z69" s="78">
        <f t="shared" si="8"/>
        <v>1.2029895378149877</v>
      </c>
      <c r="AA69" s="78">
        <f t="shared" si="9"/>
        <v>9.1901631086923121</v>
      </c>
      <c r="AB69" s="78">
        <f t="shared" si="10"/>
        <v>7.8120000000000003</v>
      </c>
      <c r="AC69" s="78">
        <f t="shared" si="0"/>
        <v>13.634237228654246</v>
      </c>
      <c r="AD69" s="78">
        <f t="shared" si="11"/>
        <v>0.57296934687200507</v>
      </c>
      <c r="AE69" s="78">
        <f t="shared" si="12"/>
        <v>0.2</v>
      </c>
      <c r="AF69" s="203">
        <f t="shared" si="13"/>
        <v>-1.045646214984528</v>
      </c>
      <c r="AG69" s="203">
        <f t="shared" si="14"/>
        <v>-0.45501690072480416</v>
      </c>
      <c r="AH69" s="203">
        <f t="shared" si="15"/>
        <v>0.61854218938484695</v>
      </c>
    </row>
    <row r="70" spans="1:34" ht="12.75" hidden="1" customHeight="1">
      <c r="A70" s="23"/>
      <c r="B70" s="327" t="str">
        <f>Language!C1152</f>
        <v>Anual</v>
      </c>
      <c r="C70" s="8"/>
      <c r="D70" s="244">
        <f t="shared" ref="D70:I70" si="16">SUMPRODUCT(D58:D69,$V$58:$V$69)/365</f>
        <v>15.751506849315067</v>
      </c>
      <c r="E70" s="443">
        <f t="shared" si="16"/>
        <v>0.75961369863013706</v>
      </c>
      <c r="F70" s="428">
        <f t="shared" si="16"/>
        <v>4.4355890410958905</v>
      </c>
      <c r="G70" s="244">
        <f t="shared" si="16"/>
        <v>100.09964383561642</v>
      </c>
      <c r="H70" s="244">
        <f t="shared" si="16"/>
        <v>2.622739726027397</v>
      </c>
      <c r="I70" s="244">
        <f t="shared" si="16"/>
        <v>16.866465753424656</v>
      </c>
      <c r="J70" s="86">
        <f>SUM(J58:J69)</f>
        <v>1188.3</v>
      </c>
      <c r="K70" s="86">
        <f>SUM(K58:K69)</f>
        <v>2099.3000000000002</v>
      </c>
      <c r="L70" s="9"/>
      <c r="M70" s="930"/>
      <c r="N70" s="22"/>
      <c r="O70" s="230">
        <f>SUMPRODUCT(O58:O69,$V$58:$V$69)/365</f>
        <v>15.751506849315067</v>
      </c>
      <c r="P70" s="230">
        <f>SUMPRODUCT(P58:P69,$V$58:$V$69)/365</f>
        <v>4.4355890410958905</v>
      </c>
      <c r="Q70" s="230">
        <f>SUMPRODUCT(Q58:Q69,$V$58:$V$69)/365</f>
        <v>100.09964383561642</v>
      </c>
      <c r="R70" s="230">
        <f>SUMPRODUCT(R58:R69,$V$58:$V$69)/365</f>
        <v>2.622739726027397</v>
      </c>
      <c r="S70" s="230">
        <f>SUMPRODUCT(S58:S69,$V$58:$V$69)/365</f>
        <v>16.866465753424656</v>
      </c>
      <c r="T70" s="230">
        <f>SUM(T58:T69)</f>
        <v>1188.3</v>
      </c>
      <c r="U70" s="230">
        <f>SUM(U58:U69)</f>
        <v>2099.3000000000002</v>
      </c>
      <c r="W70">
        <v>33000</v>
      </c>
      <c r="X70" s="321"/>
      <c r="Y70" s="321"/>
      <c r="Z70" s="321"/>
      <c r="AA70" s="321"/>
      <c r="AB70" s="321"/>
      <c r="AC70" s="321"/>
      <c r="AD70" s="321"/>
      <c r="AE70" s="321"/>
    </row>
    <row r="71" spans="1:34" ht="12.75" hidden="1" customHeight="1">
      <c r="A71" s="23"/>
      <c r="B71" s="17" t="str">
        <f>Language!C1804</f>
        <v>Medido a</v>
      </c>
      <c r="C71" s="303" t="s">
        <v>5569</v>
      </c>
      <c r="D71" s="8"/>
      <c r="E71" s="8"/>
      <c r="F71" s="8"/>
      <c r="G71" s="8"/>
      <c r="H71" s="427">
        <v>10</v>
      </c>
      <c r="I71" s="427">
        <v>0</v>
      </c>
      <c r="J71" s="8"/>
      <c r="K71" s="8"/>
      <c r="L71" s="9"/>
      <c r="M71" s="930"/>
      <c r="N71" s="22">
        <f>IF(C71="",1,VLOOKUP(C71,B87:C88,2,FALSE))</f>
        <v>1</v>
      </c>
      <c r="O71" t="s">
        <v>5569</v>
      </c>
      <c r="P71">
        <f>N71*H71</f>
        <v>10</v>
      </c>
      <c r="Q71">
        <f>N71*I71</f>
        <v>0</v>
      </c>
      <c r="W71">
        <v>33030</v>
      </c>
      <c r="X71" s="321"/>
      <c r="Y71" s="321"/>
      <c r="Z71" s="321"/>
      <c r="AA71" s="321"/>
      <c r="AB71" s="321"/>
      <c r="AC71" s="321"/>
      <c r="AD71" s="321"/>
      <c r="AE71" s="321"/>
    </row>
    <row r="72" spans="1:34" ht="12.75" hidden="1" customHeight="1">
      <c r="A72" s="23"/>
      <c r="B72" s="326"/>
      <c r="C72" s="15"/>
      <c r="D72" s="15"/>
      <c r="E72" s="15"/>
      <c r="F72" s="15"/>
      <c r="G72" s="15"/>
      <c r="H72" s="15"/>
      <c r="I72" s="245"/>
      <c r="J72" s="15"/>
      <c r="K72" s="15"/>
      <c r="L72" s="11"/>
      <c r="M72" s="930"/>
      <c r="N72" s="22"/>
      <c r="W72">
        <v>33000</v>
      </c>
      <c r="X72" s="321"/>
      <c r="Y72" s="321"/>
      <c r="Z72" s="321"/>
      <c r="AA72" s="321"/>
      <c r="AB72" s="321"/>
      <c r="AC72" s="321"/>
      <c r="AD72" s="321"/>
      <c r="AE72" s="321"/>
    </row>
    <row r="73" spans="1:34" ht="18" customHeight="1">
      <c r="A73" s="23"/>
      <c r="B73" s="23"/>
      <c r="C73" s="23"/>
      <c r="D73" s="23"/>
      <c r="E73" s="23"/>
      <c r="F73" s="23"/>
      <c r="G73" s="23"/>
      <c r="H73" s="23"/>
      <c r="I73" s="23"/>
      <c r="J73" s="23"/>
      <c r="K73" s="23"/>
      <c r="L73" s="23"/>
      <c r="M73" s="23"/>
      <c r="N73" s="22"/>
      <c r="W73">
        <v>30000</v>
      </c>
      <c r="X73" s="321"/>
      <c r="Y73" s="321"/>
      <c r="Z73" s="321"/>
      <c r="AA73" s="321"/>
      <c r="AB73" s="321"/>
      <c r="AC73" s="321"/>
      <c r="AD73" s="321"/>
      <c r="AE73" s="321"/>
    </row>
    <row r="74" spans="1:34" ht="12.75" hidden="1" customHeight="1">
      <c r="A74" s="23"/>
      <c r="B74" s="23"/>
      <c r="C74" s="23"/>
      <c r="D74" s="1163" t="str">
        <f>Language!C1554</f>
        <v>Completar a planilha de Modelo Energético</v>
      </c>
      <c r="E74" s="1164"/>
      <c r="F74" s="1164"/>
      <c r="G74" s="23"/>
      <c r="H74" s="23"/>
      <c r="I74" s="23"/>
      <c r="J74" s="23"/>
      <c r="K74" s="23"/>
      <c r="L74" s="23"/>
      <c r="M74" s="23"/>
      <c r="N74" s="22"/>
      <c r="W74">
        <v>30000</v>
      </c>
      <c r="X74" s="321"/>
      <c r="Y74" s="321"/>
      <c r="Z74" s="321"/>
      <c r="AA74" s="321"/>
      <c r="AB74" s="321"/>
      <c r="AC74" s="321"/>
      <c r="AD74" s="321"/>
      <c r="AE74" s="321"/>
    </row>
    <row r="75" spans="1:34" ht="12.75" customHeight="1">
      <c r="A75" s="23"/>
      <c r="B75" s="23"/>
      <c r="C75" s="23"/>
      <c r="D75" s="1155" t="str">
        <f>Language!C1554</f>
        <v>Completar a planilha de Modelo Energético</v>
      </c>
      <c r="E75" s="1156"/>
      <c r="F75" s="1156"/>
      <c r="G75" s="23"/>
      <c r="H75" s="23"/>
      <c r="I75" s="23"/>
      <c r="J75" s="23"/>
      <c r="K75" s="23"/>
      <c r="L75" s="23"/>
      <c r="M75" s="23"/>
      <c r="N75" s="22"/>
      <c r="W75">
        <v>30000</v>
      </c>
      <c r="X75" s="321"/>
      <c r="Y75" s="321"/>
      <c r="Z75" s="321"/>
      <c r="AA75" s="321"/>
      <c r="AB75" s="321"/>
      <c r="AC75" s="321"/>
      <c r="AD75" s="321"/>
      <c r="AE75" s="321"/>
    </row>
    <row r="76" spans="1:34" ht="12.75" hidden="1" customHeight="1">
      <c r="A76" s="23"/>
      <c r="B76" s="23"/>
      <c r="C76" s="23"/>
      <c r="D76" s="1155" t="str">
        <f>Language!C54</f>
        <v>Completar planilha de Carga e Rede</v>
      </c>
      <c r="E76" s="1156"/>
      <c r="F76" s="1156"/>
      <c r="G76" s="23"/>
      <c r="H76" s="23"/>
      <c r="I76" s="23"/>
      <c r="J76" s="23"/>
      <c r="K76" s="23"/>
      <c r="L76" s="23"/>
      <c r="M76" s="23"/>
      <c r="N76" s="22"/>
      <c r="W76">
        <v>30000</v>
      </c>
      <c r="X76" s="321"/>
      <c r="Y76" s="321"/>
      <c r="Z76" s="321"/>
      <c r="AA76" s="321"/>
      <c r="AB76" s="321"/>
      <c r="AC76" s="321"/>
      <c r="AD76" s="321"/>
      <c r="AE76" s="321"/>
    </row>
    <row r="77" spans="1:34" ht="21.75" customHeight="1">
      <c r="A77" s="23"/>
      <c r="B77" s="23"/>
      <c r="C77" s="23"/>
      <c r="D77" s="23"/>
      <c r="E77" s="23"/>
      <c r="F77" s="23"/>
      <c r="G77" s="23"/>
      <c r="H77" s="23"/>
      <c r="I77" s="23"/>
      <c r="J77" s="23"/>
      <c r="K77" s="23"/>
      <c r="L77" s="23"/>
      <c r="M77" s="23"/>
      <c r="N77" s="22"/>
      <c r="W77">
        <v>30000</v>
      </c>
      <c r="X77" s="321"/>
      <c r="Y77" s="321"/>
      <c r="Z77" s="321"/>
      <c r="AA77" s="321"/>
      <c r="AB77" s="321"/>
      <c r="AC77" s="321"/>
      <c r="AD77" s="321"/>
      <c r="AE77" s="321"/>
    </row>
    <row r="78" spans="1:34" ht="3" customHeight="1">
      <c r="A78" s="1139"/>
      <c r="B78" s="1139"/>
      <c r="C78" s="1139"/>
      <c r="D78" s="1139"/>
      <c r="E78" s="1139"/>
      <c r="F78" s="1139"/>
      <c r="G78" s="1139"/>
      <c r="H78" s="1139"/>
      <c r="I78" s="1139"/>
      <c r="J78" s="1139"/>
      <c r="K78" s="1139"/>
      <c r="L78" s="1139"/>
      <c r="M78" s="1139"/>
      <c r="N78" s="22"/>
      <c r="W78">
        <v>30000</v>
      </c>
      <c r="X78" s="321"/>
      <c r="Y78" s="321"/>
      <c r="Z78" s="321"/>
      <c r="AA78" s="321"/>
      <c r="AB78" s="321"/>
      <c r="AC78" s="321"/>
      <c r="AD78" s="321"/>
      <c r="AE78" s="321"/>
    </row>
    <row r="79" spans="1:34" ht="6" customHeight="1">
      <c r="A79" s="323"/>
      <c r="B79" s="324"/>
      <c r="C79" s="323"/>
      <c r="D79" s="323"/>
      <c r="E79" s="323"/>
      <c r="F79" s="323"/>
      <c r="G79" s="323"/>
      <c r="H79" s="323"/>
      <c r="I79" s="323"/>
      <c r="J79" s="323"/>
      <c r="K79" s="323"/>
      <c r="L79" s="323"/>
      <c r="M79" s="323"/>
      <c r="N79" s="22"/>
      <c r="W79">
        <v>30000</v>
      </c>
      <c r="X79" s="321"/>
      <c r="Y79" s="321"/>
      <c r="Z79" s="321"/>
      <c r="AA79" s="321"/>
      <c r="AB79" s="321"/>
      <c r="AC79" s="321"/>
      <c r="AD79" s="321"/>
      <c r="AE79" s="321"/>
    </row>
    <row r="80" spans="1:34" s="319" customFormat="1" ht="12.75" customHeight="1">
      <c r="A80" s="323"/>
      <c r="B80" s="324" t="s">
        <v>761</v>
      </c>
      <c r="C80" s="323"/>
      <c r="D80" s="927"/>
      <c r="E80" s="927"/>
      <c r="F80" s="928" t="str">
        <f>Language!C51</f>
        <v>© Minister of Natural Resources Canada 1997-2012.</v>
      </c>
      <c r="G80" s="323"/>
      <c r="H80" s="323"/>
      <c r="I80" s="323"/>
      <c r="J80" s="323"/>
      <c r="K80" s="323"/>
      <c r="L80" s="926" t="str">
        <f>Language!C52</f>
        <v>NRCan/CanmetENERGY</v>
      </c>
      <c r="M80" s="323"/>
      <c r="N80" s="463"/>
      <c r="O80" s="463"/>
      <c r="P80" s="463"/>
      <c r="Q80" s="463"/>
      <c r="R80" s="463"/>
      <c r="S80" s="463"/>
      <c r="T80" s="463"/>
      <c r="U80" s="463"/>
      <c r="V80" s="463"/>
      <c r="W80" s="463">
        <v>30000</v>
      </c>
      <c r="X80" s="674"/>
      <c r="Y80" s="674"/>
      <c r="Z80" s="674"/>
      <c r="AA80" s="674"/>
      <c r="AB80" s="674"/>
      <c r="AC80" s="674"/>
      <c r="AD80" s="674"/>
      <c r="AE80" s="674"/>
    </row>
    <row r="81" spans="1:31" ht="6" customHeight="1">
      <c r="A81" s="323"/>
      <c r="B81" s="931"/>
      <c r="C81" s="323"/>
      <c r="D81" s="323"/>
      <c r="E81" s="323"/>
      <c r="F81" s="323"/>
      <c r="G81" s="323"/>
      <c r="H81" s="323"/>
      <c r="I81" s="323"/>
      <c r="J81" s="323"/>
      <c r="K81" s="323"/>
      <c r="L81" s="323"/>
      <c r="M81" s="323"/>
      <c r="N81" s="22"/>
      <c r="W81">
        <v>30000</v>
      </c>
      <c r="X81" s="321"/>
      <c r="Y81" s="321"/>
      <c r="Z81" s="321"/>
      <c r="AA81" s="321"/>
      <c r="AB81" s="321"/>
      <c r="AC81" s="321"/>
      <c r="AD81" s="321"/>
      <c r="AE81" s="321"/>
    </row>
    <row r="82" spans="1:31" ht="12.75" hidden="1" customHeight="1">
      <c r="N82" t="s">
        <v>4307</v>
      </c>
      <c r="X82" s="321"/>
      <c r="Y82" s="321"/>
      <c r="Z82" s="321"/>
      <c r="AA82" s="321"/>
      <c r="AB82" s="321"/>
      <c r="AC82" s="321"/>
      <c r="AD82" s="321"/>
      <c r="AE82" s="321"/>
    </row>
    <row r="83" spans="1:31" ht="12.75" hidden="1" customHeight="1">
      <c r="B83" s="264" t="s">
        <v>1065</v>
      </c>
      <c r="C83" s="264" t="s">
        <v>1645</v>
      </c>
      <c r="D83" s="267" t="s">
        <v>1953</v>
      </c>
      <c r="H83" t="s">
        <v>975</v>
      </c>
      <c r="I83" t="s">
        <v>3635</v>
      </c>
      <c r="J83" t="s">
        <v>3076</v>
      </c>
      <c r="K83" t="s">
        <v>2345</v>
      </c>
      <c r="X83" s="321"/>
      <c r="Y83" s="321"/>
      <c r="Z83" s="321"/>
      <c r="AA83" s="321"/>
      <c r="AB83" s="321"/>
      <c r="AC83" s="321"/>
      <c r="AD83" s="321"/>
      <c r="AE83" s="321"/>
    </row>
    <row r="84" spans="1:31" ht="12.75" hidden="1" customHeight="1">
      <c r="B84" t="str">
        <f>Language!C1310</f>
        <v>°C</v>
      </c>
      <c r="C84">
        <v>1</v>
      </c>
      <c r="D84" t="s">
        <v>4858</v>
      </c>
      <c r="H84" t="s">
        <v>976</v>
      </c>
      <c r="I84" t="s">
        <v>4030</v>
      </c>
      <c r="J84" t="s">
        <v>2784</v>
      </c>
      <c r="K84" t="s">
        <v>4051</v>
      </c>
      <c r="X84" s="321"/>
      <c r="Y84" s="321"/>
      <c r="Z84" s="321"/>
      <c r="AA84" s="321"/>
      <c r="AB84" s="321"/>
      <c r="AC84" s="321"/>
      <c r="AD84" s="321"/>
      <c r="AE84" s="321"/>
    </row>
    <row r="85" spans="1:31" ht="12.75" hidden="1" customHeight="1">
      <c r="B85" t="str">
        <f>Language!C1313</f>
        <v>°F</v>
      </c>
      <c r="C85">
        <f>5/9</f>
        <v>0.55555555555555558</v>
      </c>
      <c r="D85" t="s">
        <v>1954</v>
      </c>
      <c r="H85" t="s">
        <v>498</v>
      </c>
      <c r="I85" t="s">
        <v>387</v>
      </c>
      <c r="J85" t="s">
        <v>3658</v>
      </c>
      <c r="K85" t="s">
        <v>655</v>
      </c>
      <c r="X85" s="321"/>
      <c r="Y85" s="321"/>
      <c r="Z85" s="321"/>
      <c r="AA85" s="321"/>
      <c r="AB85" s="321"/>
      <c r="AC85" s="321"/>
      <c r="AD85" s="321"/>
      <c r="AE85" s="321"/>
    </row>
    <row r="86" spans="1:31" ht="12.75" hidden="1" customHeight="1">
      <c r="H86" t="s">
        <v>1515</v>
      </c>
      <c r="I86" t="s">
        <v>5082</v>
      </c>
      <c r="J86" t="s">
        <v>5054</v>
      </c>
      <c r="K86" t="s">
        <v>5945</v>
      </c>
      <c r="X86" s="321"/>
      <c r="Y86" s="321"/>
      <c r="Z86" s="321"/>
      <c r="AA86" s="321"/>
      <c r="AB86" s="321"/>
      <c r="AC86" s="321"/>
      <c r="AD86" s="321"/>
      <c r="AE86" s="321"/>
    </row>
    <row r="87" spans="1:31" ht="12.75" hidden="1" customHeight="1">
      <c r="B87" t="str">
        <f>Language!C1372</f>
        <v>m</v>
      </c>
      <c r="C87">
        <v>1</v>
      </c>
      <c r="D87" t="s">
        <v>229</v>
      </c>
      <c r="H87" t="s">
        <v>3004</v>
      </c>
      <c r="I87" t="s">
        <v>1570</v>
      </c>
      <c r="J87" t="s">
        <v>2970</v>
      </c>
      <c r="K87" t="s">
        <v>4017</v>
      </c>
      <c r="O87" s="267"/>
      <c r="P87" s="267"/>
      <c r="X87" s="321"/>
      <c r="Y87" s="321"/>
      <c r="Z87" s="321"/>
      <c r="AA87" s="321"/>
      <c r="AB87" s="321"/>
      <c r="AC87" s="321"/>
      <c r="AD87" s="321"/>
      <c r="AE87" s="321"/>
    </row>
    <row r="88" spans="1:31" ht="12.75" hidden="1" customHeight="1">
      <c r="B88" t="str">
        <f>Language!C1327</f>
        <v>pe</v>
      </c>
      <c r="C88">
        <v>0.30480000000000002</v>
      </c>
      <c r="D88" t="s">
        <v>1165</v>
      </c>
      <c r="H88" t="s">
        <v>2194</v>
      </c>
      <c r="I88" t="s">
        <v>388</v>
      </c>
      <c r="J88" t="s">
        <v>3423</v>
      </c>
      <c r="K88" t="s">
        <v>1878</v>
      </c>
      <c r="O88" s="267"/>
      <c r="P88" s="267"/>
      <c r="Q88" s="267"/>
      <c r="X88" s="321"/>
      <c r="Y88" s="321"/>
      <c r="Z88" s="321"/>
      <c r="AA88" s="321"/>
      <c r="AB88" s="321"/>
      <c r="AC88" s="321"/>
      <c r="AD88" s="321"/>
      <c r="AE88" s="321"/>
    </row>
    <row r="89" spans="1:31" ht="12.75" hidden="1" customHeight="1">
      <c r="F89" t="s">
        <v>1360</v>
      </c>
      <c r="H89" t="s">
        <v>5323</v>
      </c>
      <c r="I89" t="s">
        <v>3783</v>
      </c>
      <c r="J89" t="s">
        <v>5562</v>
      </c>
      <c r="K89" t="s">
        <v>5773</v>
      </c>
      <c r="X89" s="321"/>
      <c r="Y89" s="321"/>
      <c r="Z89" s="321"/>
      <c r="AA89" s="321"/>
      <c r="AB89" s="321"/>
      <c r="AC89" s="321"/>
      <c r="AD89" s="321"/>
      <c r="AE89" s="321"/>
    </row>
    <row r="90" spans="1:31" ht="12.75" hidden="1" customHeight="1">
      <c r="B90" t="str">
        <f>Language!C2221</f>
        <v>kWh/m²/d</v>
      </c>
      <c r="C90">
        <v>1</v>
      </c>
      <c r="D90" t="s">
        <v>4859</v>
      </c>
      <c r="F90" t="s">
        <v>5372</v>
      </c>
      <c r="H90" t="s">
        <v>80</v>
      </c>
      <c r="I90" t="s">
        <v>3784</v>
      </c>
      <c r="J90" t="s">
        <v>5474</v>
      </c>
      <c r="K90" t="s">
        <v>5797</v>
      </c>
      <c r="X90" s="321"/>
      <c r="Y90" s="321"/>
      <c r="Z90" s="321"/>
      <c r="AA90" s="321"/>
      <c r="AB90" s="321"/>
      <c r="AC90" s="321"/>
      <c r="AD90" s="321"/>
      <c r="AE90" s="321"/>
    </row>
    <row r="91" spans="1:31" ht="12.75" hidden="1" customHeight="1">
      <c r="B91" t="str">
        <f>Language!C2243</f>
        <v>MJ/m²/d</v>
      </c>
      <c r="C91">
        <f>1/3.6</f>
        <v>0.27777777777777779</v>
      </c>
      <c r="D91" t="s">
        <v>643</v>
      </c>
      <c r="H91" t="s">
        <v>707</v>
      </c>
      <c r="I91" t="s">
        <v>4030</v>
      </c>
      <c r="J91" t="s">
        <v>1354</v>
      </c>
      <c r="K91" t="s">
        <v>4051</v>
      </c>
      <c r="X91" s="321"/>
      <c r="Y91" s="321"/>
      <c r="Z91" s="321"/>
      <c r="AA91" s="321"/>
      <c r="AB91" s="321"/>
      <c r="AC91" s="321"/>
      <c r="AD91" s="321"/>
      <c r="AE91" s="321"/>
    </row>
    <row r="92" spans="1:31" ht="12.75" hidden="1" customHeight="1">
      <c r="H92" t="s">
        <v>5371</v>
      </c>
      <c r="I92" t="s">
        <v>4030</v>
      </c>
      <c r="J92" t="s">
        <v>1354</v>
      </c>
      <c r="K92" t="s">
        <v>4051</v>
      </c>
      <c r="X92" s="321"/>
      <c r="Y92" s="321"/>
      <c r="Z92" s="321"/>
      <c r="AA92" s="321"/>
      <c r="AB92" s="321"/>
      <c r="AC92" s="321"/>
      <c r="AD92" s="321"/>
      <c r="AE92" s="321"/>
    </row>
    <row r="93" spans="1:31" ht="12.75" hidden="1" customHeight="1">
      <c r="B93" t="str">
        <f>Language!C2232</f>
        <v>m/s</v>
      </c>
      <c r="C93">
        <f>1</f>
        <v>1</v>
      </c>
      <c r="D93" t="s">
        <v>431</v>
      </c>
      <c r="H93" t="s">
        <v>3026</v>
      </c>
      <c r="I93" t="s">
        <v>3785</v>
      </c>
      <c r="J93" t="s">
        <v>5074</v>
      </c>
      <c r="K93" t="s">
        <v>4003</v>
      </c>
      <c r="X93" s="321"/>
      <c r="Y93" s="321"/>
      <c r="Z93" s="321"/>
      <c r="AA93" s="321"/>
      <c r="AB93" s="321"/>
      <c r="AC93" s="321"/>
      <c r="AD93" s="321"/>
      <c r="AE93" s="321"/>
    </row>
    <row r="94" spans="1:31" ht="12.75" hidden="1" customHeight="1">
      <c r="B94" t="str">
        <f>Language!C2244</f>
        <v>mph</v>
      </c>
      <c r="C94">
        <v>0.44703999999999999</v>
      </c>
      <c r="D94" t="s">
        <v>1155</v>
      </c>
      <c r="H94" t="s">
        <v>4338</v>
      </c>
      <c r="I94" t="s">
        <v>4031</v>
      </c>
      <c r="J94" t="s">
        <v>3083</v>
      </c>
      <c r="K94" t="s">
        <v>4785</v>
      </c>
      <c r="X94" s="321"/>
      <c r="Y94" s="321"/>
      <c r="Z94" s="321"/>
      <c r="AA94" s="321"/>
      <c r="AB94" s="321"/>
      <c r="AC94" s="321"/>
      <c r="AD94" s="321"/>
      <c r="AE94" s="321"/>
    </row>
    <row r="95" spans="1:31" ht="12.75" hidden="1" customHeight="1">
      <c r="H95" t="s">
        <v>3027</v>
      </c>
      <c r="I95" t="s">
        <v>4032</v>
      </c>
      <c r="J95" t="s">
        <v>4606</v>
      </c>
      <c r="K95" t="s">
        <v>63</v>
      </c>
      <c r="X95" s="321"/>
      <c r="Y95" s="321"/>
      <c r="Z95" s="321"/>
      <c r="AA95" s="321"/>
      <c r="AB95" s="321"/>
      <c r="AC95" s="321"/>
      <c r="AD95" s="321"/>
      <c r="AE95" s="321"/>
    </row>
    <row r="96" spans="1:31" ht="12.75" hidden="1" customHeight="1">
      <c r="B96" t="str">
        <f>Language!C1311</f>
        <v>°C-d</v>
      </c>
      <c r="C96">
        <v>1</v>
      </c>
      <c r="D96" t="s">
        <v>1951</v>
      </c>
      <c r="H96" t="s">
        <v>3339</v>
      </c>
      <c r="I96" t="s">
        <v>4898</v>
      </c>
      <c r="J96" t="s">
        <v>680</v>
      </c>
      <c r="K96" t="s">
        <v>1316</v>
      </c>
      <c r="X96" s="321"/>
      <c r="Y96" s="321"/>
      <c r="Z96" s="321"/>
      <c r="AA96" s="321"/>
      <c r="AB96" s="321"/>
      <c r="AC96" s="321"/>
      <c r="AD96" s="321"/>
      <c r="AE96" s="321"/>
    </row>
    <row r="97" spans="1:31" ht="12.75" hidden="1" customHeight="1">
      <c r="B97" t="str">
        <f>Language!C1314</f>
        <v>°F-d</v>
      </c>
      <c r="C97">
        <f>5/9</f>
        <v>0.55555555555555558</v>
      </c>
      <c r="D97" t="s">
        <v>1952</v>
      </c>
      <c r="H97" t="s">
        <v>1478</v>
      </c>
      <c r="I97" t="s">
        <v>4030</v>
      </c>
      <c r="J97" t="s">
        <v>4622</v>
      </c>
      <c r="K97" t="s">
        <v>4051</v>
      </c>
      <c r="X97" s="321"/>
      <c r="Y97" s="321"/>
      <c r="Z97" s="321"/>
      <c r="AA97" s="321"/>
      <c r="AB97" s="321"/>
      <c r="AC97" s="321"/>
      <c r="AD97" s="321"/>
      <c r="AE97" s="321"/>
    </row>
    <row r="98" spans="1:31" ht="12.75" hidden="1" customHeight="1">
      <c r="H98" t="s">
        <v>5273</v>
      </c>
      <c r="I98" t="s">
        <v>4475</v>
      </c>
      <c r="J98" t="s">
        <v>5846</v>
      </c>
      <c r="K98" t="s">
        <v>5031</v>
      </c>
      <c r="X98" s="321"/>
      <c r="Y98" s="321"/>
      <c r="Z98" s="321"/>
      <c r="AA98" s="321"/>
      <c r="AB98" s="321"/>
      <c r="AC98" s="321"/>
      <c r="AD98" s="321"/>
      <c r="AE98" s="321"/>
    </row>
    <row r="99" spans="1:31" ht="12.75" hidden="1" customHeight="1">
      <c r="B99" t="str">
        <f>Language!C1363</f>
        <v>kPa</v>
      </c>
      <c r="C99">
        <v>1</v>
      </c>
      <c r="D99" t="s">
        <v>1789</v>
      </c>
      <c r="H99" s="257" t="s">
        <v>5372</v>
      </c>
      <c r="I99" s="257" t="s">
        <v>3567</v>
      </c>
      <c r="J99" s="328" t="s">
        <v>105</v>
      </c>
      <c r="K99" s="328" t="s">
        <v>106</v>
      </c>
      <c r="X99" s="321"/>
      <c r="Y99" s="321"/>
      <c r="Z99" s="321"/>
      <c r="AA99" s="321"/>
      <c r="AB99" s="321"/>
      <c r="AC99" s="321"/>
      <c r="AD99" s="321"/>
      <c r="AE99" s="321"/>
    </row>
    <row r="100" spans="1:31" ht="12.75" hidden="1" customHeight="1">
      <c r="B100" t="str">
        <f>Language!C2240</f>
        <v>mBar</v>
      </c>
      <c r="C100">
        <v>0.1</v>
      </c>
      <c r="D100" t="s">
        <v>5923</v>
      </c>
      <c r="H100" t="s">
        <v>1250</v>
      </c>
      <c r="I100" t="s">
        <v>4033</v>
      </c>
      <c r="J100" t="s">
        <v>4124</v>
      </c>
      <c r="K100" t="s">
        <v>3434</v>
      </c>
      <c r="X100" s="321"/>
      <c r="Y100" s="321"/>
      <c r="Z100" s="321"/>
      <c r="AA100" s="321"/>
      <c r="AB100" s="321"/>
      <c r="AC100" s="321"/>
      <c r="AD100" s="321"/>
      <c r="AE100" s="321"/>
    </row>
    <row r="101" spans="1:31" ht="12.75" hidden="1" customHeight="1">
      <c r="B101" t="str">
        <f>Language!C1349</f>
        <v>po Hg</v>
      </c>
      <c r="C101">
        <v>3.38639</v>
      </c>
      <c r="D101" s="24" t="s">
        <v>4865</v>
      </c>
      <c r="H101" t="s">
        <v>1062</v>
      </c>
      <c r="I101" t="s">
        <v>1974</v>
      </c>
      <c r="J101" t="s">
        <v>4125</v>
      </c>
      <c r="K101" t="s">
        <v>4333</v>
      </c>
      <c r="X101" s="321"/>
      <c r="Y101" s="321"/>
      <c r="Z101" s="321"/>
      <c r="AA101" s="321"/>
      <c r="AB101" s="321"/>
      <c r="AC101" s="321"/>
      <c r="AD101" s="321"/>
      <c r="AE101" s="321"/>
    </row>
    <row r="102" spans="1:31" ht="12.75" hidden="1" customHeight="1">
      <c r="H102" t="s">
        <v>1063</v>
      </c>
      <c r="I102" t="s">
        <v>1975</v>
      </c>
      <c r="J102" t="s">
        <v>2555</v>
      </c>
      <c r="K102" t="s">
        <v>4154</v>
      </c>
      <c r="X102" s="321"/>
      <c r="Y102" s="321"/>
      <c r="Z102" s="321"/>
      <c r="AA102" s="321"/>
      <c r="AB102" s="321"/>
      <c r="AC102" s="321"/>
      <c r="AD102" s="321"/>
      <c r="AE102" s="321"/>
    </row>
    <row r="103" spans="1:31" ht="12.75" hidden="1" customHeight="1">
      <c r="H103" s="1002" t="s">
        <v>2756</v>
      </c>
      <c r="I103" s="146" t="s">
        <v>2757</v>
      </c>
      <c r="J103" s="146" t="s">
        <v>2554</v>
      </c>
      <c r="K103" s="1003" t="s">
        <v>2553</v>
      </c>
      <c r="X103" s="321"/>
      <c r="Y103" s="321"/>
      <c r="Z103" s="321"/>
      <c r="AA103" s="321"/>
      <c r="AB103" s="321"/>
      <c r="AC103" s="321"/>
      <c r="AD103" s="321"/>
      <c r="AE103" s="321"/>
    </row>
    <row r="104" spans="1:31" ht="12.75" hidden="1" customHeight="1">
      <c r="A104" s="22"/>
      <c r="B104" s="22"/>
      <c r="C104" s="22"/>
      <c r="D104" s="22"/>
      <c r="E104" s="22"/>
      <c r="F104" s="22"/>
      <c r="G104" s="22"/>
      <c r="H104" t="s">
        <v>5221</v>
      </c>
      <c r="I104" t="s">
        <v>5083</v>
      </c>
      <c r="J104" t="s">
        <v>1921</v>
      </c>
      <c r="K104" t="s">
        <v>196</v>
      </c>
      <c r="L104" s="22"/>
      <c r="M104" s="22"/>
      <c r="N104" s="22"/>
      <c r="O104" s="22"/>
      <c r="P104" s="22"/>
      <c r="Q104" s="22"/>
      <c r="R104" s="22"/>
      <c r="S104" s="22"/>
      <c r="T104" s="22"/>
      <c r="U104" s="22"/>
      <c r="V104" s="22"/>
      <c r="W104" s="22"/>
      <c r="X104" s="503"/>
      <c r="Y104" s="503"/>
      <c r="Z104" s="503"/>
      <c r="AA104" s="503"/>
      <c r="AB104" s="503"/>
      <c r="AC104" s="503"/>
      <c r="AD104" s="503"/>
      <c r="AE104" s="503"/>
    </row>
    <row r="105" spans="1:31" ht="12.75" hidden="1" customHeight="1" thickBot="1">
      <c r="H105" t="s">
        <v>1790</v>
      </c>
      <c r="I105" t="s">
        <v>3961</v>
      </c>
      <c r="J105" t="s">
        <v>5389</v>
      </c>
      <c r="K105" t="s">
        <v>3191</v>
      </c>
      <c r="X105" s="321"/>
      <c r="Y105" s="321"/>
      <c r="Z105" s="321"/>
      <c r="AA105" s="321"/>
      <c r="AB105" s="321"/>
      <c r="AC105" s="321"/>
      <c r="AD105" s="321"/>
      <c r="AE105" s="321"/>
    </row>
    <row r="106" spans="1:31" ht="12.75" hidden="1" customHeight="1">
      <c r="B106" s="503"/>
      <c r="G106" s="540" t="s">
        <v>4827</v>
      </c>
      <c r="H106" t="s">
        <v>1964</v>
      </c>
      <c r="I106" t="s">
        <v>3634</v>
      </c>
      <c r="J106" t="s">
        <v>2147</v>
      </c>
      <c r="K106" t="s">
        <v>3404</v>
      </c>
      <c r="X106" s="321"/>
      <c r="Y106" s="321"/>
      <c r="Z106" s="321"/>
      <c r="AA106" s="321"/>
      <c r="AB106" s="321"/>
      <c r="AC106" s="321"/>
      <c r="AD106" s="321"/>
      <c r="AE106" s="321"/>
    </row>
    <row r="107" spans="1:31" ht="12.75" hidden="1" customHeight="1">
      <c r="B107" s="22" t="str">
        <f>Language!C2619</f>
        <v>Produção de calor</v>
      </c>
      <c r="C107" s="22" t="str">
        <f>Language!C417</f>
        <v>Caldeira</v>
      </c>
      <c r="D107" s="22" t="str">
        <f>Language!C133</f>
        <v>Motor recíproco</v>
      </c>
      <c r="E107" s="22" t="str">
        <f>Language!C127</f>
        <v>Compressor</v>
      </c>
      <c r="F107" s="22" t="str">
        <f>Language!C124</f>
        <v>Rede Central</v>
      </c>
      <c r="G107" s="22" t="str">
        <f>Language!C1937</f>
        <v>Residencial</v>
      </c>
      <c r="H107" t="s">
        <v>5808</v>
      </c>
      <c r="I107" t="s">
        <v>3782</v>
      </c>
      <c r="J107" t="s">
        <v>1674</v>
      </c>
      <c r="K107" t="s">
        <v>2168</v>
      </c>
      <c r="X107" s="321"/>
      <c r="Y107" s="321"/>
      <c r="Z107" s="321"/>
      <c r="AA107" s="321"/>
      <c r="AB107" s="321"/>
      <c r="AC107" s="321"/>
      <c r="AD107" s="321"/>
      <c r="AE107" s="321"/>
    </row>
    <row r="108" spans="1:31" ht="12.75" hidden="1" customHeight="1">
      <c r="B108" s="22" t="str">
        <f>Language!C2618</f>
        <v>Produção de eletricidade</v>
      </c>
      <c r="C108" s="22" t="str">
        <f>Language!C418</f>
        <v>Sistema à biomassa</v>
      </c>
      <c r="D108" s="22" t="str">
        <f>Language!C134</f>
        <v>Turbina à gas</v>
      </c>
      <c r="E108" s="538" t="str">
        <f>Language!C421</f>
        <v>Bomba de calor</v>
      </c>
      <c r="F108" s="539" t="str">
        <f>Language!C1522</f>
        <v>Rede central &amp; carga interna</v>
      </c>
      <c r="G108" s="22" t="str">
        <f>Language!C1551</f>
        <v>Comercial</v>
      </c>
      <c r="H108" t="s">
        <v>1087</v>
      </c>
      <c r="I108" t="s">
        <v>3622</v>
      </c>
      <c r="J108" s="328" t="s">
        <v>3129</v>
      </c>
      <c r="K108" t="s">
        <v>1644</v>
      </c>
      <c r="X108" s="321"/>
      <c r="Y108" s="321"/>
      <c r="Z108" s="321"/>
      <c r="AA108" s="321"/>
      <c r="AB108" s="321"/>
      <c r="AC108" s="321"/>
      <c r="AD108" s="321"/>
      <c r="AE108" s="321"/>
    </row>
    <row r="109" spans="1:31" ht="12.75" hidden="1" customHeight="1">
      <c r="B109" s="22" t="str">
        <f>Language!C2620</f>
        <v>Produção de frio</v>
      </c>
      <c r="C109" s="22" t="str">
        <f>Language!C419</f>
        <v>Forno</v>
      </c>
      <c r="D109" s="22" t="str">
        <f>Language!C135</f>
        <v>Turbina à gas-ciclo combinado</v>
      </c>
      <c r="E109" s="538" t="str">
        <f>Language!C128</f>
        <v>Absorção</v>
      </c>
      <c r="F109" s="538" t="str">
        <f>Language!C125</f>
        <v>Rede Isolada</v>
      </c>
      <c r="G109" s="22" t="str">
        <f>Language!C1755</f>
        <v>Institucional</v>
      </c>
      <c r="H109" t="s">
        <v>4107</v>
      </c>
      <c r="I109" t="s">
        <v>4033</v>
      </c>
      <c r="J109" t="s">
        <v>4808</v>
      </c>
      <c r="K109" t="s">
        <v>720</v>
      </c>
      <c r="X109" s="321"/>
      <c r="Y109" s="321"/>
      <c r="Z109" s="321"/>
      <c r="AA109" s="321"/>
      <c r="AB109" s="321"/>
      <c r="AC109" s="321"/>
      <c r="AD109" s="321"/>
      <c r="AE109" s="321"/>
    </row>
    <row r="110" spans="1:31" ht="12.75" hidden="1" customHeight="1">
      <c r="B110" s="22" t="str">
        <f>Language!C87</f>
        <v>Produção de calor e eletricidade</v>
      </c>
      <c r="C110" s="22" t="str">
        <f>Language!C420</f>
        <v>Aquecedores de fluido térmico</v>
      </c>
      <c r="D110" s="22" t="str">
        <f>Language!C136</f>
        <v>Turbina à vapor</v>
      </c>
      <c r="E110" s="538" t="str">
        <f>Language!C129</f>
        <v>Desumidificador</v>
      </c>
      <c r="F110" s="539" t="str">
        <f>Language!C1764</f>
        <v>Rede isolada&amp;carga interna</v>
      </c>
      <c r="G110" s="22" t="str">
        <f>Language!C1752</f>
        <v>Industrial</v>
      </c>
      <c r="H110" t="s">
        <v>1088</v>
      </c>
      <c r="I110" t="s">
        <v>3623</v>
      </c>
      <c r="J110" s="328" t="s">
        <v>3209</v>
      </c>
      <c r="K110" t="s">
        <v>4721</v>
      </c>
      <c r="X110" s="321"/>
      <c r="Y110" s="321"/>
      <c r="Z110" s="321"/>
      <c r="AA110" s="321"/>
      <c r="AB110" s="321"/>
      <c r="AC110" s="321"/>
      <c r="AD110" s="321"/>
      <c r="AE110" s="321"/>
    </row>
    <row r="111" spans="1:31" ht="12.75" hidden="1" customHeight="1">
      <c r="B111" s="22" t="str">
        <f>Language!C88</f>
        <v>Produção de frio e eletricidade</v>
      </c>
      <c r="C111" s="22" t="str">
        <f>Language!C421</f>
        <v>Bomba de calor</v>
      </c>
      <c r="D111" s="22" t="str">
        <f>Language!C137</f>
        <v>Energia Geotérmica</v>
      </c>
      <c r="E111" s="538" t="str">
        <f>Language!C1281</f>
        <v>Refrigeração Natural</v>
      </c>
      <c r="F111" s="538" t="str">
        <f>Language!C126</f>
        <v>Fora da Rede</v>
      </c>
      <c r="G111" s="22" t="str">
        <f>Language!C142</f>
        <v>Outro</v>
      </c>
      <c r="H111" t="s">
        <v>4108</v>
      </c>
      <c r="I111" t="s">
        <v>4406</v>
      </c>
      <c r="J111" t="s">
        <v>4854</v>
      </c>
      <c r="K111" t="s">
        <v>2864</v>
      </c>
      <c r="X111" s="321"/>
      <c r="Y111" s="321"/>
      <c r="Z111" s="321"/>
      <c r="AA111" s="321"/>
      <c r="AB111" s="321"/>
      <c r="AC111" s="321"/>
      <c r="AD111" s="321"/>
      <c r="AE111" s="321"/>
    </row>
    <row r="112" spans="1:31" ht="12.75" hidden="1" customHeight="1">
      <c r="B112" s="22" t="str">
        <f>Language!C89</f>
        <v>Produção de calor e frio</v>
      </c>
      <c r="C112" s="538" t="str">
        <f>G111</f>
        <v>Outro</v>
      </c>
      <c r="D112" s="22" t="str">
        <f>Language!C138</f>
        <v>Célula combustível</v>
      </c>
      <c r="E112" s="539"/>
      <c r="F112" s="22"/>
      <c r="G112" s="22"/>
      <c r="H112" t="s">
        <v>4329</v>
      </c>
      <c r="I112" s="257" t="s">
        <v>3565</v>
      </c>
      <c r="J112" t="s">
        <v>515</v>
      </c>
      <c r="K112" t="s">
        <v>5067</v>
      </c>
      <c r="X112" s="321"/>
      <c r="Y112" s="321"/>
      <c r="Z112" s="321"/>
      <c r="AA112" s="321"/>
      <c r="AB112" s="321"/>
      <c r="AC112" s="321"/>
      <c r="AD112" s="321"/>
      <c r="AE112" s="321"/>
    </row>
    <row r="113" spans="2:31" ht="12.75" hidden="1" customHeight="1">
      <c r="B113" s="22" t="str">
        <f>Language!C90</f>
        <v>Produção de frio, calor e eletricidade</v>
      </c>
      <c r="C113" s="539" t="str">
        <f>Language!C1979</f>
        <v>Aquecedor de ar solar</v>
      </c>
      <c r="D113" s="22" t="str">
        <f>Language!C139</f>
        <v>Turbina eólica</v>
      </c>
      <c r="H113" t="s">
        <v>4477</v>
      </c>
      <c r="I113" t="s">
        <v>4030</v>
      </c>
      <c r="J113" t="s">
        <v>1593</v>
      </c>
      <c r="K113" t="s">
        <v>4051</v>
      </c>
      <c r="X113" s="321"/>
      <c r="Y113" s="321"/>
      <c r="Z113" s="321"/>
      <c r="AA113" s="321"/>
      <c r="AB113" s="321"/>
      <c r="AC113" s="321"/>
      <c r="AD113" s="321"/>
      <c r="AE113" s="321"/>
    </row>
    <row r="114" spans="2:31" ht="12.75" hidden="1" customHeight="1">
      <c r="B114" s="22" t="str">
        <f>Language!C234</f>
        <v>Ações de Eficiência energética</v>
      </c>
      <c r="C114" s="539" t="str">
        <f>Language!C1992</f>
        <v>Aquecedor solar de água</v>
      </c>
      <c r="D114" s="22" t="str">
        <f>Language!C140</f>
        <v>Turbina hidráulica</v>
      </c>
      <c r="F114" s="3" t="s">
        <v>5569</v>
      </c>
      <c r="H114" t="s">
        <v>5068</v>
      </c>
      <c r="I114" s="257" t="s">
        <v>3566</v>
      </c>
      <c r="J114" t="s">
        <v>5832</v>
      </c>
      <c r="K114" t="s">
        <v>1941</v>
      </c>
      <c r="X114" s="321"/>
      <c r="Y114" s="321"/>
      <c r="Z114" s="321"/>
      <c r="AA114" s="321"/>
      <c r="AB114" s="321"/>
      <c r="AC114" s="321"/>
      <c r="AD114" s="321"/>
      <c r="AE114" s="321"/>
    </row>
    <row r="115" spans="2:31" ht="12.75" hidden="1" customHeight="1">
      <c r="B115" s="22" t="str">
        <f>Lang_Currency</f>
        <v>Definido pelo usuário</v>
      </c>
      <c r="C115" s="539"/>
      <c r="D115" s="22" t="str">
        <f>Language!C141</f>
        <v>Fotovoltaica</v>
      </c>
      <c r="F115" s="3" t="s">
        <v>5568</v>
      </c>
      <c r="H115" t="s">
        <v>1942</v>
      </c>
      <c r="I115" s="257" t="s">
        <v>470</v>
      </c>
      <c r="J115" t="s">
        <v>4813</v>
      </c>
      <c r="K115" t="s">
        <v>4111</v>
      </c>
      <c r="X115" s="321"/>
      <c r="Y115" s="321"/>
      <c r="Z115" s="321"/>
      <c r="AA115" s="321"/>
      <c r="AB115" s="321"/>
      <c r="AC115" s="321"/>
      <c r="AD115" s="321"/>
      <c r="AE115" s="321"/>
    </row>
    <row r="116" spans="2:31" ht="12.75" hidden="1" customHeight="1">
      <c r="B116" s="22" t="str">
        <f>Language!C1899</f>
        <v>Produção de eletricidade - tecnologias múltiplas</v>
      </c>
      <c r="D116" s="22" t="str">
        <f>G111</f>
        <v>Outro</v>
      </c>
      <c r="F116" s="3" t="s">
        <v>5568</v>
      </c>
      <c r="H116" t="s">
        <v>1089</v>
      </c>
      <c r="I116" t="s">
        <v>3626</v>
      </c>
      <c r="J116" t="s">
        <v>639</v>
      </c>
      <c r="K116" t="s">
        <v>4293</v>
      </c>
      <c r="X116" s="321"/>
      <c r="Y116" s="321"/>
      <c r="Z116" s="321"/>
      <c r="AA116" s="321"/>
      <c r="AB116" s="321"/>
      <c r="AC116" s="321"/>
      <c r="AD116" s="321"/>
      <c r="AE116" s="321"/>
    </row>
    <row r="117" spans="2:31" ht="12.75" hidden="1" customHeight="1">
      <c r="D117" s="538" t="str">
        <f>Language!C1848</f>
        <v>Energia das correntes oceânicas</v>
      </c>
      <c r="F117" s="3" t="s">
        <v>5568</v>
      </c>
      <c r="H117" t="s">
        <v>1090</v>
      </c>
      <c r="I117" t="s">
        <v>3624</v>
      </c>
      <c r="J117" s="328" t="s">
        <v>2450</v>
      </c>
      <c r="K117" t="s">
        <v>5114</v>
      </c>
      <c r="X117" s="321"/>
      <c r="Y117" s="321"/>
      <c r="Z117" s="321"/>
      <c r="AA117" s="321"/>
      <c r="AB117" s="321"/>
      <c r="AC117" s="321"/>
      <c r="AD117" s="321"/>
      <c r="AE117" s="321"/>
    </row>
    <row r="118" spans="2:31" ht="12.75" hidden="1" customHeight="1">
      <c r="D118" s="538" t="str">
        <f>Language!C2024</f>
        <v>Energia das marés</v>
      </c>
      <c r="F118" s="3" t="s">
        <v>5568</v>
      </c>
      <c r="H118" t="s">
        <v>3621</v>
      </c>
      <c r="I118" t="s">
        <v>3625</v>
      </c>
      <c r="J118" s="328" t="s">
        <v>4750</v>
      </c>
      <c r="K118" t="s">
        <v>194</v>
      </c>
      <c r="X118" s="321"/>
      <c r="Y118" s="321"/>
      <c r="Z118" s="321"/>
      <c r="AA118" s="321"/>
      <c r="AB118" s="321"/>
      <c r="AC118" s="321"/>
      <c r="AD118" s="321"/>
      <c r="AE118" s="321"/>
    </row>
    <row r="119" spans="2:31" ht="12.75" hidden="1" customHeight="1">
      <c r="D119" s="538" t="str">
        <f>Language!C2076</f>
        <v>Energia da onda</v>
      </c>
      <c r="F119" s="3" t="s">
        <v>740</v>
      </c>
      <c r="X119" s="321"/>
      <c r="Y119" s="321"/>
      <c r="Z119" s="321"/>
      <c r="AA119" s="321"/>
      <c r="AB119" s="321"/>
      <c r="AC119" s="321"/>
      <c r="AD119" s="321"/>
      <c r="AE119" s="321"/>
    </row>
    <row r="120" spans="2:31" ht="12.75" hidden="1" customHeight="1">
      <c r="D120" s="538" t="str">
        <f>Language!C1991</f>
        <v>Energia solar térmica</v>
      </c>
      <c r="F120" s="3" t="s">
        <v>741</v>
      </c>
      <c r="X120" s="321"/>
      <c r="Y120" s="321"/>
      <c r="Z120" s="321"/>
      <c r="AA120" s="321"/>
      <c r="AB120" s="321"/>
      <c r="AC120" s="321"/>
      <c r="AD120" s="321"/>
      <c r="AE120" s="321"/>
    </row>
    <row r="121" spans="2:31" ht="12.75" hidden="1" customHeight="1">
      <c r="D121" s="539"/>
      <c r="F121" s="3" t="s">
        <v>743</v>
      </c>
      <c r="X121" s="321"/>
      <c r="Y121" s="321"/>
      <c r="Z121" s="321"/>
      <c r="AA121" s="321"/>
      <c r="AB121" s="321"/>
      <c r="AC121" s="321"/>
      <c r="AD121" s="321"/>
      <c r="AE121" s="321"/>
    </row>
    <row r="122" spans="2:31" ht="12.75" hidden="1" customHeight="1" thickBot="1">
      <c r="F122" s="3" t="s">
        <v>5568</v>
      </c>
      <c r="X122" s="321"/>
      <c r="Y122" s="321"/>
      <c r="Z122" s="321"/>
      <c r="AA122" s="321"/>
      <c r="AB122" s="321"/>
      <c r="AC122" s="321"/>
      <c r="AD122" s="321"/>
      <c r="AE122" s="321"/>
    </row>
    <row r="123" spans="2:31" ht="12.75" hidden="1" customHeight="1" thickBot="1">
      <c r="B123" s="1149" t="s">
        <v>5133</v>
      </c>
      <c r="C123" s="1150"/>
      <c r="F123" s="3" t="s">
        <v>742</v>
      </c>
      <c r="X123" s="321"/>
      <c r="Y123" s="321"/>
      <c r="Z123" s="321"/>
      <c r="AA123" s="321"/>
      <c r="AB123" s="321"/>
      <c r="AC123" s="321"/>
      <c r="AD123" s="321"/>
      <c r="AE123" s="321"/>
    </row>
    <row r="124" spans="2:31" ht="12.75" hidden="1" customHeight="1">
      <c r="B124" s="532" t="s">
        <v>3668</v>
      </c>
      <c r="C124" s="533" t="s">
        <v>4298</v>
      </c>
      <c r="F124" s="3" t="s">
        <v>742</v>
      </c>
      <c r="X124" s="321"/>
      <c r="Y124" s="321"/>
      <c r="Z124" s="321"/>
      <c r="AA124" s="321"/>
      <c r="AB124" s="321"/>
      <c r="AC124" s="321"/>
      <c r="AD124" s="321"/>
      <c r="AE124" s="321"/>
    </row>
    <row r="125" spans="2:31" ht="12.75" hidden="1" customHeight="1" thickBot="1">
      <c r="B125" s="534" t="s">
        <v>920</v>
      </c>
      <c r="C125" s="535" t="s">
        <v>4298</v>
      </c>
      <c r="F125" s="3" t="s">
        <v>5569</v>
      </c>
      <c r="X125" s="321"/>
      <c r="Y125" s="321"/>
      <c r="Z125" s="321"/>
      <c r="AA125" s="321"/>
      <c r="AB125" s="321"/>
      <c r="AC125" s="321"/>
      <c r="AD125" s="321"/>
      <c r="AE125" s="321"/>
    </row>
    <row r="126" spans="2:31" ht="12.75" hidden="1" customHeight="1">
      <c r="X126" s="321"/>
      <c r="Y126" s="321"/>
      <c r="Z126" s="321"/>
      <c r="AA126" s="321"/>
      <c r="AB126" s="321"/>
      <c r="AC126" s="321"/>
      <c r="AD126" s="321"/>
      <c r="AE126" s="321"/>
    </row>
    <row r="127" spans="2:31" ht="12.75" hidden="1" customHeight="1">
      <c r="B127" t="str">
        <f>Language!C80</f>
        <v>Unidades métricas</v>
      </c>
      <c r="C127" t="str">
        <f>Language!C82</f>
        <v>Poder calorífico superior (PCS)</v>
      </c>
      <c r="E127" t="str">
        <f>Language!C1811</f>
        <v xml:space="preserve">Método 1 </v>
      </c>
      <c r="X127" s="321"/>
      <c r="Y127" s="321"/>
      <c r="Z127" s="321"/>
      <c r="AA127" s="321"/>
      <c r="AB127" s="321"/>
      <c r="AC127" s="321"/>
      <c r="AD127" s="321"/>
      <c r="AE127" s="321"/>
    </row>
    <row r="128" spans="2:31" ht="12.75" hidden="1" customHeight="1" thickBot="1">
      <c r="B128" t="str">
        <f>Language!C81</f>
        <v>Unidades Inglesas</v>
      </c>
      <c r="C128" t="str">
        <f>Language!C83</f>
        <v>Poder Calorífico Inferior (PCI)</v>
      </c>
      <c r="E128" t="str">
        <f>Language!C1812</f>
        <v xml:space="preserve">Método 2 </v>
      </c>
      <c r="X128" s="321"/>
      <c r="Y128" s="321"/>
      <c r="Z128" s="321"/>
      <c r="AA128" s="321"/>
      <c r="AB128" s="321"/>
      <c r="AC128" s="321"/>
      <c r="AD128" s="321"/>
      <c r="AE128" s="321"/>
    </row>
    <row r="129" spans="2:31" ht="12.75" hidden="1" customHeight="1" thickBot="1">
      <c r="B129" s="529" t="s">
        <v>1536</v>
      </c>
      <c r="C129" s="529" t="s">
        <v>3991</v>
      </c>
      <c r="D129" s="529" t="s">
        <v>3992</v>
      </c>
      <c r="E129" s="536" t="s">
        <v>651</v>
      </c>
      <c r="F129" s="536" t="s">
        <v>4585</v>
      </c>
      <c r="X129" s="321"/>
      <c r="Y129" s="321"/>
      <c r="Z129" s="321"/>
      <c r="AA129" s="321"/>
      <c r="AB129" s="321"/>
      <c r="AC129" s="321"/>
      <c r="AD129" s="321"/>
      <c r="AE129" s="321"/>
    </row>
    <row r="130" spans="2:31" ht="12.75" hidden="1" customHeight="1">
      <c r="B130" t="str">
        <f>B114</f>
        <v>Ações de Eficiência energética</v>
      </c>
      <c r="C130" t="s">
        <v>7740</v>
      </c>
      <c r="D130" t="s">
        <v>6149</v>
      </c>
      <c r="E130" t="s">
        <v>6139</v>
      </c>
      <c r="H130" s="146"/>
      <c r="I130" s="146"/>
      <c r="X130" s="321"/>
      <c r="Y130" s="321"/>
      <c r="Z130" s="321"/>
      <c r="AA130" s="321"/>
      <c r="AB130" s="321"/>
      <c r="AC130" s="321"/>
      <c r="AD130" s="321"/>
      <c r="AE130" s="321"/>
    </row>
    <row r="131" spans="2:31" ht="12.75" hidden="1" customHeight="1">
      <c r="B131" t="str">
        <f>B108</f>
        <v>Produção de eletricidade</v>
      </c>
      <c r="C131" t="s">
        <v>7753</v>
      </c>
      <c r="D131" t="s">
        <v>7824</v>
      </c>
      <c r="E131" t="s">
        <v>6412</v>
      </c>
      <c r="H131" s="146"/>
      <c r="I131" s="146"/>
      <c r="X131" s="321"/>
      <c r="Y131" s="321"/>
      <c r="Z131" s="321"/>
      <c r="AA131" s="321"/>
      <c r="AB131" s="321"/>
      <c r="AC131" s="321"/>
      <c r="AD131" s="321"/>
      <c r="AE131" s="321"/>
    </row>
    <row r="132" spans="2:31" ht="12.75" hidden="1" customHeight="1">
      <c r="B132" t="str">
        <f>B116</f>
        <v>Produção de eletricidade - tecnologias múltiplas</v>
      </c>
      <c r="C132" t="s">
        <v>6411</v>
      </c>
      <c r="D132" t="s">
        <v>7616</v>
      </c>
      <c r="E132" t="s">
        <v>147</v>
      </c>
      <c r="I132" s="146"/>
      <c r="X132" s="321"/>
      <c r="Y132" s="321"/>
      <c r="Z132" s="321"/>
      <c r="AA132" s="321"/>
      <c r="AB132" s="321"/>
      <c r="AC132" s="321"/>
      <c r="AD132" s="321"/>
      <c r="AE132" s="321"/>
    </row>
    <row r="133" spans="2:31" ht="12.75" hidden="1" customHeight="1">
      <c r="B133" t="str">
        <f>B107</f>
        <v>Produção de calor</v>
      </c>
      <c r="C133" t="s">
        <v>6412</v>
      </c>
      <c r="D133" t="s">
        <v>7785</v>
      </c>
      <c r="E133" t="s">
        <v>6140</v>
      </c>
      <c r="H133" s="146"/>
      <c r="I133" s="146"/>
      <c r="X133" s="321"/>
      <c r="Y133" s="321"/>
      <c r="Z133" s="321"/>
      <c r="AA133" s="321"/>
      <c r="AB133" s="321"/>
      <c r="AC133" s="321"/>
      <c r="AD133" s="321"/>
      <c r="AE133" s="321"/>
    </row>
    <row r="134" spans="2:31" ht="12.75" hidden="1" customHeight="1">
      <c r="B134" t="str">
        <f>B109</f>
        <v>Produção de frio</v>
      </c>
      <c r="C134" t="s">
        <v>6408</v>
      </c>
      <c r="D134" t="s">
        <v>6148</v>
      </c>
      <c r="E134" t="s">
        <v>7153</v>
      </c>
      <c r="H134" s="146"/>
      <c r="I134" s="146"/>
      <c r="X134" s="321"/>
      <c r="Y134" s="321"/>
      <c r="Z134" s="321"/>
      <c r="AA134" s="321"/>
      <c r="AB134" s="321"/>
      <c r="AC134" s="321"/>
      <c r="AD134" s="321"/>
      <c r="AE134" s="321"/>
    </row>
    <row r="135" spans="2:31" ht="12.75" hidden="1" customHeight="1">
      <c r="B135" t="str">
        <f>B110</f>
        <v>Produção de calor e eletricidade</v>
      </c>
      <c r="C135" t="s">
        <v>6410</v>
      </c>
      <c r="D135" t="s">
        <v>7752</v>
      </c>
      <c r="F135" s="530"/>
      <c r="H135" s="146"/>
      <c r="I135" s="146"/>
      <c r="X135" s="321"/>
      <c r="Y135" s="321"/>
      <c r="Z135" s="321"/>
      <c r="AA135" s="321"/>
      <c r="AB135" s="321"/>
      <c r="AC135" s="321"/>
      <c r="AD135" s="321"/>
      <c r="AE135" s="321"/>
    </row>
    <row r="136" spans="2:31" ht="12.75" hidden="1" customHeight="1">
      <c r="B136" t="str">
        <f>B111</f>
        <v>Produção de frio e eletricidade</v>
      </c>
      <c r="C136" t="s">
        <v>6153</v>
      </c>
      <c r="D136" t="s">
        <v>6152</v>
      </c>
      <c r="E136" s="530"/>
      <c r="F136" s="530"/>
      <c r="I136" s="146"/>
      <c r="X136" s="321"/>
      <c r="Y136" s="321"/>
      <c r="Z136" s="321"/>
      <c r="AA136" s="321"/>
      <c r="AB136" s="321"/>
      <c r="AC136" s="321"/>
      <c r="AD136" s="321"/>
      <c r="AE136" s="321"/>
    </row>
    <row r="137" spans="2:31" ht="12.75" hidden="1" customHeight="1">
      <c r="B137" t="str">
        <f>B112</f>
        <v>Produção de calor e frio</v>
      </c>
      <c r="C137" t="s">
        <v>6409</v>
      </c>
      <c r="D137" t="s">
        <v>6144</v>
      </c>
      <c r="E137" s="530"/>
      <c r="F137" s="530"/>
      <c r="I137" s="146"/>
      <c r="X137" s="321"/>
      <c r="Y137" s="321"/>
      <c r="Z137" s="321"/>
      <c r="AA137" s="321"/>
      <c r="AB137" s="321"/>
      <c r="AC137" s="321"/>
      <c r="AD137" s="321"/>
      <c r="AE137" s="321"/>
    </row>
    <row r="138" spans="2:31" ht="12.75" hidden="1" customHeight="1">
      <c r="B138" t="str">
        <f>B113</f>
        <v>Produção de frio, calor e eletricidade</v>
      </c>
      <c r="D138" t="s">
        <v>6153</v>
      </c>
      <c r="E138" s="530"/>
      <c r="F138" s="530"/>
      <c r="X138" s="321"/>
      <c r="Y138" s="321"/>
      <c r="Z138" s="321"/>
      <c r="AA138" s="321"/>
      <c r="AB138" s="321"/>
      <c r="AC138" s="321"/>
      <c r="AD138" s="321"/>
      <c r="AE138" s="321"/>
    </row>
    <row r="139" spans="2:31" ht="12.75" hidden="1" customHeight="1">
      <c r="B139" t="str">
        <f>B115</f>
        <v>Definido pelo usuário</v>
      </c>
      <c r="C139" s="530"/>
      <c r="D139" t="s">
        <v>6145</v>
      </c>
      <c r="E139" s="530"/>
      <c r="F139" s="530"/>
      <c r="H139">
        <v>0</v>
      </c>
      <c r="X139" s="321"/>
      <c r="Y139" s="321"/>
      <c r="Z139" s="321"/>
      <c r="AA139" s="321"/>
      <c r="AB139" s="321"/>
      <c r="AC139" s="321"/>
      <c r="AD139" s="321"/>
      <c r="AE139" s="321"/>
    </row>
    <row r="140" spans="2:31" ht="12.75" hidden="1" customHeight="1">
      <c r="B140" s="530"/>
      <c r="C140" s="530"/>
      <c r="D140" t="s">
        <v>6146</v>
      </c>
      <c r="E140" s="530"/>
      <c r="F140" s="530"/>
      <c r="X140" s="321"/>
      <c r="Y140" s="321"/>
      <c r="Z140" s="321"/>
      <c r="AA140" s="321"/>
      <c r="AB140" s="321"/>
      <c r="AC140" s="321"/>
      <c r="AD140" s="321"/>
      <c r="AE140" s="321"/>
    </row>
    <row r="141" spans="2:31" ht="12.75" hidden="1" customHeight="1">
      <c r="B141" s="530"/>
      <c r="C141" s="530"/>
      <c r="D141" t="s">
        <v>6147</v>
      </c>
      <c r="E141" s="530"/>
      <c r="F141" s="530"/>
      <c r="H141" s="146"/>
      <c r="X141" s="321"/>
      <c r="Y141" s="321"/>
      <c r="Z141" s="321"/>
      <c r="AA141" s="321"/>
      <c r="AB141" s="321"/>
      <c r="AC141" s="321"/>
      <c r="AD141" s="321"/>
      <c r="AE141" s="321"/>
    </row>
    <row r="142" spans="2:31" ht="12.75" hidden="1" customHeight="1">
      <c r="B142" s="530"/>
      <c r="C142" s="530"/>
      <c r="D142" t="s">
        <v>6150</v>
      </c>
      <c r="E142" s="530"/>
      <c r="F142" s="530"/>
      <c r="H142" s="146"/>
      <c r="X142" s="321"/>
      <c r="Y142" s="321"/>
      <c r="Z142" s="321"/>
      <c r="AA142" s="321"/>
      <c r="AB142" s="321"/>
      <c r="AC142" s="321"/>
      <c r="AD142" s="321"/>
      <c r="AE142" s="321"/>
    </row>
    <row r="143" spans="2:31" ht="12.75" hidden="1" customHeight="1">
      <c r="B143" s="530"/>
      <c r="C143" s="530"/>
      <c r="D143" t="s">
        <v>6151</v>
      </c>
      <c r="E143" s="530"/>
      <c r="F143" s="530"/>
      <c r="N143" t="e">
        <f>MATCH(B149,$B$107:$B$115,0)*10000</f>
        <v>#N/A</v>
      </c>
      <c r="X143" s="321"/>
      <c r="Y143" s="321"/>
      <c r="Z143" s="321"/>
      <c r="AA143" s="321"/>
      <c r="AB143" s="321"/>
      <c r="AC143" s="321"/>
      <c r="AD143" s="321"/>
      <c r="AE143" s="321"/>
    </row>
    <row r="144" spans="2:31" ht="12.75" hidden="1" customHeight="1">
      <c r="B144" s="530"/>
      <c r="C144" s="530"/>
      <c r="E144" s="530"/>
      <c r="F144" s="530"/>
      <c r="X144" s="321"/>
      <c r="Y144" s="321"/>
      <c r="Z144" s="321"/>
      <c r="AA144" s="321"/>
      <c r="AB144" s="321"/>
      <c r="AC144" s="321"/>
      <c r="AD144" s="321"/>
      <c r="AE144" s="321"/>
    </row>
    <row r="145" spans="2:31" ht="12.75" hidden="1" customHeight="1">
      <c r="B145" s="530"/>
      <c r="C145" s="530"/>
      <c r="D145" s="530"/>
      <c r="E145" s="530"/>
      <c r="F145" s="530"/>
      <c r="X145" s="321"/>
      <c r="Y145" s="321"/>
      <c r="Z145" s="321"/>
      <c r="AA145" s="321"/>
      <c r="AB145" s="321"/>
      <c r="AC145" s="321"/>
      <c r="AD145" s="321"/>
      <c r="AE145" s="321"/>
    </row>
    <row r="146" spans="2:31" ht="12.75" hidden="1" customHeight="1" thickBot="1">
      <c r="B146" s="531"/>
      <c r="C146" s="531"/>
      <c r="D146" s="531"/>
      <c r="E146" s="531"/>
      <c r="F146" s="531"/>
      <c r="H146" t="s">
        <v>3682</v>
      </c>
      <c r="X146" s="321"/>
      <c r="Y146" s="321"/>
      <c r="Z146" s="321"/>
      <c r="AA146" s="321"/>
      <c r="AB146" s="321"/>
      <c r="AC146" s="321"/>
      <c r="AD146" s="321"/>
      <c r="AE146" s="321"/>
    </row>
    <row r="147" spans="2:31" ht="12.75" hidden="1" customHeight="1">
      <c r="H147">
        <v>1</v>
      </c>
      <c r="X147" s="321"/>
      <c r="Y147" s="321"/>
      <c r="Z147" s="321"/>
      <c r="AA147" s="321"/>
      <c r="AB147" s="321"/>
      <c r="AC147" s="321"/>
      <c r="AD147" s="321"/>
      <c r="AE147" s="321"/>
    </row>
    <row r="148" spans="2:31" ht="12.75" hidden="1" customHeight="1">
      <c r="B148" t="s">
        <v>3632</v>
      </c>
      <c r="C148" t="s">
        <v>2507</v>
      </c>
      <c r="E148" t="s">
        <v>2755</v>
      </c>
      <c r="F148" t="s">
        <v>2491</v>
      </c>
      <c r="G148" t="s">
        <v>2492</v>
      </c>
      <c r="H148" t="s">
        <v>2493</v>
      </c>
      <c r="I148" t="s">
        <v>317</v>
      </c>
      <c r="J148" t="s">
        <v>318</v>
      </c>
      <c r="K148" t="s">
        <v>5320</v>
      </c>
      <c r="L148" t="s">
        <v>5321</v>
      </c>
      <c r="N148" s="691" t="s">
        <v>5616</v>
      </c>
      <c r="O148" t="s">
        <v>3054</v>
      </c>
      <c r="P148" s="691" t="s">
        <v>5617</v>
      </c>
      <c r="Q148" t="s">
        <v>5063</v>
      </c>
      <c r="R148" t="s">
        <v>5769</v>
      </c>
      <c r="S148" s="53" t="s">
        <v>719</v>
      </c>
      <c r="X148" s="321"/>
      <c r="Y148" s="321"/>
      <c r="Z148" s="321"/>
      <c r="AA148" s="321"/>
      <c r="AB148" s="321"/>
      <c r="AC148" s="321"/>
      <c r="AD148" s="321"/>
      <c r="AE148" s="321"/>
    </row>
    <row r="149" spans="2:31" ht="12.75" hidden="1" customHeight="1">
      <c r="B149" t="s">
        <v>5996</v>
      </c>
      <c r="C149" t="s">
        <v>2592</v>
      </c>
      <c r="E149" t="s">
        <v>969</v>
      </c>
      <c r="F149">
        <v>1</v>
      </c>
      <c r="G149">
        <v>1</v>
      </c>
      <c r="H149">
        <v>0</v>
      </c>
      <c r="I149">
        <v>1</v>
      </c>
      <c r="J149">
        <v>1</v>
      </c>
      <c r="K149">
        <v>1</v>
      </c>
      <c r="L149">
        <v>1</v>
      </c>
      <c r="N149" s="822">
        <v>10102</v>
      </c>
      <c r="O149" s="146"/>
      <c r="P149" s="822">
        <v>10100</v>
      </c>
      <c r="Q149" s="146">
        <v>1</v>
      </c>
      <c r="R149" s="146">
        <v>0</v>
      </c>
      <c r="X149" s="321"/>
      <c r="Y149" s="321"/>
      <c r="Z149" s="321"/>
      <c r="AA149" s="321"/>
      <c r="AB149" s="321"/>
      <c r="AC149" s="321"/>
      <c r="AD149" s="321"/>
      <c r="AE149" s="321"/>
    </row>
    <row r="150" spans="2:31" ht="12.75" hidden="1" customHeight="1">
      <c r="B150" t="s">
        <v>5996</v>
      </c>
      <c r="C150" t="s">
        <v>2476</v>
      </c>
      <c r="E150" t="s">
        <v>969</v>
      </c>
      <c r="F150">
        <v>1</v>
      </c>
      <c r="G150">
        <v>1</v>
      </c>
      <c r="H150">
        <v>0</v>
      </c>
      <c r="I150">
        <v>1</v>
      </c>
      <c r="J150">
        <v>1</v>
      </c>
      <c r="K150">
        <v>1</v>
      </c>
      <c r="L150">
        <v>1</v>
      </c>
      <c r="N150" s="822">
        <v>10202</v>
      </c>
      <c r="O150" s="146"/>
      <c r="P150" s="822">
        <v>10200</v>
      </c>
      <c r="Q150">
        <v>1</v>
      </c>
      <c r="R150">
        <v>0</v>
      </c>
      <c r="X150" s="321"/>
      <c r="Y150" s="321"/>
      <c r="Z150" s="321"/>
      <c r="AA150" s="321"/>
      <c r="AB150" s="321"/>
      <c r="AC150" s="321"/>
      <c r="AD150" s="321"/>
      <c r="AE150" s="321"/>
    </row>
    <row r="151" spans="2:31" ht="12.75" hidden="1" customHeight="1">
      <c r="B151" t="s">
        <v>5996</v>
      </c>
      <c r="C151" t="s">
        <v>2476</v>
      </c>
      <c r="E151" t="s">
        <v>4241</v>
      </c>
      <c r="F151">
        <v>0</v>
      </c>
      <c r="G151">
        <v>0</v>
      </c>
      <c r="H151">
        <v>1</v>
      </c>
      <c r="I151">
        <v>0</v>
      </c>
      <c r="J151">
        <v>0</v>
      </c>
      <c r="K151">
        <v>0</v>
      </c>
      <c r="L151">
        <v>0</v>
      </c>
      <c r="N151" s="822">
        <v>10201</v>
      </c>
      <c r="O151" s="146">
        <v>25</v>
      </c>
      <c r="P151" s="822">
        <v>10200</v>
      </c>
      <c r="Q151">
        <v>1</v>
      </c>
      <c r="R151">
        <v>1</v>
      </c>
      <c r="X151" s="321"/>
      <c r="Y151" s="321"/>
      <c r="Z151" s="321"/>
      <c r="AA151" s="321"/>
      <c r="AB151" s="321"/>
      <c r="AC151" s="321"/>
      <c r="AD151" s="321"/>
      <c r="AE151" s="321"/>
    </row>
    <row r="152" spans="2:31" ht="12.75" hidden="1" customHeight="1">
      <c r="B152" t="s">
        <v>5996</v>
      </c>
      <c r="C152" t="s">
        <v>2592</v>
      </c>
      <c r="E152" t="s">
        <v>4241</v>
      </c>
      <c r="F152">
        <v>0</v>
      </c>
      <c r="G152">
        <v>0</v>
      </c>
      <c r="H152">
        <v>1</v>
      </c>
      <c r="I152">
        <v>0</v>
      </c>
      <c r="J152">
        <v>0</v>
      </c>
      <c r="K152">
        <v>0</v>
      </c>
      <c r="L152">
        <v>0</v>
      </c>
      <c r="N152" s="822">
        <v>10101</v>
      </c>
      <c r="O152" s="146">
        <v>25</v>
      </c>
      <c r="P152" s="822">
        <v>10100</v>
      </c>
      <c r="Q152">
        <v>1</v>
      </c>
      <c r="R152">
        <v>1</v>
      </c>
      <c r="X152" s="321"/>
      <c r="Y152" s="321"/>
      <c r="Z152" s="321"/>
      <c r="AA152" s="321"/>
      <c r="AB152" s="321"/>
      <c r="AC152" s="321"/>
      <c r="AD152" s="321"/>
      <c r="AE152" s="321"/>
    </row>
    <row r="153" spans="2:31" ht="12.75" hidden="1" customHeight="1">
      <c r="B153" t="s">
        <v>5996</v>
      </c>
      <c r="C153" t="s">
        <v>2593</v>
      </c>
      <c r="E153" t="s">
        <v>4241</v>
      </c>
      <c r="F153">
        <v>0</v>
      </c>
      <c r="G153">
        <v>0</v>
      </c>
      <c r="H153">
        <v>1</v>
      </c>
      <c r="I153">
        <v>0</v>
      </c>
      <c r="J153">
        <v>0</v>
      </c>
      <c r="K153">
        <v>0</v>
      </c>
      <c r="L153">
        <v>0</v>
      </c>
      <c r="N153" s="822">
        <v>10301</v>
      </c>
      <c r="O153" s="146">
        <v>25</v>
      </c>
      <c r="P153" s="822">
        <v>10300</v>
      </c>
      <c r="Q153">
        <v>1</v>
      </c>
      <c r="R153">
        <v>1</v>
      </c>
      <c r="X153" s="321"/>
      <c r="Y153" s="321"/>
      <c r="Z153" s="321"/>
      <c r="AA153" s="321"/>
      <c r="AB153" s="321"/>
      <c r="AC153" s="321"/>
      <c r="AD153" s="321"/>
      <c r="AE153" s="321"/>
    </row>
    <row r="154" spans="2:31" ht="12.75" hidden="1" customHeight="1">
      <c r="B154" t="s">
        <v>5996</v>
      </c>
      <c r="C154" t="s">
        <v>2594</v>
      </c>
      <c r="E154" t="s">
        <v>4241</v>
      </c>
      <c r="F154">
        <v>0</v>
      </c>
      <c r="G154">
        <v>0</v>
      </c>
      <c r="H154">
        <v>1</v>
      </c>
      <c r="I154">
        <v>0</v>
      </c>
      <c r="J154">
        <v>0</v>
      </c>
      <c r="K154">
        <v>0</v>
      </c>
      <c r="L154">
        <v>0</v>
      </c>
      <c r="N154" s="822">
        <v>10401</v>
      </c>
      <c r="O154" s="146">
        <v>25</v>
      </c>
      <c r="P154" s="822">
        <v>10400</v>
      </c>
      <c r="Q154">
        <v>1</v>
      </c>
      <c r="R154">
        <v>1</v>
      </c>
      <c r="X154" s="321"/>
      <c r="Y154" s="321"/>
      <c r="Z154" s="321"/>
      <c r="AA154" s="321"/>
      <c r="AB154" s="321"/>
      <c r="AC154" s="321"/>
      <c r="AD154" s="321"/>
      <c r="AE154" s="321"/>
    </row>
    <row r="155" spans="2:31" ht="12.75" hidden="1" customHeight="1">
      <c r="B155" t="s">
        <v>5996</v>
      </c>
      <c r="C155" t="s">
        <v>2595</v>
      </c>
      <c r="E155" t="s">
        <v>4241</v>
      </c>
      <c r="F155">
        <v>0</v>
      </c>
      <c r="G155">
        <v>0</v>
      </c>
      <c r="H155">
        <v>1</v>
      </c>
      <c r="I155">
        <v>0</v>
      </c>
      <c r="J155">
        <v>0</v>
      </c>
      <c r="K155">
        <v>0</v>
      </c>
      <c r="L155">
        <v>0</v>
      </c>
      <c r="N155" s="822">
        <v>10501</v>
      </c>
      <c r="O155" s="146">
        <v>25</v>
      </c>
      <c r="P155" s="822">
        <v>10500</v>
      </c>
      <c r="Q155">
        <v>1</v>
      </c>
      <c r="R155">
        <v>1</v>
      </c>
      <c r="X155" s="321"/>
      <c r="Y155" s="321"/>
      <c r="Z155" s="321"/>
      <c r="AA155" s="321"/>
      <c r="AB155" s="321"/>
      <c r="AC155" s="321"/>
      <c r="AD155" s="321"/>
      <c r="AE155" s="321"/>
    </row>
    <row r="156" spans="2:31" ht="12.75" hidden="1" customHeight="1">
      <c r="B156" t="s">
        <v>5996</v>
      </c>
      <c r="C156" t="s">
        <v>2982</v>
      </c>
      <c r="E156" t="s">
        <v>4241</v>
      </c>
      <c r="F156">
        <v>0</v>
      </c>
      <c r="G156">
        <v>0</v>
      </c>
      <c r="H156">
        <v>1</v>
      </c>
      <c r="I156">
        <v>0</v>
      </c>
      <c r="J156">
        <v>0</v>
      </c>
      <c r="K156">
        <v>0</v>
      </c>
      <c r="L156">
        <v>0</v>
      </c>
      <c r="N156" s="822">
        <v>10601</v>
      </c>
      <c r="O156" s="146">
        <v>25</v>
      </c>
      <c r="P156" s="822">
        <v>10600</v>
      </c>
      <c r="Q156">
        <v>1</v>
      </c>
      <c r="R156">
        <v>1</v>
      </c>
      <c r="X156" s="321"/>
      <c r="Y156" s="321"/>
      <c r="Z156" s="321"/>
      <c r="AA156" s="321"/>
      <c r="AB156" s="321"/>
      <c r="AC156" s="321"/>
      <c r="AD156" s="321"/>
      <c r="AE156" s="321"/>
    </row>
    <row r="157" spans="2:31" ht="12.75" hidden="1" customHeight="1">
      <c r="B157" t="s">
        <v>5996</v>
      </c>
      <c r="C157" t="s">
        <v>2593</v>
      </c>
      <c r="E157" t="s">
        <v>969</v>
      </c>
      <c r="F157">
        <v>1</v>
      </c>
      <c r="G157">
        <v>1</v>
      </c>
      <c r="H157">
        <v>0</v>
      </c>
      <c r="I157">
        <v>1</v>
      </c>
      <c r="J157">
        <v>1</v>
      </c>
      <c r="K157">
        <v>1</v>
      </c>
      <c r="L157">
        <v>1</v>
      </c>
      <c r="N157" s="822">
        <v>10302</v>
      </c>
      <c r="O157" s="146"/>
      <c r="P157" s="822">
        <v>10300</v>
      </c>
      <c r="Q157">
        <v>1</v>
      </c>
      <c r="R157">
        <v>0</v>
      </c>
      <c r="X157" s="321"/>
      <c r="Y157" s="321"/>
      <c r="Z157" s="321"/>
      <c r="AA157" s="321"/>
      <c r="AB157" s="321"/>
      <c r="AC157" s="321"/>
      <c r="AD157" s="321"/>
      <c r="AE157" s="321"/>
    </row>
    <row r="158" spans="2:31" ht="12.75" hidden="1" customHeight="1">
      <c r="B158" t="s">
        <v>5996</v>
      </c>
      <c r="C158" t="s">
        <v>2594</v>
      </c>
      <c r="E158" t="s">
        <v>969</v>
      </c>
      <c r="F158">
        <v>1</v>
      </c>
      <c r="G158">
        <v>1</v>
      </c>
      <c r="H158">
        <v>0</v>
      </c>
      <c r="I158">
        <v>1</v>
      </c>
      <c r="J158">
        <v>1</v>
      </c>
      <c r="K158">
        <v>1</v>
      </c>
      <c r="L158">
        <v>1</v>
      </c>
      <c r="N158" s="822">
        <v>10402</v>
      </c>
      <c r="O158" s="146"/>
      <c r="P158" s="822">
        <v>10400</v>
      </c>
      <c r="Q158">
        <v>1</v>
      </c>
      <c r="R158">
        <v>0</v>
      </c>
      <c r="X158" s="321"/>
      <c r="Y158" s="321"/>
      <c r="Z158" s="321"/>
      <c r="AA158" s="321"/>
      <c r="AB158" s="321"/>
      <c r="AC158" s="321"/>
      <c r="AD158" s="321"/>
      <c r="AE158" s="321"/>
    </row>
    <row r="159" spans="2:31" ht="12.75" hidden="1" customHeight="1">
      <c r="B159" t="s">
        <v>5996</v>
      </c>
      <c r="C159" t="s">
        <v>2595</v>
      </c>
      <c r="E159" t="s">
        <v>969</v>
      </c>
      <c r="F159">
        <v>1</v>
      </c>
      <c r="G159">
        <v>1</v>
      </c>
      <c r="H159">
        <v>0</v>
      </c>
      <c r="I159">
        <v>1</v>
      </c>
      <c r="J159">
        <v>1</v>
      </c>
      <c r="K159">
        <v>1</v>
      </c>
      <c r="L159">
        <v>1</v>
      </c>
      <c r="N159" s="822">
        <v>10502</v>
      </c>
      <c r="O159" s="146"/>
      <c r="P159" s="822">
        <v>10500</v>
      </c>
      <c r="Q159">
        <v>1</v>
      </c>
      <c r="R159">
        <v>0</v>
      </c>
      <c r="X159" s="321"/>
      <c r="Y159" s="321"/>
      <c r="Z159" s="321"/>
      <c r="AA159" s="321"/>
      <c r="AB159" s="321"/>
      <c r="AC159" s="321"/>
      <c r="AD159" s="321"/>
      <c r="AE159" s="321"/>
    </row>
    <row r="160" spans="2:31" ht="12.75" hidden="1" customHeight="1">
      <c r="B160" t="s">
        <v>5996</v>
      </c>
      <c r="C160" t="s">
        <v>2982</v>
      </c>
      <c r="E160" t="s">
        <v>969</v>
      </c>
      <c r="F160">
        <v>1</v>
      </c>
      <c r="G160">
        <v>1</v>
      </c>
      <c r="H160">
        <v>0</v>
      </c>
      <c r="I160">
        <v>1</v>
      </c>
      <c r="J160">
        <v>1</v>
      </c>
      <c r="K160">
        <v>1</v>
      </c>
      <c r="L160">
        <v>1</v>
      </c>
      <c r="N160" s="822">
        <v>10602</v>
      </c>
      <c r="O160" s="146"/>
      <c r="P160" s="822">
        <v>10600</v>
      </c>
      <c r="Q160">
        <v>1</v>
      </c>
      <c r="R160">
        <v>0</v>
      </c>
      <c r="X160" s="321"/>
      <c r="Y160" s="321"/>
      <c r="Z160" s="321"/>
      <c r="AA160" s="321"/>
      <c r="AB160" s="321"/>
      <c r="AC160" s="321"/>
      <c r="AD160" s="321"/>
      <c r="AE160" s="321"/>
    </row>
    <row r="161" spans="2:31" ht="12.75" hidden="1" customHeight="1">
      <c r="B161" t="s">
        <v>5996</v>
      </c>
      <c r="C161" t="s">
        <v>4459</v>
      </c>
      <c r="E161" t="s">
        <v>969</v>
      </c>
      <c r="F161">
        <v>0</v>
      </c>
      <c r="G161">
        <v>0</v>
      </c>
      <c r="H161">
        <v>1</v>
      </c>
      <c r="I161">
        <v>1</v>
      </c>
      <c r="J161">
        <v>1</v>
      </c>
      <c r="K161">
        <v>1</v>
      </c>
      <c r="L161">
        <v>1</v>
      </c>
      <c r="N161" s="822">
        <v>10702</v>
      </c>
      <c r="O161" s="146">
        <v>14</v>
      </c>
      <c r="P161" s="822">
        <v>10700</v>
      </c>
      <c r="Q161">
        <v>1</v>
      </c>
      <c r="R161">
        <v>1</v>
      </c>
      <c r="X161" s="321"/>
      <c r="Y161" s="321"/>
      <c r="Z161" s="321"/>
      <c r="AA161" s="321"/>
      <c r="AB161" s="321"/>
      <c r="AC161" s="321"/>
      <c r="AD161" s="321"/>
      <c r="AE161" s="321"/>
    </row>
    <row r="162" spans="2:31" ht="12.75" hidden="1" customHeight="1">
      <c r="B162" t="s">
        <v>5996</v>
      </c>
      <c r="C162" t="s">
        <v>1258</v>
      </c>
      <c r="E162" t="s">
        <v>969</v>
      </c>
      <c r="F162">
        <v>0</v>
      </c>
      <c r="G162">
        <v>0</v>
      </c>
      <c r="H162">
        <v>1</v>
      </c>
      <c r="I162">
        <v>1</v>
      </c>
      <c r="J162">
        <v>1</v>
      </c>
      <c r="K162">
        <v>1</v>
      </c>
      <c r="L162">
        <v>1</v>
      </c>
      <c r="N162" s="822">
        <v>10802</v>
      </c>
      <c r="O162" s="146">
        <v>15</v>
      </c>
      <c r="P162" s="822">
        <v>10800</v>
      </c>
      <c r="Q162">
        <v>1</v>
      </c>
      <c r="R162">
        <v>1</v>
      </c>
      <c r="X162" s="321"/>
      <c r="Y162" s="321"/>
      <c r="Z162" s="321"/>
      <c r="AA162" s="321"/>
      <c r="AB162" s="321"/>
      <c r="AC162" s="321"/>
      <c r="AD162" s="321"/>
      <c r="AE162" s="321"/>
    </row>
    <row r="163" spans="2:31" ht="12.75" hidden="1" customHeight="1">
      <c r="B163" t="s">
        <v>5996</v>
      </c>
      <c r="C163" t="s">
        <v>4459</v>
      </c>
      <c r="E163" t="s">
        <v>4241</v>
      </c>
      <c r="F163">
        <v>0</v>
      </c>
      <c r="G163">
        <v>0</v>
      </c>
      <c r="H163">
        <v>1</v>
      </c>
      <c r="I163">
        <v>0</v>
      </c>
      <c r="J163">
        <v>0</v>
      </c>
      <c r="K163">
        <v>0</v>
      </c>
      <c r="L163">
        <v>0</v>
      </c>
      <c r="N163" s="822">
        <v>10701</v>
      </c>
      <c r="O163" s="146">
        <v>14</v>
      </c>
      <c r="P163" s="822">
        <v>10700</v>
      </c>
      <c r="Q163">
        <v>1</v>
      </c>
      <c r="R163">
        <v>1</v>
      </c>
      <c r="X163" s="321"/>
      <c r="Y163" s="321"/>
      <c r="Z163" s="321"/>
      <c r="AA163" s="321"/>
      <c r="AB163" s="321"/>
      <c r="AC163" s="321"/>
      <c r="AD163" s="321"/>
      <c r="AE163" s="321"/>
    </row>
    <row r="164" spans="2:31" ht="12.75" hidden="1" customHeight="1">
      <c r="B164" t="s">
        <v>5996</v>
      </c>
      <c r="C164" t="s">
        <v>1258</v>
      </c>
      <c r="E164" t="s">
        <v>4241</v>
      </c>
      <c r="F164">
        <v>0</v>
      </c>
      <c r="G164">
        <v>0</v>
      </c>
      <c r="H164">
        <v>1</v>
      </c>
      <c r="I164">
        <v>0</v>
      </c>
      <c r="J164">
        <v>0</v>
      </c>
      <c r="K164">
        <v>0</v>
      </c>
      <c r="L164">
        <v>0</v>
      </c>
      <c r="N164" s="822">
        <v>10801</v>
      </c>
      <c r="O164" s="146">
        <v>15</v>
      </c>
      <c r="P164" s="822">
        <v>10800</v>
      </c>
      <c r="Q164">
        <v>1</v>
      </c>
      <c r="R164">
        <v>1</v>
      </c>
      <c r="X164" s="321"/>
      <c r="Y164" s="321"/>
      <c r="Z164" s="321"/>
      <c r="AA164" s="321"/>
      <c r="AB164" s="321"/>
      <c r="AC164" s="321"/>
      <c r="AD164" s="321"/>
      <c r="AE164" s="321"/>
    </row>
    <row r="165" spans="2:31" ht="12.75" hidden="1" customHeight="1">
      <c r="B165" t="s">
        <v>5995</v>
      </c>
      <c r="C165" t="s">
        <v>1257</v>
      </c>
      <c r="D165" t="s">
        <v>5056</v>
      </c>
      <c r="E165" t="s">
        <v>969</v>
      </c>
      <c r="F165">
        <v>0</v>
      </c>
      <c r="G165">
        <v>1</v>
      </c>
      <c r="H165">
        <v>0</v>
      </c>
      <c r="I165">
        <v>1</v>
      </c>
      <c r="J165">
        <v>1</v>
      </c>
      <c r="K165">
        <v>1</v>
      </c>
      <c r="L165">
        <v>1</v>
      </c>
      <c r="N165" s="822">
        <v>20112</v>
      </c>
      <c r="O165" s="146"/>
      <c r="P165" s="822">
        <v>20110</v>
      </c>
      <c r="Q165">
        <v>1</v>
      </c>
      <c r="R165">
        <v>0</v>
      </c>
      <c r="X165" s="321"/>
      <c r="Y165" s="321"/>
      <c r="Z165" s="321"/>
      <c r="AA165" s="321"/>
      <c r="AB165" s="321"/>
      <c r="AC165" s="321"/>
      <c r="AD165" s="321"/>
      <c r="AE165" s="321"/>
    </row>
    <row r="166" spans="2:31" ht="12.75" hidden="1" customHeight="1">
      <c r="B166" t="s">
        <v>5995</v>
      </c>
      <c r="C166" t="s">
        <v>3321</v>
      </c>
      <c r="D166" t="s">
        <v>5056</v>
      </c>
      <c r="E166" t="s">
        <v>969</v>
      </c>
      <c r="F166">
        <v>0</v>
      </c>
      <c r="G166">
        <v>1</v>
      </c>
      <c r="H166">
        <v>0</v>
      </c>
      <c r="I166">
        <v>1</v>
      </c>
      <c r="J166">
        <v>1</v>
      </c>
      <c r="K166">
        <v>1</v>
      </c>
      <c r="L166">
        <v>1</v>
      </c>
      <c r="N166" s="822">
        <v>20212</v>
      </c>
      <c r="O166" s="146"/>
      <c r="P166" s="822">
        <v>20210</v>
      </c>
      <c r="Q166">
        <v>1</v>
      </c>
      <c r="R166">
        <v>0</v>
      </c>
      <c r="X166" s="321"/>
      <c r="Y166" s="321"/>
      <c r="Z166" s="321"/>
      <c r="AA166" s="321"/>
      <c r="AB166" s="321"/>
      <c r="AC166" s="321"/>
      <c r="AD166" s="321"/>
      <c r="AE166" s="321"/>
    </row>
    <row r="167" spans="2:31" ht="12.75" hidden="1" customHeight="1">
      <c r="B167" t="s">
        <v>5995</v>
      </c>
      <c r="C167" t="s">
        <v>1750</v>
      </c>
      <c r="D167" t="s">
        <v>5056</v>
      </c>
      <c r="E167" t="s">
        <v>969</v>
      </c>
      <c r="F167">
        <v>0</v>
      </c>
      <c r="G167">
        <v>1</v>
      </c>
      <c r="H167">
        <v>0</v>
      </c>
      <c r="I167">
        <v>1</v>
      </c>
      <c r="J167">
        <v>1</v>
      </c>
      <c r="K167">
        <v>1</v>
      </c>
      <c r="L167">
        <v>1</v>
      </c>
      <c r="N167" s="822">
        <v>20312</v>
      </c>
      <c r="O167" s="146"/>
      <c r="P167" s="822">
        <v>20310</v>
      </c>
      <c r="Q167">
        <v>1</v>
      </c>
      <c r="R167">
        <v>0</v>
      </c>
      <c r="X167" s="321"/>
      <c r="Y167" s="321"/>
      <c r="Z167" s="321"/>
      <c r="AA167" s="321"/>
      <c r="AB167" s="321"/>
      <c r="AC167" s="321"/>
      <c r="AD167" s="321"/>
      <c r="AE167" s="321"/>
    </row>
    <row r="168" spans="2:31" ht="12.75" hidden="1" customHeight="1">
      <c r="B168" t="s">
        <v>5995</v>
      </c>
      <c r="C168" t="s">
        <v>5275</v>
      </c>
      <c r="D168" t="s">
        <v>5056</v>
      </c>
      <c r="E168" t="s">
        <v>969</v>
      </c>
      <c r="F168">
        <v>0</v>
      </c>
      <c r="G168">
        <v>1</v>
      </c>
      <c r="H168">
        <v>0</v>
      </c>
      <c r="I168">
        <v>1</v>
      </c>
      <c r="J168">
        <v>1</v>
      </c>
      <c r="K168">
        <v>1</v>
      </c>
      <c r="L168">
        <v>1</v>
      </c>
      <c r="N168" s="822">
        <v>20412</v>
      </c>
      <c r="O168" s="146"/>
      <c r="P168" s="822">
        <v>20410</v>
      </c>
      <c r="Q168">
        <v>1</v>
      </c>
      <c r="R168">
        <v>0</v>
      </c>
      <c r="X168" s="321"/>
      <c r="Y168" s="321"/>
      <c r="Z168" s="321"/>
      <c r="AA168" s="321"/>
      <c r="AB168" s="321"/>
      <c r="AC168" s="321"/>
      <c r="AD168" s="321"/>
      <c r="AE168" s="321"/>
    </row>
    <row r="169" spans="2:31" ht="12.75" hidden="1" customHeight="1">
      <c r="B169" t="s">
        <v>5995</v>
      </c>
      <c r="C169" t="s">
        <v>5271</v>
      </c>
      <c r="D169" t="s">
        <v>5056</v>
      </c>
      <c r="E169" t="s">
        <v>969</v>
      </c>
      <c r="F169">
        <v>0</v>
      </c>
      <c r="G169">
        <v>1</v>
      </c>
      <c r="H169">
        <v>0</v>
      </c>
      <c r="I169">
        <v>1</v>
      </c>
      <c r="J169">
        <v>1</v>
      </c>
      <c r="K169">
        <v>1</v>
      </c>
      <c r="L169">
        <v>1</v>
      </c>
      <c r="N169" s="822">
        <v>20512</v>
      </c>
      <c r="O169" s="146"/>
      <c r="P169" s="822">
        <v>20510</v>
      </c>
      <c r="Q169">
        <v>1</v>
      </c>
      <c r="R169">
        <v>0</v>
      </c>
      <c r="X169" s="321"/>
      <c r="Y169" s="321"/>
      <c r="Z169" s="321"/>
      <c r="AA169" s="321"/>
      <c r="AB169" s="321"/>
      <c r="AC169" s="321"/>
      <c r="AD169" s="321"/>
      <c r="AE169" s="321"/>
    </row>
    <row r="170" spans="2:31" ht="12.75" hidden="1" customHeight="1">
      <c r="B170" t="s">
        <v>5995</v>
      </c>
      <c r="C170" t="s">
        <v>4747</v>
      </c>
      <c r="D170" t="s">
        <v>5056</v>
      </c>
      <c r="E170" t="s">
        <v>969</v>
      </c>
      <c r="F170">
        <v>0</v>
      </c>
      <c r="G170">
        <v>1</v>
      </c>
      <c r="H170">
        <v>0</v>
      </c>
      <c r="I170">
        <v>1</v>
      </c>
      <c r="J170">
        <v>1</v>
      </c>
      <c r="K170">
        <v>1</v>
      </c>
      <c r="L170">
        <v>1</v>
      </c>
      <c r="N170" s="822">
        <v>20612</v>
      </c>
      <c r="O170" s="146"/>
      <c r="P170" s="822">
        <v>20610</v>
      </c>
      <c r="Q170">
        <v>1</v>
      </c>
      <c r="R170">
        <v>0</v>
      </c>
      <c r="X170" s="321"/>
      <c r="Y170" s="321"/>
      <c r="Z170" s="321"/>
      <c r="AA170" s="321"/>
      <c r="AB170" s="321"/>
      <c r="AC170" s="321"/>
      <c r="AD170" s="321"/>
      <c r="AE170" s="321"/>
    </row>
    <row r="171" spans="2:31" ht="12.75" hidden="1" customHeight="1">
      <c r="B171" t="s">
        <v>5995</v>
      </c>
      <c r="C171" t="s">
        <v>2477</v>
      </c>
      <c r="D171" t="s">
        <v>5056</v>
      </c>
      <c r="E171" t="s">
        <v>969</v>
      </c>
      <c r="F171">
        <v>0</v>
      </c>
      <c r="G171">
        <v>1</v>
      </c>
      <c r="H171">
        <v>0</v>
      </c>
      <c r="I171">
        <v>1</v>
      </c>
      <c r="J171">
        <v>1</v>
      </c>
      <c r="K171">
        <v>1</v>
      </c>
      <c r="L171">
        <v>1</v>
      </c>
      <c r="N171" s="822">
        <v>20712</v>
      </c>
      <c r="P171" s="822">
        <v>20710</v>
      </c>
      <c r="Q171">
        <v>1</v>
      </c>
      <c r="R171">
        <v>0</v>
      </c>
      <c r="X171" s="321"/>
      <c r="Y171" s="321"/>
      <c r="Z171" s="321"/>
      <c r="AA171" s="321"/>
      <c r="AB171" s="321"/>
      <c r="AC171" s="321"/>
      <c r="AD171" s="321"/>
      <c r="AE171" s="321"/>
    </row>
    <row r="172" spans="2:31" ht="12.75" hidden="1" customHeight="1">
      <c r="B172" t="s">
        <v>5995</v>
      </c>
      <c r="C172" t="s">
        <v>4748</v>
      </c>
      <c r="D172" t="s">
        <v>5056</v>
      </c>
      <c r="E172" t="s">
        <v>969</v>
      </c>
      <c r="F172">
        <v>0</v>
      </c>
      <c r="G172">
        <v>1</v>
      </c>
      <c r="H172">
        <v>0</v>
      </c>
      <c r="I172">
        <v>1</v>
      </c>
      <c r="J172">
        <v>1</v>
      </c>
      <c r="K172">
        <v>1</v>
      </c>
      <c r="L172">
        <v>1</v>
      </c>
      <c r="N172" s="822">
        <v>20812</v>
      </c>
      <c r="P172" s="822">
        <v>20810</v>
      </c>
      <c r="Q172">
        <v>1</v>
      </c>
      <c r="R172">
        <v>0</v>
      </c>
      <c r="X172" s="321"/>
      <c r="Y172" s="321"/>
      <c r="Z172" s="321"/>
      <c r="AA172" s="321"/>
      <c r="AB172" s="321"/>
      <c r="AC172" s="321"/>
      <c r="AD172" s="321"/>
      <c r="AE172" s="321"/>
    </row>
    <row r="173" spans="2:31" ht="12.75" hidden="1" customHeight="1">
      <c r="B173" t="s">
        <v>5995</v>
      </c>
      <c r="C173" t="s">
        <v>2415</v>
      </c>
      <c r="D173" t="s">
        <v>5056</v>
      </c>
      <c r="E173" t="s">
        <v>969</v>
      </c>
      <c r="F173">
        <v>0</v>
      </c>
      <c r="G173">
        <v>1</v>
      </c>
      <c r="H173">
        <v>0</v>
      </c>
      <c r="I173">
        <v>1</v>
      </c>
      <c r="J173">
        <v>1</v>
      </c>
      <c r="K173">
        <v>1</v>
      </c>
      <c r="L173">
        <v>1</v>
      </c>
      <c r="N173" s="822">
        <v>20912</v>
      </c>
      <c r="P173" s="822">
        <v>20910</v>
      </c>
      <c r="Q173">
        <v>1</v>
      </c>
      <c r="R173">
        <v>0</v>
      </c>
      <c r="X173" s="321"/>
      <c r="Y173" s="321"/>
      <c r="Z173" s="321"/>
      <c r="AA173" s="321"/>
      <c r="AB173" s="321"/>
      <c r="AC173" s="321"/>
      <c r="AD173" s="321"/>
      <c r="AE173" s="321"/>
    </row>
    <row r="174" spans="2:31" ht="12.75" hidden="1" customHeight="1">
      <c r="B174" t="s">
        <v>5995</v>
      </c>
      <c r="C174" t="s">
        <v>2982</v>
      </c>
      <c r="D174" t="s">
        <v>5056</v>
      </c>
      <c r="E174" t="s">
        <v>969</v>
      </c>
      <c r="F174">
        <v>0</v>
      </c>
      <c r="G174">
        <v>1</v>
      </c>
      <c r="H174">
        <v>0</v>
      </c>
      <c r="I174">
        <v>1</v>
      </c>
      <c r="J174">
        <v>1</v>
      </c>
      <c r="K174">
        <v>1</v>
      </c>
      <c r="L174">
        <v>1</v>
      </c>
      <c r="N174" s="822">
        <v>21012</v>
      </c>
      <c r="P174" s="822">
        <v>21010</v>
      </c>
      <c r="Q174">
        <v>1</v>
      </c>
      <c r="R174">
        <v>0</v>
      </c>
      <c r="X174" s="321"/>
      <c r="Y174" s="321"/>
      <c r="Z174" s="321"/>
      <c r="AA174" s="321"/>
      <c r="AB174" s="321"/>
      <c r="AC174" s="321"/>
      <c r="AD174" s="321"/>
      <c r="AE174" s="321"/>
    </row>
    <row r="175" spans="2:31" ht="12.75" hidden="1" customHeight="1">
      <c r="B175" t="s">
        <v>5995</v>
      </c>
      <c r="C175" t="s">
        <v>1366</v>
      </c>
      <c r="D175" t="s">
        <v>5056</v>
      </c>
      <c r="E175" t="s">
        <v>969</v>
      </c>
      <c r="F175">
        <v>0</v>
      </c>
      <c r="G175">
        <v>1</v>
      </c>
      <c r="H175">
        <v>0</v>
      </c>
      <c r="I175">
        <v>1</v>
      </c>
      <c r="J175">
        <v>1</v>
      </c>
      <c r="K175">
        <v>1</v>
      </c>
      <c r="L175">
        <v>1</v>
      </c>
      <c r="N175" s="822">
        <v>21112</v>
      </c>
      <c r="P175" s="822">
        <v>21110</v>
      </c>
      <c r="Q175">
        <v>1</v>
      </c>
      <c r="R175">
        <v>0</v>
      </c>
      <c r="X175" s="321"/>
      <c r="Y175" s="321"/>
      <c r="Z175" s="321"/>
      <c r="AA175" s="321"/>
      <c r="AB175" s="321"/>
      <c r="AC175" s="321"/>
      <c r="AD175" s="321"/>
      <c r="AE175" s="321"/>
    </row>
    <row r="176" spans="2:31" ht="12.75" hidden="1" customHeight="1">
      <c r="B176" t="s">
        <v>5995</v>
      </c>
      <c r="C176" t="s">
        <v>4910</v>
      </c>
      <c r="D176" t="s">
        <v>5056</v>
      </c>
      <c r="E176" t="s">
        <v>969</v>
      </c>
      <c r="F176">
        <v>0</v>
      </c>
      <c r="G176">
        <v>1</v>
      </c>
      <c r="H176">
        <v>0</v>
      </c>
      <c r="I176">
        <v>1</v>
      </c>
      <c r="J176">
        <v>1</v>
      </c>
      <c r="K176">
        <v>1</v>
      </c>
      <c r="L176">
        <v>1</v>
      </c>
      <c r="N176" s="822">
        <v>21212</v>
      </c>
      <c r="P176" s="822">
        <v>21210</v>
      </c>
      <c r="Q176">
        <v>1</v>
      </c>
      <c r="R176">
        <v>0</v>
      </c>
      <c r="X176" s="321"/>
      <c r="Y176" s="321"/>
      <c r="Z176" s="321"/>
      <c r="AA176" s="321"/>
      <c r="AB176" s="321"/>
      <c r="AC176" s="321"/>
      <c r="AD176" s="321"/>
      <c r="AE176" s="321"/>
    </row>
    <row r="177" spans="2:31" ht="12.75" hidden="1" customHeight="1">
      <c r="B177" t="s">
        <v>5995</v>
      </c>
      <c r="C177" t="s">
        <v>5479</v>
      </c>
      <c r="D177" t="s">
        <v>5056</v>
      </c>
      <c r="E177" t="s">
        <v>969</v>
      </c>
      <c r="F177">
        <v>0</v>
      </c>
      <c r="G177">
        <v>1</v>
      </c>
      <c r="H177">
        <v>0</v>
      </c>
      <c r="I177">
        <v>1</v>
      </c>
      <c r="J177">
        <v>1</v>
      </c>
      <c r="K177">
        <v>1</v>
      </c>
      <c r="L177">
        <v>1</v>
      </c>
      <c r="N177" s="822">
        <v>21312</v>
      </c>
      <c r="P177" s="822">
        <v>21310</v>
      </c>
      <c r="Q177">
        <v>1</v>
      </c>
      <c r="R177">
        <v>0</v>
      </c>
      <c r="X177" s="321"/>
      <c r="Y177" s="321"/>
      <c r="Z177" s="321"/>
      <c r="AA177" s="321"/>
      <c r="AB177" s="321"/>
      <c r="AC177" s="321"/>
      <c r="AD177" s="321"/>
      <c r="AE177" s="321"/>
    </row>
    <row r="178" spans="2:31" ht="12.75" hidden="1" customHeight="1">
      <c r="B178" t="s">
        <v>5995</v>
      </c>
      <c r="C178" t="s">
        <v>3568</v>
      </c>
      <c r="D178" t="s">
        <v>5056</v>
      </c>
      <c r="E178" t="s">
        <v>969</v>
      </c>
      <c r="F178">
        <v>0</v>
      </c>
      <c r="G178">
        <v>1</v>
      </c>
      <c r="H178">
        <v>0</v>
      </c>
      <c r="I178">
        <v>1</v>
      </c>
      <c r="J178">
        <v>1</v>
      </c>
      <c r="K178">
        <v>1</v>
      </c>
      <c r="L178">
        <v>1</v>
      </c>
      <c r="N178" s="822">
        <v>21412</v>
      </c>
      <c r="P178" s="822">
        <v>21410</v>
      </c>
      <c r="Q178">
        <v>1</v>
      </c>
      <c r="R178">
        <v>0</v>
      </c>
      <c r="X178" s="321"/>
      <c r="Y178" s="321"/>
      <c r="Z178" s="321"/>
      <c r="AA178" s="321"/>
      <c r="AB178" s="321"/>
      <c r="AC178" s="321"/>
      <c r="AD178" s="321"/>
      <c r="AE178" s="321"/>
    </row>
    <row r="179" spans="2:31" ht="12.75" hidden="1" customHeight="1">
      <c r="B179" t="s">
        <v>5995</v>
      </c>
      <c r="C179" t="s">
        <v>1257</v>
      </c>
      <c r="D179" t="s">
        <v>5056</v>
      </c>
      <c r="E179" t="s">
        <v>4241</v>
      </c>
      <c r="F179">
        <v>0</v>
      </c>
      <c r="G179">
        <v>1</v>
      </c>
      <c r="H179">
        <v>0</v>
      </c>
      <c r="I179">
        <v>0</v>
      </c>
      <c r="J179">
        <v>0</v>
      </c>
      <c r="K179">
        <v>0</v>
      </c>
      <c r="L179">
        <v>0</v>
      </c>
      <c r="N179" s="822">
        <v>20111</v>
      </c>
      <c r="P179" s="822">
        <v>20110</v>
      </c>
      <c r="Q179">
        <v>1</v>
      </c>
      <c r="R179">
        <v>0</v>
      </c>
      <c r="X179" s="321"/>
      <c r="Y179" s="321"/>
      <c r="Z179" s="321"/>
      <c r="AA179" s="321"/>
      <c r="AB179" s="321"/>
      <c r="AC179" s="321"/>
      <c r="AD179" s="321"/>
      <c r="AE179" s="321"/>
    </row>
    <row r="180" spans="2:31" ht="12.75" hidden="1" customHeight="1">
      <c r="B180" t="s">
        <v>5995</v>
      </c>
      <c r="C180" t="s">
        <v>3321</v>
      </c>
      <c r="D180" t="s">
        <v>5056</v>
      </c>
      <c r="E180" t="s">
        <v>4241</v>
      </c>
      <c r="F180">
        <v>0</v>
      </c>
      <c r="G180">
        <v>1</v>
      </c>
      <c r="H180">
        <v>0</v>
      </c>
      <c r="I180">
        <v>0</v>
      </c>
      <c r="J180">
        <v>0</v>
      </c>
      <c r="K180">
        <v>0</v>
      </c>
      <c r="L180">
        <v>0</v>
      </c>
      <c r="N180" s="822">
        <v>20211</v>
      </c>
      <c r="P180" s="822">
        <v>20210</v>
      </c>
      <c r="Q180">
        <v>1</v>
      </c>
      <c r="R180">
        <v>0</v>
      </c>
      <c r="X180" s="321"/>
      <c r="Y180" s="321"/>
      <c r="Z180" s="321"/>
      <c r="AA180" s="321"/>
      <c r="AB180" s="321"/>
      <c r="AC180" s="321"/>
      <c r="AD180" s="321"/>
      <c r="AE180" s="321"/>
    </row>
    <row r="181" spans="2:31" ht="12.75" hidden="1" customHeight="1">
      <c r="B181" t="s">
        <v>5995</v>
      </c>
      <c r="C181" t="s">
        <v>1750</v>
      </c>
      <c r="D181" t="s">
        <v>5056</v>
      </c>
      <c r="E181" t="s">
        <v>4241</v>
      </c>
      <c r="F181">
        <v>0</v>
      </c>
      <c r="G181">
        <v>1</v>
      </c>
      <c r="H181">
        <v>0</v>
      </c>
      <c r="I181">
        <v>0</v>
      </c>
      <c r="J181">
        <v>0</v>
      </c>
      <c r="K181">
        <v>0</v>
      </c>
      <c r="L181">
        <v>0</v>
      </c>
      <c r="N181" s="822">
        <v>20311</v>
      </c>
      <c r="P181" s="822">
        <v>20310</v>
      </c>
      <c r="Q181">
        <v>1</v>
      </c>
      <c r="R181">
        <v>0</v>
      </c>
      <c r="X181" s="321"/>
      <c r="Y181" s="321"/>
      <c r="Z181" s="321"/>
      <c r="AA181" s="321"/>
      <c r="AB181" s="321"/>
      <c r="AC181" s="321"/>
      <c r="AD181" s="321"/>
      <c r="AE181" s="321"/>
    </row>
    <row r="182" spans="2:31" ht="12.75" hidden="1" customHeight="1">
      <c r="B182" t="s">
        <v>5995</v>
      </c>
      <c r="C182" t="s">
        <v>5275</v>
      </c>
      <c r="D182" t="s">
        <v>5056</v>
      </c>
      <c r="E182" t="s">
        <v>4241</v>
      </c>
      <c r="F182">
        <v>0</v>
      </c>
      <c r="G182">
        <v>1</v>
      </c>
      <c r="H182">
        <v>0</v>
      </c>
      <c r="I182">
        <v>0</v>
      </c>
      <c r="J182">
        <v>0</v>
      </c>
      <c r="K182">
        <v>0</v>
      </c>
      <c r="L182">
        <v>0</v>
      </c>
      <c r="N182" s="822">
        <v>20411</v>
      </c>
      <c r="P182" s="822">
        <v>20410</v>
      </c>
      <c r="Q182">
        <v>1</v>
      </c>
      <c r="R182">
        <v>0</v>
      </c>
      <c r="X182" s="321"/>
      <c r="Y182" s="321"/>
      <c r="Z182" s="321"/>
      <c r="AA182" s="321"/>
      <c r="AB182" s="321"/>
      <c r="AC182" s="321"/>
      <c r="AD182" s="321"/>
      <c r="AE182" s="321"/>
    </row>
    <row r="183" spans="2:31" ht="12.75" hidden="1" customHeight="1">
      <c r="B183" t="s">
        <v>5995</v>
      </c>
      <c r="C183" t="s">
        <v>5271</v>
      </c>
      <c r="D183" t="s">
        <v>5056</v>
      </c>
      <c r="E183" t="s">
        <v>4241</v>
      </c>
      <c r="F183">
        <v>0</v>
      </c>
      <c r="G183">
        <v>1</v>
      </c>
      <c r="H183">
        <v>0</v>
      </c>
      <c r="I183">
        <v>0</v>
      </c>
      <c r="J183">
        <v>0</v>
      </c>
      <c r="K183">
        <v>0</v>
      </c>
      <c r="L183">
        <v>0</v>
      </c>
      <c r="N183" s="822">
        <v>20511</v>
      </c>
      <c r="P183" s="822">
        <v>20510</v>
      </c>
      <c r="Q183">
        <v>1</v>
      </c>
      <c r="R183">
        <v>0</v>
      </c>
      <c r="X183" s="321"/>
      <c r="Y183" s="321"/>
      <c r="Z183" s="321"/>
      <c r="AA183" s="321"/>
      <c r="AB183" s="321"/>
      <c r="AC183" s="321"/>
      <c r="AD183" s="321"/>
      <c r="AE183" s="321"/>
    </row>
    <row r="184" spans="2:31" ht="12.75" hidden="1" customHeight="1">
      <c r="B184" t="s">
        <v>5995</v>
      </c>
      <c r="C184" t="s">
        <v>4747</v>
      </c>
      <c r="D184" t="s">
        <v>5056</v>
      </c>
      <c r="E184" t="s">
        <v>4241</v>
      </c>
      <c r="F184">
        <v>0</v>
      </c>
      <c r="G184">
        <v>1</v>
      </c>
      <c r="H184">
        <v>0</v>
      </c>
      <c r="I184">
        <v>0</v>
      </c>
      <c r="J184">
        <v>0</v>
      </c>
      <c r="K184">
        <v>0</v>
      </c>
      <c r="L184">
        <v>0</v>
      </c>
      <c r="N184" s="822">
        <v>20611</v>
      </c>
      <c r="P184" s="822">
        <v>20610</v>
      </c>
      <c r="Q184">
        <v>1</v>
      </c>
      <c r="R184">
        <v>0</v>
      </c>
      <c r="X184" s="321"/>
      <c r="Y184" s="321"/>
      <c r="Z184" s="321"/>
      <c r="AA184" s="321"/>
      <c r="AB184" s="321"/>
      <c r="AC184" s="321"/>
      <c r="AD184" s="321"/>
      <c r="AE184" s="321"/>
    </row>
    <row r="185" spans="2:31" ht="12.75" hidden="1" customHeight="1">
      <c r="B185" t="s">
        <v>5995</v>
      </c>
      <c r="C185" t="s">
        <v>2477</v>
      </c>
      <c r="D185" t="s">
        <v>5056</v>
      </c>
      <c r="E185" t="s">
        <v>4241</v>
      </c>
      <c r="F185">
        <v>0</v>
      </c>
      <c r="G185">
        <v>1</v>
      </c>
      <c r="H185">
        <v>0</v>
      </c>
      <c r="I185">
        <v>0</v>
      </c>
      <c r="J185">
        <v>0</v>
      </c>
      <c r="K185">
        <v>0</v>
      </c>
      <c r="L185">
        <v>0</v>
      </c>
      <c r="N185" s="822">
        <v>20711</v>
      </c>
      <c r="P185" s="822">
        <v>20710</v>
      </c>
      <c r="Q185">
        <v>1</v>
      </c>
      <c r="R185">
        <v>0</v>
      </c>
      <c r="X185" s="321"/>
      <c r="Y185" s="321"/>
      <c r="Z185" s="321"/>
      <c r="AB185" s="321"/>
      <c r="AC185" s="321"/>
      <c r="AD185" s="321"/>
      <c r="AE185" s="321"/>
    </row>
    <row r="186" spans="2:31" ht="12.75" hidden="1" customHeight="1">
      <c r="B186" t="s">
        <v>5995</v>
      </c>
      <c r="C186" t="s">
        <v>4748</v>
      </c>
      <c r="D186" t="s">
        <v>5056</v>
      </c>
      <c r="E186" t="s">
        <v>4241</v>
      </c>
      <c r="F186">
        <v>0</v>
      </c>
      <c r="G186">
        <v>1</v>
      </c>
      <c r="H186">
        <v>0</v>
      </c>
      <c r="I186">
        <v>0</v>
      </c>
      <c r="J186">
        <v>0</v>
      </c>
      <c r="K186">
        <v>0</v>
      </c>
      <c r="L186">
        <v>0</v>
      </c>
      <c r="N186" s="822">
        <v>20811</v>
      </c>
      <c r="P186" s="822">
        <v>20810</v>
      </c>
      <c r="Q186">
        <v>1</v>
      </c>
      <c r="R186">
        <v>0</v>
      </c>
      <c r="X186" s="321"/>
      <c r="Y186" s="321"/>
      <c r="Z186" s="321"/>
      <c r="AB186" s="321"/>
      <c r="AC186" s="321"/>
      <c r="AD186" s="321"/>
      <c r="AE186" s="321"/>
    </row>
    <row r="187" spans="2:31" ht="12.75" hidden="1" customHeight="1">
      <c r="B187" t="s">
        <v>5995</v>
      </c>
      <c r="C187" t="s">
        <v>2415</v>
      </c>
      <c r="D187" t="s">
        <v>5056</v>
      </c>
      <c r="E187" t="s">
        <v>4241</v>
      </c>
      <c r="F187">
        <v>0</v>
      </c>
      <c r="G187">
        <v>1</v>
      </c>
      <c r="H187">
        <v>0</v>
      </c>
      <c r="I187">
        <v>0</v>
      </c>
      <c r="J187">
        <v>0</v>
      </c>
      <c r="K187">
        <v>0</v>
      </c>
      <c r="L187">
        <v>0</v>
      </c>
      <c r="N187" s="822">
        <v>20911</v>
      </c>
      <c r="P187" s="822">
        <v>20910</v>
      </c>
      <c r="Q187">
        <v>1</v>
      </c>
      <c r="R187">
        <v>0</v>
      </c>
      <c r="X187" s="321"/>
      <c r="Y187" s="321"/>
      <c r="Z187" s="321"/>
      <c r="AB187" s="321"/>
      <c r="AC187" s="321"/>
      <c r="AD187" s="321"/>
      <c r="AE187" s="321"/>
    </row>
    <row r="188" spans="2:31" ht="12.75" hidden="1" customHeight="1">
      <c r="B188" t="s">
        <v>5995</v>
      </c>
      <c r="C188" t="s">
        <v>2982</v>
      </c>
      <c r="D188" t="s">
        <v>5056</v>
      </c>
      <c r="E188" t="s">
        <v>4241</v>
      </c>
      <c r="F188">
        <v>0</v>
      </c>
      <c r="G188">
        <v>1</v>
      </c>
      <c r="H188">
        <v>0</v>
      </c>
      <c r="I188">
        <v>0</v>
      </c>
      <c r="J188">
        <v>0</v>
      </c>
      <c r="K188">
        <v>0</v>
      </c>
      <c r="L188">
        <v>0</v>
      </c>
      <c r="N188" s="822">
        <v>21011</v>
      </c>
      <c r="P188" s="822">
        <v>21010</v>
      </c>
      <c r="Q188">
        <v>1</v>
      </c>
      <c r="R188">
        <v>0</v>
      </c>
      <c r="X188" s="321"/>
      <c r="Y188" s="321"/>
      <c r="Z188" s="321"/>
      <c r="AB188" s="321"/>
      <c r="AC188" s="321"/>
      <c r="AD188" s="321"/>
      <c r="AE188" s="321"/>
    </row>
    <row r="189" spans="2:31" ht="12.75" hidden="1" customHeight="1">
      <c r="B189" t="s">
        <v>5995</v>
      </c>
      <c r="C189" t="s">
        <v>1366</v>
      </c>
      <c r="D189" t="s">
        <v>5056</v>
      </c>
      <c r="E189" t="s">
        <v>4241</v>
      </c>
      <c r="F189">
        <v>0</v>
      </c>
      <c r="G189">
        <v>1</v>
      </c>
      <c r="H189">
        <v>0</v>
      </c>
      <c r="I189">
        <v>0</v>
      </c>
      <c r="J189">
        <v>0</v>
      </c>
      <c r="K189">
        <v>0</v>
      </c>
      <c r="L189">
        <v>0</v>
      </c>
      <c r="N189" s="822">
        <v>21111</v>
      </c>
      <c r="P189" s="822">
        <v>21110</v>
      </c>
      <c r="Q189">
        <v>1</v>
      </c>
      <c r="R189">
        <v>0</v>
      </c>
      <c r="X189" s="321"/>
      <c r="Y189" s="321"/>
      <c r="Z189" s="321"/>
      <c r="AB189" s="321"/>
      <c r="AC189" s="321"/>
      <c r="AD189" s="321"/>
      <c r="AE189" s="321"/>
    </row>
    <row r="190" spans="2:31" ht="12.75" hidden="1" customHeight="1">
      <c r="B190" t="s">
        <v>5995</v>
      </c>
      <c r="C190" t="s">
        <v>4910</v>
      </c>
      <c r="D190" t="s">
        <v>5056</v>
      </c>
      <c r="E190" t="s">
        <v>4241</v>
      </c>
      <c r="F190">
        <v>0</v>
      </c>
      <c r="G190">
        <v>1</v>
      </c>
      <c r="H190">
        <v>0</v>
      </c>
      <c r="I190">
        <v>0</v>
      </c>
      <c r="J190">
        <v>0</v>
      </c>
      <c r="K190">
        <v>0</v>
      </c>
      <c r="L190">
        <v>0</v>
      </c>
      <c r="N190" s="822">
        <v>21211</v>
      </c>
      <c r="P190" s="822">
        <v>21210</v>
      </c>
      <c r="Q190">
        <v>1</v>
      </c>
      <c r="R190">
        <v>0</v>
      </c>
      <c r="X190" s="321"/>
      <c r="Y190" s="321"/>
      <c r="Z190" s="321"/>
      <c r="AB190" s="321"/>
      <c r="AC190" s="321"/>
      <c r="AD190" s="321"/>
      <c r="AE190" s="321"/>
    </row>
    <row r="191" spans="2:31" ht="12.75" hidden="1" customHeight="1">
      <c r="B191" t="s">
        <v>5995</v>
      </c>
      <c r="C191" t="s">
        <v>5479</v>
      </c>
      <c r="D191" t="s">
        <v>5056</v>
      </c>
      <c r="E191" t="s">
        <v>4241</v>
      </c>
      <c r="F191">
        <v>0</v>
      </c>
      <c r="G191">
        <v>1</v>
      </c>
      <c r="H191">
        <v>0</v>
      </c>
      <c r="I191">
        <v>0</v>
      </c>
      <c r="J191">
        <v>0</v>
      </c>
      <c r="K191">
        <v>0</v>
      </c>
      <c r="L191">
        <v>0</v>
      </c>
      <c r="N191" s="822">
        <v>21311</v>
      </c>
      <c r="P191" s="822">
        <v>21310</v>
      </c>
      <c r="Q191">
        <v>1</v>
      </c>
      <c r="R191">
        <v>0</v>
      </c>
      <c r="X191" s="321"/>
      <c r="Y191" s="321"/>
      <c r="Z191" s="321"/>
      <c r="AB191" s="321"/>
      <c r="AC191" s="321"/>
      <c r="AD191" s="321"/>
      <c r="AE191" s="321"/>
    </row>
    <row r="192" spans="2:31" ht="12.75" hidden="1" customHeight="1">
      <c r="B192" t="s">
        <v>5995</v>
      </c>
      <c r="C192" t="s">
        <v>3568</v>
      </c>
      <c r="D192" t="s">
        <v>5056</v>
      </c>
      <c r="E192" t="s">
        <v>4241</v>
      </c>
      <c r="F192">
        <v>0</v>
      </c>
      <c r="G192">
        <v>1</v>
      </c>
      <c r="H192">
        <v>0</v>
      </c>
      <c r="I192">
        <v>0</v>
      </c>
      <c r="J192">
        <v>0</v>
      </c>
      <c r="K192">
        <v>0</v>
      </c>
      <c r="L192">
        <v>0</v>
      </c>
      <c r="N192" s="822">
        <v>21411</v>
      </c>
      <c r="P192" s="822">
        <v>21410</v>
      </c>
      <c r="Q192">
        <v>1</v>
      </c>
      <c r="R192">
        <v>0</v>
      </c>
      <c r="X192" s="321"/>
      <c r="Y192" s="321"/>
      <c r="Z192" s="321"/>
      <c r="AB192" s="321"/>
      <c r="AC192" s="321"/>
      <c r="AD192" s="321"/>
      <c r="AE192" s="321"/>
    </row>
    <row r="193" spans="2:31" ht="12.75" hidden="1" customHeight="1">
      <c r="B193" t="s">
        <v>5995</v>
      </c>
      <c r="C193" t="s">
        <v>1257</v>
      </c>
      <c r="D193" t="s">
        <v>1331</v>
      </c>
      <c r="E193" t="s">
        <v>969</v>
      </c>
      <c r="F193">
        <v>1</v>
      </c>
      <c r="G193">
        <v>1</v>
      </c>
      <c r="H193">
        <v>0</v>
      </c>
      <c r="I193">
        <v>1</v>
      </c>
      <c r="J193">
        <v>1</v>
      </c>
      <c r="K193">
        <v>1</v>
      </c>
      <c r="L193">
        <v>1</v>
      </c>
      <c r="N193" s="822">
        <v>20122</v>
      </c>
      <c r="P193" s="822">
        <v>20120</v>
      </c>
      <c r="Q193">
        <v>1</v>
      </c>
      <c r="R193">
        <v>0</v>
      </c>
      <c r="X193" s="321"/>
      <c r="Y193" s="321"/>
      <c r="Z193" s="321"/>
      <c r="AB193" s="321"/>
      <c r="AC193" s="321"/>
      <c r="AD193" s="321"/>
      <c r="AE193" s="321"/>
    </row>
    <row r="194" spans="2:31" ht="12.75" hidden="1" customHeight="1">
      <c r="B194" t="s">
        <v>5995</v>
      </c>
      <c r="C194" t="s">
        <v>3321</v>
      </c>
      <c r="D194" t="s">
        <v>1331</v>
      </c>
      <c r="E194" t="s">
        <v>969</v>
      </c>
      <c r="F194">
        <v>1</v>
      </c>
      <c r="G194">
        <v>1</v>
      </c>
      <c r="H194">
        <v>0</v>
      </c>
      <c r="I194">
        <v>1</v>
      </c>
      <c r="J194">
        <v>1</v>
      </c>
      <c r="K194">
        <v>1</v>
      </c>
      <c r="L194">
        <v>1</v>
      </c>
      <c r="N194" s="822">
        <v>20222</v>
      </c>
      <c r="P194" s="822">
        <v>20220</v>
      </c>
      <c r="Q194">
        <v>1</v>
      </c>
      <c r="R194">
        <v>0</v>
      </c>
      <c r="X194" s="321"/>
      <c r="Y194" s="321"/>
      <c r="Z194" s="321"/>
      <c r="AB194" s="321"/>
      <c r="AC194" s="321"/>
      <c r="AD194" s="321"/>
      <c r="AE194" s="321"/>
    </row>
    <row r="195" spans="2:31" ht="12.75" hidden="1" customHeight="1">
      <c r="B195" t="s">
        <v>5995</v>
      </c>
      <c r="C195" t="s">
        <v>1750</v>
      </c>
      <c r="D195" t="s">
        <v>1331</v>
      </c>
      <c r="E195" t="s">
        <v>969</v>
      </c>
      <c r="F195">
        <v>1</v>
      </c>
      <c r="G195">
        <v>1</v>
      </c>
      <c r="H195">
        <v>0</v>
      </c>
      <c r="I195">
        <v>1</v>
      </c>
      <c r="J195">
        <v>1</v>
      </c>
      <c r="K195">
        <v>1</v>
      </c>
      <c r="L195">
        <v>1</v>
      </c>
      <c r="N195" s="822">
        <v>20322</v>
      </c>
      <c r="P195" s="822">
        <v>20320</v>
      </c>
      <c r="Q195">
        <v>1</v>
      </c>
      <c r="R195">
        <v>0</v>
      </c>
      <c r="X195" s="321"/>
      <c r="Y195" s="321"/>
      <c r="Z195" s="321"/>
      <c r="AB195" s="321"/>
      <c r="AC195" s="321"/>
      <c r="AD195" s="321"/>
      <c r="AE195" s="321"/>
    </row>
    <row r="196" spans="2:31" ht="12.75" hidden="1" customHeight="1">
      <c r="B196" t="s">
        <v>5995</v>
      </c>
      <c r="C196" t="s">
        <v>5275</v>
      </c>
      <c r="D196" t="s">
        <v>1331</v>
      </c>
      <c r="E196" t="s">
        <v>969</v>
      </c>
      <c r="F196">
        <v>1</v>
      </c>
      <c r="G196">
        <v>1</v>
      </c>
      <c r="H196">
        <v>0</v>
      </c>
      <c r="I196">
        <v>1</v>
      </c>
      <c r="J196">
        <v>1</v>
      </c>
      <c r="K196">
        <v>1</v>
      </c>
      <c r="L196">
        <v>1</v>
      </c>
      <c r="N196" s="822">
        <v>20422</v>
      </c>
      <c r="P196" s="822">
        <v>20420</v>
      </c>
      <c r="Q196">
        <v>1</v>
      </c>
      <c r="R196">
        <v>0</v>
      </c>
      <c r="X196" s="321"/>
      <c r="Y196" s="321"/>
      <c r="Z196" s="321"/>
      <c r="AB196" s="321"/>
      <c r="AC196" s="321"/>
      <c r="AD196" s="321"/>
      <c r="AE196" s="321"/>
    </row>
    <row r="197" spans="2:31" ht="12.75" hidden="1" customHeight="1">
      <c r="B197" t="s">
        <v>5995</v>
      </c>
      <c r="C197" t="s">
        <v>5271</v>
      </c>
      <c r="D197" t="s">
        <v>1331</v>
      </c>
      <c r="E197" t="s">
        <v>969</v>
      </c>
      <c r="F197">
        <v>1</v>
      </c>
      <c r="G197">
        <v>1</v>
      </c>
      <c r="H197">
        <v>0</v>
      </c>
      <c r="I197">
        <v>1</v>
      </c>
      <c r="J197">
        <v>1</v>
      </c>
      <c r="K197">
        <v>1</v>
      </c>
      <c r="L197">
        <v>1</v>
      </c>
      <c r="N197" s="822">
        <v>20522</v>
      </c>
      <c r="P197" s="822">
        <v>20520</v>
      </c>
      <c r="Q197">
        <v>1</v>
      </c>
      <c r="R197">
        <v>0</v>
      </c>
      <c r="X197" s="321"/>
      <c r="Y197" s="321"/>
      <c r="Z197" s="321"/>
      <c r="AB197" s="321"/>
      <c r="AC197" s="321"/>
      <c r="AD197" s="321"/>
      <c r="AE197" s="321"/>
    </row>
    <row r="198" spans="2:31" ht="12.75" hidden="1" customHeight="1">
      <c r="B198" t="s">
        <v>5995</v>
      </c>
      <c r="C198" t="s">
        <v>4747</v>
      </c>
      <c r="D198" t="s">
        <v>1331</v>
      </c>
      <c r="E198" t="s">
        <v>969</v>
      </c>
      <c r="F198">
        <v>1</v>
      </c>
      <c r="G198">
        <v>1</v>
      </c>
      <c r="H198">
        <v>0</v>
      </c>
      <c r="I198">
        <v>1</v>
      </c>
      <c r="J198">
        <v>1</v>
      </c>
      <c r="K198">
        <v>1</v>
      </c>
      <c r="L198">
        <v>1</v>
      </c>
      <c r="N198" s="822">
        <v>20622</v>
      </c>
      <c r="P198" s="822">
        <v>20620</v>
      </c>
      <c r="Q198">
        <v>1</v>
      </c>
      <c r="R198">
        <v>0</v>
      </c>
      <c r="X198" s="321"/>
      <c r="Y198" s="321"/>
      <c r="Z198" s="321"/>
      <c r="AB198" s="321"/>
      <c r="AC198" s="321"/>
      <c r="AD198" s="321"/>
      <c r="AE198" s="321"/>
    </row>
    <row r="199" spans="2:31" ht="12.75" hidden="1" customHeight="1">
      <c r="B199" t="s">
        <v>5995</v>
      </c>
      <c r="C199" t="s">
        <v>2477</v>
      </c>
      <c r="D199" t="s">
        <v>1331</v>
      </c>
      <c r="E199" t="s">
        <v>969</v>
      </c>
      <c r="F199">
        <v>1</v>
      </c>
      <c r="G199">
        <v>1</v>
      </c>
      <c r="H199">
        <v>0</v>
      </c>
      <c r="I199">
        <v>1</v>
      </c>
      <c r="J199">
        <v>1</v>
      </c>
      <c r="K199">
        <v>1</v>
      </c>
      <c r="L199">
        <v>1</v>
      </c>
      <c r="N199" s="822">
        <v>20722</v>
      </c>
      <c r="P199" s="822">
        <v>20720</v>
      </c>
      <c r="Q199">
        <v>1</v>
      </c>
      <c r="R199">
        <v>0</v>
      </c>
      <c r="X199" s="321"/>
      <c r="Y199" s="321"/>
      <c r="Z199" s="321"/>
      <c r="AB199" s="321"/>
      <c r="AC199" s="321"/>
      <c r="AD199" s="321"/>
      <c r="AE199" s="321"/>
    </row>
    <row r="200" spans="2:31" ht="12.75" hidden="1" customHeight="1">
      <c r="B200" t="s">
        <v>5995</v>
      </c>
      <c r="C200" t="s">
        <v>4748</v>
      </c>
      <c r="D200" t="s">
        <v>1331</v>
      </c>
      <c r="E200" t="s">
        <v>969</v>
      </c>
      <c r="F200">
        <v>1</v>
      </c>
      <c r="G200">
        <v>1</v>
      </c>
      <c r="H200">
        <v>0</v>
      </c>
      <c r="I200">
        <v>1</v>
      </c>
      <c r="J200">
        <v>1</v>
      </c>
      <c r="K200">
        <v>1</v>
      </c>
      <c r="L200">
        <v>1</v>
      </c>
      <c r="N200" s="822">
        <v>20822</v>
      </c>
      <c r="P200" s="822">
        <v>20820</v>
      </c>
      <c r="Q200">
        <v>1</v>
      </c>
      <c r="R200">
        <v>0</v>
      </c>
      <c r="X200" s="321"/>
      <c r="Y200" s="321"/>
      <c r="Z200" s="321"/>
      <c r="AB200" s="321"/>
      <c r="AC200" s="321"/>
      <c r="AD200" s="321"/>
      <c r="AE200" s="321"/>
    </row>
    <row r="201" spans="2:31" ht="12.75" hidden="1" customHeight="1">
      <c r="B201" t="s">
        <v>5995</v>
      </c>
      <c r="C201" t="s">
        <v>2415</v>
      </c>
      <c r="D201" t="s">
        <v>1331</v>
      </c>
      <c r="E201" t="s">
        <v>969</v>
      </c>
      <c r="F201">
        <v>1</v>
      </c>
      <c r="G201">
        <v>1</v>
      </c>
      <c r="H201">
        <v>0</v>
      </c>
      <c r="I201">
        <v>1</v>
      </c>
      <c r="J201">
        <v>1</v>
      </c>
      <c r="K201">
        <v>1</v>
      </c>
      <c r="L201">
        <v>1</v>
      </c>
      <c r="N201" s="822">
        <v>20922</v>
      </c>
      <c r="P201" s="822">
        <v>20920</v>
      </c>
      <c r="Q201">
        <v>1</v>
      </c>
      <c r="R201">
        <v>0</v>
      </c>
      <c r="X201" s="321"/>
      <c r="Y201" s="321"/>
      <c r="Z201" s="321"/>
      <c r="AB201" s="321"/>
      <c r="AC201" s="321"/>
      <c r="AD201" s="321"/>
      <c r="AE201" s="321"/>
    </row>
    <row r="202" spans="2:31" ht="12.75" hidden="1" customHeight="1">
      <c r="B202" t="s">
        <v>5995</v>
      </c>
      <c r="C202" t="s">
        <v>2982</v>
      </c>
      <c r="D202" t="s">
        <v>1331</v>
      </c>
      <c r="E202" t="s">
        <v>969</v>
      </c>
      <c r="F202">
        <v>1</v>
      </c>
      <c r="G202">
        <v>1</v>
      </c>
      <c r="H202">
        <v>0</v>
      </c>
      <c r="I202">
        <v>1</v>
      </c>
      <c r="J202">
        <v>1</v>
      </c>
      <c r="K202">
        <v>1</v>
      </c>
      <c r="L202">
        <v>1</v>
      </c>
      <c r="N202" s="822">
        <v>21022</v>
      </c>
      <c r="P202" s="822">
        <v>21020</v>
      </c>
      <c r="Q202">
        <v>1</v>
      </c>
      <c r="R202">
        <v>0</v>
      </c>
      <c r="X202" s="321"/>
      <c r="Y202" s="321"/>
      <c r="Z202" s="321"/>
      <c r="AB202" s="321"/>
      <c r="AC202" s="321"/>
      <c r="AD202" s="321"/>
      <c r="AE202" s="321"/>
    </row>
    <row r="203" spans="2:31" ht="12.75" hidden="1" customHeight="1">
      <c r="B203" t="s">
        <v>5995</v>
      </c>
      <c r="C203" t="s">
        <v>1366</v>
      </c>
      <c r="D203" t="s">
        <v>1331</v>
      </c>
      <c r="E203" t="s">
        <v>969</v>
      </c>
      <c r="F203">
        <v>1</v>
      </c>
      <c r="G203">
        <v>1</v>
      </c>
      <c r="H203">
        <v>0</v>
      </c>
      <c r="I203">
        <v>1</v>
      </c>
      <c r="J203">
        <v>1</v>
      </c>
      <c r="K203">
        <v>1</v>
      </c>
      <c r="L203">
        <v>1</v>
      </c>
      <c r="N203" s="822">
        <v>21122</v>
      </c>
      <c r="P203" s="822">
        <v>21120</v>
      </c>
      <c r="Q203">
        <v>1</v>
      </c>
      <c r="R203">
        <v>0</v>
      </c>
      <c r="X203" s="321"/>
      <c r="Y203" s="321"/>
      <c r="Z203" s="321"/>
      <c r="AB203" s="321"/>
      <c r="AC203" s="321"/>
      <c r="AD203" s="321"/>
      <c r="AE203" s="321"/>
    </row>
    <row r="204" spans="2:31" ht="12.75" hidden="1" customHeight="1">
      <c r="B204" t="s">
        <v>5995</v>
      </c>
      <c r="C204" t="s">
        <v>4910</v>
      </c>
      <c r="D204" t="s">
        <v>1331</v>
      </c>
      <c r="E204" t="s">
        <v>969</v>
      </c>
      <c r="F204">
        <v>1</v>
      </c>
      <c r="G204">
        <v>1</v>
      </c>
      <c r="H204">
        <v>0</v>
      </c>
      <c r="I204">
        <v>1</v>
      </c>
      <c r="J204">
        <v>1</v>
      </c>
      <c r="K204">
        <v>1</v>
      </c>
      <c r="L204">
        <v>1</v>
      </c>
      <c r="N204" s="822">
        <v>21222</v>
      </c>
      <c r="P204" s="822">
        <v>21220</v>
      </c>
      <c r="Q204">
        <v>1</v>
      </c>
      <c r="R204">
        <v>0</v>
      </c>
      <c r="X204" s="321"/>
      <c r="Y204" s="321"/>
      <c r="Z204" s="321"/>
      <c r="AB204" s="321"/>
      <c r="AC204" s="321"/>
      <c r="AD204" s="321"/>
      <c r="AE204" s="321"/>
    </row>
    <row r="205" spans="2:31" ht="12.75" hidden="1" customHeight="1">
      <c r="B205" t="s">
        <v>5995</v>
      </c>
      <c r="C205" t="s">
        <v>5479</v>
      </c>
      <c r="D205" t="s">
        <v>1331</v>
      </c>
      <c r="E205" t="s">
        <v>969</v>
      </c>
      <c r="F205">
        <v>1</v>
      </c>
      <c r="G205">
        <v>1</v>
      </c>
      <c r="H205">
        <v>0</v>
      </c>
      <c r="I205">
        <v>1</v>
      </c>
      <c r="J205">
        <v>1</v>
      </c>
      <c r="K205">
        <v>1</v>
      </c>
      <c r="L205">
        <v>1</v>
      </c>
      <c r="N205" s="822">
        <v>21322</v>
      </c>
      <c r="P205" s="822">
        <v>21320</v>
      </c>
      <c r="Q205">
        <v>1</v>
      </c>
      <c r="R205">
        <v>0</v>
      </c>
      <c r="X205" s="321"/>
      <c r="Y205" s="321"/>
      <c r="Z205" s="321"/>
      <c r="AB205" s="321"/>
      <c r="AC205" s="321"/>
      <c r="AD205" s="321"/>
      <c r="AE205" s="321"/>
    </row>
    <row r="206" spans="2:31" ht="12.75" hidden="1" customHeight="1">
      <c r="B206" t="s">
        <v>5995</v>
      </c>
      <c r="C206" t="s">
        <v>3568</v>
      </c>
      <c r="D206" t="s">
        <v>1331</v>
      </c>
      <c r="E206" t="s">
        <v>969</v>
      </c>
      <c r="F206">
        <v>1</v>
      </c>
      <c r="G206">
        <v>1</v>
      </c>
      <c r="H206">
        <v>0</v>
      </c>
      <c r="I206">
        <v>1</v>
      </c>
      <c r="J206">
        <v>1</v>
      </c>
      <c r="K206">
        <v>1</v>
      </c>
      <c r="L206">
        <v>1</v>
      </c>
      <c r="N206" s="822">
        <v>21422</v>
      </c>
      <c r="P206" s="822">
        <v>21420</v>
      </c>
      <c r="Q206">
        <v>1</v>
      </c>
      <c r="R206">
        <v>0</v>
      </c>
      <c r="X206" s="321"/>
      <c r="Y206" s="321"/>
      <c r="Z206" s="321"/>
      <c r="AB206" s="321"/>
      <c r="AC206" s="321"/>
      <c r="AD206" s="321"/>
      <c r="AE206" s="321"/>
    </row>
    <row r="207" spans="2:31" ht="12.75" hidden="1" customHeight="1">
      <c r="B207" t="s">
        <v>5995</v>
      </c>
      <c r="C207" t="s">
        <v>1257</v>
      </c>
      <c r="D207" t="s">
        <v>1331</v>
      </c>
      <c r="E207" t="s">
        <v>4241</v>
      </c>
      <c r="F207">
        <v>1</v>
      </c>
      <c r="G207">
        <v>1</v>
      </c>
      <c r="H207">
        <v>0</v>
      </c>
      <c r="I207">
        <v>0</v>
      </c>
      <c r="J207">
        <v>0</v>
      </c>
      <c r="K207">
        <v>0</v>
      </c>
      <c r="L207">
        <v>0</v>
      </c>
      <c r="N207" s="822">
        <v>20121</v>
      </c>
      <c r="P207" s="822">
        <v>20120</v>
      </c>
      <c r="Q207">
        <v>1</v>
      </c>
      <c r="R207">
        <v>0</v>
      </c>
      <c r="X207" s="321"/>
      <c r="Y207" s="321"/>
      <c r="Z207" s="321"/>
      <c r="AB207" s="321"/>
      <c r="AC207" s="321"/>
      <c r="AD207" s="321"/>
      <c r="AE207" s="321"/>
    </row>
    <row r="208" spans="2:31" ht="12.75" hidden="1" customHeight="1">
      <c r="B208" t="s">
        <v>5995</v>
      </c>
      <c r="C208" t="s">
        <v>3321</v>
      </c>
      <c r="D208" t="s">
        <v>1331</v>
      </c>
      <c r="E208" t="s">
        <v>4241</v>
      </c>
      <c r="F208">
        <v>1</v>
      </c>
      <c r="G208">
        <v>1</v>
      </c>
      <c r="H208">
        <v>0</v>
      </c>
      <c r="I208">
        <v>0</v>
      </c>
      <c r="J208">
        <v>0</v>
      </c>
      <c r="K208">
        <v>0</v>
      </c>
      <c r="L208">
        <v>0</v>
      </c>
      <c r="N208" s="822">
        <v>20221</v>
      </c>
      <c r="P208" s="822">
        <v>20220</v>
      </c>
      <c r="Q208">
        <v>1</v>
      </c>
      <c r="R208">
        <v>0</v>
      </c>
      <c r="X208" s="321"/>
      <c r="Y208" s="321"/>
      <c r="Z208" s="321"/>
      <c r="AB208" s="321"/>
      <c r="AC208" s="321"/>
      <c r="AD208" s="321"/>
      <c r="AE208" s="321"/>
    </row>
    <row r="209" spans="2:31" ht="12.75" hidden="1" customHeight="1">
      <c r="B209" t="s">
        <v>5995</v>
      </c>
      <c r="C209" t="s">
        <v>1750</v>
      </c>
      <c r="D209" t="s">
        <v>1331</v>
      </c>
      <c r="E209" t="s">
        <v>4241</v>
      </c>
      <c r="F209">
        <v>1</v>
      </c>
      <c r="G209">
        <v>1</v>
      </c>
      <c r="H209">
        <v>0</v>
      </c>
      <c r="I209">
        <v>0</v>
      </c>
      <c r="J209">
        <v>0</v>
      </c>
      <c r="K209">
        <v>0</v>
      </c>
      <c r="L209">
        <v>0</v>
      </c>
      <c r="N209" s="822">
        <v>20321</v>
      </c>
      <c r="P209" s="822">
        <v>20320</v>
      </c>
      <c r="Q209">
        <v>1</v>
      </c>
      <c r="R209">
        <v>0</v>
      </c>
      <c r="X209" s="321"/>
      <c r="Y209" s="321"/>
      <c r="Z209" s="321"/>
      <c r="AB209" s="321"/>
      <c r="AC209" s="321"/>
      <c r="AD209" s="321"/>
      <c r="AE209" s="321"/>
    </row>
    <row r="210" spans="2:31" ht="12.75" hidden="1" customHeight="1">
      <c r="B210" t="s">
        <v>5995</v>
      </c>
      <c r="C210" t="s">
        <v>5275</v>
      </c>
      <c r="D210" t="s">
        <v>1331</v>
      </c>
      <c r="E210" t="s">
        <v>4241</v>
      </c>
      <c r="F210">
        <v>1</v>
      </c>
      <c r="G210">
        <v>1</v>
      </c>
      <c r="H210">
        <v>0</v>
      </c>
      <c r="I210">
        <v>0</v>
      </c>
      <c r="J210">
        <v>0</v>
      </c>
      <c r="K210">
        <v>0</v>
      </c>
      <c r="L210">
        <v>0</v>
      </c>
      <c r="N210" s="822">
        <v>20421</v>
      </c>
      <c r="P210" s="822">
        <v>20420</v>
      </c>
      <c r="Q210">
        <v>1</v>
      </c>
      <c r="R210">
        <v>0</v>
      </c>
      <c r="X210" s="321"/>
      <c r="Y210" s="321"/>
      <c r="Z210" s="321"/>
      <c r="AB210" s="321"/>
      <c r="AC210" s="321"/>
      <c r="AD210" s="321"/>
      <c r="AE210" s="321"/>
    </row>
    <row r="211" spans="2:31" ht="12.75" hidden="1" customHeight="1">
      <c r="B211" t="s">
        <v>5995</v>
      </c>
      <c r="C211" t="s">
        <v>5271</v>
      </c>
      <c r="D211" t="s">
        <v>1331</v>
      </c>
      <c r="E211" t="s">
        <v>4241</v>
      </c>
      <c r="F211">
        <v>1</v>
      </c>
      <c r="G211">
        <v>1</v>
      </c>
      <c r="H211">
        <v>0</v>
      </c>
      <c r="I211">
        <v>0</v>
      </c>
      <c r="J211">
        <v>0</v>
      </c>
      <c r="K211">
        <v>0</v>
      </c>
      <c r="L211">
        <v>0</v>
      </c>
      <c r="N211" s="822">
        <v>20521</v>
      </c>
      <c r="P211" s="822">
        <v>20520</v>
      </c>
      <c r="Q211">
        <v>1</v>
      </c>
      <c r="R211">
        <v>0</v>
      </c>
      <c r="X211" s="321"/>
      <c r="Y211" s="321"/>
      <c r="Z211" s="321"/>
      <c r="AB211" s="321"/>
      <c r="AC211" s="321"/>
      <c r="AD211" s="321"/>
      <c r="AE211" s="321"/>
    </row>
    <row r="212" spans="2:31" ht="12.75" hidden="1" customHeight="1">
      <c r="B212" t="s">
        <v>5995</v>
      </c>
      <c r="C212" t="s">
        <v>4747</v>
      </c>
      <c r="D212" t="s">
        <v>1331</v>
      </c>
      <c r="E212" t="s">
        <v>4241</v>
      </c>
      <c r="F212">
        <v>1</v>
      </c>
      <c r="G212">
        <v>1</v>
      </c>
      <c r="H212">
        <v>0</v>
      </c>
      <c r="I212">
        <v>0</v>
      </c>
      <c r="J212">
        <v>0</v>
      </c>
      <c r="K212">
        <v>0</v>
      </c>
      <c r="L212">
        <v>0</v>
      </c>
      <c r="N212" s="822">
        <v>20621</v>
      </c>
      <c r="P212" s="822">
        <v>20620</v>
      </c>
      <c r="Q212">
        <v>1</v>
      </c>
      <c r="R212">
        <v>0</v>
      </c>
      <c r="X212" s="321"/>
      <c r="Y212" s="321"/>
      <c r="Z212" s="321"/>
      <c r="AB212" s="321"/>
      <c r="AC212" s="321"/>
      <c r="AD212" s="321"/>
      <c r="AE212" s="321"/>
    </row>
    <row r="213" spans="2:31" ht="12.75" hidden="1" customHeight="1">
      <c r="B213" t="s">
        <v>5995</v>
      </c>
      <c r="C213" t="s">
        <v>2477</v>
      </c>
      <c r="D213" t="s">
        <v>1331</v>
      </c>
      <c r="E213" t="s">
        <v>4241</v>
      </c>
      <c r="F213">
        <v>1</v>
      </c>
      <c r="G213">
        <v>1</v>
      </c>
      <c r="H213">
        <v>0</v>
      </c>
      <c r="I213">
        <v>0</v>
      </c>
      <c r="J213">
        <v>0</v>
      </c>
      <c r="K213">
        <v>0</v>
      </c>
      <c r="L213">
        <v>0</v>
      </c>
      <c r="N213" s="822">
        <v>20721</v>
      </c>
      <c r="P213" s="822">
        <v>20720</v>
      </c>
      <c r="Q213">
        <v>1</v>
      </c>
      <c r="R213">
        <v>0</v>
      </c>
      <c r="X213" s="321"/>
      <c r="Y213" s="321"/>
      <c r="Z213" s="321"/>
      <c r="AB213" s="321"/>
      <c r="AC213" s="321"/>
      <c r="AD213" s="321"/>
      <c r="AE213" s="321"/>
    </row>
    <row r="214" spans="2:31" ht="12.75" hidden="1" customHeight="1">
      <c r="B214" t="s">
        <v>5995</v>
      </c>
      <c r="C214" t="s">
        <v>4748</v>
      </c>
      <c r="D214" t="s">
        <v>1331</v>
      </c>
      <c r="E214" t="s">
        <v>4241</v>
      </c>
      <c r="F214">
        <v>1</v>
      </c>
      <c r="G214">
        <v>1</v>
      </c>
      <c r="H214">
        <v>0</v>
      </c>
      <c r="I214">
        <v>0</v>
      </c>
      <c r="J214">
        <v>0</v>
      </c>
      <c r="K214">
        <v>0</v>
      </c>
      <c r="L214">
        <v>0</v>
      </c>
      <c r="N214" s="822">
        <v>20821</v>
      </c>
      <c r="P214" s="822">
        <v>20820</v>
      </c>
      <c r="Q214">
        <v>1</v>
      </c>
      <c r="R214">
        <v>0</v>
      </c>
      <c r="X214" s="321"/>
      <c r="Y214" s="321"/>
      <c r="Z214" s="321"/>
      <c r="AB214" s="321"/>
      <c r="AC214" s="321"/>
      <c r="AD214" s="321"/>
      <c r="AE214" s="321"/>
    </row>
    <row r="215" spans="2:31" ht="12.75" hidden="1" customHeight="1">
      <c r="B215" t="s">
        <v>5995</v>
      </c>
      <c r="C215" t="s">
        <v>2415</v>
      </c>
      <c r="D215" t="s">
        <v>1331</v>
      </c>
      <c r="E215" t="s">
        <v>4241</v>
      </c>
      <c r="F215">
        <v>1</v>
      </c>
      <c r="G215">
        <v>1</v>
      </c>
      <c r="H215">
        <v>0</v>
      </c>
      <c r="I215">
        <v>0</v>
      </c>
      <c r="J215">
        <v>0</v>
      </c>
      <c r="K215">
        <v>0</v>
      </c>
      <c r="L215">
        <v>0</v>
      </c>
      <c r="N215" s="822">
        <v>20921</v>
      </c>
      <c r="P215" s="822">
        <v>20920</v>
      </c>
      <c r="Q215">
        <v>1</v>
      </c>
      <c r="R215">
        <v>0</v>
      </c>
      <c r="X215" s="321"/>
      <c r="Y215" s="321"/>
      <c r="Z215" s="321"/>
      <c r="AB215" s="321"/>
      <c r="AC215" s="321"/>
      <c r="AD215" s="321"/>
      <c r="AE215" s="321"/>
    </row>
    <row r="216" spans="2:31" ht="12.75" hidden="1" customHeight="1">
      <c r="B216" t="s">
        <v>5995</v>
      </c>
      <c r="C216" t="s">
        <v>2982</v>
      </c>
      <c r="D216" t="s">
        <v>1331</v>
      </c>
      <c r="E216" t="s">
        <v>4241</v>
      </c>
      <c r="F216">
        <v>1</v>
      </c>
      <c r="G216">
        <v>1</v>
      </c>
      <c r="H216">
        <v>0</v>
      </c>
      <c r="I216">
        <v>0</v>
      </c>
      <c r="J216">
        <v>0</v>
      </c>
      <c r="K216">
        <v>0</v>
      </c>
      <c r="L216">
        <v>0</v>
      </c>
      <c r="N216" s="822">
        <v>21021</v>
      </c>
      <c r="P216" s="822">
        <v>21020</v>
      </c>
      <c r="Q216">
        <v>1</v>
      </c>
      <c r="R216">
        <v>0</v>
      </c>
      <c r="X216" s="321"/>
      <c r="Y216" s="321"/>
      <c r="Z216" s="321"/>
      <c r="AB216" s="321"/>
      <c r="AC216" s="321"/>
      <c r="AD216" s="321"/>
      <c r="AE216" s="321"/>
    </row>
    <row r="217" spans="2:31" ht="12.75" hidden="1" customHeight="1">
      <c r="B217" t="s">
        <v>5995</v>
      </c>
      <c r="C217" t="s">
        <v>1366</v>
      </c>
      <c r="D217" t="s">
        <v>1331</v>
      </c>
      <c r="E217" t="s">
        <v>4241</v>
      </c>
      <c r="F217">
        <v>1</v>
      </c>
      <c r="G217">
        <v>1</v>
      </c>
      <c r="H217">
        <v>0</v>
      </c>
      <c r="I217">
        <v>0</v>
      </c>
      <c r="J217">
        <v>0</v>
      </c>
      <c r="K217">
        <v>0</v>
      </c>
      <c r="L217">
        <v>0</v>
      </c>
      <c r="N217" s="822">
        <v>21121</v>
      </c>
      <c r="P217" s="822">
        <v>21120</v>
      </c>
      <c r="Q217">
        <v>1</v>
      </c>
      <c r="R217">
        <v>0</v>
      </c>
      <c r="X217" s="321"/>
      <c r="Y217" s="321"/>
      <c r="Z217" s="321"/>
      <c r="AB217" s="321"/>
      <c r="AC217" s="321"/>
      <c r="AD217" s="321"/>
      <c r="AE217" s="321"/>
    </row>
    <row r="218" spans="2:31" ht="12.75" hidden="1" customHeight="1">
      <c r="B218" t="s">
        <v>5995</v>
      </c>
      <c r="C218" t="s">
        <v>4910</v>
      </c>
      <c r="D218" t="s">
        <v>1331</v>
      </c>
      <c r="E218" t="s">
        <v>4241</v>
      </c>
      <c r="F218">
        <v>1</v>
      </c>
      <c r="G218">
        <v>1</v>
      </c>
      <c r="H218">
        <v>0</v>
      </c>
      <c r="I218">
        <v>0</v>
      </c>
      <c r="J218">
        <v>0</v>
      </c>
      <c r="K218">
        <v>0</v>
      </c>
      <c r="L218">
        <v>0</v>
      </c>
      <c r="N218" s="822">
        <v>21221</v>
      </c>
      <c r="P218" s="822">
        <v>21220</v>
      </c>
      <c r="Q218">
        <v>1</v>
      </c>
      <c r="R218">
        <v>0</v>
      </c>
      <c r="X218" s="321"/>
      <c r="Y218" s="321"/>
      <c r="Z218" s="321"/>
      <c r="AB218" s="321"/>
      <c r="AC218" s="321"/>
      <c r="AD218" s="321"/>
      <c r="AE218" s="321"/>
    </row>
    <row r="219" spans="2:31" ht="12.75" hidden="1" customHeight="1">
      <c r="B219" t="s">
        <v>5995</v>
      </c>
      <c r="C219" t="s">
        <v>5479</v>
      </c>
      <c r="D219" t="s">
        <v>1331</v>
      </c>
      <c r="E219" t="s">
        <v>4241</v>
      </c>
      <c r="F219">
        <v>1</v>
      </c>
      <c r="G219">
        <v>1</v>
      </c>
      <c r="H219">
        <v>0</v>
      </c>
      <c r="I219">
        <v>0</v>
      </c>
      <c r="J219">
        <v>0</v>
      </c>
      <c r="K219">
        <v>0</v>
      </c>
      <c r="L219">
        <v>0</v>
      </c>
      <c r="N219" s="822">
        <v>21321</v>
      </c>
      <c r="P219" s="822">
        <v>21320</v>
      </c>
      <c r="Q219">
        <v>1</v>
      </c>
      <c r="R219">
        <v>0</v>
      </c>
      <c r="X219" s="321"/>
      <c r="Y219" s="321"/>
      <c r="Z219" s="321"/>
      <c r="AB219" s="321"/>
      <c r="AC219" s="321"/>
      <c r="AD219" s="321"/>
      <c r="AE219" s="321"/>
    </row>
    <row r="220" spans="2:31" ht="12.75" hidden="1" customHeight="1">
      <c r="B220" t="s">
        <v>5995</v>
      </c>
      <c r="C220" t="s">
        <v>3568</v>
      </c>
      <c r="D220" t="s">
        <v>1331</v>
      </c>
      <c r="E220" t="s">
        <v>4241</v>
      </c>
      <c r="F220">
        <v>1</v>
      </c>
      <c r="G220">
        <v>1</v>
      </c>
      <c r="H220">
        <v>0</v>
      </c>
      <c r="I220">
        <v>0</v>
      </c>
      <c r="J220">
        <v>0</v>
      </c>
      <c r="K220">
        <v>0</v>
      </c>
      <c r="L220">
        <v>0</v>
      </c>
      <c r="N220" s="822">
        <v>21421</v>
      </c>
      <c r="P220" s="822">
        <v>21420</v>
      </c>
      <c r="Q220">
        <v>1</v>
      </c>
      <c r="R220">
        <v>0</v>
      </c>
      <c r="X220" s="321"/>
      <c r="Y220" s="321"/>
      <c r="Z220" s="321"/>
      <c r="AB220" s="321"/>
      <c r="AC220" s="321"/>
      <c r="AD220" s="321"/>
      <c r="AE220" s="321"/>
    </row>
    <row r="221" spans="2:31" ht="12.75" hidden="1" customHeight="1">
      <c r="B221" t="s">
        <v>5995</v>
      </c>
      <c r="C221" t="s">
        <v>1257</v>
      </c>
      <c r="D221" t="s">
        <v>2819</v>
      </c>
      <c r="E221" t="s">
        <v>969</v>
      </c>
      <c r="F221">
        <v>0</v>
      </c>
      <c r="G221">
        <v>1</v>
      </c>
      <c r="H221">
        <v>0</v>
      </c>
      <c r="I221">
        <v>1</v>
      </c>
      <c r="J221">
        <v>1</v>
      </c>
      <c r="K221">
        <v>1</v>
      </c>
      <c r="L221">
        <v>1</v>
      </c>
      <c r="N221" s="822">
        <v>20132</v>
      </c>
      <c r="P221" s="822">
        <v>20130</v>
      </c>
      <c r="Q221">
        <v>1</v>
      </c>
      <c r="R221">
        <v>0</v>
      </c>
      <c r="X221" s="321"/>
      <c r="Y221" s="321"/>
      <c r="Z221" s="321"/>
      <c r="AB221" s="321"/>
      <c r="AC221" s="321"/>
      <c r="AD221" s="321"/>
      <c r="AE221" s="321"/>
    </row>
    <row r="222" spans="2:31" ht="12.75" hidden="1" customHeight="1">
      <c r="B222" t="s">
        <v>5995</v>
      </c>
      <c r="C222" t="s">
        <v>3321</v>
      </c>
      <c r="D222" t="s">
        <v>2819</v>
      </c>
      <c r="E222" t="s">
        <v>969</v>
      </c>
      <c r="F222">
        <v>0</v>
      </c>
      <c r="G222">
        <v>1</v>
      </c>
      <c r="H222">
        <v>0</v>
      </c>
      <c r="I222">
        <v>1</v>
      </c>
      <c r="J222">
        <v>1</v>
      </c>
      <c r="K222">
        <v>1</v>
      </c>
      <c r="L222">
        <v>1</v>
      </c>
      <c r="N222" s="822">
        <v>20232</v>
      </c>
      <c r="P222" s="822">
        <v>20230</v>
      </c>
      <c r="Q222">
        <v>1</v>
      </c>
      <c r="R222">
        <v>0</v>
      </c>
      <c r="X222" s="321"/>
      <c r="Y222" s="321"/>
      <c r="Z222" s="321"/>
      <c r="AB222" s="321"/>
      <c r="AC222" s="321"/>
      <c r="AD222" s="321"/>
      <c r="AE222" s="321"/>
    </row>
    <row r="223" spans="2:31" ht="12.75" hidden="1" customHeight="1">
      <c r="B223" t="s">
        <v>5995</v>
      </c>
      <c r="C223" t="s">
        <v>1750</v>
      </c>
      <c r="D223" t="s">
        <v>2819</v>
      </c>
      <c r="E223" t="s">
        <v>969</v>
      </c>
      <c r="F223">
        <v>0</v>
      </c>
      <c r="G223">
        <v>1</v>
      </c>
      <c r="H223">
        <v>0</v>
      </c>
      <c r="I223">
        <v>1</v>
      </c>
      <c r="J223">
        <v>1</v>
      </c>
      <c r="K223">
        <v>1</v>
      </c>
      <c r="L223">
        <v>1</v>
      </c>
      <c r="N223" s="822">
        <v>20332</v>
      </c>
      <c r="P223" s="822">
        <v>20330</v>
      </c>
      <c r="Q223">
        <v>1</v>
      </c>
      <c r="R223">
        <v>0</v>
      </c>
      <c r="X223" s="321"/>
      <c r="Y223" s="321"/>
      <c r="Z223" s="321"/>
      <c r="AB223" s="321"/>
      <c r="AC223" s="321"/>
      <c r="AD223" s="321"/>
      <c r="AE223" s="321"/>
    </row>
    <row r="224" spans="2:31" ht="12.75" hidden="1" customHeight="1">
      <c r="B224" t="s">
        <v>5995</v>
      </c>
      <c r="C224" t="s">
        <v>5275</v>
      </c>
      <c r="D224" t="s">
        <v>2819</v>
      </c>
      <c r="E224" t="s">
        <v>969</v>
      </c>
      <c r="F224">
        <v>0</v>
      </c>
      <c r="G224">
        <v>1</v>
      </c>
      <c r="H224">
        <v>0</v>
      </c>
      <c r="I224">
        <v>1</v>
      </c>
      <c r="J224">
        <v>1</v>
      </c>
      <c r="K224">
        <v>1</v>
      </c>
      <c r="L224">
        <v>1</v>
      </c>
      <c r="N224" s="822">
        <v>20432</v>
      </c>
      <c r="P224" s="822">
        <v>20430</v>
      </c>
      <c r="Q224">
        <v>1</v>
      </c>
      <c r="R224">
        <v>0</v>
      </c>
      <c r="X224" s="321"/>
      <c r="Y224" s="321"/>
      <c r="Z224" s="321"/>
      <c r="AB224" s="321"/>
      <c r="AC224" s="321"/>
      <c r="AD224" s="321"/>
      <c r="AE224" s="321"/>
    </row>
    <row r="225" spans="2:31" ht="12.75" hidden="1" customHeight="1">
      <c r="B225" t="s">
        <v>5995</v>
      </c>
      <c r="C225" t="s">
        <v>5271</v>
      </c>
      <c r="D225" t="s">
        <v>2819</v>
      </c>
      <c r="E225" t="s">
        <v>969</v>
      </c>
      <c r="F225">
        <v>0</v>
      </c>
      <c r="G225">
        <v>1</v>
      </c>
      <c r="H225">
        <v>0</v>
      </c>
      <c r="I225">
        <v>1</v>
      </c>
      <c r="J225">
        <v>1</v>
      </c>
      <c r="K225">
        <v>1</v>
      </c>
      <c r="L225">
        <v>1</v>
      </c>
      <c r="N225" s="822">
        <v>20532</v>
      </c>
      <c r="P225" s="822">
        <v>20530</v>
      </c>
      <c r="Q225">
        <v>1</v>
      </c>
      <c r="R225">
        <v>0</v>
      </c>
      <c r="X225" s="321"/>
      <c r="Y225" s="321"/>
      <c r="Z225" s="321"/>
      <c r="AB225" s="321"/>
      <c r="AC225" s="321"/>
      <c r="AD225" s="321"/>
      <c r="AE225" s="321"/>
    </row>
    <row r="226" spans="2:31" ht="12.75" hidden="1" customHeight="1">
      <c r="B226" t="s">
        <v>5995</v>
      </c>
      <c r="C226" t="s">
        <v>4747</v>
      </c>
      <c r="D226" t="s">
        <v>2819</v>
      </c>
      <c r="E226" t="s">
        <v>969</v>
      </c>
      <c r="F226">
        <v>0</v>
      </c>
      <c r="G226">
        <v>1</v>
      </c>
      <c r="H226">
        <v>0</v>
      </c>
      <c r="I226">
        <v>1</v>
      </c>
      <c r="J226">
        <v>1</v>
      </c>
      <c r="K226">
        <v>1</v>
      </c>
      <c r="L226">
        <v>1</v>
      </c>
      <c r="N226" s="822">
        <v>20632</v>
      </c>
      <c r="P226" s="822">
        <v>20630</v>
      </c>
      <c r="Q226">
        <v>1</v>
      </c>
      <c r="R226">
        <v>0</v>
      </c>
      <c r="X226" s="321"/>
      <c r="Y226" s="321"/>
      <c r="Z226" s="321"/>
      <c r="AB226" s="321"/>
      <c r="AC226" s="321"/>
      <c r="AD226" s="321"/>
      <c r="AE226" s="321"/>
    </row>
    <row r="227" spans="2:31" ht="12.75" hidden="1" customHeight="1">
      <c r="B227" t="s">
        <v>5995</v>
      </c>
      <c r="C227" t="s">
        <v>2477</v>
      </c>
      <c r="D227" t="s">
        <v>2819</v>
      </c>
      <c r="E227" t="s">
        <v>969</v>
      </c>
      <c r="F227">
        <v>0</v>
      </c>
      <c r="G227">
        <v>1</v>
      </c>
      <c r="H227">
        <v>0</v>
      </c>
      <c r="I227">
        <v>1</v>
      </c>
      <c r="J227">
        <v>1</v>
      </c>
      <c r="K227">
        <v>1</v>
      </c>
      <c r="L227">
        <v>1</v>
      </c>
      <c r="N227" s="822">
        <v>20732</v>
      </c>
      <c r="P227" s="822">
        <v>20730</v>
      </c>
      <c r="Q227">
        <v>1</v>
      </c>
      <c r="R227">
        <v>0</v>
      </c>
      <c r="X227" s="321"/>
      <c r="Y227" s="321"/>
      <c r="Z227" s="321"/>
      <c r="AB227" s="321"/>
      <c r="AC227" s="321"/>
      <c r="AD227" s="321"/>
      <c r="AE227" s="321"/>
    </row>
    <row r="228" spans="2:31" ht="12.75" hidden="1" customHeight="1">
      <c r="B228" t="s">
        <v>5995</v>
      </c>
      <c r="C228" t="s">
        <v>4748</v>
      </c>
      <c r="D228" t="s">
        <v>2819</v>
      </c>
      <c r="E228" t="s">
        <v>969</v>
      </c>
      <c r="F228">
        <v>0</v>
      </c>
      <c r="G228">
        <v>1</v>
      </c>
      <c r="H228">
        <v>0</v>
      </c>
      <c r="I228">
        <v>1</v>
      </c>
      <c r="J228">
        <v>1</v>
      </c>
      <c r="K228">
        <v>1</v>
      </c>
      <c r="L228">
        <v>1</v>
      </c>
      <c r="N228" s="822">
        <v>20832</v>
      </c>
      <c r="P228" s="822">
        <v>20830</v>
      </c>
      <c r="Q228">
        <v>1</v>
      </c>
      <c r="R228">
        <v>0</v>
      </c>
      <c r="X228" s="321"/>
      <c r="Y228" s="321"/>
      <c r="Z228" s="321"/>
      <c r="AB228" s="321"/>
      <c r="AC228" s="321"/>
      <c r="AD228" s="321"/>
      <c r="AE228" s="321"/>
    </row>
    <row r="229" spans="2:31" ht="12.75" hidden="1" customHeight="1">
      <c r="B229" t="s">
        <v>5995</v>
      </c>
      <c r="C229" t="s">
        <v>2415</v>
      </c>
      <c r="D229" t="s">
        <v>2819</v>
      </c>
      <c r="E229" t="s">
        <v>969</v>
      </c>
      <c r="F229">
        <v>0</v>
      </c>
      <c r="G229">
        <v>1</v>
      </c>
      <c r="H229">
        <v>0</v>
      </c>
      <c r="I229">
        <v>1</v>
      </c>
      <c r="J229">
        <v>1</v>
      </c>
      <c r="K229">
        <v>1</v>
      </c>
      <c r="L229">
        <v>1</v>
      </c>
      <c r="N229" s="822">
        <v>20932</v>
      </c>
      <c r="P229" s="822">
        <v>20930</v>
      </c>
      <c r="Q229">
        <v>1</v>
      </c>
      <c r="R229">
        <v>0</v>
      </c>
      <c r="X229" s="321"/>
      <c r="Y229" s="321"/>
      <c r="Z229" s="321"/>
      <c r="AB229" s="321"/>
      <c r="AC229" s="321"/>
      <c r="AD229" s="321"/>
      <c r="AE229" s="321"/>
    </row>
    <row r="230" spans="2:31" ht="12.75" hidden="1" customHeight="1">
      <c r="B230" t="s">
        <v>5995</v>
      </c>
      <c r="C230" t="s">
        <v>2982</v>
      </c>
      <c r="D230" t="s">
        <v>2819</v>
      </c>
      <c r="E230" t="s">
        <v>969</v>
      </c>
      <c r="F230">
        <v>0</v>
      </c>
      <c r="G230">
        <v>1</v>
      </c>
      <c r="H230">
        <v>0</v>
      </c>
      <c r="I230">
        <v>1</v>
      </c>
      <c r="J230">
        <v>1</v>
      </c>
      <c r="K230">
        <v>1</v>
      </c>
      <c r="L230">
        <v>1</v>
      </c>
      <c r="N230" s="822">
        <v>21032</v>
      </c>
      <c r="P230" s="822">
        <v>21030</v>
      </c>
      <c r="Q230">
        <v>1</v>
      </c>
      <c r="R230">
        <v>0</v>
      </c>
      <c r="X230" s="321"/>
      <c r="Y230" s="321"/>
      <c r="Z230" s="321"/>
      <c r="AB230" s="321"/>
      <c r="AC230" s="321"/>
      <c r="AD230" s="321"/>
      <c r="AE230" s="321"/>
    </row>
    <row r="231" spans="2:31" ht="12.75" hidden="1" customHeight="1">
      <c r="B231" t="s">
        <v>5995</v>
      </c>
      <c r="C231" t="s">
        <v>1366</v>
      </c>
      <c r="D231" t="s">
        <v>2819</v>
      </c>
      <c r="E231" t="s">
        <v>969</v>
      </c>
      <c r="F231">
        <v>0</v>
      </c>
      <c r="G231">
        <v>1</v>
      </c>
      <c r="H231">
        <v>0</v>
      </c>
      <c r="I231">
        <v>1</v>
      </c>
      <c r="J231">
        <v>1</v>
      </c>
      <c r="K231">
        <v>1</v>
      </c>
      <c r="L231">
        <v>1</v>
      </c>
      <c r="N231" s="822">
        <v>21132</v>
      </c>
      <c r="P231" s="822">
        <v>21130</v>
      </c>
      <c r="Q231">
        <v>1</v>
      </c>
      <c r="R231">
        <v>0</v>
      </c>
      <c r="X231" s="321"/>
      <c r="Y231" s="321"/>
      <c r="Z231" s="321"/>
      <c r="AB231" s="321"/>
      <c r="AC231" s="321"/>
      <c r="AD231" s="321"/>
      <c r="AE231" s="321"/>
    </row>
    <row r="232" spans="2:31" ht="12.75" hidden="1" customHeight="1">
      <c r="B232" t="s">
        <v>5995</v>
      </c>
      <c r="C232" t="s">
        <v>4910</v>
      </c>
      <c r="D232" t="s">
        <v>2819</v>
      </c>
      <c r="E232" t="s">
        <v>969</v>
      </c>
      <c r="F232">
        <v>0</v>
      </c>
      <c r="G232">
        <v>1</v>
      </c>
      <c r="H232">
        <v>0</v>
      </c>
      <c r="I232">
        <v>1</v>
      </c>
      <c r="J232">
        <v>1</v>
      </c>
      <c r="K232">
        <v>1</v>
      </c>
      <c r="L232">
        <v>1</v>
      </c>
      <c r="N232" s="822">
        <v>21232</v>
      </c>
      <c r="P232" s="822">
        <v>21230</v>
      </c>
      <c r="Q232">
        <v>1</v>
      </c>
      <c r="R232">
        <v>0</v>
      </c>
      <c r="X232" s="321"/>
      <c r="Y232" s="321"/>
      <c r="Z232" s="321"/>
      <c r="AB232" s="321"/>
      <c r="AC232" s="321"/>
      <c r="AD232" s="321"/>
      <c r="AE232" s="321"/>
    </row>
    <row r="233" spans="2:31" ht="12.75" hidden="1" customHeight="1">
      <c r="B233" t="s">
        <v>5995</v>
      </c>
      <c r="C233" t="s">
        <v>5479</v>
      </c>
      <c r="D233" t="s">
        <v>2819</v>
      </c>
      <c r="E233" t="s">
        <v>969</v>
      </c>
      <c r="F233">
        <v>0</v>
      </c>
      <c r="G233">
        <v>1</v>
      </c>
      <c r="H233">
        <v>0</v>
      </c>
      <c r="I233">
        <v>1</v>
      </c>
      <c r="J233">
        <v>1</v>
      </c>
      <c r="K233">
        <v>1</v>
      </c>
      <c r="L233">
        <v>1</v>
      </c>
      <c r="N233" s="822">
        <v>21332</v>
      </c>
      <c r="P233" s="822">
        <v>21330</v>
      </c>
      <c r="Q233">
        <v>1</v>
      </c>
      <c r="R233">
        <v>0</v>
      </c>
      <c r="X233" s="321"/>
      <c r="Y233" s="321"/>
      <c r="Z233" s="321"/>
      <c r="AB233" s="321"/>
      <c r="AC233" s="321"/>
      <c r="AD233" s="321"/>
      <c r="AE233" s="321"/>
    </row>
    <row r="234" spans="2:31" ht="12.75" hidden="1" customHeight="1">
      <c r="B234" t="s">
        <v>5995</v>
      </c>
      <c r="C234" t="s">
        <v>3568</v>
      </c>
      <c r="D234" t="s">
        <v>2819</v>
      </c>
      <c r="E234" t="s">
        <v>969</v>
      </c>
      <c r="F234">
        <v>0</v>
      </c>
      <c r="G234">
        <v>1</v>
      </c>
      <c r="H234">
        <v>0</v>
      </c>
      <c r="I234">
        <v>1</v>
      </c>
      <c r="J234">
        <v>1</v>
      </c>
      <c r="K234">
        <v>1</v>
      </c>
      <c r="L234">
        <v>1</v>
      </c>
      <c r="N234" s="822">
        <v>21432</v>
      </c>
      <c r="P234" s="822">
        <v>21430</v>
      </c>
      <c r="Q234">
        <v>1</v>
      </c>
      <c r="R234">
        <v>0</v>
      </c>
      <c r="X234" s="321"/>
      <c r="Y234" s="321"/>
      <c r="Z234" s="321"/>
      <c r="AB234" s="321"/>
      <c r="AC234" s="321"/>
      <c r="AD234" s="321"/>
      <c r="AE234" s="321"/>
    </row>
    <row r="235" spans="2:31" ht="12.75" hidden="1" customHeight="1">
      <c r="B235" t="s">
        <v>5995</v>
      </c>
      <c r="C235" t="s">
        <v>1257</v>
      </c>
      <c r="D235" t="s">
        <v>2819</v>
      </c>
      <c r="E235" t="s">
        <v>4241</v>
      </c>
      <c r="F235">
        <v>0</v>
      </c>
      <c r="G235">
        <v>1</v>
      </c>
      <c r="H235">
        <v>0</v>
      </c>
      <c r="I235">
        <v>0</v>
      </c>
      <c r="J235">
        <v>0</v>
      </c>
      <c r="K235">
        <v>0</v>
      </c>
      <c r="L235">
        <v>0</v>
      </c>
      <c r="N235" s="822">
        <v>20131</v>
      </c>
      <c r="P235" s="822">
        <v>20130</v>
      </c>
      <c r="Q235">
        <v>1</v>
      </c>
      <c r="R235">
        <v>0</v>
      </c>
      <c r="X235" s="321"/>
      <c r="Y235" s="321"/>
      <c r="Z235" s="321"/>
      <c r="AB235" s="321"/>
      <c r="AC235" s="321"/>
      <c r="AD235" s="321"/>
      <c r="AE235" s="321"/>
    </row>
    <row r="236" spans="2:31" ht="12.75" hidden="1" customHeight="1">
      <c r="B236" t="s">
        <v>5995</v>
      </c>
      <c r="C236" t="s">
        <v>3321</v>
      </c>
      <c r="D236" t="s">
        <v>2819</v>
      </c>
      <c r="E236" t="s">
        <v>4241</v>
      </c>
      <c r="F236">
        <v>0</v>
      </c>
      <c r="G236">
        <v>1</v>
      </c>
      <c r="H236">
        <v>0</v>
      </c>
      <c r="I236">
        <v>0</v>
      </c>
      <c r="J236">
        <v>0</v>
      </c>
      <c r="K236">
        <v>0</v>
      </c>
      <c r="L236">
        <v>0</v>
      </c>
      <c r="N236" s="822">
        <v>20231</v>
      </c>
      <c r="P236" s="822">
        <v>20230</v>
      </c>
      <c r="Q236">
        <v>1</v>
      </c>
      <c r="R236">
        <v>0</v>
      </c>
      <c r="X236" s="321"/>
      <c r="Y236" s="321"/>
      <c r="Z236" s="321"/>
      <c r="AB236" s="321"/>
      <c r="AC236" s="321"/>
      <c r="AD236" s="321"/>
      <c r="AE236" s="321"/>
    </row>
    <row r="237" spans="2:31" ht="12.75" hidden="1" customHeight="1">
      <c r="B237" t="s">
        <v>5995</v>
      </c>
      <c r="C237" t="s">
        <v>1750</v>
      </c>
      <c r="D237" t="s">
        <v>2819</v>
      </c>
      <c r="E237" t="s">
        <v>4241</v>
      </c>
      <c r="F237">
        <v>0</v>
      </c>
      <c r="G237">
        <v>1</v>
      </c>
      <c r="H237">
        <v>0</v>
      </c>
      <c r="I237">
        <v>0</v>
      </c>
      <c r="J237">
        <v>0</v>
      </c>
      <c r="K237">
        <v>0</v>
      </c>
      <c r="L237">
        <v>0</v>
      </c>
      <c r="N237" s="822">
        <v>20331</v>
      </c>
      <c r="P237" s="822">
        <v>20330</v>
      </c>
      <c r="Q237">
        <v>1</v>
      </c>
      <c r="R237">
        <v>0</v>
      </c>
      <c r="X237" s="321"/>
      <c r="Y237" s="321"/>
      <c r="Z237" s="321"/>
      <c r="AB237" s="321"/>
      <c r="AC237" s="321"/>
      <c r="AD237" s="321"/>
      <c r="AE237" s="321"/>
    </row>
    <row r="238" spans="2:31" ht="12.75" hidden="1" customHeight="1">
      <c r="B238" t="s">
        <v>5995</v>
      </c>
      <c r="C238" t="s">
        <v>5275</v>
      </c>
      <c r="D238" t="s">
        <v>2819</v>
      </c>
      <c r="E238" t="s">
        <v>4241</v>
      </c>
      <c r="F238">
        <v>0</v>
      </c>
      <c r="G238">
        <v>1</v>
      </c>
      <c r="H238">
        <v>0</v>
      </c>
      <c r="I238">
        <v>0</v>
      </c>
      <c r="J238">
        <v>0</v>
      </c>
      <c r="K238">
        <v>0</v>
      </c>
      <c r="L238">
        <v>0</v>
      </c>
      <c r="N238" s="822">
        <v>20431</v>
      </c>
      <c r="P238" s="822">
        <v>20430</v>
      </c>
      <c r="Q238">
        <v>1</v>
      </c>
      <c r="R238">
        <v>0</v>
      </c>
      <c r="X238" s="321"/>
      <c r="Y238" s="321"/>
      <c r="Z238" s="321"/>
      <c r="AB238" s="321"/>
      <c r="AC238" s="321"/>
      <c r="AD238" s="321"/>
      <c r="AE238" s="321"/>
    </row>
    <row r="239" spans="2:31" ht="12.75" hidden="1" customHeight="1">
      <c r="B239" t="s">
        <v>5995</v>
      </c>
      <c r="C239" t="s">
        <v>5271</v>
      </c>
      <c r="D239" t="s">
        <v>2819</v>
      </c>
      <c r="E239" t="s">
        <v>4241</v>
      </c>
      <c r="F239">
        <v>0</v>
      </c>
      <c r="G239">
        <v>1</v>
      </c>
      <c r="H239">
        <v>0</v>
      </c>
      <c r="I239">
        <v>0</v>
      </c>
      <c r="J239">
        <v>0</v>
      </c>
      <c r="K239">
        <v>0</v>
      </c>
      <c r="L239">
        <v>0</v>
      </c>
      <c r="N239" s="822">
        <v>20531</v>
      </c>
      <c r="P239" s="822">
        <v>20530</v>
      </c>
      <c r="Q239">
        <v>1</v>
      </c>
      <c r="R239">
        <v>0</v>
      </c>
      <c r="X239" s="321"/>
      <c r="Y239" s="321"/>
      <c r="Z239" s="321"/>
      <c r="AB239" s="321"/>
      <c r="AC239" s="321"/>
      <c r="AD239" s="321"/>
      <c r="AE239" s="321"/>
    </row>
    <row r="240" spans="2:31" ht="12.75" hidden="1" customHeight="1">
      <c r="B240" t="s">
        <v>5995</v>
      </c>
      <c r="C240" t="s">
        <v>4747</v>
      </c>
      <c r="D240" t="s">
        <v>2819</v>
      </c>
      <c r="E240" t="s">
        <v>4241</v>
      </c>
      <c r="F240">
        <v>0</v>
      </c>
      <c r="G240">
        <v>1</v>
      </c>
      <c r="H240">
        <v>0</v>
      </c>
      <c r="I240">
        <v>0</v>
      </c>
      <c r="J240">
        <v>0</v>
      </c>
      <c r="K240">
        <v>0</v>
      </c>
      <c r="L240">
        <v>0</v>
      </c>
      <c r="N240" s="822">
        <v>20631</v>
      </c>
      <c r="P240" s="822">
        <v>20630</v>
      </c>
      <c r="Q240">
        <v>1</v>
      </c>
      <c r="R240">
        <v>0</v>
      </c>
      <c r="X240" s="321"/>
      <c r="Y240" s="321"/>
      <c r="Z240" s="321"/>
      <c r="AB240" s="321"/>
      <c r="AC240" s="321"/>
      <c r="AD240" s="321"/>
      <c r="AE240" s="321"/>
    </row>
    <row r="241" spans="2:31" ht="12.75" hidden="1" customHeight="1">
      <c r="B241" t="s">
        <v>5995</v>
      </c>
      <c r="C241" t="s">
        <v>2477</v>
      </c>
      <c r="D241" t="s">
        <v>2819</v>
      </c>
      <c r="E241" t="s">
        <v>4241</v>
      </c>
      <c r="F241">
        <v>0</v>
      </c>
      <c r="G241">
        <v>1</v>
      </c>
      <c r="H241">
        <v>0</v>
      </c>
      <c r="I241">
        <v>0</v>
      </c>
      <c r="J241">
        <v>0</v>
      </c>
      <c r="K241">
        <v>0</v>
      </c>
      <c r="L241">
        <v>0</v>
      </c>
      <c r="N241" s="822">
        <v>20731</v>
      </c>
      <c r="P241" s="822">
        <v>20730</v>
      </c>
      <c r="Q241">
        <v>1</v>
      </c>
      <c r="R241">
        <v>0</v>
      </c>
      <c r="X241" s="321"/>
      <c r="Y241" s="321"/>
      <c r="Z241" s="321"/>
      <c r="AB241" s="321"/>
      <c r="AC241" s="321"/>
      <c r="AD241" s="321"/>
      <c r="AE241" s="321"/>
    </row>
    <row r="242" spans="2:31" ht="12.75" hidden="1" customHeight="1">
      <c r="B242" t="s">
        <v>5995</v>
      </c>
      <c r="C242" t="s">
        <v>4748</v>
      </c>
      <c r="D242" t="s">
        <v>2819</v>
      </c>
      <c r="E242" t="s">
        <v>4241</v>
      </c>
      <c r="F242">
        <v>0</v>
      </c>
      <c r="G242">
        <v>1</v>
      </c>
      <c r="H242">
        <v>0</v>
      </c>
      <c r="I242">
        <v>0</v>
      </c>
      <c r="J242">
        <v>0</v>
      </c>
      <c r="K242">
        <v>0</v>
      </c>
      <c r="L242">
        <v>0</v>
      </c>
      <c r="N242" s="822">
        <v>20831</v>
      </c>
      <c r="P242" s="822">
        <v>20830</v>
      </c>
      <c r="Q242">
        <v>1</v>
      </c>
      <c r="R242">
        <v>0</v>
      </c>
      <c r="X242" s="321"/>
      <c r="Y242" s="321"/>
      <c r="Z242" s="321"/>
      <c r="AB242" s="321"/>
      <c r="AC242" s="321"/>
      <c r="AD242" s="321"/>
      <c r="AE242" s="321"/>
    </row>
    <row r="243" spans="2:31" ht="12.75" hidden="1" customHeight="1">
      <c r="B243" t="s">
        <v>5995</v>
      </c>
      <c r="C243" t="s">
        <v>2415</v>
      </c>
      <c r="D243" t="s">
        <v>2819</v>
      </c>
      <c r="E243" t="s">
        <v>4241</v>
      </c>
      <c r="F243">
        <v>0</v>
      </c>
      <c r="G243">
        <v>1</v>
      </c>
      <c r="H243">
        <v>0</v>
      </c>
      <c r="I243">
        <v>0</v>
      </c>
      <c r="J243">
        <v>0</v>
      </c>
      <c r="K243">
        <v>0</v>
      </c>
      <c r="L243">
        <v>0</v>
      </c>
      <c r="N243" s="822">
        <v>20931</v>
      </c>
      <c r="P243" s="822">
        <v>20930</v>
      </c>
      <c r="Q243">
        <v>1</v>
      </c>
      <c r="R243">
        <v>0</v>
      </c>
      <c r="X243" s="321"/>
      <c r="Y243" s="321"/>
      <c r="Z243" s="321"/>
      <c r="AB243" s="321"/>
      <c r="AC243" s="321"/>
      <c r="AD243" s="321"/>
      <c r="AE243" s="321"/>
    </row>
    <row r="244" spans="2:31" ht="12.75" hidden="1" customHeight="1">
      <c r="B244" t="s">
        <v>5995</v>
      </c>
      <c r="C244" t="s">
        <v>2982</v>
      </c>
      <c r="D244" t="s">
        <v>2819</v>
      </c>
      <c r="E244" t="s">
        <v>4241</v>
      </c>
      <c r="F244">
        <v>0</v>
      </c>
      <c r="G244">
        <v>1</v>
      </c>
      <c r="H244">
        <v>0</v>
      </c>
      <c r="I244">
        <v>0</v>
      </c>
      <c r="J244">
        <v>0</v>
      </c>
      <c r="K244">
        <v>0</v>
      </c>
      <c r="L244">
        <v>0</v>
      </c>
      <c r="N244" s="822">
        <v>21031</v>
      </c>
      <c r="P244" s="822">
        <v>21030</v>
      </c>
      <c r="Q244">
        <v>1</v>
      </c>
      <c r="R244">
        <v>0</v>
      </c>
      <c r="X244" s="321"/>
      <c r="Y244" s="321"/>
      <c r="Z244" s="321"/>
      <c r="AB244" s="321"/>
      <c r="AC244" s="321"/>
      <c r="AD244" s="321"/>
      <c r="AE244" s="321"/>
    </row>
    <row r="245" spans="2:31" ht="12.75" hidden="1" customHeight="1">
      <c r="B245" t="s">
        <v>5995</v>
      </c>
      <c r="C245" t="s">
        <v>1366</v>
      </c>
      <c r="D245" t="s">
        <v>2819</v>
      </c>
      <c r="E245" t="s">
        <v>4241</v>
      </c>
      <c r="F245">
        <v>0</v>
      </c>
      <c r="G245">
        <v>1</v>
      </c>
      <c r="H245">
        <v>0</v>
      </c>
      <c r="I245">
        <v>0</v>
      </c>
      <c r="J245">
        <v>0</v>
      </c>
      <c r="K245">
        <v>0</v>
      </c>
      <c r="L245">
        <v>0</v>
      </c>
      <c r="N245" s="822">
        <v>21131</v>
      </c>
      <c r="P245" s="822">
        <v>21130</v>
      </c>
      <c r="Q245">
        <v>1</v>
      </c>
      <c r="R245">
        <v>0</v>
      </c>
      <c r="X245" s="321"/>
      <c r="Y245" s="321"/>
      <c r="Z245" s="321"/>
      <c r="AB245" s="321"/>
      <c r="AC245" s="321"/>
      <c r="AD245" s="321"/>
      <c r="AE245" s="321"/>
    </row>
    <row r="246" spans="2:31" ht="12.75" hidden="1" customHeight="1">
      <c r="B246" t="s">
        <v>5995</v>
      </c>
      <c r="C246" t="s">
        <v>4910</v>
      </c>
      <c r="D246" t="s">
        <v>2819</v>
      </c>
      <c r="E246" t="s">
        <v>4241</v>
      </c>
      <c r="F246">
        <v>0</v>
      </c>
      <c r="G246">
        <v>1</v>
      </c>
      <c r="H246">
        <v>0</v>
      </c>
      <c r="I246">
        <v>0</v>
      </c>
      <c r="J246">
        <v>0</v>
      </c>
      <c r="K246">
        <v>0</v>
      </c>
      <c r="L246">
        <v>0</v>
      </c>
      <c r="N246" s="822">
        <v>21231</v>
      </c>
      <c r="P246" s="822">
        <v>21230</v>
      </c>
      <c r="Q246">
        <v>1</v>
      </c>
      <c r="R246">
        <v>0</v>
      </c>
      <c r="X246" s="321"/>
      <c r="Y246" s="321"/>
      <c r="Z246" s="321"/>
      <c r="AB246" s="321"/>
      <c r="AC246" s="321"/>
      <c r="AD246" s="321"/>
      <c r="AE246" s="321"/>
    </row>
    <row r="247" spans="2:31" ht="12.75" hidden="1" customHeight="1">
      <c r="B247" t="s">
        <v>5995</v>
      </c>
      <c r="C247" t="s">
        <v>5479</v>
      </c>
      <c r="D247" t="s">
        <v>2819</v>
      </c>
      <c r="E247" t="s">
        <v>4241</v>
      </c>
      <c r="F247">
        <v>0</v>
      </c>
      <c r="G247">
        <v>1</v>
      </c>
      <c r="H247">
        <v>0</v>
      </c>
      <c r="I247">
        <v>0</v>
      </c>
      <c r="J247">
        <v>0</v>
      </c>
      <c r="K247">
        <v>0</v>
      </c>
      <c r="L247">
        <v>0</v>
      </c>
      <c r="N247" s="822">
        <v>21331</v>
      </c>
      <c r="P247" s="822">
        <v>21330</v>
      </c>
      <c r="Q247">
        <v>1</v>
      </c>
      <c r="R247">
        <v>0</v>
      </c>
      <c r="X247" s="321"/>
      <c r="Y247" s="321"/>
      <c r="Z247" s="321"/>
      <c r="AB247" s="321"/>
      <c r="AC247" s="321"/>
      <c r="AD247" s="321"/>
      <c r="AE247" s="321"/>
    </row>
    <row r="248" spans="2:31" ht="12.75" hidden="1" customHeight="1">
      <c r="B248" t="s">
        <v>5995</v>
      </c>
      <c r="C248" t="s">
        <v>3568</v>
      </c>
      <c r="D248" t="s">
        <v>2819</v>
      </c>
      <c r="E248" t="s">
        <v>4241</v>
      </c>
      <c r="F248">
        <v>0</v>
      </c>
      <c r="G248">
        <v>1</v>
      </c>
      <c r="H248">
        <v>0</v>
      </c>
      <c r="I248">
        <v>0</v>
      </c>
      <c r="J248">
        <v>0</v>
      </c>
      <c r="K248">
        <v>0</v>
      </c>
      <c r="L248">
        <v>0</v>
      </c>
      <c r="N248" s="822">
        <v>21431</v>
      </c>
      <c r="P248" s="822">
        <v>21430</v>
      </c>
      <c r="Q248">
        <v>1</v>
      </c>
      <c r="R248">
        <v>0</v>
      </c>
      <c r="X248" s="321"/>
      <c r="Y248" s="321"/>
      <c r="Z248" s="321"/>
      <c r="AB248" s="321"/>
      <c r="AC248" s="321"/>
      <c r="AD248" s="321"/>
      <c r="AE248" s="321"/>
    </row>
    <row r="249" spans="2:31" ht="12.75" hidden="1" customHeight="1">
      <c r="B249" t="s">
        <v>5995</v>
      </c>
      <c r="C249" t="s">
        <v>1257</v>
      </c>
      <c r="D249" t="s">
        <v>5414</v>
      </c>
      <c r="E249" t="s">
        <v>969</v>
      </c>
      <c r="F249">
        <v>1</v>
      </c>
      <c r="G249">
        <v>1</v>
      </c>
      <c r="H249">
        <v>0</v>
      </c>
      <c r="I249">
        <v>1</v>
      </c>
      <c r="J249">
        <v>1</v>
      </c>
      <c r="K249">
        <v>1</v>
      </c>
      <c r="L249">
        <v>1</v>
      </c>
      <c r="N249" s="822">
        <v>20142</v>
      </c>
      <c r="P249" s="822">
        <v>20140</v>
      </c>
      <c r="Q249">
        <v>1</v>
      </c>
      <c r="R249">
        <v>0</v>
      </c>
      <c r="X249" s="321"/>
      <c r="Y249" s="321"/>
      <c r="Z249" s="321"/>
      <c r="AB249" s="321"/>
      <c r="AC249" s="321"/>
      <c r="AD249" s="321"/>
      <c r="AE249" s="321"/>
    </row>
    <row r="250" spans="2:31" ht="12.75" hidden="1" customHeight="1">
      <c r="B250" t="s">
        <v>5995</v>
      </c>
      <c r="C250" t="s">
        <v>3321</v>
      </c>
      <c r="D250" t="s">
        <v>5414</v>
      </c>
      <c r="E250" t="s">
        <v>969</v>
      </c>
      <c r="F250">
        <v>1</v>
      </c>
      <c r="G250">
        <v>1</v>
      </c>
      <c r="H250">
        <v>0</v>
      </c>
      <c r="I250">
        <v>1</v>
      </c>
      <c r="J250">
        <v>1</v>
      </c>
      <c r="K250">
        <v>1</v>
      </c>
      <c r="L250">
        <v>1</v>
      </c>
      <c r="N250" s="822">
        <v>20242</v>
      </c>
      <c r="P250" s="822">
        <v>20240</v>
      </c>
      <c r="Q250">
        <v>1</v>
      </c>
      <c r="R250">
        <v>0</v>
      </c>
      <c r="X250" s="321"/>
      <c r="Y250" s="321"/>
      <c r="Z250" s="321"/>
      <c r="AB250" s="321"/>
      <c r="AC250" s="321"/>
      <c r="AD250" s="321"/>
      <c r="AE250" s="321"/>
    </row>
    <row r="251" spans="2:31" ht="12.75" hidden="1" customHeight="1">
      <c r="B251" t="s">
        <v>5995</v>
      </c>
      <c r="C251" t="s">
        <v>1750</v>
      </c>
      <c r="D251" t="s">
        <v>5414</v>
      </c>
      <c r="E251" t="s">
        <v>969</v>
      </c>
      <c r="F251">
        <v>1</v>
      </c>
      <c r="G251">
        <v>1</v>
      </c>
      <c r="H251">
        <v>0</v>
      </c>
      <c r="I251">
        <v>1</v>
      </c>
      <c r="J251">
        <v>1</v>
      </c>
      <c r="K251">
        <v>1</v>
      </c>
      <c r="L251">
        <v>1</v>
      </c>
      <c r="N251" s="822">
        <v>20342</v>
      </c>
      <c r="O251" s="146"/>
      <c r="P251" s="822">
        <v>20340</v>
      </c>
      <c r="Q251">
        <v>1</v>
      </c>
      <c r="R251">
        <v>0</v>
      </c>
      <c r="X251" s="321"/>
      <c r="Y251" s="321"/>
      <c r="Z251" s="321"/>
      <c r="AA251" s="146"/>
      <c r="AB251" s="321"/>
      <c r="AC251" s="321"/>
      <c r="AD251" s="321"/>
      <c r="AE251" s="321"/>
    </row>
    <row r="252" spans="2:31" ht="12.75" hidden="1" customHeight="1">
      <c r="B252" t="s">
        <v>5995</v>
      </c>
      <c r="C252" t="s">
        <v>5275</v>
      </c>
      <c r="D252" t="s">
        <v>5414</v>
      </c>
      <c r="E252" t="s">
        <v>969</v>
      </c>
      <c r="F252">
        <v>1</v>
      </c>
      <c r="G252">
        <v>1</v>
      </c>
      <c r="H252">
        <v>0</v>
      </c>
      <c r="I252">
        <v>1</v>
      </c>
      <c r="J252">
        <v>1</v>
      </c>
      <c r="K252">
        <v>1</v>
      </c>
      <c r="L252">
        <v>1</v>
      </c>
      <c r="N252" s="822">
        <v>20442</v>
      </c>
      <c r="O252" s="146"/>
      <c r="P252" s="822">
        <v>20440</v>
      </c>
      <c r="Q252">
        <v>1</v>
      </c>
      <c r="R252">
        <v>0</v>
      </c>
      <c r="X252" s="321"/>
      <c r="Y252" s="321"/>
      <c r="Z252" s="321"/>
      <c r="AA252" s="146"/>
      <c r="AB252" s="321"/>
      <c r="AC252" s="321"/>
      <c r="AD252" s="321"/>
      <c r="AE252" s="321"/>
    </row>
    <row r="253" spans="2:31" ht="12.75" hidden="1" customHeight="1">
      <c r="B253" t="s">
        <v>5995</v>
      </c>
      <c r="C253" t="s">
        <v>5271</v>
      </c>
      <c r="D253" t="s">
        <v>5414</v>
      </c>
      <c r="E253" t="s">
        <v>969</v>
      </c>
      <c r="F253">
        <v>1</v>
      </c>
      <c r="G253">
        <v>1</v>
      </c>
      <c r="H253">
        <v>0</v>
      </c>
      <c r="I253">
        <v>1</v>
      </c>
      <c r="J253">
        <v>1</v>
      </c>
      <c r="K253">
        <v>1</v>
      </c>
      <c r="L253">
        <v>1</v>
      </c>
      <c r="N253" s="822">
        <v>20542</v>
      </c>
      <c r="O253" s="146"/>
      <c r="P253" s="822">
        <v>20540</v>
      </c>
      <c r="Q253">
        <v>1</v>
      </c>
      <c r="R253">
        <v>0</v>
      </c>
      <c r="X253" s="321"/>
      <c r="Y253" s="321"/>
      <c r="Z253" s="321"/>
      <c r="AA253" s="146"/>
      <c r="AB253" s="321"/>
      <c r="AC253" s="321"/>
      <c r="AD253" s="321"/>
      <c r="AE253" s="321"/>
    </row>
    <row r="254" spans="2:31" ht="12.75" hidden="1" customHeight="1">
      <c r="B254" t="s">
        <v>5995</v>
      </c>
      <c r="C254" t="s">
        <v>4747</v>
      </c>
      <c r="D254" t="s">
        <v>5414</v>
      </c>
      <c r="E254" t="s">
        <v>969</v>
      </c>
      <c r="F254">
        <v>1</v>
      </c>
      <c r="G254">
        <v>1</v>
      </c>
      <c r="H254">
        <v>0</v>
      </c>
      <c r="I254">
        <v>1</v>
      </c>
      <c r="J254">
        <v>1</v>
      </c>
      <c r="K254">
        <v>1</v>
      </c>
      <c r="L254">
        <v>1</v>
      </c>
      <c r="N254" s="822">
        <v>20642</v>
      </c>
      <c r="O254" s="146"/>
      <c r="P254" s="822">
        <v>20640</v>
      </c>
      <c r="Q254">
        <v>1</v>
      </c>
      <c r="R254">
        <v>0</v>
      </c>
      <c r="X254" s="321"/>
      <c r="Y254" s="321"/>
      <c r="Z254" s="321"/>
      <c r="AA254" s="146"/>
      <c r="AB254" s="321"/>
      <c r="AC254" s="321"/>
      <c r="AD254" s="321"/>
      <c r="AE254" s="321"/>
    </row>
    <row r="255" spans="2:31" ht="12.75" hidden="1" customHeight="1">
      <c r="B255" t="s">
        <v>5995</v>
      </c>
      <c r="C255" t="s">
        <v>2477</v>
      </c>
      <c r="D255" t="s">
        <v>5414</v>
      </c>
      <c r="E255" t="s">
        <v>969</v>
      </c>
      <c r="F255">
        <v>1</v>
      </c>
      <c r="G255">
        <v>1</v>
      </c>
      <c r="H255">
        <v>0</v>
      </c>
      <c r="I255">
        <v>1</v>
      </c>
      <c r="J255">
        <v>1</v>
      </c>
      <c r="K255">
        <v>1</v>
      </c>
      <c r="L255">
        <v>1</v>
      </c>
      <c r="N255" s="822">
        <v>20742</v>
      </c>
      <c r="O255" s="146"/>
      <c r="P255" s="822">
        <v>20740</v>
      </c>
      <c r="Q255">
        <v>1</v>
      </c>
      <c r="R255">
        <v>0</v>
      </c>
      <c r="X255" s="321"/>
      <c r="Y255" s="321"/>
      <c r="Z255" s="321"/>
      <c r="AA255" s="146"/>
      <c r="AB255" s="321"/>
      <c r="AC255" s="321"/>
      <c r="AD255" s="321"/>
      <c r="AE255" s="321"/>
    </row>
    <row r="256" spans="2:31" ht="12.75" hidden="1" customHeight="1">
      <c r="B256" t="s">
        <v>5995</v>
      </c>
      <c r="C256" t="s">
        <v>4748</v>
      </c>
      <c r="D256" t="s">
        <v>5414</v>
      </c>
      <c r="E256" t="s">
        <v>969</v>
      </c>
      <c r="F256">
        <v>1</v>
      </c>
      <c r="G256">
        <v>1</v>
      </c>
      <c r="H256">
        <v>0</v>
      </c>
      <c r="I256">
        <v>1</v>
      </c>
      <c r="J256">
        <v>1</v>
      </c>
      <c r="K256">
        <v>1</v>
      </c>
      <c r="L256">
        <v>1</v>
      </c>
      <c r="N256" s="822">
        <v>20842</v>
      </c>
      <c r="O256" s="146"/>
      <c r="P256" s="822">
        <v>20840</v>
      </c>
      <c r="Q256">
        <v>1</v>
      </c>
      <c r="R256">
        <v>0</v>
      </c>
      <c r="X256" s="321"/>
      <c r="Y256" s="321"/>
      <c r="Z256" s="321"/>
      <c r="AA256" s="146"/>
      <c r="AB256" s="321"/>
      <c r="AC256" s="321"/>
      <c r="AD256" s="321"/>
      <c r="AE256" s="321"/>
    </row>
    <row r="257" spans="2:31" ht="12.75" hidden="1" customHeight="1">
      <c r="B257" t="s">
        <v>5995</v>
      </c>
      <c r="C257" t="s">
        <v>2415</v>
      </c>
      <c r="D257" t="s">
        <v>5414</v>
      </c>
      <c r="E257" t="s">
        <v>969</v>
      </c>
      <c r="F257">
        <v>1</v>
      </c>
      <c r="G257">
        <v>1</v>
      </c>
      <c r="H257">
        <v>0</v>
      </c>
      <c r="I257">
        <v>1</v>
      </c>
      <c r="J257">
        <v>1</v>
      </c>
      <c r="K257">
        <v>1</v>
      </c>
      <c r="L257">
        <v>1</v>
      </c>
      <c r="N257" s="822">
        <v>20942</v>
      </c>
      <c r="O257" s="146"/>
      <c r="P257" s="822">
        <v>20940</v>
      </c>
      <c r="Q257">
        <v>1</v>
      </c>
      <c r="R257">
        <v>0</v>
      </c>
      <c r="X257" s="321"/>
      <c r="Y257" s="321"/>
      <c r="Z257" s="321"/>
      <c r="AA257" s="146"/>
      <c r="AB257" s="321"/>
      <c r="AC257" s="321"/>
      <c r="AD257" s="321"/>
      <c r="AE257" s="321"/>
    </row>
    <row r="258" spans="2:31" ht="12.75" hidden="1" customHeight="1">
      <c r="B258" t="s">
        <v>5995</v>
      </c>
      <c r="C258" t="s">
        <v>1366</v>
      </c>
      <c r="D258" t="s">
        <v>5414</v>
      </c>
      <c r="E258" t="s">
        <v>969</v>
      </c>
      <c r="F258">
        <v>1</v>
      </c>
      <c r="G258">
        <v>1</v>
      </c>
      <c r="H258">
        <v>0</v>
      </c>
      <c r="I258">
        <v>1</v>
      </c>
      <c r="J258">
        <v>1</v>
      </c>
      <c r="K258">
        <v>1</v>
      </c>
      <c r="L258">
        <v>1</v>
      </c>
      <c r="N258" s="822">
        <v>21142</v>
      </c>
      <c r="O258" s="146"/>
      <c r="P258" s="822">
        <v>21140</v>
      </c>
      <c r="Q258">
        <v>1</v>
      </c>
      <c r="R258">
        <v>0</v>
      </c>
      <c r="X258" s="321"/>
      <c r="Y258" s="321"/>
      <c r="Z258" s="321"/>
      <c r="AA258" s="146"/>
      <c r="AB258" s="321"/>
      <c r="AC258" s="321"/>
      <c r="AD258" s="321"/>
      <c r="AE258" s="321"/>
    </row>
    <row r="259" spans="2:31" ht="12.75" hidden="1" customHeight="1">
      <c r="B259" t="s">
        <v>5995</v>
      </c>
      <c r="C259" t="s">
        <v>4910</v>
      </c>
      <c r="D259" t="s">
        <v>5414</v>
      </c>
      <c r="E259" t="s">
        <v>969</v>
      </c>
      <c r="F259">
        <v>1</v>
      </c>
      <c r="G259">
        <v>1</v>
      </c>
      <c r="H259">
        <v>0</v>
      </c>
      <c r="I259">
        <v>1</v>
      </c>
      <c r="J259">
        <v>1</v>
      </c>
      <c r="K259">
        <v>1</v>
      </c>
      <c r="L259">
        <v>1</v>
      </c>
      <c r="N259" s="822">
        <v>21242</v>
      </c>
      <c r="O259" s="146"/>
      <c r="P259" s="822">
        <v>21240</v>
      </c>
      <c r="Q259">
        <v>1</v>
      </c>
      <c r="R259">
        <v>0</v>
      </c>
      <c r="X259" s="321"/>
      <c r="Y259" s="321"/>
      <c r="Z259" s="321"/>
      <c r="AA259" s="146"/>
      <c r="AB259" s="321"/>
      <c r="AC259" s="321"/>
      <c r="AD259" s="321"/>
      <c r="AE259" s="321"/>
    </row>
    <row r="260" spans="2:31" ht="12.75" hidden="1" customHeight="1">
      <c r="B260" t="s">
        <v>5995</v>
      </c>
      <c r="C260" t="s">
        <v>5479</v>
      </c>
      <c r="D260" t="s">
        <v>5414</v>
      </c>
      <c r="E260" t="s">
        <v>969</v>
      </c>
      <c r="F260">
        <v>1</v>
      </c>
      <c r="G260">
        <v>1</v>
      </c>
      <c r="H260">
        <v>0</v>
      </c>
      <c r="I260">
        <v>1</v>
      </c>
      <c r="J260">
        <v>1</v>
      </c>
      <c r="K260">
        <v>1</v>
      </c>
      <c r="L260">
        <v>1</v>
      </c>
      <c r="N260" s="822">
        <v>21342</v>
      </c>
      <c r="O260" s="146"/>
      <c r="P260" s="822">
        <v>21340</v>
      </c>
      <c r="Q260">
        <v>1</v>
      </c>
      <c r="R260">
        <v>0</v>
      </c>
      <c r="X260" s="321"/>
      <c r="Y260" s="321"/>
      <c r="Z260" s="321"/>
      <c r="AA260" s="146"/>
      <c r="AB260" s="321"/>
      <c r="AC260" s="321"/>
      <c r="AD260" s="321"/>
      <c r="AE260" s="321"/>
    </row>
    <row r="261" spans="2:31" ht="12.75" hidden="1" customHeight="1">
      <c r="B261" t="s">
        <v>5995</v>
      </c>
      <c r="C261" t="s">
        <v>3568</v>
      </c>
      <c r="D261" t="s">
        <v>5414</v>
      </c>
      <c r="E261" t="s">
        <v>969</v>
      </c>
      <c r="F261">
        <v>1</v>
      </c>
      <c r="G261">
        <v>1</v>
      </c>
      <c r="H261">
        <v>0</v>
      </c>
      <c r="I261">
        <v>1</v>
      </c>
      <c r="J261">
        <v>1</v>
      </c>
      <c r="K261">
        <v>1</v>
      </c>
      <c r="L261">
        <v>1</v>
      </c>
      <c r="N261" s="822">
        <v>21442</v>
      </c>
      <c r="O261" s="146"/>
      <c r="P261" s="822">
        <v>21440</v>
      </c>
      <c r="Q261">
        <v>1</v>
      </c>
      <c r="R261">
        <v>0</v>
      </c>
      <c r="X261" s="321"/>
      <c r="Y261" s="321"/>
      <c r="Z261" s="321"/>
      <c r="AA261" s="146"/>
      <c r="AB261" s="321"/>
      <c r="AC261" s="321"/>
      <c r="AD261" s="321"/>
      <c r="AE261" s="321"/>
    </row>
    <row r="262" spans="2:31" ht="12.75" hidden="1" customHeight="1">
      <c r="B262" t="s">
        <v>5995</v>
      </c>
      <c r="C262" t="s">
        <v>2982</v>
      </c>
      <c r="D262" t="s">
        <v>5414</v>
      </c>
      <c r="E262" t="s">
        <v>969</v>
      </c>
      <c r="F262">
        <v>1</v>
      </c>
      <c r="G262">
        <v>1</v>
      </c>
      <c r="H262">
        <v>0</v>
      </c>
      <c r="I262">
        <v>1</v>
      </c>
      <c r="J262">
        <v>1</v>
      </c>
      <c r="K262">
        <v>1</v>
      </c>
      <c r="L262">
        <v>1</v>
      </c>
      <c r="N262" s="822">
        <v>21042</v>
      </c>
      <c r="O262" s="146"/>
      <c r="P262" s="822">
        <v>21040</v>
      </c>
      <c r="Q262">
        <v>1</v>
      </c>
      <c r="R262">
        <v>0</v>
      </c>
      <c r="X262" s="321"/>
      <c r="Y262" s="321"/>
      <c r="Z262" s="321"/>
      <c r="AA262" s="146"/>
      <c r="AB262" s="321"/>
      <c r="AC262" s="321"/>
      <c r="AD262" s="321"/>
      <c r="AE262" s="321"/>
    </row>
    <row r="263" spans="2:31" ht="12.75" hidden="1" customHeight="1">
      <c r="B263" t="s">
        <v>5995</v>
      </c>
      <c r="C263" t="s">
        <v>1257</v>
      </c>
      <c r="D263" t="s">
        <v>5414</v>
      </c>
      <c r="E263" t="s">
        <v>4241</v>
      </c>
      <c r="F263">
        <v>1</v>
      </c>
      <c r="G263">
        <v>1</v>
      </c>
      <c r="H263">
        <v>0</v>
      </c>
      <c r="I263">
        <v>0</v>
      </c>
      <c r="J263">
        <v>0</v>
      </c>
      <c r="K263">
        <v>0</v>
      </c>
      <c r="L263">
        <v>0</v>
      </c>
      <c r="N263" s="822">
        <v>20141</v>
      </c>
      <c r="O263" s="146"/>
      <c r="P263" s="822">
        <v>20140</v>
      </c>
      <c r="Q263">
        <v>1</v>
      </c>
      <c r="R263">
        <v>0</v>
      </c>
      <c r="X263" s="321"/>
      <c r="Y263" s="321"/>
      <c r="Z263" s="321"/>
      <c r="AA263" s="146"/>
      <c r="AB263" s="321"/>
      <c r="AC263" s="321"/>
      <c r="AD263" s="321"/>
      <c r="AE263" s="321"/>
    </row>
    <row r="264" spans="2:31" ht="12.75" hidden="1" customHeight="1">
      <c r="B264" t="s">
        <v>5995</v>
      </c>
      <c r="C264" t="s">
        <v>3321</v>
      </c>
      <c r="D264" t="s">
        <v>5414</v>
      </c>
      <c r="E264" t="s">
        <v>4241</v>
      </c>
      <c r="F264">
        <v>1</v>
      </c>
      <c r="G264">
        <v>1</v>
      </c>
      <c r="H264">
        <v>0</v>
      </c>
      <c r="I264">
        <v>0</v>
      </c>
      <c r="J264">
        <v>0</v>
      </c>
      <c r="K264">
        <v>0</v>
      </c>
      <c r="L264">
        <v>0</v>
      </c>
      <c r="N264" s="822">
        <v>20241</v>
      </c>
      <c r="O264" s="146"/>
      <c r="P264" s="822">
        <v>20240</v>
      </c>
      <c r="Q264">
        <v>1</v>
      </c>
      <c r="R264">
        <v>0</v>
      </c>
      <c r="X264" s="321"/>
      <c r="Y264" s="321"/>
      <c r="Z264" s="321"/>
      <c r="AA264" s="146"/>
      <c r="AB264" s="321"/>
      <c r="AC264" s="321"/>
      <c r="AD264" s="321"/>
      <c r="AE264" s="321"/>
    </row>
    <row r="265" spans="2:31" ht="12.75" hidden="1" customHeight="1">
      <c r="B265" t="s">
        <v>5995</v>
      </c>
      <c r="C265" t="s">
        <v>1750</v>
      </c>
      <c r="D265" t="s">
        <v>5414</v>
      </c>
      <c r="E265" t="s">
        <v>4241</v>
      </c>
      <c r="F265">
        <v>1</v>
      </c>
      <c r="G265">
        <v>1</v>
      </c>
      <c r="H265">
        <v>0</v>
      </c>
      <c r="I265">
        <v>0</v>
      </c>
      <c r="J265">
        <v>0</v>
      </c>
      <c r="K265">
        <v>0</v>
      </c>
      <c r="L265">
        <v>0</v>
      </c>
      <c r="N265" s="822">
        <v>20341</v>
      </c>
      <c r="O265" s="146"/>
      <c r="P265" s="822">
        <v>20340</v>
      </c>
      <c r="Q265">
        <v>1</v>
      </c>
      <c r="R265">
        <v>0</v>
      </c>
      <c r="X265" s="321"/>
      <c r="Y265" s="321"/>
      <c r="Z265" s="321"/>
      <c r="AA265" s="146"/>
      <c r="AB265" s="321"/>
      <c r="AC265" s="321"/>
      <c r="AD265" s="321"/>
      <c r="AE265" s="321"/>
    </row>
    <row r="266" spans="2:31" ht="12.75" hidden="1" customHeight="1">
      <c r="B266" t="s">
        <v>5995</v>
      </c>
      <c r="C266" t="s">
        <v>5275</v>
      </c>
      <c r="D266" t="s">
        <v>5414</v>
      </c>
      <c r="E266" t="s">
        <v>4241</v>
      </c>
      <c r="F266">
        <v>1</v>
      </c>
      <c r="G266">
        <v>1</v>
      </c>
      <c r="H266">
        <v>0</v>
      </c>
      <c r="I266">
        <v>0</v>
      </c>
      <c r="J266">
        <v>0</v>
      </c>
      <c r="K266">
        <v>0</v>
      </c>
      <c r="L266">
        <v>0</v>
      </c>
      <c r="N266" s="822">
        <v>20441</v>
      </c>
      <c r="O266" s="146"/>
      <c r="P266" s="822">
        <v>20440</v>
      </c>
      <c r="Q266">
        <v>1</v>
      </c>
      <c r="R266">
        <v>0</v>
      </c>
      <c r="X266" s="321"/>
      <c r="Y266" s="321"/>
      <c r="Z266" s="321"/>
      <c r="AA266" s="146"/>
      <c r="AB266" s="321"/>
      <c r="AC266" s="321"/>
      <c r="AD266" s="321"/>
      <c r="AE266" s="321"/>
    </row>
    <row r="267" spans="2:31" ht="12.75" hidden="1" customHeight="1">
      <c r="B267" t="s">
        <v>5995</v>
      </c>
      <c r="C267" t="s">
        <v>5271</v>
      </c>
      <c r="D267" t="s">
        <v>5414</v>
      </c>
      <c r="E267" t="s">
        <v>4241</v>
      </c>
      <c r="F267">
        <v>1</v>
      </c>
      <c r="G267">
        <v>1</v>
      </c>
      <c r="H267">
        <v>0</v>
      </c>
      <c r="I267">
        <v>0</v>
      </c>
      <c r="J267">
        <v>0</v>
      </c>
      <c r="K267">
        <v>0</v>
      </c>
      <c r="L267">
        <v>0</v>
      </c>
      <c r="N267" s="822">
        <v>20541</v>
      </c>
      <c r="O267" s="146"/>
      <c r="P267" s="822">
        <v>20540</v>
      </c>
      <c r="Q267">
        <v>1</v>
      </c>
      <c r="R267">
        <v>0</v>
      </c>
      <c r="X267" s="321"/>
      <c r="Y267" s="321"/>
      <c r="Z267" s="321"/>
      <c r="AA267" s="146"/>
      <c r="AB267" s="321"/>
      <c r="AC267" s="321"/>
      <c r="AD267" s="321"/>
      <c r="AE267" s="321"/>
    </row>
    <row r="268" spans="2:31" ht="12.75" hidden="1" customHeight="1">
      <c r="B268" t="s">
        <v>5995</v>
      </c>
      <c r="C268" t="s">
        <v>4747</v>
      </c>
      <c r="D268" t="s">
        <v>5414</v>
      </c>
      <c r="E268" t="s">
        <v>4241</v>
      </c>
      <c r="F268">
        <v>1</v>
      </c>
      <c r="G268">
        <v>1</v>
      </c>
      <c r="H268">
        <v>0</v>
      </c>
      <c r="I268">
        <v>0</v>
      </c>
      <c r="J268">
        <v>0</v>
      </c>
      <c r="K268">
        <v>0</v>
      </c>
      <c r="L268">
        <v>0</v>
      </c>
      <c r="N268" s="822">
        <v>20641</v>
      </c>
      <c r="O268" s="146"/>
      <c r="P268" s="822">
        <v>20640</v>
      </c>
      <c r="Q268">
        <v>1</v>
      </c>
      <c r="R268">
        <v>0</v>
      </c>
      <c r="X268" s="321"/>
      <c r="Y268" s="321"/>
      <c r="Z268" s="321"/>
      <c r="AA268" s="146"/>
      <c r="AB268" s="321"/>
      <c r="AC268" s="321"/>
      <c r="AD268" s="321"/>
      <c r="AE268" s="321"/>
    </row>
    <row r="269" spans="2:31" ht="12.75" hidden="1" customHeight="1">
      <c r="B269" t="s">
        <v>5995</v>
      </c>
      <c r="C269" t="s">
        <v>2477</v>
      </c>
      <c r="D269" t="s">
        <v>5414</v>
      </c>
      <c r="E269" t="s">
        <v>4241</v>
      </c>
      <c r="F269">
        <v>1</v>
      </c>
      <c r="G269">
        <v>1</v>
      </c>
      <c r="H269">
        <v>0</v>
      </c>
      <c r="I269">
        <v>0</v>
      </c>
      <c r="J269">
        <v>0</v>
      </c>
      <c r="K269">
        <v>0</v>
      </c>
      <c r="L269">
        <v>0</v>
      </c>
      <c r="N269" s="822">
        <v>20741</v>
      </c>
      <c r="O269" s="146"/>
      <c r="P269" s="822">
        <v>20740</v>
      </c>
      <c r="Q269">
        <v>1</v>
      </c>
      <c r="R269">
        <v>0</v>
      </c>
      <c r="X269" s="321"/>
      <c r="Y269" s="321"/>
      <c r="Z269" s="321"/>
      <c r="AA269" s="146"/>
      <c r="AB269" s="321"/>
      <c r="AC269" s="321"/>
      <c r="AD269" s="321"/>
      <c r="AE269" s="321"/>
    </row>
    <row r="270" spans="2:31" ht="12.75" hidden="1" customHeight="1">
      <c r="B270" t="s">
        <v>5995</v>
      </c>
      <c r="C270" t="s">
        <v>4748</v>
      </c>
      <c r="D270" t="s">
        <v>5414</v>
      </c>
      <c r="E270" t="s">
        <v>4241</v>
      </c>
      <c r="F270">
        <v>1</v>
      </c>
      <c r="G270">
        <v>1</v>
      </c>
      <c r="H270">
        <v>0</v>
      </c>
      <c r="I270">
        <v>0</v>
      </c>
      <c r="J270">
        <v>0</v>
      </c>
      <c r="K270">
        <v>0</v>
      </c>
      <c r="L270">
        <v>0</v>
      </c>
      <c r="N270" s="822">
        <v>20841</v>
      </c>
      <c r="O270" s="146"/>
      <c r="P270" s="822">
        <v>20840</v>
      </c>
      <c r="Q270">
        <v>1</v>
      </c>
      <c r="R270">
        <v>0</v>
      </c>
      <c r="X270" s="321"/>
      <c r="Y270" s="321"/>
      <c r="Z270" s="321"/>
      <c r="AA270" s="146"/>
      <c r="AB270" s="321"/>
      <c r="AC270" s="321"/>
      <c r="AD270" s="321"/>
      <c r="AE270" s="321"/>
    </row>
    <row r="271" spans="2:31" ht="12.75" hidden="1" customHeight="1">
      <c r="B271" t="s">
        <v>5995</v>
      </c>
      <c r="C271" t="s">
        <v>2415</v>
      </c>
      <c r="D271" t="s">
        <v>5414</v>
      </c>
      <c r="E271" t="s">
        <v>4241</v>
      </c>
      <c r="F271">
        <v>1</v>
      </c>
      <c r="G271">
        <v>1</v>
      </c>
      <c r="H271">
        <v>0</v>
      </c>
      <c r="I271">
        <v>0</v>
      </c>
      <c r="J271">
        <v>0</v>
      </c>
      <c r="K271">
        <v>0</v>
      </c>
      <c r="L271">
        <v>0</v>
      </c>
      <c r="N271" s="822">
        <v>20941</v>
      </c>
      <c r="O271" s="146"/>
      <c r="P271" s="822">
        <v>20940</v>
      </c>
      <c r="Q271">
        <v>1</v>
      </c>
      <c r="R271">
        <v>0</v>
      </c>
      <c r="X271" s="321"/>
      <c r="Y271" s="321"/>
      <c r="Z271" s="321"/>
      <c r="AA271" s="146"/>
      <c r="AB271" s="321"/>
      <c r="AC271" s="321"/>
      <c r="AD271" s="321"/>
      <c r="AE271" s="321"/>
    </row>
    <row r="272" spans="2:31" ht="12.75" hidden="1" customHeight="1">
      <c r="B272" t="s">
        <v>5995</v>
      </c>
      <c r="C272" t="s">
        <v>1366</v>
      </c>
      <c r="D272" t="s">
        <v>5414</v>
      </c>
      <c r="E272" t="s">
        <v>4241</v>
      </c>
      <c r="F272">
        <v>1</v>
      </c>
      <c r="G272">
        <v>1</v>
      </c>
      <c r="H272">
        <v>0</v>
      </c>
      <c r="I272">
        <v>0</v>
      </c>
      <c r="J272">
        <v>0</v>
      </c>
      <c r="K272">
        <v>0</v>
      </c>
      <c r="L272">
        <v>0</v>
      </c>
      <c r="N272" s="822">
        <v>21141</v>
      </c>
      <c r="O272" s="146"/>
      <c r="P272" s="822">
        <v>21140</v>
      </c>
      <c r="Q272">
        <v>1</v>
      </c>
      <c r="R272">
        <v>0</v>
      </c>
      <c r="X272" s="321"/>
      <c r="Y272" s="321"/>
      <c r="Z272" s="321"/>
      <c r="AA272" s="146"/>
      <c r="AB272" s="321"/>
      <c r="AC272" s="321"/>
      <c r="AD272" s="321"/>
      <c r="AE272" s="321"/>
    </row>
    <row r="273" spans="2:31" ht="12.75" hidden="1" customHeight="1">
      <c r="B273" t="s">
        <v>5995</v>
      </c>
      <c r="C273" t="s">
        <v>4910</v>
      </c>
      <c r="D273" t="s">
        <v>5414</v>
      </c>
      <c r="E273" t="s">
        <v>4241</v>
      </c>
      <c r="F273">
        <v>1</v>
      </c>
      <c r="G273">
        <v>1</v>
      </c>
      <c r="H273">
        <v>0</v>
      </c>
      <c r="I273">
        <v>0</v>
      </c>
      <c r="J273">
        <v>0</v>
      </c>
      <c r="K273">
        <v>0</v>
      </c>
      <c r="L273">
        <v>0</v>
      </c>
      <c r="N273" s="822">
        <v>21241</v>
      </c>
      <c r="O273" s="146"/>
      <c r="P273" s="822">
        <v>21240</v>
      </c>
      <c r="Q273">
        <v>1</v>
      </c>
      <c r="R273">
        <v>0</v>
      </c>
      <c r="X273" s="321"/>
      <c r="Y273" s="321"/>
      <c r="Z273" s="321"/>
      <c r="AA273" s="146"/>
      <c r="AB273" s="321"/>
      <c r="AC273" s="321"/>
      <c r="AD273" s="321"/>
      <c r="AE273" s="321"/>
    </row>
    <row r="274" spans="2:31" ht="12.75" hidden="1" customHeight="1">
      <c r="B274" t="s">
        <v>5995</v>
      </c>
      <c r="C274" t="s">
        <v>5479</v>
      </c>
      <c r="D274" t="s">
        <v>5414</v>
      </c>
      <c r="E274" t="s">
        <v>4241</v>
      </c>
      <c r="F274">
        <v>1</v>
      </c>
      <c r="G274">
        <v>1</v>
      </c>
      <c r="H274">
        <v>0</v>
      </c>
      <c r="I274">
        <v>0</v>
      </c>
      <c r="J274">
        <v>0</v>
      </c>
      <c r="K274">
        <v>0</v>
      </c>
      <c r="L274">
        <v>0</v>
      </c>
      <c r="N274" s="822">
        <v>21341</v>
      </c>
      <c r="O274" s="146"/>
      <c r="P274" s="822">
        <v>21340</v>
      </c>
      <c r="Q274">
        <v>1</v>
      </c>
      <c r="R274">
        <v>0</v>
      </c>
      <c r="X274" s="321"/>
      <c r="Y274" s="321"/>
      <c r="Z274" s="321"/>
      <c r="AA274" s="146"/>
      <c r="AB274" s="321"/>
      <c r="AC274" s="321"/>
      <c r="AD274" s="321"/>
      <c r="AE274" s="321"/>
    </row>
    <row r="275" spans="2:31" ht="12.75" hidden="1" customHeight="1">
      <c r="B275" t="s">
        <v>5995</v>
      </c>
      <c r="C275" t="s">
        <v>3568</v>
      </c>
      <c r="D275" t="s">
        <v>5414</v>
      </c>
      <c r="E275" t="s">
        <v>4241</v>
      </c>
      <c r="F275">
        <v>1</v>
      </c>
      <c r="G275">
        <v>1</v>
      </c>
      <c r="H275">
        <v>0</v>
      </c>
      <c r="I275">
        <v>0</v>
      </c>
      <c r="J275">
        <v>0</v>
      </c>
      <c r="K275">
        <v>0</v>
      </c>
      <c r="L275">
        <v>0</v>
      </c>
      <c r="N275" s="822">
        <v>21441</v>
      </c>
      <c r="O275" s="146"/>
      <c r="P275" s="822">
        <v>21440</v>
      </c>
      <c r="Q275">
        <v>1</v>
      </c>
      <c r="R275">
        <v>0</v>
      </c>
      <c r="X275" s="321"/>
      <c r="Y275" s="321"/>
      <c r="Z275" s="321"/>
      <c r="AA275" s="146"/>
      <c r="AB275" s="321"/>
      <c r="AC275" s="321"/>
      <c r="AD275" s="321"/>
      <c r="AE275" s="321"/>
    </row>
    <row r="276" spans="2:31" ht="12.75" hidden="1" customHeight="1">
      <c r="B276" t="s">
        <v>5995</v>
      </c>
      <c r="C276" t="s">
        <v>2982</v>
      </c>
      <c r="D276" t="s">
        <v>5414</v>
      </c>
      <c r="E276" t="s">
        <v>4241</v>
      </c>
      <c r="F276">
        <v>1</v>
      </c>
      <c r="G276">
        <v>1</v>
      </c>
      <c r="H276">
        <v>0</v>
      </c>
      <c r="I276">
        <v>0</v>
      </c>
      <c r="J276">
        <v>0</v>
      </c>
      <c r="K276">
        <v>0</v>
      </c>
      <c r="L276">
        <v>0</v>
      </c>
      <c r="N276" s="822">
        <v>21041</v>
      </c>
      <c r="O276" s="146"/>
      <c r="P276" s="822">
        <v>21040</v>
      </c>
      <c r="Q276">
        <v>1</v>
      </c>
      <c r="R276">
        <v>0</v>
      </c>
      <c r="X276" s="321"/>
      <c r="Y276" s="321"/>
      <c r="Z276" s="321"/>
      <c r="AA276" s="146"/>
      <c r="AB276" s="321"/>
      <c r="AC276" s="321"/>
      <c r="AD276" s="321"/>
      <c r="AE276" s="321"/>
    </row>
    <row r="277" spans="2:31" ht="12.75" hidden="1" customHeight="1">
      <c r="B277" t="s">
        <v>5995</v>
      </c>
      <c r="C277" t="s">
        <v>1257</v>
      </c>
      <c r="D277" t="s">
        <v>725</v>
      </c>
      <c r="E277" t="s">
        <v>969</v>
      </c>
      <c r="F277">
        <v>0</v>
      </c>
      <c r="G277">
        <v>0</v>
      </c>
      <c r="H277">
        <v>1</v>
      </c>
      <c r="I277">
        <v>1</v>
      </c>
      <c r="J277">
        <v>1</v>
      </c>
      <c r="K277">
        <v>1</v>
      </c>
      <c r="L277">
        <v>1</v>
      </c>
      <c r="N277" s="822">
        <v>20152</v>
      </c>
      <c r="O277" s="146">
        <v>13</v>
      </c>
      <c r="P277" s="822">
        <v>20150</v>
      </c>
      <c r="Q277">
        <v>1</v>
      </c>
      <c r="R277">
        <v>1</v>
      </c>
      <c r="X277" s="321"/>
      <c r="Y277" s="321"/>
      <c r="Z277" s="321"/>
      <c r="AA277" s="146"/>
      <c r="AB277" s="321"/>
      <c r="AC277" s="321"/>
      <c r="AD277" s="321"/>
      <c r="AE277" s="321"/>
    </row>
    <row r="278" spans="2:31" ht="12.75" hidden="1" customHeight="1">
      <c r="B278" t="s">
        <v>5995</v>
      </c>
      <c r="C278" t="s">
        <v>3321</v>
      </c>
      <c r="D278" t="s">
        <v>725</v>
      </c>
      <c r="E278" t="s">
        <v>969</v>
      </c>
      <c r="F278">
        <v>1</v>
      </c>
      <c r="G278">
        <v>1</v>
      </c>
      <c r="H278">
        <v>0</v>
      </c>
      <c r="I278">
        <v>1</v>
      </c>
      <c r="J278">
        <v>1</v>
      </c>
      <c r="K278">
        <v>1</v>
      </c>
      <c r="L278">
        <v>1</v>
      </c>
      <c r="N278" s="822">
        <v>20252</v>
      </c>
      <c r="O278" s="146"/>
      <c r="P278" s="822">
        <v>20250</v>
      </c>
      <c r="Q278">
        <v>1</v>
      </c>
      <c r="R278">
        <v>0</v>
      </c>
      <c r="X278" s="321"/>
      <c r="Y278" s="321"/>
      <c r="Z278" s="321"/>
      <c r="AA278" s="146"/>
      <c r="AB278" s="321"/>
      <c r="AC278" s="321"/>
      <c r="AD278" s="321"/>
      <c r="AE278" s="321"/>
    </row>
    <row r="279" spans="2:31" ht="12.75" hidden="1" customHeight="1">
      <c r="B279" t="s">
        <v>5995</v>
      </c>
      <c r="C279" t="s">
        <v>1750</v>
      </c>
      <c r="D279" t="s">
        <v>725</v>
      </c>
      <c r="E279" t="s">
        <v>969</v>
      </c>
      <c r="F279">
        <v>1</v>
      </c>
      <c r="G279">
        <v>1</v>
      </c>
      <c r="H279">
        <v>0</v>
      </c>
      <c r="I279">
        <v>1</v>
      </c>
      <c r="J279">
        <v>1</v>
      </c>
      <c r="K279">
        <v>1</v>
      </c>
      <c r="L279">
        <v>1</v>
      </c>
      <c r="N279" s="822">
        <v>20352</v>
      </c>
      <c r="O279" s="146"/>
      <c r="P279" s="822">
        <v>20350</v>
      </c>
      <c r="Q279">
        <v>1</v>
      </c>
      <c r="R279">
        <v>0</v>
      </c>
      <c r="X279" s="321"/>
      <c r="Y279" s="321"/>
      <c r="Z279" s="321"/>
      <c r="AA279" s="146"/>
      <c r="AB279" s="321"/>
      <c r="AC279" s="321"/>
      <c r="AD279" s="321"/>
      <c r="AE279" s="321"/>
    </row>
    <row r="280" spans="2:31" ht="12.75" hidden="1" customHeight="1">
      <c r="B280" t="s">
        <v>5995</v>
      </c>
      <c r="C280" t="s">
        <v>5275</v>
      </c>
      <c r="D280" t="s">
        <v>725</v>
      </c>
      <c r="E280" t="s">
        <v>969</v>
      </c>
      <c r="F280">
        <v>1</v>
      </c>
      <c r="G280">
        <v>1</v>
      </c>
      <c r="H280">
        <v>0</v>
      </c>
      <c r="I280">
        <v>1</v>
      </c>
      <c r="J280">
        <v>1</v>
      </c>
      <c r="K280">
        <v>1</v>
      </c>
      <c r="L280">
        <v>1</v>
      </c>
      <c r="N280" s="822">
        <v>20452</v>
      </c>
      <c r="O280" s="146"/>
      <c r="P280" s="822">
        <v>20450</v>
      </c>
      <c r="Q280">
        <v>1</v>
      </c>
      <c r="R280">
        <v>0</v>
      </c>
      <c r="X280" s="321"/>
      <c r="Y280" s="321"/>
      <c r="Z280" s="321"/>
      <c r="AA280" s="146"/>
      <c r="AB280" s="321"/>
      <c r="AC280" s="321"/>
      <c r="AD280" s="321"/>
      <c r="AE280" s="321"/>
    </row>
    <row r="281" spans="2:31" ht="12.75" hidden="1" customHeight="1">
      <c r="B281" t="s">
        <v>5995</v>
      </c>
      <c r="C281" t="s">
        <v>5271</v>
      </c>
      <c r="D281" t="s">
        <v>725</v>
      </c>
      <c r="E281" t="s">
        <v>969</v>
      </c>
      <c r="F281">
        <v>1</v>
      </c>
      <c r="G281">
        <v>1</v>
      </c>
      <c r="H281">
        <v>0</v>
      </c>
      <c r="I281">
        <v>1</v>
      </c>
      <c r="J281">
        <v>1</v>
      </c>
      <c r="K281">
        <v>1</v>
      </c>
      <c r="L281">
        <v>1</v>
      </c>
      <c r="N281" s="822">
        <v>20552</v>
      </c>
      <c r="O281" s="146"/>
      <c r="P281" s="822">
        <v>20550</v>
      </c>
      <c r="Q281">
        <v>1</v>
      </c>
      <c r="R281">
        <v>0</v>
      </c>
      <c r="X281" s="321"/>
      <c r="Y281" s="321"/>
      <c r="Z281" s="321"/>
      <c r="AA281" s="146"/>
      <c r="AB281" s="321"/>
      <c r="AC281" s="321"/>
      <c r="AD281" s="321"/>
      <c r="AE281" s="321"/>
    </row>
    <row r="282" spans="2:31" ht="12.75" hidden="1" customHeight="1">
      <c r="B282" t="s">
        <v>5995</v>
      </c>
      <c r="C282" t="s">
        <v>4747</v>
      </c>
      <c r="D282" t="s">
        <v>725</v>
      </c>
      <c r="E282" t="s">
        <v>969</v>
      </c>
      <c r="F282">
        <v>1</v>
      </c>
      <c r="G282">
        <v>1</v>
      </c>
      <c r="H282">
        <v>0</v>
      </c>
      <c r="I282">
        <v>1</v>
      </c>
      <c r="J282">
        <v>1</v>
      </c>
      <c r="K282">
        <v>1</v>
      </c>
      <c r="L282">
        <v>1</v>
      </c>
      <c r="N282" s="822">
        <v>20652</v>
      </c>
      <c r="O282" s="146"/>
      <c r="P282" s="822">
        <v>20650</v>
      </c>
      <c r="Q282">
        <v>1</v>
      </c>
      <c r="R282">
        <v>0</v>
      </c>
      <c r="X282" s="321"/>
      <c r="Y282" s="321"/>
      <c r="Z282" s="321"/>
      <c r="AA282" s="146"/>
      <c r="AB282" s="321"/>
      <c r="AC282" s="321"/>
      <c r="AD282" s="321"/>
      <c r="AE282" s="321"/>
    </row>
    <row r="283" spans="2:31" ht="12.75" hidden="1" customHeight="1">
      <c r="B283" t="s">
        <v>5995</v>
      </c>
      <c r="C283" t="s">
        <v>2477</v>
      </c>
      <c r="D283" t="s">
        <v>725</v>
      </c>
      <c r="E283" t="s">
        <v>969</v>
      </c>
      <c r="F283">
        <v>0</v>
      </c>
      <c r="G283">
        <v>0</v>
      </c>
      <c r="H283">
        <v>1</v>
      </c>
      <c r="I283">
        <v>1</v>
      </c>
      <c r="J283">
        <v>1</v>
      </c>
      <c r="K283">
        <v>1</v>
      </c>
      <c r="L283">
        <v>1</v>
      </c>
      <c r="N283" s="822">
        <v>20752</v>
      </c>
      <c r="O283" s="146">
        <v>13</v>
      </c>
      <c r="P283" s="822">
        <v>20750</v>
      </c>
      <c r="Q283">
        <v>1</v>
      </c>
      <c r="R283">
        <v>1</v>
      </c>
      <c r="X283" s="321"/>
      <c r="Y283" s="321"/>
      <c r="Z283" s="321"/>
      <c r="AA283" s="146"/>
      <c r="AB283" s="321"/>
      <c r="AC283" s="321"/>
      <c r="AD283" s="321"/>
      <c r="AE283" s="321"/>
    </row>
    <row r="284" spans="2:31" ht="12.75" hidden="1" customHeight="1">
      <c r="B284" t="s">
        <v>5995</v>
      </c>
      <c r="C284" t="s">
        <v>4748</v>
      </c>
      <c r="D284" t="s">
        <v>725</v>
      </c>
      <c r="E284" t="s">
        <v>969</v>
      </c>
      <c r="F284">
        <v>0</v>
      </c>
      <c r="G284">
        <v>0</v>
      </c>
      <c r="H284">
        <v>1</v>
      </c>
      <c r="I284">
        <v>1</v>
      </c>
      <c r="J284">
        <v>1</v>
      </c>
      <c r="K284">
        <v>1</v>
      </c>
      <c r="L284">
        <v>1</v>
      </c>
      <c r="N284" s="822">
        <v>20852</v>
      </c>
      <c r="O284" s="146">
        <v>13</v>
      </c>
      <c r="P284" s="822">
        <v>20850</v>
      </c>
      <c r="Q284">
        <v>1</v>
      </c>
      <c r="R284">
        <v>1</v>
      </c>
      <c r="X284" s="321"/>
      <c r="Y284" s="321"/>
      <c r="Z284" s="321"/>
      <c r="AA284" s="146"/>
      <c r="AB284" s="321"/>
      <c r="AC284" s="321"/>
      <c r="AD284" s="321"/>
      <c r="AE284" s="321"/>
    </row>
    <row r="285" spans="2:31" ht="12.75" hidden="1" customHeight="1">
      <c r="B285" t="s">
        <v>5995</v>
      </c>
      <c r="C285" t="s">
        <v>2415</v>
      </c>
      <c r="D285" t="s">
        <v>725</v>
      </c>
      <c r="E285" t="s">
        <v>969</v>
      </c>
      <c r="F285">
        <v>0</v>
      </c>
      <c r="G285">
        <v>0</v>
      </c>
      <c r="H285">
        <v>1</v>
      </c>
      <c r="I285">
        <v>1</v>
      </c>
      <c r="J285">
        <v>1</v>
      </c>
      <c r="K285">
        <v>1</v>
      </c>
      <c r="L285">
        <v>1</v>
      </c>
      <c r="N285" s="822">
        <v>20952</v>
      </c>
      <c r="O285" s="146">
        <v>13</v>
      </c>
      <c r="P285" s="822">
        <v>20950</v>
      </c>
      <c r="Q285">
        <v>1</v>
      </c>
      <c r="R285">
        <v>1</v>
      </c>
      <c r="X285" s="321"/>
      <c r="Y285" s="321"/>
      <c r="Z285" s="321"/>
      <c r="AA285" s="146"/>
      <c r="AB285" s="321"/>
      <c r="AC285" s="321"/>
      <c r="AD285" s="321"/>
      <c r="AE285" s="321"/>
    </row>
    <row r="286" spans="2:31" ht="12.75" hidden="1" customHeight="1">
      <c r="B286" t="s">
        <v>5995</v>
      </c>
      <c r="C286" t="s">
        <v>2982</v>
      </c>
      <c r="D286" t="s">
        <v>725</v>
      </c>
      <c r="E286" t="s">
        <v>969</v>
      </c>
      <c r="F286">
        <v>0</v>
      </c>
      <c r="G286">
        <v>0</v>
      </c>
      <c r="H286">
        <v>1</v>
      </c>
      <c r="I286">
        <v>1</v>
      </c>
      <c r="J286">
        <v>1</v>
      </c>
      <c r="K286">
        <v>1</v>
      </c>
      <c r="L286">
        <v>1</v>
      </c>
      <c r="N286" s="822">
        <v>21052</v>
      </c>
      <c r="O286" s="146">
        <v>13</v>
      </c>
      <c r="P286" s="822">
        <v>21050</v>
      </c>
      <c r="Q286">
        <v>1</v>
      </c>
      <c r="R286">
        <v>1</v>
      </c>
      <c r="X286" s="321"/>
      <c r="Y286" s="321"/>
      <c r="Z286" s="321"/>
      <c r="AA286" s="146"/>
      <c r="AB286" s="321"/>
      <c r="AC286" s="321"/>
      <c r="AD286" s="321"/>
      <c r="AE286" s="321"/>
    </row>
    <row r="287" spans="2:31" ht="12.75" hidden="1" customHeight="1">
      <c r="B287" t="s">
        <v>5995</v>
      </c>
      <c r="C287" t="s">
        <v>1366</v>
      </c>
      <c r="D287" t="s">
        <v>725</v>
      </c>
      <c r="E287" t="s">
        <v>969</v>
      </c>
      <c r="F287">
        <v>1</v>
      </c>
      <c r="G287">
        <v>1</v>
      </c>
      <c r="H287">
        <v>0</v>
      </c>
      <c r="I287">
        <v>1</v>
      </c>
      <c r="J287">
        <v>1</v>
      </c>
      <c r="K287">
        <v>1</v>
      </c>
      <c r="L287">
        <v>1</v>
      </c>
      <c r="N287" s="822">
        <v>21152</v>
      </c>
      <c r="O287" s="146"/>
      <c r="P287" s="822">
        <v>21150</v>
      </c>
      <c r="Q287">
        <v>1</v>
      </c>
      <c r="R287">
        <v>0</v>
      </c>
      <c r="X287" s="321"/>
      <c r="Y287" s="321"/>
      <c r="Z287" s="321"/>
      <c r="AA287" s="146"/>
      <c r="AB287" s="321"/>
      <c r="AC287" s="321"/>
      <c r="AD287" s="321"/>
      <c r="AE287" s="321"/>
    </row>
    <row r="288" spans="2:31" ht="12.75" hidden="1" customHeight="1">
      <c r="B288" t="s">
        <v>5995</v>
      </c>
      <c r="C288" t="s">
        <v>4910</v>
      </c>
      <c r="D288" t="s">
        <v>725</v>
      </c>
      <c r="E288" t="s">
        <v>969</v>
      </c>
      <c r="F288">
        <v>1</v>
      </c>
      <c r="G288">
        <v>1</v>
      </c>
      <c r="H288">
        <v>0</v>
      </c>
      <c r="I288">
        <v>1</v>
      </c>
      <c r="J288">
        <v>1</v>
      </c>
      <c r="K288">
        <v>1</v>
      </c>
      <c r="L288">
        <v>1</v>
      </c>
      <c r="N288" s="822">
        <v>21252</v>
      </c>
      <c r="O288" s="146"/>
      <c r="P288" s="822">
        <v>21250</v>
      </c>
      <c r="Q288">
        <v>1</v>
      </c>
      <c r="R288">
        <v>0</v>
      </c>
      <c r="X288" s="321"/>
      <c r="Y288" s="321"/>
      <c r="Z288" s="321"/>
      <c r="AA288" s="146"/>
      <c r="AB288" s="321"/>
      <c r="AC288" s="321"/>
      <c r="AD288" s="321"/>
      <c r="AE288" s="321"/>
    </row>
    <row r="289" spans="2:31" ht="12.75" hidden="1" customHeight="1">
      <c r="B289" t="s">
        <v>5995</v>
      </c>
      <c r="C289" t="s">
        <v>5479</v>
      </c>
      <c r="D289" t="s">
        <v>725</v>
      </c>
      <c r="E289" t="s">
        <v>969</v>
      </c>
      <c r="F289">
        <v>1</v>
      </c>
      <c r="G289">
        <v>1</v>
      </c>
      <c r="H289">
        <v>0</v>
      </c>
      <c r="I289" s="146">
        <v>1</v>
      </c>
      <c r="J289" s="146">
        <v>1</v>
      </c>
      <c r="K289" s="146">
        <v>1</v>
      </c>
      <c r="L289" s="146">
        <v>1</v>
      </c>
      <c r="N289" s="822">
        <v>21352</v>
      </c>
      <c r="O289" s="146"/>
      <c r="P289" s="822">
        <v>21350</v>
      </c>
      <c r="Q289">
        <v>1</v>
      </c>
      <c r="R289">
        <v>0</v>
      </c>
      <c r="X289" s="321"/>
      <c r="Y289" s="321"/>
      <c r="Z289" s="321"/>
      <c r="AA289" s="146"/>
      <c r="AB289" s="321"/>
      <c r="AC289" s="321"/>
      <c r="AD289" s="321"/>
      <c r="AE289" s="321"/>
    </row>
    <row r="290" spans="2:31" ht="12.75" hidden="1" customHeight="1">
      <c r="B290" t="s">
        <v>5995</v>
      </c>
      <c r="C290" t="s">
        <v>3568</v>
      </c>
      <c r="D290" t="s">
        <v>725</v>
      </c>
      <c r="E290" t="s">
        <v>969</v>
      </c>
      <c r="F290">
        <v>1</v>
      </c>
      <c r="G290">
        <v>1</v>
      </c>
      <c r="H290">
        <v>0</v>
      </c>
      <c r="I290" s="146">
        <v>1</v>
      </c>
      <c r="J290" s="146">
        <v>1</v>
      </c>
      <c r="K290" s="146">
        <v>1</v>
      </c>
      <c r="L290" s="146">
        <v>1</v>
      </c>
      <c r="N290" s="822">
        <v>21452</v>
      </c>
      <c r="O290" s="146"/>
      <c r="P290" s="822">
        <v>21450</v>
      </c>
      <c r="Q290">
        <v>1</v>
      </c>
      <c r="R290">
        <v>0</v>
      </c>
      <c r="X290" s="321"/>
      <c r="Y290" s="321"/>
      <c r="Z290" s="321"/>
      <c r="AA290" s="146"/>
      <c r="AB290" s="321"/>
      <c r="AC290" s="321"/>
      <c r="AD290" s="321"/>
      <c r="AE290" s="321"/>
    </row>
    <row r="291" spans="2:31" ht="12.75" hidden="1" customHeight="1">
      <c r="B291" t="s">
        <v>5995</v>
      </c>
      <c r="C291" t="s">
        <v>1257</v>
      </c>
      <c r="D291" t="s">
        <v>725</v>
      </c>
      <c r="E291" t="s">
        <v>4241</v>
      </c>
      <c r="F291">
        <v>0</v>
      </c>
      <c r="G291">
        <v>0</v>
      </c>
      <c r="H291">
        <v>1</v>
      </c>
      <c r="I291" s="146">
        <v>0</v>
      </c>
      <c r="J291" s="146">
        <v>0</v>
      </c>
      <c r="K291" s="146">
        <v>0</v>
      </c>
      <c r="L291" s="146">
        <v>0</v>
      </c>
      <c r="N291" s="822">
        <v>20151</v>
      </c>
      <c r="O291" s="146">
        <v>13</v>
      </c>
      <c r="P291" s="822">
        <v>20150</v>
      </c>
      <c r="Q291">
        <v>1</v>
      </c>
      <c r="R291">
        <v>1</v>
      </c>
      <c r="X291" s="321"/>
      <c r="Y291" s="321"/>
      <c r="Z291" s="321"/>
      <c r="AA291" s="146"/>
      <c r="AB291" s="321"/>
      <c r="AC291" s="321"/>
      <c r="AD291" s="321"/>
      <c r="AE291" s="321"/>
    </row>
    <row r="292" spans="2:31" ht="12.75" hidden="1" customHeight="1">
      <c r="B292" t="s">
        <v>5995</v>
      </c>
      <c r="C292" t="s">
        <v>3321</v>
      </c>
      <c r="D292" t="s">
        <v>725</v>
      </c>
      <c r="E292" t="s">
        <v>4241</v>
      </c>
      <c r="F292">
        <v>1</v>
      </c>
      <c r="G292">
        <v>1</v>
      </c>
      <c r="H292">
        <v>0</v>
      </c>
      <c r="I292" s="146">
        <v>0</v>
      </c>
      <c r="J292" s="146">
        <v>0</v>
      </c>
      <c r="K292" s="146">
        <v>0</v>
      </c>
      <c r="L292" s="146">
        <v>0</v>
      </c>
      <c r="N292" s="822">
        <v>20251</v>
      </c>
      <c r="P292" s="822">
        <v>20250</v>
      </c>
      <c r="Q292">
        <v>1</v>
      </c>
      <c r="R292">
        <v>0</v>
      </c>
      <c r="X292" s="321"/>
      <c r="Y292" s="321"/>
      <c r="Z292" s="321"/>
      <c r="AA292" s="146"/>
      <c r="AB292" s="321"/>
      <c r="AC292" s="321"/>
      <c r="AD292" s="321"/>
      <c r="AE292" s="321"/>
    </row>
    <row r="293" spans="2:31" ht="12.75" hidden="1" customHeight="1">
      <c r="B293" t="s">
        <v>5995</v>
      </c>
      <c r="C293" t="s">
        <v>1750</v>
      </c>
      <c r="D293" t="s">
        <v>725</v>
      </c>
      <c r="E293" t="s">
        <v>4241</v>
      </c>
      <c r="F293">
        <v>1</v>
      </c>
      <c r="G293">
        <v>1</v>
      </c>
      <c r="H293">
        <v>0</v>
      </c>
      <c r="I293" s="146">
        <v>0</v>
      </c>
      <c r="J293" s="146">
        <v>0</v>
      </c>
      <c r="K293" s="146">
        <v>0</v>
      </c>
      <c r="L293" s="146">
        <v>0</v>
      </c>
      <c r="N293" s="822">
        <v>20351</v>
      </c>
      <c r="P293" s="822">
        <v>20350</v>
      </c>
      <c r="Q293">
        <v>1</v>
      </c>
      <c r="R293">
        <v>0</v>
      </c>
      <c r="X293" s="321"/>
      <c r="Y293" s="321"/>
      <c r="Z293" s="321"/>
      <c r="AA293" s="146"/>
      <c r="AB293" s="321"/>
      <c r="AC293" s="321"/>
      <c r="AD293" s="321"/>
      <c r="AE293" s="321"/>
    </row>
    <row r="294" spans="2:31" ht="12.75" hidden="1" customHeight="1">
      <c r="B294" t="s">
        <v>5995</v>
      </c>
      <c r="C294" t="s">
        <v>5275</v>
      </c>
      <c r="D294" t="s">
        <v>725</v>
      </c>
      <c r="E294" t="s">
        <v>4241</v>
      </c>
      <c r="F294">
        <v>1</v>
      </c>
      <c r="G294">
        <v>1</v>
      </c>
      <c r="H294">
        <v>0</v>
      </c>
      <c r="I294" s="146">
        <v>0</v>
      </c>
      <c r="J294" s="146">
        <v>0</v>
      </c>
      <c r="K294" s="146">
        <v>0</v>
      </c>
      <c r="L294" s="146">
        <v>0</v>
      </c>
      <c r="N294" s="822">
        <v>20451</v>
      </c>
      <c r="P294" s="822">
        <v>20450</v>
      </c>
      <c r="Q294">
        <v>1</v>
      </c>
      <c r="R294">
        <v>0</v>
      </c>
      <c r="X294" s="321"/>
      <c r="Y294" s="321"/>
      <c r="Z294" s="321"/>
      <c r="AA294" s="146"/>
      <c r="AB294" s="321"/>
      <c r="AC294" s="321"/>
      <c r="AD294" s="321"/>
      <c r="AE294" s="321"/>
    </row>
    <row r="295" spans="2:31" ht="12.75" hidden="1" customHeight="1">
      <c r="B295" t="s">
        <v>5995</v>
      </c>
      <c r="C295" t="s">
        <v>5271</v>
      </c>
      <c r="D295" t="s">
        <v>725</v>
      </c>
      <c r="E295" t="s">
        <v>4241</v>
      </c>
      <c r="F295">
        <v>1</v>
      </c>
      <c r="G295">
        <v>1</v>
      </c>
      <c r="H295">
        <v>0</v>
      </c>
      <c r="I295" s="146">
        <v>0</v>
      </c>
      <c r="J295" s="146">
        <v>0</v>
      </c>
      <c r="K295" s="146">
        <v>0</v>
      </c>
      <c r="L295" s="146">
        <v>0</v>
      </c>
      <c r="N295" s="822">
        <v>20551</v>
      </c>
      <c r="P295" s="822">
        <v>20550</v>
      </c>
      <c r="Q295">
        <v>1</v>
      </c>
      <c r="R295">
        <v>0</v>
      </c>
      <c r="X295" s="321"/>
      <c r="Y295" s="321"/>
      <c r="Z295" s="321"/>
      <c r="AA295" s="146"/>
      <c r="AB295" s="321"/>
      <c r="AC295" s="321"/>
      <c r="AD295" s="321"/>
      <c r="AE295" s="321"/>
    </row>
    <row r="296" spans="2:31" ht="12.75" hidden="1" customHeight="1">
      <c r="B296" t="s">
        <v>5995</v>
      </c>
      <c r="C296" t="s">
        <v>4747</v>
      </c>
      <c r="D296" t="s">
        <v>725</v>
      </c>
      <c r="E296" t="s">
        <v>4241</v>
      </c>
      <c r="F296">
        <v>1</v>
      </c>
      <c r="G296">
        <v>1</v>
      </c>
      <c r="H296">
        <v>0</v>
      </c>
      <c r="I296" s="146">
        <v>0</v>
      </c>
      <c r="J296" s="146">
        <v>0</v>
      </c>
      <c r="K296" s="146">
        <v>0</v>
      </c>
      <c r="L296" s="146">
        <v>0</v>
      </c>
      <c r="N296" s="822">
        <v>20651</v>
      </c>
      <c r="P296" s="822">
        <v>20650</v>
      </c>
      <c r="Q296">
        <v>1</v>
      </c>
      <c r="R296">
        <v>0</v>
      </c>
      <c r="X296" s="321"/>
      <c r="Y296" s="321"/>
      <c r="Z296" s="321"/>
      <c r="AA296" s="146"/>
      <c r="AB296" s="321"/>
      <c r="AC296" s="321"/>
      <c r="AD296" s="321"/>
      <c r="AE296" s="321"/>
    </row>
    <row r="297" spans="2:31" ht="12.75" hidden="1" customHeight="1">
      <c r="B297" t="s">
        <v>5995</v>
      </c>
      <c r="C297" t="s">
        <v>2477</v>
      </c>
      <c r="D297" t="s">
        <v>725</v>
      </c>
      <c r="E297" t="s">
        <v>4241</v>
      </c>
      <c r="F297">
        <v>0</v>
      </c>
      <c r="G297">
        <v>0</v>
      </c>
      <c r="H297">
        <v>1</v>
      </c>
      <c r="I297" s="146">
        <v>0</v>
      </c>
      <c r="J297" s="146">
        <v>0</v>
      </c>
      <c r="K297" s="146">
        <v>0</v>
      </c>
      <c r="L297" s="146">
        <v>0</v>
      </c>
      <c r="N297" s="822">
        <v>20751</v>
      </c>
      <c r="O297" s="146">
        <v>13</v>
      </c>
      <c r="P297" s="822">
        <v>20750</v>
      </c>
      <c r="Q297">
        <v>1</v>
      </c>
      <c r="R297">
        <v>1</v>
      </c>
      <c r="X297" s="321"/>
      <c r="Y297" s="321"/>
      <c r="Z297" s="321"/>
      <c r="AA297" s="146"/>
      <c r="AB297" s="321"/>
      <c r="AC297" s="321"/>
      <c r="AD297" s="321"/>
      <c r="AE297" s="321"/>
    </row>
    <row r="298" spans="2:31" ht="12.75" hidden="1" customHeight="1">
      <c r="B298" t="s">
        <v>5995</v>
      </c>
      <c r="C298" t="s">
        <v>4748</v>
      </c>
      <c r="D298" t="s">
        <v>725</v>
      </c>
      <c r="E298" t="s">
        <v>4241</v>
      </c>
      <c r="F298">
        <v>0</v>
      </c>
      <c r="G298">
        <v>0</v>
      </c>
      <c r="H298">
        <v>1</v>
      </c>
      <c r="I298" s="146">
        <v>0</v>
      </c>
      <c r="J298" s="146">
        <v>0</v>
      </c>
      <c r="K298" s="146">
        <v>0</v>
      </c>
      <c r="L298" s="146">
        <v>0</v>
      </c>
      <c r="N298" s="822">
        <v>20851</v>
      </c>
      <c r="O298" s="146">
        <v>13</v>
      </c>
      <c r="P298" s="822">
        <v>20850</v>
      </c>
      <c r="Q298">
        <v>1</v>
      </c>
      <c r="R298">
        <v>1</v>
      </c>
      <c r="X298" s="321"/>
      <c r="Y298" s="321"/>
      <c r="Z298" s="321"/>
      <c r="AA298" s="146"/>
      <c r="AB298" s="321"/>
      <c r="AC298" s="321"/>
      <c r="AD298" s="321"/>
      <c r="AE298" s="321"/>
    </row>
    <row r="299" spans="2:31" ht="12.75" hidden="1" customHeight="1">
      <c r="B299" t="s">
        <v>5995</v>
      </c>
      <c r="C299" t="s">
        <v>2415</v>
      </c>
      <c r="D299" t="s">
        <v>725</v>
      </c>
      <c r="E299" t="s">
        <v>4241</v>
      </c>
      <c r="F299">
        <v>0</v>
      </c>
      <c r="G299">
        <v>0</v>
      </c>
      <c r="H299">
        <v>1</v>
      </c>
      <c r="I299" s="146">
        <v>0</v>
      </c>
      <c r="J299" s="146">
        <v>0</v>
      </c>
      <c r="K299" s="146">
        <v>0</v>
      </c>
      <c r="L299" s="146">
        <v>0</v>
      </c>
      <c r="N299" s="822">
        <v>20951</v>
      </c>
      <c r="O299" s="146">
        <v>13</v>
      </c>
      <c r="P299" s="822">
        <v>20950</v>
      </c>
      <c r="Q299">
        <v>1</v>
      </c>
      <c r="R299">
        <v>1</v>
      </c>
      <c r="X299" s="321"/>
      <c r="Y299" s="321"/>
      <c r="Z299" s="321"/>
      <c r="AA299" s="146"/>
      <c r="AB299" s="321"/>
      <c r="AC299" s="321"/>
      <c r="AD299" s="321"/>
      <c r="AE299" s="321"/>
    </row>
    <row r="300" spans="2:31" ht="12.75" hidden="1" customHeight="1">
      <c r="B300" t="s">
        <v>5995</v>
      </c>
      <c r="C300" t="s">
        <v>2982</v>
      </c>
      <c r="D300" t="s">
        <v>725</v>
      </c>
      <c r="E300" t="s">
        <v>4241</v>
      </c>
      <c r="F300">
        <v>0</v>
      </c>
      <c r="G300">
        <v>0</v>
      </c>
      <c r="H300">
        <v>1</v>
      </c>
      <c r="I300" s="146">
        <v>0</v>
      </c>
      <c r="J300" s="146">
        <v>0</v>
      </c>
      <c r="K300" s="146">
        <v>0</v>
      </c>
      <c r="L300" s="146">
        <v>0</v>
      </c>
      <c r="N300" s="822">
        <v>21051</v>
      </c>
      <c r="O300" s="146">
        <v>13</v>
      </c>
      <c r="P300" s="822">
        <v>21050</v>
      </c>
      <c r="Q300">
        <v>1</v>
      </c>
      <c r="R300">
        <v>1</v>
      </c>
      <c r="X300" s="321"/>
      <c r="Y300" s="321"/>
      <c r="Z300" s="321"/>
      <c r="AA300" s="146"/>
      <c r="AB300" s="321"/>
      <c r="AC300" s="321"/>
      <c r="AD300" s="321"/>
      <c r="AE300" s="321"/>
    </row>
    <row r="301" spans="2:31" ht="12.75" hidden="1" customHeight="1">
      <c r="B301" t="s">
        <v>5995</v>
      </c>
      <c r="C301" t="s">
        <v>1366</v>
      </c>
      <c r="D301" t="s">
        <v>725</v>
      </c>
      <c r="E301" t="s">
        <v>4241</v>
      </c>
      <c r="F301">
        <v>1</v>
      </c>
      <c r="G301">
        <v>1</v>
      </c>
      <c r="H301">
        <v>0</v>
      </c>
      <c r="I301" s="146">
        <v>0</v>
      </c>
      <c r="J301" s="146">
        <v>0</v>
      </c>
      <c r="K301" s="146">
        <v>0</v>
      </c>
      <c r="L301" s="146">
        <v>0</v>
      </c>
      <c r="N301" s="822">
        <v>21151</v>
      </c>
      <c r="O301" s="146"/>
      <c r="P301" s="822">
        <v>21150</v>
      </c>
      <c r="Q301">
        <v>1</v>
      </c>
      <c r="R301">
        <v>0</v>
      </c>
      <c r="X301" s="321"/>
      <c r="Y301" s="321"/>
      <c r="Z301" s="321"/>
      <c r="AA301" s="146"/>
      <c r="AB301" s="321"/>
      <c r="AC301" s="321"/>
      <c r="AD301" s="321"/>
      <c r="AE301" s="321"/>
    </row>
    <row r="302" spans="2:31" ht="12.75" hidden="1" customHeight="1">
      <c r="B302" t="s">
        <v>5995</v>
      </c>
      <c r="C302" t="s">
        <v>4910</v>
      </c>
      <c r="D302" t="s">
        <v>725</v>
      </c>
      <c r="E302" t="s">
        <v>4241</v>
      </c>
      <c r="F302">
        <v>1</v>
      </c>
      <c r="G302">
        <v>1</v>
      </c>
      <c r="H302">
        <v>0</v>
      </c>
      <c r="I302" s="146">
        <v>0</v>
      </c>
      <c r="J302" s="146">
        <v>0</v>
      </c>
      <c r="K302" s="146">
        <v>0</v>
      </c>
      <c r="L302" s="146">
        <v>0</v>
      </c>
      <c r="N302" s="822">
        <v>21251</v>
      </c>
      <c r="O302" s="146"/>
      <c r="P302" s="822">
        <v>21250</v>
      </c>
      <c r="Q302">
        <v>1</v>
      </c>
      <c r="R302">
        <v>0</v>
      </c>
      <c r="X302" s="321"/>
      <c r="Y302" s="321"/>
      <c r="Z302" s="321"/>
      <c r="AA302" s="146"/>
      <c r="AB302" s="321"/>
      <c r="AC302" s="321"/>
      <c r="AD302" s="321"/>
      <c r="AE302" s="321"/>
    </row>
    <row r="303" spans="2:31" ht="12.75" hidden="1" customHeight="1">
      <c r="B303" t="s">
        <v>5995</v>
      </c>
      <c r="C303" t="s">
        <v>5479</v>
      </c>
      <c r="D303" t="s">
        <v>725</v>
      </c>
      <c r="E303" t="s">
        <v>4241</v>
      </c>
      <c r="F303">
        <v>1</v>
      </c>
      <c r="G303">
        <v>1</v>
      </c>
      <c r="H303">
        <v>0</v>
      </c>
      <c r="I303">
        <v>0</v>
      </c>
      <c r="J303">
        <v>0</v>
      </c>
      <c r="K303">
        <v>0</v>
      </c>
      <c r="L303">
        <v>0</v>
      </c>
      <c r="N303" s="822">
        <v>21351</v>
      </c>
      <c r="O303" s="146"/>
      <c r="P303" s="822">
        <v>21350</v>
      </c>
      <c r="Q303">
        <v>1</v>
      </c>
      <c r="R303">
        <v>0</v>
      </c>
      <c r="X303" s="321"/>
      <c r="Y303" s="321"/>
      <c r="Z303" s="321"/>
      <c r="AA303" s="146"/>
      <c r="AB303" s="321"/>
      <c r="AC303" s="321"/>
      <c r="AD303" s="321"/>
      <c r="AE303" s="321"/>
    </row>
    <row r="304" spans="2:31" ht="12.75" hidden="1" customHeight="1">
      <c r="B304" t="s">
        <v>5995</v>
      </c>
      <c r="C304" t="s">
        <v>3568</v>
      </c>
      <c r="D304" t="s">
        <v>725</v>
      </c>
      <c r="E304" t="s">
        <v>4241</v>
      </c>
      <c r="F304">
        <v>1</v>
      </c>
      <c r="G304">
        <v>1</v>
      </c>
      <c r="H304">
        <v>0</v>
      </c>
      <c r="I304">
        <v>0</v>
      </c>
      <c r="J304">
        <v>0</v>
      </c>
      <c r="K304">
        <v>0</v>
      </c>
      <c r="L304">
        <v>0</v>
      </c>
      <c r="N304" s="822">
        <v>21451</v>
      </c>
      <c r="O304" s="146"/>
      <c r="P304" s="822">
        <v>21450</v>
      </c>
      <c r="Q304">
        <v>1</v>
      </c>
      <c r="R304">
        <v>0</v>
      </c>
      <c r="X304" s="321"/>
      <c r="Y304" s="321"/>
      <c r="Z304" s="321"/>
      <c r="AA304" s="146"/>
      <c r="AB304" s="321"/>
      <c r="AC304" s="321"/>
      <c r="AD304" s="321"/>
      <c r="AE304" s="321"/>
    </row>
    <row r="305" spans="2:31" ht="12.75" hidden="1" customHeight="1">
      <c r="B305" t="s">
        <v>5179</v>
      </c>
      <c r="D305" t="s">
        <v>5056</v>
      </c>
      <c r="E305" t="s">
        <v>969</v>
      </c>
      <c r="F305">
        <v>0</v>
      </c>
      <c r="G305">
        <v>1</v>
      </c>
      <c r="H305">
        <v>0</v>
      </c>
      <c r="I305">
        <v>1</v>
      </c>
      <c r="J305">
        <v>1</v>
      </c>
      <c r="K305">
        <v>1</v>
      </c>
      <c r="L305">
        <v>1</v>
      </c>
      <c r="N305" s="146">
        <v>20012</v>
      </c>
      <c r="O305" s="146"/>
      <c r="P305" s="822">
        <v>20010</v>
      </c>
      <c r="Q305">
        <v>1</v>
      </c>
      <c r="R305">
        <v>0</v>
      </c>
      <c r="X305" s="321"/>
      <c r="Y305" s="321"/>
      <c r="Z305" s="321"/>
      <c r="AA305" s="146"/>
      <c r="AB305" s="321"/>
      <c r="AC305" s="321"/>
      <c r="AD305" s="321"/>
      <c r="AE305" s="321"/>
    </row>
    <row r="306" spans="2:31" ht="12.75" hidden="1" customHeight="1">
      <c r="E306" t="s">
        <v>969</v>
      </c>
      <c r="F306">
        <v>1</v>
      </c>
      <c r="G306">
        <v>1</v>
      </c>
      <c r="H306">
        <v>0</v>
      </c>
      <c r="I306">
        <v>1</v>
      </c>
      <c r="J306">
        <v>1</v>
      </c>
      <c r="K306">
        <v>1</v>
      </c>
      <c r="L306">
        <v>1</v>
      </c>
      <c r="N306" s="146">
        <v>20022</v>
      </c>
      <c r="O306" s="146"/>
      <c r="P306" s="822">
        <v>20020</v>
      </c>
      <c r="Q306">
        <v>1</v>
      </c>
      <c r="R306">
        <v>0</v>
      </c>
      <c r="X306" s="321"/>
      <c r="Y306" s="321"/>
      <c r="Z306" s="321"/>
      <c r="AA306" s="146"/>
      <c r="AB306" s="321"/>
      <c r="AC306" s="321"/>
      <c r="AD306" s="321"/>
      <c r="AE306" s="321"/>
    </row>
    <row r="307" spans="2:31" ht="12.75" hidden="1" customHeight="1">
      <c r="D307" t="s">
        <v>2819</v>
      </c>
      <c r="E307" t="s">
        <v>969</v>
      </c>
      <c r="F307">
        <v>0</v>
      </c>
      <c r="G307">
        <v>1</v>
      </c>
      <c r="H307">
        <v>0</v>
      </c>
      <c r="I307">
        <v>1</v>
      </c>
      <c r="J307">
        <v>1</v>
      </c>
      <c r="K307">
        <v>1</v>
      </c>
      <c r="L307">
        <v>1</v>
      </c>
      <c r="N307" s="146">
        <v>20032</v>
      </c>
      <c r="O307" s="146"/>
      <c r="P307" s="822">
        <v>20030</v>
      </c>
      <c r="Q307">
        <v>1</v>
      </c>
      <c r="R307">
        <v>0</v>
      </c>
      <c r="X307" s="321"/>
      <c r="Y307" s="321"/>
      <c r="Z307" s="321"/>
      <c r="AA307" s="146"/>
      <c r="AB307" s="321"/>
      <c r="AC307" s="321"/>
      <c r="AD307" s="321"/>
      <c r="AE307" s="321"/>
    </row>
    <row r="308" spans="2:31" ht="12.75" hidden="1" customHeight="1">
      <c r="E308" t="s">
        <v>969</v>
      </c>
      <c r="F308">
        <v>1</v>
      </c>
      <c r="G308">
        <v>1</v>
      </c>
      <c r="H308">
        <v>0</v>
      </c>
      <c r="I308">
        <v>1</v>
      </c>
      <c r="J308">
        <v>1</v>
      </c>
      <c r="K308">
        <v>1</v>
      </c>
      <c r="L308">
        <v>1</v>
      </c>
      <c r="N308" s="146">
        <v>20042</v>
      </c>
      <c r="O308" s="146"/>
      <c r="P308" s="822">
        <v>20040</v>
      </c>
      <c r="Q308">
        <v>1</v>
      </c>
      <c r="R308">
        <v>0</v>
      </c>
      <c r="X308" s="321"/>
      <c r="Y308" s="321"/>
      <c r="Z308" s="321"/>
      <c r="AA308" s="146"/>
      <c r="AB308" s="321"/>
      <c r="AC308" s="321"/>
      <c r="AD308" s="321"/>
      <c r="AE308" s="321"/>
    </row>
    <row r="309" spans="2:31" ht="12.75" hidden="1" customHeight="1">
      <c r="E309" t="s">
        <v>969</v>
      </c>
      <c r="F309">
        <v>1</v>
      </c>
      <c r="G309">
        <v>1</v>
      </c>
      <c r="H309">
        <v>0</v>
      </c>
      <c r="I309">
        <v>1</v>
      </c>
      <c r="J309">
        <v>1</v>
      </c>
      <c r="K309">
        <v>1</v>
      </c>
      <c r="L309">
        <v>1</v>
      </c>
      <c r="N309" s="146">
        <v>20052</v>
      </c>
      <c r="O309" s="146"/>
      <c r="P309" s="822">
        <v>20050</v>
      </c>
      <c r="Q309">
        <v>1</v>
      </c>
      <c r="R309">
        <v>0</v>
      </c>
      <c r="X309" s="321"/>
      <c r="Y309" s="321"/>
      <c r="Z309" s="321"/>
      <c r="AA309" s="146"/>
      <c r="AB309" s="321"/>
      <c r="AC309" s="321"/>
      <c r="AD309" s="321"/>
      <c r="AE309" s="321"/>
    </row>
    <row r="310" spans="2:31" ht="12.75" hidden="1" customHeight="1">
      <c r="B310" t="s">
        <v>5179</v>
      </c>
      <c r="D310" t="s">
        <v>5056</v>
      </c>
      <c r="E310" t="s">
        <v>4241</v>
      </c>
      <c r="F310">
        <v>0</v>
      </c>
      <c r="G310">
        <v>1</v>
      </c>
      <c r="H310">
        <v>0</v>
      </c>
      <c r="I310">
        <v>0</v>
      </c>
      <c r="J310">
        <v>0</v>
      </c>
      <c r="K310">
        <v>0</v>
      </c>
      <c r="L310">
        <v>0</v>
      </c>
      <c r="N310" s="146">
        <v>20011</v>
      </c>
      <c r="O310" s="146"/>
      <c r="P310" s="822">
        <v>20010</v>
      </c>
      <c r="Q310">
        <v>1</v>
      </c>
      <c r="R310">
        <v>0</v>
      </c>
      <c r="X310" s="321"/>
      <c r="Y310" s="321"/>
      <c r="Z310" s="321"/>
      <c r="AA310" s="146"/>
      <c r="AB310" s="321"/>
      <c r="AC310" s="321"/>
      <c r="AD310" s="321"/>
      <c r="AE310" s="321"/>
    </row>
    <row r="311" spans="2:31" ht="12.75" hidden="1" customHeight="1">
      <c r="E311" t="s">
        <v>4241</v>
      </c>
      <c r="F311">
        <v>1</v>
      </c>
      <c r="G311">
        <v>1</v>
      </c>
      <c r="H311">
        <v>0</v>
      </c>
      <c r="I311">
        <v>0</v>
      </c>
      <c r="J311">
        <v>0</v>
      </c>
      <c r="K311">
        <v>0</v>
      </c>
      <c r="L311">
        <v>0</v>
      </c>
      <c r="N311" s="146">
        <v>20021</v>
      </c>
      <c r="O311" s="146"/>
      <c r="P311" s="822">
        <v>20020</v>
      </c>
      <c r="Q311">
        <v>1</v>
      </c>
      <c r="R311">
        <v>0</v>
      </c>
      <c r="X311" s="321"/>
      <c r="Y311" s="321"/>
      <c r="Z311" s="321"/>
      <c r="AA311" s="146"/>
      <c r="AB311" s="321"/>
      <c r="AC311" s="321"/>
      <c r="AD311" s="321"/>
      <c r="AE311" s="321"/>
    </row>
    <row r="312" spans="2:31" ht="12.75" hidden="1" customHeight="1">
      <c r="D312" t="s">
        <v>2819</v>
      </c>
      <c r="E312" t="s">
        <v>4241</v>
      </c>
      <c r="F312">
        <v>0</v>
      </c>
      <c r="G312">
        <v>1</v>
      </c>
      <c r="H312">
        <v>0</v>
      </c>
      <c r="I312">
        <v>0</v>
      </c>
      <c r="J312">
        <v>0</v>
      </c>
      <c r="K312">
        <v>0</v>
      </c>
      <c r="L312">
        <v>0</v>
      </c>
      <c r="N312" s="146">
        <v>20031</v>
      </c>
      <c r="O312" s="146"/>
      <c r="P312" s="822">
        <v>20030</v>
      </c>
      <c r="Q312">
        <v>1</v>
      </c>
      <c r="R312">
        <v>0</v>
      </c>
      <c r="X312" s="321"/>
      <c r="Y312" s="321"/>
      <c r="Z312" s="321"/>
      <c r="AA312" s="146"/>
      <c r="AB312" s="321"/>
      <c r="AC312" s="321"/>
      <c r="AD312" s="321"/>
      <c r="AE312" s="321"/>
    </row>
    <row r="313" spans="2:31" ht="12.75" hidden="1" customHeight="1">
      <c r="E313" t="s">
        <v>4241</v>
      </c>
      <c r="F313">
        <v>1</v>
      </c>
      <c r="G313">
        <v>1</v>
      </c>
      <c r="H313">
        <v>0</v>
      </c>
      <c r="I313">
        <v>0</v>
      </c>
      <c r="J313">
        <v>0</v>
      </c>
      <c r="K313">
        <v>0</v>
      </c>
      <c r="L313">
        <v>0</v>
      </c>
      <c r="N313" s="146">
        <v>20041</v>
      </c>
      <c r="O313" s="146"/>
      <c r="P313" s="822">
        <v>20040</v>
      </c>
      <c r="Q313">
        <v>1</v>
      </c>
      <c r="R313">
        <v>0</v>
      </c>
      <c r="X313" s="321"/>
      <c r="Y313" s="321"/>
      <c r="Z313" s="321"/>
      <c r="AA313" s="146"/>
      <c r="AB313" s="321"/>
      <c r="AC313" s="321"/>
      <c r="AD313" s="321"/>
      <c r="AE313" s="321"/>
    </row>
    <row r="314" spans="2:31" ht="12.75" hidden="1" customHeight="1">
      <c r="E314" t="s">
        <v>4241</v>
      </c>
      <c r="F314">
        <v>1</v>
      </c>
      <c r="G314">
        <v>1</v>
      </c>
      <c r="H314">
        <v>0</v>
      </c>
      <c r="I314">
        <v>0</v>
      </c>
      <c r="J314">
        <v>0</v>
      </c>
      <c r="K314">
        <v>0</v>
      </c>
      <c r="L314">
        <v>0</v>
      </c>
      <c r="N314" s="146">
        <v>20051</v>
      </c>
      <c r="O314" s="146"/>
      <c r="P314" s="822">
        <v>20050</v>
      </c>
      <c r="Q314">
        <v>1</v>
      </c>
      <c r="R314">
        <v>0</v>
      </c>
      <c r="X314" s="321"/>
      <c r="Y314" s="321"/>
      <c r="Z314" s="321"/>
      <c r="AA314" s="146"/>
      <c r="AB314" s="321"/>
      <c r="AC314" s="321"/>
      <c r="AD314" s="321"/>
      <c r="AE314" s="321"/>
    </row>
    <row r="315" spans="2:31" ht="12.75" hidden="1" customHeight="1">
      <c r="B315" t="s">
        <v>5997</v>
      </c>
      <c r="C315" t="s">
        <v>147</v>
      </c>
      <c r="E315" t="s">
        <v>969</v>
      </c>
      <c r="F315">
        <v>1</v>
      </c>
      <c r="G315">
        <v>1</v>
      </c>
      <c r="H315">
        <v>0</v>
      </c>
      <c r="I315">
        <v>1</v>
      </c>
      <c r="J315">
        <v>1</v>
      </c>
      <c r="K315">
        <v>1</v>
      </c>
      <c r="L315">
        <v>1</v>
      </c>
      <c r="N315" s="146">
        <v>30102</v>
      </c>
      <c r="O315" s="146"/>
      <c r="P315" s="822">
        <v>30100</v>
      </c>
      <c r="Q315">
        <v>1</v>
      </c>
      <c r="R315">
        <v>0</v>
      </c>
      <c r="X315" s="321"/>
      <c r="Y315" s="321"/>
      <c r="Z315" s="321"/>
      <c r="AA315" s="146"/>
      <c r="AB315" s="321"/>
      <c r="AC315" s="321"/>
      <c r="AD315" s="321"/>
      <c r="AE315" s="321"/>
    </row>
    <row r="316" spans="2:31" ht="12.75" hidden="1" customHeight="1">
      <c r="B316" t="s">
        <v>5997</v>
      </c>
      <c r="C316" t="s">
        <v>2595</v>
      </c>
      <c r="E316" t="s">
        <v>969</v>
      </c>
      <c r="F316">
        <v>1</v>
      </c>
      <c r="G316">
        <v>1</v>
      </c>
      <c r="H316">
        <v>0</v>
      </c>
      <c r="I316">
        <v>1</v>
      </c>
      <c r="J316">
        <v>1</v>
      </c>
      <c r="K316">
        <v>1</v>
      </c>
      <c r="L316">
        <v>1</v>
      </c>
      <c r="N316" s="146">
        <v>30202</v>
      </c>
      <c r="O316" s="146"/>
      <c r="P316" s="822">
        <v>30200</v>
      </c>
      <c r="Q316">
        <v>1</v>
      </c>
      <c r="R316">
        <v>0</v>
      </c>
      <c r="X316" s="321"/>
      <c r="Y316" s="321"/>
      <c r="Z316" s="321"/>
      <c r="AA316" s="146"/>
      <c r="AB316" s="321"/>
      <c r="AC316" s="321"/>
      <c r="AD316" s="321"/>
      <c r="AE316" s="321"/>
    </row>
    <row r="317" spans="2:31" ht="12.75" hidden="1" customHeight="1">
      <c r="B317" t="s">
        <v>5997</v>
      </c>
      <c r="C317" t="s">
        <v>727</v>
      </c>
      <c r="E317" t="s">
        <v>969</v>
      </c>
      <c r="F317">
        <v>1</v>
      </c>
      <c r="G317">
        <v>1</v>
      </c>
      <c r="H317">
        <v>0</v>
      </c>
      <c r="I317">
        <v>1</v>
      </c>
      <c r="J317">
        <v>1</v>
      </c>
      <c r="K317">
        <v>1</v>
      </c>
      <c r="L317">
        <v>1</v>
      </c>
      <c r="N317" s="146">
        <v>30302</v>
      </c>
      <c r="O317" s="146"/>
      <c r="P317" s="822">
        <v>30300</v>
      </c>
      <c r="Q317">
        <v>1</v>
      </c>
      <c r="R317">
        <v>0</v>
      </c>
      <c r="X317" s="321"/>
      <c r="Y317" s="321"/>
      <c r="Z317" s="321"/>
      <c r="AA317" s="146"/>
      <c r="AB317" s="321"/>
      <c r="AC317" s="321"/>
      <c r="AD317" s="321"/>
      <c r="AE317" s="321"/>
    </row>
    <row r="318" spans="2:31" ht="12.75" hidden="1" customHeight="1">
      <c r="B318" t="s">
        <v>5997</v>
      </c>
      <c r="C318" t="s">
        <v>728</v>
      </c>
      <c r="E318" t="s">
        <v>969</v>
      </c>
      <c r="F318">
        <v>1</v>
      </c>
      <c r="G318">
        <v>1</v>
      </c>
      <c r="H318">
        <v>0</v>
      </c>
      <c r="I318">
        <v>1</v>
      </c>
      <c r="J318">
        <v>1</v>
      </c>
      <c r="K318">
        <v>1</v>
      </c>
      <c r="L318">
        <v>1</v>
      </c>
      <c r="N318" s="146">
        <v>30402</v>
      </c>
      <c r="O318" s="146"/>
      <c r="P318" s="822">
        <v>30400</v>
      </c>
      <c r="Q318">
        <v>1</v>
      </c>
      <c r="R318">
        <v>0</v>
      </c>
      <c r="X318" s="321"/>
      <c r="Y318" s="321"/>
      <c r="Z318" s="321"/>
      <c r="AA318" s="146"/>
      <c r="AB318" s="321"/>
      <c r="AC318" s="321"/>
      <c r="AD318" s="321"/>
      <c r="AE318" s="321"/>
    </row>
    <row r="319" spans="2:31" ht="12.75" hidden="1" customHeight="1">
      <c r="B319" t="s">
        <v>5997</v>
      </c>
      <c r="C319" t="s">
        <v>4712</v>
      </c>
      <c r="E319" t="s">
        <v>969</v>
      </c>
      <c r="F319">
        <v>1</v>
      </c>
      <c r="G319">
        <v>1</v>
      </c>
      <c r="H319">
        <v>0</v>
      </c>
      <c r="I319">
        <v>1</v>
      </c>
      <c r="J319">
        <v>1</v>
      </c>
      <c r="K319">
        <v>1</v>
      </c>
      <c r="L319">
        <v>1</v>
      </c>
      <c r="N319" s="146">
        <v>30502</v>
      </c>
      <c r="O319" s="146"/>
      <c r="P319" s="822">
        <v>30500</v>
      </c>
      <c r="Q319">
        <v>1</v>
      </c>
      <c r="R319">
        <v>0</v>
      </c>
      <c r="X319" s="321"/>
      <c r="Y319" s="321"/>
      <c r="Z319" s="321"/>
      <c r="AA319" s="146"/>
      <c r="AB319" s="321"/>
      <c r="AC319" s="321"/>
      <c r="AD319" s="321"/>
      <c r="AE319" s="321"/>
    </row>
    <row r="320" spans="2:31" ht="12.75" hidden="1" customHeight="1">
      <c r="B320" t="s">
        <v>5997</v>
      </c>
      <c r="C320" t="s">
        <v>147</v>
      </c>
      <c r="E320" t="s">
        <v>4241</v>
      </c>
      <c r="F320">
        <v>0</v>
      </c>
      <c r="G320">
        <v>0</v>
      </c>
      <c r="H320">
        <v>1</v>
      </c>
      <c r="I320">
        <v>0</v>
      </c>
      <c r="J320">
        <v>0</v>
      </c>
      <c r="K320">
        <v>0</v>
      </c>
      <c r="L320">
        <v>0</v>
      </c>
      <c r="N320" s="822">
        <v>30101</v>
      </c>
      <c r="O320" s="146">
        <v>19</v>
      </c>
      <c r="P320" s="822">
        <v>30100</v>
      </c>
      <c r="Q320">
        <v>1</v>
      </c>
      <c r="R320">
        <v>1</v>
      </c>
      <c r="X320" s="321"/>
      <c r="Y320" s="321"/>
      <c r="Z320" s="321"/>
      <c r="AA320" s="146"/>
      <c r="AB320" s="321"/>
      <c r="AC320" s="321"/>
      <c r="AD320" s="321"/>
      <c r="AE320" s="321"/>
    </row>
    <row r="321" spans="2:31" ht="12.75" hidden="1" customHeight="1">
      <c r="B321" t="s">
        <v>5997</v>
      </c>
      <c r="C321" t="s">
        <v>2595</v>
      </c>
      <c r="E321" t="s">
        <v>4241</v>
      </c>
      <c r="F321">
        <v>0</v>
      </c>
      <c r="G321">
        <v>0</v>
      </c>
      <c r="H321">
        <v>1</v>
      </c>
      <c r="I321">
        <v>0</v>
      </c>
      <c r="J321">
        <v>0</v>
      </c>
      <c r="K321">
        <v>0</v>
      </c>
      <c r="L321">
        <v>0</v>
      </c>
      <c r="N321" s="822">
        <v>30201</v>
      </c>
      <c r="O321" s="146">
        <v>19</v>
      </c>
      <c r="P321" s="822">
        <v>30200</v>
      </c>
      <c r="Q321">
        <v>1</v>
      </c>
      <c r="R321">
        <v>1</v>
      </c>
      <c r="X321" s="321"/>
      <c r="Y321" s="321"/>
      <c r="Z321" s="321"/>
      <c r="AA321" s="146"/>
      <c r="AB321" s="321"/>
      <c r="AC321" s="321"/>
      <c r="AD321" s="321"/>
      <c r="AE321" s="321"/>
    </row>
    <row r="322" spans="2:31" ht="12.75" hidden="1" customHeight="1">
      <c r="B322" t="s">
        <v>5997</v>
      </c>
      <c r="C322" t="s">
        <v>727</v>
      </c>
      <c r="E322" t="s">
        <v>4241</v>
      </c>
      <c r="F322">
        <v>0</v>
      </c>
      <c r="G322">
        <v>0</v>
      </c>
      <c r="H322">
        <v>1</v>
      </c>
      <c r="I322">
        <v>0</v>
      </c>
      <c r="J322">
        <v>0</v>
      </c>
      <c r="K322">
        <v>0</v>
      </c>
      <c r="L322">
        <v>0</v>
      </c>
      <c r="N322" s="822">
        <v>30301</v>
      </c>
      <c r="O322" s="146">
        <v>19</v>
      </c>
      <c r="P322" s="822">
        <v>30300</v>
      </c>
      <c r="Q322">
        <v>1</v>
      </c>
      <c r="R322">
        <v>1</v>
      </c>
      <c r="X322" s="321"/>
      <c r="Y322" s="321"/>
      <c r="Z322" s="321"/>
      <c r="AA322" s="146"/>
      <c r="AB322" s="321"/>
      <c r="AC322" s="321"/>
      <c r="AD322" s="321"/>
      <c r="AE322" s="321"/>
    </row>
    <row r="323" spans="2:31" ht="12.75" hidden="1" customHeight="1">
      <c r="B323" t="s">
        <v>5997</v>
      </c>
      <c r="C323" t="s">
        <v>728</v>
      </c>
      <c r="E323" t="s">
        <v>4241</v>
      </c>
      <c r="F323">
        <v>0</v>
      </c>
      <c r="G323">
        <v>0</v>
      </c>
      <c r="H323">
        <v>1</v>
      </c>
      <c r="I323">
        <v>0</v>
      </c>
      <c r="J323">
        <v>0</v>
      </c>
      <c r="K323">
        <v>0</v>
      </c>
      <c r="L323">
        <v>0</v>
      </c>
      <c r="N323" s="822">
        <v>30401</v>
      </c>
      <c r="O323" s="146">
        <v>19</v>
      </c>
      <c r="P323" s="822">
        <v>30400</v>
      </c>
      <c r="Q323">
        <v>1</v>
      </c>
      <c r="R323">
        <v>1</v>
      </c>
      <c r="X323" s="321"/>
      <c r="Y323" s="321"/>
      <c r="Z323" s="321"/>
      <c r="AA323" s="146"/>
      <c r="AB323" s="321"/>
      <c r="AC323" s="321"/>
      <c r="AD323" s="321"/>
      <c r="AE323" s="321"/>
    </row>
    <row r="324" spans="2:31" ht="12.75" hidden="1" customHeight="1">
      <c r="B324" t="s">
        <v>5997</v>
      </c>
      <c r="C324" t="s">
        <v>4712</v>
      </c>
      <c r="E324" t="s">
        <v>4241</v>
      </c>
      <c r="F324">
        <v>0</v>
      </c>
      <c r="G324">
        <v>0</v>
      </c>
      <c r="H324">
        <v>1</v>
      </c>
      <c r="I324">
        <v>0</v>
      </c>
      <c r="J324">
        <v>0</v>
      </c>
      <c r="K324">
        <v>0</v>
      </c>
      <c r="L324">
        <v>0</v>
      </c>
      <c r="N324" s="822">
        <v>30501</v>
      </c>
      <c r="O324" s="146">
        <v>19</v>
      </c>
      <c r="P324" s="822">
        <v>30500</v>
      </c>
      <c r="Q324">
        <v>1</v>
      </c>
      <c r="R324">
        <v>1</v>
      </c>
      <c r="X324" s="321"/>
      <c r="Y324" s="321"/>
      <c r="Z324" s="321"/>
      <c r="AA324" s="146"/>
      <c r="AB324" s="321"/>
      <c r="AC324" s="321"/>
      <c r="AD324" s="321"/>
      <c r="AE324" s="321"/>
    </row>
    <row r="325" spans="2:31" ht="12.75" hidden="1" customHeight="1">
      <c r="B325" t="s">
        <v>6010</v>
      </c>
      <c r="D325" t="s">
        <v>5056</v>
      </c>
      <c r="E325" t="s">
        <v>969</v>
      </c>
      <c r="F325">
        <v>1</v>
      </c>
      <c r="G325">
        <v>1</v>
      </c>
      <c r="H325">
        <v>0</v>
      </c>
      <c r="I325">
        <v>1</v>
      </c>
      <c r="J325">
        <v>1</v>
      </c>
      <c r="K325">
        <v>1</v>
      </c>
      <c r="L325">
        <v>1</v>
      </c>
      <c r="N325" s="822">
        <v>40012</v>
      </c>
      <c r="O325" s="146"/>
      <c r="P325" s="822">
        <v>40010</v>
      </c>
      <c r="Q325">
        <v>1</v>
      </c>
      <c r="R325">
        <v>0</v>
      </c>
      <c r="X325" s="321"/>
      <c r="Y325" s="321"/>
      <c r="Z325" s="321"/>
      <c r="AA325" s="146"/>
      <c r="AB325" s="321"/>
      <c r="AC325" s="321"/>
      <c r="AD325" s="321"/>
      <c r="AE325" s="321"/>
    </row>
    <row r="326" spans="2:31" ht="12.75" hidden="1" customHeight="1">
      <c r="B326" t="s">
        <v>541</v>
      </c>
      <c r="D326" t="s">
        <v>5056</v>
      </c>
      <c r="E326" t="s">
        <v>969</v>
      </c>
      <c r="F326">
        <v>1</v>
      </c>
      <c r="G326">
        <v>1</v>
      </c>
      <c r="H326">
        <v>0</v>
      </c>
      <c r="I326">
        <v>1</v>
      </c>
      <c r="J326">
        <v>1</v>
      </c>
      <c r="K326">
        <v>1</v>
      </c>
      <c r="L326">
        <v>1</v>
      </c>
      <c r="N326" s="822">
        <v>50012</v>
      </c>
      <c r="O326" s="146"/>
      <c r="P326" s="822">
        <v>50010</v>
      </c>
      <c r="Q326">
        <v>1</v>
      </c>
      <c r="R326">
        <v>0</v>
      </c>
      <c r="X326" s="321"/>
      <c r="Y326" s="321"/>
      <c r="Z326" s="321"/>
      <c r="AA326" s="146"/>
      <c r="AB326" s="321"/>
      <c r="AC326" s="321"/>
      <c r="AD326" s="321"/>
      <c r="AE326" s="321"/>
    </row>
    <row r="327" spans="2:31" ht="12.75" hidden="1" customHeight="1">
      <c r="B327" t="s">
        <v>591</v>
      </c>
      <c r="D327" t="s">
        <v>5056</v>
      </c>
      <c r="E327" t="s">
        <v>969</v>
      </c>
      <c r="F327">
        <v>1</v>
      </c>
      <c r="G327">
        <v>1</v>
      </c>
      <c r="H327">
        <v>0</v>
      </c>
      <c r="I327">
        <v>1</v>
      </c>
      <c r="J327">
        <v>1</v>
      </c>
      <c r="K327">
        <v>1</v>
      </c>
      <c r="L327">
        <v>1</v>
      </c>
      <c r="N327" s="822">
        <v>60002</v>
      </c>
      <c r="O327" s="146"/>
      <c r="P327" s="822">
        <v>60010</v>
      </c>
      <c r="Q327">
        <v>1</v>
      </c>
      <c r="R327">
        <v>0</v>
      </c>
      <c r="X327" s="321"/>
      <c r="Y327" s="321"/>
      <c r="Z327" s="321"/>
      <c r="AA327" s="146"/>
      <c r="AB327" s="321"/>
      <c r="AC327" s="321"/>
      <c r="AD327" s="321"/>
      <c r="AE327" s="321"/>
    </row>
    <row r="328" spans="2:31" ht="12.75" hidden="1" customHeight="1">
      <c r="B328" t="s">
        <v>3729</v>
      </c>
      <c r="D328" t="s">
        <v>5056</v>
      </c>
      <c r="E328" t="s">
        <v>969</v>
      </c>
      <c r="F328">
        <v>1</v>
      </c>
      <c r="G328">
        <v>1</v>
      </c>
      <c r="H328">
        <v>0</v>
      </c>
      <c r="I328">
        <v>1</v>
      </c>
      <c r="J328">
        <v>1</v>
      </c>
      <c r="K328">
        <v>1</v>
      </c>
      <c r="L328">
        <v>1</v>
      </c>
      <c r="N328" s="822">
        <v>70012</v>
      </c>
      <c r="O328" s="146"/>
      <c r="P328" s="822">
        <v>70010</v>
      </c>
      <c r="Q328">
        <v>1</v>
      </c>
      <c r="R328">
        <v>0</v>
      </c>
      <c r="X328" s="321"/>
      <c r="Y328" s="321"/>
      <c r="Z328" s="321"/>
      <c r="AA328" s="146"/>
      <c r="AB328" s="321"/>
      <c r="AC328" s="321"/>
      <c r="AD328" s="321"/>
      <c r="AE328" s="321"/>
    </row>
    <row r="329" spans="2:31" ht="12.75" hidden="1" customHeight="1">
      <c r="B329" t="s">
        <v>6010</v>
      </c>
      <c r="D329" t="s">
        <v>1331</v>
      </c>
      <c r="E329" t="s">
        <v>969</v>
      </c>
      <c r="F329">
        <v>1</v>
      </c>
      <c r="G329">
        <v>1</v>
      </c>
      <c r="H329">
        <v>0</v>
      </c>
      <c r="I329">
        <v>1</v>
      </c>
      <c r="J329">
        <v>1</v>
      </c>
      <c r="K329">
        <v>1</v>
      </c>
      <c r="L329">
        <v>1</v>
      </c>
      <c r="N329" s="822">
        <v>40022</v>
      </c>
      <c r="O329" s="146"/>
      <c r="P329" s="822">
        <v>40020</v>
      </c>
      <c r="Q329">
        <v>1</v>
      </c>
      <c r="R329">
        <v>0</v>
      </c>
      <c r="X329" s="321"/>
      <c r="Y329" s="321"/>
      <c r="Z329" s="321"/>
      <c r="AA329" s="146"/>
      <c r="AB329" s="321"/>
      <c r="AC329" s="321"/>
      <c r="AD329" s="321"/>
      <c r="AE329" s="321"/>
    </row>
    <row r="330" spans="2:31" ht="12.75" hidden="1" customHeight="1">
      <c r="B330" t="s">
        <v>541</v>
      </c>
      <c r="D330" t="s">
        <v>1331</v>
      </c>
      <c r="E330" t="s">
        <v>969</v>
      </c>
      <c r="F330">
        <v>1</v>
      </c>
      <c r="G330">
        <v>1</v>
      </c>
      <c r="H330">
        <v>0</v>
      </c>
      <c r="I330">
        <v>1</v>
      </c>
      <c r="J330">
        <v>1</v>
      </c>
      <c r="K330">
        <v>1</v>
      </c>
      <c r="L330">
        <v>1</v>
      </c>
      <c r="N330" s="822">
        <v>50022</v>
      </c>
      <c r="O330" s="146"/>
      <c r="P330" s="822">
        <v>50020</v>
      </c>
      <c r="Q330">
        <v>1</v>
      </c>
      <c r="R330">
        <v>0</v>
      </c>
      <c r="X330" s="321"/>
      <c r="Y330" s="321"/>
      <c r="Z330" s="321"/>
      <c r="AA330" s="146"/>
      <c r="AB330" s="321"/>
      <c r="AC330" s="321"/>
      <c r="AD330" s="321"/>
      <c r="AE330" s="321"/>
    </row>
    <row r="331" spans="2:31" ht="12.75" hidden="1" customHeight="1">
      <c r="B331" t="s">
        <v>591</v>
      </c>
      <c r="D331" t="s">
        <v>1331</v>
      </c>
      <c r="E331" t="s">
        <v>969</v>
      </c>
      <c r="F331">
        <v>1</v>
      </c>
      <c r="G331">
        <v>1</v>
      </c>
      <c r="H331">
        <v>0</v>
      </c>
      <c r="I331">
        <v>1</v>
      </c>
      <c r="J331">
        <v>1</v>
      </c>
      <c r="K331">
        <v>1</v>
      </c>
      <c r="L331">
        <v>1</v>
      </c>
      <c r="N331" s="822">
        <v>60002</v>
      </c>
      <c r="O331" s="146"/>
      <c r="P331" s="822">
        <v>60020</v>
      </c>
      <c r="Q331">
        <v>1</v>
      </c>
      <c r="R331">
        <v>0</v>
      </c>
      <c r="X331" s="321"/>
      <c r="Y331" s="321"/>
      <c r="Z331" s="321"/>
      <c r="AA331" s="146"/>
      <c r="AB331" s="321"/>
      <c r="AC331" s="321"/>
      <c r="AD331" s="321"/>
      <c r="AE331" s="321"/>
    </row>
    <row r="332" spans="2:31" ht="12.75" hidden="1" customHeight="1">
      <c r="B332" t="s">
        <v>3729</v>
      </c>
      <c r="D332" t="s">
        <v>1331</v>
      </c>
      <c r="E332" t="s">
        <v>969</v>
      </c>
      <c r="F332">
        <v>1</v>
      </c>
      <c r="G332">
        <v>1</v>
      </c>
      <c r="H332">
        <v>0</v>
      </c>
      <c r="I332">
        <v>1</v>
      </c>
      <c r="J332">
        <v>1</v>
      </c>
      <c r="K332">
        <v>1</v>
      </c>
      <c r="L332">
        <v>1</v>
      </c>
      <c r="N332" s="822">
        <v>70022</v>
      </c>
      <c r="O332" s="146"/>
      <c r="P332" s="822">
        <v>70020</v>
      </c>
      <c r="Q332">
        <v>1</v>
      </c>
      <c r="R332">
        <v>0</v>
      </c>
      <c r="X332" s="321"/>
      <c r="Y332" s="321"/>
      <c r="Z332" s="321"/>
      <c r="AA332" s="146"/>
      <c r="AB332" s="321"/>
      <c r="AC332" s="321"/>
      <c r="AD332" s="321"/>
      <c r="AE332" s="321"/>
    </row>
    <row r="333" spans="2:31" ht="12.75" hidden="1" customHeight="1">
      <c r="B333" t="s">
        <v>6010</v>
      </c>
      <c r="D333" t="s">
        <v>2819</v>
      </c>
      <c r="E333" t="s">
        <v>969</v>
      </c>
      <c r="F333">
        <v>1</v>
      </c>
      <c r="G333">
        <v>1</v>
      </c>
      <c r="H333">
        <v>0</v>
      </c>
      <c r="I333">
        <v>1</v>
      </c>
      <c r="J333">
        <v>1</v>
      </c>
      <c r="K333">
        <v>1</v>
      </c>
      <c r="L333">
        <v>1</v>
      </c>
      <c r="N333" s="822">
        <v>40032</v>
      </c>
      <c r="O333" s="146"/>
      <c r="P333" s="822">
        <v>40030</v>
      </c>
      <c r="Q333">
        <v>1</v>
      </c>
      <c r="R333">
        <v>0</v>
      </c>
      <c r="X333" s="321"/>
      <c r="Y333" s="321"/>
      <c r="Z333" s="321"/>
      <c r="AA333" s="146"/>
      <c r="AB333" s="321"/>
      <c r="AC333" s="321"/>
      <c r="AD333" s="321"/>
      <c r="AE333" s="321"/>
    </row>
    <row r="334" spans="2:31" ht="12.75" hidden="1" customHeight="1">
      <c r="B334" t="s">
        <v>541</v>
      </c>
      <c r="D334" t="s">
        <v>2819</v>
      </c>
      <c r="E334" t="s">
        <v>969</v>
      </c>
      <c r="F334">
        <v>1</v>
      </c>
      <c r="G334">
        <v>1</v>
      </c>
      <c r="H334">
        <v>0</v>
      </c>
      <c r="I334">
        <v>1</v>
      </c>
      <c r="J334">
        <v>1</v>
      </c>
      <c r="K334">
        <v>1</v>
      </c>
      <c r="L334">
        <v>1</v>
      </c>
      <c r="N334" s="822">
        <v>50032</v>
      </c>
      <c r="O334" s="146"/>
      <c r="P334" s="822">
        <v>50030</v>
      </c>
      <c r="Q334">
        <v>1</v>
      </c>
      <c r="R334">
        <v>0</v>
      </c>
      <c r="X334" s="321"/>
      <c r="Y334" s="321"/>
      <c r="Z334" s="321"/>
      <c r="AA334" s="146"/>
      <c r="AB334" s="321"/>
      <c r="AC334" s="321"/>
      <c r="AD334" s="321"/>
      <c r="AE334" s="321"/>
    </row>
    <row r="335" spans="2:31" ht="12.75" hidden="1" customHeight="1">
      <c r="B335" t="s">
        <v>591</v>
      </c>
      <c r="D335" t="s">
        <v>2819</v>
      </c>
      <c r="E335" t="s">
        <v>969</v>
      </c>
      <c r="F335">
        <v>1</v>
      </c>
      <c r="G335">
        <v>1</v>
      </c>
      <c r="H335">
        <v>0</v>
      </c>
      <c r="I335">
        <v>1</v>
      </c>
      <c r="J335">
        <v>1</v>
      </c>
      <c r="K335">
        <v>1</v>
      </c>
      <c r="L335">
        <v>1</v>
      </c>
      <c r="N335" s="822">
        <v>60002</v>
      </c>
      <c r="O335" s="146"/>
      <c r="P335" s="822">
        <v>60030</v>
      </c>
      <c r="Q335">
        <v>1</v>
      </c>
      <c r="R335">
        <v>0</v>
      </c>
      <c r="X335" s="321"/>
      <c r="Y335" s="321"/>
      <c r="Z335" s="321"/>
      <c r="AA335" s="146"/>
      <c r="AB335" s="321"/>
      <c r="AC335" s="321"/>
      <c r="AD335" s="321"/>
      <c r="AE335" s="321"/>
    </row>
    <row r="336" spans="2:31" ht="12.75" hidden="1" customHeight="1">
      <c r="B336" t="s">
        <v>3729</v>
      </c>
      <c r="D336" t="s">
        <v>2819</v>
      </c>
      <c r="E336" t="s">
        <v>969</v>
      </c>
      <c r="F336">
        <v>1</v>
      </c>
      <c r="G336">
        <v>1</v>
      </c>
      <c r="H336">
        <v>0</v>
      </c>
      <c r="I336">
        <v>1</v>
      </c>
      <c r="J336">
        <v>1</v>
      </c>
      <c r="K336">
        <v>1</v>
      </c>
      <c r="L336">
        <v>1</v>
      </c>
      <c r="N336" s="822">
        <v>70032</v>
      </c>
      <c r="O336" s="146"/>
      <c r="P336" s="822">
        <v>70030</v>
      </c>
      <c r="Q336">
        <v>1</v>
      </c>
      <c r="R336">
        <v>0</v>
      </c>
      <c r="X336" s="321"/>
      <c r="Y336" s="321"/>
      <c r="Z336" s="321"/>
      <c r="AA336" s="146"/>
      <c r="AB336" s="321"/>
      <c r="AC336" s="321"/>
      <c r="AD336" s="321"/>
      <c r="AE336" s="321"/>
    </row>
    <row r="337" spans="2:31" ht="12.75" hidden="1" customHeight="1">
      <c r="B337" t="s">
        <v>6010</v>
      </c>
      <c r="D337" t="s">
        <v>5414</v>
      </c>
      <c r="E337" t="s">
        <v>969</v>
      </c>
      <c r="F337">
        <v>1</v>
      </c>
      <c r="G337">
        <v>1</v>
      </c>
      <c r="H337">
        <v>0</v>
      </c>
      <c r="I337">
        <v>1</v>
      </c>
      <c r="J337">
        <v>1</v>
      </c>
      <c r="K337">
        <v>1</v>
      </c>
      <c r="L337">
        <v>1</v>
      </c>
      <c r="N337" s="822">
        <v>40042</v>
      </c>
      <c r="O337" s="146"/>
      <c r="P337" s="822">
        <v>40040</v>
      </c>
      <c r="Q337">
        <v>1</v>
      </c>
      <c r="R337">
        <v>0</v>
      </c>
      <c r="X337" s="321"/>
      <c r="Y337" s="321"/>
      <c r="Z337" s="321"/>
      <c r="AA337" s="146"/>
      <c r="AB337" s="321"/>
      <c r="AC337" s="321"/>
      <c r="AD337" s="321"/>
      <c r="AE337" s="321"/>
    </row>
    <row r="338" spans="2:31" ht="12.75" hidden="1" customHeight="1">
      <c r="B338" t="s">
        <v>541</v>
      </c>
      <c r="D338" t="s">
        <v>5414</v>
      </c>
      <c r="E338" t="s">
        <v>969</v>
      </c>
      <c r="F338">
        <v>1</v>
      </c>
      <c r="G338">
        <v>1</v>
      </c>
      <c r="H338">
        <v>0</v>
      </c>
      <c r="I338">
        <v>1</v>
      </c>
      <c r="J338">
        <v>1</v>
      </c>
      <c r="K338">
        <v>1</v>
      </c>
      <c r="L338">
        <v>1</v>
      </c>
      <c r="N338" s="822">
        <v>50042</v>
      </c>
      <c r="O338" s="146"/>
      <c r="P338" s="822">
        <v>50040</v>
      </c>
      <c r="Q338">
        <v>1</v>
      </c>
      <c r="R338">
        <v>0</v>
      </c>
      <c r="X338" s="321"/>
      <c r="Y338" s="321"/>
      <c r="Z338" s="321"/>
      <c r="AA338" s="146"/>
      <c r="AB338" s="321"/>
      <c r="AC338" s="321"/>
      <c r="AD338" s="321"/>
      <c r="AE338" s="321"/>
    </row>
    <row r="339" spans="2:31" ht="12.75" hidden="1" customHeight="1">
      <c r="B339" t="s">
        <v>591</v>
      </c>
      <c r="D339" t="s">
        <v>5414</v>
      </c>
      <c r="E339" t="s">
        <v>969</v>
      </c>
      <c r="F339">
        <v>1</v>
      </c>
      <c r="G339">
        <v>1</v>
      </c>
      <c r="H339">
        <v>0</v>
      </c>
      <c r="I339">
        <v>1</v>
      </c>
      <c r="J339">
        <v>1</v>
      </c>
      <c r="K339">
        <v>1</v>
      </c>
      <c r="L339">
        <v>1</v>
      </c>
      <c r="N339" s="822">
        <v>60002</v>
      </c>
      <c r="O339" s="146"/>
      <c r="P339" s="822">
        <v>60040</v>
      </c>
      <c r="Q339">
        <v>1</v>
      </c>
      <c r="R339">
        <v>0</v>
      </c>
      <c r="X339" s="321"/>
      <c r="Y339" s="321"/>
      <c r="Z339" s="321"/>
      <c r="AA339" s="146"/>
      <c r="AB339" s="321"/>
      <c r="AC339" s="321"/>
      <c r="AD339" s="321"/>
      <c r="AE339" s="321"/>
    </row>
    <row r="340" spans="2:31" ht="12.75" hidden="1" customHeight="1">
      <c r="B340" t="s">
        <v>3729</v>
      </c>
      <c r="D340" t="s">
        <v>5414</v>
      </c>
      <c r="E340" t="s">
        <v>969</v>
      </c>
      <c r="F340">
        <v>1</v>
      </c>
      <c r="G340">
        <v>1</v>
      </c>
      <c r="H340">
        <v>0</v>
      </c>
      <c r="I340">
        <v>1</v>
      </c>
      <c r="J340">
        <v>1</v>
      </c>
      <c r="K340">
        <v>1</v>
      </c>
      <c r="L340">
        <v>1</v>
      </c>
      <c r="N340" s="822">
        <v>70042</v>
      </c>
      <c r="O340" s="146"/>
      <c r="P340" s="822">
        <v>70040</v>
      </c>
      <c r="Q340">
        <v>1</v>
      </c>
      <c r="R340">
        <v>0</v>
      </c>
      <c r="X340" s="321"/>
      <c r="Y340" s="321"/>
      <c r="Z340" s="321"/>
      <c r="AA340" s="146"/>
      <c r="AB340" s="321"/>
      <c r="AC340" s="321"/>
      <c r="AD340" s="321"/>
      <c r="AE340" s="321"/>
    </row>
    <row r="341" spans="2:31" ht="12.75" hidden="1" customHeight="1">
      <c r="B341" t="s">
        <v>6010</v>
      </c>
      <c r="D341" t="s">
        <v>725</v>
      </c>
      <c r="E341" t="s">
        <v>969</v>
      </c>
      <c r="F341">
        <v>1</v>
      </c>
      <c r="G341">
        <v>1</v>
      </c>
      <c r="H341">
        <v>0</v>
      </c>
      <c r="I341">
        <v>1</v>
      </c>
      <c r="J341">
        <v>1</v>
      </c>
      <c r="K341">
        <v>1</v>
      </c>
      <c r="L341">
        <v>1</v>
      </c>
      <c r="N341" s="822">
        <v>40052</v>
      </c>
      <c r="O341" s="146"/>
      <c r="P341" s="822">
        <v>40050</v>
      </c>
      <c r="Q341">
        <v>1</v>
      </c>
      <c r="R341">
        <v>0</v>
      </c>
      <c r="X341" s="321"/>
      <c r="Y341" s="321"/>
      <c r="Z341" s="321"/>
      <c r="AA341" s="146"/>
      <c r="AB341" s="321"/>
      <c r="AC341" s="321"/>
      <c r="AD341" s="321"/>
      <c r="AE341" s="321"/>
    </row>
    <row r="342" spans="2:31" ht="12.75" hidden="1" customHeight="1">
      <c r="B342" t="s">
        <v>541</v>
      </c>
      <c r="D342" t="s">
        <v>725</v>
      </c>
      <c r="E342" t="s">
        <v>969</v>
      </c>
      <c r="F342">
        <v>1</v>
      </c>
      <c r="G342">
        <v>1</v>
      </c>
      <c r="H342">
        <v>0</v>
      </c>
      <c r="I342">
        <v>1</v>
      </c>
      <c r="J342">
        <v>1</v>
      </c>
      <c r="K342">
        <v>1</v>
      </c>
      <c r="L342">
        <v>1</v>
      </c>
      <c r="N342" s="822">
        <v>50052</v>
      </c>
      <c r="O342" s="146"/>
      <c r="P342" s="822">
        <v>50050</v>
      </c>
      <c r="Q342">
        <v>1</v>
      </c>
      <c r="R342">
        <v>0</v>
      </c>
      <c r="X342" s="321"/>
      <c r="Y342" s="321"/>
      <c r="Z342" s="321"/>
      <c r="AA342" s="146"/>
      <c r="AB342" s="321"/>
      <c r="AC342" s="321"/>
      <c r="AD342" s="321"/>
      <c r="AE342" s="321"/>
    </row>
    <row r="343" spans="2:31" ht="12.75" hidden="1" customHeight="1">
      <c r="B343" t="s">
        <v>591</v>
      </c>
      <c r="D343" t="s">
        <v>725</v>
      </c>
      <c r="E343" t="s">
        <v>969</v>
      </c>
      <c r="F343">
        <v>1</v>
      </c>
      <c r="G343">
        <v>1</v>
      </c>
      <c r="H343">
        <v>0</v>
      </c>
      <c r="I343">
        <v>1</v>
      </c>
      <c r="J343">
        <v>1</v>
      </c>
      <c r="K343">
        <v>1</v>
      </c>
      <c r="L343">
        <v>1</v>
      </c>
      <c r="N343" s="822">
        <v>60002</v>
      </c>
      <c r="O343" s="146"/>
      <c r="P343" s="822">
        <v>60050</v>
      </c>
      <c r="Q343">
        <v>1</v>
      </c>
      <c r="R343">
        <v>0</v>
      </c>
      <c r="X343" s="321"/>
      <c r="Y343" s="321"/>
      <c r="Z343" s="321"/>
      <c r="AA343" s="146"/>
      <c r="AB343" s="321"/>
      <c r="AC343" s="321"/>
      <c r="AD343" s="321"/>
      <c r="AE343" s="321"/>
    </row>
    <row r="344" spans="2:31" ht="12.75" hidden="1" customHeight="1">
      <c r="B344" t="s">
        <v>3729</v>
      </c>
      <c r="D344" t="s">
        <v>725</v>
      </c>
      <c r="E344" t="s">
        <v>969</v>
      </c>
      <c r="F344">
        <v>1</v>
      </c>
      <c r="G344">
        <v>1</v>
      </c>
      <c r="H344">
        <v>0</v>
      </c>
      <c r="I344">
        <v>1</v>
      </c>
      <c r="J344">
        <v>1</v>
      </c>
      <c r="K344">
        <v>1</v>
      </c>
      <c r="L344">
        <v>1</v>
      </c>
      <c r="N344" s="822">
        <v>70052</v>
      </c>
      <c r="O344" s="146"/>
      <c r="P344" s="822">
        <v>70050</v>
      </c>
      <c r="Q344">
        <v>1</v>
      </c>
      <c r="R344">
        <v>0</v>
      </c>
      <c r="X344" s="321"/>
      <c r="Y344" s="321"/>
      <c r="Z344" s="321"/>
      <c r="AA344" s="146"/>
      <c r="AB344" s="321"/>
      <c r="AC344" s="321"/>
      <c r="AD344" s="321"/>
      <c r="AE344" s="321"/>
    </row>
    <row r="345" spans="2:31" ht="12.75" hidden="1" customHeight="1">
      <c r="B345" t="s">
        <v>6010</v>
      </c>
      <c r="D345" t="s">
        <v>5056</v>
      </c>
      <c r="E345" t="s">
        <v>4241</v>
      </c>
      <c r="F345">
        <v>1</v>
      </c>
      <c r="G345">
        <v>1</v>
      </c>
      <c r="H345">
        <v>0</v>
      </c>
      <c r="I345">
        <v>0</v>
      </c>
      <c r="J345">
        <v>0</v>
      </c>
      <c r="K345">
        <v>0</v>
      </c>
      <c r="L345">
        <v>0</v>
      </c>
      <c r="N345" s="822">
        <v>40011</v>
      </c>
      <c r="O345" s="146"/>
      <c r="P345" s="822">
        <v>40010</v>
      </c>
      <c r="Q345">
        <v>1</v>
      </c>
      <c r="R345">
        <v>0</v>
      </c>
      <c r="X345" s="321"/>
      <c r="Y345" s="321"/>
      <c r="Z345" s="321"/>
      <c r="AA345" s="146"/>
      <c r="AB345" s="321"/>
      <c r="AC345" s="321"/>
      <c r="AD345" s="321"/>
      <c r="AE345" s="321"/>
    </row>
    <row r="346" spans="2:31" ht="12.75" hidden="1" customHeight="1">
      <c r="B346" t="s">
        <v>541</v>
      </c>
      <c r="D346" t="s">
        <v>5056</v>
      </c>
      <c r="E346" t="s">
        <v>4241</v>
      </c>
      <c r="F346">
        <v>1</v>
      </c>
      <c r="G346">
        <v>1</v>
      </c>
      <c r="H346">
        <v>0</v>
      </c>
      <c r="I346">
        <v>0</v>
      </c>
      <c r="J346">
        <v>0</v>
      </c>
      <c r="K346">
        <v>0</v>
      </c>
      <c r="L346">
        <v>0</v>
      </c>
      <c r="N346" s="822">
        <v>50011</v>
      </c>
      <c r="O346" s="146"/>
      <c r="P346" s="822">
        <v>50010</v>
      </c>
      <c r="Q346">
        <v>1</v>
      </c>
      <c r="R346">
        <v>0</v>
      </c>
      <c r="X346" s="321"/>
      <c r="Y346" s="321"/>
      <c r="Z346" s="321"/>
      <c r="AA346" s="146"/>
      <c r="AB346" s="321"/>
      <c r="AC346" s="321"/>
      <c r="AD346" s="321"/>
      <c r="AE346" s="321"/>
    </row>
    <row r="347" spans="2:31" ht="12.75" hidden="1" customHeight="1">
      <c r="B347" t="s">
        <v>591</v>
      </c>
      <c r="D347" t="s">
        <v>5056</v>
      </c>
      <c r="E347" t="s">
        <v>4241</v>
      </c>
      <c r="F347">
        <v>1</v>
      </c>
      <c r="G347">
        <v>1</v>
      </c>
      <c r="H347">
        <v>0</v>
      </c>
      <c r="I347">
        <v>0</v>
      </c>
      <c r="J347">
        <v>0</v>
      </c>
      <c r="K347">
        <v>0</v>
      </c>
      <c r="L347">
        <v>0</v>
      </c>
      <c r="N347" s="822">
        <v>60001</v>
      </c>
      <c r="O347" s="146"/>
      <c r="P347" s="822">
        <v>60010</v>
      </c>
      <c r="Q347">
        <v>1</v>
      </c>
      <c r="R347">
        <v>0</v>
      </c>
      <c r="X347" s="321"/>
      <c r="Y347" s="321"/>
      <c r="Z347" s="321"/>
      <c r="AA347" s="146"/>
      <c r="AB347" s="321"/>
      <c r="AC347" s="321"/>
      <c r="AD347" s="321"/>
      <c r="AE347" s="321"/>
    </row>
    <row r="348" spans="2:31" ht="12.75" hidden="1" customHeight="1">
      <c r="B348" t="s">
        <v>3729</v>
      </c>
      <c r="D348" t="s">
        <v>5056</v>
      </c>
      <c r="E348" t="s">
        <v>4241</v>
      </c>
      <c r="F348">
        <v>1</v>
      </c>
      <c r="G348">
        <v>1</v>
      </c>
      <c r="H348">
        <v>0</v>
      </c>
      <c r="I348">
        <v>0</v>
      </c>
      <c r="J348">
        <v>0</v>
      </c>
      <c r="K348">
        <v>0</v>
      </c>
      <c r="L348">
        <v>0</v>
      </c>
      <c r="N348" s="822">
        <v>70011</v>
      </c>
      <c r="O348" s="146"/>
      <c r="P348" s="822">
        <v>70010</v>
      </c>
      <c r="Q348">
        <v>1</v>
      </c>
      <c r="R348">
        <v>0</v>
      </c>
      <c r="X348" s="321"/>
      <c r="Y348" s="321"/>
      <c r="Z348" s="321"/>
      <c r="AA348" s="146"/>
      <c r="AB348" s="321"/>
      <c r="AC348" s="321"/>
      <c r="AD348" s="321"/>
      <c r="AE348" s="321"/>
    </row>
    <row r="349" spans="2:31" ht="12.75" hidden="1" customHeight="1">
      <c r="B349" t="s">
        <v>6010</v>
      </c>
      <c r="D349" t="s">
        <v>1331</v>
      </c>
      <c r="E349" t="s">
        <v>4241</v>
      </c>
      <c r="F349">
        <v>1</v>
      </c>
      <c r="G349">
        <v>1</v>
      </c>
      <c r="H349">
        <v>0</v>
      </c>
      <c r="I349">
        <v>0</v>
      </c>
      <c r="J349">
        <v>0</v>
      </c>
      <c r="K349">
        <v>0</v>
      </c>
      <c r="L349">
        <v>0</v>
      </c>
      <c r="N349" s="822">
        <v>40021</v>
      </c>
      <c r="O349" s="146"/>
      <c r="P349" s="822">
        <v>40020</v>
      </c>
      <c r="Q349">
        <v>1</v>
      </c>
      <c r="R349">
        <v>0</v>
      </c>
      <c r="X349" s="321"/>
      <c r="Y349" s="321"/>
      <c r="Z349" s="321"/>
      <c r="AA349" s="146"/>
      <c r="AB349" s="321"/>
      <c r="AC349" s="321"/>
      <c r="AD349" s="321"/>
      <c r="AE349" s="321"/>
    </row>
    <row r="350" spans="2:31" ht="12.75" hidden="1" customHeight="1">
      <c r="B350" t="s">
        <v>541</v>
      </c>
      <c r="D350" t="s">
        <v>1331</v>
      </c>
      <c r="E350" t="s">
        <v>4241</v>
      </c>
      <c r="F350">
        <v>1</v>
      </c>
      <c r="G350">
        <v>1</v>
      </c>
      <c r="H350">
        <v>0</v>
      </c>
      <c r="I350">
        <v>0</v>
      </c>
      <c r="J350">
        <v>0</v>
      </c>
      <c r="K350">
        <v>0</v>
      </c>
      <c r="L350">
        <v>0</v>
      </c>
      <c r="N350" s="822">
        <v>50021</v>
      </c>
      <c r="O350" s="146"/>
      <c r="P350" s="822">
        <v>50020</v>
      </c>
      <c r="Q350">
        <v>1</v>
      </c>
      <c r="R350">
        <v>0</v>
      </c>
      <c r="X350" s="321"/>
      <c r="Y350" s="321"/>
      <c r="Z350" s="321"/>
      <c r="AA350" s="146"/>
      <c r="AB350" s="321"/>
      <c r="AC350" s="321"/>
      <c r="AD350" s="321"/>
      <c r="AE350" s="321"/>
    </row>
    <row r="351" spans="2:31" ht="12.75" hidden="1" customHeight="1">
      <c r="B351" t="s">
        <v>591</v>
      </c>
      <c r="D351" t="s">
        <v>1331</v>
      </c>
      <c r="E351" t="s">
        <v>4241</v>
      </c>
      <c r="F351">
        <v>1</v>
      </c>
      <c r="G351">
        <v>1</v>
      </c>
      <c r="H351">
        <v>0</v>
      </c>
      <c r="I351">
        <v>0</v>
      </c>
      <c r="J351">
        <v>0</v>
      </c>
      <c r="K351">
        <v>0</v>
      </c>
      <c r="L351">
        <v>0</v>
      </c>
      <c r="N351" s="822">
        <v>60001</v>
      </c>
      <c r="O351" s="146"/>
      <c r="P351" s="822">
        <v>60020</v>
      </c>
      <c r="Q351">
        <v>1</v>
      </c>
      <c r="R351">
        <v>0</v>
      </c>
      <c r="X351" s="321"/>
      <c r="Y351" s="321"/>
      <c r="Z351" s="321"/>
      <c r="AA351" s="146"/>
      <c r="AB351" s="321"/>
      <c r="AC351" s="321"/>
      <c r="AD351" s="321"/>
      <c r="AE351" s="321"/>
    </row>
    <row r="352" spans="2:31" ht="12.75" hidden="1" customHeight="1">
      <c r="B352" t="s">
        <v>3729</v>
      </c>
      <c r="D352" t="s">
        <v>1331</v>
      </c>
      <c r="E352" t="s">
        <v>4241</v>
      </c>
      <c r="F352">
        <v>1</v>
      </c>
      <c r="G352">
        <v>1</v>
      </c>
      <c r="H352">
        <v>0</v>
      </c>
      <c r="I352">
        <v>0</v>
      </c>
      <c r="J352">
        <v>0</v>
      </c>
      <c r="K352">
        <v>0</v>
      </c>
      <c r="L352">
        <v>0</v>
      </c>
      <c r="N352" s="822">
        <v>70021</v>
      </c>
      <c r="O352" s="146"/>
      <c r="P352" s="822">
        <v>70020</v>
      </c>
      <c r="Q352">
        <v>1</v>
      </c>
      <c r="R352">
        <v>0</v>
      </c>
      <c r="X352" s="321"/>
      <c r="Y352" s="321"/>
      <c r="Z352" s="321"/>
      <c r="AA352" s="146"/>
      <c r="AB352" s="321"/>
      <c r="AC352" s="321"/>
      <c r="AD352" s="321"/>
      <c r="AE352" s="321"/>
    </row>
    <row r="353" spans="2:31" ht="12.75" hidden="1" customHeight="1">
      <c r="B353" t="s">
        <v>6010</v>
      </c>
      <c r="D353" t="s">
        <v>2819</v>
      </c>
      <c r="E353" t="s">
        <v>4241</v>
      </c>
      <c r="F353">
        <v>1</v>
      </c>
      <c r="G353">
        <v>1</v>
      </c>
      <c r="H353">
        <v>0</v>
      </c>
      <c r="I353">
        <v>0</v>
      </c>
      <c r="J353">
        <v>0</v>
      </c>
      <c r="K353">
        <v>0</v>
      </c>
      <c r="L353">
        <v>0</v>
      </c>
      <c r="N353" s="822">
        <v>40031</v>
      </c>
      <c r="O353" s="146"/>
      <c r="P353" s="822">
        <v>40030</v>
      </c>
      <c r="Q353">
        <v>1</v>
      </c>
      <c r="R353">
        <v>0</v>
      </c>
      <c r="X353" s="321"/>
      <c r="Y353" s="321"/>
      <c r="Z353" s="321"/>
      <c r="AA353" s="146"/>
      <c r="AB353" s="321"/>
      <c r="AC353" s="321"/>
      <c r="AD353" s="321"/>
      <c r="AE353" s="321"/>
    </row>
    <row r="354" spans="2:31" ht="12.75" hidden="1" customHeight="1">
      <c r="B354" t="s">
        <v>541</v>
      </c>
      <c r="D354" t="s">
        <v>2819</v>
      </c>
      <c r="E354" t="s">
        <v>4241</v>
      </c>
      <c r="F354">
        <v>1</v>
      </c>
      <c r="G354">
        <v>1</v>
      </c>
      <c r="H354">
        <v>0</v>
      </c>
      <c r="I354">
        <v>0</v>
      </c>
      <c r="J354">
        <v>0</v>
      </c>
      <c r="K354">
        <v>0</v>
      </c>
      <c r="L354">
        <v>0</v>
      </c>
      <c r="N354" s="822">
        <v>50031</v>
      </c>
      <c r="O354" s="146"/>
      <c r="P354" s="822">
        <v>50030</v>
      </c>
      <c r="Q354">
        <v>1</v>
      </c>
      <c r="R354">
        <v>0</v>
      </c>
      <c r="X354" s="321"/>
      <c r="Y354" s="321"/>
      <c r="Z354" s="321"/>
      <c r="AA354" s="146"/>
      <c r="AB354" s="321"/>
      <c r="AC354" s="321"/>
      <c r="AD354" s="321"/>
      <c r="AE354" s="321"/>
    </row>
    <row r="355" spans="2:31" ht="12.75" hidden="1" customHeight="1">
      <c r="B355" t="s">
        <v>591</v>
      </c>
      <c r="D355" t="s">
        <v>2819</v>
      </c>
      <c r="E355" t="s">
        <v>4241</v>
      </c>
      <c r="F355">
        <v>1</v>
      </c>
      <c r="G355">
        <v>1</v>
      </c>
      <c r="H355">
        <v>0</v>
      </c>
      <c r="I355">
        <v>0</v>
      </c>
      <c r="J355">
        <v>0</v>
      </c>
      <c r="K355">
        <v>0</v>
      </c>
      <c r="L355">
        <v>0</v>
      </c>
      <c r="N355" s="822">
        <v>60001</v>
      </c>
      <c r="O355" s="146"/>
      <c r="P355" s="822">
        <v>60030</v>
      </c>
      <c r="Q355">
        <v>1</v>
      </c>
      <c r="R355">
        <v>0</v>
      </c>
      <c r="X355" s="321"/>
      <c r="Y355" s="321"/>
      <c r="Z355" s="321"/>
      <c r="AA355" s="146"/>
      <c r="AB355" s="321"/>
      <c r="AC355" s="321"/>
      <c r="AD355" s="321"/>
      <c r="AE355" s="321"/>
    </row>
    <row r="356" spans="2:31" ht="12.75" hidden="1" customHeight="1">
      <c r="B356" t="s">
        <v>3729</v>
      </c>
      <c r="D356" t="s">
        <v>2819</v>
      </c>
      <c r="E356" t="s">
        <v>4241</v>
      </c>
      <c r="F356">
        <v>1</v>
      </c>
      <c r="G356">
        <v>1</v>
      </c>
      <c r="H356">
        <v>0</v>
      </c>
      <c r="I356">
        <v>0</v>
      </c>
      <c r="J356">
        <v>0</v>
      </c>
      <c r="K356">
        <v>0</v>
      </c>
      <c r="L356">
        <v>0</v>
      </c>
      <c r="N356" s="822">
        <v>70031</v>
      </c>
      <c r="O356" s="146"/>
      <c r="P356" s="822">
        <v>70030</v>
      </c>
      <c r="Q356">
        <v>1</v>
      </c>
      <c r="R356">
        <v>0</v>
      </c>
      <c r="X356" s="321"/>
      <c r="Y356" s="321"/>
      <c r="Z356" s="321"/>
      <c r="AA356" s="146"/>
      <c r="AB356" s="321"/>
      <c r="AC356" s="321"/>
      <c r="AD356" s="321"/>
      <c r="AE356" s="321"/>
    </row>
    <row r="357" spans="2:31" ht="12.75" hidden="1" customHeight="1">
      <c r="B357" t="s">
        <v>6010</v>
      </c>
      <c r="D357" t="s">
        <v>5414</v>
      </c>
      <c r="E357" t="s">
        <v>4241</v>
      </c>
      <c r="F357">
        <v>1</v>
      </c>
      <c r="G357">
        <v>1</v>
      </c>
      <c r="H357">
        <v>0</v>
      </c>
      <c r="I357">
        <v>0</v>
      </c>
      <c r="J357">
        <v>0</v>
      </c>
      <c r="K357">
        <v>0</v>
      </c>
      <c r="L357">
        <v>0</v>
      </c>
      <c r="N357" s="822">
        <v>40041</v>
      </c>
      <c r="O357" s="146"/>
      <c r="P357" s="822">
        <v>40040</v>
      </c>
      <c r="Q357">
        <v>1</v>
      </c>
      <c r="R357">
        <v>0</v>
      </c>
      <c r="X357" s="321"/>
      <c r="Y357" s="321"/>
      <c r="Z357" s="321"/>
      <c r="AA357" s="146"/>
      <c r="AB357" s="321"/>
      <c r="AC357" s="321"/>
      <c r="AD357" s="321"/>
      <c r="AE357" s="321"/>
    </row>
    <row r="358" spans="2:31" ht="12.75" hidden="1" customHeight="1">
      <c r="B358" t="s">
        <v>541</v>
      </c>
      <c r="D358" t="s">
        <v>5414</v>
      </c>
      <c r="E358" t="s">
        <v>4241</v>
      </c>
      <c r="F358">
        <v>1</v>
      </c>
      <c r="G358">
        <v>1</v>
      </c>
      <c r="H358">
        <v>0</v>
      </c>
      <c r="I358">
        <v>0</v>
      </c>
      <c r="J358">
        <v>0</v>
      </c>
      <c r="K358">
        <v>0</v>
      </c>
      <c r="L358">
        <v>0</v>
      </c>
      <c r="N358" s="822">
        <v>50041</v>
      </c>
      <c r="O358" s="146"/>
      <c r="P358" s="822">
        <v>50040</v>
      </c>
      <c r="Q358">
        <v>1</v>
      </c>
      <c r="R358">
        <v>0</v>
      </c>
      <c r="X358" s="321"/>
      <c r="Y358" s="321"/>
      <c r="Z358" s="321"/>
      <c r="AA358" s="146"/>
      <c r="AB358" s="321"/>
      <c r="AC358" s="321"/>
      <c r="AD358" s="321"/>
      <c r="AE358" s="321"/>
    </row>
    <row r="359" spans="2:31" ht="12.75" hidden="1" customHeight="1">
      <c r="B359" t="s">
        <v>591</v>
      </c>
      <c r="D359" t="s">
        <v>5414</v>
      </c>
      <c r="E359" t="s">
        <v>4241</v>
      </c>
      <c r="F359">
        <v>1</v>
      </c>
      <c r="G359">
        <v>1</v>
      </c>
      <c r="H359">
        <v>0</v>
      </c>
      <c r="I359">
        <v>0</v>
      </c>
      <c r="J359">
        <v>0</v>
      </c>
      <c r="K359">
        <v>0</v>
      </c>
      <c r="L359">
        <v>0</v>
      </c>
      <c r="N359" s="822">
        <v>60001</v>
      </c>
      <c r="O359" s="146"/>
      <c r="P359" s="822">
        <v>60040</v>
      </c>
      <c r="Q359">
        <v>1</v>
      </c>
      <c r="R359">
        <v>0</v>
      </c>
      <c r="X359" s="321"/>
      <c r="Y359" s="321"/>
      <c r="Z359" s="321"/>
      <c r="AA359" s="146"/>
      <c r="AB359" s="321"/>
      <c r="AC359" s="321"/>
      <c r="AD359" s="321"/>
      <c r="AE359" s="321"/>
    </row>
    <row r="360" spans="2:31" ht="12.75" hidden="1" customHeight="1">
      <c r="B360" t="s">
        <v>3729</v>
      </c>
      <c r="D360" t="s">
        <v>5414</v>
      </c>
      <c r="E360" t="s">
        <v>4241</v>
      </c>
      <c r="F360">
        <v>1</v>
      </c>
      <c r="G360">
        <v>1</v>
      </c>
      <c r="H360">
        <v>0</v>
      </c>
      <c r="I360">
        <v>0</v>
      </c>
      <c r="J360">
        <v>0</v>
      </c>
      <c r="K360">
        <v>0</v>
      </c>
      <c r="L360">
        <v>0</v>
      </c>
      <c r="N360" s="822">
        <v>70041</v>
      </c>
      <c r="O360" s="146"/>
      <c r="P360" s="822">
        <v>70040</v>
      </c>
      <c r="Q360">
        <v>1</v>
      </c>
      <c r="R360">
        <v>0</v>
      </c>
      <c r="X360" s="321"/>
      <c r="Y360" s="321"/>
      <c r="Z360" s="321"/>
      <c r="AA360" s="146"/>
      <c r="AB360" s="321"/>
      <c r="AC360" s="321"/>
      <c r="AD360" s="321"/>
      <c r="AE360" s="321"/>
    </row>
    <row r="361" spans="2:31" ht="12.75" hidden="1" customHeight="1">
      <c r="B361" t="s">
        <v>6010</v>
      </c>
      <c r="D361" t="s">
        <v>725</v>
      </c>
      <c r="E361" t="s">
        <v>4241</v>
      </c>
      <c r="F361">
        <v>1</v>
      </c>
      <c r="G361">
        <v>1</v>
      </c>
      <c r="H361">
        <v>0</v>
      </c>
      <c r="I361">
        <v>0</v>
      </c>
      <c r="J361">
        <v>0</v>
      </c>
      <c r="K361">
        <v>0</v>
      </c>
      <c r="L361">
        <v>0</v>
      </c>
      <c r="N361" s="822">
        <v>40051</v>
      </c>
      <c r="O361" s="146"/>
      <c r="P361" s="822">
        <v>40050</v>
      </c>
      <c r="Q361">
        <v>1</v>
      </c>
      <c r="R361">
        <v>0</v>
      </c>
      <c r="X361" s="321"/>
      <c r="Y361" s="321"/>
      <c r="Z361" s="321"/>
      <c r="AA361" s="146"/>
      <c r="AB361" s="321"/>
      <c r="AC361" s="321"/>
      <c r="AD361" s="321"/>
      <c r="AE361" s="321"/>
    </row>
    <row r="362" spans="2:31" ht="12.75" hidden="1" customHeight="1">
      <c r="B362" t="s">
        <v>541</v>
      </c>
      <c r="D362" t="s">
        <v>725</v>
      </c>
      <c r="E362" t="s">
        <v>4241</v>
      </c>
      <c r="F362">
        <v>1</v>
      </c>
      <c r="G362">
        <v>1</v>
      </c>
      <c r="H362">
        <v>0</v>
      </c>
      <c r="I362">
        <v>0</v>
      </c>
      <c r="J362">
        <v>0</v>
      </c>
      <c r="K362">
        <v>0</v>
      </c>
      <c r="L362">
        <v>0</v>
      </c>
      <c r="N362" s="822">
        <v>50051</v>
      </c>
      <c r="O362" s="146"/>
      <c r="P362" s="822">
        <v>50050</v>
      </c>
      <c r="Q362">
        <v>1</v>
      </c>
      <c r="R362">
        <v>0</v>
      </c>
      <c r="X362" s="321"/>
      <c r="Y362" s="321"/>
      <c r="Z362" s="321"/>
      <c r="AA362" s="146"/>
      <c r="AB362" s="321"/>
      <c r="AC362" s="321"/>
      <c r="AD362" s="321"/>
      <c r="AE362" s="321"/>
    </row>
    <row r="363" spans="2:31" ht="12.75" hidden="1" customHeight="1">
      <c r="B363" t="s">
        <v>591</v>
      </c>
      <c r="D363" t="s">
        <v>725</v>
      </c>
      <c r="E363" t="s">
        <v>4241</v>
      </c>
      <c r="F363">
        <v>1</v>
      </c>
      <c r="G363">
        <v>1</v>
      </c>
      <c r="H363">
        <v>0</v>
      </c>
      <c r="I363">
        <v>0</v>
      </c>
      <c r="J363">
        <v>0</v>
      </c>
      <c r="K363">
        <v>0</v>
      </c>
      <c r="L363">
        <v>0</v>
      </c>
      <c r="N363" s="822">
        <v>60001</v>
      </c>
      <c r="O363" s="146"/>
      <c r="P363" s="822">
        <v>60050</v>
      </c>
      <c r="Q363">
        <v>1</v>
      </c>
      <c r="R363">
        <v>0</v>
      </c>
      <c r="X363" s="321"/>
      <c r="Y363" s="321"/>
      <c r="Z363" s="321"/>
      <c r="AA363" s="146"/>
      <c r="AB363" s="321"/>
      <c r="AC363" s="321"/>
      <c r="AD363" s="321"/>
      <c r="AE363" s="321"/>
    </row>
    <row r="364" spans="2:31" ht="12.75" hidden="1" customHeight="1">
      <c r="B364" t="s">
        <v>3729</v>
      </c>
      <c r="D364" t="s">
        <v>725</v>
      </c>
      <c r="E364" t="s">
        <v>4241</v>
      </c>
      <c r="F364">
        <v>1</v>
      </c>
      <c r="G364">
        <v>1</v>
      </c>
      <c r="H364">
        <v>0</v>
      </c>
      <c r="I364">
        <v>0</v>
      </c>
      <c r="J364">
        <v>0</v>
      </c>
      <c r="K364">
        <v>0</v>
      </c>
      <c r="L364">
        <v>0</v>
      </c>
      <c r="N364" s="822">
        <v>70051</v>
      </c>
      <c r="O364" s="146"/>
      <c r="P364" s="822">
        <v>70050</v>
      </c>
      <c r="Q364">
        <v>1</v>
      </c>
      <c r="R364">
        <v>0</v>
      </c>
      <c r="X364" s="321"/>
      <c r="Y364" s="321"/>
      <c r="Z364" s="321"/>
      <c r="AA364" s="146"/>
      <c r="AB364" s="321"/>
      <c r="AC364" s="321"/>
      <c r="AD364" s="321"/>
      <c r="AE364" s="321"/>
    </row>
    <row r="365" spans="2:31" ht="12.75" hidden="1" customHeight="1">
      <c r="B365" t="s">
        <v>2775</v>
      </c>
      <c r="E365" t="s">
        <v>4241</v>
      </c>
      <c r="F365">
        <v>0</v>
      </c>
      <c r="G365">
        <v>0</v>
      </c>
      <c r="H365">
        <v>1</v>
      </c>
      <c r="I365">
        <v>0</v>
      </c>
      <c r="J365">
        <v>0</v>
      </c>
      <c r="K365">
        <v>0</v>
      </c>
      <c r="L365">
        <v>0</v>
      </c>
      <c r="N365" s="146">
        <v>80001</v>
      </c>
      <c r="O365" s="146">
        <v>1</v>
      </c>
      <c r="P365" s="822">
        <v>80000</v>
      </c>
      <c r="Q365">
        <v>1</v>
      </c>
      <c r="R365">
        <v>1</v>
      </c>
      <c r="X365" s="321"/>
      <c r="Y365" s="321"/>
      <c r="Z365" s="321"/>
      <c r="AA365" s="146"/>
      <c r="AB365" s="321"/>
      <c r="AC365" s="321"/>
      <c r="AD365" s="321"/>
      <c r="AE365" s="321"/>
    </row>
    <row r="366" spans="2:31" ht="12.75" hidden="1" customHeight="1">
      <c r="B366" t="s">
        <v>2775</v>
      </c>
      <c r="E366" t="s">
        <v>969</v>
      </c>
      <c r="F366">
        <v>0</v>
      </c>
      <c r="G366">
        <v>0</v>
      </c>
      <c r="H366">
        <v>1</v>
      </c>
      <c r="I366">
        <v>1</v>
      </c>
      <c r="J366">
        <v>1</v>
      </c>
      <c r="K366">
        <v>1</v>
      </c>
      <c r="L366">
        <v>1</v>
      </c>
      <c r="N366" s="146">
        <v>80002</v>
      </c>
      <c r="O366" s="146">
        <v>1</v>
      </c>
      <c r="P366" s="822">
        <v>80000</v>
      </c>
      <c r="Q366">
        <v>1</v>
      </c>
      <c r="R366">
        <v>1</v>
      </c>
      <c r="X366" s="321"/>
      <c r="Y366" s="321"/>
      <c r="Z366" s="321"/>
      <c r="AA366" s="146"/>
      <c r="AB366" s="321"/>
      <c r="AC366" s="321"/>
      <c r="AD366" s="321"/>
      <c r="AE366" s="321"/>
    </row>
    <row r="367" spans="2:31" ht="12.75" hidden="1" customHeight="1">
      <c r="B367" t="s">
        <v>1686</v>
      </c>
      <c r="E367" t="s">
        <v>4241</v>
      </c>
      <c r="F367">
        <v>0</v>
      </c>
      <c r="G367">
        <v>0</v>
      </c>
      <c r="H367">
        <v>1</v>
      </c>
      <c r="I367">
        <v>0</v>
      </c>
      <c r="J367">
        <v>0</v>
      </c>
      <c r="K367">
        <v>0</v>
      </c>
      <c r="L367">
        <v>0</v>
      </c>
      <c r="N367" s="146">
        <v>90001</v>
      </c>
      <c r="O367" s="146">
        <v>27</v>
      </c>
      <c r="P367" s="822">
        <v>90000</v>
      </c>
      <c r="Q367">
        <v>1</v>
      </c>
      <c r="R367">
        <v>1</v>
      </c>
      <c r="X367" s="321"/>
      <c r="Y367" s="321"/>
      <c r="Z367" s="321"/>
      <c r="AA367" s="146"/>
      <c r="AB367" s="321"/>
      <c r="AC367" s="321"/>
      <c r="AD367" s="321"/>
      <c r="AE367" s="321"/>
    </row>
    <row r="368" spans="2:31" ht="12.75" hidden="1" customHeight="1">
      <c r="B368" t="s">
        <v>1686</v>
      </c>
      <c r="E368" t="s">
        <v>969</v>
      </c>
      <c r="F368">
        <v>0</v>
      </c>
      <c r="G368">
        <v>0</v>
      </c>
      <c r="H368">
        <v>1</v>
      </c>
      <c r="I368">
        <v>1</v>
      </c>
      <c r="J368">
        <v>1</v>
      </c>
      <c r="K368">
        <v>1</v>
      </c>
      <c r="L368">
        <v>1</v>
      </c>
      <c r="N368" s="146">
        <v>90002</v>
      </c>
      <c r="O368" s="146">
        <v>27</v>
      </c>
      <c r="P368" s="822">
        <v>90000</v>
      </c>
      <c r="Q368">
        <v>1</v>
      </c>
      <c r="R368">
        <v>1</v>
      </c>
      <c r="X368" s="321"/>
      <c r="Y368" s="321"/>
      <c r="Z368" s="321"/>
      <c r="AA368" s="146"/>
      <c r="AB368" s="321"/>
      <c r="AC368" s="321"/>
      <c r="AD368" s="321"/>
      <c r="AE368" s="321"/>
    </row>
  </sheetData>
  <sortState xmlns:xlrd2="http://schemas.microsoft.com/office/spreadsheetml/2017/richdata2" ref="E130:E137">
    <sortCondition ref="E130"/>
  </sortState>
  <dataConsolidate/>
  <mergeCells count="43">
    <mergeCell ref="D4:F4"/>
    <mergeCell ref="D40:F40"/>
    <mergeCell ref="D74:F74"/>
    <mergeCell ref="D75:F75"/>
    <mergeCell ref="D33:F33"/>
    <mergeCell ref="D35:F35"/>
    <mergeCell ref="D37:F37"/>
    <mergeCell ref="D29:F29"/>
    <mergeCell ref="D34:F34"/>
    <mergeCell ref="D42:F42"/>
    <mergeCell ref="D18:F18"/>
    <mergeCell ref="D26:F26"/>
    <mergeCell ref="D76:F76"/>
    <mergeCell ref="D36:F36"/>
    <mergeCell ref="D28:F28"/>
    <mergeCell ref="A78:M78"/>
    <mergeCell ref="D25:F25"/>
    <mergeCell ref="O41:Q41"/>
    <mergeCell ref="B40:C40"/>
    <mergeCell ref="D30:F30"/>
    <mergeCell ref="D32:F32"/>
    <mergeCell ref="D31:F31"/>
    <mergeCell ref="B123:C123"/>
    <mergeCell ref="D24:F24"/>
    <mergeCell ref="D27:F27"/>
    <mergeCell ref="D5:F5"/>
    <mergeCell ref="D7:F7"/>
    <mergeCell ref="C9:E9"/>
    <mergeCell ref="B10:G10"/>
    <mergeCell ref="D22:F22"/>
    <mergeCell ref="D14:F14"/>
    <mergeCell ref="D15:F15"/>
    <mergeCell ref="D17:F17"/>
    <mergeCell ref="A2:M2"/>
    <mergeCell ref="A3:M3"/>
    <mergeCell ref="A4:A45"/>
    <mergeCell ref="D21:F21"/>
    <mergeCell ref="D16:F16"/>
    <mergeCell ref="D19:F19"/>
    <mergeCell ref="D38:F38"/>
    <mergeCell ref="D20:F20"/>
    <mergeCell ref="B12:G12"/>
    <mergeCell ref="D23:F23"/>
  </mergeCells>
  <phoneticPr fontId="0" type="noConversion"/>
  <conditionalFormatting sqref="C36">
    <cfRule type="expression" dxfId="473" priority="1" stopIfTrue="1">
      <formula>(Currency_index=7)</formula>
    </cfRule>
  </conditionalFormatting>
  <conditionalFormatting sqref="D36:F36">
    <cfRule type="expression" dxfId="472" priority="2" stopIfTrue="1">
      <formula>(Currency_index=7)</formula>
    </cfRule>
  </conditionalFormatting>
  <dataValidations count="18">
    <dataValidation type="list" allowBlank="1" showInputMessage="1" showErrorMessage="1" sqref="C51 C71" xr:uid="{E0573B88-FE76-4BFC-8FA1-6D3008686FA5}">
      <formula1>$B$87:$B$88</formula1>
    </dataValidation>
    <dataValidation type="list" allowBlank="1" showInputMessage="1" showErrorMessage="1" sqref="J57:K57" xr:uid="{CF9CAAC9-F29F-40C6-B7C4-7AA7B033EEFA}">
      <formula1>$B$96:$B$97</formula1>
    </dataValidation>
    <dataValidation type="list" allowBlank="1" showInputMessage="1" showErrorMessage="1" sqref="H57" xr:uid="{99C36966-0494-4C00-8252-108E5F13753B}">
      <formula1>$B$93:$B$94</formula1>
    </dataValidation>
    <dataValidation type="list" allowBlank="1" showInputMessage="1" showErrorMessage="1" sqref="G57" xr:uid="{E05DE080-DD3C-42D8-A675-7973F01B430B}">
      <formula1>$B$99:$B$101</formula1>
    </dataValidation>
    <dataValidation type="list" allowBlank="1" showInputMessage="1" showErrorMessage="1" sqref="F57" xr:uid="{0B265B37-FC33-4060-8071-DAB5F7104D60}">
      <formula1>$B$90:$B$91</formula1>
    </dataValidation>
    <dataValidation type="list" allowBlank="1" showInputMessage="1" showErrorMessage="1" sqref="D57 C52:C54 I57" xr:uid="{40F40BF3-9BD4-40E4-847B-1EC21BB1C44A}">
      <formula1>$B$84:$B$85</formula1>
    </dataValidation>
    <dataValidation type="list" allowBlank="1" showInputMessage="1" showErrorMessage="1" sqref="D37:F37" xr:uid="{1DC328D3-586E-43B2-BD75-4B3B0032E04B}">
      <formula1>$B$127:$B$128</formula1>
    </dataValidation>
    <dataValidation type="list" allowBlank="1" showInputMessage="1" showErrorMessage="1" sqref="D28:F28" xr:uid="{C445CAA4-7FFD-465C-AB66-587E58DE9E86}">
      <formula1>$E$127:$E$128</formula1>
    </dataValidation>
    <dataValidation type="list" allowBlank="1" showInputMessage="1" showErrorMessage="1" sqref="D25:F25" xr:uid="{60C59B45-9AB2-4448-8577-AA1CA0528E21}">
      <formula1>$E$130:$E$134</formula1>
    </dataValidation>
    <dataValidation type="list" allowBlank="1" showInputMessage="1" showErrorMessage="1" sqref="D23:F23" xr:uid="{89D6F4C8-9A7F-4045-82B6-3ED0628E75BC}">
      <formula1>$C$130:$C$137</formula1>
    </dataValidation>
    <dataValidation type="list" allowBlank="1" showInputMessage="1" showErrorMessage="1" sqref="D26:F26" xr:uid="{66BD3A37-B08D-4B10-B0FF-64C9BA624113}">
      <formula1>LN_GridType</formula1>
    </dataValidation>
    <dataValidation type="list" allowBlank="1" showInputMessage="1" showErrorMessage="1" sqref="D20:F20" xr:uid="{4A75FB96-7C9B-4BDD-A31B-8C868CD68D1B}">
      <formula1>$B$130:$B$139</formula1>
    </dataValidation>
    <dataValidation type="list" allowBlank="1" showInputMessage="1" showErrorMessage="1" sqref="D32:F32 D7:F7" xr:uid="{871E84E1-9DC5-4AB8-88B9-FF5A09AEEFAB}">
      <formula1>$H$83:$H$118</formula1>
    </dataValidation>
    <dataValidation type="list" allowBlank="1" showInputMessage="1" showErrorMessage="1" sqref="D33:F33" xr:uid="{85B03FF8-2E24-42AB-ACB9-FA0CEE19C05E}">
      <formula1>$B$124:$B$125</formula1>
    </dataValidation>
    <dataValidation type="list" allowBlank="1" showInputMessage="1" showErrorMessage="1" sqref="D35:F35" xr:uid="{E95D0EA4-055C-4C6C-8E61-1C2F26EF830E}">
      <formula1>currency_list</formula1>
    </dataValidation>
    <dataValidation type="list" allowBlank="1" showInputMessage="1" showErrorMessage="1" sqref="D30:F30" xr:uid="{ED8CC6E2-C15D-47A0-8775-2603FC372380}">
      <formula1>$C$127:$C$128</formula1>
    </dataValidation>
    <dataValidation type="list" allowBlank="1" showInputMessage="1" showErrorMessage="1" sqref="D22:F22" xr:uid="{EE539567-F93D-445C-A334-AF003CE3C9D7}">
      <formula1>facility_type_list</formula1>
    </dataValidation>
    <dataValidation type="list" allowBlank="1" showInputMessage="1" showErrorMessage="1" sqref="D24:F24" xr:uid="{731CE1ED-C3D1-4E10-A337-B22AE9B5B4AB}">
      <formula1>$D$130:$D$143</formula1>
    </dataValidation>
  </dataValidations>
  <printOptions horizontalCentered="1"/>
  <pageMargins left="0.51181102362204722" right="0.51181102362204722" top="0.51181102362204722" bottom="0.51181102362204722" header="0.51181102362204722" footer="0.31496062992125984"/>
  <pageSetup scale="57" orientation="portrait" r:id="rId1"/>
  <headerFooter alignWithMargins="0">
    <oddFooter>&amp;L_x000D_&amp;R2/13/2012_x000D_RETScreen4.xls</oddFooter>
  </headerFooter>
  <drawing r:id="rId2"/>
  <legacyDrawing r:id="rId3"/>
  <controls>
    <mc:AlternateContent xmlns:mc="http://schemas.openxmlformats.org/markup-compatibility/2006">
      <mc:Choice Requires="x14">
        <control shapeId="1084" r:id="rId4" name="CheckBox19">
          <controlPr defaultSize="0" autoLine="0" autoPict="0" linkedCell="N31" r:id="rId5">
            <anchor moveWithCells="1">
              <from>
                <xdr:col>3</xdr:col>
                <xdr:colOff>22860</xdr:colOff>
                <xdr:row>30</xdr:row>
                <xdr:rowOff>106680</xdr:rowOff>
              </from>
              <to>
                <xdr:col>3</xdr:col>
                <xdr:colOff>312420</xdr:colOff>
                <xdr:row>30</xdr:row>
                <xdr:rowOff>251460</xdr:rowOff>
              </to>
            </anchor>
          </controlPr>
        </control>
      </mc:Choice>
      <mc:Fallback>
        <control shapeId="1084" r:id="rId4" name="CheckBox19"/>
      </mc:Fallback>
    </mc:AlternateContent>
    <mc:AlternateContent xmlns:mc="http://schemas.openxmlformats.org/markup-compatibility/2006">
      <mc:Choice Requires="x14">
        <control shapeId="1073" r:id="rId6" name="CheckBox20">
          <controlPr defaultSize="0" autoLine="0" autoPict="0" linkedCell="N44" r:id="rId7">
            <anchor moveWithCells="1">
              <from>
                <xdr:col>3</xdr:col>
                <xdr:colOff>22860</xdr:colOff>
                <xdr:row>43</xdr:row>
                <xdr:rowOff>15240</xdr:rowOff>
              </from>
              <to>
                <xdr:col>3</xdr:col>
                <xdr:colOff>350520</xdr:colOff>
                <xdr:row>44</xdr:row>
                <xdr:rowOff>0</xdr:rowOff>
              </to>
            </anchor>
          </controlPr>
        </control>
      </mc:Choice>
      <mc:Fallback>
        <control shapeId="1073" r:id="rId6" name="CheckBox20"/>
      </mc:Fallback>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E22D6-1CFA-4BFC-A3D0-DCFF4DFD15A6}">
  <sheetPr codeName="CHP_LoadNet">
    <pageSetUpPr fitToPage="1"/>
  </sheetPr>
  <dimension ref="A1:BA388"/>
  <sheetViews>
    <sheetView showRowColHeaders="0" zoomScale="80" zoomScaleNormal="80" workbookViewId="0">
      <selection sqref="A1:I3"/>
    </sheetView>
  </sheetViews>
  <sheetFormatPr defaultColWidth="0" defaultRowHeight="13.35" customHeight="1" zeroHeight="1"/>
  <cols>
    <col min="1" max="1" width="3.33203125" customWidth="1"/>
    <col min="2" max="2" width="58.33203125" customWidth="1"/>
    <col min="3" max="3" width="12.109375" customWidth="1"/>
    <col min="4" max="4" width="30.77734375" customWidth="1"/>
    <col min="5" max="19" width="14.77734375" customWidth="1"/>
    <col min="20" max="20" width="1.44140625" customWidth="1"/>
    <col min="21" max="21" width="22" hidden="1" customWidth="1"/>
    <col min="22" max="22" width="15.109375" hidden="1" customWidth="1"/>
    <col min="23" max="23" width="22.33203125" hidden="1" customWidth="1"/>
    <col min="24" max="24" width="28.5546875" hidden="1" customWidth="1"/>
    <col min="25" max="25" width="17.33203125" hidden="1" customWidth="1"/>
    <col min="26" max="26" width="16.44140625" hidden="1" customWidth="1"/>
    <col min="27" max="32" width="0.109375" hidden="1" customWidth="1"/>
    <col min="33" max="33" width="37.33203125" hidden="1" customWidth="1"/>
    <col min="34" max="34" width="52.44140625" hidden="1" customWidth="1"/>
    <col min="35" max="35" width="13.109375" hidden="1" customWidth="1"/>
    <col min="36" max="36" width="13" hidden="1" customWidth="1"/>
    <col min="37" max="37" width="44.88671875" hidden="1" customWidth="1"/>
    <col min="38" max="38" width="21.5546875" hidden="1" customWidth="1"/>
    <col min="39" max="39" width="15.33203125" hidden="1" customWidth="1"/>
    <col min="40" max="40" width="16.6640625" hidden="1" customWidth="1"/>
    <col min="41" max="41" width="16.44140625" hidden="1" customWidth="1"/>
    <col min="42" max="42" width="13" hidden="1" customWidth="1"/>
    <col min="43" max="43" width="9.44140625" hidden="1" customWidth="1"/>
    <col min="44" max="44" width="21.5546875" hidden="1" customWidth="1"/>
    <col min="45" max="45" width="22" hidden="1" customWidth="1"/>
    <col min="46" max="46" width="13.6640625" hidden="1" customWidth="1"/>
    <col min="47" max="47" width="24.33203125" hidden="1" customWidth="1"/>
    <col min="48" max="48" width="9.109375" hidden="1" customWidth="1"/>
    <col min="49" max="49" width="8" hidden="1" customWidth="1"/>
    <col min="50" max="50" width="13" hidden="1" customWidth="1"/>
    <col min="51" max="51" width="5.5546875" hidden="1" customWidth="1"/>
    <col min="52" max="52" width="13" hidden="1" customWidth="1"/>
  </cols>
  <sheetData>
    <row r="1" spans="1:53" ht="12.75" customHeight="1">
      <c r="A1" s="1194" t="str">
        <f>Language!C867&amp;'Análise de Emissões'!B188</f>
        <v>RETScreen Proj. Rede e Carga - Projeto produção de Eletricidade</v>
      </c>
      <c r="B1" s="1194"/>
      <c r="C1" s="1194"/>
      <c r="D1" s="1194"/>
      <c r="E1" s="1194"/>
      <c r="F1" s="1194"/>
      <c r="G1" s="1194"/>
      <c r="H1" s="1194"/>
      <c r="I1" s="1194"/>
      <c r="J1" s="1193"/>
      <c r="K1" s="1193"/>
      <c r="L1" s="1193"/>
      <c r="M1" s="1193"/>
      <c r="N1" s="1193"/>
      <c r="O1" s="1193"/>
      <c r="P1" s="1193"/>
      <c r="Q1" s="1193"/>
      <c r="R1" s="1193"/>
      <c r="S1" s="1193"/>
      <c r="T1" s="1"/>
      <c r="U1" s="319"/>
      <c r="V1" s="319"/>
      <c r="W1" s="319"/>
      <c r="X1" s="319"/>
      <c r="Y1" s="319"/>
      <c r="Z1" s="319"/>
      <c r="AA1" s="319"/>
      <c r="AB1" s="319"/>
      <c r="AC1" s="319"/>
      <c r="AD1" s="319"/>
      <c r="AE1" s="319"/>
      <c r="AF1" s="319"/>
      <c r="AG1" s="319"/>
      <c r="AH1" s="319"/>
      <c r="AI1" s="319"/>
      <c r="AJ1" s="319"/>
      <c r="AK1" s="319"/>
      <c r="AL1" s="319"/>
      <c r="AM1" s="319"/>
      <c r="AN1" s="319"/>
      <c r="AO1" s="319"/>
      <c r="AP1" s="319"/>
      <c r="AQ1" s="319"/>
      <c r="AR1" s="319"/>
      <c r="AS1" s="319"/>
      <c r="AT1" s="319"/>
      <c r="AU1" s="319"/>
      <c r="AV1" s="319"/>
      <c r="AW1" s="319"/>
      <c r="AX1" s="319"/>
      <c r="AY1" s="319"/>
      <c r="AZ1" s="319"/>
      <c r="BA1" s="319">
        <v>40000</v>
      </c>
    </row>
    <row r="2" spans="1:53" ht="0.15" customHeight="1">
      <c r="A2" s="1194"/>
      <c r="B2" s="1194"/>
      <c r="C2" s="1194"/>
      <c r="D2" s="1194"/>
      <c r="E2" s="1194"/>
      <c r="F2" s="1194"/>
      <c r="G2" s="1194"/>
      <c r="H2" s="1194"/>
      <c r="I2" s="1194"/>
      <c r="J2" s="1193"/>
      <c r="K2" s="1193"/>
      <c r="L2" s="1193"/>
      <c r="M2" s="1193"/>
      <c r="N2" s="1193"/>
      <c r="O2" s="1193"/>
      <c r="P2" s="1193"/>
      <c r="Q2" s="1193"/>
      <c r="R2" s="1193"/>
      <c r="S2" s="1193"/>
      <c r="T2" s="1"/>
      <c r="U2" s="319">
        <f>IF(ISERROR(SUM(U3:V254)+HideCodeEM_1),7,SUM(U3:V254)+HideCodeEM_1)</f>
        <v>20984</v>
      </c>
      <c r="V2" s="319">
        <v>80078</v>
      </c>
      <c r="W2" s="319" t="s">
        <v>3818</v>
      </c>
      <c r="X2" s="319" t="s">
        <v>926</v>
      </c>
      <c r="Y2" s="319" t="s">
        <v>927</v>
      </c>
      <c r="Z2" s="319" t="s">
        <v>928</v>
      </c>
      <c r="AA2" s="319"/>
      <c r="AB2" s="319"/>
      <c r="AC2" s="319"/>
      <c r="AD2" s="319"/>
      <c r="AE2" s="319"/>
      <c r="AF2" s="319"/>
      <c r="AG2" s="319"/>
      <c r="AH2" s="319"/>
      <c r="AI2" s="319"/>
      <c r="AJ2" s="319"/>
      <c r="AK2" s="319"/>
      <c r="AL2" s="319"/>
      <c r="AM2" s="319"/>
      <c r="AN2" s="319"/>
      <c r="AO2" s="319"/>
      <c r="AP2" s="319"/>
      <c r="AQ2" s="319"/>
      <c r="AR2" s="319"/>
      <c r="AS2" s="319"/>
      <c r="AT2" s="319"/>
      <c r="AU2" s="319"/>
      <c r="AV2" s="319"/>
      <c r="AW2" s="319"/>
      <c r="AX2" s="319"/>
      <c r="AY2" s="319"/>
      <c r="AZ2" s="319"/>
      <c r="BA2" s="319">
        <v>40000</v>
      </c>
    </row>
    <row r="3" spans="1:53" ht="12.75" customHeight="1" thickBot="1">
      <c r="A3" s="1194"/>
      <c r="B3" s="1194"/>
      <c r="C3" s="1194"/>
      <c r="D3" s="1194"/>
      <c r="E3" s="1194"/>
      <c r="F3" s="1194"/>
      <c r="G3" s="1194"/>
      <c r="H3" s="1194"/>
      <c r="I3" s="1194"/>
      <c r="J3" s="1193"/>
      <c r="K3" s="1193"/>
      <c r="L3" s="1193"/>
      <c r="M3" s="1193"/>
      <c r="N3" s="1193"/>
      <c r="O3" s="1193"/>
      <c r="P3" s="1193"/>
      <c r="Q3" s="1193"/>
      <c r="R3" s="1193"/>
      <c r="S3" s="1193"/>
      <c r="T3" s="1"/>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19"/>
      <c r="AV3" s="319"/>
      <c r="AW3" s="319"/>
      <c r="AX3" s="319"/>
      <c r="AY3" s="319"/>
      <c r="AZ3" s="319"/>
      <c r="BA3" s="319">
        <v>40000</v>
      </c>
    </row>
    <row r="4" spans="1:53" ht="13.2" hidden="1">
      <c r="A4" s="1174" t="str">
        <f>Language!C243</f>
        <v>Projeto do Sistema de Aquecimento</v>
      </c>
      <c r="B4" s="1175"/>
      <c r="C4" s="26" t="str">
        <f>Language!C180</f>
        <v>Unidade</v>
      </c>
      <c r="D4" s="25"/>
      <c r="E4" s="25"/>
      <c r="F4" s="25"/>
      <c r="G4" s="25"/>
      <c r="H4" s="25"/>
      <c r="I4" s="25"/>
      <c r="J4" s="25"/>
      <c r="K4" s="25"/>
      <c r="L4" s="25"/>
      <c r="M4" s="25"/>
      <c r="N4" s="25"/>
      <c r="O4" s="25"/>
      <c r="P4" s="25"/>
      <c r="Q4" s="25"/>
      <c r="R4" s="25"/>
      <c r="S4" s="27"/>
      <c r="T4" s="1"/>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19"/>
      <c r="AV4" s="319"/>
      <c r="AW4" s="319"/>
      <c r="AX4" s="319"/>
      <c r="AY4" s="319"/>
      <c r="AZ4" s="319"/>
      <c r="BA4" s="319">
        <v>41000</v>
      </c>
    </row>
    <row r="5" spans="1:53" ht="13.2" hidden="1">
      <c r="A5" s="12"/>
      <c r="B5" s="1"/>
      <c r="C5" s="1"/>
      <c r="D5" s="1"/>
      <c r="E5" s="1"/>
      <c r="F5" s="1"/>
      <c r="G5" s="1"/>
      <c r="H5" s="1"/>
      <c r="I5" s="1"/>
      <c r="J5" s="1"/>
      <c r="K5" s="1"/>
      <c r="L5" s="1"/>
      <c r="M5" s="1"/>
      <c r="N5" s="1"/>
      <c r="O5" s="1"/>
      <c r="P5" s="1"/>
      <c r="Q5" s="1"/>
      <c r="R5" s="1"/>
      <c r="S5" s="9"/>
      <c r="T5" s="1"/>
      <c r="U5" s="319"/>
      <c r="V5" s="319"/>
      <c r="W5" s="319"/>
      <c r="X5" s="319"/>
      <c r="Y5" s="319"/>
      <c r="Z5" s="319"/>
      <c r="AA5" s="319"/>
      <c r="AB5" s="319"/>
      <c r="AC5" s="319"/>
      <c r="AD5" s="319"/>
      <c r="AE5" s="319"/>
      <c r="AF5" s="319"/>
      <c r="AG5" s="319" t="str">
        <f>Language!C245</f>
        <v>Graus-dias anual de aquecimento abaixo 18°C</v>
      </c>
      <c r="AH5" s="319" t="str">
        <f>Language!C1311</f>
        <v>°C-d</v>
      </c>
      <c r="AI5" s="319">
        <f>SUM(Iniciar!T58:T69)</f>
        <v>1188.3</v>
      </c>
      <c r="AJ5" s="319"/>
      <c r="AK5" s="319"/>
      <c r="AL5" s="319"/>
      <c r="AM5" s="319"/>
      <c r="AN5" s="319"/>
      <c r="AO5" s="319"/>
      <c r="AP5" s="319"/>
      <c r="AQ5" s="319"/>
      <c r="AR5" s="319"/>
      <c r="AS5" s="319"/>
      <c r="AT5" s="319"/>
      <c r="AU5" s="319"/>
      <c r="AV5" s="319"/>
      <c r="AW5" s="319"/>
      <c r="AX5" s="319"/>
      <c r="AY5" s="319"/>
      <c r="AZ5" s="319"/>
      <c r="BA5" s="319">
        <v>41000</v>
      </c>
    </row>
    <row r="6" spans="1:53" ht="12.75" hidden="1" customHeight="1" thickBot="1">
      <c r="A6" s="1170" t="str">
        <f>Language!C275</f>
        <v>Sistema de Aquecimento para caso de referência</v>
      </c>
      <c r="B6" s="1176"/>
      <c r="C6" s="1195" t="s">
        <v>6111</v>
      </c>
      <c r="D6" s="1196"/>
      <c r="E6" s="1197"/>
      <c r="F6" s="1"/>
      <c r="G6" s="1"/>
      <c r="H6" s="1"/>
      <c r="I6" s="1"/>
      <c r="J6" s="1"/>
      <c r="K6" s="1"/>
      <c r="L6" s="1"/>
      <c r="M6" s="1"/>
      <c r="N6" s="1"/>
      <c r="O6" s="1"/>
      <c r="P6" s="1"/>
      <c r="Q6" s="1"/>
      <c r="R6" s="1"/>
      <c r="S6" s="9"/>
      <c r="T6" s="1"/>
      <c r="U6" s="319">
        <f>IF(C6="",1,MATCH(C6,LN_heatsystem,0))</f>
        <v>1</v>
      </c>
      <c r="V6" s="319">
        <f>HideCode_projectType</f>
        <v>2</v>
      </c>
      <c r="W6" s="319"/>
      <c r="X6" s="319"/>
      <c r="Y6" s="319"/>
      <c r="Z6" s="319"/>
      <c r="AA6" s="319"/>
      <c r="AB6" s="319"/>
      <c r="AC6" s="319"/>
      <c r="AD6" s="319"/>
      <c r="AE6" s="319"/>
      <c r="AF6" s="319"/>
      <c r="AG6" s="319"/>
      <c r="AH6" s="319" t="str">
        <f>Language!C1339</f>
        <v>h</v>
      </c>
      <c r="AI6" s="319">
        <f>J336</f>
        <v>0</v>
      </c>
      <c r="AJ6" s="319"/>
      <c r="AK6" s="319"/>
      <c r="AL6" s="319"/>
      <c r="AM6" s="319"/>
      <c r="AN6" s="319"/>
      <c r="AO6" s="319"/>
      <c r="AP6" s="319"/>
      <c r="AQ6" s="319"/>
      <c r="AR6" s="319"/>
      <c r="AS6" s="319"/>
      <c r="AT6" s="319"/>
      <c r="AU6" s="319"/>
      <c r="AV6" s="319"/>
      <c r="AW6" s="319"/>
      <c r="AX6" s="319"/>
      <c r="AY6" s="319"/>
      <c r="AZ6" s="319"/>
      <c r="BA6" s="319">
        <v>41200</v>
      </c>
    </row>
    <row r="7" spans="1:53" ht="13.2" hidden="1">
      <c r="A7" s="12" t="s">
        <v>2882</v>
      </c>
      <c r="B7" s="1"/>
      <c r="C7" s="1"/>
      <c r="D7" s="1"/>
      <c r="E7" s="1"/>
      <c r="F7" s="1"/>
      <c r="G7" s="1"/>
      <c r="H7" s="1"/>
      <c r="I7" s="1"/>
      <c r="J7" s="1"/>
      <c r="K7" s="1"/>
      <c r="L7" s="1"/>
      <c r="M7" s="1"/>
      <c r="N7" s="1"/>
      <c r="O7" s="1"/>
      <c r="P7" s="1"/>
      <c r="Q7" s="1"/>
      <c r="R7" s="1"/>
      <c r="S7" s="9"/>
      <c r="T7" s="1"/>
      <c r="U7" s="319"/>
      <c r="V7" s="319"/>
      <c r="W7" s="319"/>
      <c r="X7" s="319"/>
      <c r="Y7" s="319"/>
      <c r="Z7" s="319"/>
      <c r="AA7" s="319"/>
      <c r="AB7" s="319"/>
      <c r="AC7" s="319"/>
      <c r="AD7" s="319"/>
      <c r="AE7" s="319"/>
      <c r="AF7" s="319"/>
      <c r="AG7" s="319"/>
      <c r="AH7" s="319"/>
      <c r="AI7" s="319"/>
      <c r="AJ7" s="319"/>
      <c r="AK7" s="319"/>
      <c r="AL7" s="319"/>
      <c r="AM7" s="319"/>
      <c r="AN7" s="319"/>
      <c r="AO7" s="319"/>
      <c r="AP7" s="319"/>
      <c r="AQ7" s="319"/>
      <c r="AR7" s="319"/>
      <c r="AS7" s="319"/>
      <c r="AT7" s="319"/>
      <c r="AU7" s="319"/>
      <c r="AV7" s="319"/>
      <c r="AW7" s="319"/>
      <c r="AX7" s="319"/>
      <c r="AY7" s="319"/>
      <c r="AZ7" s="319"/>
      <c r="BA7" s="319">
        <v>41200</v>
      </c>
    </row>
    <row r="8" spans="1:53" ht="13.2" hidden="1">
      <c r="A8" s="12"/>
      <c r="B8" s="1" t="str">
        <f>Language!C276</f>
        <v>Área de piso aquecido para o prédio</v>
      </c>
      <c r="C8" s="303" t="s">
        <v>5430</v>
      </c>
      <c r="D8" s="307"/>
      <c r="E8" s="1"/>
      <c r="F8" s="1"/>
      <c r="G8" s="1"/>
      <c r="H8" s="1"/>
      <c r="I8" s="1"/>
      <c r="J8" s="1"/>
      <c r="K8" s="1"/>
      <c r="L8" s="1"/>
      <c r="M8" s="1"/>
      <c r="N8" s="1"/>
      <c r="O8" s="1"/>
      <c r="P8" s="1"/>
      <c r="Q8" s="1"/>
      <c r="R8" s="1"/>
      <c r="S8" s="9"/>
      <c r="T8" s="1"/>
      <c r="U8" s="319"/>
      <c r="V8" s="319"/>
      <c r="W8" s="319" t="s">
        <v>5430</v>
      </c>
      <c r="X8" s="319">
        <f>IF(C8=$D$260,D8,D8*$E$261)</f>
        <v>0</v>
      </c>
      <c r="Y8" s="319"/>
      <c r="Z8" s="319"/>
      <c r="AA8" s="319"/>
      <c r="AB8" s="319"/>
      <c r="AC8" s="319"/>
      <c r="AD8" s="319"/>
      <c r="AE8" s="319"/>
      <c r="AF8" s="319"/>
      <c r="AG8" s="319"/>
      <c r="AH8" s="319"/>
      <c r="AI8" s="319"/>
      <c r="AJ8" s="319"/>
      <c r="AK8" s="319"/>
      <c r="AL8" s="319"/>
      <c r="AM8" s="319"/>
      <c r="AN8" s="319"/>
      <c r="AO8" s="319"/>
      <c r="AP8" s="319"/>
      <c r="AQ8" s="319"/>
      <c r="AR8" s="319"/>
      <c r="AS8" s="319"/>
      <c r="AT8" s="319"/>
      <c r="AU8" s="319"/>
      <c r="AV8" s="319"/>
      <c r="AW8" s="319"/>
      <c r="AX8" s="319"/>
      <c r="AY8" s="319"/>
      <c r="AZ8" s="319"/>
      <c r="BA8" s="319">
        <v>41302</v>
      </c>
    </row>
    <row r="9" spans="1:53" ht="12.75" hidden="1" customHeight="1">
      <c r="A9" s="12"/>
      <c r="B9" s="1" t="str">
        <f>Language!C211</f>
        <v>Tipo de Combustível</v>
      </c>
      <c r="C9" s="1"/>
      <c r="D9" s="419" t="s">
        <v>7046</v>
      </c>
      <c r="E9" s="1"/>
      <c r="F9" s="1"/>
      <c r="G9" s="1"/>
      <c r="H9" s="1"/>
      <c r="I9" s="1"/>
      <c r="J9" s="1"/>
      <c r="K9" s="1"/>
      <c r="L9" s="1"/>
      <c r="M9" s="1"/>
      <c r="N9" s="1"/>
      <c r="O9" s="1"/>
      <c r="P9" s="1"/>
      <c r="Q9" s="1"/>
      <c r="R9" s="1"/>
      <c r="S9" s="9"/>
      <c r="T9" s="1"/>
      <c r="U9" s="319"/>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319"/>
      <c r="AU9" s="319"/>
      <c r="AV9" s="319"/>
      <c r="AW9" s="319"/>
      <c r="AX9" s="319"/>
      <c r="AY9" s="319"/>
      <c r="AZ9" s="319"/>
      <c r="BA9" s="319">
        <v>2010106</v>
      </c>
    </row>
    <row r="10" spans="1:53" ht="13.2" hidden="1">
      <c r="A10" s="12"/>
      <c r="B10" s="1" t="str">
        <f>Language!C219</f>
        <v>Eficiência Sazonal</v>
      </c>
      <c r="C10" s="29" t="str">
        <f>$C$13</f>
        <v>%</v>
      </c>
      <c r="D10" s="159"/>
      <c r="E10" s="1"/>
      <c r="F10" s="1"/>
      <c r="G10" s="1"/>
      <c r="H10" s="1"/>
      <c r="I10" s="1"/>
      <c r="J10" s="1"/>
      <c r="K10" s="1"/>
      <c r="L10" s="1"/>
      <c r="M10" s="1"/>
      <c r="N10" s="1"/>
      <c r="O10" s="1"/>
      <c r="P10" s="1"/>
      <c r="Q10" s="1"/>
      <c r="R10" s="1"/>
      <c r="S10" s="9"/>
      <c r="T10" s="1"/>
      <c r="U10" s="319"/>
      <c r="V10" s="319"/>
      <c r="W10" s="319"/>
      <c r="X10" s="319"/>
      <c r="Y10" s="319"/>
      <c r="Z10" s="319"/>
      <c r="AA10" s="319"/>
      <c r="AB10" s="319"/>
      <c r="AC10" s="319"/>
      <c r="AD10" s="319"/>
      <c r="AE10" s="319"/>
      <c r="AF10" s="319"/>
      <c r="AG10" s="319"/>
      <c r="AH10" s="319"/>
      <c r="AI10" s="319"/>
      <c r="AJ10" s="319"/>
      <c r="AK10" s="319"/>
      <c r="AL10" s="319"/>
      <c r="AM10" s="319"/>
      <c r="AN10" s="319"/>
      <c r="AO10" s="319"/>
      <c r="AP10" s="319"/>
      <c r="AQ10" s="319"/>
      <c r="AR10" s="319"/>
      <c r="AS10" s="319"/>
      <c r="AT10" s="319"/>
      <c r="AU10" s="319"/>
      <c r="AV10" s="319"/>
      <c r="AW10" s="319"/>
      <c r="AX10" s="319"/>
      <c r="AY10" s="319"/>
      <c r="AZ10" s="319"/>
      <c r="BA10" s="319">
        <v>2020208</v>
      </c>
    </row>
    <row r="11" spans="1:53" ht="13.2" hidden="1">
      <c r="A11" s="12"/>
      <c r="B11" s="28" t="str">
        <f>Language!C277</f>
        <v>Cálculo carga p/ aquecimento</v>
      </c>
      <c r="C11" s="1"/>
      <c r="D11" s="1"/>
      <c r="E11" s="1"/>
      <c r="F11" s="1"/>
      <c r="G11" s="1"/>
      <c r="H11" s="1"/>
      <c r="I11" s="1"/>
      <c r="J11" s="1"/>
      <c r="K11" s="1"/>
      <c r="L11" s="1"/>
      <c r="M11" s="1"/>
      <c r="N11" s="1"/>
      <c r="O11" s="1"/>
      <c r="P11" s="1"/>
      <c r="Q11" s="1"/>
      <c r="R11" s="1"/>
      <c r="S11" s="9"/>
      <c r="T11" s="1"/>
      <c r="U11" s="319"/>
      <c r="V11" s="319"/>
      <c r="W11" s="319"/>
      <c r="X11" s="319"/>
      <c r="Y11" s="319"/>
      <c r="Z11" s="319"/>
      <c r="AA11" s="319"/>
      <c r="AB11" s="319"/>
      <c r="AC11" s="319"/>
      <c r="AD11" s="319"/>
      <c r="AE11" s="319"/>
      <c r="AF11" s="319"/>
      <c r="AG11" s="319"/>
      <c r="AH11" s="319"/>
      <c r="AI11" s="319"/>
      <c r="AJ11" s="319"/>
      <c r="AK11" s="319"/>
      <c r="AL11" s="319"/>
      <c r="AM11" s="319"/>
      <c r="AN11" s="319"/>
      <c r="AO11" s="319"/>
      <c r="AP11" s="319"/>
      <c r="AQ11" s="319"/>
      <c r="AR11" s="319"/>
      <c r="AS11" s="319"/>
      <c r="AT11" s="319"/>
      <c r="AU11" s="319"/>
      <c r="AV11" s="319"/>
      <c r="AW11" s="319"/>
      <c r="AX11" s="319"/>
      <c r="AY11" s="319"/>
      <c r="AZ11" s="319"/>
      <c r="BA11" s="319">
        <v>41400</v>
      </c>
    </row>
    <row r="12" spans="1:53" ht="13.2" hidden="1">
      <c r="A12" s="12"/>
      <c r="B12" s="1" t="str">
        <f>Language!C278</f>
        <v>Carga p/ aquecimento do prédio</v>
      </c>
      <c r="C12" s="303" t="s">
        <v>2335</v>
      </c>
      <c r="D12" s="395"/>
      <c r="E12" s="1"/>
      <c r="F12" s="1"/>
      <c r="G12" s="1"/>
      <c r="H12" s="1"/>
      <c r="I12" s="1"/>
      <c r="J12" s="1"/>
      <c r="K12" s="1"/>
      <c r="L12" s="1"/>
      <c r="M12" s="1"/>
      <c r="N12" s="1"/>
      <c r="O12" s="1"/>
      <c r="P12" s="1"/>
      <c r="Q12" s="1"/>
      <c r="R12" s="1"/>
      <c r="S12" s="9"/>
      <c r="T12" s="1"/>
      <c r="U12" s="319"/>
      <c r="V12" s="319"/>
      <c r="W12" s="319" t="s">
        <v>2335</v>
      </c>
      <c r="X12" s="319">
        <f>IF(C12=$D$266,D12,D12*$E$267)</f>
        <v>0</v>
      </c>
      <c r="Y12" s="319"/>
      <c r="Z12" s="319"/>
      <c r="AA12" s="319"/>
      <c r="AB12" s="319"/>
      <c r="AC12" s="319"/>
      <c r="AD12" s="319"/>
      <c r="AE12" s="319"/>
      <c r="AF12" s="319"/>
      <c r="AG12" s="319"/>
      <c r="AH12" s="319"/>
      <c r="AI12" s="319"/>
      <c r="AJ12" s="319"/>
      <c r="AK12" s="319"/>
      <c r="AL12" s="319"/>
      <c r="AM12" s="319"/>
      <c r="AN12" s="319"/>
      <c r="AO12" s="319"/>
      <c r="AP12" s="319"/>
      <c r="AQ12" s="319"/>
      <c r="AR12" s="319"/>
      <c r="AS12" s="319"/>
      <c r="AT12" s="319"/>
      <c r="AU12" s="319"/>
      <c r="AV12" s="319"/>
      <c r="AW12" s="319"/>
      <c r="AX12" s="319"/>
      <c r="AY12" s="319"/>
      <c r="AZ12" s="319"/>
      <c r="BA12" s="319">
        <v>41402</v>
      </c>
    </row>
    <row r="13" spans="1:53" ht="13.2" hidden="1">
      <c r="A13" s="12"/>
      <c r="B13" s="1" t="str">
        <f>Language!C246</f>
        <v>Demanda base calor p/ rede água quente</v>
      </c>
      <c r="C13" s="29" t="str">
        <f>Language!C1306</f>
        <v>%</v>
      </c>
      <c r="D13" s="159"/>
      <c r="E13" s="1"/>
      <c r="F13" s="1"/>
      <c r="G13" s="1"/>
      <c r="H13" s="1"/>
      <c r="I13" s="1"/>
      <c r="J13" s="1"/>
      <c r="K13" s="1"/>
      <c r="L13" s="1"/>
      <c r="M13" s="1"/>
      <c r="N13" s="1"/>
      <c r="O13" s="1"/>
      <c r="P13" s="1"/>
      <c r="Q13" s="1"/>
      <c r="R13" s="1"/>
      <c r="S13" s="9"/>
      <c r="T13" s="1"/>
      <c r="U13" s="319"/>
      <c r="V13" s="319"/>
      <c r="W13" s="319"/>
      <c r="X13" s="319"/>
      <c r="Y13" s="319"/>
      <c r="Z13" s="319"/>
      <c r="AA13" s="319"/>
      <c r="AB13" s="319"/>
      <c r="AC13" s="319"/>
      <c r="AD13" s="319"/>
      <c r="AE13" s="319"/>
      <c r="AF13" s="319"/>
      <c r="AG13" s="319"/>
      <c r="AH13" s="319"/>
      <c r="AI13" s="319"/>
      <c r="AJ13" s="319"/>
      <c r="AK13" s="319"/>
      <c r="AL13" s="319"/>
      <c r="AM13" s="319"/>
      <c r="AN13" s="319"/>
      <c r="AO13" s="319"/>
      <c r="AP13" s="319"/>
      <c r="AQ13" s="319"/>
      <c r="AR13" s="319"/>
      <c r="AS13" s="319"/>
      <c r="AT13" s="319"/>
      <c r="AU13" s="319"/>
      <c r="AV13" s="319"/>
      <c r="AW13" s="319"/>
      <c r="AX13" s="319"/>
      <c r="AY13" s="319"/>
      <c r="AZ13" s="319"/>
      <c r="BA13" s="319">
        <v>41403</v>
      </c>
    </row>
    <row r="14" spans="1:53" ht="13.2" hidden="1">
      <c r="A14" s="18"/>
      <c r="B14" s="335" t="str">
        <f>Language!C279</f>
        <v>Carga de ponta p/ aquecimento do processo</v>
      </c>
      <c r="C14" s="519" t="s">
        <v>5700</v>
      </c>
      <c r="D14" s="892"/>
      <c r="E14" s="335"/>
      <c r="F14" s="335"/>
      <c r="G14" s="335"/>
      <c r="H14" s="335"/>
      <c r="I14" s="335"/>
      <c r="J14" s="335"/>
      <c r="K14" s="335"/>
      <c r="L14" s="335"/>
      <c r="M14" s="335"/>
      <c r="N14" s="335"/>
      <c r="O14" s="335"/>
      <c r="P14" s="335"/>
      <c r="Q14" s="335"/>
      <c r="R14" s="335"/>
      <c r="S14" s="513"/>
      <c r="T14" s="335"/>
      <c r="U14" s="893"/>
      <c r="V14" s="893"/>
      <c r="W14" s="893" t="s">
        <v>2364</v>
      </c>
      <c r="X14" s="893">
        <f>IF(C14=$D$269,D14,D14/$E$270)</f>
        <v>0</v>
      </c>
      <c r="Y14" s="893"/>
      <c r="Z14" s="893"/>
      <c r="AA14" s="893"/>
      <c r="AB14" s="893"/>
      <c r="AC14" s="893"/>
      <c r="AD14" s="893"/>
      <c r="AE14" s="893"/>
      <c r="AF14" s="893"/>
      <c r="AG14" s="893"/>
      <c r="AH14" s="893"/>
      <c r="AI14" s="893"/>
      <c r="AJ14" s="893"/>
      <c r="AK14" s="893"/>
      <c r="AL14" s="893"/>
      <c r="AM14" s="893"/>
      <c r="AN14" s="893"/>
      <c r="AO14" s="893"/>
      <c r="AP14" s="893"/>
      <c r="AQ14" s="893"/>
      <c r="AR14" s="893"/>
      <c r="AS14" s="893"/>
      <c r="AT14" s="893"/>
      <c r="AU14" s="893"/>
      <c r="AV14" s="893"/>
      <c r="AW14" s="893"/>
      <c r="AX14" s="893"/>
      <c r="AY14" s="893"/>
      <c r="AZ14" s="893"/>
      <c r="BA14" s="893">
        <v>41404</v>
      </c>
    </row>
    <row r="15" spans="1:53" ht="13.2" hidden="1">
      <c r="A15" s="12"/>
      <c r="B15" s="1" t="str">
        <f>Language!C280</f>
        <v>Características da carga de aquecimento do processo</v>
      </c>
      <c r="C15" s="1"/>
      <c r="D15" s="303" t="s">
        <v>6129</v>
      </c>
      <c r="E15" s="1"/>
      <c r="F15" s="1"/>
      <c r="G15" s="1"/>
      <c r="H15" s="1"/>
      <c r="I15" s="1"/>
      <c r="J15" s="1"/>
      <c r="K15" s="1"/>
      <c r="L15" s="1"/>
      <c r="M15" s="1"/>
      <c r="N15" s="1"/>
      <c r="O15" s="1"/>
      <c r="P15" s="1"/>
      <c r="Q15" s="1"/>
      <c r="R15" s="1"/>
      <c r="S15" s="9"/>
      <c r="T15" s="1"/>
      <c r="U15" s="319">
        <f>IF(D15="",1,MATCH(D15,LN_SD,0))</f>
        <v>1</v>
      </c>
      <c r="V15" s="319"/>
      <c r="W15" s="319"/>
      <c r="X15" s="319"/>
      <c r="Y15" s="319"/>
      <c r="Z15" s="319"/>
      <c r="AA15" s="319"/>
      <c r="AB15" s="319"/>
      <c r="AC15" s="319"/>
      <c r="AD15" s="319"/>
      <c r="AE15" s="319"/>
      <c r="AF15" s="319"/>
      <c r="AG15" s="319"/>
      <c r="AH15" s="319"/>
      <c r="AI15" s="319"/>
      <c r="AJ15" s="319"/>
      <c r="AK15" s="319"/>
      <c r="AL15" s="319"/>
      <c r="AM15" s="319"/>
      <c r="AN15" s="319"/>
      <c r="AO15" s="319"/>
      <c r="AP15" s="319"/>
      <c r="AQ15" s="319"/>
      <c r="AR15" s="319"/>
      <c r="AS15" s="319"/>
      <c r="AT15" s="319"/>
      <c r="AU15" s="319"/>
      <c r="AV15" s="319"/>
      <c r="AW15" s="319" t="s">
        <v>708</v>
      </c>
      <c r="AX15" s="319"/>
      <c r="AY15" s="319"/>
      <c r="AZ15" s="319"/>
      <c r="BA15" s="319">
        <v>41406</v>
      </c>
    </row>
    <row r="16" spans="1:53" ht="13.2" hidden="1">
      <c r="A16" s="12"/>
      <c r="B16" s="1" t="str">
        <f>Language!C281</f>
        <v>Horas equivalentes à plena carga - aquecimento do processo</v>
      </c>
      <c r="C16" s="29" t="str">
        <f>$AH$6</f>
        <v>h</v>
      </c>
      <c r="D16" s="30">
        <f>IF(HideCodeLN_HPT=2,AI6,H336)</f>
        <v>0</v>
      </c>
      <c r="E16" s="1"/>
      <c r="F16" s="1189" t="str">
        <f>Language!C59</f>
        <v>Completar as cargas mensais do processo</v>
      </c>
      <c r="G16" s="1190"/>
      <c r="H16" s="1191"/>
      <c r="I16" s="1"/>
      <c r="J16" s="1"/>
      <c r="K16" s="1"/>
      <c r="L16" s="1"/>
      <c r="M16" s="1"/>
      <c r="N16" s="1"/>
      <c r="O16" s="1"/>
      <c r="P16" s="1"/>
      <c r="Q16" s="1"/>
      <c r="R16" s="1"/>
      <c r="S16" s="9"/>
      <c r="T16" s="1"/>
      <c r="U16" s="319"/>
      <c r="V16" s="319"/>
      <c r="W16" s="319">
        <f>IF(U15=2,1,IF(D17=0,0,1))</f>
        <v>0</v>
      </c>
      <c r="X16" s="319"/>
      <c r="Y16" s="319"/>
      <c r="Z16" s="319"/>
      <c r="AA16" s="319"/>
      <c r="AB16" s="319"/>
      <c r="AC16" s="319"/>
      <c r="AD16" s="319"/>
      <c r="AE16" s="319"/>
      <c r="AF16" s="319"/>
      <c r="AG16" s="319"/>
      <c r="AH16" s="319"/>
      <c r="AI16" s="319"/>
      <c r="AJ16" s="319"/>
      <c r="AK16" s="319"/>
      <c r="AL16" s="319"/>
      <c r="AM16" s="319"/>
      <c r="AN16" s="319"/>
      <c r="AO16" s="319"/>
      <c r="AP16" s="319"/>
      <c r="AQ16" s="319"/>
      <c r="AR16" s="319"/>
      <c r="AS16" s="319"/>
      <c r="AT16" s="319"/>
      <c r="AU16" s="319"/>
      <c r="AV16" s="319"/>
      <c r="AW16" s="319"/>
      <c r="AX16" s="319"/>
      <c r="AY16" s="319"/>
      <c r="AZ16" s="319"/>
      <c r="BA16" s="319">
        <v>41408</v>
      </c>
    </row>
    <row r="17" spans="1:53" ht="13.2" hidden="1">
      <c r="A17" s="12"/>
      <c r="B17" s="1" t="str">
        <f>B16</f>
        <v>Horas equivalentes à plena carga - aquecimento do processo</v>
      </c>
      <c r="C17" s="29" t="str">
        <f>$AH$6</f>
        <v>h</v>
      </c>
      <c r="D17" s="307"/>
      <c r="E17" s="1"/>
      <c r="F17" s="1"/>
      <c r="G17" s="1"/>
      <c r="H17" s="1"/>
      <c r="I17" s="1"/>
      <c r="J17" s="1"/>
      <c r="K17" s="1"/>
      <c r="L17" s="1"/>
      <c r="M17" s="1"/>
      <c r="N17" s="1"/>
      <c r="O17" s="1"/>
      <c r="P17" s="1"/>
      <c r="Q17" s="1"/>
      <c r="R17" s="1"/>
      <c r="S17" s="9"/>
      <c r="T17" s="1"/>
      <c r="U17" s="319"/>
      <c r="V17" s="319"/>
      <c r="W17" s="319"/>
      <c r="X17" s="319"/>
      <c r="Y17" s="319"/>
      <c r="Z17" s="319"/>
      <c r="AA17" s="319"/>
      <c r="AB17" s="319"/>
      <c r="AC17" s="319"/>
      <c r="AD17" s="319"/>
      <c r="AE17" s="319"/>
      <c r="AF17" s="319"/>
      <c r="AG17" s="319"/>
      <c r="AH17" s="319"/>
      <c r="AI17" s="319"/>
      <c r="AJ17" s="319"/>
      <c r="AK17" s="319"/>
      <c r="AL17" s="319"/>
      <c r="AM17" s="319"/>
      <c r="AN17" s="319"/>
      <c r="AO17" s="319"/>
      <c r="AP17" s="319"/>
      <c r="AQ17" s="319"/>
      <c r="AR17" s="319"/>
      <c r="AS17" s="319"/>
      <c r="AT17" s="319"/>
      <c r="AU17" s="319"/>
      <c r="AV17" s="319"/>
      <c r="AW17" s="319"/>
      <c r="AX17" s="319"/>
      <c r="AY17" s="319"/>
      <c r="AZ17" s="319"/>
      <c r="BA17" s="319">
        <v>41408</v>
      </c>
    </row>
    <row r="18" spans="1:53" ht="13.2" hidden="1">
      <c r="A18" s="12"/>
      <c r="B18" s="1" t="str">
        <f>Language!C282</f>
        <v>Demanda aquecimento ambiente</v>
      </c>
      <c r="C18" s="29" t="str">
        <f>IF(Unit=TRUE,Language!C1396,Language!C1382)</f>
        <v>MWh</v>
      </c>
      <c r="D18" s="30">
        <f>IF(Unit=TRUE,X18,Z18)</f>
        <v>0</v>
      </c>
      <c r="E18" s="1"/>
      <c r="F18" s="1"/>
      <c r="G18" s="1"/>
      <c r="H18" s="1"/>
      <c r="I18" s="1"/>
      <c r="J18" s="1"/>
      <c r="K18" s="1"/>
      <c r="L18" s="1"/>
      <c r="M18" s="1"/>
      <c r="N18" s="1"/>
      <c r="O18" s="1"/>
      <c r="P18" s="1"/>
      <c r="Q18" s="1"/>
      <c r="R18" s="1"/>
      <c r="S18" s="9"/>
      <c r="T18" s="1"/>
      <c r="U18" s="319"/>
      <c r="V18" s="319"/>
      <c r="W18" s="319" t="s">
        <v>2745</v>
      </c>
      <c r="X18" s="319">
        <f>IF(X12=0,0,IF(X8=0,"-",E335))</f>
        <v>0</v>
      </c>
      <c r="Y18" s="319" t="s">
        <v>3318</v>
      </c>
      <c r="Z18" s="319">
        <f>X18*$F$270</f>
        <v>0</v>
      </c>
      <c r="AA18" s="319"/>
      <c r="AB18" s="319"/>
      <c r="AC18" s="319"/>
      <c r="AD18" s="319"/>
      <c r="AE18" s="319"/>
      <c r="AF18" s="319"/>
      <c r="AG18" s="319"/>
      <c r="AH18" s="319"/>
      <c r="AI18" s="319"/>
      <c r="AJ18" s="319"/>
      <c r="AK18" s="319"/>
      <c r="AL18" s="319"/>
      <c r="AM18" s="319"/>
      <c r="AN18" s="319"/>
      <c r="AO18" s="319"/>
      <c r="AP18" s="319"/>
      <c r="AQ18" s="319"/>
      <c r="AR18" s="319"/>
      <c r="AS18" s="319"/>
      <c r="AT18" s="319"/>
      <c r="AU18" s="319"/>
      <c r="AV18" s="319"/>
      <c r="AW18" s="319"/>
      <c r="AX18" s="319"/>
      <c r="AY18" s="319"/>
      <c r="AZ18" s="319"/>
      <c r="BA18" s="319">
        <v>41410</v>
      </c>
    </row>
    <row r="19" spans="1:53" ht="13.2" hidden="1">
      <c r="A19" s="12"/>
      <c r="B19" s="1" t="str">
        <f>Language!C283</f>
        <v>Demanda p/ aquecimento do processo</v>
      </c>
      <c r="C19" s="29" t="str">
        <f>C18</f>
        <v>MWh</v>
      </c>
      <c r="D19" s="30">
        <f>IF(Unit=TRUE,X19,Z19)</f>
        <v>0</v>
      </c>
      <c r="E19" s="1"/>
      <c r="F19" s="1"/>
      <c r="G19" s="1"/>
      <c r="H19" s="1"/>
      <c r="I19" s="1"/>
      <c r="J19" s="1"/>
      <c r="K19" s="1"/>
      <c r="L19" s="1"/>
      <c r="M19" s="1"/>
      <c r="N19" s="1"/>
      <c r="O19" s="1"/>
      <c r="P19" s="1"/>
      <c r="Q19" s="1"/>
      <c r="R19" s="1"/>
      <c r="S19" s="9"/>
      <c r="T19" s="1"/>
      <c r="U19" s="319"/>
      <c r="V19" s="319"/>
      <c r="W19" s="319" t="s">
        <v>2745</v>
      </c>
      <c r="X19" s="319">
        <f>G335+I335</f>
        <v>0</v>
      </c>
      <c r="Y19" s="319" t="s">
        <v>3318</v>
      </c>
      <c r="Z19" s="319">
        <f>X19*$F$270</f>
        <v>0</v>
      </c>
      <c r="AA19" s="319"/>
      <c r="AB19" s="319"/>
      <c r="AC19" s="319"/>
      <c r="AD19" s="319"/>
      <c r="AE19" s="319"/>
      <c r="AF19" s="319"/>
      <c r="AG19" s="319"/>
      <c r="AH19" s="319"/>
      <c r="AI19" s="319"/>
      <c r="AJ19" s="319"/>
      <c r="AK19" s="319"/>
      <c r="AL19" s="319"/>
      <c r="AM19" s="319"/>
      <c r="AN19" s="319"/>
      <c r="AO19" s="319"/>
      <c r="AP19" s="319"/>
      <c r="AQ19" s="319"/>
      <c r="AR19" s="319"/>
      <c r="AS19" s="319"/>
      <c r="AT19" s="319"/>
      <c r="AU19" s="319"/>
      <c r="AV19" s="319"/>
      <c r="AW19" s="319"/>
      <c r="AX19" s="319"/>
      <c r="AY19" s="319"/>
      <c r="AZ19" s="319"/>
      <c r="BA19" s="319">
        <v>41412</v>
      </c>
    </row>
    <row r="20" spans="1:53" ht="13.2" hidden="1">
      <c r="A20" s="12"/>
      <c r="B20" s="1" t="str">
        <f>Language!C284</f>
        <v>Demanda total p/ aquecimento</v>
      </c>
      <c r="C20" s="21" t="str">
        <f>C18</f>
        <v>MWh</v>
      </c>
      <c r="D20" s="753">
        <f>IF(Unit=TRUE,X20,Z20)</f>
        <v>0</v>
      </c>
      <c r="E20" s="1"/>
      <c r="F20" s="1"/>
      <c r="G20" s="1"/>
      <c r="H20" s="1"/>
      <c r="I20" s="1"/>
      <c r="J20" s="1"/>
      <c r="K20" s="1"/>
      <c r="L20" s="1"/>
      <c r="M20" s="1"/>
      <c r="N20" s="1"/>
      <c r="O20" s="1"/>
      <c r="P20" s="1"/>
      <c r="Q20" s="1"/>
      <c r="R20" s="1"/>
      <c r="S20" s="9"/>
      <c r="T20" s="1"/>
      <c r="U20" s="319"/>
      <c r="V20" s="319"/>
      <c r="W20" s="319" t="s">
        <v>2745</v>
      </c>
      <c r="X20" s="319">
        <f>IF(HideCodeLN_HPT=2,X19,IF(HideCodeLN_HPT=1,X18,IF(HideCodeLN_HPT=3,X19+X18,0)))</f>
        <v>0</v>
      </c>
      <c r="Y20" s="319" t="s">
        <v>3318</v>
      </c>
      <c r="Z20" s="319">
        <f>X20*$F$270</f>
        <v>0</v>
      </c>
      <c r="AA20" s="319"/>
      <c r="AB20" s="319"/>
      <c r="AC20" s="319"/>
      <c r="AD20" s="319"/>
      <c r="AE20" s="319"/>
      <c r="AF20" s="319"/>
      <c r="AG20" s="319"/>
      <c r="AH20" s="319"/>
      <c r="AI20" s="319"/>
      <c r="AJ20" s="319"/>
      <c r="AK20" s="319"/>
      <c r="AL20" s="319"/>
      <c r="AM20" s="319"/>
      <c r="AN20" s="319"/>
      <c r="AO20" s="319"/>
      <c r="AP20" s="319"/>
      <c r="AQ20" s="319"/>
      <c r="AR20" s="319"/>
      <c r="AS20" s="319"/>
      <c r="AT20" s="319"/>
      <c r="AU20" s="319"/>
      <c r="AV20" s="319"/>
      <c r="AW20" s="319"/>
      <c r="AX20" s="319"/>
      <c r="AY20" s="319"/>
      <c r="AZ20" s="319"/>
      <c r="BA20" s="319">
        <v>41414</v>
      </c>
    </row>
    <row r="21" spans="1:53" ht="13.2" hidden="1">
      <c r="A21" s="12"/>
      <c r="B21" s="1" t="str">
        <f>Language!C285</f>
        <v>Carga total p/ aquecimento de ponta</v>
      </c>
      <c r="C21" s="29" t="str">
        <f>IF(Unit=TRUE,Language!C1364,Language!C1383)</f>
        <v>kW</v>
      </c>
      <c r="D21" s="759">
        <f>IF(Unit=TRUE,X21,Z21)</f>
        <v>0</v>
      </c>
      <c r="E21" s="1"/>
      <c r="F21" s="1"/>
      <c r="G21" s="1"/>
      <c r="H21" s="1"/>
      <c r="I21" s="1"/>
      <c r="J21" s="1"/>
      <c r="K21" s="1"/>
      <c r="L21" s="1"/>
      <c r="M21" s="1"/>
      <c r="N21" s="1"/>
      <c r="O21" s="1"/>
      <c r="P21" s="1"/>
      <c r="Q21" s="1"/>
      <c r="R21" s="1"/>
      <c r="S21" s="9"/>
      <c r="T21" s="1"/>
      <c r="U21" s="319"/>
      <c r="V21" s="319"/>
      <c r="W21" s="319" t="s">
        <v>5700</v>
      </c>
      <c r="X21" s="319">
        <f>IF(HideCodeLN_HPT=1,X8*X12/1000,IF(HideCodeLN_HPT=2,X14*W16,X8*X12/1000+X14*W16))</f>
        <v>0</v>
      </c>
      <c r="Y21" s="319" t="s">
        <v>3320</v>
      </c>
      <c r="Z21" s="319">
        <f>X21*$E$270</f>
        <v>0</v>
      </c>
      <c r="AA21" s="319"/>
      <c r="AB21" s="319"/>
      <c r="AC21" s="319"/>
      <c r="AD21" s="319"/>
      <c r="AE21" s="319"/>
      <c r="AF21" s="319"/>
      <c r="AG21" s="319"/>
      <c r="AH21" s="319"/>
      <c r="AI21" s="319"/>
      <c r="AJ21" s="319"/>
      <c r="AK21" s="319"/>
      <c r="AL21" s="319"/>
      <c r="AM21" s="319"/>
      <c r="AN21" s="319"/>
      <c r="AO21" s="319"/>
      <c r="AP21" s="319"/>
      <c r="AQ21" s="319"/>
      <c r="AR21" s="319"/>
      <c r="AS21" s="319"/>
      <c r="AT21" s="319"/>
      <c r="AU21" s="319"/>
      <c r="AV21" s="319"/>
      <c r="AW21" s="319"/>
      <c r="AX21" s="319"/>
      <c r="AY21" s="319"/>
      <c r="AZ21" s="319"/>
      <c r="BA21" s="319">
        <v>41416</v>
      </c>
    </row>
    <row r="22" spans="1:53" ht="13.2" hidden="1">
      <c r="A22" s="12"/>
      <c r="B22" s="1" t="str">
        <f>Language!C286</f>
        <v>Consumo de combustível - anual</v>
      </c>
      <c r="C22" s="29" t="str">
        <f>VLOOKUP($D$9,$E$340:$I$360,3,FALSE)</f>
        <v>m³</v>
      </c>
      <c r="D22" s="30">
        <f>IF(OR(D10="",D10=0),0,X$20/VLOOKUP($D$9,E340:I360,4,FALSE)*1000/D$10)</f>
        <v>0</v>
      </c>
      <c r="E22" s="1"/>
      <c r="F22" s="1"/>
      <c r="G22" s="1"/>
      <c r="H22" s="1"/>
      <c r="I22" s="1"/>
      <c r="J22" s="1"/>
      <c r="K22" s="1"/>
      <c r="L22" s="1"/>
      <c r="M22" s="1"/>
      <c r="N22" s="1"/>
      <c r="O22" s="1"/>
      <c r="P22" s="1"/>
      <c r="Q22" s="1"/>
      <c r="R22" s="1"/>
      <c r="S22" s="9"/>
      <c r="T22" s="1"/>
      <c r="U22" s="319"/>
      <c r="V22" s="319"/>
      <c r="W22" s="319"/>
      <c r="X22" s="319"/>
      <c r="Y22" s="319"/>
      <c r="Z22" s="319"/>
      <c r="AA22" s="319"/>
      <c r="AB22" s="319"/>
      <c r="AC22" s="319"/>
      <c r="AD22" s="319"/>
      <c r="AE22" s="319"/>
      <c r="AF22" s="319"/>
      <c r="AG22" s="319"/>
      <c r="AH22" s="319"/>
      <c r="AI22" s="319"/>
      <c r="AJ22" s="319"/>
      <c r="AK22" s="319"/>
      <c r="AL22" s="319"/>
      <c r="AM22" s="319"/>
      <c r="AN22" s="319"/>
      <c r="AO22" s="319"/>
      <c r="AP22" s="319"/>
      <c r="AQ22" s="319"/>
      <c r="AR22" s="319"/>
      <c r="AS22" s="319"/>
      <c r="AT22" s="319"/>
      <c r="AU22" s="319"/>
      <c r="AV22" s="319"/>
      <c r="AW22" s="319"/>
      <c r="AX22" s="319"/>
      <c r="AY22" s="319"/>
      <c r="AZ22" s="319"/>
      <c r="BA22" s="319">
        <v>41420</v>
      </c>
    </row>
    <row r="23" spans="1:53" ht="13.2" hidden="1">
      <c r="A23" s="12"/>
      <c r="B23" s="1" t="str">
        <f>Language!C212</f>
        <v>Preço do combustível</v>
      </c>
      <c r="C23" s="29" t="str">
        <f>VLOOKUP($D$9,$E$340:$I$360,5,FALSE)</f>
        <v>€/m³</v>
      </c>
      <c r="D23" s="399"/>
      <c r="E23" s="1"/>
      <c r="F23" s="1"/>
      <c r="G23" s="1"/>
      <c r="H23" s="1"/>
      <c r="I23" s="1"/>
      <c r="J23" s="1"/>
      <c r="K23" s="1"/>
      <c r="L23" s="1"/>
      <c r="M23" s="1"/>
      <c r="N23" s="1"/>
      <c r="O23" s="1"/>
      <c r="P23" s="1"/>
      <c r="Q23" s="1"/>
      <c r="R23" s="1"/>
      <c r="S23" s="9"/>
      <c r="T23" s="1"/>
      <c r="U23" s="319"/>
      <c r="V23" s="319"/>
      <c r="W23" s="319"/>
      <c r="X23" s="319"/>
      <c r="Y23" s="319"/>
      <c r="Z23" s="319"/>
      <c r="AA23" s="319"/>
      <c r="AB23" s="319"/>
      <c r="AC23" s="319"/>
      <c r="AD23" s="319"/>
      <c r="AE23" s="319"/>
      <c r="AF23" s="319"/>
      <c r="AG23" s="319"/>
      <c r="AH23" s="319"/>
      <c r="AI23" s="319"/>
      <c r="AJ23" s="319"/>
      <c r="AK23" s="319"/>
      <c r="AL23" s="319"/>
      <c r="AM23" s="319"/>
      <c r="AN23" s="319"/>
      <c r="AO23" s="319"/>
      <c r="AP23" s="319"/>
      <c r="AQ23" s="319"/>
      <c r="AR23" s="319"/>
      <c r="AS23" s="319"/>
      <c r="AT23" s="319"/>
      <c r="AU23" s="319"/>
      <c r="AV23" s="319"/>
      <c r="AW23" s="319"/>
      <c r="AX23" s="319"/>
      <c r="AY23" s="319"/>
      <c r="AZ23" s="319"/>
      <c r="BA23" s="319">
        <v>2010108</v>
      </c>
    </row>
    <row r="24" spans="1:53" ht="13.2" hidden="1">
      <c r="A24" s="12"/>
      <c r="B24" s="1" t="str">
        <f>Language!C287</f>
        <v>Custo do combustível</v>
      </c>
      <c r="C24" s="1"/>
      <c r="D24" s="1358">
        <f>IF(D$9=$E$344,D23*D22*1000,IF(D$9=$E$360,D23*D22,D23*D22))</f>
        <v>0</v>
      </c>
      <c r="E24" s="1"/>
      <c r="F24" s="1"/>
      <c r="G24" s="1"/>
      <c r="H24" s="1"/>
      <c r="I24" s="1"/>
      <c r="J24" s="1"/>
      <c r="K24" s="1"/>
      <c r="L24" s="1"/>
      <c r="M24" s="1"/>
      <c r="N24" s="1"/>
      <c r="O24" s="1"/>
      <c r="P24" s="1"/>
      <c r="Q24" s="1"/>
      <c r="R24" s="1"/>
      <c r="S24" s="9"/>
      <c r="T24" s="1"/>
      <c r="U24" s="319"/>
      <c r="V24" s="319"/>
      <c r="W24" s="319"/>
      <c r="X24" s="319"/>
      <c r="Y24" s="319"/>
      <c r="Z24" s="319"/>
      <c r="AA24" s="319"/>
      <c r="AB24" s="319"/>
      <c r="AC24" s="319"/>
      <c r="AD24" s="319"/>
      <c r="AE24" s="319"/>
      <c r="AF24" s="319"/>
      <c r="AG24" s="319"/>
      <c r="AH24" s="319"/>
      <c r="AI24" s="319"/>
      <c r="AJ24" s="319"/>
      <c r="AK24" s="319"/>
      <c r="AL24" s="319"/>
      <c r="AM24" s="319"/>
      <c r="AN24" s="319"/>
      <c r="AO24" s="319"/>
      <c r="AP24" s="319"/>
      <c r="AQ24" s="319"/>
      <c r="AR24" s="319"/>
      <c r="AS24" s="319"/>
      <c r="AT24" s="319"/>
      <c r="AU24" s="319"/>
      <c r="AV24" s="319"/>
      <c r="AW24" s="319"/>
      <c r="AX24" s="319"/>
      <c r="AY24" s="319"/>
      <c r="AZ24" s="319"/>
      <c r="BA24" s="319">
        <v>5097210</v>
      </c>
    </row>
    <row r="25" spans="1:53" ht="13.2" hidden="1">
      <c r="A25" s="1170" t="str">
        <f>A52</f>
        <v>Ações de eficiência energética do caso proposto</v>
      </c>
      <c r="B25" s="1171"/>
      <c r="C25" s="1"/>
      <c r="D25" s="1"/>
      <c r="E25" s="1"/>
      <c r="F25" s="1"/>
      <c r="G25" s="1"/>
      <c r="H25" s="1"/>
      <c r="I25" s="1"/>
      <c r="J25" s="1"/>
      <c r="K25" s="1"/>
      <c r="L25" s="1"/>
      <c r="M25" s="1"/>
      <c r="N25" s="1"/>
      <c r="O25" s="1"/>
      <c r="P25" s="1"/>
      <c r="Q25" s="1"/>
      <c r="R25" s="1"/>
      <c r="S25" s="9"/>
      <c r="T25" s="1"/>
      <c r="U25" s="319"/>
      <c r="V25" s="319"/>
      <c r="W25" s="319"/>
      <c r="X25" s="319"/>
      <c r="Y25" s="319"/>
      <c r="Z25" s="319"/>
      <c r="AA25" s="319"/>
      <c r="AB25" s="319"/>
      <c r="AC25" s="319"/>
      <c r="AD25" s="319"/>
      <c r="AE25" s="319"/>
      <c r="AF25" s="319"/>
      <c r="AG25" s="319"/>
      <c r="AH25" s="319"/>
      <c r="AI25" s="319"/>
      <c r="AJ25" s="319"/>
      <c r="AK25" s="319"/>
      <c r="AL25" s="319"/>
      <c r="AM25" s="319"/>
      <c r="AN25" s="319"/>
      <c r="AO25" s="319"/>
      <c r="AP25" s="319"/>
      <c r="AQ25" s="319"/>
      <c r="AR25" s="319"/>
      <c r="AS25" s="319"/>
      <c r="AT25" s="319"/>
      <c r="AU25" s="319"/>
      <c r="AV25" s="319"/>
      <c r="AW25" s="319"/>
      <c r="AX25" s="319"/>
      <c r="AY25" s="319"/>
      <c r="AZ25" s="319"/>
      <c r="BA25" s="319">
        <v>41500</v>
      </c>
    </row>
    <row r="26" spans="1:53" ht="13.2" hidden="1">
      <c r="A26" s="12"/>
      <c r="B26" s="1" t="str">
        <f>Language!C289</f>
        <v>Ações de eficiência energética no uso final</v>
      </c>
      <c r="C26" s="29" t="str">
        <f>$C$13</f>
        <v>%</v>
      </c>
      <c r="D26" s="734"/>
      <c r="E26" s="1"/>
      <c r="F26" s="1"/>
      <c r="G26" s="1"/>
      <c r="H26" s="1"/>
      <c r="I26" s="1"/>
      <c r="J26" s="1"/>
      <c r="K26" s="1"/>
      <c r="L26" s="1"/>
      <c r="M26" s="1"/>
      <c r="N26" s="1"/>
      <c r="O26" s="1"/>
      <c r="P26" s="1"/>
      <c r="Q26" s="1"/>
      <c r="R26" s="1"/>
      <c r="S26" s="9"/>
      <c r="T26" s="1"/>
      <c r="U26" s="319"/>
      <c r="V26" s="319"/>
      <c r="W26" s="319"/>
      <c r="X26" s="319"/>
      <c r="Y26" s="319"/>
      <c r="Z26" s="319"/>
      <c r="AA26" s="319"/>
      <c r="AB26" s="319"/>
      <c r="AC26" s="319"/>
      <c r="AD26" s="319"/>
      <c r="AE26" s="319"/>
      <c r="AF26" s="319"/>
      <c r="AG26" s="319"/>
      <c r="AH26" s="319"/>
      <c r="AI26" s="319"/>
      <c r="AJ26" s="319"/>
      <c r="AK26" s="319"/>
      <c r="AL26" s="319"/>
      <c r="AM26" s="319"/>
      <c r="AN26" s="319"/>
      <c r="AO26" s="319"/>
      <c r="AP26" s="319"/>
      <c r="AQ26" s="319"/>
      <c r="AR26" s="319"/>
      <c r="AS26" s="319"/>
      <c r="AT26" s="319"/>
      <c r="AU26" s="319"/>
      <c r="AV26" s="319"/>
      <c r="AW26" s="319"/>
      <c r="AX26" s="319"/>
      <c r="AY26" s="319"/>
      <c r="AZ26" s="319"/>
      <c r="BA26" s="319">
        <v>41501</v>
      </c>
    </row>
    <row r="27" spans="1:53" ht="13.2" hidden="1">
      <c r="A27" s="12"/>
      <c r="B27" s="1" t="str">
        <f>Language!C290</f>
        <v>Carga líquida de aquecimento de ponta</v>
      </c>
      <c r="C27" s="29" t="str">
        <f>C21</f>
        <v>kW</v>
      </c>
      <c r="D27" s="723">
        <f>IF(Unit=TRUE,X27,Z27)</f>
        <v>0</v>
      </c>
      <c r="E27" s="1"/>
      <c r="F27" s="1"/>
      <c r="G27" s="1"/>
      <c r="H27" s="1"/>
      <c r="I27" s="1"/>
      <c r="J27" s="1"/>
      <c r="K27" s="1"/>
      <c r="L27" s="1"/>
      <c r="M27" s="1"/>
      <c r="N27" s="1"/>
      <c r="O27" s="1"/>
      <c r="P27" s="1"/>
      <c r="Q27" s="1"/>
      <c r="R27" s="1"/>
      <c r="S27" s="9"/>
      <c r="T27" s="1"/>
      <c r="U27" s="319"/>
      <c r="V27" s="319"/>
      <c r="W27" s="319" t="s">
        <v>5700</v>
      </c>
      <c r="X27" s="319">
        <f>MAX(P230:P244)</f>
        <v>0</v>
      </c>
      <c r="Y27" s="319" t="s">
        <v>3320</v>
      </c>
      <c r="Z27" s="319">
        <f>X27*$E$270</f>
        <v>0</v>
      </c>
      <c r="AA27" s="319"/>
      <c r="AB27" s="319"/>
      <c r="AC27" s="319"/>
      <c r="AD27" s="319"/>
      <c r="AE27" s="319"/>
      <c r="AF27" s="319"/>
      <c r="AG27" s="319"/>
      <c r="AH27" s="319"/>
      <c r="AI27" s="319"/>
      <c r="AJ27" s="319"/>
      <c r="AK27" s="319"/>
      <c r="AL27" s="319"/>
      <c r="AM27" s="319"/>
      <c r="AN27" s="319"/>
      <c r="AO27" s="319"/>
      <c r="AP27" s="319"/>
      <c r="AQ27" s="319"/>
      <c r="AR27" s="319"/>
      <c r="AS27" s="319"/>
      <c r="AT27" s="319"/>
      <c r="AU27" s="319"/>
      <c r="AV27" s="319"/>
      <c r="AW27" s="319"/>
      <c r="AX27" s="319"/>
      <c r="AY27" s="319"/>
      <c r="AZ27" s="319"/>
      <c r="BA27" s="319">
        <v>41502</v>
      </c>
    </row>
    <row r="28" spans="1:53" ht="13.2" hidden="1">
      <c r="A28" s="14"/>
      <c r="B28" s="15" t="str">
        <f>Language!C291</f>
        <v>Demanda líquida de aquecimento</v>
      </c>
      <c r="C28" s="33" t="str">
        <f>C18</f>
        <v>MWh</v>
      </c>
      <c r="D28" s="34">
        <f>IF(Unit=TRUE,X28,Z28)</f>
        <v>0</v>
      </c>
      <c r="E28" s="15"/>
      <c r="F28" s="15"/>
      <c r="G28" s="15"/>
      <c r="H28" s="15"/>
      <c r="I28" s="15"/>
      <c r="J28" s="15"/>
      <c r="K28" s="15"/>
      <c r="L28" s="15"/>
      <c r="M28" s="15"/>
      <c r="N28" s="15"/>
      <c r="O28" s="15"/>
      <c r="P28" s="15"/>
      <c r="Q28" s="15"/>
      <c r="R28" s="15"/>
      <c r="S28" s="11"/>
      <c r="T28" s="1"/>
      <c r="U28" s="319"/>
      <c r="V28" s="319"/>
      <c r="W28" s="319" t="s">
        <v>2745</v>
      </c>
      <c r="X28" s="319">
        <f>(SUMPRODUCT(C321:C332,P230:P241)+P244*C333)/1000</f>
        <v>0</v>
      </c>
      <c r="Y28" s="319" t="s">
        <v>3318</v>
      </c>
      <c r="Z28" s="319">
        <f>X28*$F$270</f>
        <v>0</v>
      </c>
      <c r="AA28" s="319"/>
      <c r="AB28" s="319"/>
      <c r="AC28" s="319"/>
      <c r="AD28" s="319"/>
      <c r="AE28" s="319"/>
      <c r="AF28" s="319"/>
      <c r="AG28" s="319"/>
      <c r="AH28" s="319"/>
      <c r="AI28" s="319"/>
      <c r="AJ28" s="319"/>
      <c r="AK28" s="319"/>
      <c r="AL28" s="319"/>
      <c r="AM28" s="319"/>
      <c r="AN28" s="319"/>
      <c r="AO28" s="319"/>
      <c r="AP28" s="319"/>
      <c r="AQ28" s="319"/>
      <c r="AR28" s="319"/>
      <c r="AS28" s="319"/>
      <c r="AT28" s="319"/>
      <c r="AU28" s="319"/>
      <c r="AV28" s="319"/>
      <c r="AW28" s="319"/>
      <c r="AX28" s="319"/>
      <c r="AY28" s="319"/>
      <c r="AZ28" s="319"/>
      <c r="BA28" s="319">
        <v>41504</v>
      </c>
    </row>
    <row r="29" spans="1:53" ht="13.2" hidden="1">
      <c r="A29" s="5"/>
      <c r="B29" s="1"/>
      <c r="C29" s="1"/>
      <c r="D29" s="1"/>
      <c r="E29" s="1"/>
      <c r="F29" s="1"/>
      <c r="G29" s="1"/>
      <c r="H29" s="1"/>
      <c r="I29" s="1"/>
      <c r="J29" s="1"/>
      <c r="K29" s="1"/>
      <c r="L29" s="1"/>
      <c r="M29" s="1"/>
      <c r="N29" s="1"/>
      <c r="O29" s="1"/>
      <c r="P29" s="1"/>
      <c r="Q29" s="1"/>
      <c r="R29" s="1"/>
      <c r="S29" s="5"/>
      <c r="T29" s="1"/>
      <c r="U29" s="319"/>
      <c r="V29" s="319"/>
      <c r="W29" s="319"/>
      <c r="X29" s="319"/>
      <c r="Y29" s="319"/>
      <c r="Z29" s="319"/>
      <c r="AA29" s="319"/>
      <c r="AB29" s="319"/>
      <c r="AC29" s="319"/>
      <c r="AD29" s="319"/>
      <c r="AE29" s="319"/>
      <c r="AF29" s="319"/>
      <c r="AG29" s="319"/>
      <c r="AH29" s="319"/>
      <c r="AI29" s="319"/>
      <c r="AJ29" s="319"/>
      <c r="AK29" s="319"/>
      <c r="AL29" s="319"/>
      <c r="AM29" s="319"/>
      <c r="AN29" s="319"/>
      <c r="AO29" s="319"/>
      <c r="AP29" s="319"/>
      <c r="AQ29" s="319"/>
      <c r="AR29" s="319"/>
      <c r="AS29" s="319"/>
      <c r="AT29" s="319"/>
      <c r="AU29" s="319"/>
      <c r="AV29" s="319"/>
      <c r="AW29" s="319"/>
      <c r="AX29" s="319"/>
      <c r="AY29" s="319"/>
      <c r="AZ29" s="319"/>
      <c r="BA29" s="319">
        <v>41000</v>
      </c>
    </row>
    <row r="30" spans="1:53" ht="13.2" hidden="1">
      <c r="A30" s="12"/>
      <c r="B30" s="362" t="str">
        <f>IF(HideCodeLN_HPT&gt;6,Language!C292,"")</f>
        <v/>
      </c>
      <c r="C30" s="1"/>
      <c r="D30" s="1"/>
      <c r="E30" s="1"/>
      <c r="F30" s="134" t="str">
        <f>IF(HideCodeLN_HPT&gt;6,Language!C293,Language!C294)</f>
        <v>Zonas do Prédio</v>
      </c>
      <c r="G30" s="1"/>
      <c r="H30" s="1"/>
      <c r="I30" s="1"/>
      <c r="J30" s="1"/>
      <c r="K30" s="1"/>
      <c r="L30" s="1"/>
      <c r="M30" s="1"/>
      <c r="N30" s="1"/>
      <c r="O30" s="1"/>
      <c r="P30" s="1"/>
      <c r="Q30" s="1"/>
      <c r="R30" s="1"/>
      <c r="S30" s="9"/>
      <c r="T30" s="1"/>
      <c r="U30" s="319"/>
      <c r="V30" s="319"/>
      <c r="W30" s="319"/>
      <c r="X30" s="319"/>
      <c r="Y30" s="319"/>
      <c r="Z30" s="319"/>
      <c r="AA30" s="319"/>
      <c r="AB30" s="319"/>
      <c r="AC30" s="319"/>
      <c r="AD30" s="319"/>
      <c r="AE30" s="319"/>
      <c r="AF30" s="319"/>
      <c r="AG30" s="319"/>
      <c r="AH30" s="319"/>
      <c r="AI30" s="319"/>
      <c r="AJ30" s="319"/>
      <c r="AK30" s="319"/>
      <c r="AL30" s="319"/>
      <c r="AM30" s="319"/>
      <c r="AN30" s="319"/>
      <c r="AO30" s="319"/>
      <c r="AP30" s="319"/>
      <c r="AQ30" s="319"/>
      <c r="AR30" s="319"/>
      <c r="AS30" s="319"/>
      <c r="AT30" s="319"/>
      <c r="AU30" s="319"/>
      <c r="AV30" s="319"/>
      <c r="AW30" s="319"/>
      <c r="AX30" s="319"/>
      <c r="AY30" s="319"/>
      <c r="AZ30" s="319"/>
      <c r="BA30" s="319">
        <v>41202</v>
      </c>
    </row>
    <row r="31" spans="1:53" ht="13.2" hidden="1">
      <c r="A31" s="12"/>
      <c r="B31" s="1"/>
      <c r="C31" s="1"/>
      <c r="D31" s="1"/>
      <c r="E31" s="1"/>
      <c r="F31" s="35">
        <v>1</v>
      </c>
      <c r="G31" s="35">
        <v>2</v>
      </c>
      <c r="H31" s="35">
        <v>3</v>
      </c>
      <c r="I31" s="35">
        <v>4</v>
      </c>
      <c r="J31" s="35">
        <v>5</v>
      </c>
      <c r="K31" s="35">
        <v>6</v>
      </c>
      <c r="L31" s="35">
        <v>7</v>
      </c>
      <c r="M31" s="35">
        <v>8</v>
      </c>
      <c r="N31" s="35">
        <v>9</v>
      </c>
      <c r="O31" s="35">
        <v>10</v>
      </c>
      <c r="P31" s="35">
        <v>11</v>
      </c>
      <c r="Q31" s="35">
        <v>12</v>
      </c>
      <c r="R31" s="35">
        <v>13</v>
      </c>
      <c r="S31" s="35">
        <v>14</v>
      </c>
      <c r="T31" s="1"/>
      <c r="U31" s="319"/>
      <c r="V31" s="319"/>
      <c r="W31" s="319"/>
      <c r="X31" s="319"/>
      <c r="Y31" s="319"/>
      <c r="Z31" s="319"/>
      <c r="AA31" s="319"/>
      <c r="AB31" s="319"/>
      <c r="AC31" s="319"/>
      <c r="AD31" s="319"/>
      <c r="AE31" s="319"/>
      <c r="AF31" s="319"/>
      <c r="AG31" s="319"/>
      <c r="AH31" s="319"/>
      <c r="AI31" s="319"/>
      <c r="AJ31" s="319"/>
      <c r="AK31" s="319"/>
      <c r="AL31" s="319"/>
      <c r="AM31" s="319"/>
      <c r="AN31" s="319"/>
      <c r="AO31" s="319"/>
      <c r="AP31" s="319"/>
      <c r="AQ31" s="319"/>
      <c r="AR31" s="319"/>
      <c r="AS31" s="319"/>
      <c r="AT31" s="319"/>
      <c r="AU31" s="319"/>
      <c r="AV31" s="319"/>
      <c r="AW31" s="319"/>
      <c r="AX31" s="319"/>
      <c r="AY31" s="319"/>
      <c r="AZ31" s="319"/>
      <c r="BA31" s="319">
        <v>41302</v>
      </c>
    </row>
    <row r="32" spans="1:53" ht="13.2" hidden="1">
      <c r="A32" s="12"/>
      <c r="B32" s="1" t="str">
        <f>IF(HideCodeLN_HPT&gt;6,Language!C295,Language!C297)</f>
        <v>Área de piso aquecido por zona</v>
      </c>
      <c r="C32" s="303" t="s">
        <v>5430</v>
      </c>
      <c r="D32" s="30">
        <f>IF(C32=$D$260,X32,Z32)</f>
        <v>1</v>
      </c>
      <c r="E32" s="1"/>
      <c r="F32" s="307">
        <v>1</v>
      </c>
      <c r="G32" s="307"/>
      <c r="H32" s="307"/>
      <c r="I32" s="307"/>
      <c r="J32" s="307"/>
      <c r="K32" s="307"/>
      <c r="L32" s="307"/>
      <c r="M32" s="307"/>
      <c r="N32" s="307"/>
      <c r="O32" s="307"/>
      <c r="P32" s="307"/>
      <c r="Q32" s="307"/>
      <c r="R32" s="307"/>
      <c r="S32" s="307"/>
      <c r="T32" s="1">
        <v>1</v>
      </c>
      <c r="U32" s="319"/>
      <c r="V32" s="319"/>
      <c r="W32" s="319" t="s">
        <v>5430</v>
      </c>
      <c r="X32" s="319">
        <f>SUM(AH32:AU32)</f>
        <v>1</v>
      </c>
      <c r="Y32" s="319" t="s">
        <v>1131</v>
      </c>
      <c r="Z32" s="319">
        <f>X32/$E$261</f>
        <v>10.763910416709722</v>
      </c>
      <c r="AA32" s="319"/>
      <c r="AB32" s="319"/>
      <c r="AC32" s="319"/>
      <c r="AD32" s="319"/>
      <c r="AE32" s="319"/>
      <c r="AF32" s="319"/>
      <c r="AG32" s="319"/>
      <c r="AH32" s="319">
        <f t="shared" ref="AH32:AU32" si="0">IF($C32=$D$260,F32,F32*$E$261)</f>
        <v>1</v>
      </c>
      <c r="AI32" s="319">
        <f t="shared" si="0"/>
        <v>0</v>
      </c>
      <c r="AJ32" s="319">
        <f t="shared" si="0"/>
        <v>0</v>
      </c>
      <c r="AK32" s="319">
        <f t="shared" si="0"/>
        <v>0</v>
      </c>
      <c r="AL32" s="319">
        <f t="shared" si="0"/>
        <v>0</v>
      </c>
      <c r="AM32" s="319">
        <f t="shared" si="0"/>
        <v>0</v>
      </c>
      <c r="AN32" s="319">
        <f t="shared" si="0"/>
        <v>0</v>
      </c>
      <c r="AO32" s="319">
        <f t="shared" si="0"/>
        <v>0</v>
      </c>
      <c r="AP32" s="319">
        <f t="shared" si="0"/>
        <v>0</v>
      </c>
      <c r="AQ32" s="319">
        <f t="shared" si="0"/>
        <v>0</v>
      </c>
      <c r="AR32" s="319">
        <f t="shared" si="0"/>
        <v>0</v>
      </c>
      <c r="AS32" s="319">
        <f t="shared" si="0"/>
        <v>0</v>
      </c>
      <c r="AT32" s="319">
        <f t="shared" si="0"/>
        <v>0</v>
      </c>
      <c r="AU32" s="319">
        <f t="shared" si="0"/>
        <v>0</v>
      </c>
      <c r="AV32" s="319"/>
      <c r="AW32" s="319"/>
      <c r="AX32" s="319"/>
      <c r="AY32" s="319"/>
      <c r="AZ32" s="319"/>
      <c r="BA32" s="319">
        <v>41302</v>
      </c>
    </row>
    <row r="33" spans="1:53" ht="13.2" hidden="1">
      <c r="A33" s="12"/>
      <c r="B33" s="1" t="str">
        <f>Language!C296</f>
        <v>Número de prédios no condomínio</v>
      </c>
      <c r="C33" s="29" t="str">
        <f>Language!C1309</f>
        <v>prédio</v>
      </c>
      <c r="D33" s="30">
        <f>SUMIF(AH32:AU32,"&gt;0",F33:S33)</f>
        <v>1</v>
      </c>
      <c r="E33" s="1"/>
      <c r="F33" s="303">
        <v>1</v>
      </c>
      <c r="G33" s="303"/>
      <c r="H33" s="303"/>
      <c r="I33" s="303"/>
      <c r="J33" s="303"/>
      <c r="K33" s="303"/>
      <c r="L33" s="303"/>
      <c r="M33" s="303"/>
      <c r="N33" s="303"/>
      <c r="O33" s="303"/>
      <c r="P33" s="303"/>
      <c r="Q33" s="303"/>
      <c r="R33" s="303"/>
      <c r="S33" s="336"/>
      <c r="T33" s="12"/>
      <c r="U33" s="319"/>
      <c r="V33" s="319"/>
      <c r="W33" s="319"/>
      <c r="X33" s="319"/>
      <c r="Y33" s="319"/>
      <c r="Z33" s="319"/>
      <c r="AA33" s="319"/>
      <c r="AB33" s="319"/>
      <c r="AC33" s="319"/>
      <c r="AD33" s="319"/>
      <c r="AE33" s="319"/>
      <c r="AF33" s="319"/>
      <c r="AG33" s="319"/>
      <c r="AH33" s="319"/>
      <c r="AI33" s="319"/>
      <c r="AJ33" s="319"/>
      <c r="AK33" s="319"/>
      <c r="AL33" s="319"/>
      <c r="AM33" s="319"/>
      <c r="AN33" s="319"/>
      <c r="AO33" s="319"/>
      <c r="AP33" s="319"/>
      <c r="AQ33" s="319"/>
      <c r="AR33" s="319"/>
      <c r="AS33" s="319"/>
      <c r="AT33" s="319"/>
      <c r="AU33" s="319"/>
      <c r="AV33" s="319"/>
      <c r="AW33" s="319"/>
      <c r="AX33" s="319"/>
      <c r="AY33" s="319"/>
      <c r="AZ33" s="319"/>
      <c r="BA33" s="319">
        <v>41312</v>
      </c>
    </row>
    <row r="34" spans="1:53" ht="13.2" hidden="1">
      <c r="A34" s="12"/>
      <c r="B34" s="1" t="str">
        <f>B9</f>
        <v>Tipo de Combustível</v>
      </c>
      <c r="C34" s="1"/>
      <c r="D34" s="1"/>
      <c r="E34" s="1"/>
      <c r="F34" s="419" t="s">
        <v>7046</v>
      </c>
      <c r="G34" s="419" t="s">
        <v>7046</v>
      </c>
      <c r="H34" s="419" t="s">
        <v>7046</v>
      </c>
      <c r="I34" s="419" t="s">
        <v>7046</v>
      </c>
      <c r="J34" s="419" t="s">
        <v>7046</v>
      </c>
      <c r="K34" s="419" t="s">
        <v>7046</v>
      </c>
      <c r="L34" s="419" t="s">
        <v>7046</v>
      </c>
      <c r="M34" s="419" t="s">
        <v>7046</v>
      </c>
      <c r="N34" s="419" t="s">
        <v>7046</v>
      </c>
      <c r="O34" s="419" t="s">
        <v>7046</v>
      </c>
      <c r="P34" s="419" t="s">
        <v>7046</v>
      </c>
      <c r="Q34" s="419" t="s">
        <v>7046</v>
      </c>
      <c r="R34" s="419" t="s">
        <v>7046</v>
      </c>
      <c r="S34" s="735" t="s">
        <v>7046</v>
      </c>
      <c r="T34" s="12"/>
      <c r="U34" s="319"/>
      <c r="V34" s="319"/>
      <c r="W34" s="319"/>
      <c r="X34" s="319"/>
      <c r="Y34" s="319"/>
      <c r="Z34" s="319"/>
      <c r="AA34" s="319"/>
      <c r="AB34" s="319"/>
      <c r="AC34" s="319"/>
      <c r="AD34" s="319"/>
      <c r="AE34" s="319"/>
      <c r="AF34" s="319"/>
      <c r="AG34" s="319"/>
      <c r="AH34" s="319"/>
      <c r="AI34" s="319"/>
      <c r="AJ34" s="319"/>
      <c r="AK34" s="319"/>
      <c r="AL34" s="319"/>
      <c r="AM34" s="319"/>
      <c r="AN34" s="319"/>
      <c r="AO34" s="319"/>
      <c r="AP34" s="319"/>
      <c r="AQ34" s="319"/>
      <c r="AR34" s="319"/>
      <c r="AS34" s="319"/>
      <c r="AT34" s="319"/>
      <c r="AU34" s="319"/>
      <c r="AV34" s="319"/>
      <c r="AW34" s="319"/>
      <c r="AX34" s="319"/>
      <c r="AY34" s="319"/>
      <c r="AZ34" s="319"/>
      <c r="BA34" s="319">
        <v>2010106</v>
      </c>
    </row>
    <row r="35" spans="1:53" ht="13.2" hidden="1">
      <c r="A35" s="12"/>
      <c r="B35" s="1" t="str">
        <f>B10</f>
        <v>Eficiência Sazonal</v>
      </c>
      <c r="C35" s="29" t="str">
        <f>$C$13</f>
        <v>%</v>
      </c>
      <c r="D35" s="29" t="s">
        <v>637</v>
      </c>
      <c r="E35" s="1"/>
      <c r="F35" s="339"/>
      <c r="G35" s="339"/>
      <c r="H35" s="339"/>
      <c r="I35" s="339"/>
      <c r="J35" s="339"/>
      <c r="K35" s="339"/>
      <c r="L35" s="339"/>
      <c r="M35" s="339"/>
      <c r="N35" s="339"/>
      <c r="O35" s="339"/>
      <c r="P35" s="339"/>
      <c r="Q35" s="339"/>
      <c r="R35" s="339"/>
      <c r="S35" s="736"/>
      <c r="T35" s="12"/>
      <c r="U35" s="319"/>
      <c r="V35" s="319"/>
      <c r="W35" s="319"/>
      <c r="X35" s="319"/>
      <c r="Y35" s="319"/>
      <c r="Z35" s="319"/>
      <c r="AA35" s="319"/>
      <c r="AB35" s="319"/>
      <c r="AC35" s="319"/>
      <c r="AD35" s="319"/>
      <c r="AE35" s="319"/>
      <c r="AF35" s="319"/>
      <c r="AG35" s="319"/>
      <c r="AH35" s="319"/>
      <c r="AI35" s="319"/>
      <c r="AJ35" s="319"/>
      <c r="AK35" s="319"/>
      <c r="AL35" s="319"/>
      <c r="AM35" s="319"/>
      <c r="AN35" s="319"/>
      <c r="AO35" s="319"/>
      <c r="AP35" s="319"/>
      <c r="AQ35" s="319"/>
      <c r="AR35" s="319"/>
      <c r="AS35" s="319"/>
      <c r="AT35" s="319"/>
      <c r="AU35" s="319"/>
      <c r="AV35" s="319"/>
      <c r="AW35" s="319"/>
      <c r="AX35" s="319"/>
      <c r="AY35" s="319"/>
      <c r="AZ35" s="319"/>
      <c r="BA35" s="319">
        <v>2020208</v>
      </c>
    </row>
    <row r="36" spans="1:53" ht="13.2" hidden="1">
      <c r="A36" s="12"/>
      <c r="B36" s="28" t="str">
        <f>Language!C277</f>
        <v>Cálculo carga p/ aquecimento</v>
      </c>
      <c r="C36" s="1"/>
      <c r="D36" s="1"/>
      <c r="E36" s="1"/>
      <c r="F36" s="1"/>
      <c r="G36" s="1"/>
      <c r="H36" s="1"/>
      <c r="I36" s="1"/>
      <c r="J36" s="1"/>
      <c r="K36" s="1"/>
      <c r="L36" s="1"/>
      <c r="M36" s="1"/>
      <c r="N36" s="1"/>
      <c r="O36" s="1"/>
      <c r="P36" s="1"/>
      <c r="Q36" s="1"/>
      <c r="R36" s="1"/>
      <c r="S36" s="1"/>
      <c r="T36" s="12"/>
      <c r="U36" s="319"/>
      <c r="V36" s="319"/>
      <c r="W36" s="319"/>
      <c r="X36" s="319"/>
      <c r="Y36" s="319"/>
      <c r="Z36" s="319"/>
      <c r="AA36" s="319"/>
      <c r="AB36" s="319"/>
      <c r="AC36" s="319"/>
      <c r="AD36" s="319"/>
      <c r="AE36" s="319"/>
      <c r="AF36" s="319"/>
      <c r="AG36" s="319"/>
      <c r="AH36" s="319"/>
      <c r="AI36" s="319"/>
      <c r="AJ36" s="319"/>
      <c r="AK36" s="319"/>
      <c r="AL36" s="319"/>
      <c r="AM36" s="319"/>
      <c r="AN36" s="319"/>
      <c r="AO36" s="319"/>
      <c r="AP36" s="319"/>
      <c r="AQ36" s="319"/>
      <c r="AR36" s="319"/>
      <c r="AS36" s="319"/>
      <c r="AT36" s="319"/>
      <c r="AU36" s="319"/>
      <c r="AV36" s="319"/>
      <c r="AW36" s="319"/>
      <c r="AX36" s="319"/>
      <c r="AY36" s="319"/>
      <c r="AZ36" s="319"/>
      <c r="BA36" s="319">
        <v>41400</v>
      </c>
    </row>
    <row r="37" spans="1:53" ht="13.2" hidden="1">
      <c r="A37" s="12"/>
      <c r="B37" s="1" t="str">
        <f>IF(HideCodeLN_HPT&gt;6,Language!C298,Language!C299)</f>
        <v>Carga de aquecimento por zona</v>
      </c>
      <c r="C37" s="303" t="s">
        <v>2335</v>
      </c>
      <c r="D37" s="29" t="s">
        <v>637</v>
      </c>
      <c r="E37" s="1"/>
      <c r="F37" s="303"/>
      <c r="G37" s="303"/>
      <c r="H37" s="303"/>
      <c r="I37" s="303"/>
      <c r="J37" s="303"/>
      <c r="K37" s="303"/>
      <c r="L37" s="303"/>
      <c r="M37" s="303"/>
      <c r="N37" s="303"/>
      <c r="O37" s="303"/>
      <c r="P37" s="303"/>
      <c r="Q37" s="303"/>
      <c r="R37" s="303"/>
      <c r="S37" s="336"/>
      <c r="T37" s="12"/>
      <c r="U37" s="319"/>
      <c r="V37" s="319"/>
      <c r="W37" s="319"/>
      <c r="X37" s="319"/>
      <c r="Y37" s="319"/>
      <c r="Z37" s="319"/>
      <c r="AA37" s="319"/>
      <c r="AB37" s="319"/>
      <c r="AC37" s="319"/>
      <c r="AD37" s="319"/>
      <c r="AE37" s="319"/>
      <c r="AF37" s="319"/>
      <c r="AG37" s="319"/>
      <c r="AH37" s="319">
        <f t="shared" ref="AH37:AU37" si="1">IF($C37=$D$266,F37,F37*$E$267)</f>
        <v>0</v>
      </c>
      <c r="AI37" s="319">
        <f t="shared" si="1"/>
        <v>0</v>
      </c>
      <c r="AJ37" s="319">
        <f t="shared" si="1"/>
        <v>0</v>
      </c>
      <c r="AK37" s="319">
        <f t="shared" si="1"/>
        <v>0</v>
      </c>
      <c r="AL37" s="319">
        <f t="shared" si="1"/>
        <v>0</v>
      </c>
      <c r="AM37" s="319">
        <f t="shared" si="1"/>
        <v>0</v>
      </c>
      <c r="AN37" s="319">
        <f t="shared" si="1"/>
        <v>0</v>
      </c>
      <c r="AO37" s="319">
        <f t="shared" si="1"/>
        <v>0</v>
      </c>
      <c r="AP37" s="319">
        <f t="shared" si="1"/>
        <v>0</v>
      </c>
      <c r="AQ37" s="319">
        <f t="shared" si="1"/>
        <v>0</v>
      </c>
      <c r="AR37" s="319">
        <f t="shared" si="1"/>
        <v>0</v>
      </c>
      <c r="AS37" s="319">
        <f t="shared" si="1"/>
        <v>0</v>
      </c>
      <c r="AT37" s="319">
        <f t="shared" si="1"/>
        <v>0</v>
      </c>
      <c r="AU37" s="319">
        <f t="shared" si="1"/>
        <v>0</v>
      </c>
      <c r="AV37" s="319"/>
      <c r="AW37" s="319"/>
      <c r="AX37" s="319"/>
      <c r="AY37" s="319"/>
      <c r="AZ37" s="319"/>
      <c r="BA37" s="319">
        <v>41402</v>
      </c>
    </row>
    <row r="38" spans="1:53" ht="13.2" hidden="1">
      <c r="A38" s="12"/>
      <c r="B38" s="1" t="str">
        <f>B13</f>
        <v>Demanda base calor p/ rede água quente</v>
      </c>
      <c r="C38" s="29" t="str">
        <f>$C$13</f>
        <v>%</v>
      </c>
      <c r="D38" s="159"/>
      <c r="E38" s="1"/>
      <c r="F38" s="1"/>
      <c r="G38" s="1"/>
      <c r="H38" s="1"/>
      <c r="I38" s="1"/>
      <c r="J38" s="1"/>
      <c r="K38" s="1"/>
      <c r="L38" s="1"/>
      <c r="M38" s="1"/>
      <c r="N38" s="1"/>
      <c r="O38" s="1"/>
      <c r="P38" s="1"/>
      <c r="Q38" s="1"/>
      <c r="R38" s="1"/>
      <c r="S38" s="1"/>
      <c r="T38" s="12"/>
      <c r="U38" s="319"/>
      <c r="V38" s="319"/>
      <c r="W38" s="319"/>
      <c r="X38" s="319"/>
      <c r="Y38" s="319"/>
      <c r="Z38" s="319"/>
      <c r="AA38" s="319"/>
      <c r="AB38" s="319"/>
      <c r="AC38" s="319"/>
      <c r="AD38" s="319"/>
      <c r="AE38" s="319"/>
      <c r="AF38" s="319"/>
      <c r="AG38" s="319"/>
      <c r="AH38" s="319"/>
      <c r="AI38" s="319"/>
      <c r="AJ38" s="319"/>
      <c r="AK38" s="319"/>
      <c r="AL38" s="319"/>
      <c r="AM38" s="319"/>
      <c r="AN38" s="319"/>
      <c r="AO38" s="319"/>
      <c r="AP38" s="319"/>
      <c r="AQ38" s="319"/>
      <c r="AR38" s="319"/>
      <c r="AS38" s="319"/>
      <c r="AT38" s="319"/>
      <c r="AU38" s="319"/>
      <c r="AV38" s="319"/>
      <c r="AW38" s="319"/>
      <c r="AX38" s="319"/>
      <c r="AY38" s="319"/>
      <c r="AZ38" s="319"/>
      <c r="BA38" s="319">
        <v>41403</v>
      </c>
    </row>
    <row r="39" spans="1:53" ht="13.2" hidden="1">
      <c r="A39" s="12"/>
      <c r="B39" s="1" t="str">
        <f>Language!C279</f>
        <v>Carga de ponta p/ aquecimento do processo</v>
      </c>
      <c r="C39" s="303" t="s">
        <v>5700</v>
      </c>
      <c r="D39" s="36">
        <f>IF(C39=D269,X39,Z39)</f>
        <v>0</v>
      </c>
      <c r="E39" s="1"/>
      <c r="F39" s="382"/>
      <c r="G39" s="382"/>
      <c r="H39" s="382"/>
      <c r="I39" s="382"/>
      <c r="J39" s="382"/>
      <c r="K39" s="382"/>
      <c r="L39" s="382"/>
      <c r="M39" s="382"/>
      <c r="N39" s="382"/>
      <c r="O39" s="382"/>
      <c r="P39" s="382"/>
      <c r="Q39" s="382"/>
      <c r="R39" s="382"/>
      <c r="S39" s="737"/>
      <c r="T39" s="12"/>
      <c r="U39" s="319"/>
      <c r="V39" s="319"/>
      <c r="W39" s="319" t="s">
        <v>5700</v>
      </c>
      <c r="X39" s="319">
        <f>IF(U40=2,SUM(AH39:AU39),SUMIF(F42:S42,"&gt;0",AH39:AU39))</f>
        <v>0</v>
      </c>
      <c r="Y39" s="319" t="s">
        <v>3320</v>
      </c>
      <c r="Z39" s="319">
        <f>X39*$E$270</f>
        <v>0</v>
      </c>
      <c r="AA39" s="319"/>
      <c r="AB39" s="319"/>
      <c r="AC39" s="319"/>
      <c r="AD39" s="319"/>
      <c r="AE39" s="319"/>
      <c r="AF39" s="319"/>
      <c r="AG39" s="319" t="e">
        <f>AG44/X39*1000</f>
        <v>#DIV/0!</v>
      </c>
      <c r="AH39" s="319">
        <f t="shared" ref="AH39:AU39" si="2">IF(OR(AH32=0,AH32=""),0,1)*IF($C39=$D$269,F39,F39/$E$270)</f>
        <v>0</v>
      </c>
      <c r="AI39" s="319">
        <f t="shared" si="2"/>
        <v>0</v>
      </c>
      <c r="AJ39" s="319">
        <f t="shared" si="2"/>
        <v>0</v>
      </c>
      <c r="AK39" s="319">
        <f t="shared" si="2"/>
        <v>0</v>
      </c>
      <c r="AL39" s="319">
        <f t="shared" si="2"/>
        <v>0</v>
      </c>
      <c r="AM39" s="319">
        <f t="shared" si="2"/>
        <v>0</v>
      </c>
      <c r="AN39" s="319">
        <f t="shared" si="2"/>
        <v>0</v>
      </c>
      <c r="AO39" s="319">
        <f t="shared" si="2"/>
        <v>0</v>
      </c>
      <c r="AP39" s="319">
        <f t="shared" si="2"/>
        <v>0</v>
      </c>
      <c r="AQ39" s="319">
        <f t="shared" si="2"/>
        <v>0</v>
      </c>
      <c r="AR39" s="319">
        <f t="shared" si="2"/>
        <v>0</v>
      </c>
      <c r="AS39" s="319">
        <f t="shared" si="2"/>
        <v>0</v>
      </c>
      <c r="AT39" s="319">
        <f t="shared" si="2"/>
        <v>0</v>
      </c>
      <c r="AU39" s="319">
        <f t="shared" si="2"/>
        <v>0</v>
      </c>
      <c r="AV39" s="319"/>
      <c r="AW39" s="319"/>
      <c r="AX39" s="319"/>
      <c r="AY39" s="319"/>
      <c r="AZ39" s="319"/>
      <c r="BA39" s="319">
        <v>41404</v>
      </c>
    </row>
    <row r="40" spans="1:53" ht="13.2" hidden="1">
      <c r="A40" s="12"/>
      <c r="B40" s="1" t="str">
        <f>Language!C280</f>
        <v>Características da carga de aquecimento do processo</v>
      </c>
      <c r="C40" s="1"/>
      <c r="D40" s="303" t="s">
        <v>6129</v>
      </c>
      <c r="E40" s="1"/>
      <c r="F40" s="1"/>
      <c r="G40" s="1"/>
      <c r="H40" s="1"/>
      <c r="I40" s="1"/>
      <c r="J40" s="1"/>
      <c r="K40" s="1"/>
      <c r="L40" s="1"/>
      <c r="M40" s="1"/>
      <c r="N40" s="1"/>
      <c r="O40" s="1"/>
      <c r="P40" s="1"/>
      <c r="Q40" s="1"/>
      <c r="R40" s="1"/>
      <c r="S40" s="1"/>
      <c r="T40" s="12"/>
      <c r="U40" s="319">
        <f>IF(D40="",1,MATCH(D40,LN_SD,0))</f>
        <v>1</v>
      </c>
      <c r="V40" s="319"/>
      <c r="W40" s="319"/>
      <c r="X40" s="319"/>
      <c r="Y40" s="319"/>
      <c r="Z40" s="319"/>
      <c r="AA40" s="319"/>
      <c r="AB40" s="319"/>
      <c r="AC40" s="319"/>
      <c r="AD40" s="319"/>
      <c r="AE40" s="319"/>
      <c r="AF40" s="319"/>
      <c r="AG40" s="319" t="s">
        <v>4919</v>
      </c>
      <c r="AH40" s="319">
        <f t="shared" ref="AH40:AU40" si="3">IF(F34=$E$344,IF(OR(F32=0,F35=0,HideCodeLN_HPT=5,HideCodeLN_HPT=8),0,AH32*AH37/F35/1000),0)</f>
        <v>0</v>
      </c>
      <c r="AI40" s="319">
        <f t="shared" si="3"/>
        <v>0</v>
      </c>
      <c r="AJ40" s="319">
        <f t="shared" si="3"/>
        <v>0</v>
      </c>
      <c r="AK40" s="319">
        <f t="shared" si="3"/>
        <v>0</v>
      </c>
      <c r="AL40" s="319">
        <f t="shared" si="3"/>
        <v>0</v>
      </c>
      <c r="AM40" s="319">
        <f t="shared" si="3"/>
        <v>0</v>
      </c>
      <c r="AN40" s="319">
        <f t="shared" si="3"/>
        <v>0</v>
      </c>
      <c r="AO40" s="319">
        <f t="shared" si="3"/>
        <v>0</v>
      </c>
      <c r="AP40" s="319">
        <f t="shared" si="3"/>
        <v>0</v>
      </c>
      <c r="AQ40" s="319">
        <f t="shared" si="3"/>
        <v>0</v>
      </c>
      <c r="AR40" s="319">
        <f t="shared" si="3"/>
        <v>0</v>
      </c>
      <c r="AS40" s="319">
        <f t="shared" si="3"/>
        <v>0</v>
      </c>
      <c r="AT40" s="319">
        <f t="shared" si="3"/>
        <v>0</v>
      </c>
      <c r="AU40" s="319">
        <f t="shared" si="3"/>
        <v>0</v>
      </c>
      <c r="AV40" s="319"/>
      <c r="AW40" s="319"/>
      <c r="AX40" s="319"/>
      <c r="AY40" s="319"/>
      <c r="AZ40" s="319"/>
      <c r="BA40" s="319">
        <v>41406</v>
      </c>
    </row>
    <row r="41" spans="1:53" ht="13.2" hidden="1">
      <c r="A41" s="12"/>
      <c r="B41" s="1" t="str">
        <f>B16</f>
        <v>Horas equivalentes à plena carga - aquecimento do processo</v>
      </c>
      <c r="C41" s="29" t="str">
        <f>$AH$6</f>
        <v>h</v>
      </c>
      <c r="D41" s="30">
        <f>IF(OR(HideCodeLN_HPT=8,HideCodeLN_HPT=5),AI6,H336)</f>
        <v>0</v>
      </c>
      <c r="E41" s="8"/>
      <c r="F41" s="1167" t="str">
        <f>Language!C59</f>
        <v>Completar as cargas mensais do processo</v>
      </c>
      <c r="G41" s="1168"/>
      <c r="H41" s="1169"/>
      <c r="I41" s="1"/>
      <c r="J41" s="1"/>
      <c r="K41" s="1"/>
      <c r="L41" s="1"/>
      <c r="M41" s="1"/>
      <c r="N41" s="1"/>
      <c r="O41" s="1"/>
      <c r="P41" s="1"/>
      <c r="Q41" s="1"/>
      <c r="R41" s="1"/>
      <c r="S41" s="1"/>
      <c r="T41" s="12"/>
      <c r="U41" s="319"/>
      <c r="V41" s="319"/>
      <c r="W41" s="319"/>
      <c r="X41" s="319"/>
      <c r="Y41" s="319"/>
      <c r="Z41" s="319"/>
      <c r="AA41" s="319"/>
      <c r="AB41" s="319"/>
      <c r="AC41" s="319"/>
      <c r="AD41" s="319"/>
      <c r="AE41" s="319"/>
      <c r="AF41" s="319"/>
      <c r="AG41" s="319" t="s">
        <v>2796</v>
      </c>
      <c r="AH41" s="319">
        <f t="shared" ref="AH41:AU41" si="4">IF(F34=$E$344,IF($U$40=1,IF(OR(HideCodeLN_HPT=4,HideCodeLN_HPT=7,F32=0,F35=0,F42=0),0,AH39/F35),IF(OR(HideCodeLN_HPT=4,HideCodeLN_HPT=7,F32=0,F35=0),0,AH39/F35)),0)</f>
        <v>0</v>
      </c>
      <c r="AI41" s="319">
        <f t="shared" si="4"/>
        <v>0</v>
      </c>
      <c r="AJ41" s="319">
        <f t="shared" si="4"/>
        <v>0</v>
      </c>
      <c r="AK41" s="319">
        <f t="shared" si="4"/>
        <v>0</v>
      </c>
      <c r="AL41" s="319">
        <f t="shared" si="4"/>
        <v>0</v>
      </c>
      <c r="AM41" s="319">
        <f t="shared" si="4"/>
        <v>0</v>
      </c>
      <c r="AN41" s="319">
        <f t="shared" si="4"/>
        <v>0</v>
      </c>
      <c r="AO41" s="319">
        <f t="shared" si="4"/>
        <v>0</v>
      </c>
      <c r="AP41" s="319">
        <f t="shared" si="4"/>
        <v>0</v>
      </c>
      <c r="AQ41" s="319">
        <f t="shared" si="4"/>
        <v>0</v>
      </c>
      <c r="AR41" s="319">
        <f t="shared" si="4"/>
        <v>0</v>
      </c>
      <c r="AS41" s="319">
        <f t="shared" si="4"/>
        <v>0</v>
      </c>
      <c r="AT41" s="319">
        <f t="shared" si="4"/>
        <v>0</v>
      </c>
      <c r="AU41" s="319">
        <f t="shared" si="4"/>
        <v>0</v>
      </c>
      <c r="AV41" s="319"/>
      <c r="AW41" s="319"/>
      <c r="AX41" s="319"/>
      <c r="AY41" s="319"/>
      <c r="AZ41" s="319"/>
      <c r="BA41" s="319">
        <v>41408</v>
      </c>
    </row>
    <row r="42" spans="1:53" ht="13.2" hidden="1">
      <c r="A42" s="12"/>
      <c r="B42" s="1" t="str">
        <f>B16</f>
        <v>Horas equivalentes à plena carga - aquecimento do processo</v>
      </c>
      <c r="C42" s="29" t="str">
        <f>$AH$6</f>
        <v>h</v>
      </c>
      <c r="D42" s="30" t="e">
        <f>X44*1000/X39</f>
        <v>#DIV/0!</v>
      </c>
      <c r="E42" s="1"/>
      <c r="F42" s="307"/>
      <c r="G42" s="307"/>
      <c r="H42" s="307"/>
      <c r="I42" s="307"/>
      <c r="J42" s="307"/>
      <c r="K42" s="307"/>
      <c r="L42" s="307"/>
      <c r="M42" s="307"/>
      <c r="N42" s="307"/>
      <c r="O42" s="307"/>
      <c r="P42" s="307"/>
      <c r="Q42" s="307"/>
      <c r="R42" s="307"/>
      <c r="S42" s="738"/>
      <c r="T42" s="12"/>
      <c r="U42" s="319"/>
      <c r="V42" s="319"/>
      <c r="W42" s="319"/>
      <c r="X42" s="319"/>
      <c r="Y42" s="319"/>
      <c r="Z42" s="319"/>
      <c r="AA42" s="319"/>
      <c r="AB42" s="319"/>
      <c r="AC42" s="319"/>
      <c r="AD42" s="319"/>
      <c r="AE42" s="319"/>
      <c r="AF42" s="319"/>
      <c r="AG42" s="319"/>
      <c r="AH42" s="319">
        <f>IF(AH32=0,0,IF($U$40=2,1,IF(F42&gt;0,1,0)))</f>
        <v>0</v>
      </c>
      <c r="AI42" s="319">
        <f t="shared" ref="AI42:AU42" si="5">IF(AI32=0,0,IF($U$40=2,1,IF(G42&gt;0,1,0)))</f>
        <v>0</v>
      </c>
      <c r="AJ42" s="319">
        <f t="shared" si="5"/>
        <v>0</v>
      </c>
      <c r="AK42" s="319">
        <f t="shared" si="5"/>
        <v>0</v>
      </c>
      <c r="AL42" s="319">
        <f t="shared" si="5"/>
        <v>0</v>
      </c>
      <c r="AM42" s="319">
        <f t="shared" si="5"/>
        <v>0</v>
      </c>
      <c r="AN42" s="319">
        <f t="shared" si="5"/>
        <v>0</v>
      </c>
      <c r="AO42" s="319">
        <f t="shared" si="5"/>
        <v>0</v>
      </c>
      <c r="AP42" s="319">
        <f t="shared" si="5"/>
        <v>0</v>
      </c>
      <c r="AQ42" s="319">
        <f t="shared" si="5"/>
        <v>0</v>
      </c>
      <c r="AR42" s="319">
        <f t="shared" si="5"/>
        <v>0</v>
      </c>
      <c r="AS42" s="319">
        <f t="shared" si="5"/>
        <v>0</v>
      </c>
      <c r="AT42" s="319">
        <f t="shared" si="5"/>
        <v>0</v>
      </c>
      <c r="AU42" s="319">
        <f t="shared" si="5"/>
        <v>0</v>
      </c>
      <c r="AV42" s="319"/>
      <c r="AW42" s="319"/>
      <c r="AX42" s="319"/>
      <c r="AY42" s="319"/>
      <c r="AZ42" s="319"/>
      <c r="BA42" s="319">
        <v>41408</v>
      </c>
    </row>
    <row r="43" spans="1:53" ht="13.2" hidden="1">
      <c r="A43" s="12"/>
      <c r="B43" s="1" t="str">
        <f>Language!C282</f>
        <v>Demanda aquecimento ambiente</v>
      </c>
      <c r="C43" s="29" t="str">
        <f>C18</f>
        <v>MWh</v>
      </c>
      <c r="D43" s="30">
        <f>IF(Unit=TRUE,X43,Z43)</f>
        <v>0</v>
      </c>
      <c r="E43" s="1"/>
      <c r="F43" s="30" t="str">
        <f t="shared" ref="F43:S44" si="6">IF(AH43=0,"-",IF(Unit=TRUE,AH43,AH43*$F$270))</f>
        <v>-</v>
      </c>
      <c r="G43" s="30" t="str">
        <f t="shared" si="6"/>
        <v>-</v>
      </c>
      <c r="H43" s="30" t="str">
        <f t="shared" si="6"/>
        <v>-</v>
      </c>
      <c r="I43" s="30" t="str">
        <f t="shared" si="6"/>
        <v>-</v>
      </c>
      <c r="J43" s="30" t="str">
        <f t="shared" si="6"/>
        <v>-</v>
      </c>
      <c r="K43" s="30" t="str">
        <f t="shared" si="6"/>
        <v>-</v>
      </c>
      <c r="L43" s="30" t="str">
        <f t="shared" si="6"/>
        <v>-</v>
      </c>
      <c r="M43" s="30" t="str">
        <f t="shared" si="6"/>
        <v>-</v>
      </c>
      <c r="N43" s="30" t="str">
        <f t="shared" si="6"/>
        <v>-</v>
      </c>
      <c r="O43" s="30" t="str">
        <f t="shared" si="6"/>
        <v>-</v>
      </c>
      <c r="P43" s="30" t="str">
        <f t="shared" si="6"/>
        <v>-</v>
      </c>
      <c r="Q43" s="30" t="str">
        <f t="shared" si="6"/>
        <v>-</v>
      </c>
      <c r="R43" s="30" t="str">
        <f t="shared" si="6"/>
        <v>-</v>
      </c>
      <c r="S43" s="30" t="str">
        <f t="shared" si="6"/>
        <v>-</v>
      </c>
      <c r="T43" s="12"/>
      <c r="U43" s="319"/>
      <c r="V43" s="319"/>
      <c r="W43" s="319" t="s">
        <v>2745</v>
      </c>
      <c r="X43" s="319">
        <f>SUMIF(AH32:AU32,"&gt;0",AH43:AU43)</f>
        <v>0</v>
      </c>
      <c r="Y43" s="319" t="s">
        <v>3318</v>
      </c>
      <c r="Z43" s="319">
        <f>X43*$F$270</f>
        <v>0</v>
      </c>
      <c r="AA43" s="319"/>
      <c r="AB43" s="319"/>
      <c r="AC43" s="319"/>
      <c r="AD43" s="319"/>
      <c r="AE43" s="319"/>
      <c r="AF43" s="319"/>
      <c r="AG43" s="319"/>
      <c r="AH43" s="319">
        <f t="shared" ref="AH43:AU43" si="7">IF(OR(AH37=0,AH32=0),0,(AH37*AH32*$E$336/1000)/1000)</f>
        <v>0</v>
      </c>
      <c r="AI43" s="319">
        <f t="shared" si="7"/>
        <v>0</v>
      </c>
      <c r="AJ43" s="319">
        <f t="shared" si="7"/>
        <v>0</v>
      </c>
      <c r="AK43" s="319">
        <f t="shared" si="7"/>
        <v>0</v>
      </c>
      <c r="AL43" s="319">
        <f t="shared" si="7"/>
        <v>0</v>
      </c>
      <c r="AM43" s="319">
        <f t="shared" si="7"/>
        <v>0</v>
      </c>
      <c r="AN43" s="319">
        <f t="shared" si="7"/>
        <v>0</v>
      </c>
      <c r="AO43" s="319">
        <f t="shared" si="7"/>
        <v>0</v>
      </c>
      <c r="AP43" s="319">
        <f t="shared" si="7"/>
        <v>0</v>
      </c>
      <c r="AQ43" s="319">
        <f t="shared" si="7"/>
        <v>0</v>
      </c>
      <c r="AR43" s="319">
        <f t="shared" si="7"/>
        <v>0</v>
      </c>
      <c r="AS43" s="319">
        <f t="shared" si="7"/>
        <v>0</v>
      </c>
      <c r="AT43" s="319">
        <f t="shared" si="7"/>
        <v>0</v>
      </c>
      <c r="AU43" s="319">
        <f t="shared" si="7"/>
        <v>0</v>
      </c>
      <c r="AV43" s="319"/>
      <c r="AW43" s="319"/>
      <c r="AX43" s="319"/>
      <c r="AY43" s="319"/>
      <c r="AZ43" s="319"/>
      <c r="BA43" s="319">
        <v>41410</v>
      </c>
    </row>
    <row r="44" spans="1:53" ht="13.2" hidden="1">
      <c r="A44" s="12"/>
      <c r="B44" s="1" t="str">
        <f>Language!C283</f>
        <v>Demanda p/ aquecimento do processo</v>
      </c>
      <c r="C44" s="29" t="str">
        <f>C18</f>
        <v>MWh</v>
      </c>
      <c r="D44" s="30">
        <f>IF(Unit=TRUE,X44,Z44)</f>
        <v>0</v>
      </c>
      <c r="E44" s="1"/>
      <c r="F44" s="30" t="str">
        <f t="shared" si="6"/>
        <v>-</v>
      </c>
      <c r="G44" s="30" t="str">
        <f t="shared" si="6"/>
        <v>-</v>
      </c>
      <c r="H44" s="30" t="str">
        <f t="shared" si="6"/>
        <v>-</v>
      </c>
      <c r="I44" s="30" t="str">
        <f t="shared" si="6"/>
        <v>-</v>
      </c>
      <c r="J44" s="30" t="str">
        <f t="shared" si="6"/>
        <v>-</v>
      </c>
      <c r="K44" s="30" t="str">
        <f t="shared" si="6"/>
        <v>-</v>
      </c>
      <c r="L44" s="30" t="str">
        <f t="shared" si="6"/>
        <v>-</v>
      </c>
      <c r="M44" s="30" t="str">
        <f t="shared" si="6"/>
        <v>-</v>
      </c>
      <c r="N44" s="30" t="str">
        <f t="shared" si="6"/>
        <v>-</v>
      </c>
      <c r="O44" s="30" t="str">
        <f t="shared" si="6"/>
        <v>-</v>
      </c>
      <c r="P44" s="30" t="str">
        <f t="shared" si="6"/>
        <v>-</v>
      </c>
      <c r="Q44" s="30" t="str">
        <f t="shared" si="6"/>
        <v>-</v>
      </c>
      <c r="R44" s="30" t="str">
        <f t="shared" si="6"/>
        <v>-</v>
      </c>
      <c r="S44" s="30" t="str">
        <f t="shared" si="6"/>
        <v>-</v>
      </c>
      <c r="T44" s="12"/>
      <c r="U44" s="319"/>
      <c r="V44" s="319"/>
      <c r="W44" s="319" t="s">
        <v>2745</v>
      </c>
      <c r="X44" s="319">
        <f>G335+I335</f>
        <v>0</v>
      </c>
      <c r="Y44" s="319" t="s">
        <v>3318</v>
      </c>
      <c r="Z44" s="319">
        <f>AG44*$F$270</f>
        <v>0</v>
      </c>
      <c r="AA44" s="319"/>
      <c r="AB44" s="319"/>
      <c r="AC44" s="319"/>
      <c r="AD44" s="319"/>
      <c r="AE44" s="319"/>
      <c r="AF44" s="319"/>
      <c r="AG44" s="319">
        <f>SUMIF(AH32:AU32,"&gt;0",AH44:AU44)</f>
        <v>0</v>
      </c>
      <c r="AH44" s="319">
        <f>IF(AH39=0,0,IF($U$40=1,AH39*F42/1000,AH39*$D$42/1000))</f>
        <v>0</v>
      </c>
      <c r="AI44" s="319">
        <f t="shared" ref="AI44:AU44" si="8">IF(AI39=0,0,IF($U$40=1,AI39*G42/1000,AI39*$D$42/1000))</f>
        <v>0</v>
      </c>
      <c r="AJ44" s="319">
        <f t="shared" si="8"/>
        <v>0</v>
      </c>
      <c r="AK44" s="319">
        <f t="shared" si="8"/>
        <v>0</v>
      </c>
      <c r="AL44" s="319">
        <f t="shared" si="8"/>
        <v>0</v>
      </c>
      <c r="AM44" s="319">
        <f t="shared" si="8"/>
        <v>0</v>
      </c>
      <c r="AN44" s="319">
        <f t="shared" si="8"/>
        <v>0</v>
      </c>
      <c r="AO44" s="319">
        <f t="shared" si="8"/>
        <v>0</v>
      </c>
      <c r="AP44" s="319">
        <f t="shared" si="8"/>
        <v>0</v>
      </c>
      <c r="AQ44" s="319">
        <f t="shared" si="8"/>
        <v>0</v>
      </c>
      <c r="AR44" s="319">
        <f t="shared" si="8"/>
        <v>0</v>
      </c>
      <c r="AS44" s="319">
        <f t="shared" si="8"/>
        <v>0</v>
      </c>
      <c r="AT44" s="319">
        <f t="shared" si="8"/>
        <v>0</v>
      </c>
      <c r="AU44" s="319">
        <f t="shared" si="8"/>
        <v>0</v>
      </c>
      <c r="AV44" s="319"/>
      <c r="AW44" s="319"/>
      <c r="AX44" s="319"/>
      <c r="AY44" s="319"/>
      <c r="AZ44" s="319"/>
      <c r="BA44" s="319">
        <v>41412</v>
      </c>
    </row>
    <row r="45" spans="1:53" ht="13.2" hidden="1">
      <c r="A45" s="12"/>
      <c r="B45" s="1" t="str">
        <f>Language!C284</f>
        <v>Demanda total p/ aquecimento</v>
      </c>
      <c r="C45" s="29" t="str">
        <f>C18</f>
        <v>MWh</v>
      </c>
      <c r="D45" s="30">
        <f>IF(Unit=TRUE,X45,Z45)</f>
        <v>0</v>
      </c>
      <c r="E45" s="1"/>
      <c r="F45" s="30">
        <f t="shared" ref="F45:S45" si="9">IF(AH45="","-",IF(Unit=TRUE,AH45,AH45*$F$270))</f>
        <v>0</v>
      </c>
      <c r="G45" s="30" t="str">
        <f t="shared" si="9"/>
        <v>-</v>
      </c>
      <c r="H45" s="30" t="str">
        <f t="shared" si="9"/>
        <v>-</v>
      </c>
      <c r="I45" s="30" t="str">
        <f t="shared" si="9"/>
        <v>-</v>
      </c>
      <c r="J45" s="30" t="str">
        <f t="shared" si="9"/>
        <v>-</v>
      </c>
      <c r="K45" s="30" t="str">
        <f t="shared" si="9"/>
        <v>-</v>
      </c>
      <c r="L45" s="30" t="str">
        <f t="shared" si="9"/>
        <v>-</v>
      </c>
      <c r="M45" s="30" t="str">
        <f t="shared" si="9"/>
        <v>-</v>
      </c>
      <c r="N45" s="30" t="str">
        <f t="shared" si="9"/>
        <v>-</v>
      </c>
      <c r="O45" s="30" t="str">
        <f t="shared" si="9"/>
        <v>-</v>
      </c>
      <c r="P45" s="30" t="str">
        <f t="shared" si="9"/>
        <v>-</v>
      </c>
      <c r="Q45" s="30" t="str">
        <f t="shared" si="9"/>
        <v>-</v>
      </c>
      <c r="R45" s="30" t="str">
        <f t="shared" si="9"/>
        <v>-</v>
      </c>
      <c r="S45" s="30" t="str">
        <f t="shared" si="9"/>
        <v>-</v>
      </c>
      <c r="T45" s="12"/>
      <c r="U45" s="319"/>
      <c r="V45" s="319"/>
      <c r="W45" s="319" t="s">
        <v>2745</v>
      </c>
      <c r="X45" s="319">
        <f>IF(OR(HideCodeLN_HPT=5,HideCodeLN_HPT=8),X44,IF(OR(HideCodeLN_HPT=4,HideCodeLN_HPT=7),X43,IF(OR(HideCodeLN_HPT=6,HideCodeLN_HPT=9),X43+X44,0)))</f>
        <v>0</v>
      </c>
      <c r="Y45" s="319" t="s">
        <v>3318</v>
      </c>
      <c r="Z45" s="319">
        <f>X45*$F$270</f>
        <v>0</v>
      </c>
      <c r="AA45" s="319"/>
      <c r="AB45" s="319"/>
      <c r="AC45" s="319"/>
      <c r="AD45" s="319"/>
      <c r="AE45" s="319"/>
      <c r="AF45" s="319"/>
      <c r="AG45" s="319">
        <v>1</v>
      </c>
      <c r="AH45" s="319">
        <f t="shared" ref="AH45:AU45" si="10">IF(AND(AH43="",AH44=""),"",IF(AH32=0,"",IF(OR(HideCodeLN_HPT=5,HideCodeLN_HPT=8),AH44*$AG$45,IF(OR(HideCodeLN_HPT=4,HideCodeLN_HPT=7),AH43,IF(OR(HideCodeLN_HPT=6,HideCodeLN_HPT=9),AH43+AH44*$AG$45,0)))))</f>
        <v>0</v>
      </c>
      <c r="AI45" s="319" t="str">
        <f t="shared" si="10"/>
        <v/>
      </c>
      <c r="AJ45" s="319" t="str">
        <f t="shared" si="10"/>
        <v/>
      </c>
      <c r="AK45" s="319" t="str">
        <f t="shared" si="10"/>
        <v/>
      </c>
      <c r="AL45" s="319" t="str">
        <f t="shared" si="10"/>
        <v/>
      </c>
      <c r="AM45" s="319" t="str">
        <f t="shared" si="10"/>
        <v/>
      </c>
      <c r="AN45" s="319" t="str">
        <f t="shared" si="10"/>
        <v/>
      </c>
      <c r="AO45" s="319" t="str">
        <f t="shared" si="10"/>
        <v/>
      </c>
      <c r="AP45" s="319" t="str">
        <f t="shared" si="10"/>
        <v/>
      </c>
      <c r="AQ45" s="319" t="str">
        <f t="shared" si="10"/>
        <v/>
      </c>
      <c r="AR45" s="319" t="str">
        <f t="shared" si="10"/>
        <v/>
      </c>
      <c r="AS45" s="319" t="str">
        <f t="shared" si="10"/>
        <v/>
      </c>
      <c r="AT45" s="319" t="str">
        <f t="shared" si="10"/>
        <v/>
      </c>
      <c r="AU45" s="319" t="str">
        <f t="shared" si="10"/>
        <v/>
      </c>
      <c r="AV45" s="319"/>
      <c r="AW45" s="319"/>
      <c r="AX45" s="319"/>
      <c r="AY45" s="319"/>
      <c r="AZ45" s="319"/>
      <c r="BA45" s="319">
        <v>41414</v>
      </c>
    </row>
    <row r="46" spans="1:53" ht="13.2" hidden="1">
      <c r="A46" s="12"/>
      <c r="B46" s="1" t="str">
        <f>Language!C285</f>
        <v>Carga total p/ aquecimento de ponta</v>
      </c>
      <c r="C46" s="29" t="str">
        <f>C21</f>
        <v>kW</v>
      </c>
      <c r="D46" s="30">
        <f>IF(Unit=TRUE,X46,Z46)</f>
        <v>0</v>
      </c>
      <c r="E46" s="1"/>
      <c r="F46" s="30" t="str">
        <f t="shared" ref="F46:S46" si="11">IF(AH46=0,"-",IF(Unit=TRUE,AH46,AH46*$E$270))</f>
        <v>-</v>
      </c>
      <c r="G46" s="30" t="str">
        <f t="shared" si="11"/>
        <v>-</v>
      </c>
      <c r="H46" s="30" t="str">
        <f t="shared" si="11"/>
        <v>-</v>
      </c>
      <c r="I46" s="30" t="str">
        <f t="shared" si="11"/>
        <v>-</v>
      </c>
      <c r="J46" s="30" t="str">
        <f t="shared" si="11"/>
        <v>-</v>
      </c>
      <c r="K46" s="30" t="str">
        <f t="shared" si="11"/>
        <v>-</v>
      </c>
      <c r="L46" s="30" t="str">
        <f t="shared" si="11"/>
        <v>-</v>
      </c>
      <c r="M46" s="30" t="str">
        <f t="shared" si="11"/>
        <v>-</v>
      </c>
      <c r="N46" s="30" t="str">
        <f t="shared" si="11"/>
        <v>-</v>
      </c>
      <c r="O46" s="30" t="str">
        <f t="shared" si="11"/>
        <v>-</v>
      </c>
      <c r="P46" s="30" t="str">
        <f t="shared" si="11"/>
        <v>-</v>
      </c>
      <c r="Q46" s="30" t="str">
        <f t="shared" si="11"/>
        <v>-</v>
      </c>
      <c r="R46" s="30" t="str">
        <f t="shared" si="11"/>
        <v>-</v>
      </c>
      <c r="S46" s="30" t="str">
        <f t="shared" si="11"/>
        <v>-</v>
      </c>
      <c r="T46" s="12"/>
      <c r="U46" s="319"/>
      <c r="V46" s="319"/>
      <c r="W46" s="319" t="s">
        <v>5700</v>
      </c>
      <c r="X46" s="319">
        <f>SUMIF(AH32:AU32,"&gt;0",AH46:AU46)</f>
        <v>0</v>
      </c>
      <c r="Y46" s="319" t="s">
        <v>3320</v>
      </c>
      <c r="Z46" s="319">
        <f>X46*$E$270</f>
        <v>0</v>
      </c>
      <c r="AA46" s="319"/>
      <c r="AB46" s="319"/>
      <c r="AC46" s="319"/>
      <c r="AD46" s="319"/>
      <c r="AE46" s="319"/>
      <c r="AF46" s="319"/>
      <c r="AG46" s="319"/>
      <c r="AH46" s="319">
        <f t="shared" ref="AH46:AU46" si="12">IF(OR(HideCodeLN_HPT=4,HideCodeLN_HPT=7),AH32*AH37/1000,IF(OR(HideCodeLN_HPT=5,HideCodeLN_HPT=8),AH39*AH42,IF(OR(HideCodeLN_HPT=6,HideCodeLN_HPT=9),AH32*AH37/1000+AH39*AH42,0)))</f>
        <v>0</v>
      </c>
      <c r="AI46" s="319">
        <f t="shared" si="12"/>
        <v>0</v>
      </c>
      <c r="AJ46" s="319">
        <f t="shared" si="12"/>
        <v>0</v>
      </c>
      <c r="AK46" s="319">
        <f t="shared" si="12"/>
        <v>0</v>
      </c>
      <c r="AL46" s="319">
        <f t="shared" si="12"/>
        <v>0</v>
      </c>
      <c r="AM46" s="319">
        <f t="shared" si="12"/>
        <v>0</v>
      </c>
      <c r="AN46" s="319">
        <f t="shared" si="12"/>
        <v>0</v>
      </c>
      <c r="AO46" s="319">
        <f t="shared" si="12"/>
        <v>0</v>
      </c>
      <c r="AP46" s="319">
        <f t="shared" si="12"/>
        <v>0</v>
      </c>
      <c r="AQ46" s="319">
        <f t="shared" si="12"/>
        <v>0</v>
      </c>
      <c r="AR46" s="319">
        <f t="shared" si="12"/>
        <v>0</v>
      </c>
      <c r="AS46" s="319">
        <f t="shared" si="12"/>
        <v>0</v>
      </c>
      <c r="AT46" s="319">
        <f t="shared" si="12"/>
        <v>0</v>
      </c>
      <c r="AU46" s="319">
        <f t="shared" si="12"/>
        <v>0</v>
      </c>
      <c r="AV46" s="319"/>
      <c r="AW46" s="319"/>
      <c r="AX46" s="319"/>
      <c r="AY46" s="319"/>
      <c r="AZ46" s="319"/>
      <c r="BA46" s="319">
        <v>41416</v>
      </c>
    </row>
    <row r="47" spans="1:53" ht="13.2" hidden="1">
      <c r="A47" s="12"/>
      <c r="B47" s="1" t="str">
        <f>Language!C357</f>
        <v>Consumo de combustível - unitário</v>
      </c>
      <c r="C47" s="1"/>
      <c r="D47" s="29" t="s">
        <v>637</v>
      </c>
      <c r="E47" s="1"/>
      <c r="F47" s="29" t="str">
        <f t="shared" ref="F47:S47" si="13">IF(OR(F32="",F34=0),"-",VLOOKUP(F34,$E$340:$I$360,3,FALSE))</f>
        <v>m³</v>
      </c>
      <c r="G47" s="29" t="str">
        <f t="shared" si="13"/>
        <v>-</v>
      </c>
      <c r="H47" s="29" t="str">
        <f t="shared" si="13"/>
        <v>-</v>
      </c>
      <c r="I47" s="29" t="str">
        <f t="shared" si="13"/>
        <v>-</v>
      </c>
      <c r="J47" s="29" t="str">
        <f t="shared" si="13"/>
        <v>-</v>
      </c>
      <c r="K47" s="29" t="str">
        <f t="shared" si="13"/>
        <v>-</v>
      </c>
      <c r="L47" s="29" t="str">
        <f t="shared" si="13"/>
        <v>-</v>
      </c>
      <c r="M47" s="29" t="str">
        <f t="shared" si="13"/>
        <v>-</v>
      </c>
      <c r="N47" s="29" t="str">
        <f t="shared" si="13"/>
        <v>-</v>
      </c>
      <c r="O47" s="29" t="str">
        <f t="shared" si="13"/>
        <v>-</v>
      </c>
      <c r="P47" s="29" t="str">
        <f t="shared" si="13"/>
        <v>-</v>
      </c>
      <c r="Q47" s="29" t="str">
        <f t="shared" si="13"/>
        <v>-</v>
      </c>
      <c r="R47" s="29" t="str">
        <f t="shared" si="13"/>
        <v>-</v>
      </c>
      <c r="S47" s="29" t="str">
        <f t="shared" si="13"/>
        <v>-</v>
      </c>
      <c r="T47" s="12"/>
      <c r="U47" s="319"/>
      <c r="V47" s="319"/>
      <c r="W47" s="319"/>
      <c r="X47" s="319"/>
      <c r="Y47" s="319"/>
      <c r="Z47" s="319"/>
      <c r="AA47" s="319"/>
      <c r="AB47" s="319"/>
      <c r="AC47" s="319"/>
      <c r="AD47" s="319"/>
      <c r="AE47" s="319"/>
      <c r="AF47" s="319"/>
      <c r="AG47" s="319" t="s">
        <v>2797</v>
      </c>
      <c r="AH47" s="319">
        <f t="shared" ref="AH47:AU47" si="14">IF(F34=$E$344,IF(OR(F32=0,AH39=0,HideCodeLN_HPT=4,HideCodeLN_HPT=7),0,IF($U$40=1,AH39*F42/F35/1000,AH39*$H$336/F35/1000)),0)</f>
        <v>0</v>
      </c>
      <c r="AI47" s="319">
        <f t="shared" si="14"/>
        <v>0</v>
      </c>
      <c r="AJ47" s="319">
        <f t="shared" si="14"/>
        <v>0</v>
      </c>
      <c r="AK47" s="319">
        <f t="shared" si="14"/>
        <v>0</v>
      </c>
      <c r="AL47" s="319">
        <f t="shared" si="14"/>
        <v>0</v>
      </c>
      <c r="AM47" s="319">
        <f t="shared" si="14"/>
        <v>0</v>
      </c>
      <c r="AN47" s="319">
        <f t="shared" si="14"/>
        <v>0</v>
      </c>
      <c r="AO47" s="319">
        <f t="shared" si="14"/>
        <v>0</v>
      </c>
      <c r="AP47" s="319">
        <f t="shared" si="14"/>
        <v>0</v>
      </c>
      <c r="AQ47" s="319">
        <f t="shared" si="14"/>
        <v>0</v>
      </c>
      <c r="AR47" s="319">
        <f t="shared" si="14"/>
        <v>0</v>
      </c>
      <c r="AS47" s="319">
        <f t="shared" si="14"/>
        <v>0</v>
      </c>
      <c r="AT47" s="319">
        <f t="shared" si="14"/>
        <v>0</v>
      </c>
      <c r="AU47" s="319">
        <f t="shared" si="14"/>
        <v>0</v>
      </c>
      <c r="AV47" s="319"/>
      <c r="AW47" s="319"/>
      <c r="AX47" s="319"/>
      <c r="AY47" s="319"/>
      <c r="AZ47" s="319"/>
      <c r="BA47" s="319">
        <v>41418</v>
      </c>
    </row>
    <row r="48" spans="1:53" ht="13.2" hidden="1">
      <c r="A48" s="12"/>
      <c r="B48" s="1" t="str">
        <f>Language!C286</f>
        <v>Consumo de combustível - anual</v>
      </c>
      <c r="C48" s="1"/>
      <c r="D48" s="30" t="s">
        <v>637</v>
      </c>
      <c r="E48" s="39"/>
      <c r="F48" s="30">
        <f>IF(OR(AH$45="",F35="",F35=0),0,AH$45/VLOOKUP(F34,$E$340:$I$360,4,FALSE)*1000/F$35)</f>
        <v>0</v>
      </c>
      <c r="G48" s="30">
        <f t="shared" ref="G48:R48" si="15">IF(OR(AI$45="",G35="",G35=0),0,AI$45/VLOOKUP(G34,$E$340:$I$360,4,FALSE)*1000/G$35)</f>
        <v>0</v>
      </c>
      <c r="H48" s="30">
        <f t="shared" si="15"/>
        <v>0</v>
      </c>
      <c r="I48" s="30">
        <f t="shared" si="15"/>
        <v>0</v>
      </c>
      <c r="J48" s="30">
        <f t="shared" si="15"/>
        <v>0</v>
      </c>
      <c r="K48" s="30">
        <f t="shared" si="15"/>
        <v>0</v>
      </c>
      <c r="L48" s="30">
        <f t="shared" si="15"/>
        <v>0</v>
      </c>
      <c r="M48" s="30">
        <f t="shared" si="15"/>
        <v>0</v>
      </c>
      <c r="N48" s="30">
        <f t="shared" si="15"/>
        <v>0</v>
      </c>
      <c r="O48" s="30">
        <f t="shared" si="15"/>
        <v>0</v>
      </c>
      <c r="P48" s="30">
        <f t="shared" si="15"/>
        <v>0</v>
      </c>
      <c r="Q48" s="30">
        <f t="shared" si="15"/>
        <v>0</v>
      </c>
      <c r="R48" s="30">
        <f t="shared" si="15"/>
        <v>0</v>
      </c>
      <c r="S48" s="30">
        <f>IF(OR(AU$45="",S35="",S45=0),0,AU$45/VLOOKUP(S34,$E$340:$I$360,4,FALSE)*1000/S$35)</f>
        <v>0</v>
      </c>
      <c r="T48" s="12"/>
      <c r="U48" s="319"/>
      <c r="V48" s="319"/>
      <c r="W48" s="319"/>
      <c r="X48" s="319"/>
      <c r="Y48" s="319"/>
      <c r="Z48" s="319"/>
      <c r="AA48" s="319"/>
      <c r="AB48" s="319"/>
      <c r="AC48" s="319"/>
      <c r="AD48" s="319"/>
      <c r="AE48" s="319"/>
      <c r="AF48" s="319"/>
      <c r="AG48" s="319"/>
      <c r="AH48" s="319"/>
      <c r="AI48" s="319"/>
      <c r="AJ48" s="319"/>
      <c r="AK48" s="319"/>
      <c r="AL48" s="319"/>
      <c r="AM48" s="319"/>
      <c r="AN48" s="319"/>
      <c r="AO48" s="319"/>
      <c r="AP48" s="319"/>
      <c r="AQ48" s="319"/>
      <c r="AR48" s="319"/>
      <c r="AS48" s="319"/>
      <c r="AT48" s="319"/>
      <c r="AU48" s="319"/>
      <c r="AV48" s="319"/>
      <c r="AW48" s="319"/>
      <c r="AX48" s="319"/>
      <c r="AY48" s="319"/>
      <c r="AZ48" s="319"/>
      <c r="BA48" s="319">
        <v>41420</v>
      </c>
    </row>
    <row r="49" spans="1:53" ht="13.2" hidden="1">
      <c r="A49" s="12"/>
      <c r="B49" s="1" t="str">
        <f>Language!C359</f>
        <v>Preço combustível - unidade</v>
      </c>
      <c r="C49" s="1"/>
      <c r="D49" s="29" t="s">
        <v>637</v>
      </c>
      <c r="E49" s="1"/>
      <c r="F49" s="29" t="str">
        <f t="shared" ref="F49:S49" si="16">IF(OR(F32="",F34=0),"-",VLOOKUP(F34,$E$340:$I$360,5,FALSE))</f>
        <v>€/m³</v>
      </c>
      <c r="G49" s="29" t="str">
        <f t="shared" si="16"/>
        <v>-</v>
      </c>
      <c r="H49" s="29" t="str">
        <f t="shared" si="16"/>
        <v>-</v>
      </c>
      <c r="I49" s="29" t="str">
        <f t="shared" si="16"/>
        <v>-</v>
      </c>
      <c r="J49" s="29" t="str">
        <f t="shared" si="16"/>
        <v>-</v>
      </c>
      <c r="K49" s="29" t="str">
        <f t="shared" si="16"/>
        <v>-</v>
      </c>
      <c r="L49" s="29" t="str">
        <f t="shared" si="16"/>
        <v>-</v>
      </c>
      <c r="M49" s="29" t="str">
        <f t="shared" si="16"/>
        <v>-</v>
      </c>
      <c r="N49" s="29" t="str">
        <f t="shared" si="16"/>
        <v>-</v>
      </c>
      <c r="O49" s="29" t="str">
        <f t="shared" si="16"/>
        <v>-</v>
      </c>
      <c r="P49" s="29" t="str">
        <f t="shared" si="16"/>
        <v>-</v>
      </c>
      <c r="Q49" s="29" t="str">
        <f t="shared" si="16"/>
        <v>-</v>
      </c>
      <c r="R49" s="29" t="str">
        <f t="shared" si="16"/>
        <v>-</v>
      </c>
      <c r="S49" s="29" t="str">
        <f t="shared" si="16"/>
        <v>-</v>
      </c>
      <c r="T49" s="12"/>
      <c r="U49" s="319"/>
      <c r="V49" s="319"/>
      <c r="W49" s="319"/>
      <c r="X49" s="319"/>
      <c r="Y49" s="319"/>
      <c r="Z49" s="319"/>
      <c r="AA49" s="319"/>
      <c r="AB49" s="319"/>
      <c r="AC49" s="319"/>
      <c r="AD49" s="319"/>
      <c r="AE49" s="319"/>
      <c r="AF49" s="319"/>
      <c r="AG49" s="319"/>
      <c r="AH49" s="319"/>
      <c r="AI49" s="319"/>
      <c r="AJ49" s="319"/>
      <c r="AK49" s="319"/>
      <c r="AL49" s="319"/>
      <c r="AM49" s="319"/>
      <c r="AN49" s="319"/>
      <c r="AO49" s="319"/>
      <c r="AP49" s="319"/>
      <c r="AQ49" s="319"/>
      <c r="AR49" s="319"/>
      <c r="AS49" s="319"/>
      <c r="AT49" s="319"/>
      <c r="AU49" s="319"/>
      <c r="AV49" s="319"/>
      <c r="AW49" s="319"/>
      <c r="AX49" s="319"/>
      <c r="AY49" s="319"/>
      <c r="AZ49" s="319"/>
      <c r="BA49" s="319">
        <v>41422</v>
      </c>
    </row>
    <row r="50" spans="1:53" ht="13.2" hidden="1">
      <c r="A50" s="12"/>
      <c r="B50" s="1" t="str">
        <f>B23</f>
        <v>Preço do combustível</v>
      </c>
      <c r="C50" s="1"/>
      <c r="D50" s="29" t="s">
        <v>637</v>
      </c>
      <c r="E50" s="1"/>
      <c r="F50" s="312"/>
      <c r="G50" s="312"/>
      <c r="H50" s="312"/>
      <c r="I50" s="312"/>
      <c r="J50" s="312"/>
      <c r="K50" s="312"/>
      <c r="L50" s="312"/>
      <c r="M50" s="312"/>
      <c r="N50" s="312"/>
      <c r="O50" s="312"/>
      <c r="P50" s="312"/>
      <c r="Q50" s="312"/>
      <c r="R50" s="312"/>
      <c r="S50" s="398"/>
      <c r="T50" s="12"/>
      <c r="U50" s="319"/>
      <c r="V50" s="319"/>
      <c r="W50" s="319"/>
      <c r="X50" s="319"/>
      <c r="Y50" s="319"/>
      <c r="Z50" s="319"/>
      <c r="AA50" s="319"/>
      <c r="AB50" s="319"/>
      <c r="AC50" s="319"/>
      <c r="AD50" s="319"/>
      <c r="AE50" s="319"/>
      <c r="AF50" s="319"/>
      <c r="AG50" s="319"/>
      <c r="AH50" s="319"/>
      <c r="AI50" s="319"/>
      <c r="AJ50" s="319"/>
      <c r="AK50" s="319"/>
      <c r="AL50" s="319"/>
      <c r="AM50" s="319"/>
      <c r="AN50" s="319"/>
      <c r="AO50" s="319"/>
      <c r="AP50" s="319"/>
      <c r="AQ50" s="319"/>
      <c r="AR50" s="319"/>
      <c r="AS50" s="319"/>
      <c r="AT50" s="319"/>
      <c r="AU50" s="319"/>
      <c r="AV50" s="319"/>
      <c r="AW50" s="319"/>
      <c r="AX50" s="319"/>
      <c r="AY50" s="319"/>
      <c r="AZ50" s="319"/>
      <c r="BA50" s="319">
        <v>2010108</v>
      </c>
    </row>
    <row r="51" spans="1:53" ht="13.2" hidden="1">
      <c r="A51" s="12"/>
      <c r="B51" s="1" t="str">
        <f>Language!C287</f>
        <v>Custo do combustível</v>
      </c>
      <c r="C51" s="1"/>
      <c r="D51" s="1358">
        <f>IF(ISERROR(SUMIF(AH32:AU32,"&gt;0",F51:S51)),0,SUMIF(AH32:AU32,"&gt;0",F51:S51))</f>
        <v>0</v>
      </c>
      <c r="E51" s="1358"/>
      <c r="F51" s="1358" t="str">
        <f t="shared" ref="F51:S51" si="17">IF(OR(F48=0,F48="-",AH32=0),"-",IF(F$34=$E$344,F50*F48*1000,IF(F$34=$E$360,F50*F48,F50*F48)))</f>
        <v>-</v>
      </c>
      <c r="G51" s="1358" t="str">
        <f t="shared" si="17"/>
        <v>-</v>
      </c>
      <c r="H51" s="1358" t="str">
        <f t="shared" si="17"/>
        <v>-</v>
      </c>
      <c r="I51" s="1358" t="str">
        <f t="shared" si="17"/>
        <v>-</v>
      </c>
      <c r="J51" s="1358" t="str">
        <f t="shared" si="17"/>
        <v>-</v>
      </c>
      <c r="K51" s="1358" t="str">
        <f t="shared" si="17"/>
        <v>-</v>
      </c>
      <c r="L51" s="1358" t="str">
        <f t="shared" si="17"/>
        <v>-</v>
      </c>
      <c r="M51" s="1358" t="str">
        <f t="shared" si="17"/>
        <v>-</v>
      </c>
      <c r="N51" s="1358" t="str">
        <f t="shared" si="17"/>
        <v>-</v>
      </c>
      <c r="O51" s="1358" t="str">
        <f t="shared" si="17"/>
        <v>-</v>
      </c>
      <c r="P51" s="1358" t="str">
        <f t="shared" si="17"/>
        <v>-</v>
      </c>
      <c r="Q51" s="1358" t="str">
        <f t="shared" si="17"/>
        <v>-</v>
      </c>
      <c r="R51" s="1358" t="str">
        <f t="shared" si="17"/>
        <v>-</v>
      </c>
      <c r="S51" s="1358" t="str">
        <f t="shared" si="17"/>
        <v>-</v>
      </c>
      <c r="T51" s="12"/>
      <c r="U51" s="319"/>
      <c r="V51" s="319"/>
      <c r="W51" s="319"/>
      <c r="X51" s="319"/>
      <c r="Y51" s="319"/>
      <c r="Z51" s="319"/>
      <c r="AA51" s="319"/>
      <c r="AB51" s="319"/>
      <c r="AC51" s="319"/>
      <c r="AD51" s="319"/>
      <c r="AE51" s="319"/>
      <c r="AF51" s="319"/>
      <c r="AG51" s="319"/>
      <c r="AH51" s="319"/>
      <c r="AI51" s="319"/>
      <c r="AJ51" s="319"/>
      <c r="AK51" s="319"/>
      <c r="AL51" s="319"/>
      <c r="AM51" s="319"/>
      <c r="AN51" s="319"/>
      <c r="AO51" s="319"/>
      <c r="AP51" s="319"/>
      <c r="AQ51" s="319"/>
      <c r="AR51" s="319"/>
      <c r="AS51" s="319"/>
      <c r="AT51" s="319"/>
      <c r="AU51" s="319"/>
      <c r="AV51" s="319"/>
      <c r="AW51" s="319"/>
      <c r="AX51" s="319"/>
      <c r="AY51" s="319"/>
      <c r="AZ51" s="319"/>
      <c r="BA51" s="319">
        <v>5097210</v>
      </c>
    </row>
    <row r="52" spans="1:53" ht="13.2" hidden="1">
      <c r="A52" s="1170" t="str">
        <f>Language!C288</f>
        <v>Ações de eficiência energética do caso proposto</v>
      </c>
      <c r="B52" s="1171"/>
      <c r="C52" s="1"/>
      <c r="D52" s="1"/>
      <c r="E52" s="1"/>
      <c r="F52" s="1"/>
      <c r="G52" s="1"/>
      <c r="H52" s="1"/>
      <c r="I52" s="1"/>
      <c r="J52" s="1"/>
      <c r="K52" s="1"/>
      <c r="L52" s="1"/>
      <c r="M52" s="1"/>
      <c r="N52" s="1"/>
      <c r="O52" s="1"/>
      <c r="P52" s="1"/>
      <c r="Q52" s="1"/>
      <c r="R52" s="1"/>
      <c r="S52" s="1"/>
      <c r="T52" s="12"/>
      <c r="U52" s="319"/>
      <c r="V52" s="319"/>
      <c r="W52" s="319"/>
      <c r="X52" s="319"/>
      <c r="Y52" s="319"/>
      <c r="Z52" s="319"/>
      <c r="AA52" s="319"/>
      <c r="AB52" s="319"/>
      <c r="AC52" s="319"/>
      <c r="AD52" s="319"/>
      <c r="AE52" s="319"/>
      <c r="AF52" s="319"/>
      <c r="AG52" s="319"/>
      <c r="AH52" s="319"/>
      <c r="AI52" s="319"/>
      <c r="AJ52" s="319"/>
      <c r="AK52" s="319"/>
      <c r="AL52" s="319"/>
      <c r="AM52" s="319"/>
      <c r="AN52" s="319"/>
      <c r="AO52" s="319"/>
      <c r="AP52" s="319"/>
      <c r="AQ52" s="319"/>
      <c r="AR52" s="319"/>
      <c r="AS52" s="319"/>
      <c r="AT52" s="319"/>
      <c r="AU52" s="319"/>
      <c r="AV52" s="319"/>
      <c r="AW52" s="319"/>
      <c r="AX52" s="319"/>
      <c r="AY52" s="319"/>
      <c r="AZ52" s="319"/>
      <c r="BA52" s="319">
        <v>41500</v>
      </c>
    </row>
    <row r="53" spans="1:53" ht="13.2" hidden="1">
      <c r="A53" s="12"/>
      <c r="B53" s="1" t="str">
        <f>B26</f>
        <v>Ações de eficiência energética no uso final</v>
      </c>
      <c r="C53" s="29" t="str">
        <f>$C$13</f>
        <v>%</v>
      </c>
      <c r="D53" s="40">
        <f>IF(D54=0,0,1-D54/D46)</f>
        <v>0</v>
      </c>
      <c r="E53" s="1"/>
      <c r="F53" s="159"/>
      <c r="G53" s="159"/>
      <c r="H53" s="159"/>
      <c r="I53" s="159"/>
      <c r="J53" s="159"/>
      <c r="K53" s="159"/>
      <c r="L53" s="159"/>
      <c r="M53" s="159"/>
      <c r="N53" s="159"/>
      <c r="O53" s="159"/>
      <c r="P53" s="159"/>
      <c r="Q53" s="159"/>
      <c r="R53" s="159"/>
      <c r="S53" s="739"/>
      <c r="T53" s="12"/>
      <c r="U53" s="319"/>
      <c r="V53" s="319"/>
      <c r="W53" s="319" t="s">
        <v>2744</v>
      </c>
      <c r="X53" s="319" t="e">
        <f>Tot_ht_en_demand/Tot_peak_ht_load*1000</f>
        <v>#DIV/0!</v>
      </c>
      <c r="Y53" s="319"/>
      <c r="Z53" s="319"/>
      <c r="AA53" s="319"/>
      <c r="AB53" s="319"/>
      <c r="AC53" s="319"/>
      <c r="AD53" s="319"/>
      <c r="AE53" s="319"/>
      <c r="AF53" s="319"/>
      <c r="AG53" s="319"/>
      <c r="AH53" s="319"/>
      <c r="AI53" s="319"/>
      <c r="AJ53" s="319"/>
      <c r="AK53" s="319"/>
      <c r="AL53" s="319"/>
      <c r="AM53" s="319"/>
      <c r="AN53" s="319"/>
      <c r="AO53" s="319"/>
      <c r="AP53" s="319"/>
      <c r="AQ53" s="319"/>
      <c r="AR53" s="319"/>
      <c r="AS53" s="319"/>
      <c r="AT53" s="319"/>
      <c r="AU53" s="319"/>
      <c r="AV53" s="319"/>
      <c r="AW53" s="319"/>
      <c r="AX53" s="319"/>
      <c r="AY53" s="319"/>
      <c r="AZ53" s="319"/>
      <c r="BA53" s="319">
        <v>41501</v>
      </c>
    </row>
    <row r="54" spans="1:53" ht="13.2" hidden="1">
      <c r="A54" s="12"/>
      <c r="B54" s="1" t="str">
        <f>Language!C290</f>
        <v>Carga líquida de aquecimento de ponta</v>
      </c>
      <c r="C54" s="29" t="str">
        <f>C21</f>
        <v>kW</v>
      </c>
      <c r="D54" s="30">
        <f>IF(Unit=TRUE,X54,Z54)</f>
        <v>0</v>
      </c>
      <c r="E54" s="39"/>
      <c r="F54" s="30" t="str">
        <f t="shared" ref="F54:S54" si="18">IF(AH54=0,"-",IF(Unit=TRUE,AH54,AH54*$E$270))</f>
        <v>-</v>
      </c>
      <c r="G54" s="30" t="str">
        <f t="shared" si="18"/>
        <v>-</v>
      </c>
      <c r="H54" s="30" t="str">
        <f t="shared" si="18"/>
        <v>-</v>
      </c>
      <c r="I54" s="30" t="str">
        <f t="shared" si="18"/>
        <v>-</v>
      </c>
      <c r="J54" s="30" t="str">
        <f t="shared" si="18"/>
        <v>-</v>
      </c>
      <c r="K54" s="30" t="str">
        <f t="shared" si="18"/>
        <v>-</v>
      </c>
      <c r="L54" s="30" t="str">
        <f t="shared" si="18"/>
        <v>-</v>
      </c>
      <c r="M54" s="30" t="str">
        <f t="shared" si="18"/>
        <v>-</v>
      </c>
      <c r="N54" s="30" t="str">
        <f t="shared" si="18"/>
        <v>-</v>
      </c>
      <c r="O54" s="30" t="str">
        <f t="shared" si="18"/>
        <v>-</v>
      </c>
      <c r="P54" s="30" t="str">
        <f t="shared" si="18"/>
        <v>-</v>
      </c>
      <c r="Q54" s="30" t="str">
        <f t="shared" si="18"/>
        <v>-</v>
      </c>
      <c r="R54" s="30" t="str">
        <f t="shared" si="18"/>
        <v>-</v>
      </c>
      <c r="S54" s="30" t="str">
        <f t="shared" si="18"/>
        <v>-</v>
      </c>
      <c r="T54" s="12"/>
      <c r="U54" s="319"/>
      <c r="V54" s="319"/>
      <c r="W54" s="319" t="s">
        <v>5700</v>
      </c>
      <c r="X54" s="319">
        <f>SUMIF(AH32:AU32,"&gt;0",AH54:AU54)</f>
        <v>0</v>
      </c>
      <c r="Y54" s="319" t="s">
        <v>3320</v>
      </c>
      <c r="Z54" s="319">
        <f>X54*$E$270</f>
        <v>0</v>
      </c>
      <c r="AA54" s="319"/>
      <c r="AB54" s="319"/>
      <c r="AC54" s="319"/>
      <c r="AD54" s="319"/>
      <c r="AE54" s="319"/>
      <c r="AF54" s="319"/>
      <c r="AG54" s="319"/>
      <c r="AH54" s="319">
        <f>IF(AH46=0,0,AH46*(1-F53))</f>
        <v>0</v>
      </c>
      <c r="AI54" s="319">
        <f t="shared" ref="AI54:AU54" si="19">IF(AI46=0,0,AI46*(1-G53))</f>
        <v>0</v>
      </c>
      <c r="AJ54" s="319">
        <f t="shared" si="19"/>
        <v>0</v>
      </c>
      <c r="AK54" s="319">
        <f t="shared" si="19"/>
        <v>0</v>
      </c>
      <c r="AL54" s="319">
        <f t="shared" si="19"/>
        <v>0</v>
      </c>
      <c r="AM54" s="319">
        <f t="shared" si="19"/>
        <v>0</v>
      </c>
      <c r="AN54" s="319">
        <f t="shared" si="19"/>
        <v>0</v>
      </c>
      <c r="AO54" s="319">
        <f t="shared" si="19"/>
        <v>0</v>
      </c>
      <c r="AP54" s="319">
        <f t="shared" si="19"/>
        <v>0</v>
      </c>
      <c r="AQ54" s="319">
        <f t="shared" si="19"/>
        <v>0</v>
      </c>
      <c r="AR54" s="319">
        <f t="shared" si="19"/>
        <v>0</v>
      </c>
      <c r="AS54" s="319">
        <f t="shared" si="19"/>
        <v>0</v>
      </c>
      <c r="AT54" s="319">
        <f t="shared" si="19"/>
        <v>0</v>
      </c>
      <c r="AU54" s="319">
        <f t="shared" si="19"/>
        <v>0</v>
      </c>
      <c r="AV54" s="319"/>
      <c r="AW54" s="319"/>
      <c r="AX54" s="319"/>
      <c r="AY54" s="319"/>
      <c r="AZ54" s="319"/>
      <c r="BA54" s="319">
        <v>41502</v>
      </c>
    </row>
    <row r="55" spans="1:53" ht="13.2" hidden="1">
      <c r="A55" s="14"/>
      <c r="B55" s="15" t="str">
        <f>Language!C291</f>
        <v>Demanda líquida de aquecimento</v>
      </c>
      <c r="C55" s="33" t="str">
        <f>C18</f>
        <v>MWh</v>
      </c>
      <c r="D55" s="34">
        <f>IF(Unit=TRUE,X55,Z55)</f>
        <v>0</v>
      </c>
      <c r="E55" s="41"/>
      <c r="F55" s="34" t="str">
        <f t="shared" ref="F55:S55" si="20">IF(AH55=0,"-",IF(Unit=TRUE,AH55,AH55*$F$270))</f>
        <v>-</v>
      </c>
      <c r="G55" s="34" t="str">
        <f t="shared" si="20"/>
        <v>-</v>
      </c>
      <c r="H55" s="34" t="str">
        <f t="shared" si="20"/>
        <v>-</v>
      </c>
      <c r="I55" s="34" t="str">
        <f t="shared" si="20"/>
        <v>-</v>
      </c>
      <c r="J55" s="34" t="str">
        <f t="shared" si="20"/>
        <v>-</v>
      </c>
      <c r="K55" s="34" t="str">
        <f t="shared" si="20"/>
        <v>-</v>
      </c>
      <c r="L55" s="34" t="str">
        <f t="shared" si="20"/>
        <v>-</v>
      </c>
      <c r="M55" s="34" t="str">
        <f t="shared" si="20"/>
        <v>-</v>
      </c>
      <c r="N55" s="34" t="str">
        <f t="shared" si="20"/>
        <v>-</v>
      </c>
      <c r="O55" s="34" t="str">
        <f t="shared" si="20"/>
        <v>-</v>
      </c>
      <c r="P55" s="34" t="str">
        <f t="shared" si="20"/>
        <v>-</v>
      </c>
      <c r="Q55" s="34" t="str">
        <f t="shared" si="20"/>
        <v>-</v>
      </c>
      <c r="R55" s="34" t="str">
        <f t="shared" si="20"/>
        <v>-</v>
      </c>
      <c r="S55" s="34" t="str">
        <f t="shared" si="20"/>
        <v>-</v>
      </c>
      <c r="T55" s="12"/>
      <c r="U55" s="319"/>
      <c r="V55" s="319"/>
      <c r="W55" s="319" t="s">
        <v>2745</v>
      </c>
      <c r="X55" s="319">
        <f>SUMIF(AH32:AU32,"&gt;0",AH55:AU55)</f>
        <v>0</v>
      </c>
      <c r="Y55" s="319" t="s">
        <v>3318</v>
      </c>
      <c r="Z55" s="319">
        <f>X55*$F$270</f>
        <v>0</v>
      </c>
      <c r="AA55" s="319"/>
      <c r="AB55" s="319"/>
      <c r="AC55" s="319"/>
      <c r="AD55" s="319"/>
      <c r="AE55" s="319"/>
      <c r="AF55" s="319"/>
      <c r="AG55" s="319"/>
      <c r="AH55" s="319">
        <f>IF(AH54=0,0,AH54*$X$53/1000)</f>
        <v>0</v>
      </c>
      <c r="AI55" s="319">
        <f t="shared" ref="AI55:AU55" si="21">IF(AI54=0,0,AI54*$X$53/1000)</f>
        <v>0</v>
      </c>
      <c r="AJ55" s="319">
        <f t="shared" si="21"/>
        <v>0</v>
      </c>
      <c r="AK55" s="319">
        <f t="shared" si="21"/>
        <v>0</v>
      </c>
      <c r="AL55" s="319">
        <f t="shared" si="21"/>
        <v>0</v>
      </c>
      <c r="AM55" s="319">
        <f t="shared" si="21"/>
        <v>0</v>
      </c>
      <c r="AN55" s="319">
        <f t="shared" si="21"/>
        <v>0</v>
      </c>
      <c r="AO55" s="319">
        <f t="shared" si="21"/>
        <v>0</v>
      </c>
      <c r="AP55" s="319">
        <f t="shared" si="21"/>
        <v>0</v>
      </c>
      <c r="AQ55" s="319">
        <f t="shared" si="21"/>
        <v>0</v>
      </c>
      <c r="AR55" s="319">
        <f t="shared" si="21"/>
        <v>0</v>
      </c>
      <c r="AS55" s="319">
        <f t="shared" si="21"/>
        <v>0</v>
      </c>
      <c r="AT55" s="319">
        <f t="shared" si="21"/>
        <v>0</v>
      </c>
      <c r="AU55" s="319">
        <f t="shared" si="21"/>
        <v>0</v>
      </c>
      <c r="AV55" s="319"/>
      <c r="AW55" s="319"/>
      <c r="AX55" s="319"/>
      <c r="AY55" s="319"/>
      <c r="AZ55" s="319"/>
      <c r="BA55" s="319">
        <v>41504</v>
      </c>
    </row>
    <row r="56" spans="1:53" ht="13.8" hidden="1" thickBot="1">
      <c r="A56" s="43"/>
      <c r="B56" s="43"/>
      <c r="C56" s="43"/>
      <c r="D56" s="43"/>
      <c r="E56" s="43"/>
      <c r="F56" s="43"/>
      <c r="G56" s="43"/>
      <c r="H56" s="43"/>
      <c r="I56" s="43"/>
      <c r="J56" s="43"/>
      <c r="K56" s="43"/>
      <c r="L56" s="43"/>
      <c r="M56" s="43"/>
      <c r="N56" s="43"/>
      <c r="O56" s="43"/>
      <c r="P56" s="43"/>
      <c r="Q56" s="43"/>
      <c r="R56" s="43"/>
      <c r="S56" s="43"/>
      <c r="T56" s="1"/>
      <c r="U56" s="319"/>
      <c r="V56" s="319"/>
      <c r="W56" s="319"/>
      <c r="X56" s="319"/>
      <c r="Y56" s="319"/>
      <c r="Z56" s="319"/>
      <c r="AA56" s="319"/>
      <c r="AB56" s="319"/>
      <c r="AC56" s="319"/>
      <c r="AD56" s="319"/>
      <c r="AE56" s="319"/>
      <c r="AF56" s="319"/>
      <c r="AG56" s="319"/>
      <c r="AH56" s="319"/>
      <c r="AI56" s="319"/>
      <c r="AJ56" s="319"/>
      <c r="AK56" s="319"/>
      <c r="AL56" s="319"/>
      <c r="AM56" s="319"/>
      <c r="AN56" s="319"/>
      <c r="AO56" s="319"/>
      <c r="AP56" s="319"/>
      <c r="AQ56" s="319"/>
      <c r="AR56" s="319"/>
      <c r="AS56" s="319"/>
      <c r="AT56" s="319"/>
      <c r="AU56" s="319"/>
      <c r="AV56" s="319"/>
      <c r="AW56" s="319"/>
      <c r="AX56" s="319"/>
      <c r="AY56" s="319"/>
      <c r="AZ56" s="319"/>
      <c r="BA56" s="319">
        <v>41000</v>
      </c>
    </row>
    <row r="57" spans="1:53" ht="13.8" hidden="1" thickTop="1">
      <c r="A57" s="1172" t="str">
        <f>Language!C300</f>
        <v>Rede de aquecimento municipal do caso proposto</v>
      </c>
      <c r="B57" s="1173"/>
      <c r="C57" s="1177"/>
      <c r="D57" s="45" t="str">
        <f>Language!C301</f>
        <v>Estimado/Total</v>
      </c>
      <c r="E57" s="1"/>
      <c r="F57" s="1"/>
      <c r="G57" s="1"/>
      <c r="H57" s="1"/>
      <c r="I57" s="1"/>
      <c r="J57" s="1"/>
      <c r="K57" s="1"/>
      <c r="L57" s="1"/>
      <c r="M57" s="1"/>
      <c r="N57" s="1"/>
      <c r="O57" s="1"/>
      <c r="P57" s="1"/>
      <c r="Q57" s="1"/>
      <c r="R57" s="1"/>
      <c r="S57" s="44"/>
      <c r="T57" s="1"/>
      <c r="U57" s="319"/>
      <c r="V57" s="319"/>
      <c r="W57" s="319"/>
      <c r="X57" s="319"/>
      <c r="Y57" s="319"/>
      <c r="Z57" s="319"/>
      <c r="AA57" s="319"/>
      <c r="AB57" s="319"/>
      <c r="AC57" s="319"/>
      <c r="AD57" s="319"/>
      <c r="AE57" s="319"/>
      <c r="AF57" s="319"/>
      <c r="AG57" s="319"/>
      <c r="AH57" s="319"/>
      <c r="AI57" s="319"/>
      <c r="AJ57" s="319"/>
      <c r="AK57" s="319"/>
      <c r="AL57" s="319"/>
      <c r="AM57" s="319"/>
      <c r="AN57" s="319"/>
      <c r="AO57" s="319"/>
      <c r="AP57" s="319"/>
      <c r="AQ57" s="319"/>
      <c r="AR57" s="319"/>
      <c r="AS57" s="319"/>
      <c r="AT57" s="319"/>
      <c r="AU57" s="319"/>
      <c r="AV57" s="319"/>
      <c r="AW57" s="319"/>
      <c r="AX57" s="319"/>
      <c r="AY57" s="319"/>
      <c r="AZ57" s="319"/>
      <c r="BA57" s="319">
        <v>42000</v>
      </c>
    </row>
    <row r="58" spans="1:53" ht="13.2" hidden="1">
      <c r="A58" s="12"/>
      <c r="B58" s="28" t="str">
        <f>Language!C302</f>
        <v>Critérios p/ projeto da rede de aquecimento</v>
      </c>
      <c r="C58" s="1"/>
      <c r="D58" s="1"/>
      <c r="E58" s="1"/>
      <c r="F58" s="1"/>
      <c r="G58" s="1"/>
      <c r="H58" s="1"/>
      <c r="I58" s="1"/>
      <c r="J58" s="1"/>
      <c r="K58" s="1"/>
      <c r="L58" s="1"/>
      <c r="M58" s="1"/>
      <c r="N58" s="1"/>
      <c r="O58" s="1"/>
      <c r="P58" s="1"/>
      <c r="Q58" s="1"/>
      <c r="R58" s="1"/>
      <c r="S58" s="9"/>
      <c r="T58" s="1"/>
      <c r="U58" s="319"/>
      <c r="V58" s="319"/>
      <c r="W58" s="319"/>
      <c r="X58" s="319"/>
      <c r="Y58" s="319"/>
      <c r="Z58" s="319"/>
      <c r="AA58" s="319"/>
      <c r="AB58" s="319"/>
      <c r="AC58" s="319"/>
      <c r="AD58" s="319"/>
      <c r="AE58" s="319"/>
      <c r="AF58" s="319"/>
      <c r="AG58" s="319">
        <f>18-Iniciar!P52</f>
        <v>14.700000000000003</v>
      </c>
      <c r="AH58" s="319" t="s">
        <v>3835</v>
      </c>
      <c r="AI58" s="319"/>
      <c r="AJ58" s="319"/>
      <c r="AK58" s="319"/>
      <c r="AL58" s="319"/>
      <c r="AM58" s="319"/>
      <c r="AN58" s="319"/>
      <c r="AO58" s="319"/>
      <c r="AP58" s="319"/>
      <c r="AQ58" s="319"/>
      <c r="AR58" s="319"/>
      <c r="AS58" s="319"/>
      <c r="AT58" s="319"/>
      <c r="AU58" s="319"/>
      <c r="AV58" s="319"/>
      <c r="AW58" s="319"/>
      <c r="AX58" s="319"/>
      <c r="AY58" s="319"/>
      <c r="AZ58" s="319"/>
      <c r="BA58" s="319">
        <v>42100</v>
      </c>
    </row>
    <row r="59" spans="1:53" ht="13.2" hidden="1">
      <c r="A59" s="12"/>
      <c r="B59" s="1" t="str">
        <f>Language!C303</f>
        <v>Temp. de fornecimento projetada</v>
      </c>
      <c r="C59" s="303" t="s">
        <v>5568</v>
      </c>
      <c r="D59" s="303"/>
      <c r="E59" s="1"/>
      <c r="F59" s="1"/>
      <c r="G59" s="1"/>
      <c r="H59" s="1"/>
      <c r="I59" s="1"/>
      <c r="J59" s="1"/>
      <c r="K59" s="1"/>
      <c r="L59" s="1"/>
      <c r="M59" s="1"/>
      <c r="N59" s="1"/>
      <c r="O59" s="1"/>
      <c r="P59" s="1"/>
      <c r="Q59" s="1"/>
      <c r="R59" s="1"/>
      <c r="S59" s="9"/>
      <c r="T59" s="1"/>
      <c r="U59" s="319"/>
      <c r="V59" s="319"/>
      <c r="W59" s="319" t="s">
        <v>5568</v>
      </c>
      <c r="X59" s="319">
        <f>IF(C59=$D$262,D59,(D59-32)/1.8)</f>
        <v>0</v>
      </c>
      <c r="Y59" s="319" t="s">
        <v>4588</v>
      </c>
      <c r="Z59" s="319">
        <f>X59*1.8+32</f>
        <v>32</v>
      </c>
      <c r="AA59" s="319"/>
      <c r="AB59" s="319"/>
      <c r="AC59" s="319"/>
      <c r="AD59" s="319"/>
      <c r="AE59" s="319"/>
      <c r="AF59" s="319"/>
      <c r="AG59" s="319"/>
      <c r="AH59" s="319"/>
      <c r="AI59" s="319"/>
      <c r="AJ59" s="319"/>
      <c r="AK59" s="319"/>
      <c r="AL59" s="319"/>
      <c r="AM59" s="319"/>
      <c r="AN59" s="319"/>
      <c r="AO59" s="319"/>
      <c r="AP59" s="319"/>
      <c r="AQ59" s="319"/>
      <c r="AR59" s="319"/>
      <c r="AS59" s="319"/>
      <c r="AT59" s="319"/>
      <c r="AU59" s="319"/>
      <c r="AV59" s="319"/>
      <c r="AW59" s="319"/>
      <c r="AX59" s="319"/>
      <c r="AY59" s="319"/>
      <c r="AZ59" s="319"/>
      <c r="BA59" s="319">
        <v>42102</v>
      </c>
    </row>
    <row r="60" spans="1:53" ht="13.2" hidden="1">
      <c r="A60" s="12"/>
      <c r="B60" s="1" t="str">
        <f>Language!C304</f>
        <v>Temp. de retorno projetada</v>
      </c>
      <c r="C60" s="303" t="s">
        <v>5568</v>
      </c>
      <c r="D60" s="303"/>
      <c r="E60" s="1"/>
      <c r="F60" s="1"/>
      <c r="G60" s="1"/>
      <c r="H60" s="1"/>
      <c r="I60" s="1"/>
      <c r="J60" s="1"/>
      <c r="K60" s="1"/>
      <c r="L60" s="1"/>
      <c r="M60" s="1"/>
      <c r="N60" s="1"/>
      <c r="O60" s="1"/>
      <c r="P60" s="1"/>
      <c r="Q60" s="1"/>
      <c r="R60" s="1"/>
      <c r="S60" s="9"/>
      <c r="T60" s="1"/>
      <c r="U60" s="319"/>
      <c r="V60" s="319"/>
      <c r="W60" s="319" t="s">
        <v>5568</v>
      </c>
      <c r="X60" s="319">
        <f>IF(C60=$D$262,D60,(D60-32)/1.8)</f>
        <v>0</v>
      </c>
      <c r="Y60" s="319" t="s">
        <v>4588</v>
      </c>
      <c r="Z60" s="319">
        <f>X60*1.8+32</f>
        <v>32</v>
      </c>
      <c r="AA60" s="319"/>
      <c r="AB60" s="319"/>
      <c r="AC60" s="319"/>
      <c r="AD60" s="319"/>
      <c r="AE60" s="319"/>
      <c r="AF60" s="319"/>
      <c r="AG60" s="319"/>
      <c r="AH60" s="319"/>
      <c r="AI60" s="319"/>
      <c r="AJ60" s="319"/>
      <c r="AK60" s="319"/>
      <c r="AL60" s="319"/>
      <c r="AM60" s="319"/>
      <c r="AN60" s="319"/>
      <c r="AO60" s="319"/>
      <c r="AP60" s="319"/>
      <c r="AQ60" s="319"/>
      <c r="AR60" s="319"/>
      <c r="AS60" s="319"/>
      <c r="AT60" s="319"/>
      <c r="AU60" s="319"/>
      <c r="AV60" s="319"/>
      <c r="AW60" s="319"/>
      <c r="AX60" s="319"/>
      <c r="AY60" s="319"/>
      <c r="AZ60" s="319"/>
      <c r="BA60" s="319">
        <v>42104</v>
      </c>
    </row>
    <row r="61" spans="1:53" ht="13.2" hidden="1">
      <c r="A61" s="12"/>
      <c r="B61" s="1" t="str">
        <f>Language!C305</f>
        <v>Diferencial de temperatura</v>
      </c>
      <c r="C61" s="29" t="str">
        <f>IF(Unit=TRUE,Language!C1310,Language!C1313)</f>
        <v>°C</v>
      </c>
      <c r="D61" s="29">
        <f>IF(Unit=TRUE,X61,Z61)</f>
        <v>0</v>
      </c>
      <c r="E61" s="1"/>
      <c r="F61" s="1"/>
      <c r="G61" s="1"/>
      <c r="H61" s="1"/>
      <c r="I61" s="1"/>
      <c r="J61" s="1"/>
      <c r="K61" s="1"/>
      <c r="L61" s="1"/>
      <c r="M61" s="1"/>
      <c r="N61" s="1"/>
      <c r="O61" s="1"/>
      <c r="P61" s="1"/>
      <c r="Q61" s="1"/>
      <c r="R61" s="1"/>
      <c r="S61" s="9"/>
      <c r="T61" s="1"/>
      <c r="U61" s="319"/>
      <c r="V61" s="319"/>
      <c r="W61" s="319" t="s">
        <v>5568</v>
      </c>
      <c r="X61" s="319">
        <f>X59-X60</f>
        <v>0</v>
      </c>
      <c r="Y61" s="319" t="s">
        <v>4588</v>
      </c>
      <c r="Z61" s="319">
        <f>Z59-Z60</f>
        <v>0</v>
      </c>
      <c r="AA61" s="319"/>
      <c r="AB61" s="319"/>
      <c r="AC61" s="319"/>
      <c r="AD61" s="319"/>
      <c r="AE61" s="319"/>
      <c r="AF61" s="319"/>
      <c r="AG61" s="319"/>
      <c r="AH61" s="319"/>
      <c r="AI61" s="319"/>
      <c r="AJ61" s="319"/>
      <c r="AK61" s="319"/>
      <c r="AL61" s="319"/>
      <c r="AM61" s="319"/>
      <c r="AN61" s="319"/>
      <c r="AO61" s="319"/>
      <c r="AP61" s="319"/>
      <c r="AQ61" s="319"/>
      <c r="AR61" s="319"/>
      <c r="AS61" s="319"/>
      <c r="AT61" s="319"/>
      <c r="AU61" s="319"/>
      <c r="AV61" s="319"/>
      <c r="AW61" s="319"/>
      <c r="AX61" s="319"/>
      <c r="AY61" s="319"/>
      <c r="AZ61" s="319"/>
      <c r="BA61" s="319">
        <v>42106</v>
      </c>
    </row>
    <row r="62" spans="1:53" ht="13.2" hidden="1">
      <c r="A62" s="12"/>
      <c r="B62" s="28" t="str">
        <f>Language!C306</f>
        <v>Linha principal de distribuição de calor</v>
      </c>
      <c r="C62" s="1"/>
      <c r="D62" s="1"/>
      <c r="E62" s="1"/>
      <c r="F62" s="1"/>
      <c r="G62" s="1"/>
      <c r="H62" s="1"/>
      <c r="I62" s="1"/>
      <c r="J62" s="1"/>
      <c r="K62" s="1"/>
      <c r="L62" s="1"/>
      <c r="M62" s="1"/>
      <c r="N62" s="1"/>
      <c r="O62" s="1"/>
      <c r="P62" s="1"/>
      <c r="Q62" s="1"/>
      <c r="R62" s="1"/>
      <c r="S62" s="9"/>
      <c r="T62" s="1"/>
      <c r="U62" s="319"/>
      <c r="V62" s="319"/>
      <c r="W62" s="319"/>
      <c r="X62" s="319"/>
      <c r="Y62" s="319"/>
      <c r="Z62" s="319"/>
      <c r="AA62" s="319"/>
      <c r="AB62" s="319"/>
      <c r="AC62" s="319"/>
      <c r="AD62" s="319"/>
      <c r="AE62" s="319"/>
      <c r="AF62" s="319"/>
      <c r="AG62" s="319"/>
      <c r="AH62" s="319"/>
      <c r="AI62" s="319"/>
      <c r="AJ62" s="319"/>
      <c r="AK62" s="319"/>
      <c r="AL62" s="319"/>
      <c r="AM62" s="319"/>
      <c r="AN62" s="319"/>
      <c r="AO62" s="319"/>
      <c r="AP62" s="319"/>
      <c r="AQ62" s="319"/>
      <c r="AR62" s="319"/>
      <c r="AS62" s="319"/>
      <c r="AT62" s="319"/>
      <c r="AU62" s="319"/>
      <c r="AV62" s="319"/>
      <c r="AW62" s="319"/>
      <c r="AX62" s="319"/>
      <c r="AY62" s="319"/>
      <c r="AZ62" s="319"/>
      <c r="BA62" s="319">
        <v>42200</v>
      </c>
    </row>
    <row r="63" spans="1:53" ht="13.2" hidden="1">
      <c r="A63" s="12"/>
      <c r="B63" s="1" t="str">
        <f>Language!C307</f>
        <v>Sobredimensiona. do tubo principal da rede</v>
      </c>
      <c r="C63" s="29" t="str">
        <f>$C$13</f>
        <v>%</v>
      </c>
      <c r="D63" s="339"/>
      <c r="E63" s="1"/>
      <c r="F63" s="1"/>
      <c r="G63" s="1"/>
      <c r="H63" s="1"/>
      <c r="I63" s="1"/>
      <c r="J63" s="1"/>
      <c r="K63" s="1"/>
      <c r="L63" s="1"/>
      <c r="M63" s="1"/>
      <c r="N63" s="1"/>
      <c r="O63" s="1"/>
      <c r="P63" s="1"/>
      <c r="Q63" s="1"/>
      <c r="R63" s="1"/>
      <c r="S63" s="9"/>
      <c r="T63" s="1"/>
      <c r="U63" s="319"/>
      <c r="V63" s="319"/>
      <c r="W63" s="319"/>
      <c r="X63" s="319"/>
      <c r="Y63" s="319"/>
      <c r="Z63" s="319"/>
      <c r="AA63" s="319"/>
      <c r="AB63" s="319"/>
      <c r="AC63" s="319"/>
      <c r="AD63" s="319"/>
      <c r="AE63" s="319"/>
      <c r="AF63" s="319"/>
      <c r="AG63" s="319"/>
      <c r="AH63" s="319"/>
      <c r="AI63" s="319"/>
      <c r="AJ63" s="319"/>
      <c r="AK63" s="319"/>
      <c r="AL63" s="319"/>
      <c r="AM63" s="319"/>
      <c r="AN63" s="319"/>
      <c r="AO63" s="319"/>
      <c r="AP63" s="319"/>
      <c r="AQ63" s="319"/>
      <c r="AR63" s="319"/>
      <c r="AS63" s="319"/>
      <c r="AT63" s="319"/>
      <c r="AU63" s="319"/>
      <c r="AV63" s="319"/>
      <c r="AW63" s="319"/>
      <c r="AX63" s="319"/>
      <c r="AY63" s="319"/>
      <c r="AZ63" s="319"/>
      <c r="BA63" s="319">
        <v>42202</v>
      </c>
    </row>
    <row r="64" spans="1:53" ht="12.75" hidden="1" customHeight="1" thickBot="1">
      <c r="A64" s="12"/>
      <c r="B64" s="28" t="str">
        <f>Language!C308</f>
        <v>Secções de tubos</v>
      </c>
      <c r="C64" s="45" t="str">
        <f>Language!C309</f>
        <v>Carga</v>
      </c>
      <c r="D64" s="45" t="str">
        <f>Language!C310</f>
        <v>Comprimento</v>
      </c>
      <c r="E64" s="82" t="str">
        <f>Language!C311</f>
        <v>Dimens. Tubo</v>
      </c>
      <c r="F64" s="134" t="str">
        <f>Language!C312</f>
        <v>O condomínio é atendido por esta secção de tubo ? (sim/não)</v>
      </c>
      <c r="G64" s="1"/>
      <c r="H64" s="1"/>
      <c r="I64" s="1"/>
      <c r="J64" s="1"/>
      <c r="K64" s="1"/>
      <c r="L64" s="1"/>
      <c r="M64" s="1"/>
      <c r="N64" s="1"/>
      <c r="O64" s="1"/>
      <c r="P64" s="1"/>
      <c r="Q64" s="1"/>
      <c r="R64" s="1"/>
      <c r="S64" s="9"/>
      <c r="T64" s="1"/>
      <c r="U64" s="319"/>
      <c r="V64" s="319"/>
      <c r="W64" s="319"/>
      <c r="X64" s="319"/>
      <c r="Y64" s="319"/>
      <c r="Z64" s="319"/>
      <c r="AA64" s="319"/>
      <c r="AB64" s="319"/>
      <c r="AC64" s="319"/>
      <c r="AD64" s="319"/>
      <c r="AE64" s="319"/>
      <c r="AF64" s="319"/>
      <c r="AG64" s="319"/>
      <c r="AH64" s="319" t="s">
        <v>623</v>
      </c>
      <c r="AI64" s="319"/>
      <c r="AJ64" s="319"/>
      <c r="AK64" s="319"/>
      <c r="AL64" s="319"/>
      <c r="AM64" s="319"/>
      <c r="AN64" s="319"/>
      <c r="AO64" s="319"/>
      <c r="AP64" s="319"/>
      <c r="AQ64" s="319"/>
      <c r="AR64" s="319"/>
      <c r="AS64" s="319"/>
      <c r="AT64" s="319"/>
      <c r="AU64" s="319"/>
      <c r="AV64" s="319"/>
      <c r="AW64" s="319"/>
      <c r="AX64" s="319"/>
      <c r="AY64" s="319"/>
      <c r="AZ64" s="319"/>
      <c r="BA64" s="319">
        <v>42204</v>
      </c>
    </row>
    <row r="65" spans="1:53" ht="13.2" hidden="1">
      <c r="A65" s="12"/>
      <c r="B65" s="1"/>
      <c r="C65" s="45" t="str">
        <f>C21</f>
        <v>kW</v>
      </c>
      <c r="D65" s="308" t="s">
        <v>5569</v>
      </c>
      <c r="E65" s="45" t="str">
        <f>Language!C1392</f>
        <v>mm</v>
      </c>
      <c r="F65" s="35">
        <v>1</v>
      </c>
      <c r="G65" s="35">
        <v>2</v>
      </c>
      <c r="H65" s="35">
        <v>3</v>
      </c>
      <c r="I65" s="35">
        <v>4</v>
      </c>
      <c r="J65" s="35">
        <v>5</v>
      </c>
      <c r="K65" s="35">
        <v>6</v>
      </c>
      <c r="L65" s="35">
        <v>7</v>
      </c>
      <c r="M65" s="35">
        <v>8</v>
      </c>
      <c r="N65" s="35">
        <v>9</v>
      </c>
      <c r="O65" s="35">
        <v>10</v>
      </c>
      <c r="P65" s="35">
        <v>11</v>
      </c>
      <c r="Q65" s="35">
        <v>12</v>
      </c>
      <c r="R65" s="35">
        <v>13</v>
      </c>
      <c r="S65" s="35">
        <v>14</v>
      </c>
      <c r="T65" s="1"/>
      <c r="U65" s="319"/>
      <c r="V65" s="319"/>
      <c r="W65" s="319" t="s">
        <v>5700</v>
      </c>
      <c r="X65" s="319" t="s">
        <v>3320</v>
      </c>
      <c r="Y65" s="319" t="s">
        <v>5569</v>
      </c>
      <c r="Z65" s="319"/>
      <c r="AA65" s="319"/>
      <c r="AB65" s="319"/>
      <c r="AC65" s="319"/>
      <c r="AD65" s="319"/>
      <c r="AE65" s="319"/>
      <c r="AF65" s="319"/>
      <c r="AG65" s="319" t="s">
        <v>708</v>
      </c>
      <c r="AH65" s="319" t="s">
        <v>3301</v>
      </c>
      <c r="AI65" s="319"/>
      <c r="AJ65" s="319"/>
      <c r="AK65" s="319" t="s">
        <v>624</v>
      </c>
      <c r="AL65" s="319" t="s">
        <v>708</v>
      </c>
      <c r="AM65" s="319"/>
      <c r="AN65" s="319"/>
      <c r="AO65" s="319"/>
      <c r="AP65" s="319"/>
      <c r="AQ65" s="319"/>
      <c r="AR65" s="319"/>
      <c r="AS65" s="319"/>
      <c r="AT65" s="319"/>
      <c r="AU65" s="319"/>
      <c r="AV65" s="319"/>
      <c r="AW65" s="319"/>
      <c r="AX65" s="319"/>
      <c r="AY65" s="319"/>
      <c r="AZ65" s="319"/>
      <c r="BA65" s="319">
        <v>42204</v>
      </c>
    </row>
    <row r="66" spans="1:53" ht="13.2" hidden="1">
      <c r="A66" s="12"/>
      <c r="B66" s="1" t="str">
        <f>Language!$C$313&amp;" 1"</f>
        <v>Secção 1</v>
      </c>
      <c r="C66" s="140">
        <f t="shared" ref="C66:C78" si="22">IF(Unit=TRUE,W66,X66)</f>
        <v>0</v>
      </c>
      <c r="D66" s="307">
        <v>1</v>
      </c>
      <c r="E66" s="29" t="str">
        <f t="shared" ref="E66:E78" si="23">IF(OR($Y66=0,$W66=0),"",LOOKUP(($W66*(1+$D$63)),$D$286:$D$306,$H$286:$H$306))</f>
        <v/>
      </c>
      <c r="F66" s="303" t="s">
        <v>6131</v>
      </c>
      <c r="G66" s="303"/>
      <c r="H66" s="303"/>
      <c r="I66" s="303"/>
      <c r="J66" s="303"/>
      <c r="K66" s="303"/>
      <c r="L66" s="303"/>
      <c r="M66" s="303"/>
      <c r="N66" s="303"/>
      <c r="O66" s="303"/>
      <c r="P66" s="303"/>
      <c r="Q66" s="303"/>
      <c r="R66" s="303"/>
      <c r="S66" s="303"/>
      <c r="T66" s="12"/>
      <c r="U66" s="319"/>
      <c r="V66" s="319"/>
      <c r="W66" s="319">
        <f t="shared" ref="W66:W78" si="24">SUMIF(F66:S66,$G$260,$AH$54:$AU$54)*IF(D66&lt;&gt;0,1,0)</f>
        <v>0</v>
      </c>
      <c r="X66" s="319">
        <f t="shared" ref="X66:X78" si="25">IF(W66="","",W66*$E$270)</f>
        <v>0</v>
      </c>
      <c r="Y66" s="319">
        <f t="shared" ref="Y66:Y78" si="26">IF($D$65=$D$264,D66,D66*$E$265)</f>
        <v>1</v>
      </c>
      <c r="Z66" s="319"/>
      <c r="AA66" s="319"/>
      <c r="AB66" s="319"/>
      <c r="AC66" s="319"/>
      <c r="AD66" s="319"/>
      <c r="AE66" s="319"/>
      <c r="AF66" s="319"/>
      <c r="AG66" s="319" t="s">
        <v>708</v>
      </c>
      <c r="AH66" s="319" t="s">
        <v>4764</v>
      </c>
      <c r="AI66" s="319" t="s">
        <v>4602</v>
      </c>
      <c r="AJ66" s="319"/>
      <c r="AK66" s="319"/>
      <c r="AL66" s="319"/>
      <c r="AM66" s="319"/>
      <c r="AN66" s="319"/>
      <c r="AO66" s="319"/>
      <c r="AP66" s="319"/>
      <c r="AQ66" s="319"/>
      <c r="AR66" s="319"/>
      <c r="AS66" s="319"/>
      <c r="AT66" s="319"/>
      <c r="AU66" s="319"/>
      <c r="AV66" s="319"/>
      <c r="AW66" s="319"/>
      <c r="AX66" s="319"/>
      <c r="AY66" s="319"/>
      <c r="AZ66" s="319"/>
      <c r="BA66" s="319">
        <v>42204</v>
      </c>
    </row>
    <row r="67" spans="1:53" ht="13.2" hidden="1">
      <c r="A67" s="12"/>
      <c r="B67" s="1" t="str">
        <f>Language!$C$313&amp;" 2"</f>
        <v>Secção 2</v>
      </c>
      <c r="C67" s="140">
        <f t="shared" si="22"/>
        <v>0</v>
      </c>
      <c r="D67" s="307"/>
      <c r="E67" s="29" t="str">
        <f t="shared" si="23"/>
        <v/>
      </c>
      <c r="F67" s="303"/>
      <c r="G67" s="303"/>
      <c r="H67" s="303"/>
      <c r="I67" s="303"/>
      <c r="J67" s="303"/>
      <c r="K67" s="303"/>
      <c r="L67" s="303"/>
      <c r="M67" s="303"/>
      <c r="N67" s="303"/>
      <c r="O67" s="303"/>
      <c r="P67" s="303"/>
      <c r="Q67" s="303"/>
      <c r="R67" s="303"/>
      <c r="S67" s="303"/>
      <c r="T67" s="12"/>
      <c r="U67" s="319"/>
      <c r="V67" s="319"/>
      <c r="W67" s="319">
        <f t="shared" si="24"/>
        <v>0</v>
      </c>
      <c r="X67" s="319">
        <f t="shared" si="25"/>
        <v>0</v>
      </c>
      <c r="Y67" s="319">
        <f t="shared" si="26"/>
        <v>0</v>
      </c>
      <c r="Z67" s="319"/>
      <c r="AA67" s="319"/>
      <c r="AB67" s="319"/>
      <c r="AC67" s="319"/>
      <c r="AD67" s="319"/>
      <c r="AE67" s="319"/>
      <c r="AF67" s="319"/>
      <c r="AG67" s="319"/>
      <c r="AH67" s="319">
        <f>Ann_heat_deg_days*AI67/(1-AI67)/365</f>
        <v>0</v>
      </c>
      <c r="AI67" s="319">
        <f>IF(AND(Set_Level=2,Iniciar!P4=0),IF(HideCodeLN_HPT&lt;4,D13,D38),IF(AND(Set_Level=1,Iniciar!P4=0),IF(HideCodeLN_HPT&lt;4,D13,D38),'Modelo Energético '!P909))</f>
        <v>0</v>
      </c>
      <c r="AJ67" s="319"/>
      <c r="AK67" s="319"/>
      <c r="AL67" s="319"/>
      <c r="AM67" s="319"/>
      <c r="AN67" s="319"/>
      <c r="AO67" s="319"/>
      <c r="AP67" s="319"/>
      <c r="AQ67" s="319"/>
      <c r="AR67" s="319"/>
      <c r="AS67" s="319"/>
      <c r="AT67" s="319"/>
      <c r="AU67" s="319"/>
      <c r="AV67" s="319"/>
      <c r="AW67" s="319"/>
      <c r="AX67" s="319"/>
      <c r="AY67" s="319"/>
      <c r="AZ67" s="319"/>
      <c r="BA67" s="319">
        <v>42204</v>
      </c>
    </row>
    <row r="68" spans="1:53" ht="13.2" hidden="1">
      <c r="A68" s="12"/>
      <c r="B68" s="1" t="str">
        <f>Language!$C$313&amp;" 3"</f>
        <v>Secção 3</v>
      </c>
      <c r="C68" s="140">
        <f t="shared" si="22"/>
        <v>0</v>
      </c>
      <c r="D68" s="307"/>
      <c r="E68" s="29" t="str">
        <f t="shared" si="23"/>
        <v/>
      </c>
      <c r="F68" s="303"/>
      <c r="G68" s="303"/>
      <c r="H68" s="303"/>
      <c r="I68" s="303"/>
      <c r="J68" s="303"/>
      <c r="K68" s="303"/>
      <c r="L68" s="303"/>
      <c r="M68" s="303"/>
      <c r="N68" s="303"/>
      <c r="O68" s="303"/>
      <c r="P68" s="303"/>
      <c r="Q68" s="303"/>
      <c r="R68" s="303"/>
      <c r="S68" s="303"/>
      <c r="T68" s="12"/>
      <c r="U68" s="319"/>
      <c r="V68" s="319"/>
      <c r="W68" s="319">
        <f t="shared" si="24"/>
        <v>0</v>
      </c>
      <c r="X68" s="319">
        <f t="shared" si="25"/>
        <v>0</v>
      </c>
      <c r="Y68" s="319">
        <f t="shared" si="26"/>
        <v>0</v>
      </c>
      <c r="Z68" s="319"/>
      <c r="AA68" s="319"/>
      <c r="AB68" s="319"/>
      <c r="AC68" s="319"/>
      <c r="AD68" s="319"/>
      <c r="AE68" s="319"/>
      <c r="AF68" s="319"/>
      <c r="AG68" s="319"/>
      <c r="AH68" s="319"/>
      <c r="AI68" s="319"/>
      <c r="AJ68" s="319"/>
      <c r="AK68" s="319"/>
      <c r="AL68" s="319"/>
      <c r="AM68" s="319"/>
      <c r="AN68" s="319"/>
      <c r="AO68" s="319"/>
      <c r="AP68" s="319"/>
      <c r="AQ68" s="319"/>
      <c r="AR68" s="319"/>
      <c r="AS68" s="319"/>
      <c r="AT68" s="319"/>
      <c r="AU68" s="319"/>
      <c r="AV68" s="319"/>
      <c r="AW68" s="319"/>
      <c r="AX68" s="319"/>
      <c r="AY68" s="319"/>
      <c r="AZ68" s="319"/>
      <c r="BA68" s="319">
        <v>42204</v>
      </c>
    </row>
    <row r="69" spans="1:53" ht="13.2" hidden="1">
      <c r="A69" s="12"/>
      <c r="B69" s="1" t="str">
        <f>Language!$C$313&amp;" 4"</f>
        <v>Secção 4</v>
      </c>
      <c r="C69" s="140">
        <f t="shared" si="22"/>
        <v>0</v>
      </c>
      <c r="D69" s="307"/>
      <c r="E69" s="29" t="str">
        <f t="shared" si="23"/>
        <v/>
      </c>
      <c r="F69" s="303"/>
      <c r="G69" s="303"/>
      <c r="H69" s="303"/>
      <c r="I69" s="303"/>
      <c r="J69" s="303"/>
      <c r="K69" s="303"/>
      <c r="L69" s="303"/>
      <c r="M69" s="303"/>
      <c r="N69" s="303"/>
      <c r="O69" s="303"/>
      <c r="P69" s="303"/>
      <c r="Q69" s="303"/>
      <c r="R69" s="303"/>
      <c r="S69" s="303"/>
      <c r="T69" s="12"/>
      <c r="U69" s="319"/>
      <c r="V69" s="319"/>
      <c r="W69" s="319">
        <f t="shared" si="24"/>
        <v>0</v>
      </c>
      <c r="X69" s="319">
        <f t="shared" si="25"/>
        <v>0</v>
      </c>
      <c r="Y69" s="319">
        <f t="shared" si="26"/>
        <v>0</v>
      </c>
      <c r="Z69" s="319"/>
      <c r="AA69" s="319"/>
      <c r="AB69" s="319"/>
      <c r="AC69" s="319"/>
      <c r="AD69" s="319"/>
      <c r="AE69" s="319"/>
      <c r="AF69" s="319"/>
      <c r="AG69" s="319"/>
      <c r="AH69" s="319"/>
      <c r="AI69" s="319"/>
      <c r="AJ69" s="319"/>
      <c r="AK69" s="319"/>
      <c r="AL69" s="319"/>
      <c r="AM69" s="319"/>
      <c r="AN69" s="319"/>
      <c r="AO69" s="319"/>
      <c r="AP69" s="319"/>
      <c r="AQ69" s="319"/>
      <c r="AR69" s="319"/>
      <c r="AS69" s="319"/>
      <c r="AT69" s="319"/>
      <c r="AU69" s="319"/>
      <c r="AV69" s="319"/>
      <c r="AW69" s="319"/>
      <c r="AX69" s="319"/>
      <c r="AY69" s="319"/>
      <c r="AZ69" s="319"/>
      <c r="BA69" s="319">
        <v>42204</v>
      </c>
    </row>
    <row r="70" spans="1:53" ht="13.2" hidden="1">
      <c r="A70" s="12"/>
      <c r="B70" s="1" t="str">
        <f>Language!$C$313&amp;" 5"</f>
        <v>Secção 5</v>
      </c>
      <c r="C70" s="140">
        <f t="shared" si="22"/>
        <v>0</v>
      </c>
      <c r="D70" s="307"/>
      <c r="E70" s="29" t="str">
        <f t="shared" si="23"/>
        <v/>
      </c>
      <c r="F70" s="303"/>
      <c r="G70" s="303"/>
      <c r="H70" s="303"/>
      <c r="I70" s="303"/>
      <c r="J70" s="303"/>
      <c r="K70" s="303"/>
      <c r="L70" s="303"/>
      <c r="M70" s="303"/>
      <c r="N70" s="303"/>
      <c r="O70" s="303"/>
      <c r="P70" s="303"/>
      <c r="Q70" s="303"/>
      <c r="R70" s="303"/>
      <c r="S70" s="303"/>
      <c r="T70" s="12"/>
      <c r="U70" s="319"/>
      <c r="V70" s="319"/>
      <c r="W70" s="319">
        <f t="shared" si="24"/>
        <v>0</v>
      </c>
      <c r="X70" s="319">
        <f t="shared" si="25"/>
        <v>0</v>
      </c>
      <c r="Y70" s="319">
        <f t="shared" si="26"/>
        <v>0</v>
      </c>
      <c r="Z70" s="319"/>
      <c r="AA70" s="319"/>
      <c r="AB70" s="319"/>
      <c r="AC70" s="319"/>
      <c r="AD70" s="319"/>
      <c r="AE70" s="319"/>
      <c r="AF70" s="319"/>
      <c r="AG70" s="319"/>
      <c r="AH70" s="319"/>
      <c r="AI70" s="319"/>
      <c r="AJ70" s="319"/>
      <c r="AK70" s="319"/>
      <c r="AL70" s="319"/>
      <c r="AM70" s="319"/>
      <c r="AN70" s="319"/>
      <c r="AO70" s="319"/>
      <c r="AP70" s="319"/>
      <c r="AQ70" s="319"/>
      <c r="AR70" s="319"/>
      <c r="AS70" s="319"/>
      <c r="AT70" s="319"/>
      <c r="AU70" s="319"/>
      <c r="AV70" s="319"/>
      <c r="AW70" s="319"/>
      <c r="AX70" s="319"/>
      <c r="AY70" s="319"/>
      <c r="AZ70" s="319"/>
      <c r="BA70" s="319">
        <v>42204</v>
      </c>
    </row>
    <row r="71" spans="1:53" ht="13.2" hidden="1">
      <c r="A71" s="12"/>
      <c r="B71" s="1" t="str">
        <f>Language!$C$313&amp;" 6"</f>
        <v>Secção 6</v>
      </c>
      <c r="C71" s="140">
        <f t="shared" si="22"/>
        <v>0</v>
      </c>
      <c r="D71" s="307"/>
      <c r="E71" s="29" t="str">
        <f t="shared" si="23"/>
        <v/>
      </c>
      <c r="F71" s="303"/>
      <c r="G71" s="303"/>
      <c r="H71" s="303"/>
      <c r="I71" s="303"/>
      <c r="J71" s="303"/>
      <c r="K71" s="303"/>
      <c r="L71" s="303"/>
      <c r="M71" s="303"/>
      <c r="N71" s="303"/>
      <c r="O71" s="303"/>
      <c r="P71" s="303"/>
      <c r="Q71" s="303"/>
      <c r="R71" s="303"/>
      <c r="S71" s="303"/>
      <c r="T71" s="12"/>
      <c r="U71" s="319"/>
      <c r="V71" s="319"/>
      <c r="W71" s="319">
        <f t="shared" si="24"/>
        <v>0</v>
      </c>
      <c r="X71" s="319">
        <f t="shared" si="25"/>
        <v>0</v>
      </c>
      <c r="Y71" s="319">
        <f t="shared" si="26"/>
        <v>0</v>
      </c>
      <c r="Z71" s="319"/>
      <c r="AA71" s="319"/>
      <c r="AB71" s="319"/>
      <c r="AC71" s="319"/>
      <c r="AD71" s="319"/>
      <c r="AE71" s="319"/>
      <c r="AF71" s="319"/>
      <c r="AG71" s="319"/>
      <c r="AH71" s="319"/>
      <c r="AI71" s="319"/>
      <c r="AJ71" s="319"/>
      <c r="AK71" s="319"/>
      <c r="AL71" s="319"/>
      <c r="AM71" s="319"/>
      <c r="AN71" s="319"/>
      <c r="AO71" s="319"/>
      <c r="AP71" s="319"/>
      <c r="AQ71" s="319"/>
      <c r="AR71" s="319"/>
      <c r="AS71" s="319"/>
      <c r="AT71" s="319"/>
      <c r="AU71" s="319"/>
      <c r="AV71" s="319"/>
      <c r="AW71" s="319"/>
      <c r="AX71" s="319"/>
      <c r="AY71" s="319"/>
      <c r="AZ71" s="319"/>
      <c r="BA71" s="319">
        <v>42204</v>
      </c>
    </row>
    <row r="72" spans="1:53" ht="13.2" hidden="1">
      <c r="A72" s="12"/>
      <c r="B72" s="1" t="str">
        <f>Language!$C$313&amp;" 7"</f>
        <v>Secção 7</v>
      </c>
      <c r="C72" s="140">
        <f t="shared" si="22"/>
        <v>0</v>
      </c>
      <c r="D72" s="307"/>
      <c r="E72" s="29" t="str">
        <f t="shared" si="23"/>
        <v/>
      </c>
      <c r="F72" s="303"/>
      <c r="G72" s="303"/>
      <c r="H72" s="303"/>
      <c r="I72" s="303"/>
      <c r="J72" s="303"/>
      <c r="K72" s="303"/>
      <c r="L72" s="303"/>
      <c r="M72" s="303"/>
      <c r="N72" s="303"/>
      <c r="O72" s="303"/>
      <c r="P72" s="303"/>
      <c r="Q72" s="303"/>
      <c r="R72" s="303"/>
      <c r="S72" s="303"/>
      <c r="T72" s="12"/>
      <c r="U72" s="319"/>
      <c r="V72" s="319"/>
      <c r="W72" s="319">
        <f t="shared" si="24"/>
        <v>0</v>
      </c>
      <c r="X72" s="319">
        <f t="shared" si="25"/>
        <v>0</v>
      </c>
      <c r="Y72" s="319">
        <f t="shared" si="26"/>
        <v>0</v>
      </c>
      <c r="Z72" s="319"/>
      <c r="AA72" s="319"/>
      <c r="AB72" s="319"/>
      <c r="AC72" s="319"/>
      <c r="AD72" s="319"/>
      <c r="AE72" s="319"/>
      <c r="AF72" s="319"/>
      <c r="AG72" s="319"/>
      <c r="AH72" s="319"/>
      <c r="AI72" s="319"/>
      <c r="AJ72" s="319"/>
      <c r="AK72" s="319"/>
      <c r="AL72" s="319"/>
      <c r="AM72" s="319"/>
      <c r="AN72" s="319"/>
      <c r="AO72" s="319"/>
      <c r="AP72" s="319"/>
      <c r="AQ72" s="319"/>
      <c r="AR72" s="319"/>
      <c r="AS72" s="319"/>
      <c r="AT72" s="319"/>
      <c r="AU72" s="319"/>
      <c r="AV72" s="319"/>
      <c r="AW72" s="319"/>
      <c r="AX72" s="319"/>
      <c r="AY72" s="319"/>
      <c r="AZ72" s="319"/>
      <c r="BA72" s="319">
        <v>42204</v>
      </c>
    </row>
    <row r="73" spans="1:53" ht="13.2" hidden="1">
      <c r="A73" s="12"/>
      <c r="B73" s="1" t="str">
        <f>Language!$C$313&amp;" 8"</f>
        <v>Secção 8</v>
      </c>
      <c r="C73" s="140">
        <f t="shared" si="22"/>
        <v>0</v>
      </c>
      <c r="D73" s="307"/>
      <c r="E73" s="29" t="str">
        <f t="shared" si="23"/>
        <v/>
      </c>
      <c r="F73" s="303"/>
      <c r="G73" s="303"/>
      <c r="H73" s="303"/>
      <c r="I73" s="303"/>
      <c r="J73" s="303"/>
      <c r="K73" s="303"/>
      <c r="L73" s="303"/>
      <c r="M73" s="303"/>
      <c r="N73" s="303"/>
      <c r="O73" s="303"/>
      <c r="P73" s="303"/>
      <c r="Q73" s="303"/>
      <c r="R73" s="303"/>
      <c r="S73" s="303"/>
      <c r="T73" s="12"/>
      <c r="U73" s="319"/>
      <c r="V73" s="319"/>
      <c r="W73" s="319">
        <f t="shared" si="24"/>
        <v>0</v>
      </c>
      <c r="X73" s="319">
        <f t="shared" si="25"/>
        <v>0</v>
      </c>
      <c r="Y73" s="319">
        <f t="shared" si="26"/>
        <v>0</v>
      </c>
      <c r="Z73" s="319"/>
      <c r="AA73" s="319"/>
      <c r="AB73" s="319"/>
      <c r="AC73" s="319"/>
      <c r="AD73" s="319"/>
      <c r="AE73" s="319"/>
      <c r="AF73" s="319"/>
      <c r="AG73" s="319" t="s">
        <v>708</v>
      </c>
      <c r="AH73" s="319"/>
      <c r="AI73" s="319"/>
      <c r="AJ73" s="319"/>
      <c r="AK73" s="319"/>
      <c r="AL73" s="319"/>
      <c r="AM73" s="319"/>
      <c r="AN73" s="319"/>
      <c r="AO73" s="319"/>
      <c r="AP73" s="319"/>
      <c r="AQ73" s="319"/>
      <c r="AR73" s="319"/>
      <c r="AS73" s="319"/>
      <c r="AT73" s="319"/>
      <c r="AU73" s="319"/>
      <c r="AV73" s="319"/>
      <c r="AW73" s="319"/>
      <c r="AX73" s="319"/>
      <c r="AY73" s="319"/>
      <c r="AZ73" s="319"/>
      <c r="BA73" s="319">
        <v>42204</v>
      </c>
    </row>
    <row r="74" spans="1:53" ht="13.2" hidden="1">
      <c r="A74" s="12"/>
      <c r="B74" s="1" t="str">
        <f>Language!$C$313&amp;" 9"</f>
        <v>Secção 9</v>
      </c>
      <c r="C74" s="140">
        <f t="shared" si="22"/>
        <v>0</v>
      </c>
      <c r="D74" s="307"/>
      <c r="E74" s="29" t="str">
        <f t="shared" si="23"/>
        <v/>
      </c>
      <c r="F74" s="303"/>
      <c r="G74" s="303"/>
      <c r="H74" s="303"/>
      <c r="I74" s="303"/>
      <c r="J74" s="303"/>
      <c r="K74" s="303"/>
      <c r="L74" s="303"/>
      <c r="M74" s="303"/>
      <c r="N74" s="303"/>
      <c r="O74" s="303"/>
      <c r="P74" s="303"/>
      <c r="Q74" s="303"/>
      <c r="R74" s="303"/>
      <c r="S74" s="303"/>
      <c r="T74" s="12"/>
      <c r="U74" s="319"/>
      <c r="V74" s="319"/>
      <c r="W74" s="319">
        <f t="shared" si="24"/>
        <v>0</v>
      </c>
      <c r="X74" s="319">
        <f t="shared" si="25"/>
        <v>0</v>
      </c>
      <c r="Y74" s="319">
        <f t="shared" si="26"/>
        <v>0</v>
      </c>
      <c r="Z74" s="319"/>
      <c r="AA74" s="319"/>
      <c r="AB74" s="319"/>
      <c r="AC74" s="319"/>
      <c r="AD74" s="319"/>
      <c r="AE74" s="319"/>
      <c r="AF74" s="319"/>
      <c r="AG74" s="319"/>
      <c r="AH74" s="319"/>
      <c r="AI74" s="319"/>
      <c r="AJ74" s="319"/>
      <c r="AK74" s="319"/>
      <c r="AL74" s="319"/>
      <c r="AM74" s="319"/>
      <c r="AN74" s="319"/>
      <c r="AO74" s="319"/>
      <c r="AP74" s="319"/>
      <c r="AQ74" s="319"/>
      <c r="AR74" s="319"/>
      <c r="AS74" s="319"/>
      <c r="AT74" s="319"/>
      <c r="AU74" s="319"/>
      <c r="AV74" s="319"/>
      <c r="AW74" s="319"/>
      <c r="AX74" s="319"/>
      <c r="AY74" s="319"/>
      <c r="AZ74" s="319"/>
      <c r="BA74" s="319">
        <v>42204</v>
      </c>
    </row>
    <row r="75" spans="1:53" ht="13.2" hidden="1">
      <c r="A75" s="12"/>
      <c r="B75" s="1" t="str">
        <f>Language!$C$313&amp;" 10"</f>
        <v>Secção 10</v>
      </c>
      <c r="C75" s="140">
        <f t="shared" si="22"/>
        <v>0</v>
      </c>
      <c r="D75" s="307"/>
      <c r="E75" s="29" t="str">
        <f t="shared" si="23"/>
        <v/>
      </c>
      <c r="F75" s="303"/>
      <c r="G75" s="303"/>
      <c r="H75" s="303"/>
      <c r="I75" s="303"/>
      <c r="J75" s="303"/>
      <c r="K75" s="303"/>
      <c r="L75" s="303"/>
      <c r="M75" s="303"/>
      <c r="N75" s="303"/>
      <c r="O75" s="303"/>
      <c r="P75" s="303"/>
      <c r="Q75" s="303"/>
      <c r="R75" s="303"/>
      <c r="S75" s="303"/>
      <c r="T75" s="12"/>
      <c r="U75" s="319"/>
      <c r="V75" s="319"/>
      <c r="W75" s="319">
        <f t="shared" si="24"/>
        <v>0</v>
      </c>
      <c r="X75" s="319">
        <f t="shared" si="25"/>
        <v>0</v>
      </c>
      <c r="Y75" s="319">
        <f t="shared" si="26"/>
        <v>0</v>
      </c>
      <c r="Z75" s="319"/>
      <c r="AA75" s="319"/>
      <c r="AB75" s="319"/>
      <c r="AC75" s="319"/>
      <c r="AD75" s="319"/>
      <c r="AE75" s="319"/>
      <c r="AF75" s="319"/>
      <c r="AG75" s="319"/>
      <c r="AH75" s="319"/>
      <c r="AI75" s="319"/>
      <c r="AJ75" s="319"/>
      <c r="AK75" s="319"/>
      <c r="AL75" s="319"/>
      <c r="AM75" s="319"/>
      <c r="AN75" s="319"/>
      <c r="AO75" s="319"/>
      <c r="AP75" s="319"/>
      <c r="AQ75" s="319"/>
      <c r="AR75" s="319"/>
      <c r="AS75" s="319"/>
      <c r="AT75" s="319"/>
      <c r="AU75" s="319"/>
      <c r="AV75" s="319"/>
      <c r="AW75" s="319"/>
      <c r="AX75" s="319"/>
      <c r="AY75" s="319"/>
      <c r="AZ75" s="319"/>
      <c r="BA75" s="319">
        <v>42204</v>
      </c>
    </row>
    <row r="76" spans="1:53" ht="13.2" hidden="1">
      <c r="A76" s="12"/>
      <c r="B76" s="1" t="str">
        <f>Language!$C$313&amp;" 11"</f>
        <v>Secção 11</v>
      </c>
      <c r="C76" s="140">
        <f t="shared" si="22"/>
        <v>0</v>
      </c>
      <c r="D76" s="307"/>
      <c r="E76" s="29" t="str">
        <f t="shared" si="23"/>
        <v/>
      </c>
      <c r="F76" s="303"/>
      <c r="G76" s="303"/>
      <c r="H76" s="303"/>
      <c r="I76" s="303"/>
      <c r="J76" s="303"/>
      <c r="K76" s="303"/>
      <c r="L76" s="303"/>
      <c r="M76" s="303"/>
      <c r="N76" s="303"/>
      <c r="O76" s="303"/>
      <c r="P76" s="303"/>
      <c r="Q76" s="303"/>
      <c r="R76" s="303"/>
      <c r="S76" s="303"/>
      <c r="T76" s="12"/>
      <c r="U76" s="319"/>
      <c r="V76" s="319"/>
      <c r="W76" s="319">
        <f t="shared" si="24"/>
        <v>0</v>
      </c>
      <c r="X76" s="319">
        <f t="shared" si="25"/>
        <v>0</v>
      </c>
      <c r="Y76" s="319">
        <f t="shared" si="26"/>
        <v>0</v>
      </c>
      <c r="Z76" s="319"/>
      <c r="AA76" s="319"/>
      <c r="AB76" s="319"/>
      <c r="AC76" s="319"/>
      <c r="AD76" s="319"/>
      <c r="AE76" s="319"/>
      <c r="AF76" s="319"/>
      <c r="AG76" s="319"/>
      <c r="AH76" s="319"/>
      <c r="AI76" s="319"/>
      <c r="AJ76" s="319"/>
      <c r="AK76" s="319"/>
      <c r="AL76" s="319"/>
      <c r="AM76" s="319"/>
      <c r="AN76" s="319"/>
      <c r="AO76" s="319"/>
      <c r="AP76" s="319"/>
      <c r="AQ76" s="319"/>
      <c r="AR76" s="319"/>
      <c r="AS76" s="319"/>
      <c r="AT76" s="319"/>
      <c r="AU76" s="319"/>
      <c r="AV76" s="319"/>
      <c r="AW76" s="319"/>
      <c r="AX76" s="319"/>
      <c r="AY76" s="319"/>
      <c r="AZ76" s="319"/>
      <c r="BA76" s="319">
        <v>42204</v>
      </c>
    </row>
    <row r="77" spans="1:53" ht="13.2" hidden="1">
      <c r="A77" s="12"/>
      <c r="B77" s="1" t="str">
        <f>Language!$C$313&amp;" 12"</f>
        <v>Secção 12</v>
      </c>
      <c r="C77" s="140">
        <f t="shared" si="22"/>
        <v>0</v>
      </c>
      <c r="D77" s="307"/>
      <c r="E77" s="29" t="str">
        <f t="shared" si="23"/>
        <v/>
      </c>
      <c r="F77" s="303"/>
      <c r="G77" s="303"/>
      <c r="H77" s="303"/>
      <c r="I77" s="303"/>
      <c r="J77" s="303"/>
      <c r="K77" s="303"/>
      <c r="L77" s="303"/>
      <c r="M77" s="303"/>
      <c r="N77" s="303"/>
      <c r="O77" s="303"/>
      <c r="P77" s="303"/>
      <c r="Q77" s="303"/>
      <c r="R77" s="303"/>
      <c r="S77" s="303"/>
      <c r="T77" s="12"/>
      <c r="U77" s="319"/>
      <c r="V77" s="319"/>
      <c r="W77" s="319">
        <f t="shared" si="24"/>
        <v>0</v>
      </c>
      <c r="X77" s="319">
        <f t="shared" si="25"/>
        <v>0</v>
      </c>
      <c r="Y77" s="319">
        <f t="shared" si="26"/>
        <v>0</v>
      </c>
      <c r="Z77" s="319"/>
      <c r="AA77" s="319"/>
      <c r="AB77" s="319"/>
      <c r="AC77" s="319"/>
      <c r="AD77" s="319"/>
      <c r="AE77" s="319"/>
      <c r="AF77" s="319"/>
      <c r="AG77" s="319"/>
      <c r="AH77" s="319"/>
      <c r="AI77" s="319"/>
      <c r="AJ77" s="319"/>
      <c r="AK77" s="319"/>
      <c r="AL77" s="319"/>
      <c r="AM77" s="319"/>
      <c r="AN77" s="319"/>
      <c r="AO77" s="319"/>
      <c r="AP77" s="319"/>
      <c r="AQ77" s="319"/>
      <c r="AR77" s="319"/>
      <c r="AS77" s="319"/>
      <c r="AT77" s="319"/>
      <c r="AU77" s="319"/>
      <c r="AV77" s="319"/>
      <c r="AW77" s="319"/>
      <c r="AX77" s="319"/>
      <c r="AY77" s="319"/>
      <c r="AZ77" s="319"/>
      <c r="BA77" s="319">
        <v>42204</v>
      </c>
    </row>
    <row r="78" spans="1:53" ht="13.2" hidden="1">
      <c r="A78" s="12"/>
      <c r="B78" s="1" t="str">
        <f>Language!$C$313&amp;" 13"</f>
        <v>Secção 13</v>
      </c>
      <c r="C78" s="140">
        <f t="shared" si="22"/>
        <v>0</v>
      </c>
      <c r="D78" s="307"/>
      <c r="E78" s="29" t="str">
        <f t="shared" si="23"/>
        <v/>
      </c>
      <c r="F78" s="303"/>
      <c r="G78" s="303"/>
      <c r="H78" s="303"/>
      <c r="I78" s="303"/>
      <c r="J78" s="303"/>
      <c r="K78" s="303"/>
      <c r="L78" s="303"/>
      <c r="M78" s="303"/>
      <c r="N78" s="303"/>
      <c r="O78" s="303"/>
      <c r="P78" s="303"/>
      <c r="Q78" s="303"/>
      <c r="R78" s="303"/>
      <c r="S78" s="303"/>
      <c r="T78" s="12"/>
      <c r="U78" s="319"/>
      <c r="V78" s="319"/>
      <c r="W78" s="319">
        <f t="shared" si="24"/>
        <v>0</v>
      </c>
      <c r="X78" s="319">
        <f t="shared" si="25"/>
        <v>0</v>
      </c>
      <c r="Y78" s="319">
        <f t="shared" si="26"/>
        <v>0</v>
      </c>
      <c r="Z78" s="319"/>
      <c r="AA78" s="319"/>
      <c r="AB78" s="319"/>
      <c r="AC78" s="319"/>
      <c r="AD78" s="319"/>
      <c r="AE78" s="319"/>
      <c r="AF78" s="319"/>
      <c r="AG78" s="319"/>
      <c r="AH78" s="319"/>
      <c r="AI78" s="319"/>
      <c r="AJ78" s="319"/>
      <c r="AK78" s="319"/>
      <c r="AL78" s="319"/>
      <c r="AM78" s="319"/>
      <c r="AN78" s="319"/>
      <c r="AO78" s="319"/>
      <c r="AP78" s="319"/>
      <c r="AQ78" s="319"/>
      <c r="AR78" s="319"/>
      <c r="AS78" s="319"/>
      <c r="AT78" s="319"/>
      <c r="AU78" s="319"/>
      <c r="AV78" s="319"/>
      <c r="AW78" s="319"/>
      <c r="AX78" s="319"/>
      <c r="AY78" s="319"/>
      <c r="AZ78" s="319"/>
      <c r="BA78" s="319">
        <v>42204</v>
      </c>
    </row>
    <row r="79" spans="1:53" ht="13.2" hidden="1">
      <c r="A79" s="12"/>
      <c r="B79" s="1" t="str">
        <f>Language!C314</f>
        <v>Comprimento total do tubo da linha de distribuição principal</v>
      </c>
      <c r="C79" s="29" t="str">
        <f>IF(Unit=TRUE,Language!C1372,Language!C1327)</f>
        <v>m</v>
      </c>
      <c r="D79" s="30">
        <f>IF(Unit=TRUE,X79,Z79)</f>
        <v>1</v>
      </c>
      <c r="E79" s="1"/>
      <c r="F79" s="1"/>
      <c r="G79" s="1"/>
      <c r="H79" s="1"/>
      <c r="I79" s="1"/>
      <c r="J79" s="1"/>
      <c r="K79" s="1"/>
      <c r="L79" s="1"/>
      <c r="M79" s="1"/>
      <c r="N79" s="1"/>
      <c r="O79" s="1"/>
      <c r="P79" s="1"/>
      <c r="Q79" s="1"/>
      <c r="R79" s="1"/>
      <c r="S79" s="9"/>
      <c r="T79" s="1"/>
      <c r="U79" s="319"/>
      <c r="V79" s="319"/>
      <c r="W79" s="319" t="s">
        <v>5569</v>
      </c>
      <c r="X79" s="319">
        <f>SUM(Y66:Y78)</f>
        <v>1</v>
      </c>
      <c r="Y79" s="319" t="s">
        <v>3368</v>
      </c>
      <c r="Z79" s="319">
        <f>X79/$E$265</f>
        <v>3.2808398950131239</v>
      </c>
      <c r="AA79" s="319"/>
      <c r="AB79" s="319"/>
      <c r="AC79" s="319"/>
      <c r="AD79" s="319"/>
      <c r="AE79" s="319"/>
      <c r="AF79" s="319"/>
      <c r="AG79" s="319"/>
      <c r="AH79" s="319"/>
      <c r="AI79" s="319"/>
      <c r="AJ79" s="319"/>
      <c r="AK79" s="319"/>
      <c r="AL79" s="319"/>
      <c r="AM79" s="319"/>
      <c r="AN79" s="319"/>
      <c r="AO79" s="319"/>
      <c r="AP79" s="319"/>
      <c r="AQ79" s="319"/>
      <c r="AR79" s="319"/>
      <c r="AS79" s="319"/>
      <c r="AT79" s="319"/>
      <c r="AU79" s="319"/>
      <c r="AV79" s="319"/>
      <c r="AW79" s="319"/>
      <c r="AX79" s="319"/>
      <c r="AY79" s="319"/>
      <c r="AZ79" s="319"/>
      <c r="BA79" s="319">
        <v>42206</v>
      </c>
    </row>
    <row r="80" spans="1:53" ht="13.2" hidden="1">
      <c r="A80" s="12"/>
      <c r="B80" s="28" t="str">
        <f>Language!C315</f>
        <v>Linha secundária de distribuição de calor</v>
      </c>
      <c r="C80" s="1"/>
      <c r="D80" s="1"/>
      <c r="E80" s="1"/>
      <c r="F80" s="1"/>
      <c r="G80" s="1"/>
      <c r="H80" s="1"/>
      <c r="I80" s="1"/>
      <c r="J80" s="1"/>
      <c r="K80" s="1"/>
      <c r="L80" s="1"/>
      <c r="M80" s="1"/>
      <c r="N80" s="1"/>
      <c r="O80" s="1"/>
      <c r="P80" s="1"/>
      <c r="Q80" s="1"/>
      <c r="R80" s="1"/>
      <c r="S80" s="9"/>
      <c r="T80" s="1"/>
      <c r="U80" s="319"/>
      <c r="V80" s="319"/>
      <c r="W80" s="319"/>
      <c r="X80" s="319"/>
      <c r="Y80" s="319"/>
      <c r="Z80" s="319"/>
      <c r="AA80" s="319"/>
      <c r="AB80" s="319"/>
      <c r="AC80" s="319"/>
      <c r="AD80" s="319"/>
      <c r="AE80" s="319"/>
      <c r="AF80" s="319"/>
      <c r="AG80" s="319"/>
      <c r="AH80" s="319"/>
      <c r="AI80" s="319"/>
      <c r="AJ80" s="319"/>
      <c r="AK80" s="319"/>
      <c r="AL80" s="319"/>
      <c r="AM80" s="319"/>
      <c r="AN80" s="319"/>
      <c r="AO80" s="319"/>
      <c r="AP80" s="319"/>
      <c r="AQ80" s="319"/>
      <c r="AR80" s="319"/>
      <c r="AS80" s="319"/>
      <c r="AT80" s="319"/>
      <c r="AU80" s="319"/>
      <c r="AV80" s="319"/>
      <c r="AW80" s="319"/>
      <c r="AX80" s="319"/>
      <c r="AY80" s="319"/>
      <c r="AZ80" s="319"/>
      <c r="BA80" s="319">
        <v>42300</v>
      </c>
    </row>
    <row r="81" spans="1:53" ht="13.2" hidden="1">
      <c r="A81" s="12"/>
      <c r="B81" s="1" t="str">
        <f>Language!C317</f>
        <v>Sobredimens. tubo secundário da rede distrib.</v>
      </c>
      <c r="C81" s="29" t="str">
        <f>$C$13</f>
        <v>%</v>
      </c>
      <c r="D81" s="339"/>
      <c r="E81" s="1"/>
      <c r="F81" s="134" t="str">
        <f>Language!C316</f>
        <v>Comprimento do tubo da linha de distribuição secundária por condomínio</v>
      </c>
      <c r="G81" s="1"/>
      <c r="H81" s="1"/>
      <c r="I81" s="1"/>
      <c r="J81" s="1"/>
      <c r="K81" s="1"/>
      <c r="L81" s="1"/>
      <c r="M81" s="1"/>
      <c r="N81" s="1"/>
      <c r="O81" s="1"/>
      <c r="P81" s="1"/>
      <c r="Q81" s="1"/>
      <c r="R81" s="1"/>
      <c r="S81" s="9"/>
      <c r="T81" s="1"/>
      <c r="U81" s="319"/>
      <c r="V81" s="319"/>
      <c r="W81" s="319"/>
      <c r="X81" s="319"/>
      <c r="Y81" s="319"/>
      <c r="Z81" s="319"/>
      <c r="AA81" s="319"/>
      <c r="AB81" s="319"/>
      <c r="AC81" s="319"/>
      <c r="AD81" s="319"/>
      <c r="AE81" s="319"/>
      <c r="AF81" s="319"/>
      <c r="AG81" s="319"/>
      <c r="AH81" s="319"/>
      <c r="AI81" s="319"/>
      <c r="AJ81" s="319"/>
      <c r="AK81" s="319"/>
      <c r="AL81" s="319"/>
      <c r="AM81" s="319"/>
      <c r="AN81" s="319"/>
      <c r="AO81" s="319"/>
      <c r="AP81" s="319"/>
      <c r="AQ81" s="319"/>
      <c r="AR81" s="319"/>
      <c r="AS81" s="319"/>
      <c r="AT81" s="319"/>
      <c r="AU81" s="319"/>
      <c r="AV81" s="319"/>
      <c r="AW81" s="319"/>
      <c r="AX81" s="319"/>
      <c r="AY81" s="319"/>
      <c r="AZ81" s="319"/>
      <c r="BA81" s="319">
        <v>42302</v>
      </c>
    </row>
    <row r="82" spans="1:53" ht="13.2" hidden="1">
      <c r="A82" s="12"/>
      <c r="B82" s="1" t="str">
        <f>Language!C318</f>
        <v>Comprimento da secção de tubo</v>
      </c>
      <c r="C82" s="29" t="str">
        <f>C79</f>
        <v>m</v>
      </c>
      <c r="D82" s="30">
        <f>IF(Unit=TRUE,X82,Z82)</f>
        <v>0</v>
      </c>
      <c r="E82" s="303" t="s">
        <v>5569</v>
      </c>
      <c r="F82" s="307"/>
      <c r="G82" s="307"/>
      <c r="H82" s="307"/>
      <c r="I82" s="307"/>
      <c r="J82" s="307"/>
      <c r="K82" s="307"/>
      <c r="L82" s="307"/>
      <c r="M82" s="307"/>
      <c r="N82" s="307"/>
      <c r="O82" s="307"/>
      <c r="P82" s="307"/>
      <c r="Q82" s="307"/>
      <c r="R82" s="307"/>
      <c r="S82" s="307"/>
      <c r="T82" s="12"/>
      <c r="U82" s="319"/>
      <c r="V82" s="319"/>
      <c r="W82" s="319" t="s">
        <v>5569</v>
      </c>
      <c r="X82" s="319">
        <f>SUMIF(AH32:AU32,"&gt;0",AH82:AU82)</f>
        <v>0</v>
      </c>
      <c r="Y82" s="319" t="s">
        <v>3368</v>
      </c>
      <c r="Z82" s="319">
        <f>X82/$E$265</f>
        <v>0</v>
      </c>
      <c r="AA82" s="319"/>
      <c r="AB82" s="319"/>
      <c r="AC82" s="319"/>
      <c r="AD82" s="319"/>
      <c r="AE82" s="319"/>
      <c r="AF82" s="319"/>
      <c r="AG82" s="319"/>
      <c r="AH82" s="319">
        <f t="shared" ref="AH82:AU82" si="27">IF($E$82=$D$264,F82,F82*$E$265)</f>
        <v>0</v>
      </c>
      <c r="AI82" s="319">
        <f t="shared" si="27"/>
        <v>0</v>
      </c>
      <c r="AJ82" s="319">
        <f t="shared" si="27"/>
        <v>0</v>
      </c>
      <c r="AK82" s="319">
        <f t="shared" si="27"/>
        <v>0</v>
      </c>
      <c r="AL82" s="319">
        <f t="shared" si="27"/>
        <v>0</v>
      </c>
      <c r="AM82" s="319">
        <f t="shared" si="27"/>
        <v>0</v>
      </c>
      <c r="AN82" s="319">
        <f t="shared" si="27"/>
        <v>0</v>
      </c>
      <c r="AO82" s="319">
        <f t="shared" si="27"/>
        <v>0</v>
      </c>
      <c r="AP82" s="319">
        <f t="shared" si="27"/>
        <v>0</v>
      </c>
      <c r="AQ82" s="319">
        <f t="shared" si="27"/>
        <v>0</v>
      </c>
      <c r="AR82" s="319">
        <f t="shared" si="27"/>
        <v>0</v>
      </c>
      <c r="AS82" s="319">
        <f t="shared" si="27"/>
        <v>0</v>
      </c>
      <c r="AT82" s="319">
        <f t="shared" si="27"/>
        <v>0</v>
      </c>
      <c r="AU82" s="319">
        <f t="shared" si="27"/>
        <v>0</v>
      </c>
      <c r="AV82" s="319"/>
      <c r="AW82" s="319"/>
      <c r="AX82" s="319"/>
      <c r="AY82" s="319"/>
      <c r="AZ82" s="319"/>
      <c r="BA82" s="319">
        <v>42304</v>
      </c>
    </row>
    <row r="83" spans="1:53" ht="13.2" hidden="1">
      <c r="A83" s="12"/>
      <c r="B83" s="1" t="str">
        <f>E64</f>
        <v>Dimens. Tubo</v>
      </c>
      <c r="C83" s="29" t="str">
        <f>E65</f>
        <v>mm</v>
      </c>
      <c r="D83" s="1"/>
      <c r="E83" s="1"/>
      <c r="F83" s="29" t="str">
        <f t="shared" ref="F83:S83" si="28">IF(AH$54=0,"-",LOOKUP(AH$54/F$33*(1+$D$81),$D$286:$D$306,$H$286:$H$306))</f>
        <v>-</v>
      </c>
      <c r="G83" s="29" t="str">
        <f t="shared" si="28"/>
        <v>-</v>
      </c>
      <c r="H83" s="29" t="str">
        <f t="shared" si="28"/>
        <v>-</v>
      </c>
      <c r="I83" s="29" t="str">
        <f t="shared" si="28"/>
        <v>-</v>
      </c>
      <c r="J83" s="29" t="str">
        <f t="shared" si="28"/>
        <v>-</v>
      </c>
      <c r="K83" s="29" t="str">
        <f t="shared" si="28"/>
        <v>-</v>
      </c>
      <c r="L83" s="29" t="str">
        <f t="shared" si="28"/>
        <v>-</v>
      </c>
      <c r="M83" s="29" t="str">
        <f t="shared" si="28"/>
        <v>-</v>
      </c>
      <c r="N83" s="29" t="str">
        <f t="shared" si="28"/>
        <v>-</v>
      </c>
      <c r="O83" s="29" t="str">
        <f t="shared" si="28"/>
        <v>-</v>
      </c>
      <c r="P83" s="29" t="str">
        <f t="shared" si="28"/>
        <v>-</v>
      </c>
      <c r="Q83" s="29" t="str">
        <f t="shared" si="28"/>
        <v>-</v>
      </c>
      <c r="R83" s="29" t="str">
        <f t="shared" si="28"/>
        <v>-</v>
      </c>
      <c r="S83" s="38" t="str">
        <f t="shared" si="28"/>
        <v>-</v>
      </c>
      <c r="T83" s="1"/>
      <c r="U83" s="319"/>
      <c r="V83" s="319"/>
      <c r="W83" s="319"/>
      <c r="X83" s="319"/>
      <c r="Y83" s="319"/>
      <c r="Z83" s="319"/>
      <c r="AA83" s="319"/>
      <c r="AB83" s="319"/>
      <c r="AC83" s="319"/>
      <c r="AD83" s="319"/>
      <c r="AE83" s="319"/>
      <c r="AF83" s="319"/>
      <c r="AG83" s="319"/>
      <c r="AH83" s="319"/>
      <c r="AI83" s="319"/>
      <c r="AJ83" s="319"/>
      <c r="AK83" s="319"/>
      <c r="AL83" s="319"/>
      <c r="AM83" s="319"/>
      <c r="AN83" s="319"/>
      <c r="AO83" s="319"/>
      <c r="AP83" s="319"/>
      <c r="AQ83" s="319"/>
      <c r="AR83" s="319"/>
      <c r="AS83" s="319"/>
      <c r="AT83" s="319"/>
      <c r="AU83" s="319"/>
      <c r="AV83" s="319"/>
      <c r="AW83" s="319"/>
      <c r="AX83" s="319"/>
      <c r="AY83" s="319"/>
      <c r="AZ83" s="319"/>
      <c r="BA83" s="319">
        <v>42306</v>
      </c>
    </row>
    <row r="84" spans="1:53" ht="13.2" hidden="1">
      <c r="A84" s="12"/>
      <c r="B84" s="28" t="str">
        <f>Language!C319</f>
        <v>Custo da rede municipal de calor</v>
      </c>
      <c r="C84" s="1"/>
      <c r="D84" s="1"/>
      <c r="E84" s="1"/>
      <c r="F84" s="1"/>
      <c r="G84" s="1"/>
      <c r="H84" s="1"/>
      <c r="I84" s="1"/>
      <c r="J84" s="1"/>
      <c r="K84" s="1"/>
      <c r="L84" s="1"/>
      <c r="M84" s="1"/>
      <c r="N84" s="1"/>
      <c r="O84" s="1"/>
      <c r="P84" s="1"/>
      <c r="Q84" s="1"/>
      <c r="R84" s="1"/>
      <c r="S84" s="9"/>
      <c r="T84" s="1"/>
      <c r="U84" s="319"/>
      <c r="V84" s="319"/>
      <c r="W84" s="319"/>
      <c r="X84" s="319"/>
      <c r="Y84" s="319"/>
      <c r="Z84" s="319"/>
      <c r="AA84" s="319"/>
      <c r="AB84" s="319"/>
      <c r="AC84" s="319"/>
      <c r="AD84" s="319"/>
      <c r="AE84" s="319"/>
      <c r="AF84" s="319"/>
      <c r="AG84" s="319"/>
      <c r="AH84" s="319"/>
      <c r="AI84" s="319"/>
      <c r="AJ84" s="319"/>
      <c r="AK84" s="319"/>
      <c r="AL84" s="319"/>
      <c r="AM84" s="319"/>
      <c r="AN84" s="319"/>
      <c r="AO84" s="319"/>
      <c r="AP84" s="319"/>
      <c r="AQ84" s="319"/>
      <c r="AR84" s="319"/>
      <c r="AS84" s="319"/>
      <c r="AT84" s="319"/>
      <c r="AU84" s="319"/>
      <c r="AV84" s="319"/>
      <c r="AW84" s="319"/>
      <c r="AX84" s="319"/>
      <c r="AY84" s="319"/>
      <c r="AZ84" s="319"/>
      <c r="BA84" s="319">
        <v>42400</v>
      </c>
    </row>
    <row r="85" spans="1:53" ht="13.2" hidden="1">
      <c r="A85" s="12"/>
      <c r="B85" s="1" t="str">
        <f>Language!C320</f>
        <v>Comprimento total de tubos</v>
      </c>
      <c r="C85" s="29" t="str">
        <f>C79</f>
        <v>m</v>
      </c>
      <c r="D85" s="30">
        <f>IF(Unit=TRUE,X85,Z85)</f>
        <v>1</v>
      </c>
      <c r="E85" s="1"/>
      <c r="F85" s="1"/>
      <c r="G85" s="1"/>
      <c r="H85" s="1"/>
      <c r="I85" s="1"/>
      <c r="J85" s="1"/>
      <c r="K85" s="1"/>
      <c r="L85" s="1"/>
      <c r="M85" s="1"/>
      <c r="N85" s="1"/>
      <c r="O85" s="1"/>
      <c r="P85" s="1"/>
      <c r="Q85" s="1"/>
      <c r="R85" s="1"/>
      <c r="S85" s="9"/>
      <c r="T85" s="1"/>
      <c r="U85" s="319"/>
      <c r="V85" s="319"/>
      <c r="W85" s="319" t="s">
        <v>5569</v>
      </c>
      <c r="X85" s="319">
        <f>X79+X82</f>
        <v>1</v>
      </c>
      <c r="Y85" s="319" t="s">
        <v>3368</v>
      </c>
      <c r="Z85" s="319">
        <f>X85/$E$265</f>
        <v>3.2808398950131239</v>
      </c>
      <c r="AA85" s="319"/>
      <c r="AB85" s="319"/>
      <c r="AC85" s="319"/>
      <c r="AD85" s="319"/>
      <c r="AE85" s="319"/>
      <c r="AF85" s="319"/>
      <c r="AG85" s="319"/>
      <c r="AH85" s="319"/>
      <c r="AI85" s="319"/>
      <c r="AJ85" s="319"/>
      <c r="AK85" s="319"/>
      <c r="AL85" s="319"/>
      <c r="AM85" s="319"/>
      <c r="AN85" s="319"/>
      <c r="AO85" s="319"/>
      <c r="AP85" s="319"/>
      <c r="AQ85" s="319"/>
      <c r="AR85" s="319"/>
      <c r="AS85" s="319"/>
      <c r="AT85" s="319"/>
      <c r="AU85" s="319"/>
      <c r="AV85" s="319"/>
      <c r="AW85" s="319"/>
      <c r="AX85" s="319"/>
      <c r="AY85" s="319"/>
      <c r="AZ85" s="319"/>
      <c r="BA85" s="319">
        <v>42402</v>
      </c>
    </row>
    <row r="86" spans="1:53" ht="13.2" hidden="1">
      <c r="A86" s="12"/>
      <c r="B86" s="1" t="str">
        <f>Language!C321</f>
        <v>Método de avaliação de custos</v>
      </c>
      <c r="C86" s="1"/>
      <c r="D86" s="303" t="s">
        <v>6133</v>
      </c>
      <c r="E86" s="1"/>
      <c r="F86" s="1"/>
      <c r="G86" s="1"/>
      <c r="H86" s="1"/>
      <c r="I86" s="1"/>
      <c r="J86" s="1"/>
      <c r="K86" s="1"/>
      <c r="L86" s="1"/>
      <c r="M86" s="1"/>
      <c r="N86" s="1"/>
      <c r="O86" s="1"/>
      <c r="P86" s="1"/>
      <c r="Q86" s="1"/>
      <c r="R86" s="1"/>
      <c r="S86" s="9"/>
      <c r="T86" s="1"/>
      <c r="U86" s="319">
        <f>IF(D86="",1,MATCH(D86,LN_FD,0))+20</f>
        <v>21</v>
      </c>
      <c r="V86" s="319"/>
      <c r="W86" s="319" t="s">
        <v>3557</v>
      </c>
      <c r="X86" s="319"/>
      <c r="Y86" s="319"/>
      <c r="Z86" s="319"/>
      <c r="AA86" s="319"/>
      <c r="AB86" s="319"/>
      <c r="AC86" s="319"/>
      <c r="AD86" s="319"/>
      <c r="AE86" s="319"/>
      <c r="AF86" s="319"/>
      <c r="AG86" s="319"/>
      <c r="AH86" s="319"/>
      <c r="AI86" s="319"/>
      <c r="AJ86" s="319"/>
      <c r="AK86" s="319"/>
      <c r="AL86" s="319"/>
      <c r="AM86" s="319"/>
      <c r="AN86" s="319"/>
      <c r="AO86" s="319"/>
      <c r="AP86" s="319"/>
      <c r="AQ86" s="319"/>
      <c r="AR86" s="319"/>
      <c r="AS86" s="319"/>
      <c r="AT86" s="319"/>
      <c r="AU86" s="319"/>
      <c r="AV86" s="319"/>
      <c r="AW86" s="319"/>
      <c r="AX86" s="319"/>
      <c r="AY86" s="319"/>
      <c r="AZ86" s="319"/>
      <c r="BA86" s="319">
        <v>42404</v>
      </c>
    </row>
    <row r="87" spans="1:53" ht="13.2" hidden="1">
      <c r="A87" s="12"/>
      <c r="B87" s="1" t="str">
        <f>Language!C322</f>
        <v>Tipo de conexão - estação de transferência de energia</v>
      </c>
      <c r="C87" s="1"/>
      <c r="D87" s="303" t="s">
        <v>6134</v>
      </c>
      <c r="E87" s="1"/>
      <c r="F87" s="1"/>
      <c r="G87" s="1"/>
      <c r="H87" s="1"/>
      <c r="I87" s="1"/>
      <c r="J87" s="1"/>
      <c r="K87" s="1"/>
      <c r="L87" s="1"/>
      <c r="M87" s="1"/>
      <c r="N87" s="1"/>
      <c r="O87" s="1"/>
      <c r="P87" s="1"/>
      <c r="Q87" s="1"/>
      <c r="R87" s="1"/>
      <c r="S87" s="9"/>
      <c r="T87" s="1"/>
      <c r="U87" s="319"/>
      <c r="V87" s="319"/>
      <c r="W87" s="319"/>
      <c r="X87" s="319"/>
      <c r="Y87" s="319"/>
      <c r="Z87" s="319"/>
      <c r="AA87" s="319"/>
      <c r="AB87" s="319"/>
      <c r="AC87" s="319"/>
      <c r="AD87" s="319"/>
      <c r="AE87" s="319"/>
      <c r="AF87" s="319"/>
      <c r="AG87" s="319"/>
      <c r="AH87" s="319"/>
      <c r="AI87" s="319"/>
      <c r="AJ87" s="319"/>
      <c r="AK87" s="319"/>
      <c r="AL87" s="319"/>
      <c r="AM87" s="319"/>
      <c r="AN87" s="319"/>
      <c r="AO87" s="319"/>
      <c r="AP87" s="319"/>
      <c r="AQ87" s="319"/>
      <c r="AR87" s="319"/>
      <c r="AS87" s="319"/>
      <c r="AT87" s="319"/>
      <c r="AU87" s="319"/>
      <c r="AV87" s="319"/>
      <c r="AW87" s="319"/>
      <c r="AX87" s="319"/>
      <c r="AY87" s="319"/>
      <c r="AZ87" s="319"/>
      <c r="BA87" s="319">
        <v>42406</v>
      </c>
    </row>
    <row r="88" spans="1:53" ht="13.2" hidden="1">
      <c r="A88" s="12"/>
      <c r="B88" s="1" t="str">
        <f>Language!C323</f>
        <v>Fator de custo - estação transferência de energia</v>
      </c>
      <c r="C88" s="1"/>
      <c r="D88" s="310"/>
      <c r="E88" s="1"/>
      <c r="F88" s="1"/>
      <c r="G88" s="1"/>
      <c r="H88" s="1"/>
      <c r="I88" s="1"/>
      <c r="J88" s="1"/>
      <c r="K88" s="1"/>
      <c r="L88" s="1"/>
      <c r="M88" s="1"/>
      <c r="N88" s="1"/>
      <c r="O88" s="1"/>
      <c r="P88" s="1"/>
      <c r="Q88" s="1"/>
      <c r="R88" s="1"/>
      <c r="S88" s="9"/>
      <c r="T88" s="1"/>
      <c r="U88" s="319"/>
      <c r="V88" s="319"/>
      <c r="W88" s="319"/>
      <c r="X88" s="319"/>
      <c r="Y88" s="319"/>
      <c r="Z88" s="319"/>
      <c r="AA88" s="319"/>
      <c r="AB88" s="319"/>
      <c r="AC88" s="319"/>
      <c r="AD88" s="319"/>
      <c r="AE88" s="319"/>
      <c r="AF88" s="319"/>
      <c r="AG88" s="319"/>
      <c r="AH88" s="319"/>
      <c r="AI88" s="319"/>
      <c r="AJ88" s="319"/>
      <c r="AK88" s="319"/>
      <c r="AL88" s="319"/>
      <c r="AM88" s="319"/>
      <c r="AN88" s="319"/>
      <c r="AO88" s="319"/>
      <c r="AP88" s="319"/>
      <c r="AQ88" s="319"/>
      <c r="AR88" s="319"/>
      <c r="AS88" s="319"/>
      <c r="AT88" s="319"/>
      <c r="AU88" s="319"/>
      <c r="AV88" s="319"/>
      <c r="AW88" s="319"/>
      <c r="AX88" s="319"/>
      <c r="AY88" s="319"/>
      <c r="AZ88" s="319"/>
      <c r="BA88" s="319">
        <v>42408</v>
      </c>
    </row>
    <row r="89" spans="1:53" ht="13.2" hidden="1">
      <c r="A89" s="12"/>
      <c r="B89" s="1" t="str">
        <f>Language!C324</f>
        <v>Fator de custo - tubos linha principal de distribuição</v>
      </c>
      <c r="C89" s="1"/>
      <c r="D89" s="310"/>
      <c r="E89" s="1"/>
      <c r="F89" s="1"/>
      <c r="G89" s="1"/>
      <c r="H89" s="1"/>
      <c r="I89" s="1"/>
      <c r="J89" s="1"/>
      <c r="K89" s="1"/>
      <c r="L89" s="1"/>
      <c r="M89" s="1"/>
      <c r="N89" s="1"/>
      <c r="O89" s="1"/>
      <c r="P89" s="1"/>
      <c r="Q89" s="1"/>
      <c r="R89" s="1"/>
      <c r="S89" s="9"/>
      <c r="T89" s="1"/>
      <c r="U89" s="319"/>
      <c r="V89" s="319"/>
      <c r="W89" s="319"/>
      <c r="X89" s="319"/>
      <c r="Y89" s="319"/>
      <c r="Z89" s="319"/>
      <c r="AA89" s="319"/>
      <c r="AB89" s="319"/>
      <c r="AC89" s="319"/>
      <c r="AD89" s="319"/>
      <c r="AE89" s="319"/>
      <c r="AF89" s="319"/>
      <c r="AG89" s="319"/>
      <c r="AH89" s="319"/>
      <c r="AI89" s="319"/>
      <c r="AJ89" s="319"/>
      <c r="AK89" s="319"/>
      <c r="AL89" s="319"/>
      <c r="AM89" s="319"/>
      <c r="AN89" s="319"/>
      <c r="AO89" s="319"/>
      <c r="AP89" s="319"/>
      <c r="AQ89" s="319"/>
      <c r="AR89" s="319"/>
      <c r="AS89" s="319"/>
      <c r="AT89" s="319"/>
      <c r="AU89" s="319"/>
      <c r="AV89" s="319"/>
      <c r="AW89" s="319"/>
      <c r="AX89" s="319"/>
      <c r="AY89" s="319"/>
      <c r="AZ89" s="319"/>
      <c r="BA89" s="319">
        <v>42410</v>
      </c>
    </row>
    <row r="90" spans="1:53" ht="13.2" hidden="1">
      <c r="A90" s="12"/>
      <c r="B90" s="1" t="str">
        <f>Language!C325</f>
        <v>Fator de custo - tubos linha secundária de distribuição</v>
      </c>
      <c r="C90" s="1"/>
      <c r="D90" s="310"/>
      <c r="E90" s="1"/>
      <c r="F90" s="1"/>
      <c r="G90" s="1"/>
      <c r="H90" s="1"/>
      <c r="I90" s="1"/>
      <c r="J90" s="1"/>
      <c r="K90" s="1"/>
      <c r="L90" s="1"/>
      <c r="M90" s="1"/>
      <c r="N90" s="1"/>
      <c r="O90" s="1"/>
      <c r="P90" s="1"/>
      <c r="Q90" s="1"/>
      <c r="R90" s="1"/>
      <c r="S90" s="9"/>
      <c r="T90" s="1"/>
      <c r="U90" s="319"/>
      <c r="V90" s="319"/>
      <c r="W90" s="319"/>
      <c r="X90" s="319"/>
      <c r="Y90" s="319"/>
      <c r="Z90" s="319"/>
      <c r="AA90" s="319"/>
      <c r="AB90" s="319"/>
      <c r="AC90" s="319"/>
      <c r="AD90" s="319"/>
      <c r="AE90" s="319"/>
      <c r="AF90" s="319"/>
      <c r="AG90" s="319"/>
      <c r="AH90" s="319"/>
      <c r="AI90" s="319"/>
      <c r="AJ90" s="319"/>
      <c r="AK90" s="319"/>
      <c r="AL90" s="319"/>
      <c r="AM90" s="319"/>
      <c r="AN90" s="319"/>
      <c r="AO90" s="319"/>
      <c r="AP90" s="319"/>
      <c r="AQ90" s="319"/>
      <c r="AR90" s="319"/>
      <c r="AS90" s="319"/>
      <c r="AT90" s="319"/>
      <c r="AU90" s="319"/>
      <c r="AV90" s="319"/>
      <c r="AW90" s="319"/>
      <c r="AX90" s="319"/>
      <c r="AY90" s="319"/>
      <c r="AZ90" s="319"/>
      <c r="BA90" s="319">
        <v>42412</v>
      </c>
    </row>
    <row r="91" spans="1:53" ht="12.75" hidden="1" customHeight="1" thickBot="1">
      <c r="A91" s="12"/>
      <c r="B91" s="1" t="str">
        <f>Language!C326</f>
        <v>Taxa de câmbio</v>
      </c>
      <c r="C91" s="143" t="str">
        <f>Currency&amp;Language!C1292</f>
        <v>€/CAD</v>
      </c>
      <c r="D91" s="310"/>
      <c r="E91" s="1"/>
      <c r="F91" s="1"/>
      <c r="G91" s="1"/>
      <c r="H91" s="1"/>
      <c r="I91" s="1"/>
      <c r="J91" s="1"/>
      <c r="K91" s="1"/>
      <c r="L91" s="1"/>
      <c r="M91" s="1"/>
      <c r="N91" s="1"/>
      <c r="O91" s="1"/>
      <c r="P91" s="1"/>
      <c r="Q91" s="1"/>
      <c r="R91" s="1"/>
      <c r="S91" s="9"/>
      <c r="T91" s="1"/>
      <c r="U91" s="319"/>
      <c r="V91" s="319"/>
      <c r="W91" s="319"/>
      <c r="X91" s="319"/>
      <c r="Y91" s="319"/>
      <c r="Z91" s="319"/>
      <c r="AA91" s="319"/>
      <c r="AB91" s="319"/>
      <c r="AC91" s="319"/>
      <c r="AD91" s="319"/>
      <c r="AE91" s="319"/>
      <c r="AF91" s="319"/>
      <c r="AG91" s="319"/>
      <c r="AH91" s="319"/>
      <c r="AI91" s="319"/>
      <c r="AJ91" s="319"/>
      <c r="AK91" s="319"/>
      <c r="AL91" s="319"/>
      <c r="AM91" s="319"/>
      <c r="AN91" s="319"/>
      <c r="AO91" s="319"/>
      <c r="AP91" s="319"/>
      <c r="AQ91" s="319"/>
      <c r="AR91" s="319"/>
      <c r="AS91" s="319"/>
      <c r="AT91" s="319"/>
      <c r="AU91" s="319"/>
      <c r="AV91" s="319"/>
      <c r="AW91" s="319"/>
      <c r="AX91" s="319"/>
      <c r="AY91" s="319"/>
      <c r="AZ91" s="319"/>
      <c r="BA91" s="319">
        <v>42414</v>
      </c>
    </row>
    <row r="92" spans="1:53" ht="13.2" hidden="1">
      <c r="A92" s="12"/>
      <c r="B92" s="1"/>
      <c r="C92" s="1"/>
      <c r="D92" s="1"/>
      <c r="E92" s="1"/>
      <c r="F92" s="134" t="str">
        <f>Language!C327</f>
        <v>Custos das redes de distribuição secundárias e ETEn por condomínio</v>
      </c>
      <c r="G92" s="1"/>
      <c r="H92" s="1"/>
      <c r="I92" s="1"/>
      <c r="J92" s="1"/>
      <c r="K92" s="1"/>
      <c r="L92" s="1"/>
      <c r="M92" s="1"/>
      <c r="N92" s="1"/>
      <c r="O92" s="1"/>
      <c r="P92" s="1"/>
      <c r="Q92" s="1"/>
      <c r="R92" s="1"/>
      <c r="S92" s="9"/>
      <c r="T92" s="1"/>
      <c r="U92" s="319"/>
      <c r="V92" s="319"/>
      <c r="W92" s="319"/>
      <c r="X92" s="319"/>
      <c r="Y92" s="319"/>
      <c r="Z92" s="319"/>
      <c r="AA92" s="319"/>
      <c r="AB92" s="319"/>
      <c r="AC92" s="319"/>
      <c r="AD92" s="319"/>
      <c r="AE92" s="319"/>
      <c r="AF92" s="319"/>
      <c r="AG92" s="319"/>
      <c r="AH92" s="319"/>
      <c r="AI92" s="319"/>
      <c r="AJ92" s="319"/>
      <c r="AK92" s="319"/>
      <c r="AL92" s="319"/>
      <c r="AM92" s="319"/>
      <c r="AN92" s="319"/>
      <c r="AO92" s="319"/>
      <c r="AP92" s="319"/>
      <c r="AQ92" s="319"/>
      <c r="AR92" s="319"/>
      <c r="AS92" s="319"/>
      <c r="AT92" s="319"/>
      <c r="AU92" s="319"/>
      <c r="AV92" s="319"/>
      <c r="AW92" s="319"/>
      <c r="AX92" s="319"/>
      <c r="AY92" s="319"/>
      <c r="AZ92" s="319"/>
      <c r="BA92" s="319">
        <v>42400</v>
      </c>
    </row>
    <row r="93" spans="1:53" ht="13.2" hidden="1">
      <c r="A93" s="12"/>
      <c r="B93" s="1" t="str">
        <f>Language!$C$328</f>
        <v>Custo - estaçao(ões) transfer. de energia</v>
      </c>
      <c r="C93" s="1"/>
      <c r="D93" s="1358">
        <f>SUM(F93:S93)</f>
        <v>0</v>
      </c>
      <c r="E93" s="1358"/>
      <c r="F93" s="1358" t="str">
        <f t="shared" ref="F93:S93" si="29">IF(AH$54=0,"-",IF(AH$54/F$33&gt;$E$314,$D$314*AH$54/F$33,IF(AH$54/F$33&lt;$E$311,$D$311*AH$54/F$33,($D$312*LN(AH$54/F$33)+$D$313)*(AH$54/F$33)))*$F$276*$D$88*F$33*$D$91)</f>
        <v>-</v>
      </c>
      <c r="G93" s="1358" t="str">
        <f t="shared" si="29"/>
        <v>-</v>
      </c>
      <c r="H93" s="1358" t="str">
        <f t="shared" si="29"/>
        <v>-</v>
      </c>
      <c r="I93" s="1358" t="str">
        <f t="shared" si="29"/>
        <v>-</v>
      </c>
      <c r="J93" s="1358" t="str">
        <f t="shared" si="29"/>
        <v>-</v>
      </c>
      <c r="K93" s="1358" t="str">
        <f t="shared" si="29"/>
        <v>-</v>
      </c>
      <c r="L93" s="1358" t="str">
        <f t="shared" si="29"/>
        <v>-</v>
      </c>
      <c r="M93" s="1358" t="str">
        <f t="shared" si="29"/>
        <v>-</v>
      </c>
      <c r="N93" s="1358" t="str">
        <f t="shared" si="29"/>
        <v>-</v>
      </c>
      <c r="O93" s="1358" t="str">
        <f t="shared" si="29"/>
        <v>-</v>
      </c>
      <c r="P93" s="1358" t="str">
        <f t="shared" si="29"/>
        <v>-</v>
      </c>
      <c r="Q93" s="1358" t="str">
        <f t="shared" si="29"/>
        <v>-</v>
      </c>
      <c r="R93" s="1358" t="str">
        <f t="shared" si="29"/>
        <v>-</v>
      </c>
      <c r="S93" s="1370" t="str">
        <f t="shared" si="29"/>
        <v>-</v>
      </c>
      <c r="T93" s="1"/>
      <c r="U93" s="319"/>
      <c r="V93" s="319"/>
      <c r="W93" s="319"/>
      <c r="X93" s="319"/>
      <c r="Y93" s="319"/>
      <c r="Z93" s="319"/>
      <c r="AA93" s="319"/>
      <c r="AB93" s="319"/>
      <c r="AC93" s="319"/>
      <c r="AD93" s="319"/>
      <c r="AE93" s="319"/>
      <c r="AF93" s="319"/>
      <c r="AG93" s="319"/>
      <c r="AH93" s="319"/>
      <c r="AI93" s="319"/>
      <c r="AJ93" s="319"/>
      <c r="AK93" s="319"/>
      <c r="AL93" s="319"/>
      <c r="AM93" s="319"/>
      <c r="AN93" s="319"/>
      <c r="AO93" s="319"/>
      <c r="AP93" s="319"/>
      <c r="AQ93" s="319"/>
      <c r="AR93" s="319"/>
      <c r="AS93" s="319"/>
      <c r="AT93" s="319"/>
      <c r="AU93" s="319"/>
      <c r="AV93" s="319"/>
      <c r="AW93" s="319"/>
      <c r="AX93" s="319"/>
      <c r="AY93" s="319"/>
      <c r="AZ93" s="319"/>
      <c r="BA93" s="319">
        <v>42416</v>
      </c>
    </row>
    <row r="94" spans="1:53" ht="13.2" hidden="1">
      <c r="A94" s="12"/>
      <c r="B94" s="1" t="str">
        <f>B93</f>
        <v>Custo - estaçao(ões) transfer. de energia</v>
      </c>
      <c r="C94" s="1"/>
      <c r="D94" s="1358">
        <f>SUMIF(AH32:AU32,"&gt;0",F94:S94)</f>
        <v>0</v>
      </c>
      <c r="E94" s="1358"/>
      <c r="F94" s="1346"/>
      <c r="G94" s="1346"/>
      <c r="H94" s="1346"/>
      <c r="I94" s="1346"/>
      <c r="J94" s="1346"/>
      <c r="K94" s="1346"/>
      <c r="L94" s="1346"/>
      <c r="M94" s="1346"/>
      <c r="N94" s="1346"/>
      <c r="O94" s="1346"/>
      <c r="P94" s="1346"/>
      <c r="Q94" s="1346"/>
      <c r="R94" s="1346"/>
      <c r="S94" s="1371"/>
      <c r="T94" s="12"/>
      <c r="U94" s="319"/>
      <c r="V94" s="319"/>
      <c r="W94" s="319"/>
      <c r="X94" s="319"/>
      <c r="Y94" s="319"/>
      <c r="Z94" s="319"/>
      <c r="AA94" s="319"/>
      <c r="AB94" s="319"/>
      <c r="AC94" s="319"/>
      <c r="AD94" s="319"/>
      <c r="AE94" s="319"/>
      <c r="AF94" s="319"/>
      <c r="AG94" s="319"/>
      <c r="AH94" s="319"/>
      <c r="AI94" s="319"/>
      <c r="AJ94" s="319"/>
      <c r="AK94" s="319"/>
      <c r="AL94" s="319"/>
      <c r="AM94" s="319"/>
      <c r="AN94" s="319"/>
      <c r="AO94" s="319"/>
      <c r="AP94" s="319"/>
      <c r="AQ94" s="319"/>
      <c r="AR94" s="319"/>
      <c r="AS94" s="319"/>
      <c r="AT94" s="319"/>
      <c r="AU94" s="319"/>
      <c r="AV94" s="319"/>
      <c r="AW94" s="319"/>
      <c r="AX94" s="319"/>
      <c r="AY94" s="319"/>
      <c r="AZ94" s="319"/>
      <c r="BA94" s="319">
        <v>42416</v>
      </c>
    </row>
    <row r="95" spans="1:53" ht="13.2" hidden="1">
      <c r="A95" s="12"/>
      <c r="B95" s="1" t="str">
        <f>Language!C329</f>
        <v>Custo - Tubo linha secundária distribuição</v>
      </c>
      <c r="C95" s="1"/>
      <c r="D95" s="1358">
        <f>SUM(F95:S95)</f>
        <v>0</v>
      </c>
      <c r="E95" s="1358"/>
      <c r="F95" s="1358" t="str">
        <f t="shared" ref="F95:S95" si="30">IF(AH$54=0,"-",(LOOKUP(AH$54*(1+$D$81),$D$286:$D$293,$G$286:$G$293)*AH$82*$D$90*$D$91))</f>
        <v>-</v>
      </c>
      <c r="G95" s="1358" t="str">
        <f t="shared" si="30"/>
        <v>-</v>
      </c>
      <c r="H95" s="1358" t="str">
        <f t="shared" si="30"/>
        <v>-</v>
      </c>
      <c r="I95" s="1358" t="str">
        <f t="shared" si="30"/>
        <v>-</v>
      </c>
      <c r="J95" s="1358" t="str">
        <f t="shared" si="30"/>
        <v>-</v>
      </c>
      <c r="K95" s="1358" t="str">
        <f t="shared" si="30"/>
        <v>-</v>
      </c>
      <c r="L95" s="1358" t="str">
        <f t="shared" si="30"/>
        <v>-</v>
      </c>
      <c r="M95" s="1358" t="str">
        <f t="shared" si="30"/>
        <v>-</v>
      </c>
      <c r="N95" s="1358" t="str">
        <f t="shared" si="30"/>
        <v>-</v>
      </c>
      <c r="O95" s="1358" t="str">
        <f t="shared" si="30"/>
        <v>-</v>
      </c>
      <c r="P95" s="1358" t="str">
        <f t="shared" si="30"/>
        <v>-</v>
      </c>
      <c r="Q95" s="1358" t="str">
        <f t="shared" si="30"/>
        <v>-</v>
      </c>
      <c r="R95" s="1358" t="str">
        <f t="shared" si="30"/>
        <v>-</v>
      </c>
      <c r="S95" s="1358" t="str">
        <f t="shared" si="30"/>
        <v>-</v>
      </c>
      <c r="T95" s="12"/>
      <c r="U95" s="319"/>
      <c r="V95" s="319"/>
      <c r="W95" s="319"/>
      <c r="X95" s="319"/>
      <c r="Y95" s="319"/>
      <c r="Z95" s="319"/>
      <c r="AA95" s="319"/>
      <c r="AB95" s="319"/>
      <c r="AC95" s="319"/>
      <c r="AD95" s="319"/>
      <c r="AE95" s="319"/>
      <c r="AF95" s="319"/>
      <c r="AG95" s="319"/>
      <c r="AH95" s="319"/>
      <c r="AI95" s="319"/>
      <c r="AJ95" s="319"/>
      <c r="AK95" s="319"/>
      <c r="AL95" s="319"/>
      <c r="AM95" s="319"/>
      <c r="AN95" s="319"/>
      <c r="AO95" s="319"/>
      <c r="AP95" s="319"/>
      <c r="AQ95" s="319"/>
      <c r="AR95" s="319"/>
      <c r="AS95" s="319"/>
      <c r="AT95" s="319"/>
      <c r="AU95" s="319"/>
      <c r="AV95" s="319"/>
      <c r="AW95" s="319"/>
      <c r="AX95" s="319"/>
      <c r="AY95" s="319"/>
      <c r="AZ95" s="319"/>
      <c r="BA95" s="319">
        <v>42418</v>
      </c>
    </row>
    <row r="96" spans="1:53" ht="13.2" hidden="1">
      <c r="A96" s="12"/>
      <c r="B96" s="1" t="str">
        <f>Language!C329</f>
        <v>Custo - Tubo linha secundária distribuição</v>
      </c>
      <c r="C96" s="1"/>
      <c r="D96" s="1358">
        <f>SUMIF(AH32:AU32,"&gt;0",F96:S96)</f>
        <v>0</v>
      </c>
      <c r="E96" s="1358"/>
      <c r="F96" s="1372"/>
      <c r="G96" s="1372"/>
      <c r="H96" s="1372"/>
      <c r="I96" s="1372"/>
      <c r="J96" s="1372"/>
      <c r="K96" s="1372"/>
      <c r="L96" s="1372"/>
      <c r="M96" s="1372"/>
      <c r="N96" s="1372"/>
      <c r="O96" s="1372"/>
      <c r="P96" s="1372"/>
      <c r="Q96" s="1372"/>
      <c r="R96" s="1372"/>
      <c r="S96" s="1373"/>
      <c r="T96" s="12"/>
      <c r="U96" s="319"/>
      <c r="V96" s="319"/>
      <c r="W96" s="319"/>
      <c r="X96" s="319"/>
      <c r="Y96" s="319"/>
      <c r="Z96" s="319"/>
      <c r="AA96" s="319"/>
      <c r="AB96" s="319"/>
      <c r="AC96" s="319"/>
      <c r="AD96" s="319"/>
      <c r="AE96" s="319"/>
      <c r="AF96" s="319"/>
      <c r="AG96" s="319"/>
      <c r="AH96" s="319"/>
      <c r="AI96" s="319"/>
      <c r="AJ96" s="319"/>
      <c r="AK96" s="319"/>
      <c r="AL96" s="319"/>
      <c r="AM96" s="319"/>
      <c r="AN96" s="319"/>
      <c r="AO96" s="319"/>
      <c r="AP96" s="319"/>
      <c r="AQ96" s="319"/>
      <c r="AR96" s="319"/>
      <c r="AS96" s="319"/>
      <c r="AT96" s="319"/>
      <c r="AU96" s="319"/>
      <c r="AV96" s="319"/>
      <c r="AW96" s="319"/>
      <c r="AX96" s="319"/>
      <c r="AY96" s="319"/>
      <c r="AZ96" s="319"/>
      <c r="BA96" s="319">
        <v>42418</v>
      </c>
    </row>
    <row r="97" spans="1:53" ht="13.2" hidden="1">
      <c r="A97" s="12"/>
      <c r="B97" s="5" t="str">
        <f>Language!C330</f>
        <v>Custo Total - conexão do condomínio</v>
      </c>
      <c r="C97" s="5"/>
      <c r="D97" s="1360">
        <f>IF($D$86=$G$265,IF(X32&gt;0,D94+D96,"-"),IF(X32&gt;0,D93+D95,"-"))</f>
        <v>0</v>
      </c>
      <c r="E97" s="1358"/>
      <c r="F97" s="1360" t="e">
        <f t="shared" ref="F97:S97" si="31">IF($D$86=$G$265,IF(AH32&gt;0,F94+F96,"-"),IF(AH32&gt;0,F93+F95,"-"))</f>
        <v>#VALUE!</v>
      </c>
      <c r="G97" s="1360" t="str">
        <f t="shared" si="31"/>
        <v>-</v>
      </c>
      <c r="H97" s="1360" t="str">
        <f t="shared" si="31"/>
        <v>-</v>
      </c>
      <c r="I97" s="1360" t="str">
        <f t="shared" si="31"/>
        <v>-</v>
      </c>
      <c r="J97" s="1360" t="str">
        <f t="shared" si="31"/>
        <v>-</v>
      </c>
      <c r="K97" s="1360" t="str">
        <f t="shared" si="31"/>
        <v>-</v>
      </c>
      <c r="L97" s="1360" t="str">
        <f t="shared" si="31"/>
        <v>-</v>
      </c>
      <c r="M97" s="1360" t="str">
        <f t="shared" si="31"/>
        <v>-</v>
      </c>
      <c r="N97" s="1360" t="str">
        <f t="shared" si="31"/>
        <v>-</v>
      </c>
      <c r="O97" s="1360" t="str">
        <f t="shared" si="31"/>
        <v>-</v>
      </c>
      <c r="P97" s="1360" t="str">
        <f t="shared" si="31"/>
        <v>-</v>
      </c>
      <c r="Q97" s="1360" t="str">
        <f t="shared" si="31"/>
        <v>-</v>
      </c>
      <c r="R97" s="1360" t="str">
        <f t="shared" si="31"/>
        <v>-</v>
      </c>
      <c r="S97" s="1374" t="str">
        <f t="shared" si="31"/>
        <v>-</v>
      </c>
      <c r="T97" s="1"/>
      <c r="U97" s="319"/>
      <c r="V97" s="319"/>
      <c r="W97" s="319"/>
      <c r="X97" s="319"/>
      <c r="Y97" s="319"/>
      <c r="Z97" s="319"/>
      <c r="AA97" s="319"/>
      <c r="AB97" s="319"/>
      <c r="AC97" s="319"/>
      <c r="AD97" s="319"/>
      <c r="AE97" s="319"/>
      <c r="AF97" s="319"/>
      <c r="AG97" s="319"/>
      <c r="AH97" s="319"/>
      <c r="AI97" s="319"/>
      <c r="AJ97" s="319"/>
      <c r="AK97" s="319"/>
      <c r="AL97" s="319"/>
      <c r="AM97" s="319"/>
      <c r="AN97" s="319"/>
      <c r="AO97" s="319"/>
      <c r="AP97" s="319"/>
      <c r="AQ97" s="319"/>
      <c r="AR97" s="319"/>
      <c r="AS97" s="319"/>
      <c r="AT97" s="319"/>
      <c r="AU97" s="319"/>
      <c r="AV97" s="319"/>
      <c r="AW97" s="319"/>
      <c r="AX97" s="319"/>
      <c r="AY97" s="319"/>
      <c r="AZ97" s="319"/>
      <c r="BA97" s="319">
        <v>42420</v>
      </c>
    </row>
    <row r="98" spans="1:53" ht="13.2" hidden="1">
      <c r="A98" s="12"/>
      <c r="B98" s="5" t="str">
        <f>Language!C330</f>
        <v>Custo Total - conexão do condomínio</v>
      </c>
      <c r="C98" s="5"/>
      <c r="D98" s="1360">
        <f>D96+D94</f>
        <v>0</v>
      </c>
      <c r="E98" s="1358"/>
      <c r="F98" s="1360">
        <f t="shared" ref="F98:S98" si="32">IF(AH$32=0,"",F94+F96)</f>
        <v>0</v>
      </c>
      <c r="G98" s="1360" t="str">
        <f t="shared" si="32"/>
        <v/>
      </c>
      <c r="H98" s="1360" t="str">
        <f t="shared" si="32"/>
        <v/>
      </c>
      <c r="I98" s="1360" t="str">
        <f t="shared" si="32"/>
        <v/>
      </c>
      <c r="J98" s="1360" t="str">
        <f t="shared" si="32"/>
        <v/>
      </c>
      <c r="K98" s="1360" t="str">
        <f t="shared" si="32"/>
        <v/>
      </c>
      <c r="L98" s="1360" t="str">
        <f t="shared" si="32"/>
        <v/>
      </c>
      <c r="M98" s="1360" t="str">
        <f t="shared" si="32"/>
        <v/>
      </c>
      <c r="N98" s="1360" t="str">
        <f t="shared" si="32"/>
        <v/>
      </c>
      <c r="O98" s="1360" t="str">
        <f t="shared" si="32"/>
        <v/>
      </c>
      <c r="P98" s="1360" t="str">
        <f t="shared" si="32"/>
        <v/>
      </c>
      <c r="Q98" s="1360" t="str">
        <f t="shared" si="32"/>
        <v/>
      </c>
      <c r="R98" s="1360" t="str">
        <f t="shared" si="32"/>
        <v/>
      </c>
      <c r="S98" s="1374" t="str">
        <f t="shared" si="32"/>
        <v/>
      </c>
      <c r="T98" s="1"/>
      <c r="U98" s="319"/>
      <c r="V98" s="319"/>
      <c r="W98" s="319"/>
      <c r="X98" s="319"/>
      <c r="Y98" s="319"/>
      <c r="Z98" s="319"/>
      <c r="AA98" s="319"/>
      <c r="AB98" s="319"/>
      <c r="AC98" s="319"/>
      <c r="AD98" s="319"/>
      <c r="AE98" s="319"/>
      <c r="AF98" s="319"/>
      <c r="AG98" s="319"/>
      <c r="AH98" s="319"/>
      <c r="AI98" s="319"/>
      <c r="AJ98" s="319"/>
      <c r="AK98" s="319"/>
      <c r="AL98" s="319"/>
      <c r="AM98" s="319"/>
      <c r="AN98" s="319"/>
      <c r="AO98" s="319"/>
      <c r="AP98" s="319"/>
      <c r="AQ98" s="319"/>
      <c r="AR98" s="319"/>
      <c r="AS98" s="319"/>
      <c r="AT98" s="319"/>
      <c r="AU98" s="319"/>
      <c r="AV98" s="319"/>
      <c r="AW98" s="319"/>
      <c r="AX98" s="319"/>
      <c r="AY98" s="319"/>
      <c r="AZ98" s="319"/>
      <c r="BA98" s="319">
        <v>42420</v>
      </c>
    </row>
    <row r="99" spans="1:53" ht="13.8" hidden="1" thickBot="1">
      <c r="A99" s="12"/>
      <c r="B99" s="1"/>
      <c r="C99" s="1"/>
      <c r="D99" s="1"/>
      <c r="E99" s="1"/>
      <c r="F99" s="1"/>
      <c r="G99" s="1"/>
      <c r="H99" s="1"/>
      <c r="I99" s="1"/>
      <c r="J99" s="1"/>
      <c r="K99" s="1"/>
      <c r="L99" s="1"/>
      <c r="M99" s="1"/>
      <c r="N99" s="1"/>
      <c r="O99" s="1"/>
      <c r="P99" s="1"/>
      <c r="Q99" s="1"/>
      <c r="R99" s="1"/>
      <c r="S99" s="9"/>
      <c r="T99" s="1"/>
      <c r="U99" s="319"/>
      <c r="V99" s="319"/>
      <c r="W99" s="319"/>
      <c r="X99" s="319"/>
      <c r="Y99" s="319"/>
      <c r="Z99" s="319"/>
      <c r="AA99" s="319"/>
      <c r="AB99" s="319"/>
      <c r="AC99" s="319"/>
      <c r="AD99" s="319"/>
      <c r="AE99" s="319"/>
      <c r="AF99" s="319"/>
      <c r="AG99" s="319"/>
      <c r="AH99" s="319"/>
      <c r="AI99" s="319"/>
      <c r="AJ99" s="319"/>
      <c r="AK99" s="319"/>
      <c r="AL99" s="319"/>
      <c r="AM99" s="319"/>
      <c r="AN99" s="319"/>
      <c r="AO99" s="319"/>
      <c r="AP99" s="319"/>
      <c r="AQ99" s="319"/>
      <c r="AR99" s="319"/>
      <c r="AS99" s="319"/>
      <c r="AT99" s="319"/>
      <c r="AU99" s="319"/>
      <c r="AV99" s="319"/>
      <c r="AW99" s="319"/>
      <c r="AX99" s="319"/>
      <c r="AY99" s="319"/>
      <c r="AZ99" s="319"/>
      <c r="BA99" s="319">
        <v>42400</v>
      </c>
    </row>
    <row r="100" spans="1:53" ht="13.8" hidden="1" thickTop="1">
      <c r="A100" s="12"/>
      <c r="B100" s="1"/>
      <c r="C100" s="1"/>
      <c r="D100" s="1"/>
      <c r="E100" s="1"/>
      <c r="F100" s="433" t="str">
        <f>Language!C335</f>
        <v>Custo - tubos da linha principal de distribuiçao por categoria de dimensão</v>
      </c>
      <c r="G100" s="47"/>
      <c r="H100" s="47"/>
      <c r="I100" s="47"/>
      <c r="J100" s="47"/>
      <c r="K100" s="47"/>
      <c r="L100" s="47"/>
      <c r="M100" s="47"/>
      <c r="N100" s="47"/>
      <c r="O100" s="47"/>
      <c r="P100" s="47"/>
      <c r="Q100" s="47"/>
      <c r="R100" s="47"/>
      <c r="S100" s="44"/>
      <c r="T100" s="1"/>
      <c r="U100" s="319"/>
      <c r="V100" s="319"/>
      <c r="W100" s="319"/>
      <c r="X100" s="319"/>
      <c r="Y100" s="319"/>
      <c r="Z100" s="319"/>
      <c r="AA100" s="319"/>
      <c r="AB100" s="319"/>
      <c r="AC100" s="319"/>
      <c r="AD100" s="319"/>
      <c r="AE100" s="319"/>
      <c r="AF100" s="319"/>
      <c r="AG100" s="319"/>
      <c r="AH100" s="319"/>
      <c r="AI100" s="319"/>
      <c r="AJ100" s="319"/>
      <c r="AK100" s="319"/>
      <c r="AL100" s="319"/>
      <c r="AM100" s="319"/>
      <c r="AN100" s="319"/>
      <c r="AO100" s="319"/>
      <c r="AP100" s="319"/>
      <c r="AQ100" s="319"/>
      <c r="AR100" s="319"/>
      <c r="AS100" s="319"/>
      <c r="AT100" s="319"/>
      <c r="AU100" s="319"/>
      <c r="AV100" s="319"/>
      <c r="AW100" s="319"/>
      <c r="AX100" s="319"/>
      <c r="AY100" s="319"/>
      <c r="AZ100" s="319"/>
      <c r="BA100" s="319">
        <v>42400</v>
      </c>
    </row>
    <row r="101" spans="1:53" ht="13.2" hidden="1">
      <c r="A101" s="12"/>
      <c r="B101" s="1" t="str">
        <f>Language!C331</f>
        <v>Sumário das dimensões dos tubos da linha de distribuição principal</v>
      </c>
      <c r="C101" s="29" t="str">
        <f>E65</f>
        <v>mm</v>
      </c>
      <c r="D101" s="1"/>
      <c r="E101" s="1"/>
      <c r="F101" s="200" t="s">
        <v>4297</v>
      </c>
      <c r="G101" s="128" t="s">
        <v>4575</v>
      </c>
      <c r="H101" s="128" t="s">
        <v>4576</v>
      </c>
      <c r="I101" s="128" t="s">
        <v>5450</v>
      </c>
      <c r="J101" s="128" t="s">
        <v>1691</v>
      </c>
      <c r="K101" s="128" t="s">
        <v>5959</v>
      </c>
      <c r="L101" s="128" t="s">
        <v>1019</v>
      </c>
      <c r="M101" s="128" t="s">
        <v>2639</v>
      </c>
      <c r="N101" s="128" t="s">
        <v>3585</v>
      </c>
      <c r="O101" s="128" t="s">
        <v>1962</v>
      </c>
      <c r="P101" s="128" t="s">
        <v>473</v>
      </c>
      <c r="Q101" s="128" t="s">
        <v>3112</v>
      </c>
      <c r="R101" s="128" t="s">
        <v>2640</v>
      </c>
      <c r="S101" s="129" t="s">
        <v>849</v>
      </c>
      <c r="T101" s="1"/>
      <c r="U101" s="319"/>
      <c r="V101" s="319"/>
      <c r="W101" s="319"/>
      <c r="X101" s="319"/>
      <c r="Y101" s="319"/>
      <c r="Z101" s="319"/>
      <c r="AA101" s="319"/>
      <c r="AB101" s="319"/>
      <c r="AC101" s="319"/>
      <c r="AD101" s="319"/>
      <c r="AE101" s="319"/>
      <c r="AF101" s="319"/>
      <c r="AG101" s="319"/>
      <c r="AH101" s="319"/>
      <c r="AI101" s="319"/>
      <c r="AJ101" s="319"/>
      <c r="AK101" s="319"/>
      <c r="AL101" s="319"/>
      <c r="AM101" s="319"/>
      <c r="AN101" s="319"/>
      <c r="AO101" s="319"/>
      <c r="AP101" s="319"/>
      <c r="AQ101" s="319"/>
      <c r="AR101" s="319"/>
      <c r="AS101" s="319"/>
      <c r="AT101" s="319"/>
      <c r="AU101" s="319"/>
      <c r="AV101" s="319"/>
      <c r="AW101" s="319"/>
      <c r="AX101" s="319"/>
      <c r="AY101" s="319"/>
      <c r="AZ101" s="319"/>
      <c r="BA101" s="319">
        <v>42422</v>
      </c>
    </row>
    <row r="102" spans="1:53" ht="13.2" hidden="1">
      <c r="A102" s="12"/>
      <c r="B102" s="1" t="str">
        <f>Language!C332</f>
        <v>Sumário - comprimento dos tubos da linha de distribuição principal</v>
      </c>
      <c r="C102" s="29" t="str">
        <f>C79</f>
        <v>m</v>
      </c>
      <c r="D102" s="1"/>
      <c r="E102" s="1"/>
      <c r="F102" s="432" t="str">
        <f t="shared" ref="F102:S102" si="33">IF(AH102="-","-",IF(Unit=TRUE,AH102,AH102/$E$265))</f>
        <v>-</v>
      </c>
      <c r="G102" s="86" t="str">
        <f t="shared" si="33"/>
        <v>-</v>
      </c>
      <c r="H102" s="86" t="str">
        <f t="shared" si="33"/>
        <v>-</v>
      </c>
      <c r="I102" s="86" t="str">
        <f t="shared" si="33"/>
        <v>-</v>
      </c>
      <c r="J102" s="86" t="str">
        <f t="shared" si="33"/>
        <v>-</v>
      </c>
      <c r="K102" s="86" t="str">
        <f t="shared" si="33"/>
        <v>-</v>
      </c>
      <c r="L102" s="86" t="str">
        <f t="shared" si="33"/>
        <v>-</v>
      </c>
      <c r="M102" s="86" t="str">
        <f t="shared" si="33"/>
        <v>-</v>
      </c>
      <c r="N102" s="86" t="str">
        <f t="shared" si="33"/>
        <v>-</v>
      </c>
      <c r="O102" s="86" t="str">
        <f t="shared" si="33"/>
        <v>-</v>
      </c>
      <c r="P102" s="86" t="str">
        <f t="shared" si="33"/>
        <v>-</v>
      </c>
      <c r="Q102" s="86" t="str">
        <f t="shared" si="33"/>
        <v>-</v>
      </c>
      <c r="R102" s="86" t="str">
        <f t="shared" si="33"/>
        <v>-</v>
      </c>
      <c r="S102" s="90" t="str">
        <f t="shared" si="33"/>
        <v>-</v>
      </c>
      <c r="T102" s="1"/>
      <c r="U102" s="319"/>
      <c r="V102" s="319"/>
      <c r="W102" s="319"/>
      <c r="X102" s="319"/>
      <c r="Y102" s="319"/>
      <c r="Z102" s="319"/>
      <c r="AA102" s="319"/>
      <c r="AB102" s="319"/>
      <c r="AC102" s="319"/>
      <c r="AD102" s="319"/>
      <c r="AE102" s="319"/>
      <c r="AF102" s="319"/>
      <c r="AG102" s="319"/>
      <c r="AH102" s="319" t="str">
        <f>IF($I286=0,"-",$I286)</f>
        <v>-</v>
      </c>
      <c r="AI102" s="319" t="str">
        <f>IF($I287=0,"-",$I287)</f>
        <v>-</v>
      </c>
      <c r="AJ102" s="319" t="str">
        <f>IF($I288=0,"-",$I288)</f>
        <v>-</v>
      </c>
      <c r="AK102" s="319" t="str">
        <f>IF($I289=0,"-",$I289)</f>
        <v>-</v>
      </c>
      <c r="AL102" s="319" t="str">
        <f>IF($I290=0,"-",$I290)</f>
        <v>-</v>
      </c>
      <c r="AM102" s="319" t="str">
        <f>IF($I291=0,"-",$I291)</f>
        <v>-</v>
      </c>
      <c r="AN102" s="319" t="str">
        <f>IF($I292=0,"-",$I292)</f>
        <v>-</v>
      </c>
      <c r="AO102" s="319" t="str">
        <f>IF($I293=0,"-",$I293)</f>
        <v>-</v>
      </c>
      <c r="AP102" s="319" t="str">
        <f>IF($I294=0,"-",$I294)</f>
        <v>-</v>
      </c>
      <c r="AQ102" s="319" t="str">
        <f>IF($I295=0,"-",$I295)</f>
        <v>-</v>
      </c>
      <c r="AR102" s="319" t="str">
        <f>IF($I296=0,"-",$I296)</f>
        <v>-</v>
      </c>
      <c r="AS102" s="319" t="str">
        <f>IF($I297=0,"-",$I297)</f>
        <v>-</v>
      </c>
      <c r="AT102" s="319" t="str">
        <f>IF($I298=0,"-",$I298)</f>
        <v>-</v>
      </c>
      <c r="AU102" s="319" t="str">
        <f>IF(SUM($I299:I305)=0,"-",SUM(I299:I305))</f>
        <v>-</v>
      </c>
      <c r="AV102" s="319"/>
      <c r="AW102" s="319"/>
      <c r="AX102" s="319"/>
      <c r="AY102" s="319"/>
      <c r="AZ102" s="319"/>
      <c r="BA102" s="319">
        <v>42424</v>
      </c>
    </row>
    <row r="103" spans="1:53" ht="13.8" hidden="1" thickBot="1">
      <c r="A103" s="12"/>
      <c r="B103" s="51" t="str">
        <f>Language!C333</f>
        <v>Sumário - custos dos tubos da linha de distribuição principal</v>
      </c>
      <c r="C103" s="51"/>
      <c r="D103" s="1350">
        <f>SUM(F103:S103)</f>
        <v>0</v>
      </c>
      <c r="E103" s="1358"/>
      <c r="F103" s="1375" t="str">
        <f>IF(J286=0,"-",J286)</f>
        <v>-</v>
      </c>
      <c r="G103" s="1376" t="str">
        <f>IF(J287=0,"-",J287)</f>
        <v>-</v>
      </c>
      <c r="H103" s="1376" t="str">
        <f>IF(J288=0,"-",J288)</f>
        <v>-</v>
      </c>
      <c r="I103" s="1376" t="str">
        <f>IF(J289=0,"-",J289)</f>
        <v>-</v>
      </c>
      <c r="J103" s="1376" t="str">
        <f>IF(J290=0,"-",J290)</f>
        <v>-</v>
      </c>
      <c r="K103" s="1376" t="str">
        <f>IF(J291=0,"-",J291)</f>
        <v>-</v>
      </c>
      <c r="L103" s="1376" t="str">
        <f>IF(J292=0,"-",J292)</f>
        <v>-</v>
      </c>
      <c r="M103" s="1376" t="str">
        <f>IF(J293=0,"-",J293)</f>
        <v>-</v>
      </c>
      <c r="N103" s="1376" t="str">
        <f>IF(J294=0,"-",J294)</f>
        <v>-</v>
      </c>
      <c r="O103" s="1376" t="str">
        <f>IF(J295=0,"-",J295)</f>
        <v>-</v>
      </c>
      <c r="P103" s="1376" t="str">
        <f>IF(J296=0,"-",J296)</f>
        <v>-</v>
      </c>
      <c r="Q103" s="1376" t="str">
        <f>IF(J297=0,"-",J297)</f>
        <v>-</v>
      </c>
      <c r="R103" s="1376" t="str">
        <f>IF(J298=0,"-",J298)</f>
        <v>-</v>
      </c>
      <c r="S103" s="1377" t="str">
        <f>IF(SUM(J299:J305)=0,"-",SUM(J299:J305))</f>
        <v>-</v>
      </c>
      <c r="T103" s="1"/>
      <c r="U103" s="319"/>
      <c r="V103" s="319"/>
      <c r="W103" s="319"/>
      <c r="X103" s="319"/>
      <c r="Y103" s="319"/>
      <c r="Z103" s="319"/>
      <c r="AA103" s="319"/>
      <c r="AB103" s="319"/>
      <c r="AC103" s="319"/>
      <c r="AD103" s="319"/>
      <c r="AE103" s="319"/>
      <c r="AF103" s="319"/>
      <c r="AG103" s="319"/>
      <c r="AH103" s="319"/>
      <c r="AI103" s="319"/>
      <c r="AJ103" s="319"/>
      <c r="AK103" s="319"/>
      <c r="AL103" s="319"/>
      <c r="AM103" s="319"/>
      <c r="AN103" s="319"/>
      <c r="AO103" s="319"/>
      <c r="AP103" s="319"/>
      <c r="AQ103" s="319"/>
      <c r="AR103" s="319"/>
      <c r="AS103" s="319"/>
      <c r="AT103" s="319"/>
      <c r="AU103" s="319"/>
      <c r="AV103" s="319"/>
      <c r="AW103" s="319"/>
      <c r="AX103" s="319"/>
      <c r="AY103" s="319"/>
      <c r="AZ103" s="319"/>
      <c r="BA103" s="319">
        <v>42426</v>
      </c>
    </row>
    <row r="104" spans="1:53" ht="14.4" hidden="1" thickTop="1" thickBot="1">
      <c r="A104" s="12"/>
      <c r="B104" s="51" t="str">
        <f>Language!C333</f>
        <v>Sumário - custos dos tubos da linha de distribuição principal</v>
      </c>
      <c r="C104" s="51"/>
      <c r="D104" s="1350">
        <f>SUMIF(AH102:AU102,"&gt;0",F104:S104)</f>
        <v>0</v>
      </c>
      <c r="E104" s="1358"/>
      <c r="F104" s="1378">
        <v>56</v>
      </c>
      <c r="G104" s="1378">
        <v>65</v>
      </c>
      <c r="H104" s="1378"/>
      <c r="I104" s="1378">
        <v>2000</v>
      </c>
      <c r="J104" s="1378">
        <v>2000</v>
      </c>
      <c r="K104" s="1378"/>
      <c r="L104" s="1378"/>
      <c r="M104" s="1378">
        <v>2200</v>
      </c>
      <c r="N104" s="1378">
        <v>150</v>
      </c>
      <c r="O104" s="1378"/>
      <c r="P104" s="1378"/>
      <c r="Q104" s="1378"/>
      <c r="R104" s="1378"/>
      <c r="S104" s="1378"/>
      <c r="T104" s="1"/>
      <c r="U104" s="319"/>
      <c r="V104" s="319"/>
      <c r="W104" s="319"/>
      <c r="X104" s="319"/>
      <c r="Y104" s="319"/>
      <c r="Z104" s="319"/>
      <c r="AA104" s="319"/>
      <c r="AB104" s="319"/>
      <c r="AC104" s="319"/>
      <c r="AD104" s="319"/>
      <c r="AE104" s="319"/>
      <c r="AF104" s="319"/>
      <c r="AG104" s="319"/>
      <c r="AH104" s="319"/>
      <c r="AI104" s="319"/>
      <c r="AJ104" s="319"/>
      <c r="AK104" s="319"/>
      <c r="AL104" s="319"/>
      <c r="AM104" s="319"/>
      <c r="AN104" s="319"/>
      <c r="AO104" s="319"/>
      <c r="AP104" s="319"/>
      <c r="AQ104" s="319"/>
      <c r="AR104" s="319"/>
      <c r="AS104" s="319"/>
      <c r="AT104" s="319"/>
      <c r="AU104" s="319"/>
      <c r="AV104" s="319"/>
      <c r="AW104" s="319"/>
      <c r="AX104" s="319"/>
      <c r="AY104" s="319"/>
      <c r="AZ104" s="319"/>
      <c r="BA104" s="319">
        <v>42426</v>
      </c>
    </row>
    <row r="105" spans="1:53" ht="13.8" hidden="1" thickTop="1">
      <c r="A105" s="12"/>
      <c r="B105" s="1"/>
      <c r="C105" s="1"/>
      <c r="D105" s="1358"/>
      <c r="E105" s="1358"/>
      <c r="F105" s="1347"/>
      <c r="G105" s="1347"/>
      <c r="H105" s="1347"/>
      <c r="I105" s="1347"/>
      <c r="J105" s="1347"/>
      <c r="K105" s="1347"/>
      <c r="L105" s="1347"/>
      <c r="M105" s="1347"/>
      <c r="N105" s="1347"/>
      <c r="O105" s="1347"/>
      <c r="P105" s="1347"/>
      <c r="Q105" s="1347"/>
      <c r="R105" s="1347"/>
      <c r="S105" s="1374"/>
      <c r="T105" s="1"/>
      <c r="U105" s="319"/>
      <c r="V105" s="319"/>
      <c r="W105" s="319"/>
      <c r="X105" s="319"/>
      <c r="Y105" s="319"/>
      <c r="Z105" s="319"/>
      <c r="AA105" s="319"/>
      <c r="AB105" s="319"/>
      <c r="AC105" s="319"/>
      <c r="AD105" s="319"/>
      <c r="AE105" s="319"/>
      <c r="AF105" s="319"/>
      <c r="AG105" s="319"/>
      <c r="AH105" s="319"/>
      <c r="AI105" s="319"/>
      <c r="AJ105" s="319"/>
      <c r="AK105" s="319"/>
      <c r="AL105" s="319"/>
      <c r="AM105" s="319"/>
      <c r="AN105" s="319"/>
      <c r="AO105" s="319"/>
      <c r="AP105" s="319"/>
      <c r="AQ105" s="319"/>
      <c r="AR105" s="319"/>
      <c r="AS105" s="319"/>
      <c r="AT105" s="319"/>
      <c r="AU105" s="319"/>
      <c r="AV105" s="319"/>
      <c r="AW105" s="319"/>
      <c r="AX105" s="319"/>
      <c r="AY105" s="319"/>
      <c r="AZ105" s="319"/>
      <c r="BA105" s="319">
        <v>42400</v>
      </c>
    </row>
    <row r="106" spans="1:53" ht="13.2" hidden="1">
      <c r="A106" s="12"/>
      <c r="B106" s="1" t="str">
        <f>Language!C334</f>
        <v>Custo total rede municipal de calor</v>
      </c>
      <c r="C106" s="1"/>
      <c r="D106" s="1358">
        <f>IF(ISERROR(IF(D86=G264,D103+D97,D104+D98)),0,IF(D86=G264,D103+D97,D104+D98))</f>
        <v>0</v>
      </c>
      <c r="E106" s="1358"/>
      <c r="F106" s="1358"/>
      <c r="G106" s="1358"/>
      <c r="H106" s="1358"/>
      <c r="I106" s="1358"/>
      <c r="J106" s="1358"/>
      <c r="K106" s="1358"/>
      <c r="L106" s="1358"/>
      <c r="M106" s="1358"/>
      <c r="N106" s="1358"/>
      <c r="O106" s="1358"/>
      <c r="P106" s="1358"/>
      <c r="Q106" s="1358"/>
      <c r="R106" s="1358"/>
      <c r="S106" s="1370"/>
      <c r="T106" s="1"/>
      <c r="U106" s="319"/>
      <c r="V106" s="319"/>
      <c r="W106" s="319"/>
      <c r="X106" s="319"/>
      <c r="Y106" s="319"/>
      <c r="Z106" s="319"/>
      <c r="AA106" s="319"/>
      <c r="AB106" s="319"/>
      <c r="AC106" s="319"/>
      <c r="AD106" s="319"/>
      <c r="AE106" s="319"/>
      <c r="AF106" s="319"/>
      <c r="AG106" s="319"/>
      <c r="AH106" s="319"/>
      <c r="AI106" s="319"/>
      <c r="AJ106" s="319"/>
      <c r="AK106" s="319"/>
      <c r="AL106" s="319"/>
      <c r="AM106" s="319"/>
      <c r="AN106" s="319"/>
      <c r="AO106" s="319"/>
      <c r="AP106" s="319"/>
      <c r="AQ106" s="319"/>
      <c r="AR106" s="319"/>
      <c r="AS106" s="319"/>
      <c r="AT106" s="319"/>
      <c r="AU106" s="319"/>
      <c r="AV106" s="319"/>
      <c r="AW106" s="319"/>
      <c r="AX106" s="319"/>
      <c r="AY106" s="319"/>
      <c r="AZ106" s="319"/>
      <c r="BA106" s="319">
        <v>42428</v>
      </c>
    </row>
    <row r="107" spans="1:53" ht="13.2" hidden="1">
      <c r="A107" s="14"/>
      <c r="B107" s="15"/>
      <c r="C107" s="15"/>
      <c r="D107" s="15"/>
      <c r="E107" s="15"/>
      <c r="F107" s="15"/>
      <c r="G107" s="15"/>
      <c r="H107" s="15"/>
      <c r="I107" s="15"/>
      <c r="J107" s="15"/>
      <c r="K107" s="15"/>
      <c r="L107" s="15"/>
      <c r="M107" s="15"/>
      <c r="N107" s="15"/>
      <c r="O107" s="15"/>
      <c r="P107" s="15"/>
      <c r="Q107" s="15"/>
      <c r="R107" s="15"/>
      <c r="S107" s="11"/>
      <c r="T107" s="1"/>
      <c r="U107" s="319"/>
      <c r="V107" s="319"/>
      <c r="W107" s="319"/>
      <c r="X107" s="319"/>
      <c r="Y107" s="319"/>
      <c r="Z107" s="319"/>
      <c r="AA107" s="319"/>
      <c r="AB107" s="319"/>
      <c r="AC107" s="319"/>
      <c r="AD107" s="319"/>
      <c r="AE107" s="319"/>
      <c r="AF107" s="319"/>
      <c r="AG107" s="319"/>
      <c r="AH107" s="319"/>
      <c r="AI107" s="319"/>
      <c r="AJ107" s="319"/>
      <c r="AK107" s="319"/>
      <c r="AL107" s="319"/>
      <c r="AM107" s="319"/>
      <c r="AN107" s="319"/>
      <c r="AO107" s="319"/>
      <c r="AP107" s="319"/>
      <c r="AQ107" s="319"/>
      <c r="AR107" s="319"/>
      <c r="AS107" s="319"/>
      <c r="AT107" s="319"/>
      <c r="AU107" s="319"/>
      <c r="AV107" s="319"/>
      <c r="AW107" s="319"/>
      <c r="AX107" s="319"/>
      <c r="AY107" s="319"/>
      <c r="AZ107" s="319"/>
      <c r="BA107" s="319">
        <v>42000</v>
      </c>
    </row>
    <row r="108" spans="1:53" ht="13.2" hidden="1">
      <c r="A108" s="1"/>
      <c r="B108" s="1"/>
      <c r="C108" s="1"/>
      <c r="D108" s="1"/>
      <c r="E108" s="1"/>
      <c r="F108" s="1"/>
      <c r="G108" s="1"/>
      <c r="H108" s="1"/>
      <c r="I108" s="1"/>
      <c r="J108" s="1"/>
      <c r="K108" s="1"/>
      <c r="L108" s="1"/>
      <c r="M108" s="1"/>
      <c r="N108" s="1"/>
      <c r="O108" s="1"/>
      <c r="P108" s="1"/>
      <c r="Q108" s="1"/>
      <c r="R108" s="1"/>
      <c r="S108" s="1"/>
      <c r="T108" s="1"/>
      <c r="U108" s="319"/>
      <c r="V108" s="319"/>
      <c r="W108" s="319"/>
      <c r="X108" s="319"/>
      <c r="Y108" s="319"/>
      <c r="Z108" s="319"/>
      <c r="AA108" s="319"/>
      <c r="AB108" s="319"/>
      <c r="AC108" s="319"/>
      <c r="AD108" s="319"/>
      <c r="AE108" s="319"/>
      <c r="AF108" s="319"/>
      <c r="AG108" s="319"/>
      <c r="AH108" s="319"/>
      <c r="AI108" s="319"/>
      <c r="AJ108" s="319"/>
      <c r="AK108" s="319"/>
      <c r="AL108" s="319"/>
      <c r="AM108" s="319"/>
      <c r="AN108" s="319"/>
      <c r="AO108" s="319"/>
      <c r="AP108" s="319"/>
      <c r="AQ108" s="319"/>
      <c r="AR108" s="319"/>
      <c r="AS108" s="319"/>
      <c r="AT108" s="319"/>
      <c r="AU108" s="319"/>
      <c r="AV108" s="319"/>
      <c r="AW108" s="319"/>
      <c r="AX108" s="319"/>
      <c r="AY108" s="319"/>
      <c r="AZ108" s="319"/>
      <c r="BA108" s="319">
        <v>40000</v>
      </c>
    </row>
    <row r="109" spans="1:53" ht="13.2" hidden="1">
      <c r="A109" s="1174" t="str">
        <f>Language!C336</f>
        <v>Projeto de Refrigeração</v>
      </c>
      <c r="B109" s="1175"/>
      <c r="C109" s="26" t="str">
        <f>Language!C180</f>
        <v>Unidade</v>
      </c>
      <c r="D109" s="25"/>
      <c r="E109" s="25"/>
      <c r="F109" s="25"/>
      <c r="G109" s="25"/>
      <c r="H109" s="25"/>
      <c r="I109" s="25"/>
      <c r="J109" s="25"/>
      <c r="K109" s="25"/>
      <c r="L109" s="25"/>
      <c r="M109" s="25"/>
      <c r="N109" s="25"/>
      <c r="O109" s="25"/>
      <c r="P109" s="25"/>
      <c r="Q109" s="25"/>
      <c r="R109" s="25"/>
      <c r="S109" s="27"/>
      <c r="T109" s="1"/>
      <c r="U109" s="319"/>
      <c r="V109" s="319"/>
      <c r="W109" s="319"/>
      <c r="X109" s="319"/>
      <c r="Y109" s="319"/>
      <c r="Z109" s="319"/>
      <c r="AA109" s="319"/>
      <c r="AB109" s="319"/>
      <c r="AC109" s="319"/>
      <c r="AD109" s="319"/>
      <c r="AE109" s="319"/>
      <c r="AF109" s="319"/>
      <c r="AG109" s="319"/>
      <c r="AH109" s="319"/>
      <c r="AI109" s="319"/>
      <c r="AJ109" s="319"/>
      <c r="AK109" s="319"/>
      <c r="AL109" s="319"/>
      <c r="AM109" s="319"/>
      <c r="AN109" s="319"/>
      <c r="AO109" s="319"/>
      <c r="AP109" s="319"/>
      <c r="AQ109" s="319"/>
      <c r="AR109" s="319"/>
      <c r="AS109" s="319"/>
      <c r="AT109" s="319"/>
      <c r="AU109" s="319"/>
      <c r="AV109" s="319"/>
      <c r="AW109" s="319"/>
      <c r="AX109" s="319"/>
      <c r="AY109" s="319"/>
      <c r="AZ109" s="319"/>
      <c r="BA109" s="319">
        <v>43000</v>
      </c>
    </row>
    <row r="110" spans="1:53" ht="13.2" hidden="1">
      <c r="A110" s="12"/>
      <c r="B110" s="1"/>
      <c r="C110" s="1"/>
      <c r="D110" s="1"/>
      <c r="E110" s="1"/>
      <c r="F110" s="1"/>
      <c r="G110" s="1"/>
      <c r="H110" s="1"/>
      <c r="I110" s="1"/>
      <c r="J110" s="1"/>
      <c r="K110" s="1"/>
      <c r="L110" s="1"/>
      <c r="M110" s="1"/>
      <c r="N110" s="1"/>
      <c r="O110" s="1"/>
      <c r="P110" s="1"/>
      <c r="Q110" s="1"/>
      <c r="R110" s="1"/>
      <c r="S110" s="9"/>
      <c r="T110" s="1"/>
      <c r="U110" s="319"/>
      <c r="V110" s="319"/>
      <c r="W110" s="319"/>
      <c r="X110" s="319"/>
      <c r="Y110" s="319"/>
      <c r="Z110" s="319"/>
      <c r="AA110" s="319"/>
      <c r="AB110" s="319"/>
      <c r="AC110" s="319"/>
      <c r="AD110" s="319"/>
      <c r="AE110" s="319"/>
      <c r="AF110" s="319"/>
      <c r="AG110" s="319"/>
      <c r="AH110" s="319"/>
      <c r="AI110" s="319"/>
      <c r="AJ110" s="319"/>
      <c r="AK110" s="319"/>
      <c r="AL110" s="319"/>
      <c r="AM110" s="319"/>
      <c r="AN110" s="319"/>
      <c r="AO110" s="319"/>
      <c r="AP110" s="319"/>
      <c r="AQ110" s="319"/>
      <c r="AR110" s="319"/>
      <c r="AS110" s="319"/>
      <c r="AT110" s="319"/>
      <c r="AU110" s="319"/>
      <c r="AV110" s="319"/>
      <c r="AW110" s="319"/>
      <c r="AX110" s="319"/>
      <c r="AY110" s="319"/>
      <c r="AZ110" s="319"/>
      <c r="BA110" s="319">
        <v>43000</v>
      </c>
    </row>
    <row r="111" spans="1:53" ht="12.75" hidden="1" customHeight="1" thickBot="1">
      <c r="A111" s="1170" t="str">
        <f>Language!C339</f>
        <v>Sistema de refrigeração do caso referência</v>
      </c>
      <c r="B111" s="1176"/>
      <c r="C111" s="1195" t="s">
        <v>6120</v>
      </c>
      <c r="D111" s="1196"/>
      <c r="E111" s="1197"/>
      <c r="F111" s="1"/>
      <c r="G111" s="1"/>
      <c r="H111" s="1"/>
      <c r="I111" s="1"/>
      <c r="J111" s="1"/>
      <c r="K111" s="1"/>
      <c r="L111" s="1"/>
      <c r="M111" s="1"/>
      <c r="N111" s="1"/>
      <c r="O111" s="1"/>
      <c r="P111" s="1"/>
      <c r="Q111" s="1"/>
      <c r="R111" s="1"/>
      <c r="S111" s="9"/>
      <c r="T111" s="1"/>
      <c r="U111" s="319">
        <f>IF(C111="",1,MATCH(C111,LN_coolsystem,0))</f>
        <v>1</v>
      </c>
      <c r="V111" s="319"/>
      <c r="W111" s="475" t="s">
        <v>1209</v>
      </c>
      <c r="X111" s="319"/>
      <c r="Y111" s="319"/>
      <c r="Z111" s="319"/>
      <c r="AA111" s="319"/>
      <c r="AB111" s="319"/>
      <c r="AC111" s="319"/>
      <c r="AD111" s="319"/>
      <c r="AE111" s="319"/>
      <c r="AF111" s="319"/>
      <c r="AG111" s="319"/>
      <c r="AH111" s="319"/>
      <c r="AI111" s="319"/>
      <c r="AJ111" s="319"/>
      <c r="AK111" s="319"/>
      <c r="AL111" s="319"/>
      <c r="AM111" s="319"/>
      <c r="AN111" s="319"/>
      <c r="AO111" s="319"/>
      <c r="AP111" s="319"/>
      <c r="AQ111" s="319"/>
      <c r="AR111" s="319"/>
      <c r="AS111" s="319"/>
      <c r="AT111" s="319"/>
      <c r="AU111" s="319"/>
      <c r="AV111" s="319"/>
      <c r="AW111" s="319"/>
      <c r="AX111" s="319"/>
      <c r="AY111" s="319"/>
      <c r="AZ111" s="319"/>
      <c r="BA111" s="319">
        <v>43200</v>
      </c>
    </row>
    <row r="112" spans="1:53" ht="13.2" hidden="1">
      <c r="A112" s="12" t="s">
        <v>2882</v>
      </c>
      <c r="B112" s="1"/>
      <c r="C112" s="1"/>
      <c r="D112" s="1"/>
      <c r="E112" s="1"/>
      <c r="F112" s="1"/>
      <c r="G112" s="1"/>
      <c r="H112" s="1"/>
      <c r="I112" s="1"/>
      <c r="J112" s="1"/>
      <c r="K112" s="1"/>
      <c r="L112" s="1"/>
      <c r="M112" s="1"/>
      <c r="N112" s="1"/>
      <c r="O112" s="1"/>
      <c r="P112" s="1"/>
      <c r="Q112" s="1"/>
      <c r="R112" s="1"/>
      <c r="S112" s="9"/>
      <c r="T112" s="1"/>
      <c r="U112" s="319"/>
      <c r="V112" s="319"/>
      <c r="W112" s="319" t="s">
        <v>2744</v>
      </c>
      <c r="X112" s="319">
        <f>AI112</f>
        <v>0</v>
      </c>
      <c r="Y112" s="319">
        <f>Q336</f>
        <v>0</v>
      </c>
      <c r="Z112" s="319">
        <f>SUM(Iniciar!U58:U69)</f>
        <v>2099.3000000000002</v>
      </c>
      <c r="AA112" s="319"/>
      <c r="AB112" s="319"/>
      <c r="AC112" s="319"/>
      <c r="AD112" s="319"/>
      <c r="AE112" s="319"/>
      <c r="AF112" s="319"/>
      <c r="AG112" s="319"/>
      <c r="AH112" s="319" t="s">
        <v>4019</v>
      </c>
      <c r="AI112" s="319">
        <f>Q336</f>
        <v>0</v>
      </c>
      <c r="AJ112" s="319" t="s">
        <v>5227</v>
      </c>
      <c r="AK112" s="319"/>
      <c r="AL112" s="319"/>
      <c r="AM112" s="319"/>
      <c r="AN112" s="319"/>
      <c r="AO112" s="319"/>
      <c r="AP112" s="319"/>
      <c r="AQ112" s="319"/>
      <c r="AR112" s="319"/>
      <c r="AS112" s="319"/>
      <c r="AT112" s="319"/>
      <c r="AU112" s="319"/>
      <c r="AV112" s="319"/>
      <c r="AW112" s="319"/>
      <c r="AX112" s="319"/>
      <c r="AY112" s="319"/>
      <c r="AZ112" s="319"/>
      <c r="BA112" s="319">
        <v>43200</v>
      </c>
    </row>
    <row r="113" spans="1:53" ht="13.2" hidden="1">
      <c r="A113" s="12"/>
      <c r="B113" s="1" t="str">
        <f>Language!C340</f>
        <v>Área de piso resfriado para o prédio</v>
      </c>
      <c r="C113" s="303" t="s">
        <v>5430</v>
      </c>
      <c r="D113" s="307"/>
      <c r="E113" s="1"/>
      <c r="F113" s="1"/>
      <c r="G113" s="1"/>
      <c r="H113" s="1"/>
      <c r="I113" s="1"/>
      <c r="J113" s="1"/>
      <c r="K113" s="1"/>
      <c r="L113" s="1"/>
      <c r="M113" s="1"/>
      <c r="N113" s="1"/>
      <c r="O113" s="1"/>
      <c r="P113" s="1"/>
      <c r="Q113" s="1"/>
      <c r="R113" s="1"/>
      <c r="S113" s="9"/>
      <c r="T113" s="1"/>
      <c r="U113" s="319"/>
      <c r="V113" s="319"/>
      <c r="W113" s="319" t="s">
        <v>5430</v>
      </c>
      <c r="X113" s="319">
        <f>IF(C113=$D$260,D113,D113*$E$261)</f>
        <v>0</v>
      </c>
      <c r="Y113" s="319"/>
      <c r="Z113" s="319"/>
      <c r="AA113" s="319"/>
      <c r="AB113" s="319"/>
      <c r="AC113" s="319"/>
      <c r="AD113" s="319"/>
      <c r="AE113" s="319"/>
      <c r="AF113" s="319"/>
      <c r="AG113" s="319"/>
      <c r="AH113" s="319"/>
      <c r="AI113" s="319"/>
      <c r="AJ113" s="319"/>
      <c r="AK113" s="319"/>
      <c r="AL113" s="319"/>
      <c r="AM113" s="319"/>
      <c r="AN113" s="319"/>
      <c r="AO113" s="319"/>
      <c r="AP113" s="319"/>
      <c r="AQ113" s="319"/>
      <c r="AR113" s="319"/>
      <c r="AS113" s="319"/>
      <c r="AT113" s="319"/>
      <c r="AU113" s="319"/>
      <c r="AV113" s="319"/>
      <c r="AW113" s="319"/>
      <c r="AX113" s="319"/>
      <c r="AY113" s="319"/>
      <c r="AZ113" s="319"/>
      <c r="BA113" s="319">
        <v>43302</v>
      </c>
    </row>
    <row r="114" spans="1:53" ht="12.75" hidden="1" customHeight="1">
      <c r="A114" s="12"/>
      <c r="B114" s="1" t="str">
        <f>B9</f>
        <v>Tipo de Combustível</v>
      </c>
      <c r="C114" s="1"/>
      <c r="D114" s="894" t="s">
        <v>7151</v>
      </c>
      <c r="E114" s="1"/>
      <c r="F114" s="1"/>
      <c r="G114" s="1"/>
      <c r="H114" s="1"/>
      <c r="I114" s="1"/>
      <c r="J114" s="1"/>
      <c r="K114" s="1"/>
      <c r="L114" s="1"/>
      <c r="M114" s="1"/>
      <c r="N114" s="1"/>
      <c r="O114" s="1"/>
      <c r="P114" s="1"/>
      <c r="Q114" s="1"/>
      <c r="R114" s="1"/>
      <c r="S114" s="9"/>
      <c r="T114" s="1"/>
      <c r="U114" s="319"/>
      <c r="V114" s="319"/>
      <c r="W114" s="319"/>
      <c r="X114" s="319"/>
      <c r="Y114" s="319"/>
      <c r="Z114" s="319"/>
      <c r="AA114" s="319"/>
      <c r="AB114" s="319"/>
      <c r="AC114" s="319"/>
      <c r="AD114" s="319"/>
      <c r="AE114" s="319"/>
      <c r="AF114" s="319"/>
      <c r="AG114" s="319"/>
      <c r="AH114" s="319"/>
      <c r="AI114" s="319"/>
      <c r="AJ114" s="319"/>
      <c r="AK114" s="319"/>
      <c r="AL114" s="319"/>
      <c r="AM114" s="319"/>
      <c r="AN114" s="319"/>
      <c r="AO114" s="319"/>
      <c r="AP114" s="319"/>
      <c r="AQ114" s="319"/>
      <c r="AR114" s="319"/>
      <c r="AS114" s="319"/>
      <c r="AT114" s="319"/>
      <c r="AU114" s="319"/>
      <c r="AV114" s="319"/>
      <c r="AW114" s="319"/>
      <c r="AX114" s="319"/>
      <c r="AY114" s="319"/>
      <c r="AZ114" s="319"/>
      <c r="BA114" s="319">
        <v>2010106</v>
      </c>
    </row>
    <row r="115" spans="1:53" ht="13.2" hidden="1">
      <c r="A115" s="12"/>
      <c r="B115" s="1" t="str">
        <f>B140</f>
        <v>Coeficiente de desempenho - sazonal</v>
      </c>
      <c r="C115" s="29"/>
      <c r="D115" s="367"/>
      <c r="E115" s="1"/>
      <c r="F115" s="1"/>
      <c r="G115" s="1"/>
      <c r="H115" s="1"/>
      <c r="I115" s="1"/>
      <c r="J115" s="1"/>
      <c r="K115" s="1"/>
      <c r="L115" s="1"/>
      <c r="M115" s="1"/>
      <c r="N115" s="1"/>
      <c r="O115" s="1"/>
      <c r="P115" s="1"/>
      <c r="Q115" s="1"/>
      <c r="R115" s="1"/>
      <c r="S115" s="9"/>
      <c r="T115" s="1"/>
      <c r="U115" s="319"/>
      <c r="V115" s="319"/>
      <c r="W115" s="319"/>
      <c r="X115" s="319"/>
      <c r="Y115" s="319"/>
      <c r="Z115" s="319"/>
      <c r="AA115" s="319"/>
      <c r="AB115" s="319"/>
      <c r="AC115" s="319"/>
      <c r="AD115" s="319"/>
      <c r="AE115" s="319"/>
      <c r="AF115" s="319"/>
      <c r="AG115" s="319"/>
      <c r="AH115" s="319"/>
      <c r="AI115" s="319"/>
      <c r="AJ115" s="319"/>
      <c r="AK115" s="319"/>
      <c r="AL115" s="319"/>
      <c r="AM115" s="319"/>
      <c r="AN115" s="319"/>
      <c r="AO115" s="319"/>
      <c r="AP115" s="319"/>
      <c r="AQ115" s="319"/>
      <c r="AR115" s="319"/>
      <c r="AS115" s="319"/>
      <c r="AT115" s="319"/>
      <c r="AU115" s="319"/>
      <c r="AV115" s="319"/>
      <c r="AW115" s="319"/>
      <c r="AX115" s="319"/>
      <c r="AY115" s="319"/>
      <c r="AZ115" s="319"/>
      <c r="BA115" s="319">
        <v>2010112</v>
      </c>
    </row>
    <row r="116" spans="1:53" ht="13.2" hidden="1">
      <c r="A116" s="12"/>
      <c r="B116" s="28" t="str">
        <f>Language!C341</f>
        <v>Cálculo da carga de refrigeração</v>
      </c>
      <c r="C116" s="1"/>
      <c r="D116" s="1"/>
      <c r="E116" s="1"/>
      <c r="F116" s="1"/>
      <c r="G116" s="1"/>
      <c r="H116" s="1"/>
      <c r="I116" s="1"/>
      <c r="J116" s="1"/>
      <c r="K116" s="1"/>
      <c r="L116" s="1"/>
      <c r="M116" s="1"/>
      <c r="N116" s="1"/>
      <c r="O116" s="1"/>
      <c r="P116" s="1"/>
      <c r="Q116" s="1"/>
      <c r="R116" s="1"/>
      <c r="S116" s="9"/>
      <c r="T116" s="1"/>
      <c r="U116" s="319"/>
      <c r="V116" s="319"/>
      <c r="W116" s="319"/>
      <c r="X116" s="319"/>
      <c r="Y116" s="319"/>
      <c r="Z116" s="319"/>
      <c r="AA116" s="319"/>
      <c r="AB116" s="319"/>
      <c r="AC116" s="319"/>
      <c r="AD116" s="319"/>
      <c r="AE116" s="319"/>
      <c r="AF116" s="319"/>
      <c r="AG116" s="319"/>
      <c r="AH116" s="319"/>
      <c r="AI116" s="319"/>
      <c r="AJ116" s="319"/>
      <c r="AK116" s="319"/>
      <c r="AL116" s="319"/>
      <c r="AM116" s="319"/>
      <c r="AN116" s="319"/>
      <c r="AO116" s="319"/>
      <c r="AP116" s="319"/>
      <c r="AQ116" s="319"/>
      <c r="AR116" s="319"/>
      <c r="AS116" s="319"/>
      <c r="AT116" s="319"/>
      <c r="AU116" s="319"/>
      <c r="AV116" s="319"/>
      <c r="AW116" s="319"/>
      <c r="AX116" s="319"/>
      <c r="AY116" s="319"/>
      <c r="AZ116" s="319"/>
      <c r="BA116" s="319">
        <v>43400</v>
      </c>
    </row>
    <row r="117" spans="1:53" ht="13.2" hidden="1">
      <c r="A117" s="12"/>
      <c r="B117" s="1" t="str">
        <f>Language!C342</f>
        <v>Carga de refrigeração por prédio</v>
      </c>
      <c r="C117" s="303" t="s">
        <v>2335</v>
      </c>
      <c r="D117" s="395"/>
      <c r="E117" s="1"/>
      <c r="F117" s="1"/>
      <c r="G117" s="1"/>
      <c r="H117" s="1"/>
      <c r="I117" s="1"/>
      <c r="J117" s="1"/>
      <c r="K117" s="1"/>
      <c r="L117" s="1"/>
      <c r="M117" s="1"/>
      <c r="N117" s="1"/>
      <c r="O117" s="1"/>
      <c r="P117" s="1"/>
      <c r="Q117" s="1"/>
      <c r="R117" s="1"/>
      <c r="S117" s="9"/>
      <c r="T117" s="1"/>
      <c r="U117" s="319"/>
      <c r="V117" s="319"/>
      <c r="W117" s="319" t="s">
        <v>2335</v>
      </c>
      <c r="X117" s="319">
        <f>IF(C117=$D$266,D117,IF(C117=$D$267,D117*$E$267,1/D117*$E$268))</f>
        <v>0</v>
      </c>
      <c r="Y117" s="319"/>
      <c r="Z117" s="319"/>
      <c r="AA117" s="319"/>
      <c r="AB117" s="319"/>
      <c r="AC117" s="319"/>
      <c r="AD117" s="319"/>
      <c r="AE117" s="319"/>
      <c r="AF117" s="319"/>
      <c r="AG117" s="319"/>
      <c r="AH117" s="319"/>
      <c r="AI117" s="319"/>
      <c r="AJ117" s="319"/>
      <c r="AK117" s="319"/>
      <c r="AL117" s="319"/>
      <c r="AM117" s="319"/>
      <c r="AN117" s="319"/>
      <c r="AO117" s="319"/>
      <c r="AP117" s="319"/>
      <c r="AQ117" s="319"/>
      <c r="AR117" s="319"/>
      <c r="AS117" s="319"/>
      <c r="AT117" s="319"/>
      <c r="AU117" s="319"/>
      <c r="AV117" s="319"/>
      <c r="AW117" s="319"/>
      <c r="AX117" s="319"/>
      <c r="AY117" s="319"/>
      <c r="AZ117" s="319"/>
      <c r="BA117" s="319">
        <v>43402</v>
      </c>
    </row>
    <row r="118" spans="1:53" ht="13.2" hidden="1">
      <c r="A118" s="12"/>
      <c r="B118" s="1" t="str">
        <f>Language!C338</f>
        <v>Demanda refrigeração independente da temperatura externa</v>
      </c>
      <c r="C118" s="29" t="str">
        <f>$C$13</f>
        <v>%</v>
      </c>
      <c r="D118" s="159"/>
      <c r="E118" s="1"/>
      <c r="F118" s="1"/>
      <c r="G118" s="1"/>
      <c r="H118" s="1"/>
      <c r="I118" s="1"/>
      <c r="J118" s="1"/>
      <c r="K118" s="1"/>
      <c r="L118" s="1"/>
      <c r="M118" s="1"/>
      <c r="N118" s="1"/>
      <c r="O118" s="1"/>
      <c r="P118" s="1"/>
      <c r="Q118" s="1"/>
      <c r="R118" s="1"/>
      <c r="S118" s="9"/>
      <c r="T118" s="1"/>
      <c r="U118" s="319"/>
      <c r="V118" s="319"/>
      <c r="W118" s="319"/>
      <c r="X118" s="319">
        <f>IF(HideCodeLN_CPT&lt;4,D118,D143)</f>
        <v>0</v>
      </c>
      <c r="Y118" s="319"/>
      <c r="Z118" s="319"/>
      <c r="AA118" s="319"/>
      <c r="AB118" s="319"/>
      <c r="AC118" s="319"/>
      <c r="AD118" s="319"/>
      <c r="AE118" s="319"/>
      <c r="AF118" s="319"/>
      <c r="AG118" s="319"/>
      <c r="AH118" s="319"/>
      <c r="AI118" s="319"/>
      <c r="AJ118" s="319"/>
      <c r="AK118" s="319"/>
      <c r="AL118" s="319"/>
      <c r="AM118" s="319"/>
      <c r="AN118" s="319"/>
      <c r="AO118" s="319"/>
      <c r="AP118" s="319"/>
      <c r="AQ118" s="319"/>
      <c r="AR118" s="319"/>
      <c r="AS118" s="319"/>
      <c r="AT118" s="319"/>
      <c r="AU118" s="319"/>
      <c r="AV118" s="319"/>
      <c r="AW118" s="319"/>
      <c r="AX118" s="319"/>
      <c r="AY118" s="319"/>
      <c r="AZ118" s="319"/>
      <c r="BA118" s="319">
        <v>43403</v>
      </c>
    </row>
    <row r="119" spans="1:53" ht="13.2" hidden="1">
      <c r="A119" s="18"/>
      <c r="B119" s="335" t="str">
        <f>Language!C343</f>
        <v>Carga ponta refrigeração do processo</v>
      </c>
      <c r="C119" s="519" t="s">
        <v>5700</v>
      </c>
      <c r="D119" s="520"/>
      <c r="E119" s="898"/>
      <c r="F119" s="335"/>
      <c r="G119" s="335"/>
      <c r="H119" s="335"/>
      <c r="I119" s="335"/>
      <c r="J119" s="335"/>
      <c r="K119" s="335"/>
      <c r="L119" s="335"/>
      <c r="M119" s="335"/>
      <c r="N119" s="335"/>
      <c r="O119" s="335"/>
      <c r="P119" s="335"/>
      <c r="Q119" s="335"/>
      <c r="R119" s="335"/>
      <c r="S119" s="513"/>
      <c r="T119" s="335"/>
      <c r="U119" s="893"/>
      <c r="V119" s="893"/>
      <c r="W119" s="893" t="s">
        <v>2409</v>
      </c>
      <c r="X119" s="893">
        <f>IF(C119=$D$269,D119,IF(C119=$D$270,D119/$E$270,D119/$E$271))</f>
        <v>0</v>
      </c>
      <c r="Y119" s="893"/>
      <c r="Z119" s="893"/>
      <c r="AA119" s="893"/>
      <c r="AB119" s="893"/>
      <c r="AC119" s="893"/>
      <c r="AD119" s="893"/>
      <c r="AE119" s="893"/>
      <c r="AF119" s="893"/>
      <c r="AG119" s="893"/>
      <c r="AH119" s="893"/>
      <c r="AI119" s="893"/>
      <c r="AJ119" s="893"/>
      <c r="AK119" s="893"/>
      <c r="AL119" s="893"/>
      <c r="AM119" s="893"/>
      <c r="AN119" s="893"/>
      <c r="AO119" s="893"/>
      <c r="AP119" s="893"/>
      <c r="AQ119" s="893"/>
      <c r="AR119" s="893"/>
      <c r="AS119" s="893"/>
      <c r="AT119" s="893"/>
      <c r="AU119" s="893"/>
      <c r="AV119" s="893"/>
      <c r="AW119" s="893"/>
      <c r="AX119" s="893"/>
      <c r="AY119" s="893"/>
      <c r="AZ119" s="893"/>
      <c r="BA119" s="893">
        <v>43404</v>
      </c>
    </row>
    <row r="120" spans="1:53" ht="13.2" hidden="1">
      <c r="A120" s="12"/>
      <c r="B120" s="1" t="str">
        <f>Language!C344</f>
        <v>Características carga de refrigeração do processo</v>
      </c>
      <c r="C120" s="1"/>
      <c r="D120" s="303" t="s">
        <v>6129</v>
      </c>
      <c r="E120" s="1"/>
      <c r="F120" s="1"/>
      <c r="G120" s="1"/>
      <c r="H120" s="1"/>
      <c r="I120" s="1"/>
      <c r="J120" s="1"/>
      <c r="K120" s="1"/>
      <c r="L120" s="1"/>
      <c r="M120" s="1"/>
      <c r="N120" s="1"/>
      <c r="O120" s="1"/>
      <c r="P120" s="1"/>
      <c r="Q120" s="1"/>
      <c r="R120" s="1"/>
      <c r="S120" s="9"/>
      <c r="T120" s="1"/>
      <c r="U120" s="319">
        <f>IF(D120="",1,MATCH(D120,LN_SD,0))</f>
        <v>1</v>
      </c>
      <c r="V120" s="319"/>
      <c r="W120" s="319"/>
      <c r="X120" s="319"/>
      <c r="Y120" s="319"/>
      <c r="Z120" s="319"/>
      <c r="AA120" s="319"/>
      <c r="AB120" s="319"/>
      <c r="AC120" s="319"/>
      <c r="AD120" s="319"/>
      <c r="AE120" s="319"/>
      <c r="AF120" s="319"/>
      <c r="AG120" s="319"/>
      <c r="AH120" s="319"/>
      <c r="AI120" s="319"/>
      <c r="AJ120" s="319"/>
      <c r="AK120" s="319"/>
      <c r="AL120" s="319"/>
      <c r="AM120" s="319"/>
      <c r="AN120" s="319"/>
      <c r="AO120" s="319"/>
      <c r="AP120" s="319"/>
      <c r="AQ120" s="319"/>
      <c r="AR120" s="319"/>
      <c r="AS120" s="319"/>
      <c r="AT120" s="319"/>
      <c r="AU120" s="319"/>
      <c r="AV120" s="319"/>
      <c r="AW120" s="319"/>
      <c r="AX120" s="319"/>
      <c r="AY120" s="319"/>
      <c r="AZ120" s="319"/>
      <c r="BA120" s="319">
        <v>43406</v>
      </c>
    </row>
    <row r="121" spans="1:53" ht="12.75" hidden="1" customHeight="1" thickBot="1">
      <c r="A121" s="12"/>
      <c r="B121" s="357" t="str">
        <f>Language!C345</f>
        <v>Horas equivalentes a plena carga - refrigeração processo</v>
      </c>
      <c r="C121" s="29" t="str">
        <f>$AH$6</f>
        <v>h</v>
      </c>
      <c r="D121" s="29">
        <f>IF(HideCodeLN_CPT=2,Y112,O336)</f>
        <v>0</v>
      </c>
      <c r="E121" s="1"/>
      <c r="F121" s="1189" t="str">
        <f>Language!C59</f>
        <v>Completar as cargas mensais do processo</v>
      </c>
      <c r="G121" s="1192"/>
      <c r="H121" s="1191"/>
      <c r="I121" s="1"/>
      <c r="J121" s="1"/>
      <c r="K121" s="1"/>
      <c r="L121" s="1"/>
      <c r="M121" s="1"/>
      <c r="N121" s="1"/>
      <c r="O121" s="1"/>
      <c r="P121" s="1"/>
      <c r="Q121" s="1"/>
      <c r="R121" s="1"/>
      <c r="S121" s="9"/>
      <c r="T121" s="1"/>
      <c r="U121" s="319"/>
      <c r="V121" s="319"/>
      <c r="W121" s="319"/>
      <c r="X121" s="319"/>
      <c r="Y121" s="319"/>
      <c r="Z121" s="319"/>
      <c r="AA121" s="319"/>
      <c r="AB121" s="319"/>
      <c r="AC121" s="319"/>
      <c r="AD121" s="319"/>
      <c r="AE121" s="319"/>
      <c r="AF121" s="319"/>
      <c r="AG121" s="319"/>
      <c r="AH121" s="319"/>
      <c r="AI121" s="319"/>
      <c r="AJ121" s="319"/>
      <c r="AK121" s="319"/>
      <c r="AL121" s="319"/>
      <c r="AM121" s="319"/>
      <c r="AN121" s="319"/>
      <c r="AO121" s="319"/>
      <c r="AP121" s="319"/>
      <c r="AQ121" s="319"/>
      <c r="AR121" s="319"/>
      <c r="AS121" s="319"/>
      <c r="AT121" s="319"/>
      <c r="AU121" s="319"/>
      <c r="AV121" s="319"/>
      <c r="AW121" s="319"/>
      <c r="AX121" s="319"/>
      <c r="AY121" s="319"/>
      <c r="AZ121" s="319"/>
      <c r="BA121" s="319">
        <v>43408</v>
      </c>
    </row>
    <row r="122" spans="1:53" ht="12.75" hidden="1" customHeight="1" thickBot="1">
      <c r="A122" s="12"/>
      <c r="B122" s="357" t="str">
        <f>B121</f>
        <v>Horas equivalentes a plena carga - refrigeração processo</v>
      </c>
      <c r="C122" s="29" t="str">
        <f>$AH$6</f>
        <v>h</v>
      </c>
      <c r="D122" s="307"/>
      <c r="E122" s="1"/>
      <c r="F122" s="1"/>
      <c r="G122" s="1"/>
      <c r="H122" s="1"/>
      <c r="I122" s="1"/>
      <c r="J122" s="1"/>
      <c r="K122" s="1"/>
      <c r="L122" s="1"/>
      <c r="M122" s="1"/>
      <c r="N122" s="1"/>
      <c r="O122" s="1"/>
      <c r="P122" s="1"/>
      <c r="Q122" s="1"/>
      <c r="R122" s="1"/>
      <c r="S122" s="9"/>
      <c r="T122" s="1"/>
      <c r="U122" s="319"/>
      <c r="V122" s="319"/>
      <c r="W122" s="319"/>
      <c r="X122" s="319">
        <f>IF(U120=2,1,IF(D122=0,0,1))</f>
        <v>0</v>
      </c>
      <c r="Y122" s="319"/>
      <c r="Z122" s="319"/>
      <c r="AA122" s="319"/>
      <c r="AB122" s="319"/>
      <c r="AC122" s="319"/>
      <c r="AD122" s="319"/>
      <c r="AE122" s="319"/>
      <c r="AF122" s="319"/>
      <c r="AG122" s="319"/>
      <c r="AH122" s="319"/>
      <c r="AI122" s="319"/>
      <c r="AJ122" s="319"/>
      <c r="AK122" s="319"/>
      <c r="AL122" s="319"/>
      <c r="AM122" s="319"/>
      <c r="AN122" s="319"/>
      <c r="AO122" s="319"/>
      <c r="AP122" s="319"/>
      <c r="AQ122" s="319"/>
      <c r="AR122" s="319"/>
      <c r="AS122" s="319"/>
      <c r="AT122" s="319"/>
      <c r="AU122" s="319"/>
      <c r="AV122" s="319"/>
      <c r="AW122" s="319"/>
      <c r="AX122" s="319"/>
      <c r="AY122" s="319"/>
      <c r="AZ122" s="319"/>
      <c r="BA122" s="319">
        <v>43408</v>
      </c>
    </row>
    <row r="123" spans="1:53" ht="13.2" hidden="1">
      <c r="A123" s="12"/>
      <c r="B123" s="1" t="str">
        <f>Language!C346</f>
        <v>Demanda de climatização</v>
      </c>
      <c r="C123" s="29" t="str">
        <f>IF(Unit=TRUE,Language!C1396,Language!C1405)</f>
        <v>MWh</v>
      </c>
      <c r="D123" s="30" t="str">
        <f>IF(Unit=TRUE,X123,Z123)</f>
        <v>-</v>
      </c>
      <c r="E123" s="1"/>
      <c r="F123" s="1"/>
      <c r="G123" s="1"/>
      <c r="H123" s="1"/>
      <c r="I123" s="1"/>
      <c r="J123" s="1"/>
      <c r="K123" s="1"/>
      <c r="L123" s="1"/>
      <c r="M123" s="1"/>
      <c r="N123" s="1"/>
      <c r="O123" s="1"/>
      <c r="P123" s="1"/>
      <c r="Q123" s="1"/>
      <c r="R123" s="1"/>
      <c r="S123" s="9"/>
      <c r="T123" s="1"/>
      <c r="U123" s="319"/>
      <c r="V123" s="319"/>
      <c r="W123" s="319" t="s">
        <v>2745</v>
      </c>
      <c r="X123" s="319" t="str">
        <f>IF(X117=0,"-",IF(X113=0,"-",L335))</f>
        <v>-</v>
      </c>
      <c r="Y123" s="319" t="s">
        <v>4286</v>
      </c>
      <c r="Z123" s="319" t="e">
        <f>X123*$F$271</f>
        <v>#VALUE!</v>
      </c>
      <c r="AA123" s="319"/>
      <c r="AB123" s="319"/>
      <c r="AC123" s="319"/>
      <c r="AD123" s="319"/>
      <c r="AE123" s="319"/>
      <c r="AF123" s="319"/>
      <c r="AG123" s="319"/>
      <c r="AH123" s="319"/>
      <c r="AI123" s="319"/>
      <c r="AJ123" s="319"/>
      <c r="AK123" s="319"/>
      <c r="AL123" s="319"/>
      <c r="AM123" s="319"/>
      <c r="AN123" s="319"/>
      <c r="AO123" s="319"/>
      <c r="AP123" s="319"/>
      <c r="AQ123" s="319"/>
      <c r="AR123" s="319"/>
      <c r="AS123" s="319"/>
      <c r="AT123" s="319"/>
      <c r="AU123" s="319"/>
      <c r="AV123" s="319"/>
      <c r="AW123" s="319"/>
      <c r="AX123" s="319"/>
      <c r="AY123" s="319"/>
      <c r="AZ123" s="319"/>
      <c r="BA123" s="319">
        <v>43410</v>
      </c>
    </row>
    <row r="124" spans="1:53" ht="13.2" hidden="1">
      <c r="A124" s="12"/>
      <c r="B124" s="1" t="str">
        <f>Language!C347</f>
        <v>Demanda de frio do processo</v>
      </c>
      <c r="C124" s="29" t="str">
        <f>C123</f>
        <v>MWh</v>
      </c>
      <c r="D124" s="30">
        <f>IF(Unit=TRUE,X124,Z124)</f>
        <v>0</v>
      </c>
      <c r="E124" s="1"/>
      <c r="F124" s="1"/>
      <c r="G124" s="1"/>
      <c r="H124" s="1"/>
      <c r="I124" s="1"/>
      <c r="J124" s="1"/>
      <c r="K124" s="1"/>
      <c r="L124" s="1"/>
      <c r="M124" s="1"/>
      <c r="N124" s="1"/>
      <c r="O124" s="1"/>
      <c r="P124" s="1"/>
      <c r="Q124" s="1"/>
      <c r="R124" s="1"/>
      <c r="S124" s="9"/>
      <c r="T124" s="1"/>
      <c r="U124" s="319"/>
      <c r="V124" s="319"/>
      <c r="W124" s="319" t="s">
        <v>2745</v>
      </c>
      <c r="X124" s="319">
        <f>N335+P335</f>
        <v>0</v>
      </c>
      <c r="Y124" s="319" t="s">
        <v>4286</v>
      </c>
      <c r="Z124" s="319">
        <f>X124*$F$271</f>
        <v>0</v>
      </c>
      <c r="AA124" s="319"/>
      <c r="AB124" s="319"/>
      <c r="AC124" s="319"/>
      <c r="AD124" s="319"/>
      <c r="AE124" s="319"/>
      <c r="AF124" s="319"/>
      <c r="AG124" s="319"/>
      <c r="AH124" s="319"/>
      <c r="AI124" s="319"/>
      <c r="AJ124" s="319"/>
      <c r="AK124" s="319"/>
      <c r="AL124" s="319"/>
      <c r="AM124" s="319"/>
      <c r="AN124" s="319"/>
      <c r="AO124" s="319"/>
      <c r="AP124" s="319"/>
      <c r="AQ124" s="319"/>
      <c r="AR124" s="319"/>
      <c r="AS124" s="319"/>
      <c r="AT124" s="319"/>
      <c r="AU124" s="319"/>
      <c r="AV124" s="319"/>
      <c r="AW124" s="319"/>
      <c r="AX124" s="319"/>
      <c r="AY124" s="319"/>
      <c r="AZ124" s="319"/>
      <c r="BA124" s="319">
        <v>43412</v>
      </c>
    </row>
    <row r="125" spans="1:53" ht="13.2" hidden="1">
      <c r="A125" s="12"/>
      <c r="B125" s="1" t="str">
        <f>Language!C348</f>
        <v>Demanda total de frio</v>
      </c>
      <c r="C125" s="29" t="str">
        <f>C123</f>
        <v>MWh</v>
      </c>
      <c r="D125" s="757" t="str">
        <f>IF(Unit=TRUE,X125,Z125)</f>
        <v>-</v>
      </c>
      <c r="E125" s="1"/>
      <c r="F125" s="1"/>
      <c r="G125" s="1"/>
      <c r="H125" s="1"/>
      <c r="I125" s="1"/>
      <c r="J125" s="1"/>
      <c r="K125" s="1"/>
      <c r="L125" s="1"/>
      <c r="M125" s="1"/>
      <c r="N125" s="1"/>
      <c r="O125" s="1"/>
      <c r="P125" s="1"/>
      <c r="Q125" s="1"/>
      <c r="R125" s="1"/>
      <c r="S125" s="9"/>
      <c r="T125" s="1"/>
      <c r="U125" s="319"/>
      <c r="V125" s="319"/>
      <c r="W125" s="319" t="s">
        <v>2745</v>
      </c>
      <c r="X125" s="319" t="str">
        <f>IF(HideCodeLN_CPT=2,X124,IF(HideCodeLN_CPT=1,X123,IF(HideCodeLN_CPT=3,X123+X124,0)))</f>
        <v>-</v>
      </c>
      <c r="Y125" s="319" t="s">
        <v>4286</v>
      </c>
      <c r="Z125" s="319" t="e">
        <f>X125*$F$271</f>
        <v>#VALUE!</v>
      </c>
      <c r="AA125" s="319"/>
      <c r="AB125" s="319"/>
      <c r="AC125" s="319"/>
      <c r="AD125" s="319"/>
      <c r="AE125" s="319"/>
      <c r="AF125" s="319"/>
      <c r="AG125" s="319"/>
      <c r="AH125" s="319"/>
      <c r="AI125" s="319"/>
      <c r="AJ125" s="319"/>
      <c r="AK125" s="319"/>
      <c r="AL125" s="319"/>
      <c r="AM125" s="319"/>
      <c r="AN125" s="319"/>
      <c r="AO125" s="319"/>
      <c r="AP125" s="319"/>
      <c r="AQ125" s="319"/>
      <c r="AR125" s="319"/>
      <c r="AS125" s="319"/>
      <c r="AT125" s="319"/>
      <c r="AU125" s="319"/>
      <c r="AV125" s="319"/>
      <c r="AW125" s="319"/>
      <c r="AX125" s="319"/>
      <c r="AY125" s="319"/>
      <c r="AZ125" s="319"/>
      <c r="BA125" s="319">
        <v>43414</v>
      </c>
    </row>
    <row r="126" spans="1:53" ht="13.2" hidden="1">
      <c r="A126" s="12"/>
      <c r="B126" s="1" t="str">
        <f>Language!C349</f>
        <v>Carga total de ponta de frio</v>
      </c>
      <c r="C126" s="29" t="str">
        <f>IF(Unit=TRUE,Language!C1364,Language!C1403)</f>
        <v>kW</v>
      </c>
      <c r="D126" s="754">
        <f>IF(Unit=TRUE,X126,Z126)</f>
        <v>0</v>
      </c>
      <c r="E126" s="1"/>
      <c r="F126" s="1"/>
      <c r="G126" s="1"/>
      <c r="H126" s="1"/>
      <c r="I126" s="1"/>
      <c r="J126" s="1"/>
      <c r="K126" s="1"/>
      <c r="L126" s="1"/>
      <c r="M126" s="1"/>
      <c r="N126" s="1"/>
      <c r="O126" s="1"/>
      <c r="P126" s="1"/>
      <c r="Q126" s="1"/>
      <c r="R126" s="1"/>
      <c r="S126" s="9"/>
      <c r="T126" s="1"/>
      <c r="U126" s="319"/>
      <c r="V126" s="319"/>
      <c r="W126" s="319" t="s">
        <v>5700</v>
      </c>
      <c r="X126" s="319">
        <f>IF(HideCodeLN_CPT=1,X113*X117/1000,IF(HideCodeLN_CPT=2,X119*X122,X113*X117/1000+X119*X122))</f>
        <v>0</v>
      </c>
      <c r="Y126" s="319" t="s">
        <v>4267</v>
      </c>
      <c r="Z126" s="319">
        <f>X126*$E$271</f>
        <v>0</v>
      </c>
      <c r="AA126" s="319"/>
      <c r="AB126" s="319"/>
      <c r="AC126" s="319"/>
      <c r="AD126" s="319"/>
      <c r="AE126" s="319"/>
      <c r="AF126" s="319"/>
      <c r="AG126" s="319"/>
      <c r="AH126" s="319"/>
      <c r="AI126" s="319"/>
      <c r="AJ126" s="319"/>
      <c r="AK126" s="319"/>
      <c r="AL126" s="319"/>
      <c r="AM126" s="319"/>
      <c r="AN126" s="319"/>
      <c r="AO126" s="319"/>
      <c r="AP126" s="319"/>
      <c r="AQ126" s="319"/>
      <c r="AR126" s="319"/>
      <c r="AS126" s="319"/>
      <c r="AT126" s="319"/>
      <c r="AU126" s="319"/>
      <c r="AV126" s="319"/>
      <c r="AW126" s="319"/>
      <c r="AX126" s="319"/>
      <c r="AY126" s="319"/>
      <c r="AZ126" s="319"/>
      <c r="BA126" s="319">
        <v>43416</v>
      </c>
    </row>
    <row r="127" spans="1:53" ht="13.2" hidden="1">
      <c r="A127" s="12"/>
      <c r="B127" s="1" t="str">
        <f>Language!C286</f>
        <v>Consumo de combustível - anual</v>
      </c>
      <c r="C127" s="29" t="str">
        <f>VLOOKUP(D114,$E$340:$I$360,3,FALSE)</f>
        <v>MWh</v>
      </c>
      <c r="D127" s="30">
        <f>IF(OR(D115="",D115=0),0,X125/VLOOKUP(D114,$E$340:$I$360,4,FALSE)*1000/D115)</f>
        <v>0</v>
      </c>
      <c r="E127" s="1"/>
      <c r="F127" s="1"/>
      <c r="G127" s="1"/>
      <c r="H127" s="1"/>
      <c r="I127" s="1"/>
      <c r="J127" s="1"/>
      <c r="K127" s="1"/>
      <c r="L127" s="1"/>
      <c r="M127" s="1"/>
      <c r="N127" s="1"/>
      <c r="O127" s="1"/>
      <c r="P127" s="1"/>
      <c r="Q127" s="1"/>
      <c r="R127" s="1"/>
      <c r="S127" s="9"/>
      <c r="T127" s="1"/>
      <c r="U127" s="319"/>
      <c r="V127" s="319"/>
      <c r="W127" s="319"/>
      <c r="X127" s="319"/>
      <c r="Y127" s="319"/>
      <c r="Z127" s="319"/>
      <c r="AA127" s="319"/>
      <c r="AB127" s="319"/>
      <c r="AC127" s="319"/>
      <c r="AD127" s="319"/>
      <c r="AE127" s="319"/>
      <c r="AF127" s="319"/>
      <c r="AG127" s="319"/>
      <c r="AH127" s="319"/>
      <c r="AI127" s="319"/>
      <c r="AJ127" s="319"/>
      <c r="AK127" s="319"/>
      <c r="AL127" s="319"/>
      <c r="AM127" s="319"/>
      <c r="AN127" s="319"/>
      <c r="AO127" s="319"/>
      <c r="AP127" s="319"/>
      <c r="AQ127" s="319"/>
      <c r="AR127" s="319"/>
      <c r="AS127" s="319"/>
      <c r="AT127" s="319"/>
      <c r="AU127" s="319"/>
      <c r="AV127" s="319"/>
      <c r="AW127" s="319"/>
      <c r="AX127" s="319"/>
      <c r="AY127" s="319"/>
      <c r="AZ127" s="319"/>
      <c r="BA127" s="319">
        <v>41420</v>
      </c>
    </row>
    <row r="128" spans="1:53" ht="13.2" hidden="1">
      <c r="A128" s="12"/>
      <c r="B128" s="1" t="str">
        <f>B23</f>
        <v>Preço do combustível</v>
      </c>
      <c r="C128" s="29" t="str">
        <f>VLOOKUP(D114,$E$340:$I$360,5,FALSE)</f>
        <v>€/kWh</v>
      </c>
      <c r="D128" s="399"/>
      <c r="E128" s="1"/>
      <c r="F128" s="1"/>
      <c r="G128" s="1"/>
      <c r="H128" s="1"/>
      <c r="I128" s="1"/>
      <c r="J128" s="1"/>
      <c r="K128" s="1"/>
      <c r="L128" s="1"/>
      <c r="M128" s="1"/>
      <c r="N128" s="1"/>
      <c r="O128" s="1"/>
      <c r="P128" s="1"/>
      <c r="Q128" s="1"/>
      <c r="R128" s="1"/>
      <c r="S128" s="9"/>
      <c r="T128" s="1"/>
      <c r="U128" s="319"/>
      <c r="V128" s="319"/>
      <c r="W128" s="319"/>
      <c r="X128" s="319"/>
      <c r="Y128" s="319"/>
      <c r="Z128" s="319"/>
      <c r="AA128" s="319"/>
      <c r="AB128" s="319"/>
      <c r="AC128" s="319"/>
      <c r="AD128" s="319"/>
      <c r="AE128" s="319"/>
      <c r="AF128" s="319"/>
      <c r="AG128" s="319"/>
      <c r="AH128" s="319"/>
      <c r="AI128" s="319"/>
      <c r="AJ128" s="319"/>
      <c r="AK128" s="319"/>
      <c r="AL128" s="319"/>
      <c r="AM128" s="319"/>
      <c r="AN128" s="319"/>
      <c r="AO128" s="319"/>
      <c r="AP128" s="319"/>
      <c r="AQ128" s="319"/>
      <c r="AR128" s="319"/>
      <c r="AS128" s="319"/>
      <c r="AT128" s="319"/>
      <c r="AU128" s="319"/>
      <c r="AV128" s="319"/>
      <c r="AW128" s="319"/>
      <c r="AX128" s="319"/>
      <c r="AY128" s="319"/>
      <c r="AZ128" s="319"/>
      <c r="BA128" s="319">
        <v>2010108</v>
      </c>
    </row>
    <row r="129" spans="1:53" ht="13.2" hidden="1">
      <c r="A129" s="12"/>
      <c r="B129" s="1" t="str">
        <f>Language!C287</f>
        <v>Custo do combustível</v>
      </c>
      <c r="C129" s="1"/>
      <c r="D129" s="1358">
        <f>IF(D114=$E$344,D128*D127*1000,IF(D114=$E$360,D128*D127,D128*D127))</f>
        <v>0</v>
      </c>
      <c r="E129" s="1"/>
      <c r="F129" s="1"/>
      <c r="G129" s="1"/>
      <c r="H129" s="1"/>
      <c r="I129" s="1"/>
      <c r="J129" s="1"/>
      <c r="K129" s="1"/>
      <c r="L129" s="1"/>
      <c r="M129" s="1"/>
      <c r="N129" s="1"/>
      <c r="O129" s="1"/>
      <c r="P129" s="1"/>
      <c r="Q129" s="1"/>
      <c r="R129" s="1"/>
      <c r="S129" s="9"/>
      <c r="T129" s="1"/>
      <c r="U129" s="319"/>
      <c r="V129" s="319"/>
      <c r="W129" s="319"/>
      <c r="X129" s="319"/>
      <c r="Y129" s="319"/>
      <c r="Z129" s="319"/>
      <c r="AA129" s="319"/>
      <c r="AB129" s="319"/>
      <c r="AC129" s="319"/>
      <c r="AD129" s="319"/>
      <c r="AE129" s="319"/>
      <c r="AF129" s="319"/>
      <c r="AG129" s="319"/>
      <c r="AH129" s="319"/>
      <c r="AI129" s="319"/>
      <c r="AJ129" s="319"/>
      <c r="AK129" s="319"/>
      <c r="AL129" s="319"/>
      <c r="AM129" s="319"/>
      <c r="AN129" s="319"/>
      <c r="AO129" s="319"/>
      <c r="AP129" s="319"/>
      <c r="AQ129" s="319"/>
      <c r="AR129" s="319"/>
      <c r="AS129" s="319"/>
      <c r="AT129" s="319"/>
      <c r="AU129" s="319"/>
      <c r="AV129" s="319"/>
      <c r="AW129" s="319"/>
      <c r="AX129" s="319"/>
      <c r="AY129" s="319"/>
      <c r="AZ129" s="319"/>
      <c r="BA129" s="319">
        <v>5097210</v>
      </c>
    </row>
    <row r="130" spans="1:53" ht="13.2" hidden="1">
      <c r="A130" s="1170" t="str">
        <f>A52</f>
        <v>Ações de eficiência energética do caso proposto</v>
      </c>
      <c r="B130" s="1171"/>
      <c r="C130" s="1"/>
      <c r="D130" s="1"/>
      <c r="E130" s="1"/>
      <c r="F130" s="1"/>
      <c r="G130" s="1"/>
      <c r="H130" s="1"/>
      <c r="I130" s="1"/>
      <c r="J130" s="1"/>
      <c r="K130" s="1"/>
      <c r="L130" s="1"/>
      <c r="M130" s="1"/>
      <c r="N130" s="1"/>
      <c r="O130" s="1"/>
      <c r="P130" s="1"/>
      <c r="Q130" s="1"/>
      <c r="R130" s="1"/>
      <c r="S130" s="9"/>
      <c r="T130" s="1"/>
      <c r="U130" s="319"/>
      <c r="V130" s="319"/>
      <c r="W130" s="319"/>
      <c r="X130" s="319"/>
      <c r="Y130" s="319"/>
      <c r="Z130" s="319"/>
      <c r="AA130" s="319"/>
      <c r="AB130" s="319"/>
      <c r="AC130" s="319"/>
      <c r="AD130" s="319"/>
      <c r="AE130" s="319"/>
      <c r="AF130" s="319"/>
      <c r="AG130" s="319"/>
      <c r="AH130" s="319"/>
      <c r="AI130" s="319"/>
      <c r="AJ130" s="319"/>
      <c r="AK130" s="319"/>
      <c r="AL130" s="319"/>
      <c r="AM130" s="319"/>
      <c r="AN130" s="319"/>
      <c r="AO130" s="319"/>
      <c r="AP130" s="319"/>
      <c r="AQ130" s="319"/>
      <c r="AR130" s="319"/>
      <c r="AS130" s="319"/>
      <c r="AT130" s="319"/>
      <c r="AU130" s="319"/>
      <c r="AV130" s="319"/>
      <c r="AW130" s="319"/>
      <c r="AX130" s="319"/>
      <c r="AY130" s="319"/>
      <c r="AZ130" s="319"/>
      <c r="BA130" s="319">
        <v>43500</v>
      </c>
    </row>
    <row r="131" spans="1:53" ht="13.2" hidden="1">
      <c r="A131" s="12"/>
      <c r="B131" s="1" t="str">
        <f>B26</f>
        <v>Ações de eficiência energética no uso final</v>
      </c>
      <c r="C131" s="29" t="str">
        <f>$C$13</f>
        <v>%</v>
      </c>
      <c r="D131" s="339"/>
      <c r="E131" s="1"/>
      <c r="F131" s="1"/>
      <c r="G131" s="1"/>
      <c r="H131" s="1"/>
      <c r="I131" s="1"/>
      <c r="J131" s="1"/>
      <c r="K131" s="1"/>
      <c r="L131" s="1"/>
      <c r="M131" s="1"/>
      <c r="N131" s="1"/>
      <c r="O131" s="1"/>
      <c r="P131" s="1"/>
      <c r="Q131" s="1"/>
      <c r="R131" s="1"/>
      <c r="S131" s="9"/>
      <c r="T131" s="1"/>
      <c r="U131" s="319"/>
      <c r="V131" s="319"/>
      <c r="W131" s="319"/>
      <c r="X131" s="319"/>
      <c r="Y131" s="319"/>
      <c r="Z131" s="319"/>
      <c r="AA131" s="319"/>
      <c r="AB131" s="319"/>
      <c r="AC131" s="319"/>
      <c r="AD131" s="319"/>
      <c r="AE131" s="319"/>
      <c r="AF131" s="319"/>
      <c r="AG131" s="319"/>
      <c r="AH131" s="319"/>
      <c r="AI131" s="319"/>
      <c r="AJ131" s="319"/>
      <c r="AK131" s="319"/>
      <c r="AL131" s="319"/>
      <c r="AM131" s="319"/>
      <c r="AN131" s="319"/>
      <c r="AO131" s="319"/>
      <c r="AP131" s="319"/>
      <c r="AQ131" s="319"/>
      <c r="AR131" s="319"/>
      <c r="AS131" s="319"/>
      <c r="AT131" s="319"/>
      <c r="AU131" s="319"/>
      <c r="AV131" s="319"/>
      <c r="AW131" s="319"/>
      <c r="AX131" s="319"/>
      <c r="AY131" s="319"/>
      <c r="AZ131" s="319"/>
      <c r="BA131" s="319">
        <v>43502</v>
      </c>
    </row>
    <row r="132" spans="1:53" ht="13.2" hidden="1">
      <c r="A132" s="12"/>
      <c r="B132" s="1" t="str">
        <f>Language!C350</f>
        <v>Carga líquida de ponta de frio</v>
      </c>
      <c r="C132" s="29" t="str">
        <f>C126</f>
        <v>kW</v>
      </c>
      <c r="D132" s="140">
        <f>IF(Unit=TRUE,X132,Z132)</f>
        <v>0</v>
      </c>
      <c r="E132" s="1"/>
      <c r="F132" s="1"/>
      <c r="G132" s="1"/>
      <c r="H132" s="1"/>
      <c r="I132" s="1"/>
      <c r="J132" s="1"/>
      <c r="K132" s="1"/>
      <c r="L132" s="1"/>
      <c r="M132" s="1"/>
      <c r="N132" s="1"/>
      <c r="O132" s="1"/>
      <c r="P132" s="1"/>
      <c r="Q132" s="1"/>
      <c r="R132" s="1"/>
      <c r="S132" s="9"/>
      <c r="T132" s="1"/>
      <c r="U132" s="319"/>
      <c r="V132" s="319"/>
      <c r="W132" s="319" t="s">
        <v>5700</v>
      </c>
      <c r="X132" s="319">
        <f>MAX(AM321:AM333)</f>
        <v>0</v>
      </c>
      <c r="Y132" s="319" t="s">
        <v>4267</v>
      </c>
      <c r="Z132" s="319">
        <f>X132*$E$271</f>
        <v>0</v>
      </c>
      <c r="AA132" s="319"/>
      <c r="AB132" s="319"/>
      <c r="AC132" s="319"/>
      <c r="AD132" s="319"/>
      <c r="AE132" s="319"/>
      <c r="AF132" s="319"/>
      <c r="AG132" s="319"/>
      <c r="AH132" s="319"/>
      <c r="AI132" s="319"/>
      <c r="AJ132" s="319"/>
      <c r="AK132" s="319"/>
      <c r="AL132" s="319"/>
      <c r="AM132" s="319"/>
      <c r="AN132" s="319"/>
      <c r="AO132" s="319"/>
      <c r="AP132" s="319"/>
      <c r="AQ132" s="319"/>
      <c r="AR132" s="319"/>
      <c r="AS132" s="319"/>
      <c r="AT132" s="319"/>
      <c r="AU132" s="319"/>
      <c r="AV132" s="319"/>
      <c r="AW132" s="319"/>
      <c r="AX132" s="319"/>
      <c r="AY132" s="319"/>
      <c r="AZ132" s="319"/>
      <c r="BA132" s="319">
        <v>43504</v>
      </c>
    </row>
    <row r="133" spans="1:53" ht="13.2" hidden="1">
      <c r="A133" s="14"/>
      <c r="B133" s="15" t="str">
        <f>Language!C351</f>
        <v>Demanda líquida de frio</v>
      </c>
      <c r="C133" s="33" t="str">
        <f>C123</f>
        <v>MWh</v>
      </c>
      <c r="D133" s="34">
        <f>IF(Unit=TRUE,X133,Z133)</f>
        <v>0</v>
      </c>
      <c r="E133" s="15"/>
      <c r="F133" s="15"/>
      <c r="G133" s="15"/>
      <c r="H133" s="15"/>
      <c r="I133" s="15"/>
      <c r="J133" s="15"/>
      <c r="K133" s="15"/>
      <c r="L133" s="15"/>
      <c r="M133" s="15"/>
      <c r="N133" s="15"/>
      <c r="O133" s="15"/>
      <c r="P133" s="15"/>
      <c r="Q133" s="15"/>
      <c r="R133" s="15"/>
      <c r="S133" s="11"/>
      <c r="T133" s="1"/>
      <c r="U133" s="319"/>
      <c r="V133" s="319"/>
      <c r="W133" s="319" t="s">
        <v>2745</v>
      </c>
      <c r="X133" s="319">
        <f>AM335</f>
        <v>0</v>
      </c>
      <c r="Y133" s="319" t="s">
        <v>4286</v>
      </c>
      <c r="Z133" s="319">
        <f>X133*$F$271</f>
        <v>0</v>
      </c>
      <c r="AA133" s="319"/>
      <c r="AB133" s="319"/>
      <c r="AC133" s="319"/>
      <c r="AD133" s="319"/>
      <c r="AE133" s="319"/>
      <c r="AF133" s="319"/>
      <c r="AG133" s="319"/>
      <c r="AH133" s="319"/>
      <c r="AI133" s="319"/>
      <c r="AJ133" s="319"/>
      <c r="AK133" s="319"/>
      <c r="AL133" s="319"/>
      <c r="AM133" s="319"/>
      <c r="AN133" s="319"/>
      <c r="AO133" s="319"/>
      <c r="AP133" s="319"/>
      <c r="AQ133" s="319"/>
      <c r="AR133" s="319"/>
      <c r="AS133" s="319"/>
      <c r="AT133" s="319"/>
      <c r="AU133" s="319"/>
      <c r="AV133" s="319"/>
      <c r="AW133" s="319"/>
      <c r="AX133" s="319"/>
      <c r="AY133" s="319"/>
      <c r="AZ133" s="319"/>
      <c r="BA133" s="319">
        <v>43506</v>
      </c>
    </row>
    <row r="134" spans="1:53" ht="13.8" hidden="1" thickBot="1">
      <c r="A134" s="5"/>
      <c r="B134" s="1"/>
      <c r="C134" s="1"/>
      <c r="D134" s="1"/>
      <c r="E134" s="1"/>
      <c r="F134" s="1"/>
      <c r="G134" s="1"/>
      <c r="H134" s="1"/>
      <c r="I134" s="1"/>
      <c r="J134" s="1"/>
      <c r="K134" s="1"/>
      <c r="L134" s="1"/>
      <c r="M134" s="1"/>
      <c r="N134" s="1"/>
      <c r="O134" s="1"/>
      <c r="P134" s="1"/>
      <c r="Q134" s="1"/>
      <c r="R134" s="1"/>
      <c r="S134" s="5"/>
      <c r="T134" s="1"/>
      <c r="U134" s="319"/>
      <c r="V134" s="319"/>
      <c r="W134" s="319"/>
      <c r="X134" s="319"/>
      <c r="Y134" s="319"/>
      <c r="Z134" s="319"/>
      <c r="AA134" s="319"/>
      <c r="AB134" s="319"/>
      <c r="AC134" s="319"/>
      <c r="AD134" s="319"/>
      <c r="AE134" s="319"/>
      <c r="AF134" s="319"/>
      <c r="AG134" s="319"/>
      <c r="AH134" s="319"/>
      <c r="AI134" s="319"/>
      <c r="AJ134" s="319"/>
      <c r="AK134" s="319"/>
      <c r="AL134" s="319"/>
      <c r="AM134" s="319"/>
      <c r="AN134" s="319"/>
      <c r="AO134" s="319"/>
      <c r="AP134" s="319"/>
      <c r="AQ134" s="319"/>
      <c r="AR134" s="319"/>
      <c r="AS134" s="319"/>
      <c r="AT134" s="319"/>
      <c r="AU134" s="319"/>
      <c r="AV134" s="319"/>
      <c r="AW134" s="319"/>
      <c r="AX134" s="319"/>
      <c r="AY134" s="319"/>
      <c r="AZ134" s="319"/>
      <c r="BA134" s="319">
        <v>43000</v>
      </c>
    </row>
    <row r="135" spans="1:53" ht="13.2" hidden="1">
      <c r="A135" s="12"/>
      <c r="B135" s="362" t="str">
        <f>IF(HideCodeLN_CPT&gt;6,Language!C352,"")</f>
        <v/>
      </c>
      <c r="C135" s="1"/>
      <c r="D135" s="1"/>
      <c r="E135" s="1"/>
      <c r="F135" s="134" t="str">
        <f>IF(HideCodeLN_CPT&gt;6,Language!C293,Language!C294)</f>
        <v>Zonas do Prédio</v>
      </c>
      <c r="G135" s="1"/>
      <c r="H135" s="1"/>
      <c r="I135" s="1"/>
      <c r="J135" s="1"/>
      <c r="K135" s="1"/>
      <c r="L135" s="1"/>
      <c r="M135" s="1"/>
      <c r="N135" s="1"/>
      <c r="O135" s="1"/>
      <c r="P135" s="1"/>
      <c r="Q135" s="1"/>
      <c r="R135" s="1"/>
      <c r="S135" s="9"/>
      <c r="T135" s="1"/>
      <c r="U135" s="319"/>
      <c r="V135" s="319"/>
      <c r="W135" s="319"/>
      <c r="X135" s="319"/>
      <c r="Y135" s="319"/>
      <c r="Z135" s="319"/>
      <c r="AA135" s="319"/>
      <c r="AB135" s="319"/>
      <c r="AC135" s="319"/>
      <c r="AD135" s="319"/>
      <c r="AE135" s="319"/>
      <c r="AF135" s="319"/>
      <c r="AG135" s="319"/>
      <c r="AH135" s="319"/>
      <c r="AI135" s="319"/>
      <c r="AJ135" s="319"/>
      <c r="AK135" s="319"/>
      <c r="AL135" s="319"/>
      <c r="AM135" s="319"/>
      <c r="AN135" s="319"/>
      <c r="AO135" s="319"/>
      <c r="AP135" s="319"/>
      <c r="AQ135" s="319"/>
      <c r="AR135" s="319"/>
      <c r="AS135" s="319"/>
      <c r="AT135" s="319"/>
      <c r="AU135" s="319"/>
      <c r="AV135" s="319"/>
      <c r="AW135" s="319"/>
      <c r="AX135" s="319"/>
      <c r="AY135" s="319"/>
      <c r="AZ135" s="319"/>
      <c r="BA135" s="319">
        <v>43202</v>
      </c>
    </row>
    <row r="136" spans="1:53" ht="13.2" hidden="1">
      <c r="A136" s="12"/>
      <c r="B136" s="1"/>
      <c r="C136" s="1"/>
      <c r="D136" s="1"/>
      <c r="E136" s="1"/>
      <c r="F136" s="35">
        <v>1</v>
      </c>
      <c r="G136" s="35">
        <v>2</v>
      </c>
      <c r="H136" s="35">
        <v>3</v>
      </c>
      <c r="I136" s="35">
        <v>4</v>
      </c>
      <c r="J136" s="35">
        <v>5</v>
      </c>
      <c r="K136" s="35">
        <v>6</v>
      </c>
      <c r="L136" s="35">
        <v>7</v>
      </c>
      <c r="M136" s="35">
        <v>8</v>
      </c>
      <c r="N136" s="35">
        <v>9</v>
      </c>
      <c r="O136" s="35">
        <v>10</v>
      </c>
      <c r="P136" s="35">
        <v>11</v>
      </c>
      <c r="Q136" s="35">
        <v>12</v>
      </c>
      <c r="R136" s="35">
        <v>13</v>
      </c>
      <c r="S136" s="35">
        <v>14</v>
      </c>
      <c r="T136" s="1"/>
      <c r="U136" s="319"/>
      <c r="V136" s="319"/>
      <c r="W136" s="319"/>
      <c r="X136" s="319"/>
      <c r="Y136" s="319"/>
      <c r="Z136" s="319"/>
      <c r="AA136" s="319"/>
      <c r="AB136" s="319"/>
      <c r="AC136" s="319"/>
      <c r="AD136" s="319"/>
      <c r="AE136" s="319"/>
      <c r="AF136" s="319"/>
      <c r="AG136" s="319"/>
      <c r="AH136" s="319"/>
      <c r="AI136" s="319"/>
      <c r="AJ136" s="319"/>
      <c r="AK136" s="319"/>
      <c r="AL136" s="319"/>
      <c r="AM136" s="319"/>
      <c r="AN136" s="319"/>
      <c r="AO136" s="319"/>
      <c r="AP136" s="319"/>
      <c r="AQ136" s="319"/>
      <c r="AR136" s="319"/>
      <c r="AS136" s="319"/>
      <c r="AT136" s="319"/>
      <c r="AU136" s="319"/>
      <c r="AV136" s="319"/>
      <c r="AW136" s="319"/>
      <c r="AX136" s="319"/>
      <c r="AY136" s="319"/>
      <c r="AZ136" s="319"/>
      <c r="BA136" s="319">
        <v>43302</v>
      </c>
    </row>
    <row r="137" spans="1:53" ht="13.2" hidden="1">
      <c r="A137" s="12"/>
      <c r="B137" s="1" t="str">
        <f>IF(HideCodeLN_CPT&gt;6,Language!C353,Language!C354)</f>
        <v>Área de piso refrigerado/zona do prédio</v>
      </c>
      <c r="C137" s="303" t="s">
        <v>5430</v>
      </c>
      <c r="D137" s="30">
        <f>IF(C137=$D$260,X137,Z137)</f>
        <v>1</v>
      </c>
      <c r="E137" s="1"/>
      <c r="F137" s="307">
        <v>1</v>
      </c>
      <c r="G137" s="307"/>
      <c r="H137" s="307"/>
      <c r="I137" s="307"/>
      <c r="J137" s="307"/>
      <c r="K137" s="307"/>
      <c r="L137" s="307"/>
      <c r="M137" s="307"/>
      <c r="N137" s="307"/>
      <c r="O137" s="307"/>
      <c r="P137" s="307"/>
      <c r="Q137" s="307"/>
      <c r="R137" s="307"/>
      <c r="S137" s="738"/>
      <c r="T137" s="12"/>
      <c r="U137" s="319"/>
      <c r="V137" s="319"/>
      <c r="W137" s="319" t="s">
        <v>5430</v>
      </c>
      <c r="X137" s="319">
        <f>SUM(AH137:AU137)</f>
        <v>1</v>
      </c>
      <c r="Y137" s="319" t="s">
        <v>1131</v>
      </c>
      <c r="Z137" s="319">
        <f>X137/$E$261</f>
        <v>10.763910416709722</v>
      </c>
      <c r="AA137" s="319"/>
      <c r="AB137" s="319"/>
      <c r="AC137" s="319"/>
      <c r="AD137" s="319"/>
      <c r="AE137" s="319"/>
      <c r="AF137" s="319"/>
      <c r="AG137" s="319"/>
      <c r="AH137" s="319">
        <f t="shared" ref="AH137:AU137" si="34">IF($C137=$D$260,F137,F137*$E$261)</f>
        <v>1</v>
      </c>
      <c r="AI137" s="319">
        <f t="shared" si="34"/>
        <v>0</v>
      </c>
      <c r="AJ137" s="319">
        <f t="shared" si="34"/>
        <v>0</v>
      </c>
      <c r="AK137" s="319">
        <f t="shared" si="34"/>
        <v>0</v>
      </c>
      <c r="AL137" s="319">
        <f t="shared" si="34"/>
        <v>0</v>
      </c>
      <c r="AM137" s="319">
        <f t="shared" si="34"/>
        <v>0</v>
      </c>
      <c r="AN137" s="319">
        <f t="shared" si="34"/>
        <v>0</v>
      </c>
      <c r="AO137" s="319">
        <f t="shared" si="34"/>
        <v>0</v>
      </c>
      <c r="AP137" s="319">
        <f t="shared" si="34"/>
        <v>0</v>
      </c>
      <c r="AQ137" s="319">
        <f t="shared" si="34"/>
        <v>0</v>
      </c>
      <c r="AR137" s="319">
        <f t="shared" si="34"/>
        <v>0</v>
      </c>
      <c r="AS137" s="319">
        <f t="shared" si="34"/>
        <v>0</v>
      </c>
      <c r="AT137" s="319">
        <f t="shared" si="34"/>
        <v>0</v>
      </c>
      <c r="AU137" s="319">
        <f t="shared" si="34"/>
        <v>0</v>
      </c>
      <c r="AV137" s="319"/>
      <c r="AW137" s="319"/>
      <c r="AX137" s="319"/>
      <c r="AY137" s="319"/>
      <c r="AZ137" s="319"/>
      <c r="BA137" s="319">
        <v>43302</v>
      </c>
    </row>
    <row r="138" spans="1:53" ht="13.2" hidden="1">
      <c r="A138" s="12"/>
      <c r="B138" s="1" t="str">
        <f>B33</f>
        <v>Número de prédios no condomínio</v>
      </c>
      <c r="C138" s="29" t="str">
        <f>C33</f>
        <v>prédio</v>
      </c>
      <c r="D138" s="30">
        <f>SUMIF(AH137:AU137,"&gt;0",F138:S138)</f>
        <v>1</v>
      </c>
      <c r="E138" s="1"/>
      <c r="F138" s="303">
        <v>1</v>
      </c>
      <c r="G138" s="303"/>
      <c r="H138" s="303"/>
      <c r="I138" s="303"/>
      <c r="J138" s="303"/>
      <c r="K138" s="303"/>
      <c r="L138" s="303"/>
      <c r="M138" s="303"/>
      <c r="N138" s="303"/>
      <c r="O138" s="303"/>
      <c r="P138" s="303"/>
      <c r="Q138" s="303"/>
      <c r="R138" s="303"/>
      <c r="S138" s="336"/>
      <c r="T138" s="12"/>
      <c r="U138" s="319"/>
      <c r="V138" s="319"/>
      <c r="W138" s="319"/>
      <c r="X138" s="319"/>
      <c r="Y138" s="319"/>
      <c r="Z138" s="319"/>
      <c r="AA138" s="319"/>
      <c r="AB138" s="319"/>
      <c r="AC138" s="319"/>
      <c r="AD138" s="319"/>
      <c r="AE138" s="319"/>
      <c r="AF138" s="319"/>
      <c r="AG138" s="319"/>
      <c r="AH138" s="319"/>
      <c r="AI138" s="319"/>
      <c r="AJ138" s="319"/>
      <c r="AK138" s="319"/>
      <c r="AL138" s="319"/>
      <c r="AM138" s="319"/>
      <c r="AN138" s="319"/>
      <c r="AO138" s="319"/>
      <c r="AP138" s="319"/>
      <c r="AQ138" s="319"/>
      <c r="AR138" s="319"/>
      <c r="AS138" s="319"/>
      <c r="AT138" s="319"/>
      <c r="AU138" s="319"/>
      <c r="AV138" s="319"/>
      <c r="AW138" s="319"/>
      <c r="AX138" s="319"/>
      <c r="AY138" s="319"/>
      <c r="AZ138" s="319"/>
      <c r="BA138" s="319">
        <v>41312</v>
      </c>
    </row>
    <row r="139" spans="1:53" ht="13.2" hidden="1">
      <c r="A139" s="891"/>
      <c r="B139" s="357" t="str">
        <f>B9</f>
        <v>Tipo de Combustível</v>
      </c>
      <c r="C139" s="357"/>
      <c r="D139" s="357"/>
      <c r="E139" s="357"/>
      <c r="F139" s="419" t="s">
        <v>7151</v>
      </c>
      <c r="G139" s="419" t="s">
        <v>7151</v>
      </c>
      <c r="H139" s="419" t="s">
        <v>7151</v>
      </c>
      <c r="I139" s="419" t="s">
        <v>7151</v>
      </c>
      <c r="J139" s="419" t="s">
        <v>7151</v>
      </c>
      <c r="K139" s="419" t="s">
        <v>7151</v>
      </c>
      <c r="L139" s="419" t="s">
        <v>7151</v>
      </c>
      <c r="M139" s="419" t="s">
        <v>7151</v>
      </c>
      <c r="N139" s="419" t="s">
        <v>7151</v>
      </c>
      <c r="O139" s="419" t="s">
        <v>7151</v>
      </c>
      <c r="P139" s="419" t="s">
        <v>7151</v>
      </c>
      <c r="Q139" s="419" t="s">
        <v>7151</v>
      </c>
      <c r="R139" s="419" t="s">
        <v>7151</v>
      </c>
      <c r="S139" s="735" t="s">
        <v>7151</v>
      </c>
      <c r="T139" s="891"/>
      <c r="U139" s="605"/>
      <c r="V139" s="605"/>
      <c r="W139" s="605"/>
      <c r="X139" s="605"/>
      <c r="Y139" s="605"/>
      <c r="Z139" s="605"/>
      <c r="AA139" s="605"/>
      <c r="AB139" s="605"/>
      <c r="AC139" s="605"/>
      <c r="AD139" s="605"/>
      <c r="AE139" s="605"/>
      <c r="AF139" s="605"/>
      <c r="AG139" s="605"/>
      <c r="AH139" s="605"/>
      <c r="AI139" s="605"/>
      <c r="AJ139" s="605"/>
      <c r="AK139" s="605"/>
      <c r="AL139" s="605"/>
      <c r="AM139" s="605"/>
      <c r="AN139" s="605"/>
      <c r="AO139" s="605"/>
      <c r="AP139" s="605"/>
      <c r="AQ139" s="605"/>
      <c r="AR139" s="605"/>
      <c r="AS139" s="605"/>
      <c r="AT139" s="605"/>
      <c r="AU139" s="605"/>
      <c r="AV139" s="605"/>
      <c r="AW139" s="605"/>
      <c r="AX139" s="605"/>
      <c r="AY139" s="605"/>
      <c r="AZ139" s="605"/>
      <c r="BA139" s="605">
        <v>2010106</v>
      </c>
    </row>
    <row r="140" spans="1:53" ht="13.2" hidden="1">
      <c r="A140" s="12"/>
      <c r="B140" s="1" t="str">
        <f>Language!C1544</f>
        <v>Coeficiente de desempenho - sazonal</v>
      </c>
      <c r="C140" s="29"/>
      <c r="D140" s="29" t="s">
        <v>637</v>
      </c>
      <c r="E140" s="1"/>
      <c r="F140" s="367"/>
      <c r="G140" s="367"/>
      <c r="H140" s="367"/>
      <c r="I140" s="367"/>
      <c r="J140" s="367"/>
      <c r="K140" s="367"/>
      <c r="L140" s="367"/>
      <c r="M140" s="367"/>
      <c r="N140" s="367"/>
      <c r="O140" s="367"/>
      <c r="P140" s="367"/>
      <c r="Q140" s="367"/>
      <c r="R140" s="367"/>
      <c r="S140" s="820"/>
      <c r="T140" s="12"/>
      <c r="U140" s="319"/>
      <c r="V140" s="319"/>
      <c r="W140" s="319"/>
      <c r="X140" s="319"/>
      <c r="Y140" s="319"/>
      <c r="Z140" s="319"/>
      <c r="AA140" s="319"/>
      <c r="AB140" s="319"/>
      <c r="AC140" s="319"/>
      <c r="AD140" s="319"/>
      <c r="AE140" s="319"/>
      <c r="AF140" s="319"/>
      <c r="AG140" s="319"/>
      <c r="AH140" s="319"/>
      <c r="AI140" s="319"/>
      <c r="AJ140" s="319"/>
      <c r="AK140" s="319"/>
      <c r="AL140" s="319"/>
      <c r="AM140" s="319"/>
      <c r="AN140" s="319"/>
      <c r="AO140" s="319"/>
      <c r="AP140" s="319"/>
      <c r="AQ140" s="319"/>
      <c r="AR140" s="319"/>
      <c r="AS140" s="319"/>
      <c r="AT140" s="319"/>
      <c r="AU140" s="319"/>
      <c r="AV140" s="319"/>
      <c r="AW140" s="319"/>
      <c r="AX140" s="319"/>
      <c r="AY140" s="319"/>
      <c r="AZ140" s="319"/>
      <c r="BA140" s="319">
        <v>2010112</v>
      </c>
    </row>
    <row r="141" spans="1:53" ht="13.2" hidden="1">
      <c r="A141" s="12"/>
      <c r="B141" s="28" t="str">
        <f>B116</f>
        <v>Cálculo da carga de refrigeração</v>
      </c>
      <c r="C141" s="1"/>
      <c r="D141" s="1"/>
      <c r="E141" s="1"/>
      <c r="F141" s="1"/>
      <c r="G141" s="1"/>
      <c r="H141" s="1"/>
      <c r="I141" s="1"/>
      <c r="J141" s="1"/>
      <c r="K141" s="1"/>
      <c r="L141" s="1"/>
      <c r="M141" s="1"/>
      <c r="N141" s="1"/>
      <c r="O141" s="1"/>
      <c r="P141" s="1"/>
      <c r="Q141" s="1"/>
      <c r="R141" s="1"/>
      <c r="S141" s="1"/>
      <c r="T141" s="12"/>
      <c r="U141" s="319"/>
      <c r="V141" s="319"/>
      <c r="W141" s="319"/>
      <c r="X141" s="319"/>
      <c r="Y141" s="319"/>
      <c r="Z141" s="319"/>
      <c r="AA141" s="319"/>
      <c r="AB141" s="319"/>
      <c r="AC141" s="319"/>
      <c r="AD141" s="319"/>
      <c r="AE141" s="319"/>
      <c r="AF141" s="319"/>
      <c r="AG141" s="319"/>
      <c r="AH141" s="319"/>
      <c r="AI141" s="319"/>
      <c r="AJ141" s="319"/>
      <c r="AK141" s="319"/>
      <c r="AL141" s="319"/>
      <c r="AM141" s="319"/>
      <c r="AN141" s="319"/>
      <c r="AO141" s="319"/>
      <c r="AP141" s="319"/>
      <c r="AQ141" s="319"/>
      <c r="AR141" s="319"/>
      <c r="AS141" s="319"/>
      <c r="AT141" s="319"/>
      <c r="AU141" s="319"/>
      <c r="AV141" s="319"/>
      <c r="AW141" s="319"/>
      <c r="AX141" s="319"/>
      <c r="AY141" s="319"/>
      <c r="AZ141" s="319"/>
      <c r="BA141" s="319">
        <v>43400</v>
      </c>
    </row>
    <row r="142" spans="1:53" ht="13.2" hidden="1">
      <c r="A142" s="12"/>
      <c r="B142" s="1" t="str">
        <f>IF(HideCodeLN_CPT&gt;6,Language!C355,Language!C356)</f>
        <v>Carga de refrigeração por zona</v>
      </c>
      <c r="C142" s="303" t="s">
        <v>2335</v>
      </c>
      <c r="D142" s="29" t="s">
        <v>637</v>
      </c>
      <c r="E142" s="1"/>
      <c r="F142" s="303"/>
      <c r="G142" s="303"/>
      <c r="H142" s="303"/>
      <c r="I142" s="303"/>
      <c r="J142" s="303"/>
      <c r="K142" s="303"/>
      <c r="L142" s="303"/>
      <c r="M142" s="303"/>
      <c r="N142" s="303"/>
      <c r="O142" s="303"/>
      <c r="P142" s="303"/>
      <c r="Q142" s="303"/>
      <c r="R142" s="303"/>
      <c r="S142" s="336"/>
      <c r="T142" s="12"/>
      <c r="U142" s="319"/>
      <c r="V142" s="319"/>
      <c r="W142" s="319"/>
      <c r="X142" s="319"/>
      <c r="Y142" s="319"/>
      <c r="Z142" s="319"/>
      <c r="AA142" s="319"/>
      <c r="AB142" s="319"/>
      <c r="AC142" s="319"/>
      <c r="AD142" s="319"/>
      <c r="AE142" s="319"/>
      <c r="AF142" s="319"/>
      <c r="AG142" s="319"/>
      <c r="AH142" s="319">
        <f t="shared" ref="AH142:AU142" si="35">IF(F142=0,0,IF($C142=$D$266,F142,IF($C142=$D$267,F142*$E$267,1/F142*$E$268)))</f>
        <v>0</v>
      </c>
      <c r="AI142" s="319">
        <f t="shared" si="35"/>
        <v>0</v>
      </c>
      <c r="AJ142" s="319">
        <f t="shared" si="35"/>
        <v>0</v>
      </c>
      <c r="AK142" s="319">
        <f t="shared" si="35"/>
        <v>0</v>
      </c>
      <c r="AL142" s="319">
        <f t="shared" si="35"/>
        <v>0</v>
      </c>
      <c r="AM142" s="319">
        <f t="shared" si="35"/>
        <v>0</v>
      </c>
      <c r="AN142" s="319">
        <f t="shared" si="35"/>
        <v>0</v>
      </c>
      <c r="AO142" s="319">
        <f t="shared" si="35"/>
        <v>0</v>
      </c>
      <c r="AP142" s="319">
        <f t="shared" si="35"/>
        <v>0</v>
      </c>
      <c r="AQ142" s="319">
        <f t="shared" si="35"/>
        <v>0</v>
      </c>
      <c r="AR142" s="319">
        <f t="shared" si="35"/>
        <v>0</v>
      </c>
      <c r="AS142" s="319">
        <f t="shared" si="35"/>
        <v>0</v>
      </c>
      <c r="AT142" s="319">
        <f t="shared" si="35"/>
        <v>0</v>
      </c>
      <c r="AU142" s="319">
        <f t="shared" si="35"/>
        <v>0</v>
      </c>
      <c r="AV142" s="319"/>
      <c r="AW142" s="319"/>
      <c r="AX142" s="319"/>
      <c r="AY142" s="319"/>
      <c r="AZ142" s="319"/>
      <c r="BA142" s="319">
        <v>43402</v>
      </c>
    </row>
    <row r="143" spans="1:53" ht="13.2" hidden="1">
      <c r="A143" s="12"/>
      <c r="B143" s="1" t="str">
        <f>B118</f>
        <v>Demanda refrigeração independente da temperatura externa</v>
      </c>
      <c r="C143" s="29" t="str">
        <f>$C$13</f>
        <v>%</v>
      </c>
      <c r="D143" s="339"/>
      <c r="E143" s="1"/>
      <c r="F143" s="1"/>
      <c r="G143" s="1"/>
      <c r="H143" s="1"/>
      <c r="I143" s="1"/>
      <c r="J143" s="1"/>
      <c r="K143" s="1"/>
      <c r="L143" s="1"/>
      <c r="M143" s="1"/>
      <c r="N143" s="1"/>
      <c r="O143" s="1"/>
      <c r="P143" s="1"/>
      <c r="Q143" s="1"/>
      <c r="R143" s="1"/>
      <c r="S143" s="1"/>
      <c r="T143" s="12"/>
      <c r="U143" s="319"/>
      <c r="V143" s="319"/>
      <c r="W143" s="319"/>
      <c r="X143" s="319"/>
      <c r="Y143" s="319"/>
      <c r="Z143" s="319"/>
      <c r="AA143" s="319"/>
      <c r="AB143" s="319"/>
      <c r="AC143" s="319"/>
      <c r="AD143" s="319"/>
      <c r="AE143" s="319"/>
      <c r="AF143" s="319"/>
      <c r="AG143" s="319"/>
      <c r="AH143" s="319"/>
      <c r="AI143" s="319"/>
      <c r="AJ143" s="319"/>
      <c r="AK143" s="319"/>
      <c r="AL143" s="319"/>
      <c r="AM143" s="319"/>
      <c r="AN143" s="319"/>
      <c r="AO143" s="319"/>
      <c r="AP143" s="319"/>
      <c r="AQ143" s="319"/>
      <c r="AR143" s="319"/>
      <c r="AS143" s="319"/>
      <c r="AT143" s="319"/>
      <c r="AU143" s="319"/>
      <c r="AV143" s="319"/>
      <c r="AW143" s="319"/>
      <c r="AX143" s="319"/>
      <c r="AY143" s="319"/>
      <c r="AZ143" s="319"/>
      <c r="BA143" s="319">
        <v>43403</v>
      </c>
    </row>
    <row r="144" spans="1:53" ht="13.2" hidden="1">
      <c r="A144" s="12"/>
      <c r="B144" s="1" t="str">
        <f>B119</f>
        <v>Carga ponta refrigeração do processo</v>
      </c>
      <c r="C144" s="303" t="s">
        <v>5700</v>
      </c>
      <c r="D144" s="30">
        <f>SUMIF(AH147:AU147,"&gt;0",F144:S144)</f>
        <v>0</v>
      </c>
      <c r="E144" s="39"/>
      <c r="F144" s="307"/>
      <c r="G144" s="307"/>
      <c r="H144" s="307"/>
      <c r="I144" s="307"/>
      <c r="J144" s="307"/>
      <c r="K144" s="307"/>
      <c r="L144" s="307"/>
      <c r="M144" s="307"/>
      <c r="N144" s="307"/>
      <c r="O144" s="307"/>
      <c r="P144" s="307"/>
      <c r="Q144" s="307"/>
      <c r="R144" s="307"/>
      <c r="S144" s="738"/>
      <c r="T144" s="12"/>
      <c r="U144" s="319"/>
      <c r="V144" s="319"/>
      <c r="W144" s="319" t="s">
        <v>5700</v>
      </c>
      <c r="X144" s="319">
        <f>IF(U145=2,SUM(AH144:AU144),SUMIF(F147:S147,"&gt;0",AH144:AU144))</f>
        <v>0</v>
      </c>
      <c r="Y144" s="319" t="s">
        <v>4267</v>
      </c>
      <c r="Z144" s="319">
        <f>X144*$E$271</f>
        <v>0</v>
      </c>
      <c r="AA144" s="319"/>
      <c r="AB144" s="319"/>
      <c r="AC144" s="319"/>
      <c r="AD144" s="319"/>
      <c r="AE144" s="319"/>
      <c r="AF144" s="319"/>
      <c r="AG144" s="319" t="e">
        <f>AG149*1000/X144</f>
        <v>#DIV/0!</v>
      </c>
      <c r="AH144" s="319">
        <f t="shared" ref="AH144:AU144" si="36">IF(AH137=0,0,1)*IF($C144=$D$269,F144,IF($C144=$D$270,F144/$E$270,F144/$E$271))</f>
        <v>0</v>
      </c>
      <c r="AI144" s="319">
        <f t="shared" si="36"/>
        <v>0</v>
      </c>
      <c r="AJ144" s="319">
        <f t="shared" si="36"/>
        <v>0</v>
      </c>
      <c r="AK144" s="319">
        <f t="shared" si="36"/>
        <v>0</v>
      </c>
      <c r="AL144" s="319">
        <f t="shared" si="36"/>
        <v>0</v>
      </c>
      <c r="AM144" s="319">
        <f t="shared" si="36"/>
        <v>0</v>
      </c>
      <c r="AN144" s="319">
        <f t="shared" si="36"/>
        <v>0</v>
      </c>
      <c r="AO144" s="319">
        <f t="shared" si="36"/>
        <v>0</v>
      </c>
      <c r="AP144" s="319">
        <f t="shared" si="36"/>
        <v>0</v>
      </c>
      <c r="AQ144" s="319">
        <f t="shared" si="36"/>
        <v>0</v>
      </c>
      <c r="AR144" s="319">
        <f t="shared" si="36"/>
        <v>0</v>
      </c>
      <c r="AS144" s="319">
        <f t="shared" si="36"/>
        <v>0</v>
      </c>
      <c r="AT144" s="319">
        <f t="shared" si="36"/>
        <v>0</v>
      </c>
      <c r="AU144" s="319">
        <f t="shared" si="36"/>
        <v>0</v>
      </c>
      <c r="AV144" s="319"/>
      <c r="AW144" s="319"/>
      <c r="AX144" s="319"/>
      <c r="AY144" s="319"/>
      <c r="AZ144" s="319"/>
      <c r="BA144" s="319">
        <v>43404</v>
      </c>
    </row>
    <row r="145" spans="1:53" ht="13.2" hidden="1">
      <c r="A145" s="12"/>
      <c r="B145" s="1" t="str">
        <f>B120</f>
        <v>Características carga de refrigeração do processo</v>
      </c>
      <c r="C145" s="1"/>
      <c r="D145" s="303" t="s">
        <v>6129</v>
      </c>
      <c r="E145" s="1"/>
      <c r="F145" s="1"/>
      <c r="G145" s="1"/>
      <c r="H145" s="1"/>
      <c r="I145" s="1"/>
      <c r="J145" s="1"/>
      <c r="K145" s="1"/>
      <c r="L145" s="1"/>
      <c r="M145" s="1"/>
      <c r="N145" s="1"/>
      <c r="O145" s="1"/>
      <c r="P145" s="1"/>
      <c r="Q145" s="1"/>
      <c r="R145" s="1"/>
      <c r="S145" s="1"/>
      <c r="T145" s="12"/>
      <c r="U145" s="319">
        <f>IF(D145="",1,MATCH(D145,LN_SD,0))</f>
        <v>1</v>
      </c>
      <c r="V145" s="319"/>
      <c r="W145" s="319"/>
      <c r="X145" s="319"/>
      <c r="Y145" s="319"/>
      <c r="Z145" s="319"/>
      <c r="AA145" s="319"/>
      <c r="AB145" s="319"/>
      <c r="AC145" s="319"/>
      <c r="AD145" s="319"/>
      <c r="AE145" s="319"/>
      <c r="AF145" s="319"/>
      <c r="AG145" s="319" t="s">
        <v>3679</v>
      </c>
      <c r="AH145" s="319">
        <f t="shared" ref="AH145:AU145" si="37">IF(F139=$E$344,IF(OR(F137=0,F140=0,HideCodeLN_CPT=5,HideCodeLN_CPT=8),0,AH137*AH142/F140/1000),0)</f>
        <v>0</v>
      </c>
      <c r="AI145" s="319">
        <f t="shared" si="37"/>
        <v>0</v>
      </c>
      <c r="AJ145" s="319">
        <f t="shared" si="37"/>
        <v>0</v>
      </c>
      <c r="AK145" s="319">
        <f t="shared" si="37"/>
        <v>0</v>
      </c>
      <c r="AL145" s="319">
        <f t="shared" si="37"/>
        <v>0</v>
      </c>
      <c r="AM145" s="319">
        <f t="shared" si="37"/>
        <v>0</v>
      </c>
      <c r="AN145" s="319">
        <f t="shared" si="37"/>
        <v>0</v>
      </c>
      <c r="AO145" s="319">
        <f t="shared" si="37"/>
        <v>0</v>
      </c>
      <c r="AP145" s="319">
        <f t="shared" si="37"/>
        <v>0</v>
      </c>
      <c r="AQ145" s="319">
        <f t="shared" si="37"/>
        <v>0</v>
      </c>
      <c r="AR145" s="319">
        <f t="shared" si="37"/>
        <v>0</v>
      </c>
      <c r="AS145" s="319">
        <f t="shared" si="37"/>
        <v>0</v>
      </c>
      <c r="AT145" s="319">
        <f t="shared" si="37"/>
        <v>0</v>
      </c>
      <c r="AU145" s="319">
        <f t="shared" si="37"/>
        <v>0</v>
      </c>
      <c r="AV145" s="319"/>
      <c r="AW145" s="319"/>
      <c r="AX145" s="319"/>
      <c r="AY145" s="319"/>
      <c r="AZ145" s="319"/>
      <c r="BA145" s="319">
        <v>43406</v>
      </c>
    </row>
    <row r="146" spans="1:53" ht="12.75" hidden="1" customHeight="1" thickBot="1">
      <c r="A146" s="12"/>
      <c r="B146" s="357" t="str">
        <f>B121</f>
        <v>Horas equivalentes a plena carga - refrigeração processo</v>
      </c>
      <c r="C146" s="29" t="str">
        <f>$AH$6</f>
        <v>h</v>
      </c>
      <c r="D146" s="30">
        <f>IF(OR(HideCodeLN_CPT=5,HideCodeLN_CPT=8),Y112,P336)</f>
        <v>0</v>
      </c>
      <c r="E146" s="8"/>
      <c r="F146" s="1167" t="str">
        <f>Language!C59</f>
        <v>Completar as cargas mensais do processo</v>
      </c>
      <c r="G146" s="1168"/>
      <c r="H146" s="1169"/>
      <c r="I146" s="1"/>
      <c r="J146" s="1"/>
      <c r="K146" s="1"/>
      <c r="L146" s="1"/>
      <c r="M146" s="1"/>
      <c r="N146" s="1"/>
      <c r="O146" s="1"/>
      <c r="P146" s="1"/>
      <c r="Q146" s="1"/>
      <c r="R146" s="1"/>
      <c r="S146" s="1"/>
      <c r="T146" s="12"/>
      <c r="U146" s="319"/>
      <c r="V146" s="319"/>
      <c r="W146" s="319"/>
      <c r="X146" s="319"/>
      <c r="Y146" s="319"/>
      <c r="Z146" s="319"/>
      <c r="AA146" s="319"/>
      <c r="AB146" s="319"/>
      <c r="AC146" s="319"/>
      <c r="AD146" s="319"/>
      <c r="AE146" s="319"/>
      <c r="AF146" s="319"/>
      <c r="AG146" s="319" t="s">
        <v>3678</v>
      </c>
      <c r="AH146" s="319">
        <f t="shared" ref="AH146:AU146" si="38">IF(F139=$E$344,IF($U$145=1,IF(OR(HideCodeLN_CPT=4,HideCodeLN_CPT=7,F137=0,F140=0,F147=0),0,AH144/F140),IF(OR(HideCodeLN_CPT=4,HideCodeLN_CPT=7,F137=0,F140=0),0,AH144/F140)),0)</f>
        <v>0</v>
      </c>
      <c r="AI146" s="319">
        <f t="shared" si="38"/>
        <v>0</v>
      </c>
      <c r="AJ146" s="319">
        <f t="shared" si="38"/>
        <v>0</v>
      </c>
      <c r="AK146" s="319">
        <f t="shared" si="38"/>
        <v>0</v>
      </c>
      <c r="AL146" s="319">
        <f t="shared" si="38"/>
        <v>0</v>
      </c>
      <c r="AM146" s="319">
        <f t="shared" si="38"/>
        <v>0</v>
      </c>
      <c r="AN146" s="319">
        <f t="shared" si="38"/>
        <v>0</v>
      </c>
      <c r="AO146" s="319">
        <f t="shared" si="38"/>
        <v>0</v>
      </c>
      <c r="AP146" s="319">
        <f t="shared" si="38"/>
        <v>0</v>
      </c>
      <c r="AQ146" s="319">
        <f t="shared" si="38"/>
        <v>0</v>
      </c>
      <c r="AR146" s="319">
        <f t="shared" si="38"/>
        <v>0</v>
      </c>
      <c r="AS146" s="319">
        <f t="shared" si="38"/>
        <v>0</v>
      </c>
      <c r="AT146" s="319">
        <f t="shared" si="38"/>
        <v>0</v>
      </c>
      <c r="AU146" s="319">
        <f t="shared" si="38"/>
        <v>0</v>
      </c>
      <c r="AV146" s="319"/>
      <c r="AW146" s="319"/>
      <c r="AX146" s="319"/>
      <c r="AY146" s="319"/>
      <c r="AZ146" s="319"/>
      <c r="BA146" s="319">
        <v>43408</v>
      </c>
    </row>
    <row r="147" spans="1:53" ht="12.75" hidden="1" customHeight="1" thickBot="1">
      <c r="A147" s="12"/>
      <c r="B147" s="357" t="str">
        <f>B121</f>
        <v>Horas equivalentes a plena carga - refrigeração processo</v>
      </c>
      <c r="C147" s="29" t="str">
        <f>$AH$6</f>
        <v>h</v>
      </c>
      <c r="D147" s="30" t="e">
        <f>X149*1000/X144</f>
        <v>#DIV/0!</v>
      </c>
      <c r="E147" s="1"/>
      <c r="F147" s="307"/>
      <c r="G147" s="307"/>
      <c r="H147" s="307"/>
      <c r="I147" s="307"/>
      <c r="J147" s="307"/>
      <c r="K147" s="307"/>
      <c r="L147" s="307"/>
      <c r="M147" s="307"/>
      <c r="N147" s="307"/>
      <c r="O147" s="307"/>
      <c r="P147" s="307"/>
      <c r="Q147" s="307"/>
      <c r="R147" s="307"/>
      <c r="S147" s="738"/>
      <c r="T147" s="12"/>
      <c r="U147" s="319"/>
      <c r="V147" s="319"/>
      <c r="W147" s="319"/>
      <c r="X147" s="319"/>
      <c r="Y147" s="319"/>
      <c r="Z147" s="319"/>
      <c r="AA147" s="319"/>
      <c r="AB147" s="319"/>
      <c r="AC147" s="319"/>
      <c r="AD147" s="319"/>
      <c r="AE147" s="319"/>
      <c r="AF147" s="319"/>
      <c r="AG147" s="319"/>
      <c r="AH147" s="319">
        <f>IF(AH137=0,0,IF($U$145=2,1,IF(F147&gt;0,1,0)))</f>
        <v>0</v>
      </c>
      <c r="AI147" s="319">
        <f t="shared" ref="AI147:AU147" si="39">IF(AI137=0,0,IF($U$145=2,1,IF(G147&gt;0,1,0)))</f>
        <v>0</v>
      </c>
      <c r="AJ147" s="319">
        <f t="shared" si="39"/>
        <v>0</v>
      </c>
      <c r="AK147" s="319">
        <f t="shared" si="39"/>
        <v>0</v>
      </c>
      <c r="AL147" s="319">
        <f t="shared" si="39"/>
        <v>0</v>
      </c>
      <c r="AM147" s="319">
        <f t="shared" si="39"/>
        <v>0</v>
      </c>
      <c r="AN147" s="319">
        <f t="shared" si="39"/>
        <v>0</v>
      </c>
      <c r="AO147" s="319">
        <f t="shared" si="39"/>
        <v>0</v>
      </c>
      <c r="AP147" s="319">
        <f t="shared" si="39"/>
        <v>0</v>
      </c>
      <c r="AQ147" s="319">
        <f t="shared" si="39"/>
        <v>0</v>
      </c>
      <c r="AR147" s="319">
        <f t="shared" si="39"/>
        <v>0</v>
      </c>
      <c r="AS147" s="319">
        <f t="shared" si="39"/>
        <v>0</v>
      </c>
      <c r="AT147" s="319">
        <f t="shared" si="39"/>
        <v>0</v>
      </c>
      <c r="AU147" s="319">
        <f t="shared" si="39"/>
        <v>0</v>
      </c>
      <c r="AV147" s="319"/>
      <c r="AW147" s="319"/>
      <c r="AX147" s="319"/>
      <c r="AY147" s="319"/>
      <c r="AZ147" s="319"/>
      <c r="BA147" s="319">
        <v>43408</v>
      </c>
    </row>
    <row r="148" spans="1:53" ht="13.2" hidden="1">
      <c r="A148" s="12"/>
      <c r="B148" s="1" t="str">
        <f>B123</f>
        <v>Demanda de climatização</v>
      </c>
      <c r="C148" s="29" t="str">
        <f>C123</f>
        <v>MWh</v>
      </c>
      <c r="D148" s="30">
        <f>IF(Unit=TRUE,X148,Z148)</f>
        <v>0</v>
      </c>
      <c r="E148" s="1"/>
      <c r="F148" s="30" t="str">
        <f t="shared" ref="F148:S150" si="40">IF(AH148=0,"-",IF(Unit=TRUE,AH148,AH148*$F$271))</f>
        <v>-</v>
      </c>
      <c r="G148" s="30" t="str">
        <f t="shared" si="40"/>
        <v>-</v>
      </c>
      <c r="H148" s="30" t="str">
        <f t="shared" si="40"/>
        <v>-</v>
      </c>
      <c r="I148" s="30" t="str">
        <f t="shared" si="40"/>
        <v>-</v>
      </c>
      <c r="J148" s="30" t="str">
        <f t="shared" si="40"/>
        <v>-</v>
      </c>
      <c r="K148" s="30" t="str">
        <f t="shared" si="40"/>
        <v>-</v>
      </c>
      <c r="L148" s="30" t="str">
        <f t="shared" si="40"/>
        <v>-</v>
      </c>
      <c r="M148" s="30" t="str">
        <f t="shared" si="40"/>
        <v>-</v>
      </c>
      <c r="N148" s="30" t="str">
        <f t="shared" si="40"/>
        <v>-</v>
      </c>
      <c r="O148" s="30" t="str">
        <f t="shared" si="40"/>
        <v>-</v>
      </c>
      <c r="P148" s="30" t="str">
        <f t="shared" si="40"/>
        <v>-</v>
      </c>
      <c r="Q148" s="30" t="str">
        <f t="shared" si="40"/>
        <v>-</v>
      </c>
      <c r="R148" s="30" t="str">
        <f t="shared" si="40"/>
        <v>-</v>
      </c>
      <c r="S148" s="30" t="str">
        <f t="shared" si="40"/>
        <v>-</v>
      </c>
      <c r="T148" s="12"/>
      <c r="U148" s="319"/>
      <c r="V148" s="319"/>
      <c r="W148" s="319" t="s">
        <v>2745</v>
      </c>
      <c r="X148" s="319">
        <f>SUMIF(AH137:AU137,"&gt;0",AH148:AU148)</f>
        <v>0</v>
      </c>
      <c r="Y148" s="319" t="s">
        <v>4286</v>
      </c>
      <c r="Z148" s="319">
        <f>X148*$F$271</f>
        <v>0</v>
      </c>
      <c r="AA148" s="319"/>
      <c r="AB148" s="319"/>
      <c r="AC148" s="319"/>
      <c r="AD148" s="319"/>
      <c r="AE148" s="319"/>
      <c r="AF148" s="319"/>
      <c r="AG148" s="319"/>
      <c r="AH148" s="319">
        <f>IF(AH142=0,0,IF(AH137=0,0,(AH142*AH137*$L$336/1000)/1000))</f>
        <v>0</v>
      </c>
      <c r="AI148" s="319">
        <f t="shared" ref="AI148:AU148" si="41">IF(AI142=0,0,IF(AI137=0,0,(AI142*AI137*$L$336/1000)/1000))</f>
        <v>0</v>
      </c>
      <c r="AJ148" s="319">
        <f t="shared" si="41"/>
        <v>0</v>
      </c>
      <c r="AK148" s="319">
        <f t="shared" si="41"/>
        <v>0</v>
      </c>
      <c r="AL148" s="319">
        <f t="shared" si="41"/>
        <v>0</v>
      </c>
      <c r="AM148" s="319">
        <f t="shared" si="41"/>
        <v>0</v>
      </c>
      <c r="AN148" s="319">
        <f t="shared" si="41"/>
        <v>0</v>
      </c>
      <c r="AO148" s="319">
        <f t="shared" si="41"/>
        <v>0</v>
      </c>
      <c r="AP148" s="319">
        <f t="shared" si="41"/>
        <v>0</v>
      </c>
      <c r="AQ148" s="319">
        <f t="shared" si="41"/>
        <v>0</v>
      </c>
      <c r="AR148" s="319">
        <f t="shared" si="41"/>
        <v>0</v>
      </c>
      <c r="AS148" s="319">
        <f t="shared" si="41"/>
        <v>0</v>
      </c>
      <c r="AT148" s="319">
        <f t="shared" si="41"/>
        <v>0</v>
      </c>
      <c r="AU148" s="319">
        <f t="shared" si="41"/>
        <v>0</v>
      </c>
      <c r="AV148" s="319"/>
      <c r="AW148" s="319"/>
      <c r="AX148" s="319"/>
      <c r="AY148" s="319"/>
      <c r="AZ148" s="319"/>
      <c r="BA148" s="319">
        <v>43410</v>
      </c>
    </row>
    <row r="149" spans="1:53" ht="13.2" hidden="1">
      <c r="A149" s="12"/>
      <c r="B149" s="1" t="str">
        <f>B124</f>
        <v>Demanda de frio do processo</v>
      </c>
      <c r="C149" s="29" t="str">
        <f>C123</f>
        <v>MWh</v>
      </c>
      <c r="D149" s="30">
        <f>IF(Unit=TRUE,X149,Z149)</f>
        <v>0</v>
      </c>
      <c r="E149" s="1"/>
      <c r="F149" s="30" t="str">
        <f t="shared" si="40"/>
        <v>-</v>
      </c>
      <c r="G149" s="30" t="str">
        <f t="shared" si="40"/>
        <v>-</v>
      </c>
      <c r="H149" s="30" t="str">
        <f t="shared" si="40"/>
        <v>-</v>
      </c>
      <c r="I149" s="30" t="str">
        <f t="shared" si="40"/>
        <v>-</v>
      </c>
      <c r="J149" s="30" t="str">
        <f t="shared" si="40"/>
        <v>-</v>
      </c>
      <c r="K149" s="30" t="str">
        <f t="shared" si="40"/>
        <v>-</v>
      </c>
      <c r="L149" s="30" t="str">
        <f t="shared" si="40"/>
        <v>-</v>
      </c>
      <c r="M149" s="30" t="str">
        <f t="shared" si="40"/>
        <v>-</v>
      </c>
      <c r="N149" s="30" t="str">
        <f t="shared" si="40"/>
        <v>-</v>
      </c>
      <c r="O149" s="30" t="str">
        <f t="shared" si="40"/>
        <v>-</v>
      </c>
      <c r="P149" s="30" t="str">
        <f t="shared" si="40"/>
        <v>-</v>
      </c>
      <c r="Q149" s="30" t="str">
        <f t="shared" si="40"/>
        <v>-</v>
      </c>
      <c r="R149" s="30" t="str">
        <f t="shared" si="40"/>
        <v>-</v>
      </c>
      <c r="S149" s="30" t="str">
        <f t="shared" si="40"/>
        <v>-</v>
      </c>
      <c r="T149" s="12"/>
      <c r="U149" s="319"/>
      <c r="V149" s="319"/>
      <c r="W149" s="319" t="s">
        <v>2745</v>
      </c>
      <c r="X149" s="319">
        <f>N335+P335</f>
        <v>0</v>
      </c>
      <c r="Y149" s="319" t="s">
        <v>4286</v>
      </c>
      <c r="Z149" s="319">
        <f>X149*$F$271</f>
        <v>0</v>
      </c>
      <c r="AA149" s="319"/>
      <c r="AB149" s="319"/>
      <c r="AC149" s="319"/>
      <c r="AD149" s="319"/>
      <c r="AE149" s="319"/>
      <c r="AF149" s="319"/>
      <c r="AG149" s="319">
        <f>SUMIF(AH137:AU137,"&gt;0",AH149:AU149)</f>
        <v>0</v>
      </c>
      <c r="AH149" s="319">
        <f>IF(AH144=0,0,IF($U$145=2,AH144*$D$147/1000,AH144*F147/1000))</f>
        <v>0</v>
      </c>
      <c r="AI149" s="319">
        <f>IF(AI144=0,0,IF($U$145=2,AI144*$D$147/1000,AI144*G147/1000))</f>
        <v>0</v>
      </c>
      <c r="AJ149" s="319">
        <f t="shared" ref="AJ149:AU149" si="42">IF(AJ144=0,0,IF($U$145=2,AJ144*$D$147/1000,AJ144*H147/1000))</f>
        <v>0</v>
      </c>
      <c r="AK149" s="319">
        <f t="shared" si="42"/>
        <v>0</v>
      </c>
      <c r="AL149" s="319">
        <f t="shared" si="42"/>
        <v>0</v>
      </c>
      <c r="AM149" s="319">
        <f t="shared" si="42"/>
        <v>0</v>
      </c>
      <c r="AN149" s="319">
        <f t="shared" si="42"/>
        <v>0</v>
      </c>
      <c r="AO149" s="319">
        <f t="shared" si="42"/>
        <v>0</v>
      </c>
      <c r="AP149" s="319">
        <f t="shared" si="42"/>
        <v>0</v>
      </c>
      <c r="AQ149" s="319">
        <f t="shared" si="42"/>
        <v>0</v>
      </c>
      <c r="AR149" s="319">
        <f t="shared" si="42"/>
        <v>0</v>
      </c>
      <c r="AS149" s="319">
        <f t="shared" si="42"/>
        <v>0</v>
      </c>
      <c r="AT149" s="319">
        <f t="shared" si="42"/>
        <v>0</v>
      </c>
      <c r="AU149" s="319">
        <f t="shared" si="42"/>
        <v>0</v>
      </c>
      <c r="AV149" s="319"/>
      <c r="AW149" s="319"/>
      <c r="AX149" s="319"/>
      <c r="AY149" s="319"/>
      <c r="AZ149" s="319"/>
      <c r="BA149" s="319">
        <v>43412</v>
      </c>
    </row>
    <row r="150" spans="1:53" ht="13.2" hidden="1">
      <c r="A150" s="12"/>
      <c r="B150" s="1" t="str">
        <f>B125</f>
        <v>Demanda total de frio</v>
      </c>
      <c r="C150" s="29" t="str">
        <f>C123</f>
        <v>MWh</v>
      </c>
      <c r="D150" s="757">
        <f>IF(Unit=TRUE,X150,Z150)</f>
        <v>0</v>
      </c>
      <c r="E150" s="1"/>
      <c r="F150" s="30" t="b">
        <f t="shared" si="40"/>
        <v>0</v>
      </c>
      <c r="G150" s="30" t="b">
        <f t="shared" si="40"/>
        <v>0</v>
      </c>
      <c r="H150" s="30" t="b">
        <f t="shared" si="40"/>
        <v>0</v>
      </c>
      <c r="I150" s="30" t="b">
        <f t="shared" si="40"/>
        <v>0</v>
      </c>
      <c r="J150" s="30" t="b">
        <f t="shared" si="40"/>
        <v>0</v>
      </c>
      <c r="K150" s="30" t="b">
        <f t="shared" si="40"/>
        <v>0</v>
      </c>
      <c r="L150" s="30" t="b">
        <f t="shared" si="40"/>
        <v>0</v>
      </c>
      <c r="M150" s="30" t="b">
        <f t="shared" si="40"/>
        <v>0</v>
      </c>
      <c r="N150" s="30" t="b">
        <f t="shared" si="40"/>
        <v>0</v>
      </c>
      <c r="O150" s="30" t="b">
        <f t="shared" si="40"/>
        <v>0</v>
      </c>
      <c r="P150" s="30" t="b">
        <f t="shared" si="40"/>
        <v>0</v>
      </c>
      <c r="Q150" s="30" t="b">
        <f t="shared" si="40"/>
        <v>0</v>
      </c>
      <c r="R150" s="30" t="b">
        <f t="shared" si="40"/>
        <v>0</v>
      </c>
      <c r="S150" s="30" t="b">
        <f t="shared" si="40"/>
        <v>0</v>
      </c>
      <c r="T150" s="12"/>
      <c r="U150" s="319"/>
      <c r="V150" s="319"/>
      <c r="W150" s="319" t="s">
        <v>2745</v>
      </c>
      <c r="X150" s="319">
        <f>IF(OR(HideCodeLN_CPT=5,HideCodeLN_CPT=8),X149,IF(OR(HideCodeLN_CPT=4,HideCodeLN_CPT=7),X148,IF(OR(HideCodeLN_CPT=6,HideCodeLN_CPT=9),X148+X149,0)))</f>
        <v>0</v>
      </c>
      <c r="Y150" s="319" t="s">
        <v>4286</v>
      </c>
      <c r="Z150" s="319">
        <f>X150*$F$271</f>
        <v>0</v>
      </c>
      <c r="AA150" s="319"/>
      <c r="AB150" s="319"/>
      <c r="AC150" s="319"/>
      <c r="AD150" s="319"/>
      <c r="AE150" s="319"/>
      <c r="AF150" s="319"/>
      <c r="AG150" s="319">
        <f>1</f>
        <v>1</v>
      </c>
      <c r="AH150" s="319" t="b">
        <f t="shared" ref="AH150:AU150" si="43">IF(OR(HideCodeLN_CPT=4,HideCodeLN_CPT=7),AH148,IF(OR(HideCodeLN_CPT=5,HideCodeLN_CPT=8),AH149*$AG$150,IF(OR(HideCodeLN_CPT=6,HideCodeLN_CPT=9),AH148+AH149*$AG$150)))</f>
        <v>0</v>
      </c>
      <c r="AI150" s="319" t="b">
        <f t="shared" si="43"/>
        <v>0</v>
      </c>
      <c r="AJ150" s="319" t="b">
        <f t="shared" si="43"/>
        <v>0</v>
      </c>
      <c r="AK150" s="319" t="b">
        <f t="shared" si="43"/>
        <v>0</v>
      </c>
      <c r="AL150" s="319" t="b">
        <f t="shared" si="43"/>
        <v>0</v>
      </c>
      <c r="AM150" s="319" t="b">
        <f t="shared" si="43"/>
        <v>0</v>
      </c>
      <c r="AN150" s="319" t="b">
        <f t="shared" si="43"/>
        <v>0</v>
      </c>
      <c r="AO150" s="319" t="b">
        <f t="shared" si="43"/>
        <v>0</v>
      </c>
      <c r="AP150" s="319" t="b">
        <f t="shared" si="43"/>
        <v>0</v>
      </c>
      <c r="AQ150" s="319" t="b">
        <f t="shared" si="43"/>
        <v>0</v>
      </c>
      <c r="AR150" s="319" t="b">
        <f t="shared" si="43"/>
        <v>0</v>
      </c>
      <c r="AS150" s="319" t="b">
        <f t="shared" si="43"/>
        <v>0</v>
      </c>
      <c r="AT150" s="319" t="b">
        <f t="shared" si="43"/>
        <v>0</v>
      </c>
      <c r="AU150" s="319" t="b">
        <f t="shared" si="43"/>
        <v>0</v>
      </c>
      <c r="AV150" s="319"/>
      <c r="AW150" s="319"/>
      <c r="AX150" s="319"/>
      <c r="AY150" s="319"/>
      <c r="AZ150" s="319"/>
      <c r="BA150" s="319">
        <v>43414</v>
      </c>
    </row>
    <row r="151" spans="1:53" ht="13.2" hidden="1">
      <c r="A151" s="12"/>
      <c r="B151" s="1" t="str">
        <f>B126</f>
        <v>Carga total de ponta de frio</v>
      </c>
      <c r="C151" s="29" t="str">
        <f>C126</f>
        <v>kW</v>
      </c>
      <c r="D151" s="757">
        <f>IF(Unit=TRUE,X151,Z151)</f>
        <v>0</v>
      </c>
      <c r="E151" s="1"/>
      <c r="F151" s="30" t="str">
        <f t="shared" ref="F151:S151" si="44">IF(AH151=0,"-",IF(Unit=TRUE,AH151,AH151*$E$271))</f>
        <v>-</v>
      </c>
      <c r="G151" s="30" t="str">
        <f t="shared" si="44"/>
        <v>-</v>
      </c>
      <c r="H151" s="30" t="str">
        <f t="shared" si="44"/>
        <v>-</v>
      </c>
      <c r="I151" s="30" t="str">
        <f t="shared" si="44"/>
        <v>-</v>
      </c>
      <c r="J151" s="30" t="str">
        <f t="shared" si="44"/>
        <v>-</v>
      </c>
      <c r="K151" s="30" t="str">
        <f t="shared" si="44"/>
        <v>-</v>
      </c>
      <c r="L151" s="30" t="str">
        <f t="shared" si="44"/>
        <v>-</v>
      </c>
      <c r="M151" s="30" t="str">
        <f t="shared" si="44"/>
        <v>-</v>
      </c>
      <c r="N151" s="30" t="str">
        <f t="shared" si="44"/>
        <v>-</v>
      </c>
      <c r="O151" s="30" t="str">
        <f t="shared" si="44"/>
        <v>-</v>
      </c>
      <c r="P151" s="30" t="str">
        <f t="shared" si="44"/>
        <v>-</v>
      </c>
      <c r="Q151" s="30" t="str">
        <f t="shared" si="44"/>
        <v>-</v>
      </c>
      <c r="R151" s="30" t="str">
        <f t="shared" si="44"/>
        <v>-</v>
      </c>
      <c r="S151" s="30" t="str">
        <f t="shared" si="44"/>
        <v>-</v>
      </c>
      <c r="T151" s="12"/>
      <c r="U151" s="319"/>
      <c r="V151" s="319"/>
      <c r="W151" s="319" t="s">
        <v>5700</v>
      </c>
      <c r="X151" s="319">
        <f>SUMIF(AH137:AU137,"&gt;0",AH151:AU151)</f>
        <v>0</v>
      </c>
      <c r="Y151" s="319" t="s">
        <v>4267</v>
      </c>
      <c r="Z151" s="319">
        <f>X151*$E$271</f>
        <v>0</v>
      </c>
      <c r="AA151" s="319"/>
      <c r="AB151" s="319"/>
      <c r="AC151" s="319"/>
      <c r="AD151" s="319"/>
      <c r="AE151" s="319"/>
      <c r="AF151" s="319"/>
      <c r="AG151" s="319"/>
      <c r="AH151" s="319">
        <f t="shared" ref="AH151:AU151" si="45">IF(OR(HideCodeLN_CPT=4,HideCodeLN_CPT=7),AH137*AH142/1000,IF(OR(HideCodeLN_CPT=5,HideCodeLN_CPT=8),AH144*AH147,IF(OR(HideCodeLN_CPT=6,HideCodeLN_CPT=9),SUM(AH137*AH142/1000,AH144*AH147),0)))</f>
        <v>0</v>
      </c>
      <c r="AI151" s="319">
        <f t="shared" si="45"/>
        <v>0</v>
      </c>
      <c r="AJ151" s="319">
        <f t="shared" si="45"/>
        <v>0</v>
      </c>
      <c r="AK151" s="319">
        <f t="shared" si="45"/>
        <v>0</v>
      </c>
      <c r="AL151" s="319">
        <f t="shared" si="45"/>
        <v>0</v>
      </c>
      <c r="AM151" s="319">
        <f t="shared" si="45"/>
        <v>0</v>
      </c>
      <c r="AN151" s="319">
        <f t="shared" si="45"/>
        <v>0</v>
      </c>
      <c r="AO151" s="319">
        <f t="shared" si="45"/>
        <v>0</v>
      </c>
      <c r="AP151" s="319">
        <f t="shared" si="45"/>
        <v>0</v>
      </c>
      <c r="AQ151" s="319">
        <f t="shared" si="45"/>
        <v>0</v>
      </c>
      <c r="AR151" s="319">
        <f t="shared" si="45"/>
        <v>0</v>
      </c>
      <c r="AS151" s="319">
        <f t="shared" si="45"/>
        <v>0</v>
      </c>
      <c r="AT151" s="319">
        <f t="shared" si="45"/>
        <v>0</v>
      </c>
      <c r="AU151" s="319">
        <f t="shared" si="45"/>
        <v>0</v>
      </c>
      <c r="AV151" s="319"/>
      <c r="AW151" s="319"/>
      <c r="AX151" s="319"/>
      <c r="AY151" s="319"/>
      <c r="AZ151" s="319"/>
      <c r="BA151" s="319">
        <v>43416</v>
      </c>
    </row>
    <row r="152" spans="1:53" ht="13.2" hidden="1">
      <c r="A152" s="12"/>
      <c r="B152" s="1" t="str">
        <f>B47</f>
        <v>Consumo de combustível - unitário</v>
      </c>
      <c r="C152" s="1"/>
      <c r="D152" s="29" t="s">
        <v>637</v>
      </c>
      <c r="E152" s="1"/>
      <c r="F152" s="29" t="str">
        <f t="shared" ref="F152:S152" si="46">IF(AH137=0,"-",IF(F139="","-",VLOOKUP(F139,$E$340:$I$361,3,FALSE)))</f>
        <v>MWh</v>
      </c>
      <c r="G152" s="29" t="str">
        <f t="shared" si="46"/>
        <v>-</v>
      </c>
      <c r="H152" s="29" t="str">
        <f t="shared" si="46"/>
        <v>-</v>
      </c>
      <c r="I152" s="29" t="str">
        <f t="shared" si="46"/>
        <v>-</v>
      </c>
      <c r="J152" s="29" t="str">
        <f t="shared" si="46"/>
        <v>-</v>
      </c>
      <c r="K152" s="29" t="str">
        <f t="shared" si="46"/>
        <v>-</v>
      </c>
      <c r="L152" s="29" t="str">
        <f t="shared" si="46"/>
        <v>-</v>
      </c>
      <c r="M152" s="29" t="str">
        <f t="shared" si="46"/>
        <v>-</v>
      </c>
      <c r="N152" s="29" t="str">
        <f t="shared" si="46"/>
        <v>-</v>
      </c>
      <c r="O152" s="29" t="str">
        <f t="shared" si="46"/>
        <v>-</v>
      </c>
      <c r="P152" s="29" t="str">
        <f t="shared" si="46"/>
        <v>-</v>
      </c>
      <c r="Q152" s="29" t="str">
        <f t="shared" si="46"/>
        <v>-</v>
      </c>
      <c r="R152" s="29" t="str">
        <f t="shared" si="46"/>
        <v>-</v>
      </c>
      <c r="S152" s="29" t="str">
        <f t="shared" si="46"/>
        <v>-</v>
      </c>
      <c r="T152" s="12"/>
      <c r="U152" s="319"/>
      <c r="V152" s="319"/>
      <c r="W152" s="319"/>
      <c r="X152" s="319"/>
      <c r="Y152" s="319"/>
      <c r="Z152" s="319"/>
      <c r="AA152" s="319"/>
      <c r="AB152" s="319"/>
      <c r="AC152" s="319"/>
      <c r="AD152" s="319"/>
      <c r="AE152" s="319"/>
      <c r="AF152" s="319"/>
      <c r="AG152" s="319" t="s">
        <v>3016</v>
      </c>
      <c r="AH152" s="319">
        <f t="shared" ref="AH152:AU152" si="47">IF(F139=$E$344,IF(OR(F137=0,AH144=0,HideCodeLN_CPT=4,HideCodeLN_CPT=7),0,IF($U$145=1,AH144*F147/F140/1000,AH144*O336/F140/1000)),0)</f>
        <v>0</v>
      </c>
      <c r="AI152" s="319">
        <f t="shared" si="47"/>
        <v>0</v>
      </c>
      <c r="AJ152" s="319">
        <f t="shared" si="47"/>
        <v>0</v>
      </c>
      <c r="AK152" s="319">
        <f t="shared" si="47"/>
        <v>0</v>
      </c>
      <c r="AL152" s="319">
        <f t="shared" si="47"/>
        <v>0</v>
      </c>
      <c r="AM152" s="319">
        <f t="shared" si="47"/>
        <v>0</v>
      </c>
      <c r="AN152" s="319">
        <f t="shared" si="47"/>
        <v>0</v>
      </c>
      <c r="AO152" s="319">
        <f t="shared" si="47"/>
        <v>0</v>
      </c>
      <c r="AP152" s="319">
        <f t="shared" si="47"/>
        <v>0</v>
      </c>
      <c r="AQ152" s="319">
        <f t="shared" si="47"/>
        <v>0</v>
      </c>
      <c r="AR152" s="319">
        <f t="shared" si="47"/>
        <v>0</v>
      </c>
      <c r="AS152" s="319">
        <f t="shared" si="47"/>
        <v>0</v>
      </c>
      <c r="AT152" s="319">
        <f t="shared" si="47"/>
        <v>0</v>
      </c>
      <c r="AU152" s="319">
        <f t="shared" si="47"/>
        <v>0</v>
      </c>
      <c r="AV152" s="319"/>
      <c r="AW152" s="319"/>
      <c r="AX152" s="319"/>
      <c r="AY152" s="319"/>
      <c r="AZ152" s="319"/>
      <c r="BA152" s="319">
        <v>41418</v>
      </c>
    </row>
    <row r="153" spans="1:53" ht="13.2" hidden="1">
      <c r="A153" s="12"/>
      <c r="B153" s="1" t="str">
        <f>B127</f>
        <v>Consumo de combustível - anual</v>
      </c>
      <c r="C153" s="1"/>
      <c r="D153" s="29" t="s">
        <v>637</v>
      </c>
      <c r="E153" s="1"/>
      <c r="F153" s="30">
        <f t="shared" ref="F153:S153" si="48">IF(OR(AH$150=FALSE,F150=FALSE,AH$150=0),0,AH150/VLOOKUP(F139,$E$340:$I$360,4,FALSE)*1000/F140)</f>
        <v>0</v>
      </c>
      <c r="G153" s="30">
        <f t="shared" si="48"/>
        <v>0</v>
      </c>
      <c r="H153" s="30">
        <f t="shared" si="48"/>
        <v>0</v>
      </c>
      <c r="I153" s="30">
        <f t="shared" si="48"/>
        <v>0</v>
      </c>
      <c r="J153" s="30">
        <f t="shared" si="48"/>
        <v>0</v>
      </c>
      <c r="K153" s="30">
        <f t="shared" si="48"/>
        <v>0</v>
      </c>
      <c r="L153" s="30">
        <f t="shared" si="48"/>
        <v>0</v>
      </c>
      <c r="M153" s="30">
        <f t="shared" si="48"/>
        <v>0</v>
      </c>
      <c r="N153" s="30">
        <f t="shared" si="48"/>
        <v>0</v>
      </c>
      <c r="O153" s="30">
        <f t="shared" si="48"/>
        <v>0</v>
      </c>
      <c r="P153" s="30">
        <f t="shared" si="48"/>
        <v>0</v>
      </c>
      <c r="Q153" s="30">
        <f t="shared" si="48"/>
        <v>0</v>
      </c>
      <c r="R153" s="30">
        <f t="shared" si="48"/>
        <v>0</v>
      </c>
      <c r="S153" s="30">
        <f t="shared" si="48"/>
        <v>0</v>
      </c>
      <c r="T153" s="12"/>
      <c r="U153" s="319"/>
      <c r="V153" s="319"/>
      <c r="W153" s="319"/>
      <c r="X153" s="319"/>
      <c r="Y153" s="319"/>
      <c r="Z153" s="319"/>
      <c r="AA153" s="319"/>
      <c r="AB153" s="319"/>
      <c r="AC153" s="319"/>
      <c r="AD153" s="319"/>
      <c r="AE153" s="319"/>
      <c r="AF153" s="319"/>
      <c r="AG153" s="319"/>
      <c r="AH153" s="319"/>
      <c r="AI153" s="319"/>
      <c r="AJ153" s="319"/>
      <c r="AK153" s="319"/>
      <c r="AL153" s="319"/>
      <c r="AM153" s="319"/>
      <c r="AN153" s="319"/>
      <c r="AO153" s="319"/>
      <c r="AP153" s="319"/>
      <c r="AQ153" s="319"/>
      <c r="AR153" s="319"/>
      <c r="AS153" s="319"/>
      <c r="AT153" s="319"/>
      <c r="AU153" s="319"/>
      <c r="AV153" s="319"/>
      <c r="AW153" s="319"/>
      <c r="AX153" s="319"/>
      <c r="AY153" s="319"/>
      <c r="AZ153" s="319"/>
      <c r="BA153" s="319">
        <v>41420</v>
      </c>
    </row>
    <row r="154" spans="1:53" ht="13.2" hidden="1">
      <c r="A154" s="12"/>
      <c r="B154" s="1" t="str">
        <f>B49</f>
        <v>Preço combustível - unidade</v>
      </c>
      <c r="C154" s="1"/>
      <c r="D154" s="29" t="s">
        <v>637</v>
      </c>
      <c r="E154" s="1"/>
      <c r="F154" s="29" t="str">
        <f t="shared" ref="F154:S154" si="49">IF(AH137=0,"-",IF(F139="","-",VLOOKUP(F139,$E$340:$I$360,5,FALSE)))</f>
        <v>€/kWh</v>
      </c>
      <c r="G154" s="29" t="str">
        <f t="shared" si="49"/>
        <v>-</v>
      </c>
      <c r="H154" s="29" t="str">
        <f t="shared" si="49"/>
        <v>-</v>
      </c>
      <c r="I154" s="29" t="str">
        <f t="shared" si="49"/>
        <v>-</v>
      </c>
      <c r="J154" s="29" t="str">
        <f t="shared" si="49"/>
        <v>-</v>
      </c>
      <c r="K154" s="29" t="str">
        <f t="shared" si="49"/>
        <v>-</v>
      </c>
      <c r="L154" s="29" t="str">
        <f t="shared" si="49"/>
        <v>-</v>
      </c>
      <c r="M154" s="29" t="str">
        <f t="shared" si="49"/>
        <v>-</v>
      </c>
      <c r="N154" s="29" t="str">
        <f t="shared" si="49"/>
        <v>-</v>
      </c>
      <c r="O154" s="29" t="str">
        <f t="shared" si="49"/>
        <v>-</v>
      </c>
      <c r="P154" s="29" t="str">
        <f t="shared" si="49"/>
        <v>-</v>
      </c>
      <c r="Q154" s="29" t="str">
        <f t="shared" si="49"/>
        <v>-</v>
      </c>
      <c r="R154" s="29" t="str">
        <f t="shared" si="49"/>
        <v>-</v>
      </c>
      <c r="S154" s="29" t="str">
        <f t="shared" si="49"/>
        <v>-</v>
      </c>
      <c r="T154" s="12"/>
      <c r="U154" s="319"/>
      <c r="V154" s="319"/>
      <c r="W154" s="319"/>
      <c r="X154" s="319"/>
      <c r="Y154" s="319"/>
      <c r="Z154" s="319"/>
      <c r="AA154" s="319"/>
      <c r="AB154" s="319"/>
      <c r="AC154" s="319"/>
      <c r="AD154" s="319"/>
      <c r="AE154" s="319"/>
      <c r="AF154" s="319"/>
      <c r="AG154" s="319"/>
      <c r="AH154" s="319"/>
      <c r="AI154" s="319"/>
      <c r="AJ154" s="319"/>
      <c r="AK154" s="319"/>
      <c r="AL154" s="319"/>
      <c r="AM154" s="319"/>
      <c r="AN154" s="319"/>
      <c r="AO154" s="319"/>
      <c r="AP154" s="319"/>
      <c r="AQ154" s="319"/>
      <c r="AR154" s="319"/>
      <c r="AS154" s="319"/>
      <c r="AT154" s="319"/>
      <c r="AU154" s="319"/>
      <c r="AV154" s="319"/>
      <c r="AW154" s="319"/>
      <c r="AX154" s="319"/>
      <c r="AY154" s="319"/>
      <c r="AZ154" s="319"/>
      <c r="BA154" s="319">
        <v>41422</v>
      </c>
    </row>
    <row r="155" spans="1:53" ht="13.2" hidden="1">
      <c r="A155" s="12"/>
      <c r="B155" s="1" t="str">
        <f>B23</f>
        <v>Preço do combustível</v>
      </c>
      <c r="C155" s="1"/>
      <c r="D155" s="29" t="s">
        <v>637</v>
      </c>
      <c r="E155" s="1"/>
      <c r="F155" s="399"/>
      <c r="G155" s="399"/>
      <c r="H155" s="399"/>
      <c r="I155" s="399"/>
      <c r="J155" s="399"/>
      <c r="K155" s="399"/>
      <c r="L155" s="399"/>
      <c r="M155" s="399"/>
      <c r="N155" s="399"/>
      <c r="O155" s="399"/>
      <c r="P155" s="399"/>
      <c r="Q155" s="399"/>
      <c r="R155" s="399"/>
      <c r="S155" s="740"/>
      <c r="T155" s="12"/>
      <c r="U155" s="319"/>
      <c r="V155" s="319"/>
      <c r="W155" s="319"/>
      <c r="X155" s="319"/>
      <c r="Y155" s="319"/>
      <c r="Z155" s="319"/>
      <c r="AA155" s="319"/>
      <c r="AB155" s="319"/>
      <c r="AC155" s="319"/>
      <c r="AD155" s="319"/>
      <c r="AE155" s="319"/>
      <c r="AF155" s="319"/>
      <c r="AG155" s="319"/>
      <c r="AH155" s="319"/>
      <c r="AI155" s="319"/>
      <c r="AJ155" s="319"/>
      <c r="AK155" s="319"/>
      <c r="AL155" s="319"/>
      <c r="AM155" s="319"/>
      <c r="AN155" s="319"/>
      <c r="AO155" s="319"/>
      <c r="AP155" s="319"/>
      <c r="AQ155" s="319"/>
      <c r="AR155" s="319"/>
      <c r="AS155" s="319"/>
      <c r="AT155" s="319"/>
      <c r="AU155" s="319"/>
      <c r="AV155" s="319"/>
      <c r="AW155" s="319"/>
      <c r="AX155" s="319"/>
      <c r="AY155" s="319"/>
      <c r="AZ155" s="319"/>
      <c r="BA155" s="319">
        <v>2010108</v>
      </c>
    </row>
    <row r="156" spans="1:53" ht="13.2" hidden="1">
      <c r="A156" s="12"/>
      <c r="B156" s="1" t="str">
        <f>Language!C287</f>
        <v>Custo do combustível</v>
      </c>
      <c r="C156" s="1"/>
      <c r="D156" s="1358">
        <f>IF(ISERROR(SUMIF(AH137:AU137,"&gt;0",F156:S156)),0,SUMIF(AH137:AU137,"&gt;0",F156:S156))</f>
        <v>0</v>
      </c>
      <c r="E156" s="1358"/>
      <c r="F156" s="1358" t="str">
        <f>IF(F153=0,"-",IF(AH137=0,"-",IF(F139=$E$344,F155*F153*1000,IF(F139=$E$360,F155*F153,F155*F153))))</f>
        <v>-</v>
      </c>
      <c r="G156" s="1358" t="str">
        <f t="shared" ref="G156:S156" si="50">IF(G153=0,"-",IF(AI137=0,"-",IF(G139=$E$344,G155*G153*1000,IF(G139=$E$360,G155*G153,G155*G153))))</f>
        <v>-</v>
      </c>
      <c r="H156" s="1358" t="str">
        <f t="shared" si="50"/>
        <v>-</v>
      </c>
      <c r="I156" s="1358" t="str">
        <f t="shared" si="50"/>
        <v>-</v>
      </c>
      <c r="J156" s="1358" t="str">
        <f t="shared" si="50"/>
        <v>-</v>
      </c>
      <c r="K156" s="1358" t="str">
        <f t="shared" si="50"/>
        <v>-</v>
      </c>
      <c r="L156" s="1358" t="str">
        <f t="shared" si="50"/>
        <v>-</v>
      </c>
      <c r="M156" s="1358" t="str">
        <f t="shared" si="50"/>
        <v>-</v>
      </c>
      <c r="N156" s="1358" t="str">
        <f t="shared" si="50"/>
        <v>-</v>
      </c>
      <c r="O156" s="1358" t="str">
        <f t="shared" si="50"/>
        <v>-</v>
      </c>
      <c r="P156" s="1358" t="str">
        <f t="shared" si="50"/>
        <v>-</v>
      </c>
      <c r="Q156" s="1358" t="str">
        <f t="shared" si="50"/>
        <v>-</v>
      </c>
      <c r="R156" s="1358" t="str">
        <f t="shared" si="50"/>
        <v>-</v>
      </c>
      <c r="S156" s="1358" t="str">
        <f t="shared" si="50"/>
        <v>-</v>
      </c>
      <c r="T156" s="12"/>
      <c r="U156" s="319"/>
      <c r="V156" s="319"/>
      <c r="W156" s="319"/>
      <c r="X156" s="319"/>
      <c r="Y156" s="319"/>
      <c r="Z156" s="319"/>
      <c r="AA156" s="319"/>
      <c r="AB156" s="319"/>
      <c r="AC156" s="319"/>
      <c r="AD156" s="319"/>
      <c r="AE156" s="319"/>
      <c r="AF156" s="319"/>
      <c r="AG156" s="319"/>
      <c r="AH156" s="319"/>
      <c r="AI156" s="319"/>
      <c r="AJ156" s="319"/>
      <c r="AK156" s="319"/>
      <c r="AL156" s="319"/>
      <c r="AM156" s="319"/>
      <c r="AN156" s="319"/>
      <c r="AO156" s="319"/>
      <c r="AP156" s="319"/>
      <c r="AQ156" s="319"/>
      <c r="AR156" s="319"/>
      <c r="AS156" s="319"/>
      <c r="AT156" s="319"/>
      <c r="AU156" s="319"/>
      <c r="AV156" s="319"/>
      <c r="AW156" s="319"/>
      <c r="AX156" s="319"/>
      <c r="AY156" s="319"/>
      <c r="AZ156" s="319"/>
      <c r="BA156" s="319">
        <v>5097210</v>
      </c>
    </row>
    <row r="157" spans="1:53" ht="13.2" hidden="1">
      <c r="A157" s="1170" t="str">
        <f>A52</f>
        <v>Ações de eficiência energética do caso proposto</v>
      </c>
      <c r="B157" s="1171"/>
      <c r="C157" s="1"/>
      <c r="D157" s="1"/>
      <c r="E157" s="1"/>
      <c r="F157" s="1"/>
      <c r="G157" s="1"/>
      <c r="H157" s="1"/>
      <c r="I157" s="1"/>
      <c r="J157" s="1"/>
      <c r="K157" s="1"/>
      <c r="L157" s="1"/>
      <c r="M157" s="1"/>
      <c r="N157" s="1"/>
      <c r="O157" s="1"/>
      <c r="P157" s="1"/>
      <c r="Q157" s="1"/>
      <c r="R157" s="1"/>
      <c r="S157" s="1"/>
      <c r="T157" s="12"/>
      <c r="U157" s="319"/>
      <c r="V157" s="319"/>
      <c r="W157" s="319"/>
      <c r="X157" s="319"/>
      <c r="Y157" s="319"/>
      <c r="Z157" s="319"/>
      <c r="AA157" s="319"/>
      <c r="AB157" s="319"/>
      <c r="AC157" s="319"/>
      <c r="AD157" s="319"/>
      <c r="AE157" s="319"/>
      <c r="AF157" s="319"/>
      <c r="AG157" s="319"/>
      <c r="AH157" s="319"/>
      <c r="AI157" s="319"/>
      <c r="AJ157" s="319"/>
      <c r="AK157" s="319"/>
      <c r="AL157" s="319"/>
      <c r="AM157" s="319"/>
      <c r="AN157" s="319"/>
      <c r="AO157" s="319"/>
      <c r="AP157" s="319"/>
      <c r="AQ157" s="319"/>
      <c r="AR157" s="319"/>
      <c r="AS157" s="319"/>
      <c r="AT157" s="319"/>
      <c r="AU157" s="319"/>
      <c r="AV157" s="319"/>
      <c r="AW157" s="319"/>
      <c r="AX157" s="319"/>
      <c r="AY157" s="319"/>
      <c r="AZ157" s="319"/>
      <c r="BA157" s="319">
        <v>43500</v>
      </c>
    </row>
    <row r="158" spans="1:53" ht="13.2" hidden="1">
      <c r="A158" s="12"/>
      <c r="B158" s="1" t="str">
        <f>B26</f>
        <v>Ações de eficiência energética no uso final</v>
      </c>
      <c r="C158" s="29" t="str">
        <f>$C$13</f>
        <v>%</v>
      </c>
      <c r="D158" s="55" t="e">
        <f>1-D159/D151</f>
        <v>#DIV/0!</v>
      </c>
      <c r="E158" s="1"/>
      <c r="F158" s="339"/>
      <c r="G158" s="339"/>
      <c r="H158" s="339"/>
      <c r="I158" s="339"/>
      <c r="J158" s="339"/>
      <c r="K158" s="339"/>
      <c r="L158" s="339"/>
      <c r="M158" s="339"/>
      <c r="N158" s="339"/>
      <c r="O158" s="339"/>
      <c r="P158" s="339"/>
      <c r="Q158" s="339"/>
      <c r="R158" s="339"/>
      <c r="S158" s="736"/>
      <c r="T158" s="12"/>
      <c r="U158" s="319"/>
      <c r="V158" s="319"/>
      <c r="W158" s="319" t="s">
        <v>2744</v>
      </c>
      <c r="X158" s="319">
        <f>IF(Tot_peak_cl_load=0,0,X150/Tot_peak_cl_load*1000)</f>
        <v>0</v>
      </c>
      <c r="Y158" s="319"/>
      <c r="Z158" s="319"/>
      <c r="AA158" s="319"/>
      <c r="AB158" s="319"/>
      <c r="AC158" s="319"/>
      <c r="AD158" s="319"/>
      <c r="AE158" s="319"/>
      <c r="AF158" s="319"/>
      <c r="AG158" s="319"/>
      <c r="AH158" s="319"/>
      <c r="AI158" s="319"/>
      <c r="AJ158" s="319"/>
      <c r="AK158" s="319"/>
      <c r="AL158" s="319"/>
      <c r="AM158" s="319"/>
      <c r="AN158" s="319"/>
      <c r="AO158" s="319"/>
      <c r="AP158" s="319"/>
      <c r="AQ158" s="319"/>
      <c r="AR158" s="319"/>
      <c r="AS158" s="319"/>
      <c r="AT158" s="319"/>
      <c r="AU158" s="319"/>
      <c r="AV158" s="319"/>
      <c r="AW158" s="319"/>
      <c r="AX158" s="319"/>
      <c r="AY158" s="319"/>
      <c r="AZ158" s="319"/>
      <c r="BA158" s="319">
        <v>43502</v>
      </c>
    </row>
    <row r="159" spans="1:53" ht="13.2" hidden="1">
      <c r="A159" s="12"/>
      <c r="B159" s="1" t="str">
        <f>Language!C350</f>
        <v>Carga líquida de ponta de frio</v>
      </c>
      <c r="C159" s="29" t="str">
        <f>C126</f>
        <v>kW</v>
      </c>
      <c r="D159" s="30">
        <f>IF(Unit=TRUE,X159,Z159)</f>
        <v>0</v>
      </c>
      <c r="E159" s="39"/>
      <c r="F159" s="30" t="str">
        <f t="shared" ref="F159:S159" si="51">IF(AH159=0,"-",IF(Unit=TRUE,AH159,AH159*$E$271))</f>
        <v>-</v>
      </c>
      <c r="G159" s="30" t="str">
        <f t="shared" si="51"/>
        <v>-</v>
      </c>
      <c r="H159" s="30" t="str">
        <f t="shared" si="51"/>
        <v>-</v>
      </c>
      <c r="I159" s="30" t="str">
        <f t="shared" si="51"/>
        <v>-</v>
      </c>
      <c r="J159" s="30" t="str">
        <f t="shared" si="51"/>
        <v>-</v>
      </c>
      <c r="K159" s="30" t="str">
        <f t="shared" si="51"/>
        <v>-</v>
      </c>
      <c r="L159" s="30" t="str">
        <f t="shared" si="51"/>
        <v>-</v>
      </c>
      <c r="M159" s="30" t="str">
        <f t="shared" si="51"/>
        <v>-</v>
      </c>
      <c r="N159" s="30" t="str">
        <f t="shared" si="51"/>
        <v>-</v>
      </c>
      <c r="O159" s="30" t="str">
        <f t="shared" si="51"/>
        <v>-</v>
      </c>
      <c r="P159" s="30" t="str">
        <f t="shared" si="51"/>
        <v>-</v>
      </c>
      <c r="Q159" s="30" t="str">
        <f t="shared" si="51"/>
        <v>-</v>
      </c>
      <c r="R159" s="30" t="str">
        <f t="shared" si="51"/>
        <v>-</v>
      </c>
      <c r="S159" s="30" t="str">
        <f t="shared" si="51"/>
        <v>-</v>
      </c>
      <c r="T159" s="12"/>
      <c r="U159" s="319"/>
      <c r="V159" s="319"/>
      <c r="W159" s="319" t="s">
        <v>5700</v>
      </c>
      <c r="X159" s="319">
        <f>SUMIF(AH137:AU137,"&gt;0",AH159:AU159)</f>
        <v>0</v>
      </c>
      <c r="Y159" s="319" t="s">
        <v>4267</v>
      </c>
      <c r="Z159" s="319">
        <f>X159*$E$271</f>
        <v>0</v>
      </c>
      <c r="AA159" s="319"/>
      <c r="AB159" s="319"/>
      <c r="AC159" s="319"/>
      <c r="AD159" s="319"/>
      <c r="AE159" s="319"/>
      <c r="AF159" s="319"/>
      <c r="AG159" s="319"/>
      <c r="AH159" s="319">
        <f>IF(AH151=0,0,AH151*(1-F158))</f>
        <v>0</v>
      </c>
      <c r="AI159" s="319">
        <f t="shared" ref="AI159:AU159" si="52">IF(AI151=0,0,AI151*(1-G158))</f>
        <v>0</v>
      </c>
      <c r="AJ159" s="319">
        <f t="shared" si="52"/>
        <v>0</v>
      </c>
      <c r="AK159" s="319">
        <f t="shared" si="52"/>
        <v>0</v>
      </c>
      <c r="AL159" s="319">
        <f t="shared" si="52"/>
        <v>0</v>
      </c>
      <c r="AM159" s="319">
        <f t="shared" si="52"/>
        <v>0</v>
      </c>
      <c r="AN159" s="319">
        <f t="shared" si="52"/>
        <v>0</v>
      </c>
      <c r="AO159" s="319">
        <f t="shared" si="52"/>
        <v>0</v>
      </c>
      <c r="AP159" s="319">
        <f t="shared" si="52"/>
        <v>0</v>
      </c>
      <c r="AQ159" s="319">
        <f t="shared" si="52"/>
        <v>0</v>
      </c>
      <c r="AR159" s="319">
        <f t="shared" si="52"/>
        <v>0</v>
      </c>
      <c r="AS159" s="319">
        <f t="shared" si="52"/>
        <v>0</v>
      </c>
      <c r="AT159" s="319">
        <f t="shared" si="52"/>
        <v>0</v>
      </c>
      <c r="AU159" s="319">
        <f t="shared" si="52"/>
        <v>0</v>
      </c>
      <c r="AV159" s="319"/>
      <c r="AW159" s="319"/>
      <c r="AX159" s="319"/>
      <c r="AY159" s="319"/>
      <c r="AZ159" s="319"/>
      <c r="BA159" s="319">
        <v>43504</v>
      </c>
    </row>
    <row r="160" spans="1:53" ht="13.2" hidden="1">
      <c r="A160" s="14"/>
      <c r="B160" s="15" t="str">
        <f>Language!C351</f>
        <v>Demanda líquida de frio</v>
      </c>
      <c r="C160" s="33" t="str">
        <f>C123</f>
        <v>MWh</v>
      </c>
      <c r="D160" s="34">
        <f>IF(Unit=TRUE,X160,Z160)</f>
        <v>0</v>
      </c>
      <c r="E160" s="41"/>
      <c r="F160" s="34" t="str">
        <f t="shared" ref="F160:S160" si="53">IF(AH160=0,"",IF(Unit=TRUE,AH160,AH160*$F$271))</f>
        <v/>
      </c>
      <c r="G160" s="34" t="str">
        <f t="shared" si="53"/>
        <v/>
      </c>
      <c r="H160" s="34" t="str">
        <f t="shared" si="53"/>
        <v/>
      </c>
      <c r="I160" s="34" t="str">
        <f t="shared" si="53"/>
        <v/>
      </c>
      <c r="J160" s="34" t="str">
        <f t="shared" si="53"/>
        <v/>
      </c>
      <c r="K160" s="34" t="str">
        <f t="shared" si="53"/>
        <v/>
      </c>
      <c r="L160" s="34" t="str">
        <f t="shared" si="53"/>
        <v/>
      </c>
      <c r="M160" s="34" t="str">
        <f t="shared" si="53"/>
        <v/>
      </c>
      <c r="N160" s="34" t="str">
        <f t="shared" si="53"/>
        <v/>
      </c>
      <c r="O160" s="34" t="str">
        <f t="shared" si="53"/>
        <v/>
      </c>
      <c r="P160" s="34" t="str">
        <f t="shared" si="53"/>
        <v/>
      </c>
      <c r="Q160" s="34" t="str">
        <f t="shared" si="53"/>
        <v/>
      </c>
      <c r="R160" s="34" t="str">
        <f t="shared" si="53"/>
        <v/>
      </c>
      <c r="S160" s="34" t="str">
        <f t="shared" si="53"/>
        <v/>
      </c>
      <c r="T160" s="12"/>
      <c r="U160" s="319"/>
      <c r="V160" s="319"/>
      <c r="W160" s="319" t="s">
        <v>2745</v>
      </c>
      <c r="X160" s="319">
        <f>SUMIF(AH137:AU137,"&gt;0",AH160:AU160)</f>
        <v>0</v>
      </c>
      <c r="Y160" s="319" t="s">
        <v>4286</v>
      </c>
      <c r="Z160" s="319">
        <f>X160*$F$271</f>
        <v>0</v>
      </c>
      <c r="AA160" s="319"/>
      <c r="AB160" s="319"/>
      <c r="AC160" s="319"/>
      <c r="AD160" s="319"/>
      <c r="AE160" s="319"/>
      <c r="AF160" s="319"/>
      <c r="AG160" s="319"/>
      <c r="AH160" s="319">
        <f>IF(OR(AH159="-",AH159=0),0,AH159*$X$158/1000)</f>
        <v>0</v>
      </c>
      <c r="AI160" s="319">
        <f t="shared" ref="AI160:AU160" si="54">IF(OR(AI159="-",AI159=0),0,AI159*$X$158/1000)</f>
        <v>0</v>
      </c>
      <c r="AJ160" s="319">
        <f t="shared" si="54"/>
        <v>0</v>
      </c>
      <c r="AK160" s="319">
        <f t="shared" si="54"/>
        <v>0</v>
      </c>
      <c r="AL160" s="319">
        <f t="shared" si="54"/>
        <v>0</v>
      </c>
      <c r="AM160" s="319">
        <f t="shared" si="54"/>
        <v>0</v>
      </c>
      <c r="AN160" s="319">
        <f t="shared" si="54"/>
        <v>0</v>
      </c>
      <c r="AO160" s="319">
        <f t="shared" si="54"/>
        <v>0</v>
      </c>
      <c r="AP160" s="319">
        <f t="shared" si="54"/>
        <v>0</v>
      </c>
      <c r="AQ160" s="319">
        <f t="shared" si="54"/>
        <v>0</v>
      </c>
      <c r="AR160" s="319">
        <f t="shared" si="54"/>
        <v>0</v>
      </c>
      <c r="AS160" s="319">
        <f t="shared" si="54"/>
        <v>0</v>
      </c>
      <c r="AT160" s="319">
        <f t="shared" si="54"/>
        <v>0</v>
      </c>
      <c r="AU160" s="319">
        <f t="shared" si="54"/>
        <v>0</v>
      </c>
      <c r="AV160" s="319"/>
      <c r="AW160" s="319"/>
      <c r="AX160" s="319"/>
      <c r="AY160" s="319"/>
      <c r="AZ160" s="319"/>
      <c r="BA160" s="319">
        <v>43506</v>
      </c>
    </row>
    <row r="161" spans="1:53" ht="13.8" hidden="1" thickBot="1">
      <c r="A161" s="43"/>
      <c r="B161" s="43"/>
      <c r="C161" s="43"/>
      <c r="D161" s="43"/>
      <c r="E161" s="43"/>
      <c r="F161" s="43"/>
      <c r="G161" s="43"/>
      <c r="H161" s="43"/>
      <c r="I161" s="43"/>
      <c r="J161" s="43"/>
      <c r="K161" s="43"/>
      <c r="L161" s="43"/>
      <c r="M161" s="43"/>
      <c r="N161" s="43"/>
      <c r="O161" s="43"/>
      <c r="P161" s="43"/>
      <c r="Q161" s="43"/>
      <c r="R161" s="43"/>
      <c r="S161" s="43"/>
      <c r="T161" s="1"/>
      <c r="U161" s="319"/>
      <c r="V161" s="319"/>
      <c r="W161" s="319"/>
      <c r="X161" s="319"/>
      <c r="Y161" s="319"/>
      <c r="Z161" s="319"/>
      <c r="AA161" s="319"/>
      <c r="AB161" s="319"/>
      <c r="AC161" s="319"/>
      <c r="AD161" s="319"/>
      <c r="AE161" s="319"/>
      <c r="AF161" s="319"/>
      <c r="AG161" s="319"/>
      <c r="AH161" s="319"/>
      <c r="AI161" s="319"/>
      <c r="AJ161" s="319"/>
      <c r="AK161" s="319"/>
      <c r="AL161" s="319"/>
      <c r="AM161" s="319"/>
      <c r="AN161" s="319"/>
      <c r="AO161" s="319"/>
      <c r="AP161" s="319"/>
      <c r="AQ161" s="319"/>
      <c r="AR161" s="319"/>
      <c r="AS161" s="319"/>
      <c r="AT161" s="319"/>
      <c r="AU161" s="319"/>
      <c r="AV161" s="319"/>
      <c r="AW161" s="319"/>
      <c r="AX161" s="319"/>
      <c r="AY161" s="319"/>
      <c r="AZ161" s="319"/>
      <c r="BA161" s="319">
        <v>43000</v>
      </c>
    </row>
    <row r="162" spans="1:53" ht="13.8" hidden="1" thickTop="1">
      <c r="A162" s="1172" t="str">
        <f>Language!C360</f>
        <v>Rede de distribuição de frio do caso proposto</v>
      </c>
      <c r="B162" s="1173"/>
      <c r="C162" s="1"/>
      <c r="D162" s="28" t="str">
        <f>D57</f>
        <v>Estimado/Total</v>
      </c>
      <c r="E162" s="1"/>
      <c r="F162" s="1"/>
      <c r="G162" s="1"/>
      <c r="H162" s="1"/>
      <c r="I162" s="1"/>
      <c r="J162" s="1"/>
      <c r="K162" s="1"/>
      <c r="L162" s="1"/>
      <c r="M162" s="1"/>
      <c r="N162" s="1"/>
      <c r="O162" s="1"/>
      <c r="P162" s="1"/>
      <c r="Q162" s="1"/>
      <c r="R162" s="1"/>
      <c r="S162" s="44"/>
      <c r="T162" s="1"/>
      <c r="U162" s="319"/>
      <c r="V162" s="319"/>
      <c r="W162" s="319"/>
      <c r="X162" s="319"/>
      <c r="Y162" s="319"/>
      <c r="Z162" s="319"/>
      <c r="AA162" s="319"/>
      <c r="AB162" s="319"/>
      <c r="AC162" s="319"/>
      <c r="AD162" s="319"/>
      <c r="AE162" s="319"/>
      <c r="AF162" s="319"/>
      <c r="AG162" s="319"/>
      <c r="AH162" s="319" t="s">
        <v>3835</v>
      </c>
      <c r="AI162" s="319"/>
      <c r="AJ162" s="319"/>
      <c r="AK162" s="319"/>
      <c r="AL162" s="319"/>
      <c r="AM162" s="319"/>
      <c r="AN162" s="319"/>
      <c r="AO162" s="319"/>
      <c r="AP162" s="319"/>
      <c r="AQ162" s="319"/>
      <c r="AR162" s="319"/>
      <c r="AS162" s="319"/>
      <c r="AT162" s="319"/>
      <c r="AU162" s="319"/>
      <c r="AV162" s="319"/>
      <c r="AW162" s="319"/>
      <c r="AX162" s="319"/>
      <c r="AY162" s="319"/>
      <c r="AZ162" s="319"/>
      <c r="BA162" s="319">
        <v>44000</v>
      </c>
    </row>
    <row r="163" spans="1:53" ht="13.2" hidden="1">
      <c r="A163" s="12"/>
      <c r="B163" s="28" t="str">
        <f>Language!C361</f>
        <v>Critérios de projeto - tubos refrigeração</v>
      </c>
      <c r="C163" s="1"/>
      <c r="D163" s="1"/>
      <c r="E163" s="1"/>
      <c r="F163" s="1"/>
      <c r="G163" s="1"/>
      <c r="H163" s="1"/>
      <c r="I163" s="1"/>
      <c r="J163" s="1"/>
      <c r="K163" s="1"/>
      <c r="L163" s="1"/>
      <c r="M163" s="1"/>
      <c r="N163" s="1"/>
      <c r="O163" s="1"/>
      <c r="P163" s="1"/>
      <c r="Q163" s="1"/>
      <c r="R163" s="1"/>
      <c r="S163" s="9"/>
      <c r="T163" s="1"/>
      <c r="U163" s="319"/>
      <c r="V163" s="319"/>
      <c r="W163" s="319"/>
      <c r="X163" s="319"/>
      <c r="Y163" s="319"/>
      <c r="Z163" s="319"/>
      <c r="AA163" s="319"/>
      <c r="AB163" s="319"/>
      <c r="AC163" s="319"/>
      <c r="AD163" s="319"/>
      <c r="AE163" s="319"/>
      <c r="AF163" s="319"/>
      <c r="AG163" s="319"/>
      <c r="AH163" s="319" t="s">
        <v>2376</v>
      </c>
      <c r="AI163" s="319"/>
      <c r="AJ163" s="319" t="s">
        <v>5307</v>
      </c>
      <c r="AK163" s="319"/>
      <c r="AL163" s="319"/>
      <c r="AM163" s="319"/>
      <c r="AN163" s="319"/>
      <c r="AO163" s="319"/>
      <c r="AP163" s="319"/>
      <c r="AQ163" s="319"/>
      <c r="AR163" s="319"/>
      <c r="AS163" s="319"/>
      <c r="AT163" s="319"/>
      <c r="AU163" s="319"/>
      <c r="AV163" s="319"/>
      <c r="AW163" s="319"/>
      <c r="AX163" s="319"/>
      <c r="AY163" s="319"/>
      <c r="AZ163" s="319"/>
      <c r="BA163" s="319">
        <v>44100</v>
      </c>
    </row>
    <row r="164" spans="1:53" ht="13.2" hidden="1">
      <c r="A164" s="12"/>
      <c r="B164" s="1" t="str">
        <f>B59</f>
        <v>Temp. de fornecimento projetada</v>
      </c>
      <c r="C164" s="303" t="s">
        <v>5568</v>
      </c>
      <c r="D164" s="303"/>
      <c r="E164" s="1"/>
      <c r="F164" s="1"/>
      <c r="G164" s="1"/>
      <c r="H164" s="1"/>
      <c r="I164" s="1"/>
      <c r="J164" s="1"/>
      <c r="K164" s="1"/>
      <c r="L164" s="1"/>
      <c r="M164" s="1"/>
      <c r="N164" s="1"/>
      <c r="O164" s="1"/>
      <c r="P164" s="1"/>
      <c r="Q164" s="1"/>
      <c r="R164" s="1"/>
      <c r="S164" s="9"/>
      <c r="T164" s="1"/>
      <c r="U164" s="319"/>
      <c r="V164" s="319"/>
      <c r="W164" s="319" t="s">
        <v>5568</v>
      </c>
      <c r="X164" s="319">
        <f>IF(C164=$D$262,D164,(D164-32)/1.8)</f>
        <v>0</v>
      </c>
      <c r="Y164" s="319" t="s">
        <v>4588</v>
      </c>
      <c r="Z164" s="319">
        <f>X164*1.8+32</f>
        <v>32</v>
      </c>
      <c r="AA164" s="319"/>
      <c r="AB164" s="319"/>
      <c r="AC164" s="319"/>
      <c r="AD164" s="319"/>
      <c r="AE164" s="319"/>
      <c r="AF164" s="319"/>
      <c r="AG164" s="319"/>
      <c r="AH164" s="319" t="s">
        <v>5813</v>
      </c>
      <c r="AI164" s="319" t="s">
        <v>3276</v>
      </c>
      <c r="AJ164" s="319" t="s">
        <v>4789</v>
      </c>
      <c r="AK164" s="319"/>
      <c r="AL164" s="319"/>
      <c r="AM164" s="319"/>
      <c r="AN164" s="319"/>
      <c r="AO164" s="319"/>
      <c r="AP164" s="319"/>
      <c r="AQ164" s="319"/>
      <c r="AR164" s="319"/>
      <c r="AS164" s="319"/>
      <c r="AT164" s="319"/>
      <c r="AU164" s="319"/>
      <c r="AV164" s="319"/>
      <c r="AW164" s="319"/>
      <c r="AX164" s="319"/>
      <c r="AY164" s="319"/>
      <c r="AZ164" s="319"/>
      <c r="BA164" s="319">
        <v>44102</v>
      </c>
    </row>
    <row r="165" spans="1:53" ht="13.2" hidden="1">
      <c r="A165" s="12"/>
      <c r="B165" s="1" t="str">
        <f>B60</f>
        <v>Temp. de retorno projetada</v>
      </c>
      <c r="C165" s="303" t="s">
        <v>5568</v>
      </c>
      <c r="D165" s="303"/>
      <c r="E165" s="1"/>
      <c r="F165" s="1"/>
      <c r="G165" s="1"/>
      <c r="H165" s="1"/>
      <c r="I165" s="1"/>
      <c r="J165" s="1"/>
      <c r="K165" s="1"/>
      <c r="L165" s="1"/>
      <c r="M165" s="1"/>
      <c r="N165" s="1"/>
      <c r="O165" s="1"/>
      <c r="P165" s="1"/>
      <c r="Q165" s="1"/>
      <c r="R165" s="1"/>
      <c r="S165" s="9"/>
      <c r="T165" s="1"/>
      <c r="U165" s="319"/>
      <c r="V165" s="319"/>
      <c r="W165" s="319" t="s">
        <v>5568</v>
      </c>
      <c r="X165" s="319">
        <f>IF(C165=$D$262,D165,(D165-32)/1.8)</f>
        <v>0</v>
      </c>
      <c r="Y165" s="319" t="s">
        <v>4588</v>
      </c>
      <c r="Z165" s="319">
        <f>X165*1.8+32</f>
        <v>32</v>
      </c>
      <c r="AA165" s="319"/>
      <c r="AB165" s="319"/>
      <c r="AC165" s="319"/>
      <c r="AD165" s="319"/>
      <c r="AE165" s="319"/>
      <c r="AF165" s="319"/>
      <c r="AG165" s="319"/>
      <c r="AH165" s="319"/>
      <c r="AI165" s="319"/>
      <c r="AJ165" s="319"/>
      <c r="AK165" s="319"/>
      <c r="AL165" s="319"/>
      <c r="AM165" s="319"/>
      <c r="AN165" s="319"/>
      <c r="AO165" s="319"/>
      <c r="AP165" s="319"/>
      <c r="AQ165" s="319"/>
      <c r="AR165" s="319"/>
      <c r="AS165" s="319"/>
      <c r="AT165" s="319"/>
      <c r="AU165" s="319"/>
      <c r="AV165" s="319"/>
      <c r="AW165" s="319"/>
      <c r="AX165" s="319"/>
      <c r="AY165" s="319"/>
      <c r="AZ165" s="319"/>
      <c r="BA165" s="319">
        <v>44104</v>
      </c>
    </row>
    <row r="166" spans="1:53" ht="13.2" hidden="1">
      <c r="A166" s="12"/>
      <c r="B166" s="1" t="str">
        <f>B61</f>
        <v>Diferencial de temperatura</v>
      </c>
      <c r="C166" s="29" t="str">
        <f>C61</f>
        <v>°C</v>
      </c>
      <c r="D166" s="29">
        <f>IF(Unit=TRUE,X166,Z166)</f>
        <v>0</v>
      </c>
      <c r="E166" s="1"/>
      <c r="F166" s="1"/>
      <c r="G166" s="1"/>
      <c r="H166" s="1"/>
      <c r="I166" s="1"/>
      <c r="J166" s="1"/>
      <c r="K166" s="1"/>
      <c r="L166" s="1"/>
      <c r="M166" s="1"/>
      <c r="N166" s="1"/>
      <c r="O166" s="1"/>
      <c r="P166" s="1"/>
      <c r="Q166" s="1"/>
      <c r="R166" s="1"/>
      <c r="S166" s="9"/>
      <c r="T166" s="1"/>
      <c r="U166" s="319"/>
      <c r="V166" s="319"/>
      <c r="W166" s="319" t="s">
        <v>5568</v>
      </c>
      <c r="X166" s="319">
        <f>X165-X164</f>
        <v>0</v>
      </c>
      <c r="Y166" s="319" t="s">
        <v>4588</v>
      </c>
      <c r="Z166" s="319">
        <f>Z165-Z164</f>
        <v>0</v>
      </c>
      <c r="AA166" s="319"/>
      <c r="AB166" s="319"/>
      <c r="AC166" s="319"/>
      <c r="AD166" s="319"/>
      <c r="AE166" s="319"/>
      <c r="AF166" s="319"/>
      <c r="AG166" s="319"/>
      <c r="AH166" s="319">
        <f>AJ166</f>
        <v>31.299999999999997</v>
      </c>
      <c r="AI166" s="319">
        <f>AH166-10</f>
        <v>21.299999999999997</v>
      </c>
      <c r="AJ166" s="319">
        <f>Iniciar!P53</f>
        <v>31.299999999999997</v>
      </c>
      <c r="AK166" s="319"/>
      <c r="AL166" s="319"/>
      <c r="AM166" s="319"/>
      <c r="AN166" s="319"/>
      <c r="AO166" s="319"/>
      <c r="AP166" s="319"/>
      <c r="AQ166" s="319"/>
      <c r="AR166" s="319"/>
      <c r="AS166" s="319"/>
      <c r="AT166" s="319"/>
      <c r="AU166" s="319"/>
      <c r="AV166" s="319"/>
      <c r="AW166" s="319"/>
      <c r="AX166" s="319"/>
      <c r="AY166" s="319"/>
      <c r="AZ166" s="319"/>
      <c r="BA166" s="319">
        <v>44106</v>
      </c>
    </row>
    <row r="167" spans="1:53" ht="13.2" hidden="1">
      <c r="A167" s="12"/>
      <c r="B167" s="28" t="str">
        <f>Language!C362</f>
        <v>Linha principal de distribuição de frio</v>
      </c>
      <c r="C167" s="1"/>
      <c r="D167" s="1"/>
      <c r="E167" s="1"/>
      <c r="F167" s="1"/>
      <c r="G167" s="1"/>
      <c r="H167" s="1"/>
      <c r="I167" s="1"/>
      <c r="J167" s="1"/>
      <c r="K167" s="1"/>
      <c r="L167" s="1"/>
      <c r="M167" s="1"/>
      <c r="N167" s="1"/>
      <c r="O167" s="1"/>
      <c r="P167" s="1"/>
      <c r="Q167" s="1"/>
      <c r="R167" s="1"/>
      <c r="S167" s="9"/>
      <c r="T167" s="1"/>
      <c r="U167" s="319"/>
      <c r="V167" s="319"/>
      <c r="W167" s="319"/>
      <c r="X167" s="319"/>
      <c r="Y167" s="319"/>
      <c r="Z167" s="319"/>
      <c r="AA167" s="319"/>
      <c r="AB167" s="319"/>
      <c r="AC167" s="319"/>
      <c r="AD167" s="319"/>
      <c r="AE167" s="319"/>
      <c r="AF167" s="319"/>
      <c r="AG167" s="319"/>
      <c r="AH167" s="319"/>
      <c r="AI167" s="319"/>
      <c r="AJ167" s="319"/>
      <c r="AK167" s="319"/>
      <c r="AL167" s="319"/>
      <c r="AM167" s="319"/>
      <c r="AN167" s="319"/>
      <c r="AO167" s="319"/>
      <c r="AP167" s="319"/>
      <c r="AQ167" s="319"/>
      <c r="AR167" s="319"/>
      <c r="AS167" s="319"/>
      <c r="AT167" s="319"/>
      <c r="AU167" s="319"/>
      <c r="AV167" s="319"/>
      <c r="AW167" s="319"/>
      <c r="AX167" s="319"/>
      <c r="AY167" s="319"/>
      <c r="AZ167" s="319"/>
      <c r="BA167" s="319">
        <v>44200</v>
      </c>
    </row>
    <row r="168" spans="1:53" ht="13.2" hidden="1">
      <c r="A168" s="12"/>
      <c r="B168" s="56" t="str">
        <f>Language!C307</f>
        <v>Sobredimensiona. do tubo principal da rede</v>
      </c>
      <c r="C168" s="29" t="str">
        <f>$C$13</f>
        <v>%</v>
      </c>
      <c r="D168" s="339"/>
      <c r="E168" s="1"/>
      <c r="F168" s="1"/>
      <c r="G168" s="1"/>
      <c r="H168" s="1"/>
      <c r="I168" s="1"/>
      <c r="J168" s="1"/>
      <c r="K168" s="1"/>
      <c r="L168" s="1"/>
      <c r="M168" s="1"/>
      <c r="N168" s="1"/>
      <c r="O168" s="1"/>
      <c r="P168" s="1"/>
      <c r="Q168" s="1"/>
      <c r="R168" s="1"/>
      <c r="S168" s="9"/>
      <c r="T168" s="1"/>
      <c r="U168" s="319"/>
      <c r="V168" s="319"/>
      <c r="W168" s="319"/>
      <c r="X168" s="319"/>
      <c r="Y168" s="319"/>
      <c r="Z168" s="319"/>
      <c r="AA168" s="319"/>
      <c r="AB168" s="319"/>
      <c r="AC168" s="319"/>
      <c r="AD168" s="319"/>
      <c r="AE168" s="319"/>
      <c r="AF168" s="319"/>
      <c r="AG168" s="319"/>
      <c r="AH168" s="319" t="s">
        <v>623</v>
      </c>
      <c r="AI168" s="319"/>
      <c r="AJ168" s="319"/>
      <c r="AK168" s="319"/>
      <c r="AL168" s="319"/>
      <c r="AM168" s="319"/>
      <c r="AN168" s="319"/>
      <c r="AO168" s="319"/>
      <c r="AP168" s="319"/>
      <c r="AQ168" s="319"/>
      <c r="AR168" s="319"/>
      <c r="AS168" s="319"/>
      <c r="AT168" s="319"/>
      <c r="AU168" s="319"/>
      <c r="AV168" s="319"/>
      <c r="AW168" s="319"/>
      <c r="AX168" s="319"/>
      <c r="AY168" s="319"/>
      <c r="AZ168" s="319"/>
      <c r="BA168" s="319">
        <v>42202</v>
      </c>
    </row>
    <row r="169" spans="1:53" ht="12.75" hidden="1" customHeight="1" thickBot="1">
      <c r="A169" s="12"/>
      <c r="B169" s="28" t="str">
        <f>Language!C308</f>
        <v>Secções de tubos</v>
      </c>
      <c r="C169" s="45" t="str">
        <f>Language!C309</f>
        <v>Carga</v>
      </c>
      <c r="D169" s="45" t="str">
        <f>Language!C310</f>
        <v>Comprimento</v>
      </c>
      <c r="E169" s="82" t="str">
        <f>Language!C311</f>
        <v>Dimens. Tubo</v>
      </c>
      <c r="F169" s="134" t="str">
        <f>Language!C312</f>
        <v>O condomínio é atendido por esta secção de tubo ? (sim/não)</v>
      </c>
      <c r="G169" s="1"/>
      <c r="H169" s="1"/>
      <c r="I169" s="1"/>
      <c r="J169" s="1"/>
      <c r="K169" s="1"/>
      <c r="L169" s="1"/>
      <c r="M169" s="1"/>
      <c r="N169" s="1"/>
      <c r="O169" s="1"/>
      <c r="P169" s="1"/>
      <c r="Q169" s="1"/>
      <c r="R169" s="1"/>
      <c r="S169" s="9"/>
      <c r="T169" s="1"/>
      <c r="U169" s="319"/>
      <c r="V169" s="319"/>
      <c r="W169" s="319"/>
      <c r="X169" s="319"/>
      <c r="Y169" s="319"/>
      <c r="Z169" s="319"/>
      <c r="AA169" s="319"/>
      <c r="AB169" s="319"/>
      <c r="AC169" s="319"/>
      <c r="AD169" s="319"/>
      <c r="AE169" s="319"/>
      <c r="AF169" s="319"/>
      <c r="AG169" s="319"/>
      <c r="AH169" s="319" t="s">
        <v>3301</v>
      </c>
      <c r="AI169" s="319"/>
      <c r="AJ169" s="319"/>
      <c r="AK169" s="319" t="s">
        <v>624</v>
      </c>
      <c r="AL169" s="319" t="s">
        <v>708</v>
      </c>
      <c r="AM169" s="319"/>
      <c r="AN169" s="319"/>
      <c r="AO169" s="319"/>
      <c r="AP169" s="319"/>
      <c r="AQ169" s="319"/>
      <c r="AR169" s="319"/>
      <c r="AS169" s="319"/>
      <c r="AT169" s="319"/>
      <c r="AU169" s="319"/>
      <c r="AV169" s="319"/>
      <c r="AW169" s="319"/>
      <c r="AX169" s="319"/>
      <c r="AY169" s="319"/>
      <c r="AZ169" s="319"/>
      <c r="BA169" s="319">
        <v>44204</v>
      </c>
    </row>
    <row r="170" spans="1:53" ht="13.2" hidden="1">
      <c r="A170" s="12"/>
      <c r="B170" s="1"/>
      <c r="C170" s="45" t="str">
        <f>C126</f>
        <v>kW</v>
      </c>
      <c r="D170" s="308" t="s">
        <v>5569</v>
      </c>
      <c r="E170" s="45" t="str">
        <f>E65</f>
        <v>mm</v>
      </c>
      <c r="F170" s="35">
        <v>1</v>
      </c>
      <c r="G170" s="35">
        <v>2</v>
      </c>
      <c r="H170" s="35">
        <v>3</v>
      </c>
      <c r="I170" s="35">
        <v>4</v>
      </c>
      <c r="J170" s="35">
        <v>5</v>
      </c>
      <c r="K170" s="35">
        <v>6</v>
      </c>
      <c r="L170" s="35">
        <v>7</v>
      </c>
      <c r="M170" s="35">
        <v>8</v>
      </c>
      <c r="N170" s="35">
        <v>9</v>
      </c>
      <c r="O170" s="35">
        <v>10</v>
      </c>
      <c r="P170" s="35">
        <v>11</v>
      </c>
      <c r="Q170" s="35">
        <v>12</v>
      </c>
      <c r="R170" s="35">
        <v>13</v>
      </c>
      <c r="S170" s="35">
        <v>14</v>
      </c>
      <c r="T170" s="1"/>
      <c r="U170" s="319"/>
      <c r="V170" s="319"/>
      <c r="W170" s="319" t="s">
        <v>5700</v>
      </c>
      <c r="X170" s="319" t="s">
        <v>4267</v>
      </c>
      <c r="Y170" s="319" t="s">
        <v>5569</v>
      </c>
      <c r="Z170" s="319"/>
      <c r="AA170" s="319"/>
      <c r="AB170" s="319"/>
      <c r="AC170" s="319"/>
      <c r="AD170" s="319"/>
      <c r="AE170" s="319"/>
      <c r="AF170" s="319"/>
      <c r="AG170" s="319" t="s">
        <v>708</v>
      </c>
      <c r="AH170" s="319" t="s">
        <v>3302</v>
      </c>
      <c r="AI170" s="319" t="s">
        <v>4764</v>
      </c>
      <c r="AJ170" s="319" t="s">
        <v>4602</v>
      </c>
      <c r="AK170" s="319"/>
      <c r="AL170" s="319"/>
      <c r="AM170" s="319"/>
      <c r="AN170" s="319"/>
      <c r="AO170" s="319"/>
      <c r="AP170" s="319"/>
      <c r="AQ170" s="319"/>
      <c r="AR170" s="319"/>
      <c r="AS170" s="319"/>
      <c r="AT170" s="319"/>
      <c r="AU170" s="319"/>
      <c r="AV170" s="319"/>
      <c r="AW170" s="319"/>
      <c r="AX170" s="319"/>
      <c r="AY170" s="319"/>
      <c r="AZ170" s="319"/>
      <c r="BA170" s="319">
        <v>44204</v>
      </c>
    </row>
    <row r="171" spans="1:53" ht="13.2" hidden="1">
      <c r="A171" s="12"/>
      <c r="B171" s="1" t="str">
        <f>B66</f>
        <v>Secção 1</v>
      </c>
      <c r="C171" s="30">
        <f t="shared" ref="C171:C183" si="55">IF(Unit=TRUE,W171,X171)</f>
        <v>0</v>
      </c>
      <c r="D171" s="307">
        <v>1</v>
      </c>
      <c r="E171" s="29" t="str">
        <f t="shared" ref="E171:E183" si="56">IF(OR($Y171=0,$W171=0),"",LOOKUP(($W171*(1+$D$168)),$L$286:$L$306,$P$286:$P$306))</f>
        <v/>
      </c>
      <c r="F171" s="303" t="s">
        <v>6131</v>
      </c>
      <c r="G171" s="303"/>
      <c r="H171" s="303"/>
      <c r="I171" s="303"/>
      <c r="J171" s="303"/>
      <c r="K171" s="303"/>
      <c r="L171" s="303"/>
      <c r="M171" s="303"/>
      <c r="N171" s="303"/>
      <c r="O171" s="303"/>
      <c r="P171" s="303"/>
      <c r="Q171" s="303"/>
      <c r="R171" s="303"/>
      <c r="S171" s="303"/>
      <c r="T171" s="1"/>
      <c r="U171" s="319"/>
      <c r="V171" s="319"/>
      <c r="W171" s="319">
        <f t="shared" ref="W171:W183" si="57">IF($Y171=0,0,1)*SUMIF(F171:S171,$G$260,$AH$159:$AU$159)</f>
        <v>0</v>
      </c>
      <c r="X171" s="319">
        <f t="shared" ref="X171:X183" si="58">IF(W171="","",W171*$E$271)</f>
        <v>0</v>
      </c>
      <c r="Y171" s="319">
        <f t="shared" ref="Y171:Y183" si="59">IF($D$170=$D$264,D171,D171*$E$265)</f>
        <v>1</v>
      </c>
      <c r="Z171" s="319"/>
      <c r="AA171" s="319"/>
      <c r="AB171" s="319"/>
      <c r="AC171" s="319"/>
      <c r="AD171" s="319"/>
      <c r="AE171" s="319"/>
      <c r="AF171" s="319"/>
      <c r="AG171" s="319" t="s">
        <v>708</v>
      </c>
      <c r="AH171" s="319">
        <f>Z112*AJ171/(1-AJ171)</f>
        <v>0</v>
      </c>
      <c r="AI171" s="319">
        <f>AH171/365</f>
        <v>0</v>
      </c>
      <c r="AJ171" s="319">
        <f>IF(AND(Set_Level=2,Iniciar!P4=0),X118,IF(AND(Set_Level=1,Iniciar!P4=0),X118,'Modelo Energético '!D881))</f>
        <v>0</v>
      </c>
      <c r="AK171" s="319"/>
      <c r="AL171" s="319"/>
      <c r="AM171" s="319"/>
      <c r="AN171" s="319"/>
      <c r="AO171" s="319"/>
      <c r="AP171" s="319"/>
      <c r="AQ171" s="319"/>
      <c r="AR171" s="319"/>
      <c r="AS171" s="319"/>
      <c r="AT171" s="319"/>
      <c r="AU171" s="319"/>
      <c r="AV171" s="319"/>
      <c r="AW171" s="319"/>
      <c r="AX171" s="319"/>
      <c r="AY171" s="319"/>
      <c r="AZ171" s="319"/>
      <c r="BA171" s="319">
        <v>44204</v>
      </c>
    </row>
    <row r="172" spans="1:53" ht="13.2" hidden="1">
      <c r="A172" s="12"/>
      <c r="B172" s="1" t="str">
        <f t="shared" ref="B172:B183" si="60">B67</f>
        <v>Secção 2</v>
      </c>
      <c r="C172" s="30">
        <f t="shared" si="55"/>
        <v>0</v>
      </c>
      <c r="D172" s="307"/>
      <c r="E172" s="29" t="str">
        <f t="shared" si="56"/>
        <v/>
      </c>
      <c r="F172" s="303"/>
      <c r="G172" s="303"/>
      <c r="H172" s="303"/>
      <c r="I172" s="303"/>
      <c r="J172" s="303"/>
      <c r="K172" s="303"/>
      <c r="L172" s="303"/>
      <c r="M172" s="303"/>
      <c r="N172" s="303"/>
      <c r="O172" s="303"/>
      <c r="P172" s="303"/>
      <c r="Q172" s="303"/>
      <c r="R172" s="303"/>
      <c r="S172" s="303"/>
      <c r="T172" s="1"/>
      <c r="U172" s="319"/>
      <c r="V172" s="319"/>
      <c r="W172" s="319">
        <f t="shared" si="57"/>
        <v>0</v>
      </c>
      <c r="X172" s="319">
        <f t="shared" si="58"/>
        <v>0</v>
      </c>
      <c r="Y172" s="319">
        <f t="shared" si="59"/>
        <v>0</v>
      </c>
      <c r="Z172" s="319"/>
      <c r="AA172" s="319"/>
      <c r="AB172" s="319"/>
      <c r="AC172" s="319"/>
      <c r="AD172" s="319"/>
      <c r="AE172" s="319"/>
      <c r="AF172" s="319"/>
      <c r="AG172" s="319"/>
      <c r="AH172" s="319"/>
      <c r="AI172" s="319"/>
      <c r="AJ172" s="319"/>
      <c r="AK172" s="319"/>
      <c r="AL172" s="319"/>
      <c r="AM172" s="319"/>
      <c r="AN172" s="319"/>
      <c r="AO172" s="319"/>
      <c r="AP172" s="319"/>
      <c r="AQ172" s="319"/>
      <c r="AR172" s="319"/>
      <c r="AS172" s="319"/>
      <c r="AT172" s="319"/>
      <c r="AU172" s="319"/>
      <c r="AV172" s="319"/>
      <c r="AW172" s="319"/>
      <c r="AX172" s="319"/>
      <c r="AY172" s="319"/>
      <c r="AZ172" s="319"/>
      <c r="BA172" s="319">
        <v>44204</v>
      </c>
    </row>
    <row r="173" spans="1:53" ht="13.2" hidden="1">
      <c r="A173" s="12"/>
      <c r="B173" s="1" t="str">
        <f t="shared" si="60"/>
        <v>Secção 3</v>
      </c>
      <c r="C173" s="30">
        <f t="shared" si="55"/>
        <v>0</v>
      </c>
      <c r="D173" s="307"/>
      <c r="E173" s="29" t="str">
        <f t="shared" si="56"/>
        <v/>
      </c>
      <c r="F173" s="303"/>
      <c r="G173" s="303"/>
      <c r="H173" s="303"/>
      <c r="I173" s="303"/>
      <c r="J173" s="303"/>
      <c r="K173" s="303"/>
      <c r="L173" s="303"/>
      <c r="M173" s="303"/>
      <c r="N173" s="303"/>
      <c r="O173" s="303"/>
      <c r="P173" s="303"/>
      <c r="Q173" s="303"/>
      <c r="R173" s="303"/>
      <c r="S173" s="303"/>
      <c r="T173" s="1"/>
      <c r="U173" s="319"/>
      <c r="V173" s="319"/>
      <c r="W173" s="319">
        <f t="shared" si="57"/>
        <v>0</v>
      </c>
      <c r="X173" s="319">
        <f t="shared" si="58"/>
        <v>0</v>
      </c>
      <c r="Y173" s="319">
        <f t="shared" si="59"/>
        <v>0</v>
      </c>
      <c r="Z173" s="319"/>
      <c r="AA173" s="319"/>
      <c r="AB173" s="319"/>
      <c r="AC173" s="319"/>
      <c r="AD173" s="319"/>
      <c r="AE173" s="319"/>
      <c r="AF173" s="319"/>
      <c r="AG173" s="319"/>
      <c r="AH173" s="319"/>
      <c r="AI173" s="319"/>
      <c r="AJ173" s="319"/>
      <c r="AK173" s="319"/>
      <c r="AL173" s="319"/>
      <c r="AM173" s="319"/>
      <c r="AN173" s="319"/>
      <c r="AO173" s="319"/>
      <c r="AP173" s="319"/>
      <c r="AQ173" s="319"/>
      <c r="AR173" s="319"/>
      <c r="AS173" s="319"/>
      <c r="AT173" s="319"/>
      <c r="AU173" s="319"/>
      <c r="AV173" s="319"/>
      <c r="AW173" s="319"/>
      <c r="AX173" s="319"/>
      <c r="AY173" s="319"/>
      <c r="AZ173" s="319"/>
      <c r="BA173" s="319">
        <v>44204</v>
      </c>
    </row>
    <row r="174" spans="1:53" ht="13.2" hidden="1">
      <c r="A174" s="12"/>
      <c r="B174" s="1" t="str">
        <f t="shared" si="60"/>
        <v>Secção 4</v>
      </c>
      <c r="C174" s="30">
        <f t="shared" si="55"/>
        <v>0</v>
      </c>
      <c r="D174" s="307"/>
      <c r="E174" s="29" t="str">
        <f t="shared" si="56"/>
        <v/>
      </c>
      <c r="F174" s="303"/>
      <c r="G174" s="303"/>
      <c r="H174" s="303"/>
      <c r="I174" s="303"/>
      <c r="J174" s="303"/>
      <c r="K174" s="303"/>
      <c r="L174" s="303"/>
      <c r="M174" s="303"/>
      <c r="N174" s="303"/>
      <c r="O174" s="303"/>
      <c r="P174" s="303"/>
      <c r="Q174" s="303"/>
      <c r="R174" s="303"/>
      <c r="S174" s="303"/>
      <c r="T174" s="1"/>
      <c r="U174" s="319"/>
      <c r="V174" s="319"/>
      <c r="W174" s="319">
        <f t="shared" si="57"/>
        <v>0</v>
      </c>
      <c r="X174" s="319">
        <f t="shared" si="58"/>
        <v>0</v>
      </c>
      <c r="Y174" s="319">
        <f t="shared" si="59"/>
        <v>0</v>
      </c>
      <c r="Z174" s="319"/>
      <c r="AA174" s="319"/>
      <c r="AB174" s="319"/>
      <c r="AC174" s="319"/>
      <c r="AD174" s="319"/>
      <c r="AE174" s="319"/>
      <c r="AF174" s="319"/>
      <c r="AG174" s="319"/>
      <c r="AH174" s="319"/>
      <c r="AI174" s="319"/>
      <c r="AJ174" s="319"/>
      <c r="AK174" s="319"/>
      <c r="AL174" s="319"/>
      <c r="AM174" s="319"/>
      <c r="AN174" s="319"/>
      <c r="AO174" s="319"/>
      <c r="AP174" s="319"/>
      <c r="AQ174" s="319"/>
      <c r="AR174" s="319"/>
      <c r="AS174" s="319"/>
      <c r="AT174" s="319"/>
      <c r="AU174" s="319"/>
      <c r="AV174" s="319"/>
      <c r="AW174" s="319"/>
      <c r="AX174" s="319"/>
      <c r="AY174" s="319"/>
      <c r="AZ174" s="319"/>
      <c r="BA174" s="319">
        <v>44204</v>
      </c>
    </row>
    <row r="175" spans="1:53" ht="13.2" hidden="1">
      <c r="A175" s="12"/>
      <c r="B175" s="1" t="str">
        <f t="shared" si="60"/>
        <v>Secção 5</v>
      </c>
      <c r="C175" s="30">
        <f t="shared" si="55"/>
        <v>0</v>
      </c>
      <c r="D175" s="307"/>
      <c r="E175" s="29" t="str">
        <f t="shared" si="56"/>
        <v/>
      </c>
      <c r="F175" s="303"/>
      <c r="G175" s="303"/>
      <c r="H175" s="303"/>
      <c r="I175" s="303"/>
      <c r="J175" s="303"/>
      <c r="K175" s="303"/>
      <c r="L175" s="303"/>
      <c r="M175" s="303"/>
      <c r="N175" s="303"/>
      <c r="O175" s="303"/>
      <c r="P175" s="303"/>
      <c r="Q175" s="303"/>
      <c r="R175" s="303"/>
      <c r="S175" s="303"/>
      <c r="T175" s="1"/>
      <c r="U175" s="319"/>
      <c r="V175" s="319"/>
      <c r="W175" s="319">
        <f t="shared" si="57"/>
        <v>0</v>
      </c>
      <c r="X175" s="319">
        <f t="shared" si="58"/>
        <v>0</v>
      </c>
      <c r="Y175" s="319">
        <f t="shared" si="59"/>
        <v>0</v>
      </c>
      <c r="Z175" s="319"/>
      <c r="AA175" s="319"/>
      <c r="AB175" s="319"/>
      <c r="AC175" s="319"/>
      <c r="AD175" s="319"/>
      <c r="AE175" s="319"/>
      <c r="AF175" s="319"/>
      <c r="AG175" s="319"/>
      <c r="AH175" s="319"/>
      <c r="AI175" s="319"/>
      <c r="AJ175" s="319"/>
      <c r="AK175" s="319"/>
      <c r="AL175" s="319"/>
      <c r="AM175" s="319"/>
      <c r="AN175" s="319"/>
      <c r="AO175" s="319"/>
      <c r="AP175" s="319"/>
      <c r="AQ175" s="319"/>
      <c r="AR175" s="319"/>
      <c r="AS175" s="319"/>
      <c r="AT175" s="319"/>
      <c r="AU175" s="319"/>
      <c r="AV175" s="319"/>
      <c r="AW175" s="319"/>
      <c r="AX175" s="319"/>
      <c r="AY175" s="319"/>
      <c r="AZ175" s="319"/>
      <c r="BA175" s="319">
        <v>44204</v>
      </c>
    </row>
    <row r="176" spans="1:53" ht="13.2" hidden="1">
      <c r="A176" s="12"/>
      <c r="B176" s="1" t="str">
        <f t="shared" si="60"/>
        <v>Secção 6</v>
      </c>
      <c r="C176" s="30">
        <f t="shared" si="55"/>
        <v>0</v>
      </c>
      <c r="D176" s="307"/>
      <c r="E176" s="29" t="str">
        <f t="shared" si="56"/>
        <v/>
      </c>
      <c r="F176" s="303"/>
      <c r="G176" s="303"/>
      <c r="H176" s="303"/>
      <c r="I176" s="303"/>
      <c r="J176" s="303"/>
      <c r="K176" s="303"/>
      <c r="L176" s="303"/>
      <c r="M176" s="303"/>
      <c r="N176" s="303"/>
      <c r="O176" s="303"/>
      <c r="P176" s="303"/>
      <c r="Q176" s="303"/>
      <c r="R176" s="303"/>
      <c r="S176" s="303"/>
      <c r="T176" s="1"/>
      <c r="U176" s="319"/>
      <c r="V176" s="319"/>
      <c r="W176" s="319">
        <f t="shared" si="57"/>
        <v>0</v>
      </c>
      <c r="X176" s="319">
        <f t="shared" si="58"/>
        <v>0</v>
      </c>
      <c r="Y176" s="319">
        <f t="shared" si="59"/>
        <v>0</v>
      </c>
      <c r="Z176" s="319"/>
      <c r="AA176" s="319"/>
      <c r="AB176" s="319"/>
      <c r="AC176" s="319"/>
      <c r="AD176" s="319"/>
      <c r="AE176" s="319"/>
      <c r="AF176" s="319"/>
      <c r="AG176" s="319"/>
      <c r="AH176" s="319"/>
      <c r="AI176" s="319"/>
      <c r="AJ176" s="319"/>
      <c r="AK176" s="319"/>
      <c r="AL176" s="319"/>
      <c r="AM176" s="319"/>
      <c r="AN176" s="319"/>
      <c r="AO176" s="319"/>
      <c r="AP176" s="319"/>
      <c r="AQ176" s="319"/>
      <c r="AR176" s="319"/>
      <c r="AS176" s="319"/>
      <c r="AT176" s="319"/>
      <c r="AU176" s="319"/>
      <c r="AV176" s="319"/>
      <c r="AW176" s="319"/>
      <c r="AX176" s="319"/>
      <c r="AY176" s="319"/>
      <c r="AZ176" s="319"/>
      <c r="BA176" s="319">
        <v>44204</v>
      </c>
    </row>
    <row r="177" spans="1:53" ht="13.2" hidden="1">
      <c r="A177" s="12"/>
      <c r="B177" s="1" t="str">
        <f t="shared" si="60"/>
        <v>Secção 7</v>
      </c>
      <c r="C177" s="30">
        <f t="shared" si="55"/>
        <v>0</v>
      </c>
      <c r="D177" s="307"/>
      <c r="E177" s="29" t="str">
        <f t="shared" si="56"/>
        <v/>
      </c>
      <c r="F177" s="303"/>
      <c r="G177" s="303"/>
      <c r="H177" s="303"/>
      <c r="I177" s="303"/>
      <c r="J177" s="303"/>
      <c r="K177" s="303"/>
      <c r="L177" s="303"/>
      <c r="M177" s="303"/>
      <c r="N177" s="303"/>
      <c r="O177" s="303"/>
      <c r="P177" s="303"/>
      <c r="Q177" s="303"/>
      <c r="R177" s="303"/>
      <c r="S177" s="303"/>
      <c r="T177" s="1"/>
      <c r="U177" s="319"/>
      <c r="V177" s="319"/>
      <c r="W177" s="319">
        <f t="shared" si="57"/>
        <v>0</v>
      </c>
      <c r="X177" s="319">
        <f t="shared" si="58"/>
        <v>0</v>
      </c>
      <c r="Y177" s="319">
        <f t="shared" si="59"/>
        <v>0</v>
      </c>
      <c r="Z177" s="319"/>
      <c r="AA177" s="319"/>
      <c r="AB177" s="319"/>
      <c r="AC177" s="319"/>
      <c r="AD177" s="319"/>
      <c r="AE177" s="319"/>
      <c r="AF177" s="319"/>
      <c r="AG177" s="319"/>
      <c r="AH177" s="319"/>
      <c r="AI177" s="319"/>
      <c r="AJ177" s="319"/>
      <c r="AK177" s="319"/>
      <c r="AL177" s="319"/>
      <c r="AM177" s="319"/>
      <c r="AN177" s="319"/>
      <c r="AO177" s="319"/>
      <c r="AP177" s="319"/>
      <c r="AQ177" s="319"/>
      <c r="AR177" s="319"/>
      <c r="AS177" s="319"/>
      <c r="AT177" s="319"/>
      <c r="AU177" s="319"/>
      <c r="AV177" s="319"/>
      <c r="AW177" s="319"/>
      <c r="AX177" s="319"/>
      <c r="AY177" s="319"/>
      <c r="AZ177" s="319"/>
      <c r="BA177" s="319">
        <v>44204</v>
      </c>
    </row>
    <row r="178" spans="1:53" ht="13.2" hidden="1">
      <c r="A178" s="12"/>
      <c r="B178" s="1" t="str">
        <f t="shared" si="60"/>
        <v>Secção 8</v>
      </c>
      <c r="C178" s="30">
        <f t="shared" si="55"/>
        <v>0</v>
      </c>
      <c r="D178" s="307"/>
      <c r="E178" s="29" t="str">
        <f t="shared" si="56"/>
        <v/>
      </c>
      <c r="F178" s="303"/>
      <c r="G178" s="303"/>
      <c r="H178" s="303"/>
      <c r="I178" s="303"/>
      <c r="J178" s="303"/>
      <c r="K178" s="303"/>
      <c r="L178" s="303"/>
      <c r="M178" s="303"/>
      <c r="N178" s="303"/>
      <c r="O178" s="303"/>
      <c r="P178" s="303"/>
      <c r="Q178" s="303"/>
      <c r="R178" s="303"/>
      <c r="S178" s="303"/>
      <c r="T178" s="1"/>
      <c r="U178" s="319"/>
      <c r="V178" s="319"/>
      <c r="W178" s="319">
        <f t="shared" si="57"/>
        <v>0</v>
      </c>
      <c r="X178" s="319">
        <f t="shared" si="58"/>
        <v>0</v>
      </c>
      <c r="Y178" s="319">
        <f t="shared" si="59"/>
        <v>0</v>
      </c>
      <c r="Z178" s="319"/>
      <c r="AA178" s="319"/>
      <c r="AB178" s="319"/>
      <c r="AC178" s="319"/>
      <c r="AD178" s="319"/>
      <c r="AE178" s="319"/>
      <c r="AF178" s="319"/>
      <c r="AG178" s="319" t="s">
        <v>708</v>
      </c>
      <c r="AH178" s="319"/>
      <c r="AI178" s="319"/>
      <c r="AJ178" s="319"/>
      <c r="AK178" s="319"/>
      <c r="AL178" s="319"/>
      <c r="AM178" s="319"/>
      <c r="AN178" s="319"/>
      <c r="AO178" s="319"/>
      <c r="AP178" s="319"/>
      <c r="AQ178" s="319"/>
      <c r="AR178" s="319"/>
      <c r="AS178" s="319"/>
      <c r="AT178" s="319"/>
      <c r="AU178" s="319"/>
      <c r="AV178" s="319"/>
      <c r="AW178" s="319"/>
      <c r="AX178" s="319"/>
      <c r="AY178" s="319"/>
      <c r="AZ178" s="319"/>
      <c r="BA178" s="319">
        <v>44204</v>
      </c>
    </row>
    <row r="179" spans="1:53" ht="13.2" hidden="1">
      <c r="A179" s="12"/>
      <c r="B179" s="1" t="str">
        <f t="shared" si="60"/>
        <v>Secção 9</v>
      </c>
      <c r="C179" s="30">
        <f t="shared" si="55"/>
        <v>0</v>
      </c>
      <c r="D179" s="307"/>
      <c r="E179" s="29" t="str">
        <f t="shared" si="56"/>
        <v/>
      </c>
      <c r="F179" s="303"/>
      <c r="G179" s="303"/>
      <c r="H179" s="303"/>
      <c r="I179" s="303"/>
      <c r="J179" s="303"/>
      <c r="K179" s="303"/>
      <c r="L179" s="303"/>
      <c r="M179" s="303"/>
      <c r="N179" s="303"/>
      <c r="O179" s="303"/>
      <c r="P179" s="303"/>
      <c r="Q179" s="303"/>
      <c r="R179" s="303"/>
      <c r="S179" s="303"/>
      <c r="T179" s="1"/>
      <c r="U179" s="319"/>
      <c r="V179" s="319"/>
      <c r="W179" s="319">
        <f t="shared" si="57"/>
        <v>0</v>
      </c>
      <c r="X179" s="319">
        <f t="shared" si="58"/>
        <v>0</v>
      </c>
      <c r="Y179" s="319">
        <f t="shared" si="59"/>
        <v>0</v>
      </c>
      <c r="Z179" s="319"/>
      <c r="AA179" s="319"/>
      <c r="AB179" s="319"/>
      <c r="AC179" s="319"/>
      <c r="AD179" s="319"/>
      <c r="AE179" s="319"/>
      <c r="AF179" s="319"/>
      <c r="AG179" s="319"/>
      <c r="AH179" s="319"/>
      <c r="AI179" s="319"/>
      <c r="AJ179" s="319"/>
      <c r="AK179" s="319"/>
      <c r="AL179" s="319"/>
      <c r="AM179" s="319"/>
      <c r="AN179" s="319"/>
      <c r="AO179" s="319"/>
      <c r="AP179" s="319"/>
      <c r="AQ179" s="319"/>
      <c r="AR179" s="319"/>
      <c r="AS179" s="319"/>
      <c r="AT179" s="319"/>
      <c r="AU179" s="319"/>
      <c r="AV179" s="319"/>
      <c r="AW179" s="319"/>
      <c r="AX179" s="319"/>
      <c r="AY179" s="319"/>
      <c r="AZ179" s="319"/>
      <c r="BA179" s="319">
        <v>44204</v>
      </c>
    </row>
    <row r="180" spans="1:53" ht="13.2" hidden="1">
      <c r="A180" s="12"/>
      <c r="B180" s="1" t="str">
        <f t="shared" si="60"/>
        <v>Secção 10</v>
      </c>
      <c r="C180" s="30">
        <f t="shared" si="55"/>
        <v>0</v>
      </c>
      <c r="D180" s="307"/>
      <c r="E180" s="29" t="str">
        <f t="shared" si="56"/>
        <v/>
      </c>
      <c r="F180" s="303"/>
      <c r="G180" s="303"/>
      <c r="H180" s="303"/>
      <c r="I180" s="303"/>
      <c r="J180" s="303"/>
      <c r="K180" s="303"/>
      <c r="L180" s="303"/>
      <c r="M180" s="303"/>
      <c r="N180" s="303"/>
      <c r="O180" s="303"/>
      <c r="P180" s="303"/>
      <c r="Q180" s="303"/>
      <c r="R180" s="303"/>
      <c r="S180" s="303"/>
      <c r="T180" s="1"/>
      <c r="U180" s="319"/>
      <c r="V180" s="319"/>
      <c r="W180" s="319">
        <f t="shared" si="57"/>
        <v>0</v>
      </c>
      <c r="X180" s="319">
        <f t="shared" si="58"/>
        <v>0</v>
      </c>
      <c r="Y180" s="319">
        <f t="shared" si="59"/>
        <v>0</v>
      </c>
      <c r="Z180" s="319"/>
      <c r="AA180" s="319"/>
      <c r="AB180" s="319"/>
      <c r="AC180" s="319"/>
      <c r="AD180" s="319"/>
      <c r="AE180" s="319"/>
      <c r="AF180" s="319"/>
      <c r="AG180" s="319"/>
      <c r="AH180" s="319"/>
      <c r="AI180" s="319"/>
      <c r="AJ180" s="319"/>
      <c r="AK180" s="319"/>
      <c r="AL180" s="319"/>
      <c r="AM180" s="319"/>
      <c r="AN180" s="319"/>
      <c r="AO180" s="319"/>
      <c r="AP180" s="319"/>
      <c r="AQ180" s="319"/>
      <c r="AR180" s="319"/>
      <c r="AS180" s="319"/>
      <c r="AT180" s="319"/>
      <c r="AU180" s="319"/>
      <c r="AV180" s="319"/>
      <c r="AW180" s="319"/>
      <c r="AX180" s="319"/>
      <c r="AY180" s="319"/>
      <c r="AZ180" s="319"/>
      <c r="BA180" s="319">
        <v>44204</v>
      </c>
    </row>
    <row r="181" spans="1:53" ht="13.2" hidden="1">
      <c r="A181" s="12"/>
      <c r="B181" s="1" t="str">
        <f t="shared" si="60"/>
        <v>Secção 11</v>
      </c>
      <c r="C181" s="30">
        <f t="shared" si="55"/>
        <v>0</v>
      </c>
      <c r="D181" s="307"/>
      <c r="E181" s="29" t="str">
        <f t="shared" si="56"/>
        <v/>
      </c>
      <c r="F181" s="303"/>
      <c r="G181" s="303"/>
      <c r="H181" s="303"/>
      <c r="I181" s="303"/>
      <c r="J181" s="303"/>
      <c r="K181" s="303"/>
      <c r="L181" s="303"/>
      <c r="M181" s="303"/>
      <c r="N181" s="303"/>
      <c r="O181" s="303"/>
      <c r="P181" s="303"/>
      <c r="Q181" s="303"/>
      <c r="R181" s="303"/>
      <c r="S181" s="303"/>
      <c r="T181" s="1"/>
      <c r="U181" s="319"/>
      <c r="V181" s="319"/>
      <c r="W181" s="319">
        <f t="shared" si="57"/>
        <v>0</v>
      </c>
      <c r="X181" s="319">
        <f t="shared" si="58"/>
        <v>0</v>
      </c>
      <c r="Y181" s="319">
        <f t="shared" si="59"/>
        <v>0</v>
      </c>
      <c r="Z181" s="319"/>
      <c r="AA181" s="319"/>
      <c r="AB181" s="319"/>
      <c r="AC181" s="319"/>
      <c r="AD181" s="319"/>
      <c r="AE181" s="319"/>
      <c r="AF181" s="319"/>
      <c r="AG181" s="319"/>
      <c r="AH181" s="319"/>
      <c r="AI181" s="319"/>
      <c r="AJ181" s="319"/>
      <c r="AK181" s="319"/>
      <c r="AL181" s="319"/>
      <c r="AM181" s="319"/>
      <c r="AN181" s="319"/>
      <c r="AO181" s="319"/>
      <c r="AP181" s="319"/>
      <c r="AQ181" s="319"/>
      <c r="AR181" s="319"/>
      <c r="AS181" s="319"/>
      <c r="AT181" s="319"/>
      <c r="AU181" s="319"/>
      <c r="AV181" s="319"/>
      <c r="AW181" s="319"/>
      <c r="AX181" s="319"/>
      <c r="AY181" s="319"/>
      <c r="AZ181" s="319"/>
      <c r="BA181" s="319">
        <v>44204</v>
      </c>
    </row>
    <row r="182" spans="1:53" ht="13.2" hidden="1">
      <c r="A182" s="12"/>
      <c r="B182" s="1" t="str">
        <f t="shared" si="60"/>
        <v>Secção 12</v>
      </c>
      <c r="C182" s="30">
        <f t="shared" si="55"/>
        <v>0</v>
      </c>
      <c r="D182" s="307"/>
      <c r="E182" s="29" t="str">
        <f t="shared" si="56"/>
        <v/>
      </c>
      <c r="F182" s="303"/>
      <c r="G182" s="303"/>
      <c r="H182" s="303"/>
      <c r="I182" s="303"/>
      <c r="J182" s="303"/>
      <c r="K182" s="303"/>
      <c r="L182" s="303"/>
      <c r="M182" s="303"/>
      <c r="N182" s="303"/>
      <c r="O182" s="303"/>
      <c r="P182" s="303"/>
      <c r="Q182" s="303"/>
      <c r="R182" s="303"/>
      <c r="S182" s="303"/>
      <c r="T182" s="1"/>
      <c r="U182" s="319"/>
      <c r="V182" s="319"/>
      <c r="W182" s="319">
        <f t="shared" si="57"/>
        <v>0</v>
      </c>
      <c r="X182" s="319">
        <f t="shared" si="58"/>
        <v>0</v>
      </c>
      <c r="Y182" s="319">
        <f t="shared" si="59"/>
        <v>0</v>
      </c>
      <c r="Z182" s="319"/>
      <c r="AA182" s="319"/>
      <c r="AB182" s="319"/>
      <c r="AC182" s="319"/>
      <c r="AD182" s="319"/>
      <c r="AE182" s="319"/>
      <c r="AF182" s="319"/>
      <c r="AG182" s="319"/>
      <c r="AH182" s="319"/>
      <c r="AI182" s="319"/>
      <c r="AJ182" s="319"/>
      <c r="AK182" s="319"/>
      <c r="AL182" s="319"/>
      <c r="AM182" s="319"/>
      <c r="AN182" s="319"/>
      <c r="AO182" s="319"/>
      <c r="AP182" s="319"/>
      <c r="AQ182" s="319"/>
      <c r="AR182" s="319"/>
      <c r="AS182" s="319"/>
      <c r="AT182" s="319"/>
      <c r="AU182" s="319"/>
      <c r="AV182" s="319"/>
      <c r="AW182" s="319"/>
      <c r="AX182" s="319"/>
      <c r="AY182" s="319"/>
      <c r="AZ182" s="319"/>
      <c r="BA182" s="319">
        <v>44204</v>
      </c>
    </row>
    <row r="183" spans="1:53" ht="13.2" hidden="1">
      <c r="A183" s="12"/>
      <c r="B183" s="1" t="str">
        <f t="shared" si="60"/>
        <v>Secção 13</v>
      </c>
      <c r="C183" s="30">
        <f t="shared" si="55"/>
        <v>0</v>
      </c>
      <c r="D183" s="307"/>
      <c r="E183" s="29" t="str">
        <f t="shared" si="56"/>
        <v/>
      </c>
      <c r="F183" s="303"/>
      <c r="G183" s="303"/>
      <c r="H183" s="303"/>
      <c r="I183" s="303"/>
      <c r="J183" s="303"/>
      <c r="K183" s="303"/>
      <c r="L183" s="303"/>
      <c r="M183" s="303"/>
      <c r="N183" s="303"/>
      <c r="O183" s="303"/>
      <c r="P183" s="303"/>
      <c r="Q183" s="303"/>
      <c r="R183" s="303"/>
      <c r="S183" s="303"/>
      <c r="T183" s="1"/>
      <c r="U183" s="319"/>
      <c r="V183" s="319"/>
      <c r="W183" s="319">
        <f t="shared" si="57"/>
        <v>0</v>
      </c>
      <c r="X183" s="319">
        <f t="shared" si="58"/>
        <v>0</v>
      </c>
      <c r="Y183" s="319">
        <f t="shared" si="59"/>
        <v>0</v>
      </c>
      <c r="Z183" s="319"/>
      <c r="AA183" s="319"/>
      <c r="AB183" s="319"/>
      <c r="AC183" s="319"/>
      <c r="AD183" s="319"/>
      <c r="AE183" s="319"/>
      <c r="AF183" s="319"/>
      <c r="AG183" s="319"/>
      <c r="AH183" s="319"/>
      <c r="AI183" s="319"/>
      <c r="AJ183" s="319"/>
      <c r="AK183" s="319"/>
      <c r="AL183" s="319"/>
      <c r="AM183" s="319"/>
      <c r="AN183" s="319"/>
      <c r="AO183" s="319"/>
      <c r="AP183" s="319"/>
      <c r="AQ183" s="319"/>
      <c r="AR183" s="319"/>
      <c r="AS183" s="319"/>
      <c r="AT183" s="319"/>
      <c r="AU183" s="319"/>
      <c r="AV183" s="319"/>
      <c r="AW183" s="319"/>
      <c r="AX183" s="319"/>
      <c r="AY183" s="319"/>
      <c r="AZ183" s="319"/>
      <c r="BA183" s="319">
        <v>44204</v>
      </c>
    </row>
    <row r="184" spans="1:53" ht="13.2" hidden="1">
      <c r="A184" s="12"/>
      <c r="B184" s="1" t="str">
        <f>Language!C314</f>
        <v>Comprimento total do tubo da linha de distribuição principal</v>
      </c>
      <c r="C184" s="29" t="str">
        <f>C79</f>
        <v>m</v>
      </c>
      <c r="D184" s="30">
        <f>IF(Unit=TRUE,X184,Z184)</f>
        <v>1</v>
      </c>
      <c r="E184" s="1"/>
      <c r="F184" s="1"/>
      <c r="G184" s="1"/>
      <c r="H184" s="1"/>
      <c r="I184" s="1"/>
      <c r="J184" s="1"/>
      <c r="K184" s="1"/>
      <c r="L184" s="1"/>
      <c r="M184" s="1"/>
      <c r="N184" s="1"/>
      <c r="O184" s="1"/>
      <c r="P184" s="1"/>
      <c r="Q184" s="1"/>
      <c r="R184" s="1"/>
      <c r="S184" s="9"/>
      <c r="T184" s="1"/>
      <c r="U184" s="319"/>
      <c r="V184" s="319"/>
      <c r="W184" s="319" t="s">
        <v>5569</v>
      </c>
      <c r="X184" s="319">
        <f>SUM(Y171:Y183)</f>
        <v>1</v>
      </c>
      <c r="Y184" s="319" t="s">
        <v>3368</v>
      </c>
      <c r="Z184" s="319">
        <f>X184/$E$265</f>
        <v>3.2808398950131239</v>
      </c>
      <c r="AA184" s="319"/>
      <c r="AB184" s="319"/>
      <c r="AC184" s="319"/>
      <c r="AD184" s="319"/>
      <c r="AE184" s="319"/>
      <c r="AF184" s="319"/>
      <c r="AG184" s="319"/>
      <c r="AH184" s="319"/>
      <c r="AI184" s="319"/>
      <c r="AJ184" s="319"/>
      <c r="AK184" s="319"/>
      <c r="AL184" s="319"/>
      <c r="AM184" s="319"/>
      <c r="AN184" s="319"/>
      <c r="AO184" s="319"/>
      <c r="AP184" s="319"/>
      <c r="AQ184" s="319"/>
      <c r="AR184" s="319"/>
      <c r="AS184" s="319"/>
      <c r="AT184" s="319"/>
      <c r="AU184" s="319"/>
      <c r="AV184" s="319"/>
      <c r="AW184" s="319"/>
      <c r="AX184" s="319"/>
      <c r="AY184" s="319"/>
      <c r="AZ184" s="319"/>
      <c r="BA184" s="319">
        <v>44206</v>
      </c>
    </row>
    <row r="185" spans="1:53" ht="13.2" hidden="1">
      <c r="A185" s="12"/>
      <c r="B185" s="28" t="str">
        <f>Language!C363</f>
        <v>Linhas secundárias de distribuição de frio</v>
      </c>
      <c r="C185" s="1"/>
      <c r="D185" s="1"/>
      <c r="E185" s="1"/>
      <c r="F185" s="1"/>
      <c r="G185" s="1"/>
      <c r="H185" s="1"/>
      <c r="I185" s="1"/>
      <c r="J185" s="1"/>
      <c r="K185" s="1"/>
      <c r="L185" s="1"/>
      <c r="M185" s="1"/>
      <c r="N185" s="1"/>
      <c r="O185" s="1"/>
      <c r="P185" s="1"/>
      <c r="Q185" s="1"/>
      <c r="R185" s="1"/>
      <c r="S185" s="9"/>
      <c r="T185" s="1"/>
      <c r="U185" s="319"/>
      <c r="V185" s="319"/>
      <c r="W185" s="319"/>
      <c r="X185" s="319"/>
      <c r="Y185" s="319"/>
      <c r="Z185" s="319"/>
      <c r="AA185" s="319"/>
      <c r="AB185" s="319"/>
      <c r="AC185" s="319"/>
      <c r="AD185" s="319"/>
      <c r="AE185" s="319"/>
      <c r="AF185" s="319"/>
      <c r="AG185" s="319"/>
      <c r="AH185" s="319"/>
      <c r="AI185" s="319"/>
      <c r="AJ185" s="319"/>
      <c r="AK185" s="319"/>
      <c r="AL185" s="319"/>
      <c r="AM185" s="319"/>
      <c r="AN185" s="319"/>
      <c r="AO185" s="319"/>
      <c r="AP185" s="319"/>
      <c r="AQ185" s="319"/>
      <c r="AR185" s="319"/>
      <c r="AS185" s="319"/>
      <c r="AT185" s="319"/>
      <c r="AU185" s="319"/>
      <c r="AV185" s="319"/>
      <c r="AW185" s="319"/>
      <c r="AX185" s="319"/>
      <c r="AY185" s="319"/>
      <c r="AZ185" s="319"/>
      <c r="BA185" s="319">
        <v>44300</v>
      </c>
    </row>
    <row r="186" spans="1:53" ht="13.2" hidden="1">
      <c r="A186" s="12"/>
      <c r="B186" s="1" t="str">
        <f>Language!C317</f>
        <v>Sobredimens. tubo secundário da rede distrib.</v>
      </c>
      <c r="C186" s="29" t="str">
        <f>$C$13</f>
        <v>%</v>
      </c>
      <c r="D186" s="339"/>
      <c r="E186" s="1"/>
      <c r="F186" s="134" t="str">
        <f>Language!C316</f>
        <v>Comprimento do tubo da linha de distribuição secundária por condomínio</v>
      </c>
      <c r="G186" s="1"/>
      <c r="H186" s="1"/>
      <c r="I186" s="1"/>
      <c r="J186" s="1"/>
      <c r="K186" s="1"/>
      <c r="L186" s="1"/>
      <c r="M186" s="1"/>
      <c r="N186" s="1"/>
      <c r="O186" s="1"/>
      <c r="P186" s="1"/>
      <c r="Q186" s="1"/>
      <c r="R186" s="1"/>
      <c r="S186" s="9"/>
      <c r="T186" s="1"/>
      <c r="U186" s="319"/>
      <c r="V186" s="319"/>
      <c r="W186" s="319"/>
      <c r="X186" s="319"/>
      <c r="Y186" s="319"/>
      <c r="Z186" s="319"/>
      <c r="AA186" s="319"/>
      <c r="AB186" s="319"/>
      <c r="AC186" s="319"/>
      <c r="AD186" s="319"/>
      <c r="AE186" s="319"/>
      <c r="AF186" s="319"/>
      <c r="AG186" s="319"/>
      <c r="AH186" s="319"/>
      <c r="AI186" s="319"/>
      <c r="AJ186" s="319"/>
      <c r="AK186" s="319"/>
      <c r="AL186" s="319"/>
      <c r="AM186" s="319"/>
      <c r="AN186" s="319"/>
      <c r="AO186" s="319"/>
      <c r="AP186" s="319"/>
      <c r="AQ186" s="319"/>
      <c r="AR186" s="319"/>
      <c r="AS186" s="319"/>
      <c r="AT186" s="319"/>
      <c r="AU186" s="319"/>
      <c r="AV186" s="319"/>
      <c r="AW186" s="319"/>
      <c r="AX186" s="319"/>
      <c r="AY186" s="319"/>
      <c r="AZ186" s="319"/>
      <c r="BA186" s="319">
        <v>42302</v>
      </c>
    </row>
    <row r="187" spans="1:53" ht="13.2" hidden="1">
      <c r="A187" s="12"/>
      <c r="B187" s="1" t="str">
        <f>Language!C318</f>
        <v>Comprimento da secção de tubo</v>
      </c>
      <c r="C187" s="29" t="str">
        <f>C79</f>
        <v>m</v>
      </c>
      <c r="D187" s="30">
        <f>IF(Unit=TRUE,X187,Z187)</f>
        <v>0</v>
      </c>
      <c r="E187" s="303" t="s">
        <v>5569</v>
      </c>
      <c r="F187" s="307"/>
      <c r="G187" s="307"/>
      <c r="H187" s="307"/>
      <c r="I187" s="307"/>
      <c r="J187" s="307"/>
      <c r="K187" s="307"/>
      <c r="L187" s="307"/>
      <c r="M187" s="307"/>
      <c r="N187" s="307"/>
      <c r="O187" s="307"/>
      <c r="P187" s="307"/>
      <c r="Q187" s="307"/>
      <c r="R187" s="307"/>
      <c r="S187" s="307"/>
      <c r="T187" s="12"/>
      <c r="U187" s="319"/>
      <c r="V187" s="319"/>
      <c r="W187" s="319" t="s">
        <v>5569</v>
      </c>
      <c r="X187" s="319">
        <f>SUMIF(AH137:AU137,"&gt;0",AH187:AU187)</f>
        <v>0</v>
      </c>
      <c r="Y187" s="319" t="s">
        <v>3368</v>
      </c>
      <c r="Z187" s="319">
        <f>X187/$E$265</f>
        <v>0</v>
      </c>
      <c r="AA187" s="319"/>
      <c r="AB187" s="319"/>
      <c r="AC187" s="319"/>
      <c r="AD187" s="319"/>
      <c r="AE187" s="319"/>
      <c r="AF187" s="319"/>
      <c r="AG187" s="319"/>
      <c r="AH187" s="319">
        <f t="shared" ref="AH187:AU187" si="61">IF($E$187=$D$264,F187,F187*$E$265)</f>
        <v>0</v>
      </c>
      <c r="AI187" s="319">
        <f t="shared" si="61"/>
        <v>0</v>
      </c>
      <c r="AJ187" s="319">
        <f t="shared" si="61"/>
        <v>0</v>
      </c>
      <c r="AK187" s="319">
        <f t="shared" si="61"/>
        <v>0</v>
      </c>
      <c r="AL187" s="319">
        <f t="shared" si="61"/>
        <v>0</v>
      </c>
      <c r="AM187" s="319">
        <f t="shared" si="61"/>
        <v>0</v>
      </c>
      <c r="AN187" s="319">
        <f t="shared" si="61"/>
        <v>0</v>
      </c>
      <c r="AO187" s="319">
        <f t="shared" si="61"/>
        <v>0</v>
      </c>
      <c r="AP187" s="319">
        <f t="shared" si="61"/>
        <v>0</v>
      </c>
      <c r="AQ187" s="319">
        <f t="shared" si="61"/>
        <v>0</v>
      </c>
      <c r="AR187" s="319">
        <f t="shared" si="61"/>
        <v>0</v>
      </c>
      <c r="AS187" s="319">
        <f t="shared" si="61"/>
        <v>0</v>
      </c>
      <c r="AT187" s="319">
        <f t="shared" si="61"/>
        <v>0</v>
      </c>
      <c r="AU187" s="319">
        <f t="shared" si="61"/>
        <v>0</v>
      </c>
      <c r="AV187" s="319"/>
      <c r="AW187" s="319"/>
      <c r="AX187" s="319"/>
      <c r="AY187" s="319"/>
      <c r="AZ187" s="319"/>
      <c r="BA187" s="319">
        <v>44304</v>
      </c>
    </row>
    <row r="188" spans="1:53" ht="13.2" hidden="1">
      <c r="A188" s="12"/>
      <c r="B188" s="1" t="str">
        <f>Language!C311</f>
        <v>Dimens. Tubo</v>
      </c>
      <c r="C188" s="29" t="str">
        <f>E65</f>
        <v>mm</v>
      </c>
      <c r="D188" s="1"/>
      <c r="E188" s="1"/>
      <c r="F188" s="29" t="str">
        <f t="shared" ref="F188:S188" si="62">IF(AH150=0,"-",LOOKUP(AH$159/F$138*(1+$D$186),$L$286:$L$306,$P$286:$P$306))</f>
        <v>N/A</v>
      </c>
      <c r="G188" s="29" t="e">
        <f t="shared" si="62"/>
        <v>#DIV/0!</v>
      </c>
      <c r="H188" s="29" t="e">
        <f t="shared" si="62"/>
        <v>#DIV/0!</v>
      </c>
      <c r="I188" s="29" t="e">
        <f t="shared" si="62"/>
        <v>#DIV/0!</v>
      </c>
      <c r="J188" s="29" t="e">
        <f t="shared" si="62"/>
        <v>#DIV/0!</v>
      </c>
      <c r="K188" s="29" t="e">
        <f t="shared" si="62"/>
        <v>#DIV/0!</v>
      </c>
      <c r="L188" s="29" t="e">
        <f t="shared" si="62"/>
        <v>#DIV/0!</v>
      </c>
      <c r="M188" s="29" t="e">
        <f t="shared" si="62"/>
        <v>#DIV/0!</v>
      </c>
      <c r="N188" s="29" t="e">
        <f t="shared" si="62"/>
        <v>#DIV/0!</v>
      </c>
      <c r="O188" s="29" t="e">
        <f t="shared" si="62"/>
        <v>#DIV/0!</v>
      </c>
      <c r="P188" s="29" t="e">
        <f t="shared" si="62"/>
        <v>#DIV/0!</v>
      </c>
      <c r="Q188" s="29" t="e">
        <f t="shared" si="62"/>
        <v>#DIV/0!</v>
      </c>
      <c r="R188" s="29" t="e">
        <f t="shared" si="62"/>
        <v>#DIV/0!</v>
      </c>
      <c r="S188" s="38" t="e">
        <f t="shared" si="62"/>
        <v>#DIV/0!</v>
      </c>
      <c r="T188" s="1"/>
      <c r="U188" s="319"/>
      <c r="V188" s="319"/>
      <c r="W188" s="319"/>
      <c r="X188" s="319"/>
      <c r="Y188" s="319"/>
      <c r="Z188" s="319"/>
      <c r="AA188" s="319"/>
      <c r="AB188" s="319"/>
      <c r="AC188" s="319"/>
      <c r="AD188" s="319"/>
      <c r="AE188" s="319"/>
      <c r="AF188" s="319"/>
      <c r="AG188" s="319"/>
      <c r="AH188" s="319"/>
      <c r="AI188" s="319"/>
      <c r="AJ188" s="319"/>
      <c r="AK188" s="319"/>
      <c r="AL188" s="319"/>
      <c r="AM188" s="319"/>
      <c r="AN188" s="319"/>
      <c r="AO188" s="319"/>
      <c r="AP188" s="319"/>
      <c r="AQ188" s="319"/>
      <c r="AR188" s="319"/>
      <c r="AS188" s="319"/>
      <c r="AT188" s="319"/>
      <c r="AU188" s="319"/>
      <c r="AV188" s="319"/>
      <c r="AW188" s="319"/>
      <c r="AX188" s="319"/>
      <c r="AY188" s="319"/>
      <c r="AZ188" s="319"/>
      <c r="BA188" s="319">
        <v>42306</v>
      </c>
    </row>
    <row r="189" spans="1:53" ht="13.2" hidden="1">
      <c r="A189" s="12"/>
      <c r="B189" s="28" t="str">
        <f>Language!C364</f>
        <v>Custo rede local distribuição de frio</v>
      </c>
      <c r="C189" s="1"/>
      <c r="D189" s="1"/>
      <c r="E189" s="1"/>
      <c r="F189" s="1"/>
      <c r="G189" s="1"/>
      <c r="H189" s="1"/>
      <c r="I189" s="1"/>
      <c r="J189" s="1"/>
      <c r="K189" s="1"/>
      <c r="L189" s="1"/>
      <c r="M189" s="1"/>
      <c r="N189" s="1"/>
      <c r="O189" s="1"/>
      <c r="P189" s="1"/>
      <c r="Q189" s="1"/>
      <c r="R189" s="1"/>
      <c r="S189" s="9"/>
      <c r="T189" s="1"/>
      <c r="U189" s="319"/>
      <c r="V189" s="319"/>
      <c r="W189" s="319"/>
      <c r="X189" s="319"/>
      <c r="Y189" s="319"/>
      <c r="Z189" s="319"/>
      <c r="AA189" s="319"/>
      <c r="AB189" s="319"/>
      <c r="AC189" s="319"/>
      <c r="AD189" s="319"/>
      <c r="AE189" s="319"/>
      <c r="AF189" s="319"/>
      <c r="AG189" s="319"/>
      <c r="AH189" s="319"/>
      <c r="AI189" s="319"/>
      <c r="AJ189" s="319"/>
      <c r="AK189" s="319"/>
      <c r="AL189" s="319"/>
      <c r="AM189" s="319"/>
      <c r="AN189" s="319"/>
      <c r="AO189" s="319"/>
      <c r="AP189" s="319"/>
      <c r="AQ189" s="319"/>
      <c r="AR189" s="319"/>
      <c r="AS189" s="319"/>
      <c r="AT189" s="319"/>
      <c r="AU189" s="319"/>
      <c r="AV189" s="319"/>
      <c r="AW189" s="319"/>
      <c r="AX189" s="319"/>
      <c r="AY189" s="319"/>
      <c r="AZ189" s="319"/>
      <c r="BA189" s="319">
        <v>44400</v>
      </c>
    </row>
    <row r="190" spans="1:53" ht="13.2" hidden="1">
      <c r="A190" s="12"/>
      <c r="B190" s="1" t="str">
        <f>Language!C320</f>
        <v>Comprimento total de tubos</v>
      </c>
      <c r="C190" s="29" t="str">
        <f>C79</f>
        <v>m</v>
      </c>
      <c r="D190" s="30">
        <f>IF(Unit=TRUE,X190,Z190)</f>
        <v>1</v>
      </c>
      <c r="E190" s="1"/>
      <c r="F190" s="1"/>
      <c r="G190" s="1"/>
      <c r="H190" s="1"/>
      <c r="I190" s="1"/>
      <c r="J190" s="1"/>
      <c r="K190" s="1"/>
      <c r="L190" s="1"/>
      <c r="M190" s="1"/>
      <c r="N190" s="1"/>
      <c r="O190" s="1"/>
      <c r="P190" s="1"/>
      <c r="Q190" s="1"/>
      <c r="R190" s="1"/>
      <c r="S190" s="9"/>
      <c r="T190" s="1"/>
      <c r="U190" s="319"/>
      <c r="V190" s="319"/>
      <c r="W190" s="319" t="s">
        <v>5569</v>
      </c>
      <c r="X190" s="319">
        <f>X184+X187</f>
        <v>1</v>
      </c>
      <c r="Y190" s="319" t="s">
        <v>3368</v>
      </c>
      <c r="Z190" s="319">
        <f>X190/$E$265</f>
        <v>3.2808398950131239</v>
      </c>
      <c r="AA190" s="319"/>
      <c r="AB190" s="319"/>
      <c r="AC190" s="319"/>
      <c r="AD190" s="319"/>
      <c r="AE190" s="319"/>
      <c r="AF190" s="319"/>
      <c r="AG190" s="319"/>
      <c r="AH190" s="319"/>
      <c r="AI190" s="319"/>
      <c r="AJ190" s="319"/>
      <c r="AK190" s="319"/>
      <c r="AL190" s="319"/>
      <c r="AM190" s="319"/>
      <c r="AN190" s="319"/>
      <c r="AO190" s="319"/>
      <c r="AP190" s="319"/>
      <c r="AQ190" s="319"/>
      <c r="AR190" s="319"/>
      <c r="AS190" s="319"/>
      <c r="AT190" s="319"/>
      <c r="AU190" s="319"/>
      <c r="AV190" s="319"/>
      <c r="AW190" s="319"/>
      <c r="AX190" s="319"/>
      <c r="AY190" s="319"/>
      <c r="AZ190" s="319"/>
      <c r="BA190" s="319">
        <v>44402</v>
      </c>
    </row>
    <row r="191" spans="1:53" ht="13.2" hidden="1">
      <c r="A191" s="12"/>
      <c r="B191" s="1" t="str">
        <f>Language!C321</f>
        <v>Método de avaliação de custos</v>
      </c>
      <c r="C191" s="1"/>
      <c r="D191" s="303" t="s">
        <v>6133</v>
      </c>
      <c r="E191" s="1"/>
      <c r="F191" s="1"/>
      <c r="G191" s="1"/>
      <c r="H191" s="1"/>
      <c r="I191" s="1"/>
      <c r="J191" s="1"/>
      <c r="K191" s="1"/>
      <c r="L191" s="1"/>
      <c r="M191" s="1"/>
      <c r="N191" s="1"/>
      <c r="O191" s="1"/>
      <c r="P191" s="1"/>
      <c r="Q191" s="1"/>
      <c r="R191" s="1"/>
      <c r="S191" s="9"/>
      <c r="T191" s="1"/>
      <c r="U191" s="319">
        <f>IF(D191="",1,MATCH(D191,LN_FD,0))+20</f>
        <v>21</v>
      </c>
      <c r="V191" s="319"/>
      <c r="W191" s="319" t="s">
        <v>2824</v>
      </c>
      <c r="X191" s="319"/>
      <c r="Y191" s="319"/>
      <c r="Z191" s="319"/>
      <c r="AA191" s="319"/>
      <c r="AB191" s="319"/>
      <c r="AC191" s="319"/>
      <c r="AD191" s="319"/>
      <c r="AE191" s="319"/>
      <c r="AF191" s="319"/>
      <c r="AG191" s="319"/>
      <c r="AH191" s="319"/>
      <c r="AI191" s="319"/>
      <c r="AJ191" s="319"/>
      <c r="AK191" s="319"/>
      <c r="AL191" s="319"/>
      <c r="AM191" s="319"/>
      <c r="AN191" s="319"/>
      <c r="AO191" s="319"/>
      <c r="AP191" s="319"/>
      <c r="AQ191" s="319"/>
      <c r="AR191" s="319"/>
      <c r="AS191" s="319"/>
      <c r="AT191" s="319"/>
      <c r="AU191" s="319"/>
      <c r="AV191" s="319"/>
      <c r="AW191" s="319"/>
      <c r="AX191" s="319"/>
      <c r="AY191" s="319"/>
      <c r="AZ191" s="319"/>
      <c r="BA191" s="319">
        <v>42404</v>
      </c>
    </row>
    <row r="192" spans="1:53" ht="13.2" hidden="1">
      <c r="A192" s="12"/>
      <c r="B192" s="1" t="str">
        <f>Language!C322</f>
        <v>Tipo de conexão - estação de transferência de energia</v>
      </c>
      <c r="C192" s="1"/>
      <c r="D192" s="303" t="s">
        <v>6134</v>
      </c>
      <c r="E192" s="1"/>
      <c r="F192" s="1"/>
      <c r="G192" s="1"/>
      <c r="H192" s="1"/>
      <c r="I192" s="1"/>
      <c r="J192" s="1"/>
      <c r="K192" s="1"/>
      <c r="L192" s="1"/>
      <c r="M192" s="1"/>
      <c r="N192" s="1"/>
      <c r="O192" s="1"/>
      <c r="P192" s="1"/>
      <c r="Q192" s="1"/>
      <c r="R192" s="1"/>
      <c r="S192" s="9"/>
      <c r="T192" s="1"/>
      <c r="U192" s="319"/>
      <c r="V192" s="319"/>
      <c r="W192" s="319"/>
      <c r="X192" s="319"/>
      <c r="Y192" s="319"/>
      <c r="Z192" s="319"/>
      <c r="AA192" s="319"/>
      <c r="AB192" s="319"/>
      <c r="AC192" s="319"/>
      <c r="AD192" s="319"/>
      <c r="AE192" s="319"/>
      <c r="AF192" s="319"/>
      <c r="AG192" s="319"/>
      <c r="AH192" s="319"/>
      <c r="AI192" s="319"/>
      <c r="AJ192" s="319"/>
      <c r="AK192" s="319"/>
      <c r="AL192" s="319"/>
      <c r="AM192" s="319"/>
      <c r="AN192" s="319"/>
      <c r="AO192" s="319"/>
      <c r="AP192" s="319"/>
      <c r="AQ192" s="319"/>
      <c r="AR192" s="319"/>
      <c r="AS192" s="319"/>
      <c r="AT192" s="319"/>
      <c r="AU192" s="319"/>
      <c r="AV192" s="319"/>
      <c r="AW192" s="319"/>
      <c r="AX192" s="319"/>
      <c r="AY192" s="319"/>
      <c r="AZ192" s="319"/>
      <c r="BA192" s="319">
        <v>44406</v>
      </c>
    </row>
    <row r="193" spans="1:53" ht="13.2" hidden="1">
      <c r="A193" s="12"/>
      <c r="B193" s="1" t="str">
        <f>Language!C323</f>
        <v>Fator de custo - estação transferência de energia</v>
      </c>
      <c r="C193" s="1"/>
      <c r="D193" s="310"/>
      <c r="E193" s="1"/>
      <c r="F193" s="1"/>
      <c r="G193" s="1"/>
      <c r="H193" s="1"/>
      <c r="I193" s="1"/>
      <c r="J193" s="1"/>
      <c r="K193" s="1"/>
      <c r="L193" s="1"/>
      <c r="M193" s="1"/>
      <c r="N193" s="1"/>
      <c r="O193" s="1"/>
      <c r="P193" s="1"/>
      <c r="Q193" s="1"/>
      <c r="R193" s="1"/>
      <c r="S193" s="9"/>
      <c r="T193" s="1"/>
      <c r="U193" s="319"/>
      <c r="V193" s="319"/>
      <c r="W193" s="319"/>
      <c r="X193" s="319"/>
      <c r="Y193" s="319"/>
      <c r="Z193" s="319"/>
      <c r="AA193" s="319"/>
      <c r="AB193" s="319"/>
      <c r="AC193" s="319"/>
      <c r="AD193" s="319"/>
      <c r="AE193" s="319"/>
      <c r="AF193" s="319"/>
      <c r="AG193" s="319"/>
      <c r="AH193" s="319"/>
      <c r="AI193" s="319"/>
      <c r="AJ193" s="319"/>
      <c r="AK193" s="319"/>
      <c r="AL193" s="319"/>
      <c r="AM193" s="319"/>
      <c r="AN193" s="319"/>
      <c r="AO193" s="319"/>
      <c r="AP193" s="319"/>
      <c r="AQ193" s="319"/>
      <c r="AR193" s="319"/>
      <c r="AS193" s="319"/>
      <c r="AT193" s="319"/>
      <c r="AU193" s="319"/>
      <c r="AV193" s="319"/>
      <c r="AW193" s="319"/>
      <c r="AX193" s="319"/>
      <c r="AY193" s="319"/>
      <c r="AZ193" s="319"/>
      <c r="BA193" s="319">
        <v>42408</v>
      </c>
    </row>
    <row r="194" spans="1:53" ht="13.2" hidden="1">
      <c r="A194" s="12"/>
      <c r="B194" s="1" t="str">
        <f>Language!C324</f>
        <v>Fator de custo - tubos linha principal de distribuição</v>
      </c>
      <c r="C194" s="1"/>
      <c r="D194" s="310"/>
      <c r="E194" s="1"/>
      <c r="F194" s="1"/>
      <c r="G194" s="1"/>
      <c r="H194" s="1"/>
      <c r="I194" s="1"/>
      <c r="J194" s="1"/>
      <c r="K194" s="1"/>
      <c r="L194" s="1"/>
      <c r="M194" s="1"/>
      <c r="N194" s="1"/>
      <c r="O194" s="1"/>
      <c r="P194" s="1"/>
      <c r="Q194" s="1"/>
      <c r="R194" s="1"/>
      <c r="S194" s="9"/>
      <c r="T194" s="1"/>
      <c r="U194" s="319"/>
      <c r="V194" s="319"/>
      <c r="W194" s="319"/>
      <c r="X194" s="319"/>
      <c r="Y194" s="319"/>
      <c r="Z194" s="319"/>
      <c r="AA194" s="319"/>
      <c r="AB194" s="319"/>
      <c r="AC194" s="319"/>
      <c r="AD194" s="319"/>
      <c r="AE194" s="319"/>
      <c r="AF194" s="319"/>
      <c r="AG194" s="319"/>
      <c r="AH194" s="319"/>
      <c r="AI194" s="319"/>
      <c r="AJ194" s="319"/>
      <c r="AK194" s="319"/>
      <c r="AL194" s="319"/>
      <c r="AM194" s="319"/>
      <c r="AN194" s="319"/>
      <c r="AO194" s="319"/>
      <c r="AP194" s="319"/>
      <c r="AQ194" s="319"/>
      <c r="AR194" s="319"/>
      <c r="AS194" s="319"/>
      <c r="AT194" s="319"/>
      <c r="AU194" s="319"/>
      <c r="AV194" s="319"/>
      <c r="AW194" s="319"/>
      <c r="AX194" s="319"/>
      <c r="AY194" s="319"/>
      <c r="AZ194" s="319"/>
      <c r="BA194" s="319">
        <v>42410</v>
      </c>
    </row>
    <row r="195" spans="1:53" ht="13.2" hidden="1">
      <c r="A195" s="12"/>
      <c r="B195" s="1" t="str">
        <f>Language!C325</f>
        <v>Fator de custo - tubos linha secundária de distribuição</v>
      </c>
      <c r="C195" s="1"/>
      <c r="D195" s="310"/>
      <c r="E195" s="1"/>
      <c r="F195" s="1"/>
      <c r="G195" s="1"/>
      <c r="H195" s="1"/>
      <c r="I195" s="1"/>
      <c r="J195" s="1"/>
      <c r="K195" s="1"/>
      <c r="L195" s="1"/>
      <c r="M195" s="1"/>
      <c r="N195" s="1"/>
      <c r="O195" s="1"/>
      <c r="P195" s="1"/>
      <c r="Q195" s="1"/>
      <c r="R195" s="1"/>
      <c r="S195" s="9"/>
      <c r="T195" s="1"/>
      <c r="U195" s="319"/>
      <c r="V195" s="319"/>
      <c r="W195" s="319"/>
      <c r="X195" s="319"/>
      <c r="Y195" s="319"/>
      <c r="Z195" s="319"/>
      <c r="AA195" s="319"/>
      <c r="AB195" s="319"/>
      <c r="AC195" s="319"/>
      <c r="AD195" s="319"/>
      <c r="AE195" s="319"/>
      <c r="AF195" s="319"/>
      <c r="AG195" s="319"/>
      <c r="AH195" s="319"/>
      <c r="AI195" s="319"/>
      <c r="AJ195" s="319"/>
      <c r="AK195" s="319"/>
      <c r="AL195" s="319"/>
      <c r="AM195" s="319"/>
      <c r="AN195" s="319"/>
      <c r="AO195" s="319"/>
      <c r="AP195" s="319"/>
      <c r="AQ195" s="319"/>
      <c r="AR195" s="319"/>
      <c r="AS195" s="319"/>
      <c r="AT195" s="319"/>
      <c r="AU195" s="319"/>
      <c r="AV195" s="319"/>
      <c r="AW195" s="319"/>
      <c r="AX195" s="319"/>
      <c r="AY195" s="319"/>
      <c r="AZ195" s="319"/>
      <c r="BA195" s="319">
        <v>42412</v>
      </c>
    </row>
    <row r="196" spans="1:53" ht="12.75" hidden="1" customHeight="1" thickBot="1">
      <c r="A196" s="12"/>
      <c r="B196" s="1" t="str">
        <f>Language!C326</f>
        <v>Taxa de câmbio</v>
      </c>
      <c r="C196" s="29" t="str">
        <f>C91</f>
        <v>€/CAD</v>
      </c>
      <c r="D196" s="310"/>
      <c r="E196" s="1"/>
      <c r="F196" s="1"/>
      <c r="G196" s="1"/>
      <c r="H196" s="1"/>
      <c r="I196" s="1"/>
      <c r="J196" s="1"/>
      <c r="K196" s="1"/>
      <c r="L196" s="1"/>
      <c r="M196" s="1"/>
      <c r="N196" s="1"/>
      <c r="O196" s="1"/>
      <c r="P196" s="1"/>
      <c r="Q196" s="1"/>
      <c r="R196" s="1"/>
      <c r="S196" s="9"/>
      <c r="T196" s="1"/>
      <c r="U196" s="319"/>
      <c r="V196" s="319"/>
      <c r="W196" s="319"/>
      <c r="X196" s="319"/>
      <c r="Y196" s="319"/>
      <c r="Z196" s="319"/>
      <c r="AA196" s="319"/>
      <c r="AB196" s="319"/>
      <c r="AC196" s="319"/>
      <c r="AD196" s="319"/>
      <c r="AE196" s="319"/>
      <c r="AF196" s="319"/>
      <c r="AG196" s="319"/>
      <c r="AH196" s="319"/>
      <c r="AI196" s="319"/>
      <c r="AJ196" s="319"/>
      <c r="AK196" s="319"/>
      <c r="AL196" s="319"/>
      <c r="AM196" s="319"/>
      <c r="AN196" s="319"/>
      <c r="AO196" s="319"/>
      <c r="AP196" s="319"/>
      <c r="AQ196" s="319"/>
      <c r="AR196" s="319"/>
      <c r="AS196" s="319"/>
      <c r="AT196" s="319"/>
      <c r="AU196" s="319"/>
      <c r="AV196" s="319"/>
      <c r="AW196" s="319"/>
      <c r="AX196" s="319"/>
      <c r="AY196" s="319"/>
      <c r="AZ196" s="319"/>
      <c r="BA196" s="319">
        <v>42414</v>
      </c>
    </row>
    <row r="197" spans="1:53" ht="13.2" hidden="1">
      <c r="A197" s="12"/>
      <c r="B197" s="1"/>
      <c r="C197" s="1"/>
      <c r="D197" s="1"/>
      <c r="E197" s="1"/>
      <c r="F197" s="134" t="str">
        <f>Language!C327</f>
        <v>Custos das redes de distribuição secundárias e ETEn por condomínio</v>
      </c>
      <c r="G197" s="1"/>
      <c r="H197" s="1"/>
      <c r="I197" s="1"/>
      <c r="J197" s="1"/>
      <c r="K197" s="1"/>
      <c r="L197" s="1"/>
      <c r="M197" s="1"/>
      <c r="N197" s="1"/>
      <c r="O197" s="1"/>
      <c r="P197" s="1"/>
      <c r="Q197" s="1"/>
      <c r="R197" s="1"/>
      <c r="S197" s="9"/>
      <c r="T197" s="1"/>
      <c r="U197" s="319"/>
      <c r="V197" s="319"/>
      <c r="W197" s="319"/>
      <c r="X197" s="319"/>
      <c r="Y197" s="319"/>
      <c r="Z197" s="319"/>
      <c r="AA197" s="319"/>
      <c r="AB197" s="319"/>
      <c r="AC197" s="319"/>
      <c r="AD197" s="319"/>
      <c r="AE197" s="319"/>
      <c r="AF197" s="319"/>
      <c r="AG197" s="319"/>
      <c r="AH197" s="319"/>
      <c r="AI197" s="319"/>
      <c r="AJ197" s="319"/>
      <c r="AK197" s="319"/>
      <c r="AL197" s="319"/>
      <c r="AM197" s="319"/>
      <c r="AN197" s="319"/>
      <c r="AO197" s="319"/>
      <c r="AP197" s="319"/>
      <c r="AQ197" s="319"/>
      <c r="AR197" s="319"/>
      <c r="AS197" s="319"/>
      <c r="AT197" s="319"/>
      <c r="AU197" s="319"/>
      <c r="AV197" s="319"/>
      <c r="AW197" s="319"/>
      <c r="AX197" s="319"/>
      <c r="AY197" s="319"/>
      <c r="AZ197" s="319"/>
      <c r="BA197" s="319">
        <v>44400</v>
      </c>
    </row>
    <row r="198" spans="1:53" ht="13.2" hidden="1">
      <c r="A198" s="12"/>
      <c r="B198" s="1" t="str">
        <f>Language!C328</f>
        <v>Custo - estaçao(ões) transfer. de energia</v>
      </c>
      <c r="C198" s="1"/>
      <c r="D198" s="1358">
        <f>SUM(F198:S198)</f>
        <v>0</v>
      </c>
      <c r="E198" s="1358"/>
      <c r="F198" s="1358">
        <f t="shared" ref="F198:S198" si="63">IF(AH$159=0,0,IF(AH$159/F$138&gt;$M$314,$L$314*AH$159/F$138,IF(AH$159/F$138&lt;$M$311,$L$311*AH$159/F$138,($L$312*LN(AH$159/F$138)+$L$313)*(AH$159/F$138)))*$N$276*$D$193*F$138*$D$196)</f>
        <v>0</v>
      </c>
      <c r="G198" s="1358">
        <f t="shared" si="63"/>
        <v>0</v>
      </c>
      <c r="H198" s="1358">
        <f t="shared" si="63"/>
        <v>0</v>
      </c>
      <c r="I198" s="1358">
        <f t="shared" si="63"/>
        <v>0</v>
      </c>
      <c r="J198" s="1358">
        <f t="shared" si="63"/>
        <v>0</v>
      </c>
      <c r="K198" s="1358">
        <f t="shared" si="63"/>
        <v>0</v>
      </c>
      <c r="L198" s="1358">
        <f t="shared" si="63"/>
        <v>0</v>
      </c>
      <c r="M198" s="1358">
        <f t="shared" si="63"/>
        <v>0</v>
      </c>
      <c r="N198" s="1358">
        <f t="shared" si="63"/>
        <v>0</v>
      </c>
      <c r="O198" s="1358">
        <f t="shared" si="63"/>
        <v>0</v>
      </c>
      <c r="P198" s="1358">
        <f t="shared" si="63"/>
        <v>0</v>
      </c>
      <c r="Q198" s="1358">
        <f t="shared" si="63"/>
        <v>0</v>
      </c>
      <c r="R198" s="1358">
        <f t="shared" si="63"/>
        <v>0</v>
      </c>
      <c r="S198" s="1370">
        <f t="shared" si="63"/>
        <v>0</v>
      </c>
      <c r="T198" s="1"/>
      <c r="U198" s="319"/>
      <c r="V198" s="319"/>
      <c r="W198" s="319"/>
      <c r="X198" s="319"/>
      <c r="Y198" s="319"/>
      <c r="Z198" s="319"/>
      <c r="AA198" s="319"/>
      <c r="AB198" s="319"/>
      <c r="AC198" s="319"/>
      <c r="AD198" s="319"/>
      <c r="AE198" s="319"/>
      <c r="AF198" s="319"/>
      <c r="AG198" s="319"/>
      <c r="AH198" s="319"/>
      <c r="AI198" s="319"/>
      <c r="AJ198" s="319"/>
      <c r="AK198" s="319"/>
      <c r="AL198" s="319"/>
      <c r="AM198" s="319"/>
      <c r="AN198" s="319"/>
      <c r="AO198" s="319"/>
      <c r="AP198" s="319"/>
      <c r="AQ198" s="319"/>
      <c r="AR198" s="319"/>
      <c r="AS198" s="319"/>
      <c r="AT198" s="319"/>
      <c r="AU198" s="319"/>
      <c r="AV198" s="319"/>
      <c r="AW198" s="319"/>
      <c r="AX198" s="319"/>
      <c r="AY198" s="319"/>
      <c r="AZ198" s="319"/>
      <c r="BA198" s="319">
        <v>44416</v>
      </c>
    </row>
    <row r="199" spans="1:53" ht="13.2" hidden="1">
      <c r="A199" s="12"/>
      <c r="B199" s="1" t="str">
        <f>B198</f>
        <v>Custo - estaçao(ões) transfer. de energia</v>
      </c>
      <c r="C199" s="1"/>
      <c r="D199" s="1358">
        <f>SUMIF(AH137:AU137,"&gt;0",F199:S199)</f>
        <v>0</v>
      </c>
      <c r="E199" s="1358"/>
      <c r="F199" s="1346"/>
      <c r="G199" s="1346">
        <v>6001</v>
      </c>
      <c r="H199" s="1346">
        <v>6002</v>
      </c>
      <c r="I199" s="1346">
        <v>6003</v>
      </c>
      <c r="J199" s="1379">
        <v>6004</v>
      </c>
      <c r="K199" s="1379">
        <v>6005</v>
      </c>
      <c r="L199" s="1379">
        <v>6006</v>
      </c>
      <c r="M199" s="1379">
        <v>6007</v>
      </c>
      <c r="N199" s="1379">
        <v>6008</v>
      </c>
      <c r="O199" s="1379">
        <v>6009</v>
      </c>
      <c r="P199" s="1379">
        <v>6010</v>
      </c>
      <c r="Q199" s="1379">
        <v>6011</v>
      </c>
      <c r="R199" s="1379">
        <v>6012</v>
      </c>
      <c r="S199" s="1380">
        <v>6013</v>
      </c>
      <c r="T199" s="12"/>
      <c r="U199" s="319"/>
      <c r="V199" s="319"/>
      <c r="W199" s="319"/>
      <c r="X199" s="319"/>
      <c r="Y199" s="319"/>
      <c r="Z199" s="319"/>
      <c r="AA199" s="319"/>
      <c r="AB199" s="319"/>
      <c r="AC199" s="319"/>
      <c r="AD199" s="319"/>
      <c r="AE199" s="319"/>
      <c r="AF199" s="319"/>
      <c r="AG199" s="319"/>
      <c r="AH199" s="319"/>
      <c r="AI199" s="319"/>
      <c r="AJ199" s="319"/>
      <c r="AK199" s="319"/>
      <c r="AL199" s="319"/>
      <c r="AM199" s="319"/>
      <c r="AN199" s="319"/>
      <c r="AO199" s="319"/>
      <c r="AP199" s="319"/>
      <c r="AQ199" s="319"/>
      <c r="AR199" s="319"/>
      <c r="AS199" s="319"/>
      <c r="AT199" s="319"/>
      <c r="AU199" s="319"/>
      <c r="AV199" s="319"/>
      <c r="AW199" s="319"/>
      <c r="AX199" s="319"/>
      <c r="AY199" s="319"/>
      <c r="AZ199" s="319"/>
      <c r="BA199" s="319">
        <v>44416</v>
      </c>
    </row>
    <row r="200" spans="1:53" ht="13.2" hidden="1">
      <c r="A200" s="12"/>
      <c r="B200" s="1" t="str">
        <f>Language!C329</f>
        <v>Custo - Tubo linha secundária distribuição</v>
      </c>
      <c r="C200" s="1"/>
      <c r="D200" s="1358">
        <f>SUM(F200:S200)</f>
        <v>0</v>
      </c>
      <c r="E200" s="1358"/>
      <c r="F200" s="1358" t="str">
        <f t="shared" ref="F200:S200" si="64">IF(AH$159=0,"-",(LOOKUP(AH$159*(1+$D$186),$L$286:$L$293,$O$286:$O$293)*AH$187*$D$195*$D$196))</f>
        <v>-</v>
      </c>
      <c r="G200" s="1358" t="str">
        <f t="shared" si="64"/>
        <v>-</v>
      </c>
      <c r="H200" s="1358" t="str">
        <f t="shared" si="64"/>
        <v>-</v>
      </c>
      <c r="I200" s="1358" t="str">
        <f t="shared" si="64"/>
        <v>-</v>
      </c>
      <c r="J200" s="1358" t="str">
        <f t="shared" si="64"/>
        <v>-</v>
      </c>
      <c r="K200" s="1358" t="str">
        <f t="shared" si="64"/>
        <v>-</v>
      </c>
      <c r="L200" s="1358" t="str">
        <f t="shared" si="64"/>
        <v>-</v>
      </c>
      <c r="M200" s="1358" t="str">
        <f t="shared" si="64"/>
        <v>-</v>
      </c>
      <c r="N200" s="1358" t="str">
        <f t="shared" si="64"/>
        <v>-</v>
      </c>
      <c r="O200" s="1358" t="str">
        <f t="shared" si="64"/>
        <v>-</v>
      </c>
      <c r="P200" s="1358" t="str">
        <f t="shared" si="64"/>
        <v>-</v>
      </c>
      <c r="Q200" s="1358" t="str">
        <f t="shared" si="64"/>
        <v>-</v>
      </c>
      <c r="R200" s="1358" t="str">
        <f t="shared" si="64"/>
        <v>-</v>
      </c>
      <c r="S200" s="1370" t="str">
        <f t="shared" si="64"/>
        <v>-</v>
      </c>
      <c r="T200" s="12"/>
      <c r="U200" s="319"/>
      <c r="V200" s="319"/>
      <c r="W200" s="319"/>
      <c r="X200" s="319"/>
      <c r="Y200" s="319"/>
      <c r="Z200" s="319"/>
      <c r="AA200" s="319"/>
      <c r="AB200" s="319"/>
      <c r="AC200" s="319"/>
      <c r="AD200" s="319"/>
      <c r="AE200" s="319"/>
      <c r="AF200" s="319"/>
      <c r="AG200" s="319"/>
      <c r="AH200" s="319"/>
      <c r="AI200" s="319"/>
      <c r="AJ200" s="319"/>
      <c r="AK200" s="319"/>
      <c r="AL200" s="319"/>
      <c r="AM200" s="319"/>
      <c r="AN200" s="319"/>
      <c r="AO200" s="319"/>
      <c r="AP200" s="319"/>
      <c r="AQ200" s="319"/>
      <c r="AR200" s="319"/>
      <c r="AS200" s="319"/>
      <c r="AT200" s="319"/>
      <c r="AU200" s="319"/>
      <c r="AV200" s="319"/>
      <c r="AW200" s="319"/>
      <c r="AX200" s="319"/>
      <c r="AY200" s="319"/>
      <c r="AZ200" s="319"/>
      <c r="BA200" s="319">
        <v>44418</v>
      </c>
    </row>
    <row r="201" spans="1:53" ht="13.2" hidden="1">
      <c r="A201" s="12"/>
      <c r="B201" s="1" t="str">
        <f>Language!C329</f>
        <v>Custo - Tubo linha secundária distribuição</v>
      </c>
      <c r="C201" s="1"/>
      <c r="D201" s="1358">
        <f>SUMIF(AH137:AU137,"&gt;0",F201:S201)</f>
        <v>0</v>
      </c>
      <c r="E201" s="1358"/>
      <c r="F201" s="1346"/>
      <c r="G201" s="1346">
        <v>15001</v>
      </c>
      <c r="H201" s="1346">
        <v>15002</v>
      </c>
      <c r="I201" s="1346">
        <v>15003</v>
      </c>
      <c r="J201" s="1379">
        <v>15004</v>
      </c>
      <c r="K201" s="1379">
        <v>15005</v>
      </c>
      <c r="L201" s="1379">
        <v>15006</v>
      </c>
      <c r="M201" s="1379">
        <v>15007</v>
      </c>
      <c r="N201" s="1379">
        <v>15008</v>
      </c>
      <c r="O201" s="1379">
        <v>15009</v>
      </c>
      <c r="P201" s="1379">
        <v>15010</v>
      </c>
      <c r="Q201" s="1379">
        <v>15011</v>
      </c>
      <c r="R201" s="1379">
        <v>15012</v>
      </c>
      <c r="S201" s="1380">
        <v>15013</v>
      </c>
      <c r="T201" s="12"/>
      <c r="U201" s="319"/>
      <c r="V201" s="319"/>
      <c r="W201" s="319"/>
      <c r="X201" s="319"/>
      <c r="Y201" s="319"/>
      <c r="Z201" s="319"/>
      <c r="AA201" s="319"/>
      <c r="AB201" s="319"/>
      <c r="AC201" s="319"/>
      <c r="AD201" s="319"/>
      <c r="AE201" s="319"/>
      <c r="AF201" s="319"/>
      <c r="AG201" s="319"/>
      <c r="AH201" s="319"/>
      <c r="AI201" s="319"/>
      <c r="AJ201" s="319"/>
      <c r="AK201" s="319"/>
      <c r="AL201" s="319"/>
      <c r="AM201" s="319"/>
      <c r="AN201" s="319"/>
      <c r="AO201" s="319"/>
      <c r="AP201" s="319"/>
      <c r="AQ201" s="319"/>
      <c r="AR201" s="319"/>
      <c r="AS201" s="319"/>
      <c r="AT201" s="319"/>
      <c r="AU201" s="319"/>
      <c r="AV201" s="319"/>
      <c r="AW201" s="319"/>
      <c r="AX201" s="319"/>
      <c r="AY201" s="319"/>
      <c r="AZ201" s="319"/>
      <c r="BA201" s="319">
        <v>44418</v>
      </c>
    </row>
    <row r="202" spans="1:53" ht="13.2" hidden="1">
      <c r="A202" s="12"/>
      <c r="B202" s="46" t="str">
        <f>Language!C330</f>
        <v>Custo Total - conexão do condomínio</v>
      </c>
      <c r="C202" s="46"/>
      <c r="D202" s="1381">
        <f>IF($D$191=$G$265,D201+D199,D198+D200)</f>
        <v>0</v>
      </c>
      <c r="E202" s="1358"/>
      <c r="F202" s="1360" t="e">
        <f t="shared" ref="F202:S202" si="65">IF($D$191=$G$265,IF(AH137&gt;0,F199+F201,"-"),IF(AH137&gt;0,F198+F200,"-"))</f>
        <v>#VALUE!</v>
      </c>
      <c r="G202" s="1360" t="str">
        <f t="shared" si="65"/>
        <v>-</v>
      </c>
      <c r="H202" s="1360" t="str">
        <f t="shared" si="65"/>
        <v>-</v>
      </c>
      <c r="I202" s="1360" t="str">
        <f t="shared" si="65"/>
        <v>-</v>
      </c>
      <c r="J202" s="1360" t="str">
        <f t="shared" si="65"/>
        <v>-</v>
      </c>
      <c r="K202" s="1360" t="str">
        <f t="shared" si="65"/>
        <v>-</v>
      </c>
      <c r="L202" s="1360" t="str">
        <f t="shared" si="65"/>
        <v>-</v>
      </c>
      <c r="M202" s="1360" t="str">
        <f t="shared" si="65"/>
        <v>-</v>
      </c>
      <c r="N202" s="1360" t="str">
        <f t="shared" si="65"/>
        <v>-</v>
      </c>
      <c r="O202" s="1360" t="str">
        <f t="shared" si="65"/>
        <v>-</v>
      </c>
      <c r="P202" s="1360" t="str">
        <f t="shared" si="65"/>
        <v>-</v>
      </c>
      <c r="Q202" s="1360" t="str">
        <f t="shared" si="65"/>
        <v>-</v>
      </c>
      <c r="R202" s="1360" t="str">
        <f t="shared" si="65"/>
        <v>-</v>
      </c>
      <c r="S202" s="1374" t="str">
        <f t="shared" si="65"/>
        <v>-</v>
      </c>
      <c r="T202" s="12"/>
      <c r="U202" s="319"/>
      <c r="V202" s="319"/>
      <c r="W202" s="319"/>
      <c r="X202" s="319"/>
      <c r="Y202" s="319"/>
      <c r="Z202" s="319"/>
      <c r="AA202" s="319"/>
      <c r="AB202" s="319"/>
      <c r="AC202" s="319"/>
      <c r="AD202" s="319"/>
      <c r="AE202" s="319"/>
      <c r="AF202" s="319"/>
      <c r="AG202" s="319"/>
      <c r="AH202" s="319"/>
      <c r="AI202" s="319"/>
      <c r="AJ202" s="319"/>
      <c r="AK202" s="319"/>
      <c r="AL202" s="319"/>
      <c r="AM202" s="319"/>
      <c r="AN202" s="319"/>
      <c r="AO202" s="319"/>
      <c r="AP202" s="319"/>
      <c r="AQ202" s="319"/>
      <c r="AR202" s="319"/>
      <c r="AS202" s="319"/>
      <c r="AT202" s="319"/>
      <c r="AU202" s="319"/>
      <c r="AV202" s="319"/>
      <c r="AW202" s="319"/>
      <c r="AX202" s="319"/>
      <c r="AY202" s="319"/>
      <c r="AZ202" s="319"/>
      <c r="BA202" s="319">
        <v>42420</v>
      </c>
    </row>
    <row r="203" spans="1:53" ht="13.2" hidden="1">
      <c r="A203" s="12"/>
      <c r="B203" s="1" t="str">
        <f>Language!C330</f>
        <v>Custo Total - conexão do condomínio</v>
      </c>
      <c r="C203" s="1"/>
      <c r="D203" s="1358">
        <f>D201+D199</f>
        <v>0</v>
      </c>
      <c r="E203" s="1358"/>
      <c r="F203" s="1360">
        <f>IF(AH$137=0,"",F199+F201)</f>
        <v>0</v>
      </c>
      <c r="G203" s="1360" t="str">
        <f>IF(AI$137=0,"",G199+G201)</f>
        <v/>
      </c>
      <c r="H203" s="1360" t="str">
        <f t="shared" ref="H203:S203" si="66">IF(AJ$137=0,"",H199+H201)</f>
        <v/>
      </c>
      <c r="I203" s="1360" t="str">
        <f t="shared" si="66"/>
        <v/>
      </c>
      <c r="J203" s="1360" t="str">
        <f t="shared" si="66"/>
        <v/>
      </c>
      <c r="K203" s="1360" t="str">
        <f t="shared" si="66"/>
        <v/>
      </c>
      <c r="L203" s="1360" t="str">
        <f t="shared" si="66"/>
        <v/>
      </c>
      <c r="M203" s="1360" t="str">
        <f t="shared" si="66"/>
        <v/>
      </c>
      <c r="N203" s="1360" t="str">
        <f t="shared" si="66"/>
        <v/>
      </c>
      <c r="O203" s="1360" t="str">
        <f t="shared" si="66"/>
        <v/>
      </c>
      <c r="P203" s="1360" t="str">
        <f t="shared" si="66"/>
        <v/>
      </c>
      <c r="Q203" s="1360" t="str">
        <f t="shared" si="66"/>
        <v/>
      </c>
      <c r="R203" s="1360" t="str">
        <f t="shared" si="66"/>
        <v/>
      </c>
      <c r="S203" s="1374" t="str">
        <f t="shared" si="66"/>
        <v/>
      </c>
      <c r="T203" s="12"/>
      <c r="U203" s="319"/>
      <c r="V203" s="319"/>
      <c r="W203" s="319"/>
      <c r="X203" s="319"/>
      <c r="Y203" s="319"/>
      <c r="Z203" s="319"/>
      <c r="AA203" s="319"/>
      <c r="AB203" s="319"/>
      <c r="AC203" s="319"/>
      <c r="AD203" s="319"/>
      <c r="AE203" s="319"/>
      <c r="AF203" s="319"/>
      <c r="AG203" s="319"/>
      <c r="AH203" s="319"/>
      <c r="AI203" s="319"/>
      <c r="AJ203" s="319"/>
      <c r="AK203" s="319"/>
      <c r="AL203" s="319"/>
      <c r="AM203" s="319"/>
      <c r="AN203" s="319"/>
      <c r="AO203" s="319"/>
      <c r="AP203" s="319"/>
      <c r="AQ203" s="319"/>
      <c r="AR203" s="319"/>
      <c r="AS203" s="319"/>
      <c r="AT203" s="319"/>
      <c r="AU203" s="319"/>
      <c r="AV203" s="319"/>
      <c r="AW203" s="319"/>
      <c r="AX203" s="319"/>
      <c r="AY203" s="319"/>
      <c r="AZ203" s="319"/>
      <c r="BA203" s="319">
        <v>42420</v>
      </c>
    </row>
    <row r="204" spans="1:53" ht="13.8" hidden="1" thickBot="1">
      <c r="A204" s="12"/>
      <c r="B204" s="1"/>
      <c r="C204" s="1"/>
      <c r="D204" s="1"/>
      <c r="E204" s="1"/>
      <c r="F204" s="1"/>
      <c r="G204" s="1"/>
      <c r="H204" s="1"/>
      <c r="I204" s="1"/>
      <c r="J204" s="1"/>
      <c r="K204" s="1"/>
      <c r="L204" s="1"/>
      <c r="M204" s="1"/>
      <c r="N204" s="1"/>
      <c r="O204" s="1"/>
      <c r="P204" s="1"/>
      <c r="Q204" s="1"/>
      <c r="R204" s="1"/>
      <c r="S204" s="9"/>
      <c r="T204" s="1"/>
      <c r="U204" s="319"/>
      <c r="V204" s="319"/>
      <c r="W204" s="319"/>
      <c r="X204" s="319"/>
      <c r="Y204" s="319"/>
      <c r="Z204" s="319"/>
      <c r="AA204" s="319"/>
      <c r="AB204" s="319"/>
      <c r="AC204" s="319"/>
      <c r="AD204" s="319"/>
      <c r="AE204" s="319"/>
      <c r="AF204" s="319"/>
      <c r="AG204" s="319"/>
      <c r="AH204" s="319"/>
      <c r="AI204" s="319"/>
      <c r="AJ204" s="319"/>
      <c r="AK204" s="319"/>
      <c r="AL204" s="319"/>
      <c r="AM204" s="319"/>
      <c r="AN204" s="319"/>
      <c r="AO204" s="319"/>
      <c r="AP204" s="319"/>
      <c r="AQ204" s="319"/>
      <c r="AR204" s="319"/>
      <c r="AS204" s="319"/>
      <c r="AT204" s="319"/>
      <c r="AU204" s="319"/>
      <c r="AV204" s="319"/>
      <c r="AW204" s="319"/>
      <c r="AX204" s="319"/>
      <c r="AY204" s="319"/>
      <c r="AZ204" s="319"/>
      <c r="BA204" s="319">
        <v>44400</v>
      </c>
    </row>
    <row r="205" spans="1:53" ht="13.8" hidden="1" thickTop="1">
      <c r="A205" s="12"/>
      <c r="B205" s="1"/>
      <c r="C205" s="1"/>
      <c r="D205" s="1"/>
      <c r="E205" s="1"/>
      <c r="F205" s="433" t="str">
        <f>Language!C335</f>
        <v>Custo - tubos da linha principal de distribuiçao por categoria de dimensão</v>
      </c>
      <c r="G205" s="47"/>
      <c r="H205" s="47"/>
      <c r="I205" s="47"/>
      <c r="J205" s="47"/>
      <c r="K205" s="47"/>
      <c r="L205" s="47"/>
      <c r="M205" s="47"/>
      <c r="N205" s="47"/>
      <c r="O205" s="47"/>
      <c r="P205" s="47"/>
      <c r="Q205" s="47"/>
      <c r="R205" s="47"/>
      <c r="S205" s="44"/>
      <c r="T205" s="1"/>
      <c r="U205" s="319"/>
      <c r="V205" s="319"/>
      <c r="W205" s="319"/>
      <c r="X205" s="319"/>
      <c r="Y205" s="319"/>
      <c r="Z205" s="319"/>
      <c r="AA205" s="319"/>
      <c r="AB205" s="319"/>
      <c r="AC205" s="319"/>
      <c r="AD205" s="319"/>
      <c r="AE205" s="319"/>
      <c r="AF205" s="319"/>
      <c r="AG205" s="319"/>
      <c r="AH205" s="319"/>
      <c r="AI205" s="319"/>
      <c r="AJ205" s="319"/>
      <c r="AK205" s="319"/>
      <c r="AL205" s="319"/>
      <c r="AM205" s="319"/>
      <c r="AN205" s="319"/>
      <c r="AO205" s="319"/>
      <c r="AP205" s="319"/>
      <c r="AQ205" s="319"/>
      <c r="AR205" s="319"/>
      <c r="AS205" s="319"/>
      <c r="AT205" s="319"/>
      <c r="AU205" s="319"/>
      <c r="AV205" s="319"/>
      <c r="AW205" s="319"/>
      <c r="AX205" s="319"/>
      <c r="AY205" s="319"/>
      <c r="AZ205" s="319"/>
      <c r="BA205" s="319">
        <v>44400</v>
      </c>
    </row>
    <row r="206" spans="1:53" ht="13.2" hidden="1">
      <c r="A206" s="12"/>
      <c r="B206" s="1" t="str">
        <f>Language!C331</f>
        <v>Sumário das dimensões dos tubos da linha de distribuição principal</v>
      </c>
      <c r="C206" s="29" t="str">
        <f>E65</f>
        <v>mm</v>
      </c>
      <c r="D206" s="1"/>
      <c r="E206" s="1"/>
      <c r="F206" s="200" t="s">
        <v>4297</v>
      </c>
      <c r="G206" s="128" t="s">
        <v>4575</v>
      </c>
      <c r="H206" s="128" t="s">
        <v>4576</v>
      </c>
      <c r="I206" s="128" t="s">
        <v>5450</v>
      </c>
      <c r="J206" s="128" t="s">
        <v>1691</v>
      </c>
      <c r="K206" s="128" t="s">
        <v>5959</v>
      </c>
      <c r="L206" s="128" t="s">
        <v>1019</v>
      </c>
      <c r="M206" s="128" t="s">
        <v>2639</v>
      </c>
      <c r="N206" s="128" t="s">
        <v>3585</v>
      </c>
      <c r="O206" s="128" t="s">
        <v>1962</v>
      </c>
      <c r="P206" s="128" t="s">
        <v>473</v>
      </c>
      <c r="Q206" s="128" t="s">
        <v>3112</v>
      </c>
      <c r="R206" s="128" t="s">
        <v>2640</v>
      </c>
      <c r="S206" s="129" t="s">
        <v>849</v>
      </c>
      <c r="T206" s="1"/>
      <c r="U206" s="319"/>
      <c r="V206" s="319"/>
      <c r="W206" s="319"/>
      <c r="X206" s="319"/>
      <c r="Y206" s="319"/>
      <c r="Z206" s="319"/>
      <c r="AA206" s="319"/>
      <c r="AB206" s="319"/>
      <c r="AC206" s="319"/>
      <c r="AD206" s="319"/>
      <c r="AE206" s="319"/>
      <c r="AF206" s="319"/>
      <c r="AG206" s="319"/>
      <c r="AH206" s="319"/>
      <c r="AI206" s="319"/>
      <c r="AJ206" s="319"/>
      <c r="AK206" s="319"/>
      <c r="AL206" s="319"/>
      <c r="AM206" s="319"/>
      <c r="AN206" s="319"/>
      <c r="AO206" s="319"/>
      <c r="AP206" s="319"/>
      <c r="AQ206" s="319"/>
      <c r="AR206" s="319"/>
      <c r="AS206" s="319"/>
      <c r="AT206" s="319"/>
      <c r="AU206" s="319"/>
      <c r="AV206" s="319"/>
      <c r="AW206" s="319"/>
      <c r="AX206" s="319"/>
      <c r="AY206" s="319"/>
      <c r="AZ206" s="319"/>
      <c r="BA206" s="319">
        <v>42422</v>
      </c>
    </row>
    <row r="207" spans="1:53" ht="13.2" hidden="1">
      <c r="A207" s="12"/>
      <c r="B207" s="1" t="str">
        <f>Language!C332</f>
        <v>Sumário - comprimento dos tubos da linha de distribuição principal</v>
      </c>
      <c r="C207" s="29" t="str">
        <f>C79</f>
        <v>m</v>
      </c>
      <c r="D207" s="1"/>
      <c r="E207" s="1"/>
      <c r="F207" s="432" t="str">
        <f t="shared" ref="F207:S207" si="67">IF(AH207="-","-",IF(Unit=TRUE,AH207,AH207/$E$265))</f>
        <v>-</v>
      </c>
      <c r="G207" s="86" t="str">
        <f t="shared" si="67"/>
        <v>-</v>
      </c>
      <c r="H207" s="86" t="str">
        <f t="shared" si="67"/>
        <v>-</v>
      </c>
      <c r="I207" s="86" t="str">
        <f t="shared" si="67"/>
        <v>-</v>
      </c>
      <c r="J207" s="86" t="str">
        <f t="shared" si="67"/>
        <v>-</v>
      </c>
      <c r="K207" s="86" t="str">
        <f t="shared" si="67"/>
        <v>-</v>
      </c>
      <c r="L207" s="86" t="str">
        <f t="shared" si="67"/>
        <v>-</v>
      </c>
      <c r="M207" s="86" t="str">
        <f t="shared" si="67"/>
        <v>-</v>
      </c>
      <c r="N207" s="86" t="str">
        <f t="shared" si="67"/>
        <v>-</v>
      </c>
      <c r="O207" s="86" t="str">
        <f t="shared" si="67"/>
        <v>-</v>
      </c>
      <c r="P207" s="86" t="str">
        <f t="shared" si="67"/>
        <v>-</v>
      </c>
      <c r="Q207" s="86" t="str">
        <f t="shared" si="67"/>
        <v>-</v>
      </c>
      <c r="R207" s="86" t="str">
        <f t="shared" si="67"/>
        <v>-</v>
      </c>
      <c r="S207" s="90" t="str">
        <f t="shared" si="67"/>
        <v>-</v>
      </c>
      <c r="T207" s="1"/>
      <c r="U207" s="319"/>
      <c r="V207" s="319"/>
      <c r="W207" s="319"/>
      <c r="X207" s="319"/>
      <c r="Y207" s="319"/>
      <c r="Z207" s="319"/>
      <c r="AA207" s="319"/>
      <c r="AB207" s="319"/>
      <c r="AC207" s="319"/>
      <c r="AD207" s="319"/>
      <c r="AE207" s="319"/>
      <c r="AF207" s="319"/>
      <c r="AG207" s="319"/>
      <c r="AH207" s="319" t="str">
        <f>IF($Q286=0,"-",$Q286)</f>
        <v>-</v>
      </c>
      <c r="AI207" s="319" t="str">
        <f>IF($Q287=0,"-",$Q287)</f>
        <v>-</v>
      </c>
      <c r="AJ207" s="319" t="str">
        <f>IF($Q288=0,"-",$Q288)</f>
        <v>-</v>
      </c>
      <c r="AK207" s="319" t="str">
        <f>IF($Q289=0,"-",$Q289)</f>
        <v>-</v>
      </c>
      <c r="AL207" s="319" t="str">
        <f>IF($Q290=0,"-",$Q290)</f>
        <v>-</v>
      </c>
      <c r="AM207" s="319" t="str">
        <f>IF($Q291=0,"-",$Q291)</f>
        <v>-</v>
      </c>
      <c r="AN207" s="319" t="str">
        <f>IF($Q292=0,"-",$Q292)</f>
        <v>-</v>
      </c>
      <c r="AO207" s="319" t="str">
        <f>IF($Q293=0,"-",$Q293)</f>
        <v>-</v>
      </c>
      <c r="AP207" s="319" t="str">
        <f>IF($Q294=0,"-",$Q294)</f>
        <v>-</v>
      </c>
      <c r="AQ207" s="319" t="str">
        <f>IF($Q295=0,"-",$Q295)</f>
        <v>-</v>
      </c>
      <c r="AR207" s="319" t="str">
        <f>IF($Q296=0,"-",$Q296)</f>
        <v>-</v>
      </c>
      <c r="AS207" s="319" t="str">
        <f>IF($Q297=0,"-",$Q297)</f>
        <v>-</v>
      </c>
      <c r="AT207" s="319" t="str">
        <f>IF($Q298=0,"-",$Q298)</f>
        <v>-</v>
      </c>
      <c r="AU207" s="319" t="str">
        <f>IF(SUM($Q299:Q305)=0,"-",SUM($Q299:Q305))</f>
        <v>-</v>
      </c>
      <c r="AV207" s="319"/>
      <c r="AW207" s="319"/>
      <c r="AX207" s="319"/>
      <c r="AY207" s="319"/>
      <c r="AZ207" s="319"/>
      <c r="BA207" s="319">
        <v>42424</v>
      </c>
    </row>
    <row r="208" spans="1:53" ht="13.8" hidden="1" thickBot="1">
      <c r="A208" s="12"/>
      <c r="B208" s="51" t="str">
        <f>Language!C333</f>
        <v>Sumário - custos dos tubos da linha de distribuição principal</v>
      </c>
      <c r="C208" s="51"/>
      <c r="D208" s="1350">
        <f>SUM(F208:S208)</f>
        <v>0</v>
      </c>
      <c r="E208" s="1358"/>
      <c r="F208" s="1375" t="str">
        <f>IF(R286=0,"-",R286)</f>
        <v>-</v>
      </c>
      <c r="G208" s="1376" t="str">
        <f>IF(R287=0,"-",R287)</f>
        <v>-</v>
      </c>
      <c r="H208" s="1376" t="str">
        <f>IF(R288=0,"-",R288)</f>
        <v>-</v>
      </c>
      <c r="I208" s="1376" t="str">
        <f>IF(R289=0,"-",R289)</f>
        <v>-</v>
      </c>
      <c r="J208" s="1376" t="str">
        <f>IF(R290=0,"-",R290)</f>
        <v>-</v>
      </c>
      <c r="K208" s="1376" t="str">
        <f>IF(R291=0,"-",R291)</f>
        <v>-</v>
      </c>
      <c r="L208" s="1376" t="str">
        <f>IF(R292=0,"-",R292)</f>
        <v>-</v>
      </c>
      <c r="M208" s="1376" t="str">
        <f>IF(R293=0,"-",R293)</f>
        <v>-</v>
      </c>
      <c r="N208" s="1376" t="str">
        <f>IF(R294=0,"-",R294)</f>
        <v>-</v>
      </c>
      <c r="O208" s="1376" t="str">
        <f>IF(R295=0,"-",R295)</f>
        <v>-</v>
      </c>
      <c r="P208" s="1376" t="str">
        <f>IF(R296=0,"-",R296)</f>
        <v>-</v>
      </c>
      <c r="Q208" s="1376" t="str">
        <f>IF(R297=0,"-",R297)</f>
        <v>-</v>
      </c>
      <c r="R208" s="1376" t="str">
        <f>IF(R298=0,"-",R298)</f>
        <v>-</v>
      </c>
      <c r="S208" s="1377" t="str">
        <f>IF(SUM(R299:R305)=0,"-",SUM(R299:R305))</f>
        <v>-</v>
      </c>
      <c r="T208" s="1"/>
      <c r="U208" s="319"/>
      <c r="V208" s="319"/>
      <c r="W208" s="319"/>
      <c r="X208" s="319"/>
      <c r="Y208" s="319"/>
      <c r="Z208" s="319"/>
      <c r="AA208" s="319"/>
      <c r="AB208" s="319"/>
      <c r="AC208" s="319"/>
      <c r="AD208" s="319"/>
      <c r="AE208" s="319"/>
      <c r="AF208" s="319"/>
      <c r="AG208" s="319"/>
      <c r="AH208" s="319"/>
      <c r="AI208" s="319"/>
      <c r="AJ208" s="319"/>
      <c r="AK208" s="319"/>
      <c r="AL208" s="319"/>
      <c r="AM208" s="319"/>
      <c r="AN208" s="319"/>
      <c r="AO208" s="319"/>
      <c r="AP208" s="319"/>
      <c r="AQ208" s="319"/>
      <c r="AR208" s="319"/>
      <c r="AS208" s="319"/>
      <c r="AT208" s="319"/>
      <c r="AU208" s="319"/>
      <c r="AV208" s="319"/>
      <c r="AW208" s="319"/>
      <c r="AX208" s="319"/>
      <c r="AY208" s="319"/>
      <c r="AZ208" s="319"/>
      <c r="BA208" s="319">
        <v>44426</v>
      </c>
    </row>
    <row r="209" spans="1:53" ht="14.4" hidden="1" thickTop="1" thickBot="1">
      <c r="A209" s="12"/>
      <c r="B209" s="51" t="str">
        <f>Language!C333</f>
        <v>Sumário - custos dos tubos da linha de distribuição principal</v>
      </c>
      <c r="C209" s="51"/>
      <c r="D209" s="1350">
        <f>SUMIF(AH207:AU207,"&gt;0",F209:S209)</f>
        <v>0</v>
      </c>
      <c r="E209" s="1358"/>
      <c r="F209" s="1382">
        <v>200</v>
      </c>
      <c r="G209" s="1382">
        <v>200</v>
      </c>
      <c r="H209" s="1382">
        <v>200</v>
      </c>
      <c r="I209" s="1382">
        <v>200</v>
      </c>
      <c r="J209" s="1382">
        <v>200</v>
      </c>
      <c r="K209" s="1382">
        <v>300</v>
      </c>
      <c r="L209" s="1382">
        <v>200</v>
      </c>
      <c r="M209" s="1382">
        <v>350</v>
      </c>
      <c r="N209" s="1382"/>
      <c r="O209" s="1382">
        <v>200</v>
      </c>
      <c r="P209" s="1382">
        <v>200</v>
      </c>
      <c r="Q209" s="1382">
        <v>200</v>
      </c>
      <c r="R209" s="1382">
        <v>200</v>
      </c>
      <c r="S209" s="1382">
        <v>200</v>
      </c>
      <c r="T209" s="1"/>
      <c r="U209" s="319"/>
      <c r="V209" s="319"/>
      <c r="W209" s="319"/>
      <c r="X209" s="319"/>
      <c r="Y209" s="319"/>
      <c r="Z209" s="319"/>
      <c r="AA209" s="319"/>
      <c r="AB209" s="319"/>
      <c r="AC209" s="319"/>
      <c r="AD209" s="319"/>
      <c r="AE209" s="319"/>
      <c r="AF209" s="319"/>
      <c r="AG209" s="319"/>
      <c r="AH209" s="319"/>
      <c r="AI209" s="319"/>
      <c r="AJ209" s="319"/>
      <c r="AK209" s="319"/>
      <c r="AL209" s="319"/>
      <c r="AM209" s="319"/>
      <c r="AN209" s="319"/>
      <c r="AO209" s="319"/>
      <c r="AP209" s="319"/>
      <c r="AQ209" s="319"/>
      <c r="AR209" s="319"/>
      <c r="AS209" s="319"/>
      <c r="AT209" s="319"/>
      <c r="AU209" s="319"/>
      <c r="AV209" s="319"/>
      <c r="AW209" s="319"/>
      <c r="AX209" s="319"/>
      <c r="AY209" s="319"/>
      <c r="AZ209" s="319"/>
      <c r="BA209" s="319">
        <v>44426</v>
      </c>
    </row>
    <row r="210" spans="1:53" ht="13.8" hidden="1" thickTop="1">
      <c r="A210" s="12"/>
      <c r="B210" s="1"/>
      <c r="C210" s="1"/>
      <c r="D210" s="1358"/>
      <c r="E210" s="1358"/>
      <c r="F210" s="1358"/>
      <c r="G210" s="1358"/>
      <c r="H210" s="1358"/>
      <c r="I210" s="1358"/>
      <c r="J210" s="1358"/>
      <c r="K210" s="1358"/>
      <c r="L210" s="1358"/>
      <c r="M210" s="1358"/>
      <c r="N210" s="1358"/>
      <c r="O210" s="1358"/>
      <c r="P210" s="1358"/>
      <c r="Q210" s="1358"/>
      <c r="R210" s="1358"/>
      <c r="S210" s="1370"/>
      <c r="T210" s="1"/>
      <c r="U210" s="319"/>
      <c r="V210" s="319"/>
      <c r="W210" s="319"/>
      <c r="X210" s="319"/>
      <c r="Y210" s="319"/>
      <c r="Z210" s="319"/>
      <c r="AA210" s="319"/>
      <c r="AB210" s="319"/>
      <c r="AC210" s="319"/>
      <c r="AD210" s="319"/>
      <c r="AE210" s="319"/>
      <c r="AF210" s="319"/>
      <c r="AG210" s="319"/>
      <c r="AH210" s="319"/>
      <c r="AI210" s="319"/>
      <c r="AJ210" s="319"/>
      <c r="AK210" s="319"/>
      <c r="AL210" s="319"/>
      <c r="AM210" s="319"/>
      <c r="AN210" s="319"/>
      <c r="AO210" s="319"/>
      <c r="AP210" s="319"/>
      <c r="AQ210" s="319"/>
      <c r="AR210" s="319"/>
      <c r="AS210" s="319"/>
      <c r="AT210" s="319"/>
      <c r="AU210" s="319"/>
      <c r="AV210" s="319"/>
      <c r="AW210" s="319"/>
      <c r="AX210" s="319"/>
      <c r="AY210" s="319"/>
      <c r="AZ210" s="319"/>
      <c r="BA210" s="319">
        <v>44400</v>
      </c>
    </row>
    <row r="211" spans="1:53" ht="13.2" hidden="1">
      <c r="A211" s="12"/>
      <c r="B211" s="1" t="str">
        <f>Language!C365</f>
        <v>Custo total rede local de ditribuição de frio</v>
      </c>
      <c r="C211" s="1"/>
      <c r="D211" s="1358">
        <f>IF(D191=G264,D208+D202,D209+D203)</f>
        <v>0</v>
      </c>
      <c r="E211" s="1358"/>
      <c r="F211" s="1358"/>
      <c r="G211" s="1358"/>
      <c r="H211" s="1358"/>
      <c r="I211" s="1358"/>
      <c r="J211" s="1358"/>
      <c r="K211" s="1358"/>
      <c r="L211" s="1358"/>
      <c r="M211" s="1358"/>
      <c r="N211" s="1358"/>
      <c r="O211" s="1358"/>
      <c r="P211" s="1358"/>
      <c r="Q211" s="1358"/>
      <c r="R211" s="1358"/>
      <c r="S211" s="1370"/>
      <c r="T211" s="1"/>
      <c r="U211" s="319"/>
      <c r="V211" s="319"/>
      <c r="W211" s="319"/>
      <c r="X211" s="319"/>
      <c r="Y211" s="319"/>
      <c r="Z211" s="319"/>
      <c r="AA211" s="319"/>
      <c r="AB211" s="319"/>
      <c r="AC211" s="319"/>
      <c r="AD211" s="319"/>
      <c r="AE211" s="319"/>
      <c r="AF211" s="319"/>
      <c r="AG211" s="319"/>
      <c r="AH211" s="319"/>
      <c r="AI211" s="319"/>
      <c r="AJ211" s="319"/>
      <c r="AK211" s="319"/>
      <c r="AL211" s="319"/>
      <c r="AM211" s="319"/>
      <c r="AN211" s="319"/>
      <c r="AO211" s="319"/>
      <c r="AP211" s="319"/>
      <c r="AQ211" s="319"/>
      <c r="AR211" s="319"/>
      <c r="AS211" s="319"/>
      <c r="AT211" s="319"/>
      <c r="AU211" s="319"/>
      <c r="AV211" s="319"/>
      <c r="AW211" s="319"/>
      <c r="AX211" s="319"/>
      <c r="AY211" s="319"/>
      <c r="AZ211" s="319"/>
      <c r="BA211" s="319">
        <v>44428</v>
      </c>
    </row>
    <row r="212" spans="1:53" ht="13.2" hidden="1">
      <c r="A212" s="14"/>
      <c r="B212" s="15"/>
      <c r="C212" s="15"/>
      <c r="D212" s="15"/>
      <c r="E212" s="15"/>
      <c r="F212" s="15"/>
      <c r="G212" s="15"/>
      <c r="H212" s="15"/>
      <c r="I212" s="15"/>
      <c r="J212" s="15"/>
      <c r="K212" s="15"/>
      <c r="L212" s="15"/>
      <c r="M212" s="15"/>
      <c r="N212" s="15"/>
      <c r="O212" s="15"/>
      <c r="P212" s="15"/>
      <c r="Q212" s="15"/>
      <c r="R212" s="15"/>
      <c r="S212" s="11"/>
      <c r="T212" s="1"/>
      <c r="U212" s="319"/>
      <c r="V212" s="319"/>
      <c r="W212" s="319"/>
      <c r="X212" s="319"/>
      <c r="Y212" s="319"/>
      <c r="Z212" s="319"/>
      <c r="AA212" s="319"/>
      <c r="AB212" s="319"/>
      <c r="AC212" s="319"/>
      <c r="AD212" s="319"/>
      <c r="AE212" s="319"/>
      <c r="AF212" s="319"/>
      <c r="AG212" s="319"/>
      <c r="AH212" s="319"/>
      <c r="AI212" s="319"/>
      <c r="AJ212" s="319"/>
      <c r="AK212" s="319"/>
      <c r="AL212" s="319"/>
      <c r="AM212" s="319"/>
      <c r="AN212" s="319"/>
      <c r="AO212" s="319"/>
      <c r="AP212" s="319"/>
      <c r="AQ212" s="319"/>
      <c r="AR212" s="319"/>
      <c r="AS212" s="319"/>
      <c r="AT212" s="319"/>
      <c r="AU212" s="319"/>
      <c r="AV212" s="319"/>
      <c r="AW212" s="319"/>
      <c r="AX212" s="319"/>
      <c r="AY212" s="319"/>
      <c r="AZ212" s="319"/>
      <c r="BA212" s="319">
        <v>44000</v>
      </c>
    </row>
    <row r="213" spans="1:53" ht="13.8" hidden="1" thickBot="1">
      <c r="A213" s="1"/>
      <c r="B213" s="1"/>
      <c r="C213" s="1"/>
      <c r="D213" s="1"/>
      <c r="E213" s="1"/>
      <c r="F213" s="1"/>
      <c r="G213" s="1"/>
      <c r="H213" s="1"/>
      <c r="I213" s="1"/>
      <c r="J213" s="1"/>
      <c r="K213" s="1"/>
      <c r="L213" s="1"/>
      <c r="M213" s="1"/>
      <c r="N213" s="1"/>
      <c r="O213" s="1"/>
      <c r="P213" s="1"/>
      <c r="Q213" s="1"/>
      <c r="R213" s="1"/>
      <c r="S213" s="1"/>
      <c r="T213" s="1"/>
      <c r="U213" s="319"/>
      <c r="V213" s="319"/>
      <c r="W213" s="319"/>
      <c r="X213" s="319"/>
      <c r="Y213" s="319"/>
      <c r="Z213" s="319"/>
      <c r="AA213" s="319"/>
      <c r="AB213" s="319"/>
      <c r="AC213" s="319"/>
      <c r="AD213" s="319"/>
      <c r="AE213" s="319"/>
      <c r="AF213" s="319"/>
      <c r="AG213" s="319"/>
      <c r="AH213" s="319"/>
      <c r="AI213" s="319"/>
      <c r="AJ213" s="319"/>
      <c r="AK213" s="319"/>
      <c r="AL213" s="319"/>
      <c r="AM213" s="319"/>
      <c r="AN213" s="319"/>
      <c r="AO213" s="319"/>
      <c r="AP213" s="319"/>
      <c r="AQ213" s="319"/>
      <c r="AR213" s="319"/>
      <c r="AS213" s="319"/>
      <c r="AT213" s="319"/>
      <c r="AU213" s="319"/>
      <c r="AV213" s="319"/>
      <c r="AW213" s="319"/>
      <c r="AX213" s="319"/>
      <c r="AY213" s="319"/>
      <c r="AZ213" s="319"/>
      <c r="BA213" s="319">
        <v>40000</v>
      </c>
    </row>
    <row r="214" spans="1:53" ht="13.8" hidden="1" thickTop="1">
      <c r="A214" s="1174" t="str">
        <f>Language!C366</f>
        <v>Projeto produção de Eletricidade</v>
      </c>
      <c r="B214" s="1175"/>
      <c r="C214" s="26" t="str">
        <f>Language!C180</f>
        <v>Unidade</v>
      </c>
      <c r="D214" s="57"/>
      <c r="E214" s="57"/>
      <c r="F214" s="57"/>
      <c r="G214" s="57"/>
      <c r="H214" s="57"/>
      <c r="I214" s="57"/>
      <c r="J214" s="57"/>
      <c r="K214" s="57"/>
      <c r="L214" s="57"/>
      <c r="M214" s="57"/>
      <c r="N214" s="57"/>
      <c r="O214" s="57"/>
      <c r="P214" s="57"/>
      <c r="Q214" s="57"/>
      <c r="R214" s="57"/>
      <c r="S214" s="58"/>
      <c r="T214" s="1"/>
      <c r="U214" s="319"/>
      <c r="V214" s="319"/>
      <c r="W214" s="319"/>
      <c r="X214" s="319"/>
      <c r="Y214" s="319"/>
      <c r="Z214" s="319"/>
      <c r="AA214" s="319"/>
      <c r="AB214" s="319"/>
      <c r="AC214" s="319"/>
      <c r="AD214" s="319"/>
      <c r="AE214" s="319"/>
      <c r="AF214" s="319"/>
      <c r="AG214" s="319"/>
      <c r="AH214" s="319"/>
      <c r="AI214" s="319"/>
      <c r="AJ214" s="319"/>
      <c r="AK214" s="319"/>
      <c r="AL214" s="319"/>
      <c r="AM214" s="319"/>
      <c r="AN214" s="319"/>
      <c r="AO214" s="319"/>
      <c r="AP214" s="319"/>
      <c r="AQ214" s="319"/>
      <c r="AR214" s="319"/>
      <c r="AS214" s="319"/>
      <c r="AT214" s="319"/>
      <c r="AU214" s="319"/>
      <c r="AV214" s="319"/>
      <c r="AW214" s="319"/>
      <c r="AX214" s="319"/>
      <c r="AY214" s="319"/>
      <c r="AZ214" s="319"/>
      <c r="BA214" s="319">
        <v>45000</v>
      </c>
    </row>
    <row r="215" spans="1:53" ht="13.2" hidden="1">
      <c r="A215" s="1170" t="str">
        <f>Language!C367</f>
        <v>Sistema de produção de eletricidade do caso referência</v>
      </c>
      <c r="B215" s="1171"/>
      <c r="C215" s="1"/>
      <c r="D215" s="1"/>
      <c r="E215" s="1"/>
      <c r="F215" s="1"/>
      <c r="G215" s="1"/>
      <c r="H215" s="1"/>
      <c r="I215" s="1"/>
      <c r="J215" s="1"/>
      <c r="K215" s="1"/>
      <c r="L215" s="1"/>
      <c r="M215" s="1"/>
      <c r="N215" s="1"/>
      <c r="O215" s="1"/>
      <c r="P215" s="1"/>
      <c r="Q215" s="1"/>
      <c r="R215" s="1"/>
      <c r="S215" s="9"/>
      <c r="T215" s="1"/>
      <c r="U215" s="319"/>
      <c r="V215" s="319"/>
      <c r="W215" s="319">
        <f>IF(OR(HideCode_projectType2=2,HideCode_projectType2=4,HideCode_projectType2=5,HideCode_projectType2=7),1,0)</f>
        <v>1</v>
      </c>
      <c r="X215" s="319" t="s">
        <v>5367</v>
      </c>
      <c r="Y215" s="319"/>
      <c r="Z215" s="319"/>
      <c r="AA215" s="319"/>
      <c r="AB215" s="319"/>
      <c r="AC215" s="319"/>
      <c r="AD215" s="319"/>
      <c r="AE215" s="319"/>
      <c r="AF215" s="319"/>
      <c r="AG215" s="319"/>
      <c r="AH215" s="319"/>
      <c r="AI215" s="319"/>
      <c r="AJ215" s="319"/>
      <c r="AK215" s="319"/>
      <c r="AL215" s="319"/>
      <c r="AM215" s="319"/>
      <c r="AN215" s="319"/>
      <c r="AO215" s="319"/>
      <c r="AP215" s="319"/>
      <c r="AQ215" s="319"/>
      <c r="AR215" s="319"/>
      <c r="AS215" s="319"/>
      <c r="AT215" s="319"/>
      <c r="AU215" s="319"/>
      <c r="AV215" s="319"/>
      <c r="AW215" s="319"/>
      <c r="AX215" s="319"/>
      <c r="AY215" s="319"/>
      <c r="AZ215" s="319"/>
      <c r="BA215" s="319">
        <v>45100</v>
      </c>
    </row>
    <row r="216" spans="1:53" ht="13.2" hidden="1">
      <c r="A216" s="12"/>
      <c r="B216" s="1" t="str">
        <f>Language!C586</f>
        <v>Tipo de grid</v>
      </c>
      <c r="C216" s="1"/>
      <c r="D216" s="29" t="str">
        <f>Iniciar!D26</f>
        <v>Rede Central</v>
      </c>
      <c r="E216" s="1"/>
      <c r="F216" s="1"/>
      <c r="G216" s="1"/>
      <c r="H216" s="1"/>
      <c r="I216" s="1"/>
      <c r="J216" s="1"/>
      <c r="K216" s="1"/>
      <c r="L216" s="1"/>
      <c r="M216" s="1"/>
      <c r="N216" s="1"/>
      <c r="O216" s="1"/>
      <c r="P216" s="1"/>
      <c r="Q216" s="1"/>
      <c r="R216" s="1"/>
      <c r="S216" s="9"/>
      <c r="T216" s="1"/>
      <c r="U216" s="319">
        <f>EM_gridtype</f>
        <v>1</v>
      </c>
      <c r="V216" s="319"/>
      <c r="W216" s="319">
        <f>EM_gridtype</f>
        <v>1</v>
      </c>
      <c r="X216" s="319"/>
      <c r="Y216" s="319"/>
      <c r="Z216" s="319"/>
      <c r="AA216" s="319"/>
      <c r="AB216" s="319"/>
      <c r="AC216" s="319"/>
      <c r="AD216" s="319"/>
      <c r="AE216" s="319"/>
      <c r="AF216" s="319"/>
      <c r="AG216" s="319"/>
      <c r="AH216" s="319"/>
      <c r="AI216" s="319"/>
      <c r="AJ216" s="319"/>
      <c r="AK216" s="319"/>
      <c r="AL216" s="319"/>
      <c r="AM216" s="319"/>
      <c r="AN216" s="319"/>
      <c r="AO216" s="319"/>
      <c r="AP216" s="319"/>
      <c r="AQ216" s="319"/>
      <c r="AR216" s="319"/>
      <c r="AS216" s="319"/>
      <c r="AT216" s="319"/>
      <c r="AU216" s="319"/>
      <c r="AV216" s="319"/>
      <c r="AW216" s="319"/>
      <c r="AX216" s="319"/>
      <c r="AY216" s="319"/>
      <c r="AZ216" s="319"/>
      <c r="BA216" s="319">
        <v>5011002</v>
      </c>
    </row>
    <row r="217" spans="1:53" ht="13.2" hidden="1">
      <c r="A217" s="12"/>
      <c r="B217" s="1" t="str">
        <f>Language!C368</f>
        <v>Carga de ponta - sistema isolado</v>
      </c>
      <c r="C217" s="29" t="str">
        <f>Language!C1364</f>
        <v>kW</v>
      </c>
      <c r="D217" s="314"/>
      <c r="E217" s="1"/>
      <c r="F217" s="1"/>
      <c r="G217" s="1"/>
      <c r="H217" s="1"/>
      <c r="I217" s="1"/>
      <c r="J217" s="1"/>
      <c r="K217" s="1"/>
      <c r="L217" s="1"/>
      <c r="M217" s="1"/>
      <c r="N217" s="1"/>
      <c r="O217" s="1"/>
      <c r="P217" s="1"/>
      <c r="Q217" s="1"/>
      <c r="R217" s="1"/>
      <c r="S217" s="9"/>
      <c r="T217" s="1"/>
      <c r="U217" s="319"/>
      <c r="V217" s="319"/>
      <c r="W217" s="319"/>
      <c r="X217" s="319"/>
      <c r="Y217" s="319"/>
      <c r="Z217" s="319"/>
      <c r="AA217" s="319"/>
      <c r="AB217" s="319"/>
      <c r="AC217" s="319"/>
      <c r="AD217" s="319"/>
      <c r="AE217" s="319"/>
      <c r="AF217" s="319"/>
      <c r="AG217" s="319"/>
      <c r="AH217" s="319"/>
      <c r="AI217" s="319"/>
      <c r="AJ217" s="319"/>
      <c r="AK217" s="319"/>
      <c r="AL217" s="319"/>
      <c r="AM217" s="319"/>
      <c r="AN217" s="319"/>
      <c r="AO217" s="319"/>
      <c r="AP217" s="319"/>
      <c r="AQ217" s="319"/>
      <c r="AR217" s="319"/>
      <c r="AS217" s="319"/>
      <c r="AT217" s="319"/>
      <c r="AU217" s="319"/>
      <c r="AV217" s="319"/>
      <c r="AW217" s="319"/>
      <c r="AX217" s="319"/>
      <c r="AY217" s="319"/>
      <c r="AZ217" s="319"/>
      <c r="BA217" s="319">
        <v>45104</v>
      </c>
    </row>
    <row r="218" spans="1:53" ht="13.2" hidden="1">
      <c r="A218" s="12"/>
      <c r="B218" s="1" t="str">
        <f>Language!C369</f>
        <v>Carga mínima - sistema isolado</v>
      </c>
      <c r="C218" s="29" t="str">
        <f>$C$217</f>
        <v>kW</v>
      </c>
      <c r="D218" s="307"/>
      <c r="E218" s="1"/>
      <c r="F218" s="1"/>
      <c r="G218" s="1"/>
      <c r="H218" s="1"/>
      <c r="I218" s="1"/>
      <c r="J218" s="1"/>
      <c r="K218" s="1"/>
      <c r="L218" s="1"/>
      <c r="M218" s="1"/>
      <c r="N218" s="1"/>
      <c r="O218" s="1"/>
      <c r="P218" s="1"/>
      <c r="Q218" s="1"/>
      <c r="R218" s="1"/>
      <c r="S218" s="9"/>
      <c r="T218" s="1"/>
      <c r="U218" s="319"/>
      <c r="V218" s="319"/>
      <c r="W218" s="319"/>
      <c r="X218" s="319"/>
      <c r="Y218" s="319"/>
      <c r="Z218" s="319"/>
      <c r="AA218" s="319"/>
      <c r="AB218" s="319"/>
      <c r="AC218" s="319"/>
      <c r="AD218" s="319"/>
      <c r="AE218" s="319"/>
      <c r="AF218" s="319"/>
      <c r="AG218" s="319"/>
      <c r="AH218" s="319"/>
      <c r="AI218" s="319"/>
      <c r="AJ218" s="319"/>
      <c r="AK218" s="319"/>
      <c r="AL218" s="319"/>
      <c r="AM218" s="319"/>
      <c r="AN218" s="319"/>
      <c r="AO218" s="319"/>
      <c r="AP218" s="319"/>
      <c r="AQ218" s="319"/>
      <c r="AR218" s="319"/>
      <c r="AS218" s="319"/>
      <c r="AT218" s="319"/>
      <c r="AU218" s="319"/>
      <c r="AV218" s="319"/>
      <c r="AW218" s="319"/>
      <c r="AX218" s="319"/>
      <c r="AY218" s="319"/>
      <c r="AZ218" s="319"/>
      <c r="BA218" s="319">
        <v>45106</v>
      </c>
    </row>
    <row r="219" spans="1:53" ht="13.2" hidden="1">
      <c r="A219" s="12"/>
      <c r="B219" s="1" t="str">
        <f>Language!C2015</f>
        <v>Tecnologia</v>
      </c>
      <c r="C219" s="1152"/>
      <c r="D219" s="1153"/>
      <c r="E219" s="1154"/>
      <c r="F219" s="1"/>
      <c r="G219" s="1"/>
      <c r="H219" s="1"/>
      <c r="I219" s="1"/>
      <c r="J219" s="1"/>
      <c r="K219" s="1"/>
      <c r="L219" s="1"/>
      <c r="M219" s="1"/>
      <c r="N219" s="1"/>
      <c r="O219" s="1"/>
      <c r="P219" s="1"/>
      <c r="Q219" s="1"/>
      <c r="R219" s="1"/>
      <c r="S219" s="9"/>
      <c r="T219" s="1"/>
      <c r="U219" s="319"/>
      <c r="V219" s="319"/>
      <c r="W219" s="319"/>
      <c r="X219" s="319"/>
      <c r="Y219" s="319"/>
      <c r="Z219" s="319"/>
      <c r="AA219" s="319"/>
      <c r="AB219" s="319"/>
      <c r="AC219" s="319"/>
      <c r="AD219" s="319"/>
      <c r="AE219" s="319"/>
      <c r="AF219" s="319"/>
      <c r="AG219" s="319"/>
      <c r="AH219" s="319"/>
      <c r="AI219" s="319"/>
      <c r="AJ219" s="319"/>
      <c r="AK219" s="319"/>
      <c r="AL219" s="319"/>
      <c r="AM219" s="319"/>
      <c r="AN219" s="319"/>
      <c r="AO219" s="319"/>
      <c r="AP219" s="319"/>
      <c r="AQ219" s="319"/>
      <c r="AR219" s="319"/>
      <c r="AS219" s="319"/>
      <c r="AT219" s="319"/>
      <c r="AU219" s="319"/>
      <c r="AV219" s="319"/>
      <c r="AW219" s="319"/>
      <c r="AX219" s="319"/>
      <c r="AY219" s="319"/>
      <c r="AZ219" s="319"/>
      <c r="BA219" s="319">
        <v>45108</v>
      </c>
    </row>
    <row r="220" spans="1:53" ht="13.2" hidden="1">
      <c r="A220" s="12"/>
      <c r="B220" s="1" t="str">
        <f>Language!C211</f>
        <v>Tipo de Combustível</v>
      </c>
      <c r="C220" s="1"/>
      <c r="D220" s="419" t="s">
        <v>7046</v>
      </c>
      <c r="E220" s="1"/>
      <c r="F220" s="1"/>
      <c r="G220" s="1"/>
      <c r="H220" s="1"/>
      <c r="I220" s="1"/>
      <c r="J220" s="1"/>
      <c r="K220" s="1"/>
      <c r="L220" s="1"/>
      <c r="M220" s="1"/>
      <c r="N220" s="1"/>
      <c r="O220" s="1"/>
      <c r="P220" s="1"/>
      <c r="Q220" s="1"/>
      <c r="R220" s="1"/>
      <c r="S220" s="9"/>
      <c r="T220" s="1"/>
      <c r="U220" s="319"/>
      <c r="V220" s="319"/>
      <c r="W220" s="319">
        <f>D221/VLOOKUP(D220,E340:I360,4,FALSE)*1000/3.6</f>
        <v>0</v>
      </c>
      <c r="X220" s="319" t="s">
        <v>1044</v>
      </c>
      <c r="Y220" s="319"/>
      <c r="Z220" s="319"/>
      <c r="AA220" s="319"/>
      <c r="AB220" s="319"/>
      <c r="AC220" s="319"/>
      <c r="AD220" s="319"/>
      <c r="AE220" s="319"/>
      <c r="AF220" s="319"/>
      <c r="AG220" s="319"/>
      <c r="AH220" s="319"/>
      <c r="AI220" s="319"/>
      <c r="AJ220" s="319"/>
      <c r="AK220" s="319"/>
      <c r="AL220" s="319"/>
      <c r="AM220" s="319"/>
      <c r="AN220" s="319"/>
      <c r="AO220" s="319"/>
      <c r="AP220" s="319"/>
      <c r="AQ220" s="319"/>
      <c r="AR220" s="319"/>
      <c r="AS220" s="319"/>
      <c r="AT220" s="319"/>
      <c r="AU220" s="319"/>
      <c r="AV220" s="319"/>
      <c r="AW220" s="319"/>
      <c r="AX220" s="319"/>
      <c r="AY220" s="319"/>
      <c r="AZ220" s="319"/>
      <c r="BA220" s="319">
        <v>2010106</v>
      </c>
    </row>
    <row r="221" spans="1:53" ht="13.2" hidden="1">
      <c r="A221" s="12"/>
      <c r="B221" s="1" t="str">
        <f>B23</f>
        <v>Preço do combustível</v>
      </c>
      <c r="C221" s="29" t="str">
        <f>VLOOKUP(D220,E340:I360,5,FALSE)</f>
        <v>€/m³</v>
      </c>
      <c r="D221" s="399"/>
      <c r="E221" s="1"/>
      <c r="F221" s="1"/>
      <c r="G221" s="1"/>
      <c r="H221" s="1"/>
      <c r="I221" s="1"/>
      <c r="J221" s="1"/>
      <c r="K221" s="1"/>
      <c r="L221" s="1"/>
      <c r="M221" s="1"/>
      <c r="N221" s="1"/>
      <c r="O221" s="1"/>
      <c r="P221" s="1"/>
      <c r="Q221" s="1"/>
      <c r="R221" s="1"/>
      <c r="S221" s="9"/>
      <c r="T221" s="1"/>
      <c r="U221" s="319"/>
      <c r="V221" s="319"/>
      <c r="W221" s="319"/>
      <c r="X221" s="319"/>
      <c r="Y221" s="319"/>
      <c r="Z221" s="319"/>
      <c r="AA221" s="319"/>
      <c r="AB221" s="319"/>
      <c r="AC221" s="319"/>
      <c r="AD221" s="319"/>
      <c r="AE221" s="319"/>
      <c r="AF221" s="319"/>
      <c r="AG221" s="319"/>
      <c r="AH221" s="319"/>
      <c r="AI221" s="319"/>
      <c r="AJ221" s="319"/>
      <c r="AK221" s="319"/>
      <c r="AL221" s="319"/>
      <c r="AM221" s="319"/>
      <c r="AN221" s="319"/>
      <c r="AO221" s="319"/>
      <c r="AP221" s="319"/>
      <c r="AQ221" s="319"/>
      <c r="AR221" s="319"/>
      <c r="AS221" s="319"/>
      <c r="AT221" s="319"/>
      <c r="AU221" s="319"/>
      <c r="AV221" s="319"/>
      <c r="AW221" s="319"/>
      <c r="AX221" s="319"/>
      <c r="AY221" s="319"/>
      <c r="AZ221" s="319"/>
      <c r="BA221" s="319">
        <v>2010108</v>
      </c>
    </row>
    <row r="222" spans="1:53" ht="13.2" hidden="1">
      <c r="A222" s="12"/>
      <c r="B222" s="1" t="str">
        <f>Language!C202</f>
        <v>Capacidade</v>
      </c>
      <c r="C222" s="29" t="str">
        <f>$C$217</f>
        <v>kW</v>
      </c>
      <c r="D222" s="314"/>
      <c r="E222" s="1"/>
      <c r="F222" s="1"/>
      <c r="G222" s="1"/>
      <c r="H222" s="1"/>
      <c r="I222" s="1"/>
      <c r="J222" s="1"/>
      <c r="K222" s="1"/>
      <c r="L222" s="1"/>
      <c r="M222" s="1"/>
      <c r="N222" s="1"/>
      <c r="O222" s="1"/>
      <c r="P222" s="1"/>
      <c r="Q222" s="1"/>
      <c r="R222" s="1"/>
      <c r="S222" s="9"/>
      <c r="T222" s="1"/>
      <c r="U222" s="319"/>
      <c r="V222" s="319"/>
      <c r="W222" s="319">
        <f>IF(OR(HideCode_projectType=1,HideCode_projectType=3,HideCode_projectType=6,EM_gridtype&lt;5),0,1)*D223*D246/1000</f>
        <v>0</v>
      </c>
      <c r="X222" s="319" t="s">
        <v>5865</v>
      </c>
      <c r="Y222" s="319"/>
      <c r="Z222" s="319"/>
      <c r="AA222" s="319"/>
      <c r="AB222" s="319"/>
      <c r="AC222" s="319"/>
      <c r="AD222" s="319"/>
      <c r="AE222" s="319"/>
      <c r="AF222" s="319"/>
      <c r="AG222" s="319"/>
      <c r="AH222" s="319"/>
      <c r="AI222" s="319"/>
      <c r="AJ222" s="319"/>
      <c r="AK222" s="319"/>
      <c r="AL222" s="319"/>
      <c r="AM222" s="319"/>
      <c r="AN222" s="319"/>
      <c r="AO222" s="319"/>
      <c r="AP222" s="319"/>
      <c r="AQ222" s="319"/>
      <c r="AR222" s="319"/>
      <c r="AS222" s="319"/>
      <c r="AT222" s="319"/>
      <c r="AU222" s="319"/>
      <c r="AV222" s="319"/>
      <c r="AW222" s="319"/>
      <c r="AX222" s="319"/>
      <c r="AY222" s="319"/>
      <c r="AZ222" s="319"/>
      <c r="BA222" s="319">
        <v>5011010</v>
      </c>
    </row>
    <row r="223" spans="1:53" ht="13.2" hidden="1">
      <c r="A223" s="12"/>
      <c r="B223" s="1" t="str">
        <f>Language!C216</f>
        <v>Preço do calor</v>
      </c>
      <c r="C223" s="303" t="s">
        <v>4213</v>
      </c>
      <c r="D223" s="307"/>
      <c r="E223" s="1"/>
      <c r="F223" s="1"/>
      <c r="G223" s="1"/>
      <c r="H223" s="1"/>
      <c r="I223" s="1"/>
      <c r="J223" s="1"/>
      <c r="K223" s="1"/>
      <c r="L223" s="1"/>
      <c r="M223" s="1"/>
      <c r="N223" s="1"/>
      <c r="O223" s="1"/>
      <c r="P223" s="1"/>
      <c r="Q223" s="1"/>
      <c r="R223" s="1"/>
      <c r="S223" s="9"/>
      <c r="T223" s="1"/>
      <c r="U223" s="319"/>
      <c r="V223" s="319"/>
      <c r="W223" s="319">
        <f>IF(C223=$D$272,D223,D223*$E$273)</f>
        <v>0</v>
      </c>
      <c r="X223" s="319" t="s">
        <v>4213</v>
      </c>
      <c r="Y223" s="319">
        <f>IF(OR(HideCode_projectType=1,HideCode_projectType=3,HideCode_projectType=6,EM_gridtype&lt;5),0,1)*(W223*D246/1000)/VLOOKUP(D220,E340:I360,4,FALSE)/3.6*1000</f>
        <v>0</v>
      </c>
      <c r="Z223" s="319" t="s">
        <v>3317</v>
      </c>
      <c r="AA223" s="319"/>
      <c r="AB223" s="319"/>
      <c r="AC223" s="319"/>
      <c r="AD223" s="319"/>
      <c r="AE223" s="319"/>
      <c r="AF223" s="319"/>
      <c r="AG223" s="319"/>
      <c r="AH223" s="319"/>
      <c r="AI223" s="319"/>
      <c r="AJ223" s="319"/>
      <c r="AK223" s="319"/>
      <c r="AL223" s="319"/>
      <c r="AM223" s="319"/>
      <c r="AN223" s="319"/>
      <c r="AO223" s="319"/>
      <c r="AP223" s="319"/>
      <c r="AQ223" s="319"/>
      <c r="AR223" s="319"/>
      <c r="AS223" s="319"/>
      <c r="AT223" s="319"/>
      <c r="AU223" s="319"/>
      <c r="AV223" s="319"/>
      <c r="AW223" s="319"/>
      <c r="AX223" s="319"/>
      <c r="AY223" s="319"/>
      <c r="AZ223" s="319"/>
      <c r="BA223" s="319">
        <v>3011044</v>
      </c>
    </row>
    <row r="224" spans="1:53" ht="13.2" hidden="1">
      <c r="A224" s="12"/>
      <c r="B224" s="1" t="str">
        <f>Language!C370</f>
        <v>Custo anual O&amp;M</v>
      </c>
      <c r="C224" s="29" t="str">
        <f>Currency</f>
        <v>€</v>
      </c>
      <c r="D224" s="307"/>
      <c r="E224" s="1"/>
      <c r="F224" s="1"/>
      <c r="G224" s="1"/>
      <c r="H224" s="1"/>
      <c r="I224" s="1"/>
      <c r="J224" s="1"/>
      <c r="K224" s="1"/>
      <c r="L224" s="1"/>
      <c r="M224" s="1"/>
      <c r="N224" s="1"/>
      <c r="O224" s="1"/>
      <c r="P224" s="1"/>
      <c r="Q224" s="1"/>
      <c r="R224" s="1"/>
      <c r="S224" s="9"/>
      <c r="T224" s="1"/>
      <c r="U224" s="319"/>
      <c r="V224" s="319"/>
      <c r="W224" s="319"/>
      <c r="X224" s="319"/>
      <c r="Y224" s="319"/>
      <c r="Z224" s="319"/>
      <c r="AA224" s="319"/>
      <c r="AB224" s="319"/>
      <c r="AC224" s="319"/>
      <c r="AD224" s="319"/>
      <c r="AE224" s="319"/>
      <c r="AF224" s="319"/>
      <c r="AG224" s="319"/>
      <c r="AH224" s="319"/>
      <c r="AI224" s="319"/>
      <c r="AJ224" s="319"/>
      <c r="AK224" s="319"/>
      <c r="AL224" s="319"/>
      <c r="AM224" s="319"/>
      <c r="AN224" s="319"/>
      <c r="AO224" s="319"/>
      <c r="AP224" s="319"/>
      <c r="AQ224" s="319"/>
      <c r="AR224" s="319"/>
      <c r="AS224" s="319"/>
      <c r="AT224" s="319"/>
      <c r="AU224" s="319"/>
      <c r="AV224" s="319"/>
      <c r="AW224" s="319"/>
      <c r="AX224" s="319"/>
      <c r="AY224" s="319"/>
      <c r="AZ224" s="319"/>
      <c r="BA224" s="319">
        <v>5011014</v>
      </c>
    </row>
    <row r="225" spans="1:53" ht="13.2" hidden="1">
      <c r="A225" s="12"/>
      <c r="B225" s="1" t="str">
        <f>Language!C466</f>
        <v>Preço da eletricidade - caso de referência</v>
      </c>
      <c r="C225" s="29" t="str">
        <f>Currency&amp;Language!C1297</f>
        <v>€/kWh</v>
      </c>
      <c r="D225" s="59" t="e">
        <f>D226/(D246*1000)</f>
        <v>#DIV/0!</v>
      </c>
      <c r="E225" s="1"/>
      <c r="F225" s="1"/>
      <c r="G225" s="1"/>
      <c r="H225" s="1"/>
      <c r="I225" s="1"/>
      <c r="J225" s="1"/>
      <c r="K225" s="1"/>
      <c r="L225" s="1"/>
      <c r="M225" s="1"/>
      <c r="N225" s="1"/>
      <c r="O225" s="1"/>
      <c r="P225" s="1"/>
      <c r="Q225" s="1"/>
      <c r="R225" s="1"/>
      <c r="S225" s="9"/>
      <c r="T225" s="1"/>
      <c r="U225" s="319"/>
      <c r="V225" s="319"/>
      <c r="W225" s="319">
        <f>IF(EM_gridtype&lt;5,D247,D225)</f>
        <v>0</v>
      </c>
      <c r="X225" s="319" t="s">
        <v>5400</v>
      </c>
      <c r="Y225" s="319" t="s">
        <v>3356</v>
      </c>
      <c r="Z225" s="319"/>
      <c r="AA225" s="319"/>
      <c r="AB225" s="319"/>
      <c r="AC225" s="319"/>
      <c r="AD225" s="319"/>
      <c r="AE225" s="319"/>
      <c r="AF225" s="319"/>
      <c r="AG225" s="319"/>
      <c r="AH225" s="319"/>
      <c r="AI225" s="319"/>
      <c r="AJ225" s="319"/>
      <c r="AK225" s="319"/>
      <c r="AL225" s="319"/>
      <c r="AM225" s="319"/>
      <c r="AN225" s="319"/>
      <c r="AO225" s="319"/>
      <c r="AP225" s="319"/>
      <c r="AQ225" s="319"/>
      <c r="AR225" s="319"/>
      <c r="AS225" s="319"/>
      <c r="AT225" s="319"/>
      <c r="AU225" s="319"/>
      <c r="AV225" s="319"/>
      <c r="AW225" s="319"/>
      <c r="AX225" s="319"/>
      <c r="AY225" s="319"/>
      <c r="AZ225" s="319"/>
      <c r="BA225" s="319">
        <v>5011016</v>
      </c>
    </row>
    <row r="226" spans="1:53" ht="13.2" hidden="1">
      <c r="A226" s="12"/>
      <c r="B226" s="1" t="str">
        <f>B248</f>
        <v>Custo total de eletricidade</v>
      </c>
      <c r="C226" s="1"/>
      <c r="D226" s="1358">
        <f>W222*W220+D224</f>
        <v>0</v>
      </c>
      <c r="E226" s="1"/>
      <c r="F226" s="1"/>
      <c r="G226" s="1"/>
      <c r="H226" s="1"/>
      <c r="I226" s="1"/>
      <c r="J226" s="1"/>
      <c r="K226" s="1"/>
      <c r="L226" s="1"/>
      <c r="M226" s="1"/>
      <c r="N226" s="1"/>
      <c r="O226" s="1"/>
      <c r="P226" s="1"/>
      <c r="Q226" s="1"/>
      <c r="R226" s="1"/>
      <c r="S226" s="9"/>
      <c r="T226" s="1"/>
      <c r="U226" s="319"/>
      <c r="V226" s="319"/>
      <c r="W226" s="319"/>
      <c r="X226" s="319"/>
      <c r="Y226" s="319"/>
      <c r="Z226" s="319"/>
      <c r="AA226" s="319"/>
      <c r="AB226" s="319"/>
      <c r="AC226" s="319"/>
      <c r="AD226" s="319"/>
      <c r="AE226" s="319"/>
      <c r="AF226" s="319"/>
      <c r="AG226" s="319"/>
      <c r="AH226" s="319"/>
      <c r="AI226" s="319"/>
      <c r="AJ226" s="319"/>
      <c r="AK226" s="319"/>
      <c r="AL226" s="319"/>
      <c r="AM226" s="319"/>
      <c r="AN226" s="319"/>
      <c r="AO226" s="319"/>
      <c r="AP226" s="319"/>
      <c r="AQ226" s="319"/>
      <c r="AR226" s="319"/>
      <c r="AS226" s="319"/>
      <c r="AT226" s="319"/>
      <c r="AU226" s="319"/>
      <c r="AV226" s="319"/>
      <c r="AW226" s="319"/>
      <c r="AX226" s="319"/>
      <c r="AY226" s="319"/>
      <c r="AZ226" s="319"/>
      <c r="BA226" s="319">
        <v>5011018</v>
      </c>
    </row>
    <row r="227" spans="1:53" ht="13.8" hidden="1" thickBot="1">
      <c r="A227" s="448"/>
      <c r="B227" s="51"/>
      <c r="C227" s="51"/>
      <c r="D227" s="51"/>
      <c r="E227" s="51"/>
      <c r="F227" s="51"/>
      <c r="G227" s="51"/>
      <c r="H227" s="51"/>
      <c r="I227" s="51"/>
      <c r="J227" s="51"/>
      <c r="K227" s="51"/>
      <c r="L227" s="51"/>
      <c r="M227" s="51"/>
      <c r="N227" s="51"/>
      <c r="O227" s="51"/>
      <c r="P227" s="51"/>
      <c r="Q227" s="51"/>
      <c r="R227" s="51"/>
      <c r="S227" s="60"/>
      <c r="T227" s="1"/>
      <c r="U227" s="319"/>
      <c r="V227" s="319"/>
      <c r="W227" s="319"/>
      <c r="X227" s="319"/>
      <c r="Y227" s="319"/>
      <c r="Z227" s="319"/>
      <c r="AA227" s="319"/>
      <c r="AB227" s="319"/>
      <c r="AC227" s="319"/>
      <c r="AD227" s="319"/>
      <c r="AE227" s="319"/>
      <c r="AF227" s="319"/>
      <c r="AG227" s="319"/>
      <c r="AH227" s="319"/>
      <c r="AI227" s="319"/>
      <c r="AJ227" s="319"/>
      <c r="AK227" s="319"/>
      <c r="AL227" s="319"/>
      <c r="AM227" s="319"/>
      <c r="AN227" s="319"/>
      <c r="AO227" s="319"/>
      <c r="AP227" s="319"/>
      <c r="AQ227" s="319"/>
      <c r="AR227" s="319"/>
      <c r="AS227" s="319"/>
      <c r="AT227" s="319"/>
      <c r="AU227" s="319"/>
      <c r="AV227" s="319"/>
      <c r="AW227" s="319"/>
      <c r="AX227" s="319"/>
      <c r="AY227" s="319"/>
      <c r="AZ227" s="319"/>
      <c r="BA227" s="319">
        <v>45100</v>
      </c>
    </row>
    <row r="228" spans="1:53" ht="13.8" thickTop="1">
      <c r="A228" s="1172" t="str">
        <f>Language!C371</f>
        <v>Características da carga do caso de referência</v>
      </c>
      <c r="B228" s="1173"/>
      <c r="C228" s="1183"/>
      <c r="D228" s="1183"/>
      <c r="E228" s="1183"/>
      <c r="F228" s="1183"/>
      <c r="G228" s="1183"/>
      <c r="H228" s="1183"/>
      <c r="I228" s="1184"/>
      <c r="J228" s="1172" t="str">
        <f>Language!C372</f>
        <v>Características da carga do caso proposto</v>
      </c>
      <c r="K228" s="1173"/>
      <c r="L228" s="1173"/>
      <c r="M228" s="1173"/>
      <c r="N228" s="1181"/>
      <c r="O228" s="1181"/>
      <c r="P228" s="1181"/>
      <c r="Q228" s="1181"/>
      <c r="R228" s="1181"/>
      <c r="S228" s="1182"/>
      <c r="T228" s="1"/>
      <c r="U228" s="319"/>
      <c r="V228" s="319"/>
      <c r="W228" s="319"/>
      <c r="X228" s="319"/>
      <c r="Y228" s="319"/>
      <c r="Z228" s="319"/>
      <c r="AA228" s="319"/>
      <c r="AB228" s="319"/>
      <c r="AC228" s="319"/>
      <c r="AD228" s="319"/>
      <c r="AE228" s="319"/>
      <c r="AF228" s="319"/>
      <c r="AG228" s="319" t="s">
        <v>3258</v>
      </c>
      <c r="AH228" s="319"/>
      <c r="AI228" s="319"/>
      <c r="AJ228" s="319"/>
      <c r="AK228" s="319"/>
      <c r="AL228" s="319"/>
      <c r="AM228" s="319"/>
      <c r="AN228" s="319"/>
      <c r="AO228" s="319"/>
      <c r="AP228" s="319"/>
      <c r="AQ228" s="319"/>
      <c r="AR228" s="319"/>
      <c r="AS228" s="319"/>
      <c r="AT228" s="319"/>
      <c r="AU228" s="319"/>
      <c r="AV228" s="319"/>
      <c r="AW228" s="319"/>
      <c r="AX228" s="319"/>
      <c r="AY228" s="319"/>
      <c r="AZ228" s="319">
        <v>46000</v>
      </c>
      <c r="BA228" s="319">
        <v>47000</v>
      </c>
    </row>
    <row r="229" spans="1:53" ht="63.3" customHeight="1">
      <c r="A229" s="12"/>
      <c r="B229" s="701" t="str">
        <f>Iniciar!B56</f>
        <v>Mês</v>
      </c>
      <c r="C229" s="1067"/>
      <c r="D229" s="61" t="str">
        <f>Language!C373</f>
        <v>Eletricidade
carga média bruta 
kW</v>
      </c>
      <c r="E229" s="61" t="str">
        <f>Language!C378</f>
        <v>Eletricidade
carga média líq.
kW</v>
      </c>
      <c r="F229" s="61" t="str">
        <f>Language!C374</f>
        <v>Refrigeração 
% de tempo 
de operação 
do processo</v>
      </c>
      <c r="G229" s="61" t="str">
        <f>Language!C375</f>
        <v>Refrigeração
carga média
kW</v>
      </c>
      <c r="H229" s="61" t="str">
        <f>Language!C376</f>
        <v>Aquecimento 
% de tempo 
de operação 
do processo</v>
      </c>
      <c r="I229" s="61" t="str">
        <f>Language!C377</f>
        <v>Aquecimento
carga média
kW</v>
      </c>
      <c r="J229" s="700" t="str">
        <f>Iniciar!B56</f>
        <v>Mês</v>
      </c>
      <c r="K229" s="62"/>
      <c r="L229" s="61" t="str">
        <f>Language!C378</f>
        <v>Eletricidade
carga média líq.
kW</v>
      </c>
      <c r="M229" s="61" t="str">
        <f>Language!C379</f>
        <v>Eletricidade
para refrigeração
kW</v>
      </c>
      <c r="N229" s="61" t="str">
        <f>Language!C380</f>
        <v>Carga
do sistema elétrico
kW</v>
      </c>
      <c r="O229" s="61" t="str">
        <f>Language!C381</f>
        <v>Carga
do sistema
de refrigeração
kW</v>
      </c>
      <c r="P229" s="61" t="str">
        <f>Language!C382</f>
        <v>Aquecimento
carga média líq.
kW</v>
      </c>
      <c r="Q229" s="61" t="str">
        <f>Language!C383</f>
        <v>Calor 
para 
produção de frio 
kW</v>
      </c>
      <c r="R229" s="61" t="str">
        <f>Language!C384</f>
        <v>Carga 
do sistema
de aquecimento 
kW</v>
      </c>
      <c r="S229" s="63"/>
      <c r="T229" s="1"/>
      <c r="U229" s="319"/>
      <c r="V229" s="319"/>
      <c r="W229" s="319">
        <f>IF(HideCode_projectType2=2,IF(OR(EM_gridtype=1,EM_gridtype=3),0,1),1)</f>
        <v>0</v>
      </c>
      <c r="X229" s="319"/>
      <c r="Y229" s="319"/>
      <c r="Z229" s="319"/>
      <c r="AA229" s="495" t="str">
        <f>Language!C189</f>
        <v xml:space="preserve">Eletricidade </v>
      </c>
      <c r="AB229" s="495"/>
      <c r="AC229" s="495" t="str">
        <f>Language!C190</f>
        <v>Aquecimento</v>
      </c>
      <c r="AD229" s="495"/>
      <c r="AE229" s="495" t="str">
        <f>Language!C191</f>
        <v>Refrigeração</v>
      </c>
      <c r="AF229" s="495"/>
      <c r="AG229" s="319"/>
      <c r="AH229" s="319" t="s">
        <v>1566</v>
      </c>
      <c r="AI229" s="319" t="s">
        <v>3862</v>
      </c>
      <c r="AJ229" s="319"/>
      <c r="AK229" s="319"/>
      <c r="AL229" s="319" t="s">
        <v>5368</v>
      </c>
      <c r="AM229" s="319"/>
      <c r="AN229" s="319" t="s">
        <v>1566</v>
      </c>
      <c r="AO229" s="319" t="s">
        <v>2506</v>
      </c>
      <c r="AP229" s="319"/>
      <c r="AQ229" s="319"/>
      <c r="AR229" s="319"/>
      <c r="AS229" s="319"/>
      <c r="AT229" s="319"/>
      <c r="AU229" s="319"/>
      <c r="AV229" s="319"/>
      <c r="AW229" s="319"/>
      <c r="AX229" s="319"/>
      <c r="AY229" s="319"/>
      <c r="AZ229" s="319">
        <v>46000</v>
      </c>
      <c r="BA229" s="319">
        <v>47000</v>
      </c>
    </row>
    <row r="230" spans="1:53" ht="13.2">
      <c r="A230" s="68" t="str">
        <f>Language!C263</f>
        <v>Janeiro</v>
      </c>
      <c r="B230" s="64" t="str">
        <f>J230</f>
        <v>Janeiro</v>
      </c>
      <c r="C230" s="904" t="str">
        <f t="shared" ref="C230:C241" si="68">IF(W230-AI321&lt;0,$Q$266,"")</f>
        <v/>
      </c>
      <c r="D230" s="1000"/>
      <c r="E230" s="1053">
        <f t="shared" ref="E230:E241" si="69">IF(W230-AI321&lt;0,0,W230-AI321)</f>
        <v>0</v>
      </c>
      <c r="F230" s="916"/>
      <c r="G230" s="1053">
        <f t="shared" ref="G230:G241" si="70">IF(OR(HideCode_projectType2&lt;3,HideCode_projectType2=4),0,Q321)</f>
        <v>0</v>
      </c>
      <c r="H230" s="916"/>
      <c r="I230" s="1053">
        <f>J321</f>
        <v>0</v>
      </c>
      <c r="J230" s="12" t="str">
        <f>Language!C251</f>
        <v>Janeiro</v>
      </c>
      <c r="K230" s="1"/>
      <c r="L230" s="1053">
        <f>E230*(1-$D$251)</f>
        <v>0</v>
      </c>
      <c r="M230" s="1053">
        <f t="shared" ref="M230:M241" si="71">IF(OR(HideCode_projectType2=5,HideCode_projectType2=7),AT321,0)</f>
        <v>0</v>
      </c>
      <c r="N230" s="1053">
        <f>IF(OR(HideCode_projectType2=1,HideCode_projectType2=3,HideCode_projectType2=6),0,L230+M230)</f>
        <v>0</v>
      </c>
      <c r="O230" s="1053">
        <f t="shared" ref="O230:O241" si="72">(1-IF(HideCodeLN_CPT&lt;4,$D$131,$D$158))*G230</f>
        <v>0</v>
      </c>
      <c r="P230" s="1053">
        <f t="shared" ref="P230:P241" si="73">(1-IF(HideCodeLN_HPT&lt;4,$D$26,$D$53))*I230</f>
        <v>0</v>
      </c>
      <c r="Q230" s="1053">
        <f t="shared" ref="Q230:Q241" si="74">IF(OR(HideCode_projectType2=6,HideCode_projectType2=7),AS321,0)</f>
        <v>0</v>
      </c>
      <c r="R230" s="1053">
        <f>IF(OR(HideCode_projectType2=2,HideCode_projectType2=3,HideCode_projectType2=5),0,P230+Q230)</f>
        <v>0</v>
      </c>
      <c r="S230" s="66"/>
      <c r="T230" s="1"/>
      <c r="U230" s="319"/>
      <c r="V230" s="319"/>
      <c r="W230" s="319">
        <f>IF($W$229=0,0,D230)</f>
        <v>0</v>
      </c>
      <c r="X230" s="319"/>
      <c r="Y230" s="319"/>
      <c r="Z230" s="319"/>
      <c r="AA230" s="319">
        <f t="shared" ref="AA230:AA241" si="75">IF(OR(HideCode_projectType2=2,HideCode_projectType2=4,HideCode_projectType2=5,HideCode_projectType2=7),W230,"")</f>
        <v>0</v>
      </c>
      <c r="AB230" s="319">
        <f>N230</f>
        <v>0</v>
      </c>
      <c r="AC230" s="319" t="str">
        <f>IF(OR(HideCode_projectType2=1,HideCode_projectType2=4,HideCode_projectType2&gt;5),I230,"")</f>
        <v/>
      </c>
      <c r="AD230" s="319">
        <f>R230</f>
        <v>0</v>
      </c>
      <c r="AE230" s="319" t="str">
        <f t="shared" ref="AE230:AE241" si="76">IF(OR(HideCode_projectType2=3,HideCode_projectType2&gt;4),G230,"")</f>
        <v/>
      </c>
      <c r="AF230" s="319">
        <f>O230</f>
        <v>0</v>
      </c>
      <c r="AG230" s="319"/>
      <c r="AH230" s="319" t="s">
        <v>1301</v>
      </c>
      <c r="AI230" s="319" t="s">
        <v>1301</v>
      </c>
      <c r="AJ230" s="319" t="s">
        <v>2744</v>
      </c>
      <c r="AK230" s="319" t="s">
        <v>4798</v>
      </c>
      <c r="AL230" s="319"/>
      <c r="AM230" s="319"/>
      <c r="AN230" s="319" t="s">
        <v>5913</v>
      </c>
      <c r="AO230" s="319" t="s">
        <v>1301</v>
      </c>
      <c r="AP230" s="319" t="s">
        <v>2744</v>
      </c>
      <c r="AQ230" s="319" t="s">
        <v>4798</v>
      </c>
      <c r="AR230" s="319" t="s">
        <v>5368</v>
      </c>
      <c r="AS230" s="319"/>
      <c r="AT230" s="319"/>
      <c r="AU230" s="319"/>
      <c r="AV230" s="319"/>
      <c r="AW230" s="319"/>
      <c r="AX230" s="319"/>
      <c r="AY230" s="319"/>
      <c r="AZ230" s="319">
        <v>46000</v>
      </c>
      <c r="BA230" s="319">
        <v>47000</v>
      </c>
    </row>
    <row r="231" spans="1:53" ht="13.2">
      <c r="A231" s="68" t="str">
        <f>Language!C264</f>
        <v>Fev</v>
      </c>
      <c r="B231" s="64" t="str">
        <f t="shared" ref="B231:B241" si="77">J231</f>
        <v>Fevereiro</v>
      </c>
      <c r="C231" s="904" t="str">
        <f t="shared" si="68"/>
        <v/>
      </c>
      <c r="D231" s="1000"/>
      <c r="E231" s="1053">
        <f t="shared" si="69"/>
        <v>0</v>
      </c>
      <c r="F231" s="916"/>
      <c r="G231" s="1053">
        <f t="shared" si="70"/>
        <v>0</v>
      </c>
      <c r="H231" s="916"/>
      <c r="I231" s="1053">
        <f>J322</f>
        <v>0</v>
      </c>
      <c r="J231" s="12" t="str">
        <f>Language!C252</f>
        <v>Fevereiro</v>
      </c>
      <c r="K231" s="1"/>
      <c r="L231" s="1053">
        <f t="shared" ref="L231:L241" si="78">E231*(1-$D$251)</f>
        <v>0</v>
      </c>
      <c r="M231" s="1053">
        <f t="shared" si="71"/>
        <v>0</v>
      </c>
      <c r="N231" s="1053">
        <f t="shared" ref="N231:N241" si="79">IF(OR(HideCode_projectType2=1,HideCode_projectType2=3,HideCode_projectType2=6),0,L231+M231)</f>
        <v>0</v>
      </c>
      <c r="O231" s="1053">
        <f t="shared" si="72"/>
        <v>0</v>
      </c>
      <c r="P231" s="1053">
        <f t="shared" si="73"/>
        <v>0</v>
      </c>
      <c r="Q231" s="1053">
        <f t="shared" si="74"/>
        <v>0</v>
      </c>
      <c r="R231" s="1053">
        <f t="shared" ref="R231:R241" si="80">IF(OR(HideCode_projectType2=2,HideCode_projectType2=3,HideCode_projectType2=5),0,P231+Q231)</f>
        <v>0</v>
      </c>
      <c r="S231" s="66"/>
      <c r="T231" s="1"/>
      <c r="U231" s="319"/>
      <c r="V231" s="319"/>
      <c r="W231" s="319">
        <f t="shared" ref="W231:W240" si="81">IF($W$229=0,0,D231)</f>
        <v>0</v>
      </c>
      <c r="X231" s="319"/>
      <c r="Y231" s="319"/>
      <c r="Z231" s="319"/>
      <c r="AA231" s="319">
        <f t="shared" si="75"/>
        <v>0</v>
      </c>
      <c r="AB231" s="319">
        <f t="shared" ref="AB231:AB241" si="82">N231</f>
        <v>0</v>
      </c>
      <c r="AC231" s="319" t="str">
        <f>IF(OR(HideCode_projectType2=1,HideCode_projectType2=4,HideCode_projectType2&gt;5),I231,"")</f>
        <v/>
      </c>
      <c r="AD231" s="319">
        <f t="shared" ref="AD231:AD241" si="83">R231</f>
        <v>0</v>
      </c>
      <c r="AE231" s="319" t="str">
        <f t="shared" si="76"/>
        <v/>
      </c>
      <c r="AF231" s="319">
        <f t="shared" ref="AF231:AF241" si="84">O231</f>
        <v>0</v>
      </c>
      <c r="AG231" s="319" t="s">
        <v>5744</v>
      </c>
      <c r="AH231" s="319"/>
      <c r="AI231" s="319">
        <f>X126</f>
        <v>0</v>
      </c>
      <c r="AJ231" s="319"/>
      <c r="AK231" s="319">
        <v>1</v>
      </c>
      <c r="AL231" s="319"/>
      <c r="AM231" s="319" t="s">
        <v>5744</v>
      </c>
      <c r="AN231" s="319"/>
      <c r="AO231" s="319">
        <f>X21</f>
        <v>0</v>
      </c>
      <c r="AP231" s="319"/>
      <c r="AQ231" s="319">
        <v>1</v>
      </c>
      <c r="AR231" s="319"/>
      <c r="AS231" s="319"/>
      <c r="AT231" s="319"/>
      <c r="AU231" s="319"/>
      <c r="AV231" s="319"/>
      <c r="AW231" s="319"/>
      <c r="AX231" s="319"/>
      <c r="AY231" s="319"/>
      <c r="AZ231" s="319">
        <v>46000</v>
      </c>
      <c r="BA231" s="319">
        <v>47000</v>
      </c>
    </row>
    <row r="232" spans="1:53" ht="13.2">
      <c r="A232" s="68" t="str">
        <f>Language!C265</f>
        <v>Mar</v>
      </c>
      <c r="B232" s="64" t="str">
        <f t="shared" si="77"/>
        <v>Março</v>
      </c>
      <c r="C232" s="904" t="str">
        <f t="shared" si="68"/>
        <v/>
      </c>
      <c r="D232" s="1000"/>
      <c r="E232" s="1053">
        <f t="shared" si="69"/>
        <v>0</v>
      </c>
      <c r="F232" s="916"/>
      <c r="G232" s="1053">
        <f t="shared" si="70"/>
        <v>0</v>
      </c>
      <c r="H232" s="916"/>
      <c r="I232" s="1053">
        <f t="shared" ref="I232:I241" si="85">J323</f>
        <v>0</v>
      </c>
      <c r="J232" s="12" t="str">
        <f>Language!C253</f>
        <v>Março</v>
      </c>
      <c r="K232" s="1"/>
      <c r="L232" s="1053">
        <f t="shared" si="78"/>
        <v>0</v>
      </c>
      <c r="M232" s="1053">
        <f t="shared" si="71"/>
        <v>0</v>
      </c>
      <c r="N232" s="1053">
        <f t="shared" si="79"/>
        <v>0</v>
      </c>
      <c r="O232" s="1053">
        <f t="shared" si="72"/>
        <v>0</v>
      </c>
      <c r="P232" s="1053">
        <f t="shared" si="73"/>
        <v>0</v>
      </c>
      <c r="Q232" s="1053">
        <f t="shared" si="74"/>
        <v>0</v>
      </c>
      <c r="R232" s="1053">
        <f t="shared" si="80"/>
        <v>0</v>
      </c>
      <c r="S232" s="66"/>
      <c r="T232" s="1"/>
      <c r="U232" s="319"/>
      <c r="V232" s="319"/>
      <c r="W232" s="319">
        <f t="shared" si="81"/>
        <v>0</v>
      </c>
      <c r="X232" s="319"/>
      <c r="Y232" s="319"/>
      <c r="Z232" s="319"/>
      <c r="AA232" s="319">
        <f t="shared" si="75"/>
        <v>0</v>
      </c>
      <c r="AB232" s="319">
        <f t="shared" si="82"/>
        <v>0</v>
      </c>
      <c r="AC232" s="319" t="str">
        <f t="shared" ref="AC232:AC241" si="86">IF(OR(HideCode_projectType2=1,HideCode_projectType2=4,HideCode_projectType2&gt;5),I232,"")</f>
        <v/>
      </c>
      <c r="AD232" s="319">
        <f t="shared" si="83"/>
        <v>0</v>
      </c>
      <c r="AE232" s="319" t="str">
        <f t="shared" si="76"/>
        <v/>
      </c>
      <c r="AF232" s="319">
        <f t="shared" si="84"/>
        <v>0</v>
      </c>
      <c r="AG232" s="319" t="s">
        <v>4823</v>
      </c>
      <c r="AH232" s="319">
        <f>IF(AND(AJ232&lt;=0,U120=1),0,X119)</f>
        <v>0</v>
      </c>
      <c r="AI232" s="319">
        <v>0</v>
      </c>
      <c r="AJ232" s="319">
        <f>IF(OR(HideCodeLN_CPT=4,HideCodeLN_CPT=7),IF(U120=1,D122,0),IF(U120=1,D122,0))</f>
        <v>0</v>
      </c>
      <c r="AK232" s="319">
        <v>2</v>
      </c>
      <c r="AL232" s="319">
        <f>U120</f>
        <v>1</v>
      </c>
      <c r="AM232" s="319" t="s">
        <v>4823</v>
      </c>
      <c r="AN232" s="319">
        <f>IF(AND(AP232&lt;=0,U15=1),0,X14)</f>
        <v>0</v>
      </c>
      <c r="AO232" s="319">
        <v>0</v>
      </c>
      <c r="AP232" s="319">
        <f>IF(OR(HideCodeLN_HPT=4,HideCodeLN_HPT=7),IF(U15=1,D17,0),IF(U15=1,D17,0))</f>
        <v>0</v>
      </c>
      <c r="AQ232" s="319">
        <v>2</v>
      </c>
      <c r="AR232" s="319">
        <f>U15</f>
        <v>1</v>
      </c>
      <c r="AS232" s="319"/>
      <c r="AT232" s="319"/>
      <c r="AU232" s="319"/>
      <c r="AV232" s="319"/>
      <c r="AW232" s="319"/>
      <c r="AX232" s="319"/>
      <c r="AY232" s="319"/>
      <c r="AZ232" s="319">
        <v>46000</v>
      </c>
      <c r="BA232" s="319">
        <v>47000</v>
      </c>
    </row>
    <row r="233" spans="1:53" ht="13.2">
      <c r="A233" s="68" t="str">
        <f>Language!C266</f>
        <v>Abr</v>
      </c>
      <c r="B233" s="64" t="str">
        <f t="shared" si="77"/>
        <v>Abril</v>
      </c>
      <c r="C233" s="904" t="str">
        <f t="shared" si="68"/>
        <v/>
      </c>
      <c r="D233" s="1000"/>
      <c r="E233" s="1053">
        <f t="shared" si="69"/>
        <v>0</v>
      </c>
      <c r="F233" s="916"/>
      <c r="G233" s="1053">
        <f t="shared" si="70"/>
        <v>0</v>
      </c>
      <c r="H233" s="916"/>
      <c r="I233" s="1053">
        <f t="shared" si="85"/>
        <v>0</v>
      </c>
      <c r="J233" s="12" t="str">
        <f>Language!C254</f>
        <v>Abril</v>
      </c>
      <c r="K233" s="1"/>
      <c r="L233" s="1053">
        <f t="shared" si="78"/>
        <v>0</v>
      </c>
      <c r="M233" s="1053">
        <f t="shared" si="71"/>
        <v>0</v>
      </c>
      <c r="N233" s="1053">
        <f t="shared" si="79"/>
        <v>0</v>
      </c>
      <c r="O233" s="1053">
        <f t="shared" si="72"/>
        <v>0</v>
      </c>
      <c r="P233" s="1053">
        <f t="shared" si="73"/>
        <v>0</v>
      </c>
      <c r="Q233" s="1053">
        <f t="shared" si="74"/>
        <v>0</v>
      </c>
      <c r="R233" s="1053">
        <f t="shared" si="80"/>
        <v>0</v>
      </c>
      <c r="S233" s="66"/>
      <c r="T233" s="1"/>
      <c r="U233" s="319"/>
      <c r="V233" s="319"/>
      <c r="W233" s="319">
        <f t="shared" si="81"/>
        <v>0</v>
      </c>
      <c r="X233" s="319"/>
      <c r="Y233" s="319"/>
      <c r="Z233" s="319"/>
      <c r="AA233" s="319">
        <f t="shared" si="75"/>
        <v>0</v>
      </c>
      <c r="AB233" s="319">
        <f t="shared" si="82"/>
        <v>0</v>
      </c>
      <c r="AC233" s="319" t="str">
        <f t="shared" si="86"/>
        <v/>
      </c>
      <c r="AD233" s="319">
        <f t="shared" si="83"/>
        <v>0</v>
      </c>
      <c r="AE233" s="319" t="str">
        <f t="shared" si="76"/>
        <v/>
      </c>
      <c r="AF233" s="319">
        <f t="shared" si="84"/>
        <v>0</v>
      </c>
      <c r="AG233" s="319"/>
      <c r="AH233" s="319">
        <f>AH232</f>
        <v>0</v>
      </c>
      <c r="AI233" s="319">
        <f>X126-AH233</f>
        <v>0</v>
      </c>
      <c r="AJ233" s="319">
        <f>IF(U120=1,D122,D121)</f>
        <v>0</v>
      </c>
      <c r="AK233" s="319">
        <v>3</v>
      </c>
      <c r="AL233" s="319">
        <f>U120</f>
        <v>1</v>
      </c>
      <c r="AM233" s="319"/>
      <c r="AN233" s="319">
        <f>AN232</f>
        <v>0</v>
      </c>
      <c r="AO233" s="319">
        <f>X21-AN233</f>
        <v>0</v>
      </c>
      <c r="AP233" s="319">
        <f>IF(U15=1,D17,D16)</f>
        <v>0</v>
      </c>
      <c r="AQ233" s="319">
        <v>3</v>
      </c>
      <c r="AR233" s="319">
        <f>U15</f>
        <v>1</v>
      </c>
      <c r="AS233" s="319"/>
      <c r="AT233" s="319"/>
      <c r="AU233" s="319"/>
      <c r="AV233" s="319"/>
      <c r="AW233" s="319"/>
      <c r="AX233" s="319"/>
      <c r="AY233" s="319"/>
      <c r="AZ233" s="319">
        <v>46000</v>
      </c>
      <c r="BA233" s="319">
        <v>47000</v>
      </c>
    </row>
    <row r="234" spans="1:53" ht="13.2">
      <c r="A234" s="68" t="str">
        <f>Language!C267</f>
        <v>Mai</v>
      </c>
      <c r="B234" s="64" t="str">
        <f t="shared" si="77"/>
        <v>Maio</v>
      </c>
      <c r="C234" s="904" t="str">
        <f t="shared" si="68"/>
        <v/>
      </c>
      <c r="D234" s="1000"/>
      <c r="E234" s="1053">
        <f t="shared" si="69"/>
        <v>0</v>
      </c>
      <c r="F234" s="916"/>
      <c r="G234" s="1053">
        <f t="shared" si="70"/>
        <v>0</v>
      </c>
      <c r="H234" s="916"/>
      <c r="I234" s="1053">
        <f t="shared" si="85"/>
        <v>0</v>
      </c>
      <c r="J234" s="12" t="str">
        <f>Language!C255</f>
        <v>Maio</v>
      </c>
      <c r="K234" s="1"/>
      <c r="L234" s="1053">
        <f t="shared" si="78"/>
        <v>0</v>
      </c>
      <c r="M234" s="1053">
        <f t="shared" si="71"/>
        <v>0</v>
      </c>
      <c r="N234" s="1053">
        <f t="shared" si="79"/>
        <v>0</v>
      </c>
      <c r="O234" s="1053">
        <f t="shared" si="72"/>
        <v>0</v>
      </c>
      <c r="P234" s="1053">
        <f t="shared" si="73"/>
        <v>0</v>
      </c>
      <c r="Q234" s="1053">
        <f t="shared" si="74"/>
        <v>0</v>
      </c>
      <c r="R234" s="1053">
        <f t="shared" si="80"/>
        <v>0</v>
      </c>
      <c r="S234" s="66"/>
      <c r="T234" s="1"/>
      <c r="U234" s="319"/>
      <c r="V234" s="319"/>
      <c r="W234" s="319">
        <f t="shared" si="81"/>
        <v>0</v>
      </c>
      <c r="X234" s="319"/>
      <c r="Y234" s="319"/>
      <c r="Z234" s="319"/>
      <c r="AA234" s="319">
        <f t="shared" si="75"/>
        <v>0</v>
      </c>
      <c r="AB234" s="319">
        <f t="shared" si="82"/>
        <v>0</v>
      </c>
      <c r="AC234" s="319" t="str">
        <f t="shared" si="86"/>
        <v/>
      </c>
      <c r="AD234" s="319">
        <f t="shared" si="83"/>
        <v>0</v>
      </c>
      <c r="AE234" s="319" t="str">
        <f t="shared" si="76"/>
        <v/>
      </c>
      <c r="AF234" s="319">
        <f t="shared" si="84"/>
        <v>0</v>
      </c>
      <c r="AG234" s="319" t="s">
        <v>4490</v>
      </c>
      <c r="AH234" s="319"/>
      <c r="AI234" s="319">
        <f>Tot_peak_cl_load</f>
        <v>0</v>
      </c>
      <c r="AJ234" s="319"/>
      <c r="AK234" s="319">
        <v>4</v>
      </c>
      <c r="AL234" s="319"/>
      <c r="AM234" s="319" t="s">
        <v>4490</v>
      </c>
      <c r="AN234" s="319"/>
      <c r="AO234" s="319">
        <f>Tot_peak_ht_load</f>
        <v>0</v>
      </c>
      <c r="AP234" s="319"/>
      <c r="AQ234" s="319">
        <v>4</v>
      </c>
      <c r="AR234" s="319"/>
      <c r="AS234" s="319"/>
      <c r="AT234" s="319"/>
      <c r="AU234" s="319"/>
      <c r="AV234" s="319"/>
      <c r="AW234" s="319"/>
      <c r="AX234" s="319"/>
      <c r="AY234" s="319"/>
      <c r="AZ234" s="319">
        <v>46000</v>
      </c>
      <c r="BA234" s="319">
        <v>47000</v>
      </c>
    </row>
    <row r="235" spans="1:53" ht="13.2">
      <c r="A235" s="68" t="str">
        <f>Language!C268</f>
        <v>Junho</v>
      </c>
      <c r="B235" s="64" t="str">
        <f t="shared" si="77"/>
        <v>Junho</v>
      </c>
      <c r="C235" s="904" t="str">
        <f t="shared" si="68"/>
        <v/>
      </c>
      <c r="D235" s="1000"/>
      <c r="E235" s="1053">
        <f t="shared" si="69"/>
        <v>0</v>
      </c>
      <c r="F235" s="916"/>
      <c r="G235" s="1053">
        <f t="shared" si="70"/>
        <v>0</v>
      </c>
      <c r="H235" s="916"/>
      <c r="I235" s="1053">
        <f t="shared" si="85"/>
        <v>0</v>
      </c>
      <c r="J235" s="12" t="str">
        <f>Language!C256</f>
        <v>Junho</v>
      </c>
      <c r="K235" s="1"/>
      <c r="L235" s="1053">
        <f t="shared" si="78"/>
        <v>0</v>
      </c>
      <c r="M235" s="1053">
        <f t="shared" si="71"/>
        <v>0</v>
      </c>
      <c r="N235" s="1053">
        <f t="shared" si="79"/>
        <v>0</v>
      </c>
      <c r="O235" s="1053">
        <f t="shared" si="72"/>
        <v>0</v>
      </c>
      <c r="P235" s="1053">
        <f t="shared" si="73"/>
        <v>0</v>
      </c>
      <c r="Q235" s="1053">
        <f t="shared" si="74"/>
        <v>0</v>
      </c>
      <c r="R235" s="1053">
        <f t="shared" si="80"/>
        <v>0</v>
      </c>
      <c r="S235" s="66"/>
      <c r="T235" s="1"/>
      <c r="U235" s="319"/>
      <c r="V235" s="319"/>
      <c r="W235" s="319">
        <f t="shared" si="81"/>
        <v>0</v>
      </c>
      <c r="X235" s="319"/>
      <c r="Y235" s="319"/>
      <c r="Z235" s="319"/>
      <c r="AA235" s="319">
        <f t="shared" si="75"/>
        <v>0</v>
      </c>
      <c r="AB235" s="319">
        <f t="shared" si="82"/>
        <v>0</v>
      </c>
      <c r="AC235" s="319" t="str">
        <f t="shared" si="86"/>
        <v/>
      </c>
      <c r="AD235" s="319">
        <f t="shared" si="83"/>
        <v>0</v>
      </c>
      <c r="AE235" s="319" t="str">
        <f t="shared" si="76"/>
        <v/>
      </c>
      <c r="AF235" s="319">
        <f t="shared" si="84"/>
        <v>0</v>
      </c>
      <c r="AG235" s="319" t="s">
        <v>3461</v>
      </c>
      <c r="AH235" s="319">
        <f>D144</f>
        <v>0</v>
      </c>
      <c r="AI235" s="319">
        <v>0</v>
      </c>
      <c r="AJ235" s="319" t="e">
        <f>IF(OR(HideCodeLN_CPT=4,HideCodeLN_CPT=7),IF(U145=1,AG144,0),IF(U145=1,AG144,0))</f>
        <v>#DIV/0!</v>
      </c>
      <c r="AK235" s="319">
        <v>5</v>
      </c>
      <c r="AL235" s="319">
        <f>$U$145</f>
        <v>1</v>
      </c>
      <c r="AM235" s="319" t="s">
        <v>3461</v>
      </c>
      <c r="AN235" s="319">
        <f>X39</f>
        <v>0</v>
      </c>
      <c r="AO235" s="319"/>
      <c r="AP235" s="319" t="e">
        <f>IF(OR(HideCodeLN_HPT=4,HideCodeLN_HPT=7),IF(U40=1,AG39,0),IF(U40=1,AG39,0))</f>
        <v>#DIV/0!</v>
      </c>
      <c r="AQ235" s="319">
        <v>5</v>
      </c>
      <c r="AR235" s="319">
        <f>U40</f>
        <v>1</v>
      </c>
      <c r="AS235" s="319"/>
      <c r="AT235" s="319"/>
      <c r="AU235" s="319"/>
      <c r="AV235" s="319"/>
      <c r="AW235" s="319"/>
      <c r="AX235" s="319"/>
      <c r="AY235" s="319"/>
      <c r="AZ235" s="319">
        <v>46000</v>
      </c>
      <c r="BA235" s="319">
        <v>47000</v>
      </c>
    </row>
    <row r="236" spans="1:53" ht="13.2">
      <c r="A236" s="68" t="str">
        <f>Language!C269</f>
        <v>Julho</v>
      </c>
      <c r="B236" s="64" t="str">
        <f t="shared" si="77"/>
        <v>Julho</v>
      </c>
      <c r="C236" s="904" t="str">
        <f t="shared" si="68"/>
        <v/>
      </c>
      <c r="D236" s="1000"/>
      <c r="E236" s="1053">
        <f t="shared" si="69"/>
        <v>0</v>
      </c>
      <c r="F236" s="916"/>
      <c r="G236" s="1053">
        <f t="shared" si="70"/>
        <v>0</v>
      </c>
      <c r="H236" s="916"/>
      <c r="I236" s="1053">
        <f t="shared" si="85"/>
        <v>0</v>
      </c>
      <c r="J236" s="12" t="str">
        <f>Language!C257</f>
        <v>Julho</v>
      </c>
      <c r="K236" s="1"/>
      <c r="L236" s="1053">
        <f t="shared" si="78"/>
        <v>0</v>
      </c>
      <c r="M236" s="1053">
        <f t="shared" si="71"/>
        <v>0</v>
      </c>
      <c r="N236" s="1053">
        <f t="shared" si="79"/>
        <v>0</v>
      </c>
      <c r="O236" s="1053">
        <f t="shared" si="72"/>
        <v>0</v>
      </c>
      <c r="P236" s="1053">
        <f t="shared" si="73"/>
        <v>0</v>
      </c>
      <c r="Q236" s="1053">
        <f t="shared" si="74"/>
        <v>0</v>
      </c>
      <c r="R236" s="1053">
        <f t="shared" si="80"/>
        <v>0</v>
      </c>
      <c r="S236" s="66"/>
      <c r="T236" s="1"/>
      <c r="U236" s="319"/>
      <c r="V236" s="319"/>
      <c r="W236" s="319">
        <f t="shared" si="81"/>
        <v>0</v>
      </c>
      <c r="X236" s="319"/>
      <c r="Y236" s="319"/>
      <c r="Z236" s="319"/>
      <c r="AA236" s="319">
        <f t="shared" si="75"/>
        <v>0</v>
      </c>
      <c r="AB236" s="319">
        <f t="shared" si="82"/>
        <v>0</v>
      </c>
      <c r="AC236" s="319" t="str">
        <f t="shared" si="86"/>
        <v/>
      </c>
      <c r="AD236" s="319">
        <f t="shared" si="83"/>
        <v>0</v>
      </c>
      <c r="AE236" s="319" t="str">
        <f t="shared" si="76"/>
        <v/>
      </c>
      <c r="AF236" s="319">
        <f t="shared" si="84"/>
        <v>0</v>
      </c>
      <c r="AG236" s="319"/>
      <c r="AH236" s="319">
        <f>AH235</f>
        <v>0</v>
      </c>
      <c r="AI236" s="319">
        <f>Tot_peak_cl_load-AH236</f>
        <v>0</v>
      </c>
      <c r="AJ236" s="319" t="e">
        <f>AJ235</f>
        <v>#DIV/0!</v>
      </c>
      <c r="AK236" s="319">
        <v>6</v>
      </c>
      <c r="AL236" s="319">
        <f>$U$145</f>
        <v>1</v>
      </c>
      <c r="AM236" s="319"/>
      <c r="AN236" s="319">
        <f>AN235</f>
        <v>0</v>
      </c>
      <c r="AO236" s="319">
        <f>Tot_peak_ht_load-AN236</f>
        <v>0</v>
      </c>
      <c r="AP236" s="319" t="e">
        <f>AP235</f>
        <v>#DIV/0!</v>
      </c>
      <c r="AQ236" s="319">
        <v>6</v>
      </c>
      <c r="AR236" s="319">
        <f>U40</f>
        <v>1</v>
      </c>
      <c r="AS236" s="319"/>
      <c r="AT236" s="319"/>
      <c r="AU236" s="319"/>
      <c r="AV236" s="319"/>
      <c r="AW236" s="319"/>
      <c r="AX236" s="319"/>
      <c r="AY236" s="319"/>
      <c r="AZ236" s="319">
        <v>46000</v>
      </c>
      <c r="BA236" s="319">
        <v>47000</v>
      </c>
    </row>
    <row r="237" spans="1:53" ht="13.2">
      <c r="A237" s="68" t="str">
        <f>Language!C270</f>
        <v>Ago</v>
      </c>
      <c r="B237" s="64" t="str">
        <f t="shared" si="77"/>
        <v>Agosto</v>
      </c>
      <c r="C237" s="904" t="str">
        <f t="shared" si="68"/>
        <v/>
      </c>
      <c r="D237" s="1000"/>
      <c r="E237" s="1053">
        <f t="shared" si="69"/>
        <v>0</v>
      </c>
      <c r="F237" s="916"/>
      <c r="G237" s="1053">
        <f t="shared" si="70"/>
        <v>0</v>
      </c>
      <c r="H237" s="916"/>
      <c r="I237" s="1053">
        <f t="shared" si="85"/>
        <v>0</v>
      </c>
      <c r="J237" s="12" t="str">
        <f>Language!C258</f>
        <v>Agosto</v>
      </c>
      <c r="K237" s="1"/>
      <c r="L237" s="1053">
        <f t="shared" si="78"/>
        <v>0</v>
      </c>
      <c r="M237" s="1053">
        <f t="shared" si="71"/>
        <v>0</v>
      </c>
      <c r="N237" s="1053">
        <f t="shared" si="79"/>
        <v>0</v>
      </c>
      <c r="O237" s="1053">
        <f t="shared" si="72"/>
        <v>0</v>
      </c>
      <c r="P237" s="1053">
        <f t="shared" si="73"/>
        <v>0</v>
      </c>
      <c r="Q237" s="1053">
        <f t="shared" si="74"/>
        <v>0</v>
      </c>
      <c r="R237" s="1053">
        <f t="shared" si="80"/>
        <v>0</v>
      </c>
      <c r="S237" s="66"/>
      <c r="T237" s="1"/>
      <c r="U237" s="319"/>
      <c r="V237" s="319"/>
      <c r="W237" s="319">
        <f t="shared" si="81"/>
        <v>0</v>
      </c>
      <c r="X237" s="319"/>
      <c r="Y237" s="319"/>
      <c r="Z237" s="319"/>
      <c r="AA237" s="319">
        <f t="shared" si="75"/>
        <v>0</v>
      </c>
      <c r="AB237" s="319">
        <f t="shared" si="82"/>
        <v>0</v>
      </c>
      <c r="AC237" s="319" t="str">
        <f t="shared" si="86"/>
        <v/>
      </c>
      <c r="AD237" s="319">
        <f t="shared" si="83"/>
        <v>0</v>
      </c>
      <c r="AE237" s="319" t="str">
        <f t="shared" si="76"/>
        <v/>
      </c>
      <c r="AF237" s="319">
        <f t="shared" si="84"/>
        <v>0</v>
      </c>
      <c r="AG237" s="319"/>
      <c r="AH237" s="319"/>
      <c r="AI237" s="319"/>
      <c r="AJ237" s="319"/>
      <c r="AK237" s="319"/>
      <c r="AL237" s="319"/>
      <c r="AM237" s="319"/>
      <c r="AN237" s="319"/>
      <c r="AO237" s="319"/>
      <c r="AP237" s="319"/>
      <c r="AQ237" s="319"/>
      <c r="AR237" s="319"/>
      <c r="AS237" s="319"/>
      <c r="AT237" s="319"/>
      <c r="AU237" s="319"/>
      <c r="AV237" s="319"/>
      <c r="AW237" s="319"/>
      <c r="AX237" s="319"/>
      <c r="AY237" s="319"/>
      <c r="AZ237" s="319">
        <v>46000</v>
      </c>
      <c r="BA237" s="319">
        <v>47000</v>
      </c>
    </row>
    <row r="238" spans="1:53" ht="13.2">
      <c r="A238" s="68" t="str">
        <f>Language!C271</f>
        <v>Set</v>
      </c>
      <c r="B238" s="64" t="str">
        <f t="shared" si="77"/>
        <v>Setembro</v>
      </c>
      <c r="C238" s="904" t="str">
        <f t="shared" si="68"/>
        <v/>
      </c>
      <c r="D238" s="1000"/>
      <c r="E238" s="1053">
        <f t="shared" si="69"/>
        <v>0</v>
      </c>
      <c r="F238" s="916"/>
      <c r="G238" s="1053">
        <f t="shared" si="70"/>
        <v>0</v>
      </c>
      <c r="H238" s="916"/>
      <c r="I238" s="1053">
        <f t="shared" si="85"/>
        <v>0</v>
      </c>
      <c r="J238" s="12" t="str">
        <f>Language!C259</f>
        <v>Setembro</v>
      </c>
      <c r="K238" s="1"/>
      <c r="L238" s="1053">
        <f t="shared" si="78"/>
        <v>0</v>
      </c>
      <c r="M238" s="1053">
        <f t="shared" si="71"/>
        <v>0</v>
      </c>
      <c r="N238" s="1053">
        <f t="shared" si="79"/>
        <v>0</v>
      </c>
      <c r="O238" s="1053">
        <f t="shared" si="72"/>
        <v>0</v>
      </c>
      <c r="P238" s="1053">
        <f t="shared" si="73"/>
        <v>0</v>
      </c>
      <c r="Q238" s="1053">
        <f t="shared" si="74"/>
        <v>0</v>
      </c>
      <c r="R238" s="1053">
        <f t="shared" si="80"/>
        <v>0</v>
      </c>
      <c r="S238" s="66"/>
      <c r="T238" s="1"/>
      <c r="U238" s="319"/>
      <c r="V238" s="319"/>
      <c r="W238" s="319">
        <f t="shared" si="81"/>
        <v>0</v>
      </c>
      <c r="X238" s="319"/>
      <c r="Y238" s="319"/>
      <c r="Z238" s="319"/>
      <c r="AA238" s="319">
        <f t="shared" si="75"/>
        <v>0</v>
      </c>
      <c r="AB238" s="319">
        <f t="shared" si="82"/>
        <v>0</v>
      </c>
      <c r="AC238" s="319" t="str">
        <f t="shared" si="86"/>
        <v/>
      </c>
      <c r="AD238" s="319">
        <f t="shared" si="83"/>
        <v>0</v>
      </c>
      <c r="AE238" s="319" t="str">
        <f t="shared" si="76"/>
        <v/>
      </c>
      <c r="AF238" s="319">
        <f t="shared" si="84"/>
        <v>0</v>
      </c>
      <c r="AG238" s="319" t="s">
        <v>1724</v>
      </c>
      <c r="AH238" s="319">
        <f>SUMIF($AK$231:$AK$236,AH239,AH231:AH236)</f>
        <v>0</v>
      </c>
      <c r="AI238" s="319">
        <f>SUMIF($AK$231:$AK$236,AH239,AI231:AI236)</f>
        <v>0</v>
      </c>
      <c r="AJ238" s="319">
        <f>SUMIF($AK$231:$AK$236,AH239,AJ231:AJ236)</f>
        <v>0</v>
      </c>
      <c r="AK238" s="319">
        <f>SUMIF($AK$231:$AK$236,AH239,AK231:AK236)</f>
        <v>1</v>
      </c>
      <c r="AL238" s="319">
        <f>SUMIF($AK$231:$AK$236,AH239,AL231:AL236)</f>
        <v>0</v>
      </c>
      <c r="AM238" s="319" t="s">
        <v>1724</v>
      </c>
      <c r="AN238" s="319">
        <f>SUMIF($AQ$231:$AQ$236,$AN$239,AN231:AN236)</f>
        <v>0</v>
      </c>
      <c r="AO238" s="319">
        <f>SUMIF($AQ$231:$AQ$236,AN239,AO231:AO236)</f>
        <v>0</v>
      </c>
      <c r="AP238" s="319">
        <f>SUMIF($AQ$231:$AQ$236,AN239,AP231:AP236)</f>
        <v>0</v>
      </c>
      <c r="AQ238" s="319">
        <f>SUMIF($AQ$231:$AQ$236,AN239,AQ231:AQ236)</f>
        <v>1</v>
      </c>
      <c r="AR238" s="319">
        <f>SUMIF($AQ$231:$AQ$236,AN239,AR231:AR236)</f>
        <v>0</v>
      </c>
      <c r="AS238" s="319"/>
      <c r="AT238" s="319"/>
      <c r="AU238" s="319"/>
      <c r="AV238" s="319"/>
      <c r="AW238" s="319"/>
      <c r="AX238" s="319"/>
      <c r="AY238" s="319"/>
      <c r="AZ238" s="319">
        <v>46000</v>
      </c>
      <c r="BA238" s="319">
        <v>47000</v>
      </c>
    </row>
    <row r="239" spans="1:53" ht="13.2">
      <c r="A239" s="68" t="str">
        <f>Language!C272</f>
        <v>Out</v>
      </c>
      <c r="B239" s="64" t="str">
        <f t="shared" si="77"/>
        <v>Outubro</v>
      </c>
      <c r="C239" s="904" t="str">
        <f t="shared" si="68"/>
        <v/>
      </c>
      <c r="D239" s="1000"/>
      <c r="E239" s="1053">
        <f t="shared" si="69"/>
        <v>0</v>
      </c>
      <c r="F239" s="916"/>
      <c r="G239" s="1053">
        <f t="shared" si="70"/>
        <v>0</v>
      </c>
      <c r="H239" s="916"/>
      <c r="I239" s="1053">
        <f t="shared" si="85"/>
        <v>0</v>
      </c>
      <c r="J239" s="12" t="str">
        <f>Language!C260</f>
        <v>Outubro</v>
      </c>
      <c r="K239" s="1"/>
      <c r="L239" s="1053">
        <f t="shared" si="78"/>
        <v>0</v>
      </c>
      <c r="M239" s="1053">
        <f t="shared" si="71"/>
        <v>0</v>
      </c>
      <c r="N239" s="1053">
        <f t="shared" si="79"/>
        <v>0</v>
      </c>
      <c r="O239" s="1053">
        <f t="shared" si="72"/>
        <v>0</v>
      </c>
      <c r="P239" s="1053">
        <f t="shared" si="73"/>
        <v>0</v>
      </c>
      <c r="Q239" s="1053">
        <f t="shared" si="74"/>
        <v>0</v>
      </c>
      <c r="R239" s="1053">
        <f t="shared" si="80"/>
        <v>0</v>
      </c>
      <c r="S239" s="66"/>
      <c r="T239" s="1"/>
      <c r="U239" s="319"/>
      <c r="V239" s="319"/>
      <c r="W239" s="319">
        <f t="shared" si="81"/>
        <v>0</v>
      </c>
      <c r="X239" s="319"/>
      <c r="Y239" s="319"/>
      <c r="Z239" s="319"/>
      <c r="AA239" s="319">
        <f t="shared" si="75"/>
        <v>0</v>
      </c>
      <c r="AB239" s="319">
        <f t="shared" si="82"/>
        <v>0</v>
      </c>
      <c r="AC239" s="319" t="str">
        <f t="shared" si="86"/>
        <v/>
      </c>
      <c r="AD239" s="319">
        <f t="shared" si="83"/>
        <v>0</v>
      </c>
      <c r="AE239" s="319" t="str">
        <f t="shared" si="76"/>
        <v/>
      </c>
      <c r="AF239" s="319">
        <f t="shared" si="84"/>
        <v>0</v>
      </c>
      <c r="AG239" s="319"/>
      <c r="AH239" s="319">
        <f>IF(HideCodeLN_CPT&gt;6,HideCodeLN_CPT-3,HideCodeLN_CPT)</f>
        <v>1</v>
      </c>
      <c r="AI239" s="319"/>
      <c r="AJ239" s="319"/>
      <c r="AK239" s="319"/>
      <c r="AL239" s="319"/>
      <c r="AM239" s="319"/>
      <c r="AN239" s="319">
        <f>IF(HideCodeLN_HPT&gt;6,HideCodeLN_HPT-3,HideCodeLN_HPT)</f>
        <v>1</v>
      </c>
      <c r="AO239" s="319"/>
      <c r="AP239" s="319"/>
      <c r="AQ239" s="319"/>
      <c r="AR239" s="319"/>
      <c r="AS239" s="319"/>
      <c r="AT239" s="319"/>
      <c r="AU239" s="319"/>
      <c r="AV239" s="319"/>
      <c r="AW239" s="319"/>
      <c r="AX239" s="319"/>
      <c r="AY239" s="319"/>
      <c r="AZ239" s="319">
        <v>46000</v>
      </c>
      <c r="BA239" s="319">
        <v>47000</v>
      </c>
    </row>
    <row r="240" spans="1:53" ht="13.2">
      <c r="A240" s="68" t="str">
        <f>Language!C273</f>
        <v>Novembro</v>
      </c>
      <c r="B240" s="64" t="str">
        <f t="shared" si="77"/>
        <v>Novembro</v>
      </c>
      <c r="C240" s="904" t="str">
        <f t="shared" si="68"/>
        <v/>
      </c>
      <c r="D240" s="1000"/>
      <c r="E240" s="1053">
        <f t="shared" si="69"/>
        <v>0</v>
      </c>
      <c r="F240" s="916"/>
      <c r="G240" s="1053">
        <f t="shared" si="70"/>
        <v>0</v>
      </c>
      <c r="H240" s="916"/>
      <c r="I240" s="1053">
        <f t="shared" si="85"/>
        <v>0</v>
      </c>
      <c r="J240" s="12" t="str">
        <f>Language!C261</f>
        <v>Novembro</v>
      </c>
      <c r="K240" s="1"/>
      <c r="L240" s="1053">
        <f t="shared" si="78"/>
        <v>0</v>
      </c>
      <c r="M240" s="1053">
        <f t="shared" si="71"/>
        <v>0</v>
      </c>
      <c r="N240" s="1053">
        <f t="shared" si="79"/>
        <v>0</v>
      </c>
      <c r="O240" s="1053">
        <f t="shared" si="72"/>
        <v>0</v>
      </c>
      <c r="P240" s="1053">
        <f t="shared" si="73"/>
        <v>0</v>
      </c>
      <c r="Q240" s="1053">
        <f t="shared" si="74"/>
        <v>0</v>
      </c>
      <c r="R240" s="1053">
        <f t="shared" si="80"/>
        <v>0</v>
      </c>
      <c r="S240" s="66"/>
      <c r="T240" s="1"/>
      <c r="U240" s="319"/>
      <c r="V240" s="319"/>
      <c r="W240" s="319">
        <f t="shared" si="81"/>
        <v>0</v>
      </c>
      <c r="X240" s="319"/>
      <c r="Y240" s="319"/>
      <c r="Z240" s="319"/>
      <c r="AA240" s="319">
        <f t="shared" si="75"/>
        <v>0</v>
      </c>
      <c r="AB240" s="319">
        <f t="shared" si="82"/>
        <v>0</v>
      </c>
      <c r="AC240" s="319" t="str">
        <f t="shared" si="86"/>
        <v/>
      </c>
      <c r="AD240" s="319">
        <f t="shared" si="83"/>
        <v>0</v>
      </c>
      <c r="AE240" s="319" t="str">
        <f t="shared" si="76"/>
        <v/>
      </c>
      <c r="AF240" s="319">
        <f t="shared" si="84"/>
        <v>0</v>
      </c>
      <c r="AG240" s="319"/>
      <c r="AH240" s="319"/>
      <c r="AI240" s="319"/>
      <c r="AJ240" s="319"/>
      <c r="AK240" s="319"/>
      <c r="AL240" s="319"/>
      <c r="AM240" s="319"/>
      <c r="AN240" s="319"/>
      <c r="AO240" s="319"/>
      <c r="AP240" s="319"/>
      <c r="AQ240" s="319"/>
      <c r="AR240" s="319"/>
      <c r="AS240" s="319"/>
      <c r="AT240" s="319"/>
      <c r="AU240" s="319"/>
      <c r="AV240" s="319"/>
      <c r="AW240" s="319"/>
      <c r="AX240" s="319"/>
      <c r="AY240" s="319"/>
      <c r="AZ240" s="319">
        <v>46000</v>
      </c>
      <c r="BA240" s="319">
        <v>47000</v>
      </c>
    </row>
    <row r="241" spans="1:53" ht="13.2">
      <c r="A241" s="68" t="str">
        <f>Language!C274</f>
        <v>Dez</v>
      </c>
      <c r="B241" s="64" t="str">
        <f t="shared" si="77"/>
        <v>Dezembro</v>
      </c>
      <c r="C241" s="904" t="str">
        <f t="shared" si="68"/>
        <v/>
      </c>
      <c r="D241" s="1000"/>
      <c r="E241" s="1053">
        <f t="shared" si="69"/>
        <v>0</v>
      </c>
      <c r="F241" s="916"/>
      <c r="G241" s="1053">
        <f t="shared" si="70"/>
        <v>0</v>
      </c>
      <c r="H241" s="916"/>
      <c r="I241" s="1053">
        <f t="shared" si="85"/>
        <v>0</v>
      </c>
      <c r="J241" s="12" t="str">
        <f>Language!C262</f>
        <v>Dezembro</v>
      </c>
      <c r="K241" s="1"/>
      <c r="L241" s="1053">
        <f t="shared" si="78"/>
        <v>0</v>
      </c>
      <c r="M241" s="1053">
        <f t="shared" si="71"/>
        <v>0</v>
      </c>
      <c r="N241" s="1053">
        <f t="shared" si="79"/>
        <v>0</v>
      </c>
      <c r="O241" s="1053">
        <f t="shared" si="72"/>
        <v>0</v>
      </c>
      <c r="P241" s="1053">
        <f t="shared" si="73"/>
        <v>0</v>
      </c>
      <c r="Q241" s="1053">
        <f t="shared" si="74"/>
        <v>0</v>
      </c>
      <c r="R241" s="1053">
        <f t="shared" si="80"/>
        <v>0</v>
      </c>
      <c r="S241" s="66"/>
      <c r="T241" s="1"/>
      <c r="U241" s="319"/>
      <c r="V241" s="319"/>
      <c r="W241" s="319">
        <f>IF($W$229=0,0,D241)</f>
        <v>0</v>
      </c>
      <c r="X241" s="319">
        <v>9.9999999999999995E-8</v>
      </c>
      <c r="Y241" s="319" t="s">
        <v>990</v>
      </c>
      <c r="Z241" s="319"/>
      <c r="AA241" s="319">
        <f t="shared" si="75"/>
        <v>0</v>
      </c>
      <c r="AB241" s="319">
        <f t="shared" si="82"/>
        <v>0</v>
      </c>
      <c r="AC241" s="319" t="str">
        <f t="shared" si="86"/>
        <v/>
      </c>
      <c r="AD241" s="319">
        <f t="shared" si="83"/>
        <v>0</v>
      </c>
      <c r="AE241" s="319" t="str">
        <f t="shared" si="76"/>
        <v/>
      </c>
      <c r="AF241" s="319">
        <f t="shared" si="84"/>
        <v>0</v>
      </c>
      <c r="AG241" s="319"/>
      <c r="AH241" s="319"/>
      <c r="AI241" s="319"/>
      <c r="AJ241" s="319"/>
      <c r="AK241" s="319"/>
      <c r="AL241" s="319"/>
      <c r="AM241" s="319"/>
      <c r="AN241" s="319"/>
      <c r="AO241" s="319"/>
      <c r="AP241" s="319"/>
      <c r="AQ241" s="319"/>
      <c r="AR241" s="319"/>
      <c r="AS241" s="319"/>
      <c r="AT241" s="319"/>
      <c r="AU241" s="319"/>
      <c r="AV241" s="319"/>
      <c r="AW241" s="319"/>
      <c r="AX241" s="319"/>
      <c r="AY241" s="319"/>
      <c r="AZ241" s="319">
        <v>46000</v>
      </c>
      <c r="BA241" s="319">
        <v>47000</v>
      </c>
    </row>
    <row r="242" spans="1:53" ht="13.2">
      <c r="A242" s="12"/>
      <c r="B242" s="64"/>
      <c r="C242" s="67"/>
      <c r="D242" s="67"/>
      <c r="E242" s="67"/>
      <c r="F242" s="67"/>
      <c r="G242" s="915"/>
      <c r="H242" s="915"/>
      <c r="I242" s="1053"/>
      <c r="J242" s="12"/>
      <c r="K242" s="1"/>
      <c r="L242" s="67"/>
      <c r="M242" s="67"/>
      <c r="N242" s="67"/>
      <c r="O242" s="67"/>
      <c r="P242" s="67"/>
      <c r="Q242" s="67"/>
      <c r="R242" s="67"/>
      <c r="S242" s="66"/>
      <c r="T242" s="1"/>
      <c r="U242" s="319"/>
      <c r="V242" s="319"/>
      <c r="W242" s="319"/>
      <c r="X242" s="319"/>
      <c r="Y242" s="319"/>
      <c r="Z242" s="319"/>
      <c r="AA242" s="319"/>
      <c r="AB242" s="319"/>
      <c r="AC242" s="319"/>
      <c r="AD242" s="319"/>
      <c r="AE242" s="319"/>
      <c r="AF242" s="319"/>
      <c r="AG242" s="319"/>
      <c r="AH242" s="319"/>
      <c r="AI242" s="319"/>
      <c r="AJ242" s="319"/>
      <c r="AK242" s="319"/>
      <c r="AL242" s="319"/>
      <c r="AM242" s="319"/>
      <c r="AN242" s="319"/>
      <c r="AO242" s="319"/>
      <c r="AP242" s="319"/>
      <c r="AQ242" s="319"/>
      <c r="AR242" s="319"/>
      <c r="AS242" s="319"/>
      <c r="AT242" s="319"/>
      <c r="AU242" s="319"/>
      <c r="AV242" s="319"/>
      <c r="AW242" s="319"/>
      <c r="AX242" s="319"/>
      <c r="AY242" s="319"/>
      <c r="AZ242" s="319">
        <v>46000</v>
      </c>
      <c r="BA242" s="319">
        <v>47000</v>
      </c>
    </row>
    <row r="243" spans="1:53" ht="12.75" customHeight="1">
      <c r="A243" s="449"/>
      <c r="B243" s="1179" t="str">
        <f>Language!C385</f>
        <v>Carga de ponta sist. elétrico acima da média mensal máxima</v>
      </c>
      <c r="C243" s="1180"/>
      <c r="D243" s="1068"/>
      <c r="E243" s="67">
        <f>IF(D244-AI333&lt;0,0,D244-AI333)</f>
        <v>0</v>
      </c>
      <c r="F243" s="917" t="str">
        <f>H243</f>
        <v>Retornar</v>
      </c>
      <c r="G243" s="915"/>
      <c r="H243" s="917" t="str">
        <f>Language!C395</f>
        <v>Retornar</v>
      </c>
      <c r="I243" s="1053"/>
      <c r="J243" s="12"/>
      <c r="K243" s="1"/>
      <c r="L243" s="67">
        <f>E243*(1-$D$251)</f>
        <v>0</v>
      </c>
      <c r="M243" s="67">
        <f>IF(OR(HideCode_projectType2=5,HideCode_projectType2=7),AT333,0)</f>
        <v>0</v>
      </c>
      <c r="N243" s="67">
        <f>IF(OR(HideCode_projectType2=1,HideCode_projectType2=3,HideCode_projectType2=6),0,L243+M243)</f>
        <v>0</v>
      </c>
      <c r="O243" s="67"/>
      <c r="P243" s="67"/>
      <c r="Q243" s="67"/>
      <c r="R243" s="67"/>
      <c r="S243" s="66"/>
      <c r="T243" s="1"/>
      <c r="U243" s="319"/>
      <c r="V243" s="319"/>
      <c r="W243" s="319">
        <f>IF($W$229=0,0,D243)</f>
        <v>0</v>
      </c>
      <c r="X243" s="319">
        <f>IF(OR(W243=0,W243=""),LN_zero,W243)</f>
        <v>9.9999999999999995E-8</v>
      </c>
      <c r="Y243" s="319"/>
      <c r="Z243" s="319"/>
      <c r="AA243" s="319"/>
      <c r="AB243" s="319">
        <f>MAX(AA230:AA241)</f>
        <v>0</v>
      </c>
      <c r="AC243" s="319">
        <f>MAX(AA230:AE241)</f>
        <v>0</v>
      </c>
      <c r="AD243" s="319">
        <f>AC243</f>
        <v>0</v>
      </c>
      <c r="AE243" s="319"/>
      <c r="AF243" s="319">
        <f>MAX(AE230:AE241)</f>
        <v>0</v>
      </c>
      <c r="AG243" s="319"/>
      <c r="AH243" s="319"/>
      <c r="AI243" s="319"/>
      <c r="AJ243" s="319"/>
      <c r="AK243" s="319"/>
      <c r="AL243" s="319"/>
      <c r="AM243" s="319"/>
      <c r="AN243" s="319"/>
      <c r="AO243" s="319"/>
      <c r="AP243" s="319"/>
      <c r="AQ243" s="319"/>
      <c r="AR243" s="319"/>
      <c r="AS243" s="319"/>
      <c r="AT243" s="319"/>
      <c r="AU243" s="319"/>
      <c r="AV243" s="319"/>
      <c r="AW243" s="319"/>
      <c r="AX243" s="319"/>
      <c r="AY243" s="319"/>
      <c r="AZ243" s="319">
        <v>46000</v>
      </c>
      <c r="BA243" s="319">
        <v>47000</v>
      </c>
    </row>
    <row r="244" spans="1:53" ht="13.2">
      <c r="A244" s="12"/>
      <c r="B244" s="64" t="str">
        <f>Language!C386</f>
        <v>Carga de pico - anual</v>
      </c>
      <c r="C244" s="65" t="str">
        <f>IF(D244-E244&lt;0,$Q$266,"")</f>
        <v/>
      </c>
      <c r="D244" s="1053">
        <f>MAX(W230:W241)*(1+X243)</f>
        <v>0</v>
      </c>
      <c r="E244" s="1053">
        <f>MAX(E230:E243)</f>
        <v>0</v>
      </c>
      <c r="F244" s="918">
        <v>1</v>
      </c>
      <c r="G244" s="1053">
        <f>IF(OR(HideCode_projectType2&lt;3,HideCode_projectType2=4),0,Q333)</f>
        <v>0</v>
      </c>
      <c r="H244" s="918">
        <v>1</v>
      </c>
      <c r="I244" s="1053">
        <f>J333</f>
        <v>0</v>
      </c>
      <c r="J244" s="12" t="str">
        <f>B244</f>
        <v>Carga de pico - anual</v>
      </c>
      <c r="K244" s="1"/>
      <c r="L244" s="1053">
        <f>MAX(L230:L243)</f>
        <v>0</v>
      </c>
      <c r="M244" s="1053">
        <f>MAX(M230:M243)</f>
        <v>0</v>
      </c>
      <c r="N244" s="1053">
        <f>MAX(N230:N243)</f>
        <v>0</v>
      </c>
      <c r="O244" s="1053">
        <f>(1-IF(HideCodeLN_CPT&lt;4,$D$131,$D$158))*G244</f>
        <v>0</v>
      </c>
      <c r="P244" s="1053">
        <f>(1-IF(HideCodeLN_HPT&lt;4,$D$26,$D$53))*I244</f>
        <v>0</v>
      </c>
      <c r="Q244" s="1053">
        <f>IF(OR(HideCode_projectType2=6,HideCode_projectType2=7),AS333,0)</f>
        <v>0</v>
      </c>
      <c r="R244" s="1053">
        <f>IF(OR(HideCode_projectType2=2,HideCode_projectType2=3,HideCode_projectType2=5),0,P244+Q244)</f>
        <v>0</v>
      </c>
      <c r="S244" s="66"/>
      <c r="T244" s="1"/>
      <c r="U244" s="319"/>
      <c r="V244" s="319"/>
      <c r="W244" s="319"/>
      <c r="X244" s="319"/>
      <c r="Y244" s="319"/>
      <c r="Z244" s="319"/>
      <c r="AA244" s="319"/>
      <c r="AB244" s="319"/>
      <c r="AC244" s="319"/>
      <c r="AD244" s="319">
        <v>0</v>
      </c>
      <c r="AE244" s="319"/>
      <c r="AF244" s="319">
        <v>0</v>
      </c>
      <c r="AG244" s="319"/>
      <c r="AH244" s="319"/>
      <c r="AI244" s="319"/>
      <c r="AJ244" s="319"/>
      <c r="AK244" s="319"/>
      <c r="AL244" s="319"/>
      <c r="AM244" s="319"/>
      <c r="AN244" s="319"/>
      <c r="AO244" s="319"/>
      <c r="AP244" s="319"/>
      <c r="AQ244" s="319"/>
      <c r="AR244" s="319"/>
      <c r="AS244" s="319"/>
      <c r="AT244" s="319"/>
      <c r="AU244" s="319"/>
      <c r="AV244" s="319"/>
      <c r="AW244" s="319"/>
      <c r="AX244" s="319"/>
      <c r="AY244" s="319"/>
      <c r="AZ244" s="319">
        <v>46000</v>
      </c>
      <c r="BA244" s="319">
        <v>47000</v>
      </c>
    </row>
    <row r="245" spans="1:53" ht="13.2">
      <c r="A245" s="449"/>
      <c r="B245" s="67"/>
      <c r="C245" s="67"/>
      <c r="D245" s="67"/>
      <c r="E245" s="67"/>
      <c r="F245" s="67"/>
      <c r="G245" s="67"/>
      <c r="H245" s="67"/>
      <c r="I245" s="67"/>
      <c r="J245" s="68">
        <f>MAX(MAX(E230:E241),MAX(G230:G241),MAX(I230:I241))</f>
        <v>0</v>
      </c>
      <c r="K245" s="1"/>
      <c r="L245" s="1"/>
      <c r="M245" s="1"/>
      <c r="N245" s="1"/>
      <c r="O245" s="1"/>
      <c r="P245" s="1"/>
      <c r="Q245" s="1"/>
      <c r="R245" s="1"/>
      <c r="S245" s="9"/>
      <c r="T245" s="1"/>
      <c r="U245" s="319"/>
      <c r="V245" s="319"/>
      <c r="W245" s="319"/>
      <c r="X245" s="319"/>
      <c r="Y245" s="319"/>
      <c r="Z245" s="319"/>
      <c r="AA245" s="319"/>
      <c r="AB245" s="319"/>
      <c r="AC245" s="319"/>
      <c r="AD245" s="319"/>
      <c r="AE245" s="319"/>
      <c r="AF245" s="319"/>
      <c r="AG245" s="319"/>
      <c r="AH245" s="319"/>
      <c r="AI245" s="319"/>
      <c r="AJ245" s="319"/>
      <c r="AK245" s="319"/>
      <c r="AL245" s="319"/>
      <c r="AM245" s="319"/>
      <c r="AN245" s="319"/>
      <c r="AO245" s="319"/>
      <c r="AP245" s="319"/>
      <c r="AQ245" s="319"/>
      <c r="AR245" s="319"/>
      <c r="AS245" s="319"/>
      <c r="AT245" s="319"/>
      <c r="AU245" s="319"/>
      <c r="AV245" s="319"/>
      <c r="AW245" s="319"/>
      <c r="AX245" s="319"/>
      <c r="AY245" s="319"/>
      <c r="AZ245" s="319">
        <v>46000</v>
      </c>
      <c r="BA245" s="319">
        <v>47000</v>
      </c>
    </row>
    <row r="246" spans="1:53" ht="13.2">
      <c r="A246" s="449"/>
      <c r="B246" s="67" t="str">
        <f>Language!C387</f>
        <v>Demanda de eletricidade</v>
      </c>
      <c r="C246" s="915" t="str">
        <f>Language!C1396</f>
        <v>MWh</v>
      </c>
      <c r="D246" s="1053">
        <f>(SUMPRODUCT(W230:W241,C321:C332)+C333*D244)/1000</f>
        <v>0</v>
      </c>
      <c r="E246" s="1053">
        <f>AJ335</f>
        <v>0</v>
      </c>
      <c r="F246" s="67"/>
      <c r="G246" s="67"/>
      <c r="H246" s="67"/>
      <c r="I246" s="67"/>
      <c r="J246" s="12"/>
      <c r="K246" s="1"/>
      <c r="L246" s="1"/>
      <c r="M246" s="1"/>
      <c r="N246" s="1"/>
      <c r="O246" s="1"/>
      <c r="P246" s="1"/>
      <c r="Q246" s="1"/>
      <c r="R246" s="1"/>
      <c r="S246" s="9"/>
      <c r="T246" s="1"/>
      <c r="U246" s="319"/>
      <c r="V246" s="319"/>
      <c r="W246" s="319"/>
      <c r="X246" s="319"/>
      <c r="Y246" s="319"/>
      <c r="Z246" s="319"/>
      <c r="AA246" s="319"/>
      <c r="AB246" s="319"/>
      <c r="AC246" s="319"/>
      <c r="AD246" s="319"/>
      <c r="AE246" s="319"/>
      <c r="AF246" s="319"/>
      <c r="AG246" s="319"/>
      <c r="AH246" s="319"/>
      <c r="AI246" s="319"/>
      <c r="AJ246" s="319"/>
      <c r="AK246" s="319"/>
      <c r="AL246" s="319"/>
      <c r="AM246" s="319"/>
      <c r="AN246" s="319"/>
      <c r="AO246" s="319"/>
      <c r="AP246" s="319"/>
      <c r="AQ246" s="319"/>
      <c r="AR246" s="319"/>
      <c r="AS246" s="319"/>
      <c r="AT246" s="319"/>
      <c r="AU246" s="319"/>
      <c r="AV246" s="319"/>
      <c r="AW246" s="319"/>
      <c r="AX246" s="319"/>
      <c r="AY246" s="319"/>
      <c r="AZ246" s="319">
        <v>46000</v>
      </c>
      <c r="BA246" s="319">
        <v>47000</v>
      </c>
    </row>
    <row r="247" spans="1:53" ht="13.2">
      <c r="A247" s="449"/>
      <c r="B247" s="67" t="str">
        <f>B225</f>
        <v>Preço da eletricidade - caso de referência</v>
      </c>
      <c r="C247" s="915" t="str">
        <f>Currency&amp;Language!C1297</f>
        <v>€/kWh</v>
      </c>
      <c r="D247" s="1064"/>
      <c r="E247" s="1065">
        <f>D247</f>
        <v>0</v>
      </c>
      <c r="F247" s="67"/>
      <c r="G247" s="67"/>
      <c r="H247" s="67"/>
      <c r="I247" s="67"/>
      <c r="J247" s="12"/>
      <c r="K247" s="1"/>
      <c r="L247" s="1"/>
      <c r="M247" s="1"/>
      <c r="N247" s="1"/>
      <c r="O247" s="1"/>
      <c r="P247" s="1"/>
      <c r="Q247" s="1"/>
      <c r="R247" s="1"/>
      <c r="S247" s="9"/>
      <c r="T247" s="1"/>
      <c r="U247" s="319"/>
      <c r="V247" s="319"/>
      <c r="W247" s="319"/>
      <c r="X247" s="319"/>
      <c r="Y247" s="319"/>
      <c r="Z247" s="319"/>
      <c r="AA247" s="319"/>
      <c r="AB247" s="319"/>
      <c r="AC247" s="319"/>
      <c r="AD247" s="319"/>
      <c r="AE247" s="319"/>
      <c r="AF247" s="319"/>
      <c r="AG247" s="319"/>
      <c r="AH247" s="319"/>
      <c r="AI247" s="319"/>
      <c r="AJ247" s="319"/>
      <c r="AK247" s="319"/>
      <c r="AL247" s="319"/>
      <c r="AM247" s="319"/>
      <c r="AN247" s="319"/>
      <c r="AO247" s="319"/>
      <c r="AP247" s="319"/>
      <c r="AQ247" s="319"/>
      <c r="AR247" s="319"/>
      <c r="AS247" s="319"/>
      <c r="AT247" s="319"/>
      <c r="AU247" s="319"/>
      <c r="AV247" s="319"/>
      <c r="AW247" s="319"/>
      <c r="AX247" s="319"/>
      <c r="AY247" s="319"/>
      <c r="AZ247" s="319">
        <v>46000</v>
      </c>
      <c r="BA247" s="319">
        <v>47000</v>
      </c>
    </row>
    <row r="248" spans="1:53" ht="13.2">
      <c r="A248" s="449"/>
      <c r="B248" s="67" t="str">
        <f>Language!C388</f>
        <v>Custo total de eletricidade</v>
      </c>
      <c r="C248" s="67"/>
      <c r="D248" s="1369">
        <f>D246*D247*1000</f>
        <v>0</v>
      </c>
      <c r="E248" s="1369">
        <f>E246*E247*1000</f>
        <v>0</v>
      </c>
      <c r="F248" s="67"/>
      <c r="G248" s="67"/>
      <c r="H248" s="67"/>
      <c r="I248" s="67"/>
      <c r="J248" s="12"/>
      <c r="K248" s="1"/>
      <c r="L248" s="1"/>
      <c r="M248" s="1"/>
      <c r="N248" s="1"/>
      <c r="O248" s="1"/>
      <c r="P248" s="1"/>
      <c r="Q248" s="1"/>
      <c r="R248" s="1"/>
      <c r="S248" s="9"/>
      <c r="T248" s="1"/>
      <c r="U248" s="319"/>
      <c r="V248" s="319"/>
      <c r="W248" s="319"/>
      <c r="X248" s="319"/>
      <c r="Y248" s="319"/>
      <c r="Z248" s="319"/>
      <c r="AA248" s="319"/>
      <c r="AB248" s="319"/>
      <c r="AC248" s="319"/>
      <c r="AD248" s="319"/>
      <c r="AE248" s="319"/>
      <c r="AF248" s="319"/>
      <c r="AG248" s="319"/>
      <c r="AH248" s="319"/>
      <c r="AI248" s="319"/>
      <c r="AJ248" s="319"/>
      <c r="AK248" s="319"/>
      <c r="AL248" s="319"/>
      <c r="AM248" s="319"/>
      <c r="AN248" s="319"/>
      <c r="AO248" s="319"/>
      <c r="AP248" s="319"/>
      <c r="AQ248" s="319"/>
      <c r="AR248" s="319"/>
      <c r="AS248" s="319"/>
      <c r="AT248" s="319"/>
      <c r="AU248" s="319"/>
      <c r="AV248" s="319"/>
      <c r="AW248" s="319"/>
      <c r="AX248" s="319"/>
      <c r="AY248" s="319"/>
      <c r="AZ248" s="319">
        <v>46000</v>
      </c>
      <c r="BA248" s="319">
        <v>47000</v>
      </c>
    </row>
    <row r="249" spans="1:53" ht="315.75" customHeight="1">
      <c r="A249" s="449"/>
      <c r="B249" s="67"/>
      <c r="C249" s="67"/>
      <c r="D249" s="67"/>
      <c r="E249" s="67"/>
      <c r="F249" s="67"/>
      <c r="G249" s="67"/>
      <c r="H249" s="67"/>
      <c r="I249" s="67"/>
      <c r="J249" s="12"/>
      <c r="K249" s="1"/>
      <c r="L249" s="1"/>
      <c r="M249" s="1"/>
      <c r="N249" s="1"/>
      <c r="O249" s="1"/>
      <c r="P249" s="1"/>
      <c r="Q249" s="1"/>
      <c r="R249" s="1"/>
      <c r="S249" s="9"/>
      <c r="T249" s="1"/>
      <c r="U249" s="319"/>
      <c r="V249" s="319"/>
      <c r="W249" s="319"/>
      <c r="X249" s="319"/>
      <c r="Y249" s="319"/>
      <c r="Z249" s="319"/>
      <c r="AA249" s="319"/>
      <c r="AB249" s="319"/>
      <c r="AC249" s="319"/>
      <c r="AD249" s="319"/>
      <c r="AE249" s="319"/>
      <c r="AF249" s="319"/>
      <c r="AG249" s="319"/>
      <c r="AH249" s="319"/>
      <c r="AI249" s="319"/>
      <c r="AJ249" s="319"/>
      <c r="AK249" s="319"/>
      <c r="AL249" s="319"/>
      <c r="AM249" s="319"/>
      <c r="AN249" s="319"/>
      <c r="AO249" s="319"/>
      <c r="AP249" s="319"/>
      <c r="AQ249" s="319"/>
      <c r="AR249" s="319"/>
      <c r="AS249" s="319"/>
      <c r="AT249" s="319"/>
      <c r="AU249" s="319"/>
      <c r="AV249" s="319"/>
      <c r="AW249" s="319"/>
      <c r="AX249" s="319"/>
      <c r="AY249" s="319"/>
      <c r="AZ249" s="319">
        <v>46000</v>
      </c>
      <c r="BA249" s="319">
        <v>47000</v>
      </c>
    </row>
    <row r="250" spans="1:53" ht="13.2">
      <c r="A250" s="1185" t="str">
        <f>A52</f>
        <v>Ações de eficiência energética do caso proposto</v>
      </c>
      <c r="B250" s="1186"/>
      <c r="C250" s="67"/>
      <c r="D250" s="67"/>
      <c r="E250" s="67"/>
      <c r="F250" s="67"/>
      <c r="G250" s="67"/>
      <c r="H250" s="67"/>
      <c r="I250" s="67"/>
      <c r="J250" s="12"/>
      <c r="K250" s="1"/>
      <c r="L250" s="1"/>
      <c r="M250" s="1"/>
      <c r="N250" s="1"/>
      <c r="O250" s="1"/>
      <c r="P250" s="1"/>
      <c r="Q250" s="1"/>
      <c r="R250" s="1"/>
      <c r="S250" s="9"/>
      <c r="T250" s="1"/>
      <c r="U250" s="319"/>
      <c r="V250" s="319"/>
      <c r="W250" s="319"/>
      <c r="X250" s="319"/>
      <c r="Y250" s="319"/>
      <c r="Z250" s="319"/>
      <c r="AA250" s="319"/>
      <c r="AB250" s="319"/>
      <c r="AC250" s="319"/>
      <c r="AD250" s="319"/>
      <c r="AE250" s="319"/>
      <c r="AF250" s="319"/>
      <c r="AG250" s="319"/>
      <c r="AH250" s="319"/>
      <c r="AI250" s="319"/>
      <c r="AJ250" s="319"/>
      <c r="AK250" s="319"/>
      <c r="AL250" s="319"/>
      <c r="AM250" s="319"/>
      <c r="AN250" s="319"/>
      <c r="AO250" s="319"/>
      <c r="AP250" s="319"/>
      <c r="AQ250" s="319"/>
      <c r="AR250" s="319"/>
      <c r="AS250" s="319"/>
      <c r="AT250" s="319"/>
      <c r="AU250" s="319"/>
      <c r="AV250" s="319"/>
      <c r="AW250" s="319"/>
      <c r="AX250" s="319"/>
      <c r="AY250" s="319"/>
      <c r="AZ250" s="319">
        <v>46100</v>
      </c>
      <c r="BA250" s="319">
        <v>47000</v>
      </c>
    </row>
    <row r="251" spans="1:53" ht="13.2">
      <c r="A251" s="449"/>
      <c r="B251" s="67" t="str">
        <f>B26</f>
        <v>Ações de eficiência energética no uso final</v>
      </c>
      <c r="C251" s="915" t="str">
        <f>C13</f>
        <v>%</v>
      </c>
      <c r="D251" s="1066"/>
      <c r="E251" s="67"/>
      <c r="F251" s="67"/>
      <c r="G251" s="67"/>
      <c r="H251" s="67"/>
      <c r="I251" s="67"/>
      <c r="J251" s="1187" t="str">
        <f>Language!C416</f>
        <v>Carga e demanda do caso proposto</v>
      </c>
      <c r="K251" s="1188"/>
      <c r="L251" s="1188"/>
      <c r="M251" s="5"/>
      <c r="N251" s="1054" t="str">
        <f>Language!C189</f>
        <v xml:space="preserve">Eletricidade </v>
      </c>
      <c r="O251" s="1088"/>
      <c r="P251" s="1054" t="str">
        <f>Language!C190</f>
        <v>Aquecimento</v>
      </c>
      <c r="Q251" s="1088"/>
      <c r="R251" s="1054" t="str">
        <f>Language!C191</f>
        <v>Refrigeração</v>
      </c>
      <c r="S251" s="6"/>
      <c r="T251" s="1"/>
      <c r="U251" s="319"/>
      <c r="V251" s="319"/>
      <c r="W251" s="319"/>
      <c r="X251" s="319"/>
      <c r="Y251" s="319"/>
      <c r="Z251" s="319"/>
      <c r="AA251" s="319"/>
      <c r="AB251" s="319"/>
      <c r="AC251" s="319"/>
      <c r="AD251" s="319"/>
      <c r="AE251" s="319"/>
      <c r="AF251" s="319"/>
      <c r="AG251" s="319"/>
      <c r="AH251" s="319"/>
      <c r="AI251" s="319"/>
      <c r="AJ251" s="319"/>
      <c r="AK251" s="319"/>
      <c r="AL251" s="319"/>
      <c r="AM251" s="319"/>
      <c r="AN251" s="319"/>
      <c r="AO251" s="319"/>
      <c r="AP251" s="319"/>
      <c r="AQ251" s="319"/>
      <c r="AR251" s="319"/>
      <c r="AS251" s="319"/>
      <c r="AT251" s="319"/>
      <c r="AU251" s="319"/>
      <c r="AV251" s="319"/>
      <c r="AW251" s="319"/>
      <c r="AX251" s="319"/>
      <c r="AY251" s="319"/>
      <c r="AZ251" s="319">
        <v>46102</v>
      </c>
      <c r="BA251" s="319">
        <v>47100</v>
      </c>
    </row>
    <row r="252" spans="1:53" ht="13.2">
      <c r="A252" s="449"/>
      <c r="B252" s="67" t="str">
        <f>Language!C390</f>
        <v>Carga ponta líquida de eletricidade</v>
      </c>
      <c r="C252" s="915" t="str">
        <f>C217</f>
        <v>kW</v>
      </c>
      <c r="D252" s="1053">
        <f>MAX(L230:L243)</f>
        <v>0</v>
      </c>
      <c r="E252" s="67"/>
      <c r="F252" s="67"/>
      <c r="G252" s="67"/>
      <c r="H252" s="67"/>
      <c r="I252" s="67"/>
      <c r="J252" s="1165" t="str">
        <f>Language!C187</f>
        <v>Carga de ponta do sistema</v>
      </c>
      <c r="K252" s="1166"/>
      <c r="L252" s="1166"/>
      <c r="M252" s="29" t="str">
        <f>IF(Unit=TRUE,Language!C1364,IF(OR(HideCode_projectType2=2,HideCode_projectType2=4,HideCode_projectType2=5,HideCode_projectType2=7),Language!C1364,""))</f>
        <v>kW</v>
      </c>
      <c r="N252" s="1053">
        <f>MAX(AK321:AK333)</f>
        <v>0</v>
      </c>
      <c r="O252" s="1053" t="str">
        <f>IF(Unit=TRUE,"",Language!C1383)</f>
        <v/>
      </c>
      <c r="P252" s="1053">
        <f>IF(Unit=TRUE,X260,Z260)</f>
        <v>0</v>
      </c>
      <c r="Q252" s="1053" t="str">
        <f>IF(Unit=TRUE,"",Language!C1403)</f>
        <v/>
      </c>
      <c r="R252" s="1053">
        <f>IF(Unit=TRUE,X262,Z262)</f>
        <v>0</v>
      </c>
      <c r="S252" s="9"/>
      <c r="T252" s="1"/>
      <c r="U252" s="319"/>
      <c r="V252" s="319"/>
      <c r="W252" s="319"/>
      <c r="X252" s="319"/>
      <c r="Y252" s="319"/>
      <c r="Z252" s="319"/>
      <c r="AA252" s="319"/>
      <c r="AB252" s="319"/>
      <c r="AC252" s="319"/>
      <c r="AD252" s="319"/>
      <c r="AE252" s="319"/>
      <c r="AF252" s="319"/>
      <c r="AG252" s="319"/>
      <c r="AH252" s="319"/>
      <c r="AI252" s="319"/>
      <c r="AJ252" s="319"/>
      <c r="AK252" s="319"/>
      <c r="AL252" s="319"/>
      <c r="AM252" s="319"/>
      <c r="AN252" s="319"/>
      <c r="AO252" s="319"/>
      <c r="AP252" s="319"/>
      <c r="AQ252" s="319"/>
      <c r="AR252" s="319"/>
      <c r="AS252" s="319"/>
      <c r="AT252" s="319"/>
      <c r="AU252" s="319"/>
      <c r="AV252" s="319"/>
      <c r="AW252" s="319"/>
      <c r="AX252" s="319"/>
      <c r="AY252" s="319"/>
      <c r="AZ252" s="319">
        <v>46104</v>
      </c>
      <c r="BA252" s="319">
        <v>47102</v>
      </c>
    </row>
    <row r="253" spans="1:53" ht="13.2">
      <c r="A253" s="449"/>
      <c r="B253" s="67" t="str">
        <f>Language!C391</f>
        <v>Demanda líquida de eletricidade</v>
      </c>
      <c r="C253" s="915" t="str">
        <f>C246</f>
        <v>MWh</v>
      </c>
      <c r="D253" s="1053">
        <f>(SUMPRODUCT(L230:L241,C321:C332)+C333*L243)/1000</f>
        <v>0</v>
      </c>
      <c r="E253" s="67"/>
      <c r="F253" s="67"/>
      <c r="G253" s="67"/>
      <c r="H253" s="67"/>
      <c r="I253" s="67"/>
      <c r="J253" s="1165" t="str">
        <f>Language!C188</f>
        <v>Demanda de Energia do sistema</v>
      </c>
      <c r="K253" s="1166"/>
      <c r="L253" s="1166"/>
      <c r="M253" s="29" t="str">
        <f>IF(Unit=TRUE,Language!C1396,IF(OR(HideCode_projectType2=2,HideCode_projectType2=4,HideCode_projectType2=5,HideCode_projectType2=7),Language!C1396,""))</f>
        <v>MWh</v>
      </c>
      <c r="N253" s="1053">
        <f>AK335</f>
        <v>0</v>
      </c>
      <c r="O253" s="1053" t="str">
        <f>IF(Unit=TRUE,"",Language!C1382)</f>
        <v/>
      </c>
      <c r="P253" s="1053">
        <f>IF(Unit=TRUE,X261,Z261)</f>
        <v>0</v>
      </c>
      <c r="Q253" s="1053" t="str">
        <f>IF(Unit=TRUE,"",Language!C1405)</f>
        <v/>
      </c>
      <c r="R253" s="1053">
        <f>IF(Unit=TRUE,X263,Z263)</f>
        <v>0</v>
      </c>
      <c r="S253" s="9"/>
      <c r="T253" s="1"/>
      <c r="U253" s="319"/>
      <c r="V253" s="319"/>
      <c r="W253" s="319"/>
      <c r="X253" s="319"/>
      <c r="Y253" s="319"/>
      <c r="Z253" s="319"/>
      <c r="AA253" s="319"/>
      <c r="AB253" s="319"/>
      <c r="AC253" s="319"/>
      <c r="AD253" s="319"/>
      <c r="AE253" s="319"/>
      <c r="AF253" s="319"/>
      <c r="AG253" s="319"/>
      <c r="AH253" s="319"/>
      <c r="AI253" s="319"/>
      <c r="AJ253" s="319"/>
      <c r="AK253" s="319"/>
      <c r="AL253" s="319"/>
      <c r="AM253" s="319"/>
      <c r="AN253" s="319"/>
      <c r="AO253" s="319"/>
      <c r="AP253" s="319"/>
      <c r="AQ253" s="319"/>
      <c r="AR253" s="319"/>
      <c r="AS253" s="319"/>
      <c r="AT253" s="319"/>
      <c r="AU253" s="319"/>
      <c r="AV253" s="319"/>
      <c r="AW253" s="319"/>
      <c r="AX253" s="319"/>
      <c r="AY253" s="319"/>
      <c r="AZ253" s="319">
        <v>46106</v>
      </c>
      <c r="BA253" s="319">
        <v>47104</v>
      </c>
    </row>
    <row r="254" spans="1:53" ht="13.2">
      <c r="A254" s="14"/>
      <c r="B254" s="15"/>
      <c r="C254" s="15"/>
      <c r="D254" s="15"/>
      <c r="E254" s="15"/>
      <c r="F254" s="15"/>
      <c r="G254" s="15"/>
      <c r="H254" s="15"/>
      <c r="I254" s="15"/>
      <c r="J254" s="14"/>
      <c r="K254" s="15"/>
      <c r="L254" s="15"/>
      <c r="M254" s="15"/>
      <c r="N254" s="15"/>
      <c r="O254" s="15"/>
      <c r="P254" s="15"/>
      <c r="Q254" s="15"/>
      <c r="R254" s="15"/>
      <c r="S254" s="11"/>
      <c r="T254" s="1"/>
      <c r="U254" s="319"/>
      <c r="V254" s="319"/>
      <c r="W254" s="319"/>
      <c r="X254" s="319"/>
      <c r="Y254" s="319"/>
      <c r="Z254" s="319"/>
      <c r="AA254" s="319"/>
      <c r="AB254" s="319"/>
      <c r="AC254" s="319"/>
      <c r="AD254" s="319"/>
      <c r="AE254" s="319"/>
      <c r="AF254" s="319"/>
      <c r="AG254" s="319"/>
      <c r="AH254" s="319"/>
      <c r="AI254" s="319"/>
      <c r="AJ254" s="319"/>
      <c r="AK254" s="319"/>
      <c r="AL254" s="319"/>
      <c r="AM254" s="319"/>
      <c r="AN254" s="319"/>
      <c r="AO254" s="319"/>
      <c r="AP254" s="319"/>
      <c r="AQ254" s="319"/>
      <c r="AR254" s="319"/>
      <c r="AS254" s="319"/>
      <c r="AT254" s="319"/>
      <c r="AU254" s="319"/>
      <c r="AV254" s="319"/>
      <c r="AW254" s="319"/>
      <c r="AX254" s="319"/>
      <c r="AY254" s="319"/>
      <c r="AZ254" s="319">
        <v>46000</v>
      </c>
      <c r="BA254" s="319">
        <v>47100</v>
      </c>
    </row>
    <row r="255" spans="1:53" ht="13.2">
      <c r="A255" s="1"/>
      <c r="B255" s="1"/>
      <c r="C255" s="1"/>
      <c r="D255" s="1"/>
      <c r="E255" s="1"/>
      <c r="F255" s="1"/>
      <c r="G255" s="1"/>
      <c r="H255" s="1"/>
      <c r="I255" s="1"/>
      <c r="J255" s="1"/>
      <c r="K255" s="1"/>
      <c r="L255" s="1"/>
      <c r="M255" s="1"/>
      <c r="N255" s="1"/>
      <c r="O255" s="1"/>
      <c r="P255" s="1"/>
      <c r="Q255" s="1"/>
      <c r="R255" s="1"/>
      <c r="S255" s="1"/>
      <c r="T255" s="1"/>
      <c r="U255" s="319"/>
      <c r="V255" s="319"/>
      <c r="W255" s="319"/>
      <c r="X255" s="319"/>
      <c r="Y255" s="319"/>
      <c r="Z255" s="319"/>
      <c r="AA255" s="319"/>
      <c r="AB255" s="319"/>
      <c r="AC255" s="319"/>
      <c r="AD255" s="319"/>
      <c r="AE255" s="319"/>
      <c r="AF255" s="319"/>
      <c r="AG255" s="319"/>
      <c r="AH255" s="319"/>
      <c r="AI255" s="319"/>
      <c r="AJ255" s="319"/>
      <c r="AK255" s="319"/>
      <c r="AL255" s="319"/>
      <c r="AM255" s="319"/>
      <c r="AN255" s="319"/>
      <c r="AO255" s="319"/>
      <c r="AP255" s="319"/>
      <c r="AQ255" s="319"/>
      <c r="AR255" s="319"/>
      <c r="AS255" s="319"/>
      <c r="AT255" s="319"/>
      <c r="AU255" s="319"/>
      <c r="AV255" s="319"/>
      <c r="AW255" s="319"/>
      <c r="AX255" s="319"/>
      <c r="AY255" s="319"/>
      <c r="AZ255" s="319">
        <v>40000</v>
      </c>
      <c r="BA255" s="319">
        <v>40000</v>
      </c>
    </row>
    <row r="256" spans="1:53" ht="13.2">
      <c r="A256" s="1"/>
      <c r="B256" s="1"/>
      <c r="C256" s="1178" t="str">
        <f>Language!C1554</f>
        <v>Completar a planilha de Modelo Energético</v>
      </c>
      <c r="D256" s="1178"/>
      <c r="E256" s="1178"/>
      <c r="F256" s="839"/>
      <c r="G256" s="1"/>
      <c r="H256" s="1"/>
      <c r="I256" s="1"/>
      <c r="J256" s="1"/>
      <c r="K256" s="1"/>
      <c r="L256" s="1"/>
      <c r="M256" s="1"/>
      <c r="N256" s="1178" t="str">
        <f>C256</f>
        <v>Completar a planilha de Modelo Energético</v>
      </c>
      <c r="O256" s="1178"/>
      <c r="P256" s="1178"/>
      <c r="Q256" s="1178"/>
      <c r="R256" s="1"/>
      <c r="S256" s="1"/>
      <c r="T256" s="1"/>
      <c r="U256" s="319"/>
      <c r="V256" s="319"/>
      <c r="W256" s="319"/>
      <c r="X256" s="319"/>
      <c r="Y256" s="319"/>
      <c r="Z256" s="319"/>
      <c r="AA256" s="319"/>
      <c r="AB256" s="319"/>
      <c r="AC256" s="319"/>
      <c r="AD256" s="319"/>
      <c r="AE256" s="319"/>
      <c r="AF256" s="319"/>
      <c r="AG256" s="319"/>
      <c r="AH256" s="319"/>
      <c r="AI256" s="319"/>
      <c r="AJ256" s="319"/>
      <c r="AK256" s="319"/>
      <c r="AL256" s="319"/>
      <c r="AM256" s="319"/>
      <c r="AN256" s="319"/>
      <c r="AO256" s="319"/>
      <c r="AP256" s="319"/>
      <c r="AQ256" s="319"/>
      <c r="AR256" s="319"/>
      <c r="AS256" s="319"/>
      <c r="AT256" s="319"/>
      <c r="AU256" s="319"/>
      <c r="AV256" s="319"/>
      <c r="AW256" s="319"/>
      <c r="AX256" s="319"/>
      <c r="AY256" s="319"/>
      <c r="AZ256" s="319">
        <v>40000</v>
      </c>
      <c r="BA256" s="319">
        <v>40000</v>
      </c>
    </row>
    <row r="257" spans="1:53" ht="13.2">
      <c r="A257" s="1"/>
      <c r="B257" s="1"/>
      <c r="C257" s="1"/>
      <c r="D257" s="1"/>
      <c r="E257" s="1"/>
      <c r="F257" s="1"/>
      <c r="G257" s="1"/>
      <c r="H257" s="1"/>
      <c r="I257" s="1"/>
      <c r="J257" s="1"/>
      <c r="K257" s="1"/>
      <c r="L257" s="1"/>
      <c r="M257" s="1"/>
      <c r="N257" s="1"/>
      <c r="O257" s="1"/>
      <c r="P257" s="1"/>
      <c r="Q257" s="1"/>
      <c r="R257" s="1"/>
      <c r="S257" s="1"/>
      <c r="T257" s="1"/>
      <c r="U257" s="319"/>
      <c r="V257" s="319"/>
      <c r="W257" s="319"/>
      <c r="X257" s="319"/>
      <c r="Y257" s="319"/>
      <c r="Z257" s="319"/>
      <c r="AA257" s="319"/>
      <c r="AB257" s="319"/>
      <c r="AC257" s="319"/>
      <c r="AD257" s="319"/>
      <c r="AE257" s="319"/>
      <c r="AF257" s="319"/>
      <c r="AG257" s="319"/>
      <c r="AH257" s="319"/>
      <c r="AI257" s="319"/>
      <c r="AJ257" s="319"/>
      <c r="AK257" s="319"/>
      <c r="AL257" s="319"/>
      <c r="AM257" s="319"/>
      <c r="AN257" s="319"/>
      <c r="AO257" s="319"/>
      <c r="AP257" s="319"/>
      <c r="AQ257" s="319"/>
      <c r="AR257" s="319"/>
      <c r="AS257" s="319"/>
      <c r="AT257" s="319"/>
      <c r="AU257" s="319"/>
      <c r="AV257" s="319"/>
      <c r="AW257" s="319"/>
      <c r="AX257" s="319"/>
      <c r="AY257" s="319"/>
      <c r="AZ257" s="319">
        <v>40000</v>
      </c>
      <c r="BA257" s="319">
        <v>40000</v>
      </c>
    </row>
    <row r="258" spans="1:53" ht="13.2" hidden="1">
      <c r="A258" s="319"/>
      <c r="B258" s="319"/>
      <c r="C258" s="319"/>
      <c r="D258" s="319"/>
      <c r="E258" s="319"/>
      <c r="F258" s="319"/>
      <c r="G258" s="319"/>
      <c r="H258" s="319"/>
      <c r="I258" s="319"/>
      <c r="J258" s="319"/>
      <c r="K258" s="319"/>
      <c r="L258" s="319"/>
      <c r="M258" s="319"/>
      <c r="N258" s="319"/>
      <c r="O258" s="319"/>
      <c r="P258" s="319"/>
      <c r="Q258" s="319"/>
      <c r="R258" s="319"/>
      <c r="S258" s="319"/>
      <c r="T258" s="319"/>
      <c r="U258" s="319" t="s">
        <v>4307</v>
      </c>
      <c r="V258" s="319"/>
      <c r="W258" s="319"/>
      <c r="X258" s="319"/>
      <c r="Y258" s="319"/>
      <c r="Z258" s="319"/>
      <c r="AA258" s="319"/>
      <c r="AB258" s="319"/>
      <c r="AC258" s="319"/>
      <c r="AD258" s="319"/>
      <c r="AE258" s="319"/>
      <c r="AF258" s="319"/>
      <c r="AG258" s="319"/>
      <c r="AH258" s="319"/>
      <c r="AI258" s="319"/>
      <c r="AJ258" s="319"/>
      <c r="AK258" s="319"/>
      <c r="AL258" s="319"/>
      <c r="AM258" s="319"/>
      <c r="AN258" s="319"/>
      <c r="AO258" s="319"/>
      <c r="AP258" s="319"/>
      <c r="AQ258" s="319"/>
      <c r="AR258" s="319"/>
      <c r="AS258" s="319"/>
      <c r="AT258" s="319"/>
      <c r="AU258" s="319"/>
      <c r="AV258" s="319"/>
      <c r="AW258" s="319"/>
      <c r="AX258" s="319"/>
      <c r="AY258" s="319"/>
      <c r="AZ258" s="319"/>
      <c r="BA258" s="319"/>
    </row>
    <row r="259" spans="1:53" ht="13.2" hidden="1">
      <c r="A259" s="319"/>
      <c r="B259" s="319" t="s">
        <v>2898</v>
      </c>
      <c r="C259" s="319"/>
      <c r="D259" s="319" t="s">
        <v>3817</v>
      </c>
      <c r="E259" s="319"/>
      <c r="F259" s="319"/>
      <c r="G259" s="319" t="s">
        <v>3277</v>
      </c>
      <c r="H259" s="319"/>
      <c r="I259" s="319"/>
      <c r="J259" s="319" t="s">
        <v>4029</v>
      </c>
      <c r="K259" s="319"/>
      <c r="L259" s="319"/>
      <c r="M259" s="319"/>
      <c r="N259" s="319"/>
      <c r="O259" s="319"/>
      <c r="P259" s="319"/>
      <c r="Q259" s="319"/>
      <c r="R259" s="319"/>
      <c r="S259" s="319"/>
      <c r="T259" s="319"/>
      <c r="U259" s="319"/>
      <c r="V259" s="319"/>
      <c r="W259" s="319"/>
      <c r="X259" s="319"/>
      <c r="Y259" s="319"/>
      <c r="Z259" s="319"/>
      <c r="AA259" s="319"/>
      <c r="AB259" s="319"/>
      <c r="AC259" s="319"/>
      <c r="AD259" s="319"/>
      <c r="AE259" s="319"/>
      <c r="AF259" s="319"/>
      <c r="AG259" s="319"/>
      <c r="AH259" s="319"/>
      <c r="AI259" s="319"/>
      <c r="AJ259" s="319"/>
      <c r="AK259" s="319"/>
      <c r="AL259" s="319"/>
      <c r="AM259" s="319"/>
      <c r="AN259" s="319"/>
      <c r="AO259" s="319"/>
      <c r="AP259" s="319"/>
      <c r="AQ259" s="319"/>
      <c r="AR259" s="319"/>
      <c r="AS259" s="319"/>
      <c r="AT259" s="319"/>
      <c r="AU259" s="319"/>
      <c r="AV259" s="319"/>
      <c r="AW259" s="319"/>
      <c r="AX259" s="319"/>
      <c r="AY259" s="319"/>
      <c r="AZ259" s="319"/>
      <c r="BA259" s="319"/>
    </row>
    <row r="260" spans="1:53" ht="13.2" hidden="1">
      <c r="A260" s="319"/>
      <c r="B260" s="319" t="str">
        <f>Language!C392</f>
        <v>Gráfico das características da carga do caso referência</v>
      </c>
      <c r="C260" s="319"/>
      <c r="D260" s="319" t="str">
        <f>Language!C1374</f>
        <v>m²</v>
      </c>
      <c r="E260" s="319">
        <v>1</v>
      </c>
      <c r="F260" s="319"/>
      <c r="G260" s="319" t="str">
        <f>lang_yes</f>
        <v>Sim</v>
      </c>
      <c r="H260" s="319"/>
      <c r="I260" s="319"/>
      <c r="J260" s="319" t="str">
        <f>Language!C122</f>
        <v>Direto</v>
      </c>
      <c r="K260" s="319"/>
      <c r="L260" s="319"/>
      <c r="M260" s="319"/>
      <c r="N260" s="319"/>
      <c r="O260" s="319"/>
      <c r="P260" s="319"/>
      <c r="Q260" s="319" t="str">
        <f>Language!C124</f>
        <v>Rede Central</v>
      </c>
      <c r="R260" s="319"/>
      <c r="S260" s="319"/>
      <c r="T260" s="319"/>
      <c r="U260" s="319"/>
      <c r="V260" s="319"/>
      <c r="W260" s="319" t="s">
        <v>5700</v>
      </c>
      <c r="X260" s="319">
        <f>AL333</f>
        <v>0</v>
      </c>
      <c r="Y260" s="319" t="s">
        <v>3320</v>
      </c>
      <c r="Z260" s="319">
        <f>X260*$E$270</f>
        <v>0</v>
      </c>
      <c r="AA260" s="319"/>
      <c r="AB260" s="319"/>
      <c r="AC260" s="319" t="s">
        <v>2099</v>
      </c>
      <c r="AD260" s="319"/>
      <c r="AE260" s="319"/>
      <c r="AF260" s="319"/>
      <c r="AG260" s="319"/>
      <c r="AH260" s="319"/>
      <c r="AI260" s="319"/>
      <c r="AJ260" s="319"/>
      <c r="AK260" s="319"/>
      <c r="AL260" s="319"/>
      <c r="AM260" s="319"/>
      <c r="AN260" s="319"/>
      <c r="AO260" s="319"/>
      <c r="AP260" s="319"/>
      <c r="AQ260" s="319"/>
      <c r="AR260" s="319"/>
      <c r="AS260" s="319"/>
      <c r="AT260" s="319"/>
      <c r="AU260" s="319"/>
      <c r="AV260" s="319"/>
      <c r="AW260" s="319"/>
      <c r="AX260" s="319"/>
      <c r="AY260" s="319"/>
      <c r="AZ260" s="319"/>
      <c r="BA260" s="319"/>
    </row>
    <row r="261" spans="1:53" ht="13.2" hidden="1">
      <c r="A261" s="319"/>
      <c r="B261" s="319" t="str">
        <f>Language!C393</f>
        <v>Gráfico das características da carga do caso proposto</v>
      </c>
      <c r="C261" s="319"/>
      <c r="D261" s="319" t="str">
        <f>Language!C1329</f>
        <v>pe²</v>
      </c>
      <c r="E261" s="319">
        <v>9.2903040000000006E-2</v>
      </c>
      <c r="F261" s="319"/>
      <c r="G261" s="319" t="str">
        <f>lang_no</f>
        <v>Não</v>
      </c>
      <c r="H261" s="319"/>
      <c r="I261" s="319"/>
      <c r="J261" s="319" t="str">
        <f>Language!C123</f>
        <v>Indireto</v>
      </c>
      <c r="K261" s="319"/>
      <c r="L261" s="319"/>
      <c r="M261" s="319"/>
      <c r="N261" s="475"/>
      <c r="O261" s="319"/>
      <c r="P261" s="319"/>
      <c r="Q261" s="319" t="str">
        <f>Language!C125</f>
        <v>Rede Isolada</v>
      </c>
      <c r="R261" s="319"/>
      <c r="S261" s="319"/>
      <c r="T261" s="319"/>
      <c r="U261" s="319"/>
      <c r="V261" s="319"/>
      <c r="W261" s="319" t="s">
        <v>2745</v>
      </c>
      <c r="X261" s="319">
        <f>AL335</f>
        <v>0</v>
      </c>
      <c r="Y261" s="319" t="s">
        <v>3318</v>
      </c>
      <c r="Z261" s="319">
        <f>X261*$F$270</f>
        <v>0</v>
      </c>
      <c r="AA261" s="319"/>
      <c r="AB261" s="319"/>
      <c r="AC261" s="319" t="s">
        <v>3321</v>
      </c>
      <c r="AD261" s="319"/>
      <c r="AE261" s="319"/>
      <c r="AF261" s="319"/>
      <c r="AG261" s="319"/>
      <c r="AH261" s="319"/>
      <c r="AI261" s="319"/>
      <c r="AJ261" s="319"/>
      <c r="AK261" s="319"/>
      <c r="AL261" s="319"/>
      <c r="AM261" s="319"/>
      <c r="AN261" s="319"/>
      <c r="AO261" s="319"/>
      <c r="AP261" s="319"/>
      <c r="AQ261" s="319"/>
      <c r="AR261" s="319"/>
      <c r="AS261" s="319"/>
      <c r="AT261" s="319"/>
      <c r="AU261" s="319"/>
      <c r="AV261" s="319"/>
      <c r="AW261" s="319"/>
      <c r="AX261" s="319"/>
      <c r="AY261" s="319"/>
      <c r="AZ261" s="319"/>
      <c r="BA261" s="319"/>
    </row>
    <row r="262" spans="1:53" ht="13.2" hidden="1">
      <c r="A262" s="319"/>
      <c r="B262" s="319"/>
      <c r="C262" s="319"/>
      <c r="D262" s="319" t="str">
        <f>Language!C1310</f>
        <v>°C</v>
      </c>
      <c r="E262" s="319">
        <v>1</v>
      </c>
      <c r="F262" s="319"/>
      <c r="G262" s="319"/>
      <c r="H262" s="319"/>
      <c r="I262" s="319"/>
      <c r="J262" s="319"/>
      <c r="K262" s="319"/>
      <c r="L262" s="319"/>
      <c r="M262" s="319"/>
      <c r="N262" s="319"/>
      <c r="O262" s="319"/>
      <c r="P262" s="319"/>
      <c r="Q262" s="319" t="str">
        <f>Language!C126</f>
        <v>Fora da Rede</v>
      </c>
      <c r="R262" s="319"/>
      <c r="S262" s="319"/>
      <c r="T262" s="319"/>
      <c r="U262" s="319"/>
      <c r="V262" s="319"/>
      <c r="W262" s="319" t="s">
        <v>5700</v>
      </c>
      <c r="X262" s="319">
        <f>AM333</f>
        <v>0</v>
      </c>
      <c r="Y262" s="319" t="s">
        <v>4267</v>
      </c>
      <c r="Z262" s="319">
        <f>X262*$E$271</f>
        <v>0</v>
      </c>
      <c r="AA262" s="319"/>
      <c r="AB262" s="319"/>
      <c r="AC262" s="319" t="s">
        <v>5275</v>
      </c>
      <c r="AD262" s="319"/>
      <c r="AE262" s="319"/>
      <c r="AF262" s="319"/>
      <c r="AG262" s="319"/>
      <c r="AH262" s="319"/>
      <c r="AI262" s="319"/>
      <c r="AJ262" s="319"/>
      <c r="AK262" s="319"/>
      <c r="AL262" s="319"/>
      <c r="AM262" s="319"/>
      <c r="AN262" s="319"/>
      <c r="AO262" s="319"/>
      <c r="AP262" s="319"/>
      <c r="AQ262" s="319"/>
      <c r="AR262" s="319"/>
      <c r="AS262" s="319"/>
      <c r="AT262" s="319"/>
      <c r="AU262" s="319"/>
      <c r="AV262" s="319"/>
      <c r="AW262" s="319"/>
      <c r="AX262" s="319"/>
      <c r="AY262" s="319"/>
      <c r="AZ262" s="319"/>
      <c r="BA262" s="319"/>
    </row>
    <row r="263" spans="1:53" ht="13.2" hidden="1">
      <c r="A263" s="319"/>
      <c r="B263" s="319"/>
      <c r="C263" s="319"/>
      <c r="D263" s="319" t="str">
        <f>Language!C1313</f>
        <v>°F</v>
      </c>
      <c r="E263" s="319">
        <v>0.55555555555555558</v>
      </c>
      <c r="F263" s="319"/>
      <c r="G263" s="319" t="s">
        <v>4240</v>
      </c>
      <c r="H263" s="319"/>
      <c r="I263" s="319"/>
      <c r="J263" s="319"/>
      <c r="K263" s="319"/>
      <c r="L263" s="319"/>
      <c r="M263" s="319"/>
      <c r="N263" s="319"/>
      <c r="O263" s="319"/>
      <c r="P263" s="319"/>
      <c r="Q263" s="319"/>
      <c r="R263" s="319"/>
      <c r="S263" s="319"/>
      <c r="T263" s="319"/>
      <c r="U263" s="319"/>
      <c r="V263" s="319"/>
      <c r="W263" s="319" t="s">
        <v>2745</v>
      </c>
      <c r="X263" s="319">
        <f>AM335</f>
        <v>0</v>
      </c>
      <c r="Y263" s="319" t="s">
        <v>4286</v>
      </c>
      <c r="Z263" s="319">
        <f>X263*$F$271</f>
        <v>0</v>
      </c>
      <c r="AA263" s="319"/>
      <c r="AB263" s="319"/>
      <c r="AC263" s="319" t="s">
        <v>2982</v>
      </c>
      <c r="AD263" s="319"/>
      <c r="AE263" s="319"/>
      <c r="AF263" s="319"/>
      <c r="AG263" s="319"/>
      <c r="AH263" s="319"/>
      <c r="AI263" s="319"/>
      <c r="AJ263" s="319"/>
      <c r="AK263" s="319"/>
      <c r="AL263" s="319"/>
      <c r="AM263" s="319"/>
      <c r="AN263" s="319"/>
      <c r="AO263" s="319"/>
      <c r="AP263" s="319"/>
      <c r="AQ263" s="319"/>
      <c r="AR263" s="319"/>
      <c r="AS263" s="319"/>
      <c r="AT263" s="319"/>
      <c r="AU263" s="319"/>
      <c r="AV263" s="319"/>
      <c r="AW263" s="319"/>
      <c r="AX263" s="319"/>
      <c r="AY263" s="319"/>
      <c r="AZ263" s="319"/>
      <c r="BA263" s="319"/>
    </row>
    <row r="264" spans="1:53" ht="13.2" hidden="1">
      <c r="A264" s="319"/>
      <c r="B264" s="319"/>
      <c r="C264" s="319"/>
      <c r="D264" s="319" t="str">
        <f>Language!C1372</f>
        <v>m</v>
      </c>
      <c r="E264" s="319">
        <v>1</v>
      </c>
      <c r="F264" s="319"/>
      <c r="G264" s="319" t="str">
        <f>Language!C121</f>
        <v>Fórmula</v>
      </c>
      <c r="H264" s="319"/>
      <c r="I264" s="319"/>
      <c r="J264" s="319"/>
      <c r="K264" s="475"/>
      <c r="L264" s="319"/>
      <c r="M264" s="319" t="s">
        <v>2649</v>
      </c>
      <c r="N264" s="319"/>
      <c r="O264" s="319">
        <f>IF(OR(HideCode_projectType2=2,HideCode_projectType2=3,HideCode_projectType2=5),1,IF(HideCodeLN_HPT=1,1,IF(HideCodeLN_HPT&lt;=3,U15,IF(OR(HideCodeLN_HPT=4,HideCodeLN_HPT=7),1,U40))))</f>
        <v>1</v>
      </c>
      <c r="P264" s="319"/>
      <c r="Q264" s="319"/>
      <c r="R264" s="319"/>
      <c r="S264" s="319"/>
      <c r="T264" s="319"/>
      <c r="U264" s="319"/>
      <c r="V264" s="319"/>
      <c r="W264" s="319"/>
      <c r="X264" s="319"/>
      <c r="Y264" s="319"/>
      <c r="Z264" s="319"/>
      <c r="AA264" s="319"/>
      <c r="AB264" s="319"/>
      <c r="AC264" s="319"/>
      <c r="AD264" s="319"/>
      <c r="AE264" s="319"/>
      <c r="AF264" s="319"/>
      <c r="AG264" s="319"/>
      <c r="AH264" s="319"/>
      <c r="AI264" s="319"/>
      <c r="AJ264" s="319"/>
      <c r="AK264" s="319"/>
      <c r="AL264" s="319"/>
      <c r="AM264" s="319"/>
      <c r="AN264" s="319"/>
      <c r="AO264" s="319"/>
      <c r="AP264" s="319"/>
      <c r="AQ264" s="319"/>
      <c r="AR264" s="319"/>
      <c r="AS264" s="319"/>
      <c r="AT264" s="319"/>
      <c r="AU264" s="319"/>
      <c r="AV264" s="319"/>
      <c r="AW264" s="319"/>
      <c r="AX264" s="319"/>
      <c r="AY264" s="319"/>
      <c r="AZ264" s="319"/>
      <c r="BA264" s="319"/>
    </row>
    <row r="265" spans="1:53" ht="13.2" hidden="1">
      <c r="A265" s="319"/>
      <c r="B265" s="319"/>
      <c r="C265" s="319"/>
      <c r="D265" s="481" t="str">
        <f>Language!C1327</f>
        <v>pe</v>
      </c>
      <c r="E265" s="481">
        <v>0.30479999999999996</v>
      </c>
      <c r="F265" s="319"/>
      <c r="G265" s="319" t="str">
        <f>J266</f>
        <v>Detalhado</v>
      </c>
      <c r="H265" s="319"/>
      <c r="I265" s="319"/>
      <c r="J265" s="319" t="str">
        <f>Language!C117</f>
        <v>Padrão</v>
      </c>
      <c r="K265" s="319"/>
      <c r="L265" s="319"/>
      <c r="M265" s="319" t="s">
        <v>509</v>
      </c>
      <c r="N265" s="319"/>
      <c r="O265" s="319">
        <f>IF(OR(HideCode_projectType2&lt;3,HideCode_projectType2=4),1,IF(HideCodeLN_CPT=1,1,IF(HideCodeLN_CPT&lt;=3,U120,IF(OR(HideCodeLN_CPT=4,HideCodeLN_CPT=7),1,U145))))</f>
        <v>1</v>
      </c>
      <c r="P265" s="319"/>
      <c r="Q265" s="319" t="s">
        <v>915</v>
      </c>
      <c r="R265" s="319"/>
      <c r="S265" s="319"/>
      <c r="T265" s="319"/>
      <c r="U265" s="319"/>
      <c r="V265" s="319"/>
      <c r="W265" s="319"/>
      <c r="X265" s="319"/>
      <c r="Y265" s="319"/>
      <c r="Z265" s="319"/>
      <c r="AA265" s="319"/>
      <c r="AB265" s="319"/>
      <c r="AC265" s="319"/>
      <c r="AD265" s="319"/>
      <c r="AE265" s="319"/>
      <c r="AF265" s="319"/>
      <c r="AG265" s="319"/>
      <c r="AH265" s="319"/>
      <c r="AI265" s="319"/>
      <c r="AJ265" s="319"/>
      <c r="AK265" s="319"/>
      <c r="AL265" s="319"/>
      <c r="AM265" s="319"/>
      <c r="AN265" s="319"/>
      <c r="AO265" s="319"/>
      <c r="AP265" s="319"/>
      <c r="AQ265" s="319"/>
      <c r="AR265" s="319"/>
      <c r="AS265" s="319"/>
      <c r="AT265" s="319"/>
      <c r="AU265" s="319"/>
      <c r="AV265" s="319"/>
      <c r="AW265" s="319"/>
      <c r="AX265" s="319"/>
      <c r="AY265" s="319"/>
      <c r="AZ265" s="319"/>
      <c r="BA265" s="319"/>
    </row>
    <row r="266" spans="1:53" ht="13.2" hidden="1">
      <c r="A266" s="319"/>
      <c r="B266" s="319"/>
      <c r="C266" s="319"/>
      <c r="D266" s="481" t="str">
        <f>Language!C1416</f>
        <v>W/m²</v>
      </c>
      <c r="E266" s="481">
        <v>1</v>
      </c>
      <c r="F266" s="319"/>
      <c r="G266" s="319"/>
      <c r="H266" s="319"/>
      <c r="I266" s="319"/>
      <c r="J266" s="319" t="str">
        <f>Language!C118</f>
        <v>Detalhado</v>
      </c>
      <c r="K266" s="319"/>
      <c r="L266" s="319"/>
      <c r="M266" s="319" t="s">
        <v>3669</v>
      </c>
      <c r="N266" s="319"/>
      <c r="O266" s="319">
        <f>IF(HideCode_projectType2=4,IF(HideCodeLN_HPT=1,1,IF(HideCodeLN_HPT&lt;=3,U15,IF(OR(HideCodeLN_HPT=4,HideCodeLN_HPT=7),1,U40))),0)</f>
        <v>0</v>
      </c>
      <c r="P266" s="319"/>
      <c r="Q266" s="319" t="str">
        <f>Language!C394</f>
        <v>Verificar o valor</v>
      </c>
      <c r="R266" s="319"/>
      <c r="S266" s="319"/>
      <c r="T266" s="319"/>
      <c r="U266" s="319"/>
      <c r="V266" s="319"/>
      <c r="W266" s="319"/>
      <c r="X266" s="319"/>
      <c r="Y266" s="319"/>
      <c r="Z266" s="319"/>
      <c r="AA266" s="319"/>
      <c r="AB266" s="319"/>
      <c r="AC266" s="319"/>
      <c r="AD266" s="319"/>
      <c r="AE266" s="319"/>
      <c r="AF266" s="319"/>
      <c r="AG266" s="319"/>
      <c r="AH266" s="319"/>
      <c r="AI266" s="319"/>
      <c r="AJ266" s="319"/>
      <c r="AK266" s="319"/>
      <c r="AL266" s="319"/>
      <c r="AM266" s="319"/>
      <c r="AN266" s="319"/>
      <c r="AO266" s="319"/>
      <c r="AP266" s="319"/>
      <c r="AQ266" s="319"/>
      <c r="AR266" s="319"/>
      <c r="AS266" s="319"/>
      <c r="AT266" s="319"/>
      <c r="AU266" s="319"/>
      <c r="AV266" s="319"/>
      <c r="AW266" s="319"/>
      <c r="AX266" s="319"/>
      <c r="AY266" s="319"/>
      <c r="AZ266" s="319"/>
      <c r="BA266" s="319"/>
    </row>
    <row r="267" spans="1:53" ht="13.2" hidden="1">
      <c r="A267" s="319"/>
      <c r="B267" s="319"/>
      <c r="C267" s="319"/>
      <c r="D267" s="481" t="str">
        <f>Language!C1322</f>
        <v>(Btu/h)/pe²</v>
      </c>
      <c r="E267" s="481">
        <v>3.1545907450630479</v>
      </c>
      <c r="F267" s="319"/>
      <c r="G267" s="319"/>
      <c r="H267" s="475"/>
      <c r="I267" s="319"/>
      <c r="J267" s="319"/>
      <c r="K267" s="319"/>
      <c r="L267" s="319"/>
      <c r="M267" s="319"/>
      <c r="N267" s="319"/>
      <c r="O267" s="319"/>
      <c r="P267" s="319"/>
      <c r="Q267" s="319"/>
      <c r="R267" s="319"/>
      <c r="S267" s="319"/>
      <c r="T267" s="319"/>
      <c r="U267" s="319"/>
      <c r="V267" s="319"/>
      <c r="W267" s="319"/>
      <c r="X267" s="319"/>
      <c r="Y267" s="319"/>
      <c r="Z267" s="319"/>
      <c r="AA267" s="319"/>
      <c r="AB267" s="319"/>
      <c r="AC267" s="319"/>
      <c r="AD267" s="319"/>
      <c r="AE267" s="319"/>
      <c r="AF267" s="319"/>
      <c r="AG267" s="319"/>
      <c r="AH267" s="319"/>
      <c r="AI267" s="319"/>
      <c r="AJ267" s="319"/>
      <c r="AK267" s="319"/>
      <c r="AL267" s="319"/>
      <c r="AM267" s="319"/>
      <c r="AN267" s="319"/>
      <c r="AO267" s="319"/>
      <c r="AP267" s="319"/>
      <c r="AQ267" s="319"/>
      <c r="AR267" s="319"/>
      <c r="AS267" s="319"/>
      <c r="AT267" s="319"/>
      <c r="AU267" s="319"/>
      <c r="AV267" s="319"/>
      <c r="AW267" s="319"/>
      <c r="AX267" s="319"/>
      <c r="AY267" s="319"/>
      <c r="AZ267" s="319"/>
      <c r="BA267" s="319"/>
    </row>
    <row r="268" spans="1:53" ht="13.2" hidden="1">
      <c r="A268" s="319"/>
      <c r="B268" s="319"/>
      <c r="C268" s="319"/>
      <c r="D268" s="481" t="str">
        <f>Language!C1330</f>
        <v>pe²/TR</v>
      </c>
      <c r="E268" s="481">
        <v>37855.088940756563</v>
      </c>
      <c r="F268" s="319"/>
      <c r="G268" s="319"/>
      <c r="H268" s="319"/>
      <c r="I268" s="319"/>
      <c r="J268" s="319"/>
      <c r="K268" s="319"/>
      <c r="L268" s="319"/>
      <c r="M268" s="319"/>
      <c r="N268" s="319"/>
      <c r="O268" s="319"/>
      <c r="P268" s="319"/>
      <c r="Q268" s="319"/>
      <c r="R268" s="319"/>
      <c r="S268" s="319"/>
      <c r="T268" s="319"/>
      <c r="U268" s="319"/>
      <c r="V268" s="319"/>
      <c r="W268" s="319"/>
      <c r="X268" s="319"/>
      <c r="Y268" s="319"/>
      <c r="Z268" s="319"/>
      <c r="AA268" s="319"/>
      <c r="AB268" s="319"/>
      <c r="AC268" s="319"/>
      <c r="AD268" s="319"/>
      <c r="AE268" s="319"/>
      <c r="AF268" s="319"/>
      <c r="AG268" s="319"/>
      <c r="AH268" s="319"/>
      <c r="AI268" s="319"/>
      <c r="AJ268" s="319"/>
      <c r="AK268" s="319"/>
      <c r="AL268" s="319"/>
      <c r="AM268" s="319"/>
      <c r="AN268" s="319"/>
      <c r="AO268" s="319"/>
      <c r="AP268" s="319"/>
      <c r="AQ268" s="319"/>
      <c r="AR268" s="319"/>
      <c r="AS268" s="319"/>
      <c r="AT268" s="319"/>
      <c r="AU268" s="319"/>
      <c r="AV268" s="319"/>
      <c r="AW268" s="319"/>
      <c r="AX268" s="319"/>
      <c r="AY268" s="319"/>
      <c r="AZ268" s="319"/>
      <c r="BA268" s="319"/>
    </row>
    <row r="269" spans="1:53" ht="13.2" hidden="1">
      <c r="A269" s="319"/>
      <c r="B269" s="319"/>
      <c r="C269" s="319"/>
      <c r="D269" s="481" t="str">
        <f>Language!C1364</f>
        <v>kW</v>
      </c>
      <c r="E269" s="481">
        <v>1</v>
      </c>
      <c r="F269" s="319"/>
      <c r="G269" s="319"/>
      <c r="H269" s="319"/>
      <c r="I269" s="319"/>
      <c r="J269" s="319"/>
      <c r="K269" s="319"/>
      <c r="L269" s="319"/>
      <c r="M269" s="319"/>
      <c r="N269" s="319"/>
      <c r="O269" s="319"/>
      <c r="P269" s="319"/>
      <c r="Q269" s="319"/>
      <c r="R269" s="319"/>
      <c r="S269" s="319"/>
      <c r="T269" s="319"/>
      <c r="U269" s="319"/>
      <c r="V269" s="319"/>
      <c r="W269" s="319"/>
      <c r="X269" s="319"/>
      <c r="Y269" s="319"/>
      <c r="Z269" s="319"/>
      <c r="AA269" s="319"/>
      <c r="AB269" s="319"/>
      <c r="AC269" s="319"/>
      <c r="AD269" s="319"/>
      <c r="AE269" s="319"/>
      <c r="AF269" s="319"/>
      <c r="AG269" s="319"/>
      <c r="AH269" s="319"/>
      <c r="AI269" s="319"/>
      <c r="AJ269" s="319"/>
      <c r="AK269" s="319"/>
      <c r="AL269" s="319"/>
      <c r="AM269" s="319"/>
      <c r="AN269" s="319"/>
      <c r="AO269" s="319"/>
      <c r="AP269" s="319"/>
      <c r="AQ269" s="319"/>
      <c r="AR269" s="319"/>
      <c r="AS269" s="319"/>
      <c r="AT269" s="319"/>
      <c r="AU269" s="319"/>
      <c r="AV269" s="319"/>
      <c r="AW269" s="319"/>
      <c r="AX269" s="319"/>
      <c r="AY269" s="319"/>
      <c r="AZ269" s="319"/>
      <c r="BA269" s="319"/>
    </row>
    <row r="270" spans="1:53" ht="13.2" hidden="1">
      <c r="A270" s="319"/>
      <c r="B270" s="319"/>
      <c r="C270" s="319"/>
      <c r="D270" s="481" t="str">
        <f>Language!C1383</f>
        <v>milhão Btu/h</v>
      </c>
      <c r="E270" s="481">
        <v>3.4121416331279429E-3</v>
      </c>
      <c r="F270" s="319">
        <f>E270*1000</f>
        <v>3.4121416331279431</v>
      </c>
      <c r="G270" s="319"/>
      <c r="H270" s="319"/>
      <c r="I270" s="319"/>
      <c r="J270" s="319"/>
      <c r="K270" s="319"/>
      <c r="L270" s="319"/>
      <c r="M270" s="319"/>
      <c r="N270" s="319"/>
      <c r="O270" s="319"/>
      <c r="P270" s="319"/>
      <c r="Q270" s="319"/>
      <c r="R270" s="319"/>
      <c r="S270" s="319"/>
      <c r="T270" s="319"/>
      <c r="U270" s="319"/>
      <c r="V270" s="319"/>
      <c r="W270" s="319"/>
      <c r="X270" s="319"/>
      <c r="Y270" s="319"/>
      <c r="Z270" s="319"/>
      <c r="AA270" s="319"/>
      <c r="AB270" s="319"/>
      <c r="AC270" s="319"/>
      <c r="AD270" s="319"/>
      <c r="AE270" s="319"/>
      <c r="AF270" s="319"/>
      <c r="AG270" s="319"/>
      <c r="AH270" s="319"/>
      <c r="AI270" s="319"/>
      <c r="AJ270" s="319"/>
      <c r="AK270" s="319"/>
      <c r="AL270" s="319"/>
      <c r="AM270" s="319"/>
      <c r="AN270" s="319"/>
      <c r="AO270" s="319"/>
      <c r="AP270" s="319"/>
      <c r="AQ270" s="319"/>
      <c r="AR270" s="319"/>
      <c r="AS270" s="319"/>
      <c r="AT270" s="319"/>
      <c r="AU270" s="319"/>
      <c r="AV270" s="319"/>
      <c r="AW270" s="319"/>
      <c r="AX270" s="319"/>
      <c r="AY270" s="319"/>
      <c r="AZ270" s="319"/>
      <c r="BA270" s="319"/>
    </row>
    <row r="271" spans="1:53" ht="13.2" hidden="1">
      <c r="A271" s="319"/>
      <c r="B271" s="319"/>
      <c r="C271" s="319"/>
      <c r="D271" s="481" t="str">
        <f>Language!C1405</f>
        <v>TRh</v>
      </c>
      <c r="E271" s="481">
        <v>0.28434513609399525</v>
      </c>
      <c r="F271" s="319">
        <f>E271*1000</f>
        <v>284.34513609399528</v>
      </c>
      <c r="G271" s="319"/>
      <c r="H271" s="319"/>
      <c r="I271" s="319"/>
      <c r="J271" s="319"/>
      <c r="K271" s="319"/>
      <c r="L271" s="319"/>
      <c r="M271" s="319"/>
      <c r="N271" s="319"/>
      <c r="O271" s="319"/>
      <c r="P271" s="319"/>
      <c r="Q271" s="319"/>
      <c r="R271" s="319"/>
      <c r="S271" s="319"/>
      <c r="T271" s="319"/>
      <c r="U271" s="319"/>
      <c r="V271" s="319"/>
      <c r="W271" s="319"/>
      <c r="X271" s="319"/>
      <c r="Y271" s="319"/>
      <c r="Z271" s="319"/>
      <c r="AA271" s="319"/>
      <c r="AB271" s="319"/>
      <c r="AC271" s="319"/>
      <c r="AD271" s="319"/>
      <c r="AE271" s="319"/>
      <c r="AF271" s="319"/>
      <c r="AG271" s="319"/>
      <c r="AH271" s="319"/>
      <c r="AI271" s="319"/>
      <c r="AJ271" s="319"/>
      <c r="AK271" s="319"/>
      <c r="AL271" s="319"/>
      <c r="AM271" s="319"/>
      <c r="AN271" s="319"/>
      <c r="AO271" s="319"/>
      <c r="AP271" s="319"/>
      <c r="AQ271" s="319"/>
      <c r="AR271" s="319"/>
      <c r="AS271" s="319"/>
      <c r="AT271" s="319"/>
      <c r="AU271" s="319"/>
      <c r="AV271" s="319"/>
      <c r="AW271" s="319"/>
      <c r="AX271" s="319"/>
      <c r="AY271" s="319"/>
      <c r="AZ271" s="319"/>
      <c r="BA271" s="319"/>
    </row>
    <row r="272" spans="1:53" ht="13.2" hidden="1">
      <c r="A272" s="319"/>
      <c r="B272" s="319"/>
      <c r="C272" s="319"/>
      <c r="D272" s="319" t="str">
        <f>Language!C1361</f>
        <v>kJ/kWh</v>
      </c>
      <c r="E272" s="319">
        <v>1</v>
      </c>
      <c r="F272" s="319"/>
      <c r="G272" s="319"/>
      <c r="H272" s="319"/>
      <c r="I272" s="319"/>
      <c r="J272" s="319"/>
      <c r="K272" s="319"/>
      <c r="L272" s="319"/>
      <c r="M272" s="319"/>
      <c r="N272" s="319"/>
      <c r="O272" s="319"/>
      <c r="P272" s="319"/>
      <c r="Q272" s="319"/>
      <c r="R272" s="319"/>
      <c r="S272" s="319"/>
      <c r="T272" s="319"/>
      <c r="U272" s="319"/>
      <c r="V272" s="319"/>
      <c r="W272" s="319"/>
      <c r="X272" s="319"/>
      <c r="Y272" s="319"/>
      <c r="Z272" s="319"/>
      <c r="AA272" s="319"/>
      <c r="AB272" s="319"/>
      <c r="AC272" s="319"/>
      <c r="AD272" s="319"/>
      <c r="AE272" s="319"/>
      <c r="AF272" s="319"/>
      <c r="AG272" s="319"/>
      <c r="AH272" s="319"/>
      <c r="AI272" s="319"/>
      <c r="AJ272" s="319"/>
      <c r="AK272" s="319"/>
      <c r="AL272" s="319"/>
      <c r="AM272" s="319"/>
      <c r="AN272" s="319"/>
      <c r="AO272" s="319"/>
      <c r="AP272" s="319"/>
      <c r="AQ272" s="319"/>
      <c r="AR272" s="319"/>
      <c r="AS272" s="319"/>
      <c r="AT272" s="319"/>
      <c r="AU272" s="319"/>
      <c r="AV272" s="319"/>
      <c r="AW272" s="319"/>
      <c r="AX272" s="319"/>
      <c r="AY272" s="319"/>
      <c r="AZ272" s="319"/>
      <c r="BA272" s="319"/>
    </row>
    <row r="273" spans="1:53" ht="13.2" hidden="1">
      <c r="A273" s="319"/>
      <c r="B273" s="319"/>
      <c r="C273" s="319"/>
      <c r="D273" s="319" t="str">
        <f>Language!C1324</f>
        <v>Btu/kWh</v>
      </c>
      <c r="E273" s="319">
        <v>1.0550558526199998</v>
      </c>
      <c r="F273" s="319"/>
      <c r="G273" s="319"/>
      <c r="H273" s="319"/>
      <c r="I273" s="319"/>
      <c r="J273" s="319"/>
      <c r="K273" s="319"/>
      <c r="L273" s="319"/>
      <c r="M273" s="319"/>
      <c r="N273" s="319"/>
      <c r="O273" s="319"/>
      <c r="P273" s="319"/>
      <c r="Q273" s="319"/>
      <c r="R273" s="319"/>
      <c r="S273" s="319"/>
      <c r="T273" s="319"/>
      <c r="U273" s="319"/>
      <c r="V273" s="319"/>
      <c r="W273" s="319"/>
      <c r="X273" s="319"/>
      <c r="Y273" s="319"/>
      <c r="Z273" s="319"/>
      <c r="AA273" s="319"/>
      <c r="AB273" s="319"/>
      <c r="AC273" s="319"/>
      <c r="AD273" s="319"/>
      <c r="AE273" s="319"/>
      <c r="AF273" s="319"/>
      <c r="AG273" s="319"/>
      <c r="AH273" s="319"/>
      <c r="AI273" s="319"/>
      <c r="AJ273" s="319"/>
      <c r="AK273" s="319"/>
      <c r="AL273" s="319"/>
      <c r="AM273" s="319"/>
      <c r="AN273" s="319"/>
      <c r="AO273" s="319"/>
      <c r="AP273" s="319"/>
      <c r="AQ273" s="319"/>
      <c r="AR273" s="319"/>
      <c r="AS273" s="319"/>
      <c r="AT273" s="319"/>
      <c r="AU273" s="319"/>
      <c r="AV273" s="319"/>
      <c r="AW273" s="319"/>
      <c r="AX273" s="319"/>
      <c r="AY273" s="319"/>
      <c r="AZ273" s="319"/>
      <c r="BA273" s="319"/>
    </row>
    <row r="274" spans="1:53" ht="13.2" hidden="1">
      <c r="A274" s="319"/>
      <c r="B274" s="319"/>
      <c r="C274" s="319"/>
      <c r="D274" s="319"/>
      <c r="E274" s="319"/>
      <c r="F274" s="319"/>
      <c r="G274" s="319"/>
      <c r="H274" s="319"/>
      <c r="I274" s="319"/>
      <c r="J274" s="319"/>
      <c r="K274" s="319"/>
      <c r="L274" s="319"/>
      <c r="M274" s="319"/>
      <c r="N274" s="319"/>
      <c r="O274" s="319"/>
      <c r="P274" s="319"/>
      <c r="Q274" s="319"/>
      <c r="R274" s="319"/>
      <c r="S274" s="319"/>
      <c r="T274" s="319"/>
      <c r="U274" s="319"/>
      <c r="V274" s="319"/>
      <c r="W274" s="319"/>
      <c r="X274" s="319"/>
      <c r="Y274" s="319"/>
      <c r="Z274" s="319"/>
      <c r="AA274" s="319"/>
      <c r="AB274" s="319"/>
      <c r="AC274" s="319"/>
      <c r="AD274" s="319"/>
      <c r="AE274" s="319"/>
      <c r="AF274" s="319"/>
      <c r="AG274" s="319"/>
      <c r="AH274" s="319"/>
      <c r="AI274" s="319"/>
      <c r="AJ274" s="319"/>
      <c r="AK274" s="319"/>
      <c r="AL274" s="319"/>
      <c r="AM274" s="319"/>
      <c r="AN274" s="319"/>
      <c r="AO274" s="319"/>
      <c r="AP274" s="319"/>
      <c r="AQ274" s="319"/>
      <c r="AR274" s="319"/>
      <c r="AS274" s="319"/>
      <c r="AT274" s="319"/>
      <c r="AU274" s="319"/>
      <c r="AV274" s="319"/>
      <c r="AW274" s="319"/>
      <c r="AX274" s="319"/>
      <c r="AY274" s="319"/>
      <c r="AZ274" s="319"/>
      <c r="BA274" s="319"/>
    </row>
    <row r="275" spans="1:53" ht="13.2" hidden="1">
      <c r="A275" s="319"/>
      <c r="B275" s="319"/>
      <c r="C275" s="319"/>
      <c r="D275" s="319"/>
      <c r="E275" s="319"/>
      <c r="F275" s="319"/>
      <c r="G275" s="319"/>
      <c r="H275" s="319"/>
      <c r="I275" s="319"/>
      <c r="J275" s="319"/>
      <c r="K275" s="319"/>
      <c r="L275" s="319"/>
      <c r="M275" s="319"/>
      <c r="N275" s="319"/>
      <c r="O275" s="319"/>
      <c r="P275" s="319"/>
      <c r="Q275" s="319"/>
      <c r="R275" s="319"/>
      <c r="S275" s="319"/>
      <c r="T275" s="319"/>
      <c r="U275" s="319"/>
      <c r="V275" s="319"/>
      <c r="W275" s="319"/>
      <c r="X275" s="319"/>
      <c r="Y275" s="319"/>
      <c r="Z275" s="319"/>
      <c r="AA275" s="319"/>
      <c r="AB275" s="319"/>
      <c r="AC275" s="319"/>
      <c r="AD275" s="319"/>
      <c r="AE275" s="319"/>
      <c r="AF275" s="319"/>
      <c r="AG275" s="319"/>
      <c r="AH275" s="319"/>
      <c r="AI275" s="319"/>
      <c r="AJ275" s="319"/>
      <c r="AK275" s="319"/>
      <c r="AL275" s="319"/>
      <c r="AM275" s="319"/>
      <c r="AN275" s="319"/>
      <c r="AO275" s="319"/>
      <c r="AP275" s="319"/>
      <c r="AQ275" s="319"/>
      <c r="AR275" s="319"/>
      <c r="AS275" s="319"/>
      <c r="AT275" s="319"/>
      <c r="AU275" s="319"/>
      <c r="AV275" s="319"/>
      <c r="AW275" s="319"/>
      <c r="AX275" s="319"/>
      <c r="AY275" s="319"/>
      <c r="AZ275" s="319"/>
      <c r="BA275" s="319"/>
    </row>
    <row r="276" spans="1:53" ht="13.2" hidden="1">
      <c r="A276" s="319"/>
      <c r="B276" s="319"/>
      <c r="C276" s="468" t="s">
        <v>2506</v>
      </c>
      <c r="D276" s="469" t="s">
        <v>3843</v>
      </c>
      <c r="E276" s="469" t="str">
        <f>D87</f>
        <v>Direto</v>
      </c>
      <c r="F276" s="469">
        <f>IF(E276=J261,1,F277)</f>
        <v>0.75</v>
      </c>
      <c r="G276" s="469"/>
      <c r="H276" s="469"/>
      <c r="I276" s="469"/>
      <c r="J276" s="470"/>
      <c r="K276" s="468" t="s">
        <v>726</v>
      </c>
      <c r="L276" s="469" t="s">
        <v>3843</v>
      </c>
      <c r="M276" s="469" t="str">
        <f>D192</f>
        <v>Direto</v>
      </c>
      <c r="N276" s="469">
        <f>IF(M276=J261,1,N277)</f>
        <v>0.75</v>
      </c>
      <c r="O276" s="469"/>
      <c r="P276" s="469"/>
      <c r="Q276" s="469"/>
      <c r="R276" s="470"/>
      <c r="S276" s="319"/>
      <c r="T276" s="319"/>
      <c r="U276" s="319"/>
      <c r="V276" s="319"/>
      <c r="W276" s="319"/>
      <c r="X276" s="319"/>
      <c r="Y276" s="319"/>
      <c r="Z276" s="319"/>
      <c r="AA276" s="319"/>
      <c r="AB276" s="319"/>
      <c r="AC276" s="319"/>
      <c r="AD276" s="319"/>
      <c r="AE276" s="319"/>
      <c r="AF276" s="319"/>
      <c r="AG276" s="319"/>
      <c r="AH276" s="319"/>
      <c r="AI276" s="319"/>
      <c r="AJ276" s="319"/>
      <c r="AK276" s="319"/>
      <c r="AL276" s="319"/>
      <c r="AM276" s="319"/>
      <c r="AN276" s="319"/>
      <c r="AO276" s="319"/>
      <c r="AP276" s="319"/>
      <c r="AQ276" s="319"/>
      <c r="AR276" s="319"/>
      <c r="AS276" s="319"/>
      <c r="AT276" s="319"/>
      <c r="AU276" s="319"/>
      <c r="AV276" s="319"/>
      <c r="AW276" s="319"/>
      <c r="AX276" s="319"/>
      <c r="AY276" s="319"/>
      <c r="AZ276" s="319"/>
      <c r="BA276" s="319"/>
    </row>
    <row r="277" spans="1:53" ht="13.2" hidden="1">
      <c r="A277" s="319"/>
      <c r="B277" s="319"/>
      <c r="C277" s="450"/>
      <c r="D277" s="463" t="s">
        <v>4845</v>
      </c>
      <c r="E277" s="463"/>
      <c r="F277" s="463">
        <v>0.75</v>
      </c>
      <c r="G277" s="463"/>
      <c r="H277" s="463"/>
      <c r="I277" s="463"/>
      <c r="J277" s="471"/>
      <c r="K277" s="450"/>
      <c r="L277" s="463" t="s">
        <v>4845</v>
      </c>
      <c r="M277" s="463"/>
      <c r="N277" s="463">
        <v>0.75</v>
      </c>
      <c r="O277" s="463"/>
      <c r="P277" s="463"/>
      <c r="Q277" s="463"/>
      <c r="R277" s="471"/>
      <c r="S277" s="319"/>
      <c r="T277" s="319"/>
      <c r="U277" s="319"/>
      <c r="V277" s="319"/>
      <c r="W277" s="319"/>
      <c r="X277" s="319"/>
      <c r="Y277" s="319"/>
      <c r="Z277" s="319"/>
      <c r="AA277" s="319"/>
      <c r="AB277" s="319"/>
      <c r="AC277" s="319"/>
      <c r="AD277" s="319"/>
      <c r="AE277" s="319"/>
      <c r="AF277" s="319"/>
      <c r="AG277" s="319"/>
      <c r="AH277" s="319"/>
      <c r="AI277" s="319"/>
      <c r="AJ277" s="319"/>
      <c r="AK277" s="319"/>
      <c r="AL277" s="319"/>
      <c r="AM277" s="319"/>
      <c r="AN277" s="319"/>
      <c r="AO277" s="319"/>
      <c r="AP277" s="319"/>
      <c r="AQ277" s="319"/>
      <c r="AR277" s="319"/>
      <c r="AS277" s="319"/>
      <c r="AT277" s="319"/>
      <c r="AU277" s="319"/>
      <c r="AV277" s="319"/>
      <c r="AW277" s="319"/>
      <c r="AX277" s="319"/>
      <c r="AY277" s="319"/>
      <c r="AZ277" s="319"/>
      <c r="BA277" s="319"/>
    </row>
    <row r="278" spans="1:53" ht="13.2" hidden="1">
      <c r="A278" s="319"/>
      <c r="B278" s="319"/>
      <c r="C278" s="450"/>
      <c r="D278" s="463"/>
      <c r="E278" s="463"/>
      <c r="F278" s="463"/>
      <c r="G278" s="463"/>
      <c r="H278" s="463"/>
      <c r="I278" s="463"/>
      <c r="J278" s="471"/>
      <c r="K278" s="450"/>
      <c r="L278" s="463"/>
      <c r="M278" s="463"/>
      <c r="N278" s="463"/>
      <c r="O278" s="463"/>
      <c r="P278" s="463"/>
      <c r="Q278" s="463"/>
      <c r="R278" s="471"/>
      <c r="S278" s="319"/>
      <c r="T278" s="319"/>
      <c r="U278" s="319"/>
      <c r="V278" s="319"/>
      <c r="W278" s="319"/>
      <c r="X278" s="319"/>
      <c r="Y278" s="319"/>
      <c r="Z278" s="319"/>
      <c r="AA278" s="319"/>
      <c r="AB278" s="319"/>
      <c r="AC278" s="319"/>
      <c r="AD278" s="319"/>
      <c r="AE278" s="319"/>
      <c r="AF278" s="319"/>
      <c r="AG278" s="319"/>
      <c r="AH278" s="319"/>
      <c r="AI278" s="319"/>
      <c r="AJ278" s="319"/>
      <c r="AK278" s="319"/>
      <c r="AL278" s="319"/>
      <c r="AM278" s="319"/>
      <c r="AN278" s="319"/>
      <c r="AO278" s="319"/>
      <c r="AP278" s="319"/>
      <c r="AQ278" s="319"/>
      <c r="AR278" s="319"/>
      <c r="AS278" s="319"/>
      <c r="AT278" s="319"/>
      <c r="AU278" s="319"/>
      <c r="AV278" s="319"/>
      <c r="AW278" s="319"/>
      <c r="AX278" s="319"/>
      <c r="AY278" s="319"/>
      <c r="AZ278" s="319"/>
      <c r="BA278" s="319"/>
    </row>
    <row r="279" spans="1:53" ht="13.2" hidden="1">
      <c r="A279" s="319"/>
      <c r="B279" s="319"/>
      <c r="C279" s="450"/>
      <c r="D279" s="463" t="s">
        <v>642</v>
      </c>
      <c r="E279" s="463"/>
      <c r="F279" s="463"/>
      <c r="G279" s="463"/>
      <c r="H279" s="463"/>
      <c r="I279" s="463"/>
      <c r="J279" s="471"/>
      <c r="K279" s="450"/>
      <c r="L279" s="463" t="s">
        <v>642</v>
      </c>
      <c r="M279" s="463"/>
      <c r="N279" s="463"/>
      <c r="O279" s="463"/>
      <c r="P279" s="463"/>
      <c r="Q279" s="463"/>
      <c r="R279" s="471"/>
      <c r="S279" s="319"/>
      <c r="T279" s="319"/>
      <c r="U279" s="319"/>
      <c r="V279" s="319"/>
      <c r="W279" s="319"/>
      <c r="X279" s="319"/>
      <c r="Y279" s="319"/>
      <c r="Z279" s="319"/>
      <c r="AA279" s="319"/>
      <c r="AB279" s="319"/>
      <c r="AC279" s="319"/>
      <c r="AD279" s="319"/>
      <c r="AE279" s="319"/>
      <c r="AF279" s="319"/>
      <c r="AG279" s="319"/>
      <c r="AH279" s="319"/>
      <c r="AI279" s="319"/>
      <c r="AJ279" s="319"/>
      <c r="AK279" s="319"/>
      <c r="AL279" s="319"/>
      <c r="AM279" s="319"/>
      <c r="AN279" s="319"/>
      <c r="AO279" s="319"/>
      <c r="AP279" s="319"/>
      <c r="AQ279" s="319"/>
      <c r="AR279" s="319"/>
      <c r="AS279" s="319"/>
      <c r="AT279" s="319"/>
      <c r="AU279" s="319"/>
      <c r="AV279" s="319"/>
      <c r="AW279" s="319"/>
      <c r="AX279" s="319"/>
      <c r="AY279" s="319"/>
      <c r="AZ279" s="319"/>
      <c r="BA279" s="319"/>
    </row>
    <row r="280" spans="1:53" ht="13.2" hidden="1">
      <c r="A280" s="319"/>
      <c r="B280" s="319"/>
      <c r="C280" s="450"/>
      <c r="D280" s="463" t="s">
        <v>4006</v>
      </c>
      <c r="E280" s="463"/>
      <c r="F280" s="463"/>
      <c r="G280" s="463" t="s">
        <v>3018</v>
      </c>
      <c r="H280" s="463"/>
      <c r="I280" s="463"/>
      <c r="J280" s="471"/>
      <c r="K280" s="450"/>
      <c r="L280" s="463" t="s">
        <v>4006</v>
      </c>
      <c r="M280" s="463"/>
      <c r="N280" s="463"/>
      <c r="O280" s="463" t="s">
        <v>3018</v>
      </c>
      <c r="P280" s="463"/>
      <c r="Q280" s="463"/>
      <c r="R280" s="471"/>
      <c r="S280" s="319"/>
      <c r="T280" s="319"/>
      <c r="U280" s="319"/>
      <c r="V280" s="319"/>
      <c r="W280" s="319"/>
      <c r="X280" s="319"/>
      <c r="Y280" s="319"/>
      <c r="Z280" s="319"/>
      <c r="AA280" s="319"/>
      <c r="AB280" s="319"/>
      <c r="AC280" s="319"/>
      <c r="AD280" s="319"/>
      <c r="AE280" s="319"/>
      <c r="AF280" s="319"/>
      <c r="AG280" s="319"/>
      <c r="AH280" s="319"/>
      <c r="AI280" s="319"/>
      <c r="AJ280" s="319"/>
      <c r="AK280" s="319"/>
      <c r="AL280" s="319"/>
      <c r="AM280" s="319"/>
      <c r="AN280" s="319"/>
      <c r="AO280" s="319"/>
      <c r="AP280" s="319"/>
      <c r="AQ280" s="319"/>
      <c r="AR280" s="319"/>
      <c r="AS280" s="319"/>
      <c r="AT280" s="319"/>
      <c r="AU280" s="319"/>
      <c r="AV280" s="319"/>
      <c r="AW280" s="319"/>
      <c r="AX280" s="319"/>
      <c r="AY280" s="319"/>
      <c r="AZ280" s="319"/>
      <c r="BA280" s="319"/>
    </row>
    <row r="281" spans="1:53" ht="13.2" hidden="1">
      <c r="A281" s="319"/>
      <c r="B281" s="319"/>
      <c r="C281" s="450"/>
      <c r="D281" s="463" t="s">
        <v>1873</v>
      </c>
      <c r="E281" s="463"/>
      <c r="F281" s="463"/>
      <c r="G281" s="463">
        <v>2.64</v>
      </c>
      <c r="H281" s="463"/>
      <c r="I281" s="463"/>
      <c r="J281" s="471"/>
      <c r="K281" s="450"/>
      <c r="L281" s="463" t="s">
        <v>1873</v>
      </c>
      <c r="M281" s="463"/>
      <c r="N281" s="463"/>
      <c r="O281" s="463">
        <v>2.3759999999999999</v>
      </c>
      <c r="P281" s="463"/>
      <c r="Q281" s="463"/>
      <c r="R281" s="471"/>
      <c r="S281" s="319"/>
      <c r="T281" s="319"/>
      <c r="U281" s="319"/>
      <c r="V281" s="319"/>
      <c r="W281" s="319"/>
      <c r="X281" s="319"/>
      <c r="Y281" s="319"/>
      <c r="Z281" s="319"/>
      <c r="AA281" s="319"/>
      <c r="AB281" s="319"/>
      <c r="AC281" s="319"/>
      <c r="AD281" s="319"/>
      <c r="AE281" s="319"/>
      <c r="AF281" s="319"/>
      <c r="AG281" s="319"/>
      <c r="AH281" s="319"/>
      <c r="AI281" s="319"/>
      <c r="AJ281" s="319"/>
      <c r="AK281" s="319"/>
      <c r="AL281" s="319"/>
      <c r="AM281" s="319"/>
      <c r="AN281" s="319"/>
      <c r="AO281" s="319"/>
      <c r="AP281" s="319"/>
      <c r="AQ281" s="319"/>
      <c r="AR281" s="319"/>
      <c r="AS281" s="319"/>
      <c r="AT281" s="319"/>
      <c r="AU281" s="319"/>
      <c r="AV281" s="319"/>
      <c r="AW281" s="319"/>
      <c r="AX281" s="319"/>
      <c r="AY281" s="319"/>
      <c r="AZ281" s="319"/>
      <c r="BA281" s="319"/>
    </row>
    <row r="282" spans="1:53" ht="13.2" hidden="1">
      <c r="A282" s="319"/>
      <c r="B282" s="319"/>
      <c r="C282" s="450"/>
      <c r="D282" s="463" t="s">
        <v>1874</v>
      </c>
      <c r="E282" s="463"/>
      <c r="F282" s="463"/>
      <c r="G282" s="463">
        <v>209</v>
      </c>
      <c r="H282" s="463"/>
      <c r="I282" s="463"/>
      <c r="J282" s="471"/>
      <c r="K282" s="450"/>
      <c r="L282" s="463" t="s">
        <v>1874</v>
      </c>
      <c r="M282" s="463"/>
      <c r="N282" s="463"/>
      <c r="O282" s="463">
        <v>300</v>
      </c>
      <c r="P282" s="463"/>
      <c r="Q282" s="463"/>
      <c r="R282" s="471"/>
      <c r="S282" s="319"/>
      <c r="T282" s="319"/>
      <c r="U282" s="319"/>
      <c r="V282" s="319"/>
      <c r="W282" s="319"/>
      <c r="X282" s="319"/>
      <c r="Y282" s="319"/>
      <c r="Z282" s="319"/>
      <c r="AA282" s="319"/>
      <c r="AB282" s="319"/>
      <c r="AC282" s="319"/>
      <c r="AD282" s="319"/>
      <c r="AE282" s="319"/>
      <c r="AF282" s="319"/>
      <c r="AG282" s="319"/>
      <c r="AH282" s="319"/>
      <c r="AI282" s="319"/>
      <c r="AJ282" s="319"/>
      <c r="AK282" s="319"/>
      <c r="AL282" s="319"/>
      <c r="AM282" s="319"/>
      <c r="AN282" s="319"/>
      <c r="AO282" s="319"/>
      <c r="AP282" s="319"/>
      <c r="AQ282" s="319"/>
      <c r="AR282" s="319"/>
      <c r="AS282" s="319"/>
      <c r="AT282" s="319"/>
      <c r="AU282" s="319"/>
      <c r="AV282" s="319"/>
      <c r="AW282" s="319"/>
      <c r="AX282" s="319"/>
      <c r="AY282" s="319"/>
      <c r="AZ282" s="319"/>
      <c r="BA282" s="319"/>
    </row>
    <row r="283" spans="1:53" ht="13.2" hidden="1">
      <c r="A283" s="319"/>
      <c r="B283" s="319"/>
      <c r="C283" s="450"/>
      <c r="D283" s="463" t="s">
        <v>630</v>
      </c>
      <c r="E283" s="463"/>
      <c r="F283" s="463"/>
      <c r="G283" s="463">
        <v>4.1849999999999996</v>
      </c>
      <c r="H283" s="463"/>
      <c r="I283" s="463"/>
      <c r="J283" s="471"/>
      <c r="K283" s="450"/>
      <c r="L283" s="463" t="s">
        <v>630</v>
      </c>
      <c r="M283" s="463"/>
      <c r="N283" s="463"/>
      <c r="O283" s="463">
        <f>G283</f>
        <v>4.1849999999999996</v>
      </c>
      <c r="P283" s="463"/>
      <c r="Q283" s="463"/>
      <c r="R283" s="471"/>
      <c r="S283" s="319"/>
      <c r="T283" s="319"/>
      <c r="U283" s="319"/>
      <c r="V283" s="319"/>
      <c r="W283" s="319"/>
      <c r="X283" s="319"/>
      <c r="Y283" s="319"/>
      <c r="Z283" s="319"/>
      <c r="AA283" s="319"/>
      <c r="AB283" s="319"/>
      <c r="AC283" s="319"/>
      <c r="AD283" s="319"/>
      <c r="AE283" s="319"/>
      <c r="AF283" s="319"/>
      <c r="AG283" s="319"/>
      <c r="AH283" s="319"/>
      <c r="AI283" s="319"/>
      <c r="AJ283" s="319"/>
      <c r="AK283" s="319"/>
      <c r="AL283" s="319"/>
      <c r="AM283" s="319"/>
      <c r="AN283" s="319"/>
      <c r="AO283" s="319"/>
      <c r="AP283" s="319"/>
      <c r="AQ283" s="319"/>
      <c r="AR283" s="319"/>
      <c r="AS283" s="319"/>
      <c r="AT283" s="319"/>
      <c r="AU283" s="319"/>
      <c r="AV283" s="319"/>
      <c r="AW283" s="319"/>
      <c r="AX283" s="319"/>
      <c r="AY283" s="319"/>
      <c r="AZ283" s="319"/>
      <c r="BA283" s="319"/>
    </row>
    <row r="284" spans="1:53" ht="13.2" hidden="1">
      <c r="A284" s="319"/>
      <c r="B284" s="319"/>
      <c r="C284" s="450"/>
      <c r="D284" s="463"/>
      <c r="E284" s="463"/>
      <c r="F284" s="463"/>
      <c r="G284" s="463"/>
      <c r="H284" s="463"/>
      <c r="I284" s="463"/>
      <c r="J284" s="471"/>
      <c r="K284" s="450"/>
      <c r="L284" s="463"/>
      <c r="M284" s="463"/>
      <c r="N284" s="463"/>
      <c r="O284" s="463"/>
      <c r="P284" s="463"/>
      <c r="Q284" s="463"/>
      <c r="R284" s="471"/>
      <c r="S284" s="319"/>
      <c r="T284" s="319"/>
      <c r="U284" s="319"/>
      <c r="V284" s="319"/>
      <c r="W284" s="319"/>
      <c r="X284" s="319"/>
      <c r="Y284" s="319"/>
      <c r="Z284" s="319"/>
      <c r="AA284" s="319"/>
      <c r="AB284" s="319"/>
      <c r="AC284" s="319"/>
      <c r="AD284" s="319"/>
      <c r="AE284" s="319"/>
      <c r="AF284" s="319"/>
      <c r="AG284" s="319"/>
      <c r="AH284" s="319"/>
      <c r="AI284" s="319"/>
      <c r="AJ284" s="319"/>
      <c r="AK284" s="319"/>
      <c r="AL284" s="319"/>
      <c r="AM284" s="319"/>
      <c r="AN284" s="319"/>
      <c r="AO284" s="319"/>
      <c r="AP284" s="319"/>
      <c r="AQ284" s="319"/>
      <c r="AR284" s="319"/>
      <c r="AS284" s="319"/>
      <c r="AT284" s="319"/>
      <c r="AU284" s="319"/>
      <c r="AV284" s="319"/>
      <c r="AW284" s="319"/>
      <c r="AX284" s="319"/>
      <c r="AY284" s="319"/>
      <c r="AZ284" s="319"/>
      <c r="BA284" s="319"/>
    </row>
    <row r="285" spans="1:53" ht="13.2" hidden="1">
      <c r="A285" s="319"/>
      <c r="B285" s="319"/>
      <c r="C285" s="450"/>
      <c r="D285" s="463" t="s">
        <v>5700</v>
      </c>
      <c r="E285" s="463" t="s">
        <v>1875</v>
      </c>
      <c r="F285" s="463" t="s">
        <v>4603</v>
      </c>
      <c r="G285" s="463" t="s">
        <v>4939</v>
      </c>
      <c r="H285" s="463" t="s">
        <v>2288</v>
      </c>
      <c r="I285" s="463" t="s">
        <v>5569</v>
      </c>
      <c r="J285" s="471" t="s">
        <v>709</v>
      </c>
      <c r="K285" s="450"/>
      <c r="L285" s="463" t="s">
        <v>5700</v>
      </c>
      <c r="M285" s="463" t="s">
        <v>1875</v>
      </c>
      <c r="N285" s="463" t="s">
        <v>4603</v>
      </c>
      <c r="O285" s="463" t="s">
        <v>4939</v>
      </c>
      <c r="P285" s="463" t="s">
        <v>2288</v>
      </c>
      <c r="Q285" s="463" t="s">
        <v>5569</v>
      </c>
      <c r="R285" s="471" t="s">
        <v>709</v>
      </c>
      <c r="S285" s="319"/>
      <c r="T285" s="319"/>
      <c r="U285" s="319"/>
      <c r="V285" s="319"/>
      <c r="W285" s="319"/>
      <c r="X285" s="319"/>
      <c r="Y285" s="319"/>
      <c r="Z285" s="319"/>
      <c r="AA285" s="319"/>
      <c r="AB285" s="319"/>
      <c r="AC285" s="319"/>
      <c r="AD285" s="319"/>
      <c r="AE285" s="319"/>
      <c r="AF285" s="319"/>
      <c r="AG285" s="319"/>
      <c r="AH285" s="319"/>
      <c r="AI285" s="319"/>
      <c r="AJ285" s="319"/>
      <c r="AK285" s="319"/>
      <c r="AL285" s="319"/>
      <c r="AM285" s="319"/>
      <c r="AN285" s="319"/>
      <c r="AO285" s="319"/>
      <c r="AP285" s="319"/>
      <c r="AQ285" s="319"/>
      <c r="AR285" s="319"/>
      <c r="AS285" s="319"/>
      <c r="AT285" s="319"/>
      <c r="AU285" s="319"/>
      <c r="AV285" s="319"/>
      <c r="AW285" s="319"/>
      <c r="AX285" s="319"/>
      <c r="AY285" s="319"/>
      <c r="AZ285" s="319"/>
      <c r="BA285" s="319"/>
    </row>
    <row r="286" spans="1:53" ht="13.2" hidden="1">
      <c r="A286" s="319"/>
      <c r="B286" s="319"/>
      <c r="C286" s="450"/>
      <c r="D286" s="463">
        <v>0</v>
      </c>
      <c r="E286" s="463">
        <v>32</v>
      </c>
      <c r="F286" s="463">
        <v>1.8</v>
      </c>
      <c r="G286" s="463">
        <f t="shared" ref="G286:G305" si="87">E287*$G$281+$G$282</f>
        <v>293.48</v>
      </c>
      <c r="H286" s="463" t="s">
        <v>4297</v>
      </c>
      <c r="I286" s="463">
        <f t="shared" ref="I286:I305" si="88">SUMIF($E$66:$E$78,H286,$Y$66:$Y$78)</f>
        <v>0</v>
      </c>
      <c r="J286" s="471">
        <f t="shared" ref="J286:J305" si="89">I286*G286*$D$89*$D$91</f>
        <v>0</v>
      </c>
      <c r="K286" s="450"/>
      <c r="L286" s="463">
        <v>0</v>
      </c>
      <c r="M286" s="463">
        <v>32</v>
      </c>
      <c r="N286" s="463">
        <v>1.8</v>
      </c>
      <c r="O286" s="463">
        <f t="shared" ref="O286:O305" si="90">M287*$O$281+$O$282</f>
        <v>376.03199999999998</v>
      </c>
      <c r="P286" s="463" t="s">
        <v>4297</v>
      </c>
      <c r="Q286" s="463">
        <f t="shared" ref="Q286:Q305" si="91">SUMIF($E$171:$E$183,P286,$Y$171:$Y$183)</f>
        <v>0</v>
      </c>
      <c r="R286" s="471">
        <f>Q286*O286*$D$194*$D$196</f>
        <v>0</v>
      </c>
      <c r="S286" s="319"/>
      <c r="T286" s="319"/>
      <c r="U286" s="319"/>
      <c r="V286" s="319"/>
      <c r="W286" s="319"/>
      <c r="X286" s="319"/>
      <c r="Y286" s="319"/>
      <c r="Z286" s="319"/>
      <c r="AA286" s="319"/>
      <c r="AB286" s="319"/>
      <c r="AC286" s="319"/>
      <c r="AD286" s="319"/>
      <c r="AE286" s="319"/>
      <c r="AF286" s="319"/>
      <c r="AG286" s="319"/>
      <c r="AH286" s="319"/>
      <c r="AI286" s="319"/>
      <c r="AJ286" s="319"/>
      <c r="AK286" s="319"/>
      <c r="AL286" s="319"/>
      <c r="AM286" s="319"/>
      <c r="AN286" s="319"/>
      <c r="AO286" s="319"/>
      <c r="AP286" s="319"/>
      <c r="AQ286" s="319"/>
      <c r="AR286" s="319"/>
      <c r="AS286" s="319"/>
      <c r="AT286" s="319"/>
      <c r="AU286" s="319"/>
      <c r="AV286" s="319"/>
      <c r="AW286" s="319"/>
      <c r="AX286" s="319"/>
      <c r="AY286" s="319"/>
      <c r="AZ286" s="319"/>
      <c r="BA286" s="319"/>
    </row>
    <row r="287" spans="1:53" ht="13.2" hidden="1">
      <c r="A287" s="319"/>
      <c r="B287" s="319"/>
      <c r="C287" s="450"/>
      <c r="D287" s="463">
        <f>F287*$G$283*$F$308/3.6</f>
        <v>0</v>
      </c>
      <c r="E287" s="463">
        <v>32</v>
      </c>
      <c r="F287" s="463">
        <v>1.8</v>
      </c>
      <c r="G287" s="463">
        <f t="shared" si="87"/>
        <v>314.60000000000002</v>
      </c>
      <c r="H287" s="463" t="s">
        <v>4575</v>
      </c>
      <c r="I287" s="463">
        <f t="shared" si="88"/>
        <v>0</v>
      </c>
      <c r="J287" s="471">
        <f t="shared" si="89"/>
        <v>0</v>
      </c>
      <c r="K287" s="450"/>
      <c r="L287" s="463">
        <f t="shared" ref="L287:L306" si="92">N287*4.185*$N$308/3.6</f>
        <v>0</v>
      </c>
      <c r="M287" s="463">
        <v>32</v>
      </c>
      <c r="N287" s="463">
        <v>1.8</v>
      </c>
      <c r="O287" s="463">
        <f t="shared" si="90"/>
        <v>395.03999999999996</v>
      </c>
      <c r="P287" s="463" t="s">
        <v>4575</v>
      </c>
      <c r="Q287" s="463">
        <f t="shared" si="91"/>
        <v>0</v>
      </c>
      <c r="R287" s="471">
        <f t="shared" ref="R287:R305" si="93">Q287*O287*$D$194*$D$196</f>
        <v>0</v>
      </c>
      <c r="S287" s="319"/>
      <c r="T287" s="319"/>
      <c r="U287" s="319"/>
      <c r="V287" s="319"/>
      <c r="W287" s="319"/>
      <c r="X287" s="319"/>
      <c r="Y287" s="319"/>
      <c r="Z287" s="319"/>
      <c r="AA287" s="319"/>
      <c r="AB287" s="319"/>
      <c r="AC287" s="319"/>
      <c r="AD287" s="319"/>
      <c r="AE287" s="319"/>
      <c r="AF287" s="319"/>
      <c r="AG287" s="319"/>
      <c r="AH287" s="319"/>
      <c r="AI287" s="319"/>
      <c r="AJ287" s="319"/>
      <c r="AK287" s="319"/>
      <c r="AL287" s="319"/>
      <c r="AM287" s="319"/>
      <c r="AN287" s="319"/>
      <c r="AO287" s="319"/>
      <c r="AP287" s="319"/>
      <c r="AQ287" s="319"/>
      <c r="AR287" s="319"/>
      <c r="AS287" s="319"/>
      <c r="AT287" s="319"/>
      <c r="AU287" s="319"/>
      <c r="AV287" s="319"/>
      <c r="AW287" s="319"/>
      <c r="AX287" s="319"/>
      <c r="AY287" s="319"/>
      <c r="AZ287" s="319"/>
      <c r="BA287" s="319"/>
    </row>
    <row r="288" spans="1:53" ht="13.2" hidden="1">
      <c r="A288" s="319"/>
      <c r="B288" s="319"/>
      <c r="C288" s="450"/>
      <c r="D288" s="463">
        <f t="shared" ref="D288:D306" si="94">F288*$G$283*$F$308/3.6</f>
        <v>0</v>
      </c>
      <c r="E288" s="463">
        <v>40</v>
      </c>
      <c r="F288" s="463">
        <v>2.7</v>
      </c>
      <c r="G288" s="463">
        <f t="shared" si="87"/>
        <v>341</v>
      </c>
      <c r="H288" s="463" t="s">
        <v>4576</v>
      </c>
      <c r="I288" s="463">
        <f t="shared" si="88"/>
        <v>0</v>
      </c>
      <c r="J288" s="471">
        <f t="shared" si="89"/>
        <v>0</v>
      </c>
      <c r="K288" s="450"/>
      <c r="L288" s="463">
        <f t="shared" si="92"/>
        <v>0</v>
      </c>
      <c r="M288" s="463">
        <v>40</v>
      </c>
      <c r="N288" s="463">
        <v>2.7</v>
      </c>
      <c r="O288" s="463">
        <f t="shared" si="90"/>
        <v>418.8</v>
      </c>
      <c r="P288" s="463" t="s">
        <v>4576</v>
      </c>
      <c r="Q288" s="463">
        <f t="shared" si="91"/>
        <v>0</v>
      </c>
      <c r="R288" s="471">
        <f t="shared" si="93"/>
        <v>0</v>
      </c>
      <c r="S288" s="319"/>
      <c r="T288" s="319"/>
      <c r="U288" s="319"/>
      <c r="V288" s="319"/>
      <c r="W288" s="319"/>
      <c r="X288" s="319"/>
      <c r="Y288" s="319"/>
      <c r="Z288" s="319"/>
      <c r="AA288" s="319"/>
      <c r="AB288" s="319"/>
      <c r="AC288" s="319"/>
      <c r="AD288" s="319"/>
      <c r="AE288" s="319"/>
      <c r="AF288" s="319"/>
      <c r="AG288" s="319"/>
      <c r="AH288" s="319"/>
      <c r="AI288" s="319"/>
      <c r="AJ288" s="319"/>
      <c r="AK288" s="319"/>
      <c r="AL288" s="319"/>
      <c r="AM288" s="319"/>
      <c r="AN288" s="319"/>
      <c r="AO288" s="319"/>
      <c r="AP288" s="319"/>
      <c r="AQ288" s="319"/>
      <c r="AR288" s="319"/>
      <c r="AS288" s="319"/>
      <c r="AT288" s="319"/>
      <c r="AU288" s="319"/>
      <c r="AV288" s="319"/>
      <c r="AW288" s="319"/>
      <c r="AX288" s="319"/>
      <c r="AY288" s="319"/>
      <c r="AZ288" s="319"/>
      <c r="BA288" s="319"/>
    </row>
    <row r="289" spans="1:53" ht="13.2" hidden="1">
      <c r="A289" s="319"/>
      <c r="B289" s="319"/>
      <c r="C289" s="450"/>
      <c r="D289" s="463">
        <f t="shared" si="94"/>
        <v>0</v>
      </c>
      <c r="E289" s="463">
        <v>50</v>
      </c>
      <c r="F289" s="463">
        <v>5.8</v>
      </c>
      <c r="G289" s="463">
        <f t="shared" si="87"/>
        <v>380.6</v>
      </c>
      <c r="H289" s="463" t="s">
        <v>5450</v>
      </c>
      <c r="I289" s="463">
        <f t="shared" si="88"/>
        <v>0</v>
      </c>
      <c r="J289" s="471">
        <f t="shared" si="89"/>
        <v>0</v>
      </c>
      <c r="K289" s="450"/>
      <c r="L289" s="463">
        <f t="shared" si="92"/>
        <v>0</v>
      </c>
      <c r="M289" s="463">
        <v>50</v>
      </c>
      <c r="N289" s="463">
        <v>5.8</v>
      </c>
      <c r="O289" s="463">
        <f t="shared" si="90"/>
        <v>454.44</v>
      </c>
      <c r="P289" s="463" t="s">
        <v>5450</v>
      </c>
      <c r="Q289" s="463">
        <f t="shared" si="91"/>
        <v>0</v>
      </c>
      <c r="R289" s="471">
        <f t="shared" si="93"/>
        <v>0</v>
      </c>
      <c r="S289" s="319"/>
      <c r="T289" s="319"/>
      <c r="U289" s="319"/>
      <c r="V289" s="319"/>
      <c r="W289" s="319"/>
      <c r="X289" s="319"/>
      <c r="Y289" s="319"/>
      <c r="Z289" s="319"/>
      <c r="AA289" s="319"/>
      <c r="AB289" s="319"/>
      <c r="AC289" s="319"/>
      <c r="AD289" s="319"/>
      <c r="AE289" s="319"/>
      <c r="AF289" s="319"/>
      <c r="AG289" s="319"/>
      <c r="AH289" s="319"/>
      <c r="AI289" s="319"/>
      <c r="AJ289" s="319"/>
      <c r="AK289" s="319"/>
      <c r="AL289" s="319"/>
      <c r="AM289" s="319"/>
      <c r="AN289" s="319"/>
      <c r="AO289" s="319"/>
      <c r="AP289" s="319"/>
      <c r="AQ289" s="319"/>
      <c r="AR289" s="319"/>
      <c r="AS289" s="319"/>
      <c r="AT289" s="319"/>
      <c r="AU289" s="319"/>
      <c r="AV289" s="319"/>
      <c r="AW289" s="319"/>
      <c r="AX289" s="319"/>
      <c r="AY289" s="319"/>
      <c r="AZ289" s="319"/>
      <c r="BA289" s="319"/>
    </row>
    <row r="290" spans="1:53" ht="13.2" hidden="1">
      <c r="A290" s="319"/>
      <c r="B290" s="319"/>
      <c r="C290" s="450"/>
      <c r="D290" s="463">
        <f t="shared" si="94"/>
        <v>0</v>
      </c>
      <c r="E290" s="463">
        <v>65</v>
      </c>
      <c r="F290" s="463">
        <v>12</v>
      </c>
      <c r="G290" s="463">
        <f t="shared" si="87"/>
        <v>420.20000000000005</v>
      </c>
      <c r="H290" s="463" t="s">
        <v>1691</v>
      </c>
      <c r="I290" s="463">
        <f t="shared" si="88"/>
        <v>0</v>
      </c>
      <c r="J290" s="471">
        <f t="shared" si="89"/>
        <v>0</v>
      </c>
      <c r="K290" s="450"/>
      <c r="L290" s="463">
        <f t="shared" si="92"/>
        <v>0</v>
      </c>
      <c r="M290" s="463">
        <v>65</v>
      </c>
      <c r="N290" s="463">
        <v>12</v>
      </c>
      <c r="O290" s="463">
        <f t="shared" si="90"/>
        <v>490.08</v>
      </c>
      <c r="P290" s="463" t="s">
        <v>1691</v>
      </c>
      <c r="Q290" s="463">
        <f t="shared" si="91"/>
        <v>0</v>
      </c>
      <c r="R290" s="471">
        <f t="shared" si="93"/>
        <v>0</v>
      </c>
      <c r="S290" s="319"/>
      <c r="T290" s="319"/>
      <c r="U290" s="319"/>
      <c r="V290" s="319"/>
      <c r="W290" s="319"/>
      <c r="X290" s="319"/>
      <c r="Y290" s="319"/>
      <c r="Z290" s="319"/>
      <c r="AA290" s="319"/>
      <c r="AB290" s="319"/>
      <c r="AC290" s="319"/>
      <c r="AD290" s="319"/>
      <c r="AE290" s="319"/>
      <c r="AF290" s="319"/>
      <c r="AG290" s="319"/>
      <c r="AH290" s="319"/>
      <c r="AI290" s="319"/>
      <c r="AJ290" s="319"/>
      <c r="AK290" s="319"/>
      <c r="AL290" s="319"/>
      <c r="AM290" s="319"/>
      <c r="AN290" s="319"/>
      <c r="AO290" s="319"/>
      <c r="AP290" s="319"/>
      <c r="AQ290" s="319"/>
      <c r="AR290" s="319"/>
      <c r="AS290" s="319"/>
      <c r="AT290" s="319"/>
      <c r="AU290" s="319"/>
      <c r="AV290" s="319"/>
      <c r="AW290" s="319"/>
      <c r="AX290" s="319"/>
      <c r="AY290" s="319"/>
      <c r="AZ290" s="319"/>
      <c r="BA290" s="319"/>
    </row>
    <row r="291" spans="1:53" ht="13.2" hidden="1">
      <c r="A291" s="319"/>
      <c r="B291" s="319"/>
      <c r="C291" s="450"/>
      <c r="D291" s="463">
        <f t="shared" si="94"/>
        <v>0</v>
      </c>
      <c r="E291" s="463">
        <v>80</v>
      </c>
      <c r="F291" s="463">
        <v>21</v>
      </c>
      <c r="G291" s="463">
        <f t="shared" si="87"/>
        <v>473</v>
      </c>
      <c r="H291" s="463" t="s">
        <v>5959</v>
      </c>
      <c r="I291" s="463">
        <f t="shared" si="88"/>
        <v>0</v>
      </c>
      <c r="J291" s="471">
        <f t="shared" si="89"/>
        <v>0</v>
      </c>
      <c r="K291" s="450"/>
      <c r="L291" s="463">
        <f t="shared" si="92"/>
        <v>0</v>
      </c>
      <c r="M291" s="463">
        <v>80</v>
      </c>
      <c r="N291" s="463">
        <v>21</v>
      </c>
      <c r="O291" s="463">
        <f t="shared" si="90"/>
        <v>537.6</v>
      </c>
      <c r="P291" s="463" t="s">
        <v>5959</v>
      </c>
      <c r="Q291" s="463">
        <f t="shared" si="91"/>
        <v>0</v>
      </c>
      <c r="R291" s="471">
        <f t="shared" si="93"/>
        <v>0</v>
      </c>
      <c r="S291" s="319"/>
      <c r="T291" s="319"/>
      <c r="U291" s="319"/>
      <c r="V291" s="319"/>
      <c r="W291" s="319"/>
      <c r="X291" s="319"/>
      <c r="Y291" s="319"/>
      <c r="Z291" s="319"/>
      <c r="AA291" s="319"/>
      <c r="AB291" s="319"/>
      <c r="AC291" s="319"/>
      <c r="AD291" s="319"/>
      <c r="AE291" s="319"/>
      <c r="AF291" s="319"/>
      <c r="AG291" s="319"/>
      <c r="AH291" s="319"/>
      <c r="AI291" s="319"/>
      <c r="AJ291" s="319"/>
      <c r="AK291" s="319"/>
      <c r="AL291" s="319"/>
      <c r="AM291" s="319"/>
      <c r="AN291" s="319"/>
      <c r="AO291" s="319"/>
      <c r="AP291" s="319"/>
      <c r="AQ291" s="319"/>
      <c r="AR291" s="319"/>
      <c r="AS291" s="319"/>
      <c r="AT291" s="319"/>
      <c r="AU291" s="319"/>
      <c r="AV291" s="319"/>
      <c r="AW291" s="319"/>
      <c r="AX291" s="319"/>
      <c r="AY291" s="319"/>
      <c r="AZ291" s="319"/>
      <c r="BA291" s="319"/>
    </row>
    <row r="292" spans="1:53" ht="13.2" hidden="1">
      <c r="A292" s="319"/>
      <c r="B292" s="319"/>
      <c r="C292" s="450"/>
      <c r="D292" s="463">
        <f t="shared" si="94"/>
        <v>0</v>
      </c>
      <c r="E292" s="463">
        <v>100</v>
      </c>
      <c r="F292" s="463">
        <v>36</v>
      </c>
      <c r="G292" s="463">
        <f t="shared" si="87"/>
        <v>539</v>
      </c>
      <c r="H292" s="463" t="s">
        <v>1019</v>
      </c>
      <c r="I292" s="463">
        <f t="shared" si="88"/>
        <v>0</v>
      </c>
      <c r="J292" s="471">
        <f t="shared" si="89"/>
        <v>0</v>
      </c>
      <c r="K292" s="450"/>
      <c r="L292" s="463">
        <f t="shared" si="92"/>
        <v>0</v>
      </c>
      <c r="M292" s="463">
        <v>100</v>
      </c>
      <c r="N292" s="463">
        <v>36</v>
      </c>
      <c r="O292" s="463">
        <f t="shared" si="90"/>
        <v>597</v>
      </c>
      <c r="P292" s="463" t="s">
        <v>1019</v>
      </c>
      <c r="Q292" s="463">
        <f t="shared" si="91"/>
        <v>0</v>
      </c>
      <c r="R292" s="471">
        <f t="shared" si="93"/>
        <v>0</v>
      </c>
      <c r="S292" s="319"/>
      <c r="T292" s="319"/>
      <c r="U292" s="319"/>
      <c r="V292" s="319"/>
      <c r="W292" s="319"/>
      <c r="X292" s="319"/>
      <c r="Y292" s="319"/>
      <c r="Z292" s="319"/>
      <c r="AA292" s="319"/>
      <c r="AB292" s="319"/>
      <c r="AC292" s="319"/>
      <c r="AD292" s="319"/>
      <c r="AE292" s="319"/>
      <c r="AF292" s="319"/>
      <c r="AG292" s="319"/>
      <c r="AH292" s="319"/>
      <c r="AI292" s="319"/>
      <c r="AJ292" s="319"/>
      <c r="AK292" s="319"/>
      <c r="AL292" s="319"/>
      <c r="AM292" s="319"/>
      <c r="AN292" s="319"/>
      <c r="AO292" s="319"/>
      <c r="AP292" s="319"/>
      <c r="AQ292" s="319"/>
      <c r="AR292" s="319"/>
      <c r="AS292" s="319"/>
      <c r="AT292" s="319"/>
      <c r="AU292" s="319"/>
      <c r="AV292" s="319"/>
      <c r="AW292" s="319"/>
      <c r="AX292" s="319"/>
      <c r="AY292" s="319"/>
      <c r="AZ292" s="319"/>
      <c r="BA292" s="319"/>
    </row>
    <row r="293" spans="1:53" ht="13.2" hidden="1">
      <c r="A293" s="319"/>
      <c r="B293" s="319"/>
      <c r="C293" s="450"/>
      <c r="D293" s="463">
        <f t="shared" si="94"/>
        <v>0</v>
      </c>
      <c r="E293" s="463">
        <v>125</v>
      </c>
      <c r="F293" s="463">
        <v>65</v>
      </c>
      <c r="G293" s="463">
        <f t="shared" si="87"/>
        <v>605</v>
      </c>
      <c r="H293" s="463" t="s">
        <v>2639</v>
      </c>
      <c r="I293" s="463">
        <f t="shared" si="88"/>
        <v>0</v>
      </c>
      <c r="J293" s="471">
        <f t="shared" si="89"/>
        <v>0</v>
      </c>
      <c r="K293" s="450"/>
      <c r="L293" s="463">
        <f t="shared" si="92"/>
        <v>0</v>
      </c>
      <c r="M293" s="463">
        <v>125</v>
      </c>
      <c r="N293" s="463">
        <v>65</v>
      </c>
      <c r="O293" s="463">
        <f t="shared" si="90"/>
        <v>656.4</v>
      </c>
      <c r="P293" s="463" t="s">
        <v>2639</v>
      </c>
      <c r="Q293" s="463">
        <f t="shared" si="91"/>
        <v>0</v>
      </c>
      <c r="R293" s="471">
        <f t="shared" si="93"/>
        <v>0</v>
      </c>
      <c r="S293" s="319"/>
      <c r="T293" s="319"/>
      <c r="U293" s="319"/>
      <c r="V293" s="319"/>
      <c r="W293" s="319"/>
      <c r="X293" s="319"/>
      <c r="Y293" s="319"/>
      <c r="Z293" s="319"/>
      <c r="AA293" s="319"/>
      <c r="AB293" s="319"/>
      <c r="AC293" s="319"/>
      <c r="AD293" s="319"/>
      <c r="AE293" s="319"/>
      <c r="AF293" s="319"/>
      <c r="AG293" s="319"/>
      <c r="AH293" s="319"/>
      <c r="AI293" s="319"/>
      <c r="AJ293" s="319"/>
      <c r="AK293" s="319"/>
      <c r="AL293" s="319"/>
      <c r="AM293" s="319"/>
      <c r="AN293" s="319"/>
      <c r="AO293" s="319"/>
      <c r="AP293" s="319"/>
      <c r="AQ293" s="319"/>
      <c r="AR293" s="319"/>
      <c r="AS293" s="319"/>
      <c r="AT293" s="319"/>
      <c r="AU293" s="319"/>
      <c r="AV293" s="319"/>
      <c r="AW293" s="319"/>
      <c r="AX293" s="319"/>
      <c r="AY293" s="319"/>
      <c r="AZ293" s="319"/>
      <c r="BA293" s="319"/>
    </row>
    <row r="294" spans="1:53" ht="13.2" hidden="1">
      <c r="A294" s="319"/>
      <c r="B294" s="319"/>
      <c r="C294" s="450"/>
      <c r="D294" s="463">
        <f t="shared" si="94"/>
        <v>0</v>
      </c>
      <c r="E294" s="463">
        <v>150</v>
      </c>
      <c r="F294" s="463">
        <v>110</v>
      </c>
      <c r="G294" s="463">
        <f t="shared" si="87"/>
        <v>671</v>
      </c>
      <c r="H294" s="463" t="s">
        <v>3585</v>
      </c>
      <c r="I294" s="463">
        <f t="shared" si="88"/>
        <v>0</v>
      </c>
      <c r="J294" s="471">
        <f t="shared" si="89"/>
        <v>0</v>
      </c>
      <c r="K294" s="450"/>
      <c r="L294" s="463">
        <f t="shared" si="92"/>
        <v>0</v>
      </c>
      <c r="M294" s="463">
        <v>150</v>
      </c>
      <c r="N294" s="463">
        <v>110</v>
      </c>
      <c r="O294" s="463">
        <f t="shared" si="90"/>
        <v>715.8</v>
      </c>
      <c r="P294" s="463" t="s">
        <v>3585</v>
      </c>
      <c r="Q294" s="463">
        <f t="shared" si="91"/>
        <v>0</v>
      </c>
      <c r="R294" s="471">
        <f t="shared" si="93"/>
        <v>0</v>
      </c>
      <c r="S294" s="319"/>
      <c r="T294" s="319"/>
      <c r="U294" s="319"/>
      <c r="V294" s="319"/>
      <c r="W294" s="319"/>
      <c r="X294" s="319"/>
      <c r="Y294" s="319"/>
      <c r="Z294" s="319"/>
      <c r="AA294" s="319"/>
      <c r="AB294" s="319"/>
      <c r="AC294" s="319"/>
      <c r="AD294" s="319"/>
      <c r="AE294" s="319"/>
      <c r="AF294" s="319"/>
      <c r="AG294" s="319"/>
      <c r="AH294" s="319"/>
      <c r="AI294" s="319"/>
      <c r="AJ294" s="319"/>
      <c r="AK294" s="319"/>
      <c r="AL294" s="319"/>
      <c r="AM294" s="319"/>
      <c r="AN294" s="319"/>
      <c r="AO294" s="319"/>
      <c r="AP294" s="319"/>
      <c r="AQ294" s="319"/>
      <c r="AR294" s="319"/>
      <c r="AS294" s="319"/>
      <c r="AT294" s="319"/>
      <c r="AU294" s="319"/>
      <c r="AV294" s="319"/>
      <c r="AW294" s="319"/>
      <c r="AX294" s="319"/>
      <c r="AY294" s="319"/>
      <c r="AZ294" s="319"/>
      <c r="BA294" s="319"/>
    </row>
    <row r="295" spans="1:53" ht="13.2" hidden="1">
      <c r="A295" s="319"/>
      <c r="B295" s="319"/>
      <c r="C295" s="450"/>
      <c r="D295" s="463">
        <f t="shared" si="94"/>
        <v>0</v>
      </c>
      <c r="E295" s="463">
        <v>175</v>
      </c>
      <c r="F295" s="463">
        <v>165</v>
      </c>
      <c r="G295" s="463">
        <f t="shared" si="87"/>
        <v>737</v>
      </c>
      <c r="H295" s="463" t="s">
        <v>1962</v>
      </c>
      <c r="I295" s="463">
        <f t="shared" si="88"/>
        <v>0</v>
      </c>
      <c r="J295" s="471">
        <f t="shared" si="89"/>
        <v>0</v>
      </c>
      <c r="K295" s="450"/>
      <c r="L295" s="463">
        <f t="shared" si="92"/>
        <v>0</v>
      </c>
      <c r="M295" s="463">
        <v>175</v>
      </c>
      <c r="N295" s="463">
        <v>165</v>
      </c>
      <c r="O295" s="463">
        <f t="shared" si="90"/>
        <v>775.2</v>
      </c>
      <c r="P295" s="463" t="s">
        <v>1962</v>
      </c>
      <c r="Q295" s="463">
        <f t="shared" si="91"/>
        <v>0</v>
      </c>
      <c r="R295" s="471">
        <f t="shared" si="93"/>
        <v>0</v>
      </c>
      <c r="S295" s="319"/>
      <c r="T295" s="319"/>
      <c r="U295" s="319"/>
      <c r="V295" s="319"/>
      <c r="W295" s="319"/>
      <c r="X295" s="319"/>
      <c r="Y295" s="319"/>
      <c r="Z295" s="319"/>
      <c r="AA295" s="319"/>
      <c r="AB295" s="319"/>
      <c r="AC295" s="319"/>
      <c r="AD295" s="319"/>
      <c r="AE295" s="319"/>
      <c r="AF295" s="319"/>
      <c r="AG295" s="319"/>
      <c r="AH295" s="319"/>
      <c r="AI295" s="319"/>
      <c r="AJ295" s="319"/>
      <c r="AK295" s="319"/>
      <c r="AL295" s="319"/>
      <c r="AM295" s="319"/>
      <c r="AN295" s="319"/>
      <c r="AO295" s="319"/>
      <c r="AP295" s="319"/>
      <c r="AQ295" s="319"/>
      <c r="AR295" s="319"/>
      <c r="AS295" s="319"/>
      <c r="AT295" s="319"/>
      <c r="AU295" s="319"/>
      <c r="AV295" s="319"/>
      <c r="AW295" s="319"/>
      <c r="AX295" s="319"/>
      <c r="AY295" s="319"/>
      <c r="AZ295" s="319"/>
      <c r="BA295" s="319"/>
    </row>
    <row r="296" spans="1:53" ht="13.2" hidden="1">
      <c r="A296" s="319"/>
      <c r="B296" s="319"/>
      <c r="C296" s="450"/>
      <c r="D296" s="463">
        <f t="shared" si="94"/>
        <v>0</v>
      </c>
      <c r="E296" s="463">
        <v>200</v>
      </c>
      <c r="F296" s="463">
        <v>240</v>
      </c>
      <c r="G296" s="463">
        <f t="shared" si="87"/>
        <v>869</v>
      </c>
      <c r="H296" s="463" t="s">
        <v>473</v>
      </c>
      <c r="I296" s="463">
        <f t="shared" si="88"/>
        <v>0</v>
      </c>
      <c r="J296" s="471">
        <f t="shared" si="89"/>
        <v>0</v>
      </c>
      <c r="K296" s="450"/>
      <c r="L296" s="463">
        <f t="shared" si="92"/>
        <v>0</v>
      </c>
      <c r="M296" s="463">
        <v>200</v>
      </c>
      <c r="N296" s="463">
        <v>240</v>
      </c>
      <c r="O296" s="463">
        <f t="shared" si="90"/>
        <v>894</v>
      </c>
      <c r="P296" s="463" t="s">
        <v>473</v>
      </c>
      <c r="Q296" s="463">
        <f t="shared" si="91"/>
        <v>0</v>
      </c>
      <c r="R296" s="471">
        <f t="shared" si="93"/>
        <v>0</v>
      </c>
      <c r="S296" s="319"/>
      <c r="T296" s="319"/>
      <c r="U296" s="319"/>
      <c r="V296" s="319"/>
      <c r="W296" s="319"/>
      <c r="X296" s="319"/>
      <c r="Y296" s="319"/>
      <c r="Z296" s="319"/>
      <c r="AA296" s="319"/>
      <c r="AB296" s="319"/>
      <c r="AC296" s="319"/>
      <c r="AD296" s="319"/>
      <c r="AE296" s="319"/>
      <c r="AF296" s="319"/>
      <c r="AG296" s="319"/>
      <c r="AH296" s="319"/>
      <c r="AI296" s="319"/>
      <c r="AJ296" s="319"/>
      <c r="AK296" s="319"/>
      <c r="AL296" s="319"/>
      <c r="AM296" s="319"/>
      <c r="AN296" s="319"/>
      <c r="AO296" s="319"/>
      <c r="AP296" s="319"/>
      <c r="AQ296" s="319"/>
      <c r="AR296" s="319"/>
      <c r="AS296" s="319"/>
      <c r="AT296" s="319"/>
      <c r="AU296" s="319"/>
      <c r="AV296" s="319"/>
      <c r="AW296" s="319"/>
      <c r="AX296" s="319"/>
      <c r="AY296" s="319"/>
      <c r="AZ296" s="319"/>
      <c r="BA296" s="319"/>
    </row>
    <row r="297" spans="1:53" ht="13.2" hidden="1">
      <c r="A297" s="319"/>
      <c r="B297" s="319"/>
      <c r="C297" s="450"/>
      <c r="D297" s="463">
        <f t="shared" si="94"/>
        <v>0</v>
      </c>
      <c r="E297" s="463">
        <v>250</v>
      </c>
      <c r="F297" s="463">
        <v>420</v>
      </c>
      <c r="G297" s="463">
        <f t="shared" si="87"/>
        <v>1001</v>
      </c>
      <c r="H297" s="463" t="s">
        <v>3112</v>
      </c>
      <c r="I297" s="463">
        <f t="shared" si="88"/>
        <v>0</v>
      </c>
      <c r="J297" s="471">
        <f t="shared" si="89"/>
        <v>0</v>
      </c>
      <c r="K297" s="450"/>
      <c r="L297" s="463">
        <f t="shared" si="92"/>
        <v>0</v>
      </c>
      <c r="M297" s="463">
        <v>250</v>
      </c>
      <c r="N297" s="463">
        <v>420</v>
      </c>
      <c r="O297" s="463">
        <f t="shared" si="90"/>
        <v>1012.8</v>
      </c>
      <c r="P297" s="463" t="s">
        <v>3112</v>
      </c>
      <c r="Q297" s="463">
        <f t="shared" si="91"/>
        <v>0</v>
      </c>
      <c r="R297" s="471">
        <f t="shared" si="93"/>
        <v>0</v>
      </c>
      <c r="S297" s="319"/>
      <c r="T297" s="319"/>
      <c r="U297" s="319"/>
      <c r="V297" s="319"/>
      <c r="W297" s="319"/>
      <c r="X297" s="319"/>
      <c r="Y297" s="319"/>
      <c r="Z297" s="319"/>
      <c r="AA297" s="319"/>
      <c r="AB297" s="319"/>
      <c r="AC297" s="319"/>
      <c r="AD297" s="319"/>
      <c r="AE297" s="319"/>
      <c r="AF297" s="319"/>
      <c r="AG297" s="319"/>
      <c r="AH297" s="319"/>
      <c r="AI297" s="319"/>
      <c r="AJ297" s="319"/>
      <c r="AK297" s="319"/>
      <c r="AL297" s="319"/>
      <c r="AM297" s="319"/>
      <c r="AN297" s="319"/>
      <c r="AO297" s="319"/>
      <c r="AP297" s="319"/>
      <c r="AQ297" s="319"/>
      <c r="AR297" s="319"/>
      <c r="AS297" s="319"/>
      <c r="AT297" s="319"/>
      <c r="AU297" s="319"/>
      <c r="AV297" s="319"/>
      <c r="AW297" s="319"/>
      <c r="AX297" s="319"/>
      <c r="AY297" s="319"/>
      <c r="AZ297" s="319"/>
      <c r="BA297" s="319"/>
    </row>
    <row r="298" spans="1:53" ht="13.2" hidden="1">
      <c r="A298" s="319"/>
      <c r="B298" s="319"/>
      <c r="C298" s="450"/>
      <c r="D298" s="463">
        <f t="shared" si="94"/>
        <v>0</v>
      </c>
      <c r="E298" s="463">
        <v>300</v>
      </c>
      <c r="F298" s="463">
        <v>680</v>
      </c>
      <c r="G298" s="463">
        <f t="shared" si="87"/>
        <v>1133</v>
      </c>
      <c r="H298" s="463" t="s">
        <v>2640</v>
      </c>
      <c r="I298" s="463">
        <f t="shared" si="88"/>
        <v>0</v>
      </c>
      <c r="J298" s="471">
        <f t="shared" si="89"/>
        <v>0</v>
      </c>
      <c r="K298" s="450"/>
      <c r="L298" s="463">
        <f t="shared" si="92"/>
        <v>0</v>
      </c>
      <c r="M298" s="463">
        <v>300</v>
      </c>
      <c r="N298" s="463">
        <v>680</v>
      </c>
      <c r="O298" s="463">
        <f t="shared" si="90"/>
        <v>1131.5999999999999</v>
      </c>
      <c r="P298" s="463" t="s">
        <v>2640</v>
      </c>
      <c r="Q298" s="463">
        <f t="shared" si="91"/>
        <v>0</v>
      </c>
      <c r="R298" s="471">
        <f t="shared" si="93"/>
        <v>0</v>
      </c>
      <c r="S298" s="319"/>
      <c r="T298" s="319"/>
      <c r="U298" s="319"/>
      <c r="V298" s="319"/>
      <c r="W298" s="319"/>
      <c r="X298" s="319"/>
      <c r="Y298" s="319"/>
      <c r="Z298" s="319"/>
      <c r="AA298" s="319"/>
      <c r="AB298" s="319"/>
      <c r="AC298" s="319"/>
      <c r="AD298" s="319"/>
      <c r="AE298" s="319"/>
      <c r="AF298" s="319"/>
      <c r="AG298" s="319"/>
      <c r="AH298" s="319"/>
      <c r="AI298" s="319"/>
      <c r="AJ298" s="319"/>
      <c r="AK298" s="319"/>
      <c r="AL298" s="319"/>
      <c r="AM298" s="319"/>
      <c r="AN298" s="319"/>
      <c r="AO298" s="319"/>
      <c r="AP298" s="319"/>
      <c r="AQ298" s="319"/>
      <c r="AR298" s="319"/>
      <c r="AS298" s="319"/>
      <c r="AT298" s="319"/>
      <c r="AU298" s="319"/>
      <c r="AV298" s="319"/>
      <c r="AW298" s="319"/>
      <c r="AX298" s="319"/>
      <c r="AY298" s="319"/>
      <c r="AZ298" s="319"/>
      <c r="BA298" s="319"/>
    </row>
    <row r="299" spans="1:53" ht="13.2" hidden="1">
      <c r="A299" s="319"/>
      <c r="B299" s="319"/>
      <c r="C299" s="450"/>
      <c r="D299" s="463">
        <f t="shared" si="94"/>
        <v>0</v>
      </c>
      <c r="E299" s="463">
        <v>350</v>
      </c>
      <c r="F299" s="463">
        <v>970</v>
      </c>
      <c r="G299" s="463">
        <f t="shared" si="87"/>
        <v>1265</v>
      </c>
      <c r="H299" s="463" t="s">
        <v>2641</v>
      </c>
      <c r="I299" s="463">
        <f t="shared" si="88"/>
        <v>0</v>
      </c>
      <c r="J299" s="471">
        <f t="shared" si="89"/>
        <v>0</v>
      </c>
      <c r="K299" s="450"/>
      <c r="L299" s="463">
        <f t="shared" si="92"/>
        <v>0</v>
      </c>
      <c r="M299" s="463">
        <v>350</v>
      </c>
      <c r="N299" s="463">
        <v>970</v>
      </c>
      <c r="O299" s="463">
        <f t="shared" si="90"/>
        <v>1250.4000000000001</v>
      </c>
      <c r="P299" s="463" t="s">
        <v>2641</v>
      </c>
      <c r="Q299" s="463">
        <f t="shared" si="91"/>
        <v>0</v>
      </c>
      <c r="R299" s="471">
        <f t="shared" si="93"/>
        <v>0</v>
      </c>
      <c r="S299" s="319"/>
      <c r="T299" s="319"/>
      <c r="U299" s="319"/>
      <c r="V299" s="319"/>
      <c r="W299" s="319"/>
      <c r="X299" s="319"/>
      <c r="Y299" s="319"/>
      <c r="Z299" s="319"/>
      <c r="AA299" s="319"/>
      <c r="AB299" s="319"/>
      <c r="AC299" s="319"/>
      <c r="AD299" s="319"/>
      <c r="AE299" s="319"/>
      <c r="AF299" s="319"/>
      <c r="AG299" s="319"/>
      <c r="AH299" s="319"/>
      <c r="AI299" s="319"/>
      <c r="AJ299" s="319"/>
      <c r="AK299" s="319"/>
      <c r="AL299" s="319"/>
      <c r="AM299" s="319"/>
      <c r="AN299" s="319"/>
      <c r="AO299" s="319"/>
      <c r="AP299" s="319"/>
      <c r="AQ299" s="319"/>
      <c r="AR299" s="319"/>
      <c r="AS299" s="319"/>
      <c r="AT299" s="319"/>
      <c r="AU299" s="319"/>
      <c r="AV299" s="319"/>
      <c r="AW299" s="319"/>
      <c r="AX299" s="319"/>
      <c r="AY299" s="319"/>
      <c r="AZ299" s="319"/>
      <c r="BA299" s="319"/>
    </row>
    <row r="300" spans="1:53" ht="13.2" hidden="1">
      <c r="A300" s="319"/>
      <c r="B300" s="319"/>
      <c r="C300" s="450"/>
      <c r="D300" s="463">
        <f t="shared" si="94"/>
        <v>0</v>
      </c>
      <c r="E300" s="463">
        <v>400</v>
      </c>
      <c r="F300" s="463">
        <v>1350</v>
      </c>
      <c r="G300" s="463">
        <f t="shared" si="87"/>
        <v>1529</v>
      </c>
      <c r="H300" s="463" t="s">
        <v>2642</v>
      </c>
      <c r="I300" s="463">
        <f t="shared" si="88"/>
        <v>0</v>
      </c>
      <c r="J300" s="471">
        <f t="shared" si="89"/>
        <v>0</v>
      </c>
      <c r="K300" s="450"/>
      <c r="L300" s="463">
        <f t="shared" si="92"/>
        <v>0</v>
      </c>
      <c r="M300" s="463">
        <v>400</v>
      </c>
      <c r="N300" s="463">
        <v>1350</v>
      </c>
      <c r="O300" s="463">
        <f t="shared" si="90"/>
        <v>1488</v>
      </c>
      <c r="P300" s="463" t="s">
        <v>2642</v>
      </c>
      <c r="Q300" s="463">
        <f t="shared" si="91"/>
        <v>0</v>
      </c>
      <c r="R300" s="471">
        <f t="shared" si="93"/>
        <v>0</v>
      </c>
      <c r="S300" s="319"/>
      <c r="T300" s="319"/>
      <c r="U300" s="319"/>
      <c r="V300" s="319"/>
      <c r="W300" s="319"/>
      <c r="X300" s="319"/>
      <c r="Y300" s="319"/>
      <c r="Z300" s="319"/>
      <c r="AA300" s="319"/>
      <c r="AB300" s="319"/>
      <c r="AC300" s="319"/>
      <c r="AD300" s="319"/>
      <c r="AE300" s="319"/>
      <c r="AF300" s="319"/>
      <c r="AG300" s="319"/>
      <c r="AH300" s="319"/>
      <c r="AI300" s="319"/>
      <c r="AJ300" s="319"/>
      <c r="AK300" s="319"/>
      <c r="AL300" s="319"/>
      <c r="AM300" s="319"/>
      <c r="AN300" s="319"/>
      <c r="AO300" s="319"/>
      <c r="AP300" s="319"/>
      <c r="AQ300" s="319"/>
      <c r="AR300" s="319"/>
      <c r="AS300" s="319"/>
      <c r="AT300" s="319"/>
      <c r="AU300" s="319"/>
      <c r="AV300" s="319"/>
      <c r="AW300" s="319"/>
      <c r="AX300" s="319"/>
      <c r="AY300" s="319"/>
      <c r="AZ300" s="319"/>
      <c r="BA300" s="319"/>
    </row>
    <row r="301" spans="1:53" ht="13.2" hidden="1">
      <c r="A301" s="319"/>
      <c r="B301" s="319"/>
      <c r="C301" s="450"/>
      <c r="D301" s="463">
        <f t="shared" si="94"/>
        <v>0</v>
      </c>
      <c r="E301" s="463">
        <v>500</v>
      </c>
      <c r="F301" s="463">
        <v>2200</v>
      </c>
      <c r="G301" s="463">
        <f t="shared" si="87"/>
        <v>1793</v>
      </c>
      <c r="H301" s="463" t="s">
        <v>1294</v>
      </c>
      <c r="I301" s="463">
        <f t="shared" si="88"/>
        <v>0</v>
      </c>
      <c r="J301" s="471">
        <f t="shared" si="89"/>
        <v>0</v>
      </c>
      <c r="K301" s="450"/>
      <c r="L301" s="463">
        <f t="shared" si="92"/>
        <v>0</v>
      </c>
      <c r="M301" s="463">
        <v>500</v>
      </c>
      <c r="N301" s="463">
        <v>2200</v>
      </c>
      <c r="O301" s="463">
        <f t="shared" si="90"/>
        <v>1725.6</v>
      </c>
      <c r="P301" s="463" t="s">
        <v>1294</v>
      </c>
      <c r="Q301" s="463">
        <f t="shared" si="91"/>
        <v>0</v>
      </c>
      <c r="R301" s="471">
        <f t="shared" si="93"/>
        <v>0</v>
      </c>
      <c r="S301" s="319"/>
      <c r="T301" s="319"/>
      <c r="U301" s="319"/>
      <c r="V301" s="319"/>
      <c r="W301" s="319"/>
      <c r="X301" s="319"/>
      <c r="Y301" s="319"/>
      <c r="Z301" s="319"/>
      <c r="AA301" s="319"/>
      <c r="AB301" s="319"/>
      <c r="AC301" s="319"/>
      <c r="AD301" s="319"/>
      <c r="AE301" s="319"/>
      <c r="AF301" s="319"/>
      <c r="AG301" s="319"/>
      <c r="AH301" s="319"/>
      <c r="AI301" s="319"/>
      <c r="AJ301" s="319"/>
      <c r="AK301" s="319"/>
      <c r="AL301" s="319"/>
      <c r="AM301" s="319"/>
      <c r="AN301" s="319"/>
      <c r="AO301" s="319"/>
      <c r="AP301" s="319"/>
      <c r="AQ301" s="319"/>
      <c r="AR301" s="319"/>
      <c r="AS301" s="319"/>
      <c r="AT301" s="319"/>
      <c r="AU301" s="319"/>
      <c r="AV301" s="319"/>
      <c r="AW301" s="319"/>
      <c r="AX301" s="319"/>
      <c r="AY301" s="319"/>
      <c r="AZ301" s="319"/>
      <c r="BA301" s="319"/>
    </row>
    <row r="302" spans="1:53" ht="13.2" hidden="1">
      <c r="A302" s="319"/>
      <c r="B302" s="319"/>
      <c r="C302" s="450"/>
      <c r="D302" s="463">
        <f t="shared" si="94"/>
        <v>0</v>
      </c>
      <c r="E302" s="463">
        <v>600</v>
      </c>
      <c r="F302" s="463">
        <v>3100</v>
      </c>
      <c r="G302" s="463">
        <f t="shared" si="87"/>
        <v>2057</v>
      </c>
      <c r="H302" s="463" t="s">
        <v>1793</v>
      </c>
      <c r="I302" s="463">
        <f t="shared" si="88"/>
        <v>0</v>
      </c>
      <c r="J302" s="471">
        <f t="shared" si="89"/>
        <v>0</v>
      </c>
      <c r="K302" s="450"/>
      <c r="L302" s="463">
        <f t="shared" si="92"/>
        <v>0</v>
      </c>
      <c r="M302" s="463">
        <v>600</v>
      </c>
      <c r="N302" s="463">
        <v>3100</v>
      </c>
      <c r="O302" s="463">
        <f t="shared" si="90"/>
        <v>1963.1999999999998</v>
      </c>
      <c r="P302" s="463" t="s">
        <v>1793</v>
      </c>
      <c r="Q302" s="463">
        <f t="shared" si="91"/>
        <v>0</v>
      </c>
      <c r="R302" s="471">
        <f t="shared" si="93"/>
        <v>0</v>
      </c>
      <c r="S302" s="319"/>
      <c r="T302" s="319"/>
      <c r="U302" s="319"/>
      <c r="V302" s="319"/>
      <c r="W302" s="319"/>
      <c r="X302" s="319"/>
      <c r="Y302" s="319"/>
      <c r="Z302" s="319"/>
      <c r="AA302" s="319"/>
      <c r="AB302" s="319"/>
      <c r="AC302" s="319"/>
      <c r="AD302" s="319"/>
      <c r="AE302" s="319"/>
      <c r="AF302" s="319"/>
      <c r="AG302" s="319"/>
      <c r="AH302" s="319"/>
      <c r="AI302" s="319"/>
      <c r="AJ302" s="319"/>
      <c r="AK302" s="319"/>
      <c r="AL302" s="319"/>
      <c r="AM302" s="319"/>
      <c r="AN302" s="319"/>
      <c r="AO302" s="319"/>
      <c r="AP302" s="319"/>
      <c r="AQ302" s="319"/>
      <c r="AR302" s="319"/>
      <c r="AS302" s="319"/>
      <c r="AT302" s="319"/>
      <c r="AU302" s="319"/>
      <c r="AV302" s="319"/>
      <c r="AW302" s="319"/>
      <c r="AX302" s="319"/>
      <c r="AY302" s="319"/>
      <c r="AZ302" s="319"/>
      <c r="BA302" s="319"/>
    </row>
    <row r="303" spans="1:53" ht="13.2" hidden="1">
      <c r="A303" s="319"/>
      <c r="B303" s="319"/>
      <c r="C303" s="450"/>
      <c r="D303" s="463">
        <f t="shared" si="94"/>
        <v>0</v>
      </c>
      <c r="E303" s="463">
        <v>700</v>
      </c>
      <c r="F303" s="463">
        <v>4200</v>
      </c>
      <c r="G303" s="463">
        <f t="shared" si="87"/>
        <v>2321</v>
      </c>
      <c r="H303" s="463" t="s">
        <v>2173</v>
      </c>
      <c r="I303" s="463">
        <f t="shared" si="88"/>
        <v>0</v>
      </c>
      <c r="J303" s="471">
        <f t="shared" si="89"/>
        <v>0</v>
      </c>
      <c r="K303" s="450"/>
      <c r="L303" s="463">
        <f t="shared" si="92"/>
        <v>0</v>
      </c>
      <c r="M303" s="463">
        <v>700</v>
      </c>
      <c r="N303" s="463">
        <v>4200</v>
      </c>
      <c r="O303" s="463">
        <f t="shared" si="90"/>
        <v>2200.8000000000002</v>
      </c>
      <c r="P303" s="463" t="s">
        <v>2173</v>
      </c>
      <c r="Q303" s="463">
        <f t="shared" si="91"/>
        <v>0</v>
      </c>
      <c r="R303" s="471">
        <f t="shared" si="93"/>
        <v>0</v>
      </c>
      <c r="S303" s="319"/>
      <c r="T303" s="319"/>
      <c r="U303" s="319"/>
      <c r="V303" s="319"/>
      <c r="W303" s="319"/>
      <c r="X303" s="319"/>
      <c r="Y303" s="319"/>
      <c r="Z303" s="319"/>
      <c r="AA303" s="319"/>
      <c r="AB303" s="319"/>
      <c r="AC303" s="319"/>
      <c r="AD303" s="319"/>
      <c r="AE303" s="319"/>
      <c r="AF303" s="319"/>
      <c r="AG303" s="319"/>
      <c r="AH303" s="319"/>
      <c r="AI303" s="319"/>
      <c r="AJ303" s="319"/>
      <c r="AK303" s="319"/>
      <c r="AL303" s="319"/>
      <c r="AM303" s="319"/>
      <c r="AN303" s="319"/>
      <c r="AO303" s="319"/>
      <c r="AP303" s="319"/>
      <c r="AQ303" s="319"/>
      <c r="AR303" s="319"/>
      <c r="AS303" s="319"/>
      <c r="AT303" s="319"/>
      <c r="AU303" s="319"/>
      <c r="AV303" s="319"/>
      <c r="AW303" s="319"/>
      <c r="AX303" s="319"/>
      <c r="AY303" s="319"/>
      <c r="AZ303" s="319"/>
      <c r="BA303" s="319"/>
    </row>
    <row r="304" spans="1:53" ht="13.2" hidden="1">
      <c r="A304" s="319"/>
      <c r="B304" s="319"/>
      <c r="C304" s="450"/>
      <c r="D304" s="463">
        <f t="shared" si="94"/>
        <v>0</v>
      </c>
      <c r="E304" s="463">
        <v>800</v>
      </c>
      <c r="F304" s="463">
        <v>5400</v>
      </c>
      <c r="G304" s="463">
        <f t="shared" si="87"/>
        <v>2585</v>
      </c>
      <c r="H304" s="463" t="s">
        <v>2174</v>
      </c>
      <c r="I304" s="463">
        <f t="shared" si="88"/>
        <v>0</v>
      </c>
      <c r="J304" s="471">
        <f t="shared" si="89"/>
        <v>0</v>
      </c>
      <c r="K304" s="450"/>
      <c r="L304" s="463">
        <f t="shared" si="92"/>
        <v>0</v>
      </c>
      <c r="M304" s="463">
        <v>800</v>
      </c>
      <c r="N304" s="463">
        <v>5400</v>
      </c>
      <c r="O304" s="463">
        <f t="shared" si="90"/>
        <v>2438.4</v>
      </c>
      <c r="P304" s="463" t="s">
        <v>2174</v>
      </c>
      <c r="Q304" s="463">
        <f t="shared" si="91"/>
        <v>0</v>
      </c>
      <c r="R304" s="471">
        <f t="shared" si="93"/>
        <v>0</v>
      </c>
      <c r="S304" s="319"/>
      <c r="T304" s="319"/>
      <c r="U304" s="319"/>
      <c r="V304" s="319"/>
      <c r="W304" s="319"/>
      <c r="X304" s="319"/>
      <c r="Y304" s="319"/>
      <c r="Z304" s="319"/>
      <c r="AA304" s="319"/>
      <c r="AB304" s="319"/>
      <c r="AC304" s="319"/>
      <c r="AD304" s="319"/>
      <c r="AE304" s="319"/>
      <c r="AF304" s="319"/>
      <c r="AG304" s="319"/>
      <c r="AH304" s="319"/>
      <c r="AI304" s="319"/>
      <c r="AJ304" s="319"/>
      <c r="AK304" s="319"/>
      <c r="AL304" s="319"/>
      <c r="AM304" s="319"/>
      <c r="AN304" s="319"/>
      <c r="AO304" s="319"/>
      <c r="AP304" s="319"/>
      <c r="AQ304" s="319"/>
      <c r="AR304" s="319"/>
      <c r="AS304" s="319"/>
      <c r="AT304" s="319"/>
      <c r="AU304" s="319"/>
      <c r="AV304" s="319"/>
      <c r="AW304" s="319"/>
      <c r="AX304" s="319"/>
      <c r="AY304" s="319"/>
      <c r="AZ304" s="319"/>
      <c r="BA304" s="319"/>
    </row>
    <row r="305" spans="1:53" ht="13.2" hidden="1">
      <c r="A305" s="319"/>
      <c r="B305" s="319"/>
      <c r="C305" s="450"/>
      <c r="D305" s="463">
        <f t="shared" si="94"/>
        <v>0</v>
      </c>
      <c r="E305" s="463">
        <v>900</v>
      </c>
      <c r="F305" s="463">
        <v>6900</v>
      </c>
      <c r="G305" s="463">
        <f t="shared" si="87"/>
        <v>2849</v>
      </c>
      <c r="H305" s="463" t="s">
        <v>2175</v>
      </c>
      <c r="I305" s="463">
        <f t="shared" si="88"/>
        <v>0</v>
      </c>
      <c r="J305" s="471">
        <f t="shared" si="89"/>
        <v>0</v>
      </c>
      <c r="K305" s="450"/>
      <c r="L305" s="463">
        <f t="shared" si="92"/>
        <v>0</v>
      </c>
      <c r="M305" s="463">
        <v>900</v>
      </c>
      <c r="N305" s="463">
        <v>6900</v>
      </c>
      <c r="O305" s="463">
        <f t="shared" si="90"/>
        <v>2676</v>
      </c>
      <c r="P305" s="463" t="s">
        <v>2175</v>
      </c>
      <c r="Q305" s="463">
        <f t="shared" si="91"/>
        <v>0</v>
      </c>
      <c r="R305" s="471">
        <f t="shared" si="93"/>
        <v>0</v>
      </c>
      <c r="S305" s="319"/>
      <c r="T305" s="319"/>
      <c r="U305" s="319"/>
      <c r="V305" s="319"/>
      <c r="W305" s="319"/>
      <c r="X305" s="319"/>
      <c r="Y305" s="319"/>
      <c r="Z305" s="319"/>
      <c r="AA305" s="319"/>
      <c r="AB305" s="319"/>
      <c r="AC305" s="319"/>
      <c r="AD305" s="319"/>
      <c r="AE305" s="319"/>
      <c r="AF305" s="319"/>
      <c r="AG305" s="319"/>
      <c r="AH305" s="319"/>
      <c r="AI305" s="319"/>
      <c r="AJ305" s="319"/>
      <c r="AK305" s="319"/>
      <c r="AL305" s="319"/>
      <c r="AM305" s="319"/>
      <c r="AN305" s="319"/>
      <c r="AO305" s="319"/>
      <c r="AP305" s="319"/>
      <c r="AQ305" s="319"/>
      <c r="AR305" s="319"/>
      <c r="AS305" s="319"/>
      <c r="AT305" s="319"/>
      <c r="AU305" s="319"/>
      <c r="AV305" s="319"/>
      <c r="AW305" s="319"/>
      <c r="AX305" s="319"/>
      <c r="AY305" s="319"/>
      <c r="AZ305" s="319"/>
      <c r="BA305" s="319"/>
    </row>
    <row r="306" spans="1:53" ht="13.2" hidden="1">
      <c r="A306" s="319"/>
      <c r="B306" s="319"/>
      <c r="C306" s="450"/>
      <c r="D306" s="463">
        <f t="shared" si="94"/>
        <v>0</v>
      </c>
      <c r="E306" s="463">
        <v>1000</v>
      </c>
      <c r="F306" s="463">
        <v>8500</v>
      </c>
      <c r="G306" s="463" t="s">
        <v>94</v>
      </c>
      <c r="H306" s="463" t="s">
        <v>94</v>
      </c>
      <c r="I306" s="463"/>
      <c r="J306" s="471"/>
      <c r="K306" s="450"/>
      <c r="L306" s="463">
        <f t="shared" si="92"/>
        <v>0</v>
      </c>
      <c r="M306" s="463">
        <v>1000</v>
      </c>
      <c r="N306" s="463">
        <v>8500</v>
      </c>
      <c r="O306" s="463" t="s">
        <v>2818</v>
      </c>
      <c r="P306" s="463" t="s">
        <v>94</v>
      </c>
      <c r="Q306" s="463"/>
      <c r="R306" s="471"/>
      <c r="S306" s="319"/>
      <c r="T306" s="319"/>
      <c r="U306" s="319"/>
      <c r="V306" s="319"/>
      <c r="W306" s="319"/>
      <c r="X306" s="319"/>
      <c r="Y306" s="319"/>
      <c r="Z306" s="319"/>
      <c r="AA306" s="319"/>
      <c r="AB306" s="319"/>
      <c r="AC306" s="319"/>
      <c r="AD306" s="319"/>
      <c r="AE306" s="319"/>
      <c r="AF306" s="319"/>
      <c r="AG306" s="319"/>
      <c r="AH306" s="319"/>
      <c r="AI306" s="319"/>
      <c r="AJ306" s="319"/>
      <c r="AK306" s="319"/>
      <c r="AL306" s="319"/>
      <c r="AM306" s="319"/>
      <c r="AN306" s="319"/>
      <c r="AO306" s="319"/>
      <c r="AP306" s="319"/>
      <c r="AQ306" s="319"/>
      <c r="AR306" s="319"/>
      <c r="AS306" s="319"/>
      <c r="AT306" s="319"/>
      <c r="AU306" s="319"/>
      <c r="AV306" s="319"/>
      <c r="AW306" s="319"/>
      <c r="AX306" s="319"/>
      <c r="AY306" s="319"/>
      <c r="AZ306" s="319"/>
      <c r="BA306" s="319"/>
    </row>
    <row r="307" spans="1:53" ht="13.2" hidden="1">
      <c r="A307" s="319"/>
      <c r="B307" s="319"/>
      <c r="C307" s="450"/>
      <c r="D307" s="463"/>
      <c r="E307" s="463"/>
      <c r="F307" s="463"/>
      <c r="G307" s="463"/>
      <c r="H307" s="463"/>
      <c r="I307" s="463"/>
      <c r="J307" s="471"/>
      <c r="K307" s="450"/>
      <c r="L307" s="463"/>
      <c r="M307" s="463"/>
      <c r="N307" s="463"/>
      <c r="O307" s="463"/>
      <c r="P307" s="463"/>
      <c r="Q307" s="463"/>
      <c r="R307" s="471"/>
      <c r="S307" s="319"/>
      <c r="T307" s="319"/>
      <c r="U307" s="319"/>
      <c r="V307" s="319"/>
      <c r="W307" s="319"/>
      <c r="X307" s="319"/>
      <c r="Y307" s="319"/>
      <c r="Z307" s="319"/>
      <c r="AA307" s="319"/>
      <c r="AB307" s="319"/>
      <c r="AC307" s="319"/>
      <c r="AD307" s="319"/>
      <c r="AE307" s="319"/>
      <c r="AF307" s="319"/>
      <c r="AG307" s="319"/>
      <c r="AH307" s="319"/>
      <c r="AI307" s="319"/>
      <c r="AJ307" s="319"/>
      <c r="AK307" s="319"/>
      <c r="AL307" s="319"/>
      <c r="AM307" s="319"/>
      <c r="AN307" s="319"/>
      <c r="AO307" s="319"/>
      <c r="AP307" s="319"/>
      <c r="AQ307" s="319"/>
      <c r="AR307" s="319"/>
      <c r="AS307" s="319"/>
      <c r="AT307" s="319"/>
      <c r="AU307" s="319"/>
      <c r="AV307" s="319"/>
      <c r="AW307" s="319"/>
      <c r="AX307" s="319"/>
      <c r="AY307" s="319"/>
      <c r="AZ307" s="319"/>
      <c r="BA307" s="319"/>
    </row>
    <row r="308" spans="1:53" ht="13.2" hidden="1">
      <c r="A308" s="319"/>
      <c r="B308" s="319"/>
      <c r="C308" s="450"/>
      <c r="D308" s="463" t="s">
        <v>661</v>
      </c>
      <c r="E308" s="463"/>
      <c r="F308" s="463">
        <f>Delta_temp</f>
        <v>0</v>
      </c>
      <c r="G308" s="463"/>
      <c r="H308" s="463"/>
      <c r="I308" s="463"/>
      <c r="J308" s="471"/>
      <c r="K308" s="450"/>
      <c r="L308" s="463" t="s">
        <v>661</v>
      </c>
      <c r="M308" s="463"/>
      <c r="N308" s="463">
        <f>X166</f>
        <v>0</v>
      </c>
      <c r="O308" s="463"/>
      <c r="P308" s="463"/>
      <c r="Q308" s="463"/>
      <c r="R308" s="471"/>
      <c r="S308" s="319"/>
      <c r="T308" s="319"/>
      <c r="U308" s="319"/>
      <c r="V308" s="319"/>
      <c r="W308" s="319"/>
      <c r="X308" s="319"/>
      <c r="Y308" s="319"/>
      <c r="Z308" s="319"/>
      <c r="AA308" s="319"/>
      <c r="AB308" s="319"/>
      <c r="AC308" s="319"/>
      <c r="AD308" s="319"/>
      <c r="AE308" s="319"/>
      <c r="AF308" s="319"/>
      <c r="AG308" s="319"/>
      <c r="AH308" s="319"/>
      <c r="AI308" s="319"/>
      <c r="AJ308" s="319"/>
      <c r="AK308" s="319"/>
      <c r="AL308" s="319"/>
      <c r="AM308" s="319"/>
      <c r="AN308" s="319"/>
      <c r="AO308" s="319"/>
      <c r="AP308" s="319"/>
      <c r="AQ308" s="319"/>
      <c r="AR308" s="319"/>
      <c r="AS308" s="319"/>
      <c r="AT308" s="319"/>
      <c r="AU308" s="319"/>
      <c r="AV308" s="319"/>
      <c r="AW308" s="319"/>
      <c r="AX308" s="319"/>
      <c r="AY308" s="319"/>
      <c r="AZ308" s="319"/>
      <c r="BA308" s="319"/>
    </row>
    <row r="309" spans="1:53" ht="13.2" hidden="1">
      <c r="A309" s="319"/>
      <c r="B309" s="319"/>
      <c r="C309" s="450"/>
      <c r="D309" s="463"/>
      <c r="E309" s="463"/>
      <c r="F309" s="463"/>
      <c r="G309" s="463"/>
      <c r="H309" s="463"/>
      <c r="I309" s="463"/>
      <c r="J309" s="471"/>
      <c r="K309" s="450"/>
      <c r="L309" s="463"/>
      <c r="M309" s="463"/>
      <c r="N309" s="463"/>
      <c r="O309" s="463"/>
      <c r="P309" s="463"/>
      <c r="Q309" s="463"/>
      <c r="R309" s="471"/>
      <c r="S309" s="319"/>
      <c r="T309" s="319"/>
      <c r="U309" s="319"/>
      <c r="V309" s="319"/>
      <c r="W309" s="319"/>
      <c r="X309" s="319"/>
      <c r="Y309" s="319"/>
      <c r="Z309" s="319"/>
      <c r="AA309" s="319"/>
      <c r="AB309" s="319"/>
      <c r="AC309" s="319"/>
      <c r="AD309" s="319"/>
      <c r="AE309" s="319"/>
      <c r="AF309" s="319"/>
      <c r="AG309" s="319"/>
      <c r="AH309" s="319"/>
      <c r="AI309" s="319"/>
      <c r="AJ309" s="319"/>
      <c r="AK309" s="319"/>
      <c r="AL309" s="319"/>
      <c r="AM309" s="319"/>
      <c r="AN309" s="319"/>
      <c r="AO309" s="319"/>
      <c r="AP309" s="319"/>
      <c r="AQ309" s="319"/>
      <c r="AR309" s="319"/>
      <c r="AS309" s="319"/>
      <c r="AT309" s="319"/>
      <c r="AU309" s="319"/>
      <c r="AV309" s="319"/>
      <c r="AW309" s="319"/>
      <c r="AX309" s="319"/>
      <c r="AY309" s="319"/>
      <c r="AZ309" s="319"/>
      <c r="BA309" s="319"/>
    </row>
    <row r="310" spans="1:53" ht="13.2" hidden="1">
      <c r="A310" s="319"/>
      <c r="B310" s="319"/>
      <c r="C310" s="450"/>
      <c r="D310" s="463" t="s">
        <v>5032</v>
      </c>
      <c r="E310" s="463"/>
      <c r="F310" s="463"/>
      <c r="G310" s="463"/>
      <c r="H310" s="463"/>
      <c r="I310" s="463"/>
      <c r="J310" s="471"/>
      <c r="K310" s="450"/>
      <c r="L310" s="463" t="s">
        <v>5032</v>
      </c>
      <c r="M310" s="463"/>
      <c r="N310" s="463"/>
      <c r="O310" s="463"/>
      <c r="P310" s="463"/>
      <c r="Q310" s="463"/>
      <c r="R310" s="471"/>
      <c r="S310" s="319"/>
      <c r="T310" s="319"/>
      <c r="U310" s="319"/>
      <c r="V310" s="319"/>
      <c r="W310" s="319"/>
      <c r="X310" s="319"/>
      <c r="Y310" s="319"/>
      <c r="Z310" s="319"/>
      <c r="AA310" s="319"/>
      <c r="AB310" s="319"/>
      <c r="AC310" s="319"/>
      <c r="AD310" s="319"/>
      <c r="AE310" s="319"/>
      <c r="AF310" s="319"/>
      <c r="AG310" s="319"/>
      <c r="AH310" s="319"/>
      <c r="AI310" s="319"/>
      <c r="AJ310" s="319"/>
      <c r="AK310" s="319"/>
      <c r="AL310" s="319"/>
      <c r="AM310" s="319"/>
      <c r="AN310" s="319"/>
      <c r="AO310" s="319"/>
      <c r="AP310" s="319"/>
      <c r="AQ310" s="319"/>
      <c r="AR310" s="319"/>
      <c r="AS310" s="319"/>
      <c r="AT310" s="319"/>
      <c r="AU310" s="319"/>
      <c r="AV310" s="319"/>
      <c r="AW310" s="319"/>
      <c r="AX310" s="319"/>
      <c r="AY310" s="319"/>
      <c r="AZ310" s="319"/>
      <c r="BA310" s="319"/>
    </row>
    <row r="311" spans="1:53" ht="13.2" hidden="1">
      <c r="A311" s="319"/>
      <c r="B311" s="319"/>
      <c r="C311" s="450"/>
      <c r="D311" s="463">
        <v>252</v>
      </c>
      <c r="E311" s="463">
        <v>100</v>
      </c>
      <c r="F311" s="463" t="s">
        <v>1216</v>
      </c>
      <c r="G311" s="463"/>
      <c r="H311" s="463" t="s">
        <v>1190</v>
      </c>
      <c r="I311" s="463"/>
      <c r="J311" s="471"/>
      <c r="K311" s="450"/>
      <c r="L311" s="463">
        <v>230</v>
      </c>
      <c r="M311" s="463">
        <v>100</v>
      </c>
      <c r="N311" s="463" t="s">
        <v>1216</v>
      </c>
      <c r="O311" s="463"/>
      <c r="P311" s="463" t="s">
        <v>1190</v>
      </c>
      <c r="Q311" s="463"/>
      <c r="R311" s="471"/>
      <c r="S311" s="319"/>
      <c r="T311" s="319"/>
      <c r="U311" s="319"/>
      <c r="V311" s="319"/>
      <c r="W311" s="319"/>
      <c r="X311" s="319"/>
      <c r="Y311" s="319"/>
      <c r="Z311" s="319"/>
      <c r="AA311" s="319"/>
      <c r="AB311" s="319"/>
      <c r="AC311" s="319"/>
      <c r="AD311" s="319"/>
      <c r="AE311" s="319"/>
      <c r="AF311" s="319"/>
      <c r="AG311" s="319"/>
      <c r="AH311" s="319"/>
      <c r="AI311" s="319"/>
      <c r="AJ311" s="319"/>
      <c r="AK311" s="319"/>
      <c r="AL311" s="319"/>
      <c r="AM311" s="319"/>
      <c r="AN311" s="319"/>
      <c r="AO311" s="319"/>
      <c r="AP311" s="319"/>
      <c r="AQ311" s="319"/>
      <c r="AR311" s="319"/>
      <c r="AS311" s="319"/>
      <c r="AT311" s="319"/>
      <c r="AU311" s="319"/>
      <c r="AV311" s="319"/>
      <c r="AW311" s="319"/>
      <c r="AX311" s="319"/>
      <c r="AY311" s="319"/>
      <c r="AZ311" s="319"/>
      <c r="BA311" s="319"/>
    </row>
    <row r="312" spans="1:53" ht="13.2" hidden="1">
      <c r="A312" s="319"/>
      <c r="B312" s="319"/>
      <c r="C312" s="450"/>
      <c r="D312" s="463">
        <v>-79</v>
      </c>
      <c r="E312" s="463"/>
      <c r="F312" s="463"/>
      <c r="G312" s="463"/>
      <c r="H312" s="463" t="s">
        <v>1190</v>
      </c>
      <c r="I312" s="463"/>
      <c r="J312" s="471"/>
      <c r="K312" s="450"/>
      <c r="L312" s="463">
        <v>-71.099999999999994</v>
      </c>
      <c r="M312" s="463"/>
      <c r="N312" s="463"/>
      <c r="O312" s="463"/>
      <c r="P312" s="463" t="s">
        <v>1190</v>
      </c>
      <c r="Q312" s="463"/>
      <c r="R312" s="471"/>
      <c r="S312" s="319"/>
      <c r="T312" s="319"/>
      <c r="U312" s="319"/>
      <c r="V312" s="319"/>
      <c r="W312" s="319"/>
      <c r="X312" s="319"/>
      <c r="Y312" s="319"/>
      <c r="Z312" s="319"/>
      <c r="AA312" s="319"/>
      <c r="AB312" s="319"/>
      <c r="AC312" s="319"/>
      <c r="AD312" s="319"/>
      <c r="AE312" s="319"/>
      <c r="AF312" s="319"/>
      <c r="AG312" s="319"/>
      <c r="AH312" s="319"/>
      <c r="AI312" s="319"/>
      <c r="AJ312" s="319"/>
      <c r="AK312" s="319"/>
      <c r="AL312" s="319"/>
      <c r="AM312" s="319"/>
      <c r="AN312" s="319"/>
      <c r="AO312" s="319"/>
      <c r="AP312" s="319"/>
      <c r="AQ312" s="319"/>
      <c r="AR312" s="319"/>
      <c r="AS312" s="319"/>
      <c r="AT312" s="319"/>
      <c r="AU312" s="319"/>
      <c r="AV312" s="319"/>
      <c r="AW312" s="319"/>
      <c r="AX312" s="319"/>
      <c r="AY312" s="319"/>
      <c r="AZ312" s="319"/>
      <c r="BA312" s="319"/>
    </row>
    <row r="313" spans="1:53" ht="13.2" hidden="1">
      <c r="A313" s="319"/>
      <c r="B313" s="319"/>
      <c r="C313" s="450"/>
      <c r="D313" s="463">
        <v>615</v>
      </c>
      <c r="E313" s="463"/>
      <c r="F313" s="463"/>
      <c r="G313" s="463"/>
      <c r="H313" s="463" t="s">
        <v>1190</v>
      </c>
      <c r="I313" s="463"/>
      <c r="J313" s="471"/>
      <c r="K313" s="450"/>
      <c r="L313" s="463">
        <v>554</v>
      </c>
      <c r="M313" s="463"/>
      <c r="N313" s="463"/>
      <c r="O313" s="463"/>
      <c r="P313" s="463" t="s">
        <v>1190</v>
      </c>
      <c r="Q313" s="463"/>
      <c r="R313" s="471"/>
      <c r="S313" s="319"/>
      <c r="T313" s="319"/>
      <c r="U313" s="319"/>
      <c r="V313" s="319"/>
      <c r="W313" s="319"/>
      <c r="X313" s="319"/>
      <c r="Y313" s="319"/>
      <c r="Z313" s="319"/>
      <c r="AA313" s="319"/>
      <c r="AB313" s="319"/>
      <c r="AC313" s="319"/>
      <c r="AD313" s="319"/>
      <c r="AE313" s="319"/>
      <c r="AF313" s="319"/>
      <c r="AG313" s="319"/>
      <c r="AH313" s="319"/>
      <c r="AI313" s="319"/>
      <c r="AJ313" s="319"/>
      <c r="AK313" s="319"/>
      <c r="AL313" s="319"/>
      <c r="AM313" s="319"/>
      <c r="AN313" s="319"/>
      <c r="AO313" s="319"/>
      <c r="AP313" s="319"/>
      <c r="AQ313" s="319"/>
      <c r="AR313" s="319"/>
      <c r="AS313" s="319"/>
      <c r="AT313" s="319"/>
      <c r="AU313" s="319"/>
      <c r="AV313" s="319"/>
      <c r="AW313" s="319"/>
      <c r="AX313" s="319"/>
      <c r="AY313" s="319"/>
      <c r="AZ313" s="319"/>
      <c r="BA313" s="319"/>
    </row>
    <row r="314" spans="1:53" ht="13.2" hidden="1">
      <c r="A314" s="319"/>
      <c r="B314" s="319"/>
      <c r="C314" s="472"/>
      <c r="D314" s="394">
        <v>106</v>
      </c>
      <c r="E314" s="394">
        <v>625</v>
      </c>
      <c r="F314" s="394" t="s">
        <v>1191</v>
      </c>
      <c r="G314" s="394"/>
      <c r="H314" s="394" t="s">
        <v>1190</v>
      </c>
      <c r="I314" s="394"/>
      <c r="J314" s="473"/>
      <c r="K314" s="472"/>
      <c r="L314" s="394">
        <v>95.4</v>
      </c>
      <c r="M314" s="394">
        <v>625</v>
      </c>
      <c r="N314" s="394" t="s">
        <v>1191</v>
      </c>
      <c r="O314" s="394"/>
      <c r="P314" s="394" t="s">
        <v>1190</v>
      </c>
      <c r="Q314" s="394"/>
      <c r="R314" s="473"/>
      <c r="S314" s="319"/>
      <c r="T314" s="319"/>
      <c r="U314" s="319"/>
      <c r="V314" s="319"/>
      <c r="W314" s="319"/>
      <c r="X314" s="319"/>
      <c r="Y314" s="319"/>
      <c r="Z314" s="319"/>
      <c r="AA314" s="319"/>
      <c r="AB314" s="319"/>
      <c r="AC314" s="319"/>
      <c r="AD314" s="319"/>
      <c r="AE314" s="319"/>
      <c r="AF314" s="319"/>
      <c r="AG314" s="319"/>
      <c r="AH314" s="319"/>
      <c r="AI314" s="319"/>
      <c r="AJ314" s="319"/>
      <c r="AK314" s="319"/>
      <c r="AL314" s="319"/>
      <c r="AM314" s="319"/>
      <c r="AN314" s="319" t="s">
        <v>5966</v>
      </c>
      <c r="AO314" s="319"/>
      <c r="AP314" s="319"/>
      <c r="AQ314" s="319"/>
      <c r="AR314" s="319"/>
      <c r="AS314" s="319"/>
      <c r="AT314" s="319"/>
      <c r="AU314" s="319"/>
      <c r="AV314" s="319"/>
      <c r="AW314" s="319"/>
      <c r="AX314" s="319"/>
      <c r="AY314" s="319"/>
      <c r="AZ314" s="319"/>
      <c r="BA314" s="319"/>
    </row>
    <row r="315" spans="1:53" ht="13.2" hidden="1">
      <c r="A315" s="319"/>
      <c r="B315" s="319" t="s">
        <v>2512</v>
      </c>
      <c r="C315" s="319"/>
      <c r="D315" s="319" t="s">
        <v>2506</v>
      </c>
      <c r="E315" s="319"/>
      <c r="F315" s="319"/>
      <c r="G315" s="319"/>
      <c r="H315" s="319"/>
      <c r="I315" s="319"/>
      <c r="J315" s="319"/>
      <c r="K315" s="319" t="s">
        <v>726</v>
      </c>
      <c r="L315" s="319"/>
      <c r="M315" s="319"/>
      <c r="N315" s="319"/>
      <c r="O315" s="319"/>
      <c r="P315" s="319"/>
      <c r="Q315" s="319"/>
      <c r="R315" s="319" t="s">
        <v>2026</v>
      </c>
      <c r="S315" s="319"/>
      <c r="T315" s="319"/>
      <c r="U315" s="319"/>
      <c r="V315" s="319"/>
      <c r="W315" s="319"/>
      <c r="X315" s="319" t="s">
        <v>1137</v>
      </c>
      <c r="Y315" s="319"/>
      <c r="Z315" s="319"/>
      <c r="AA315" s="319"/>
      <c r="AB315" s="319"/>
      <c r="AC315" s="319"/>
      <c r="AD315" s="319"/>
      <c r="AE315" s="319"/>
      <c r="AF315" s="319"/>
      <c r="AG315" s="319"/>
      <c r="AH315" s="319"/>
      <c r="AI315" s="319"/>
      <c r="AJ315" s="319"/>
      <c r="AK315" s="319" t="s">
        <v>2052</v>
      </c>
      <c r="AL315" s="319"/>
      <c r="AM315" s="319"/>
      <c r="AN315" s="319"/>
      <c r="AO315" s="319"/>
      <c r="AP315" s="319"/>
      <c r="AQ315" s="319"/>
      <c r="AR315" s="319"/>
      <c r="AS315" s="319"/>
      <c r="AT315" s="319"/>
      <c r="AU315" s="319"/>
      <c r="AV315" s="319"/>
      <c r="AW315" s="319"/>
      <c r="AX315" s="319"/>
      <c r="AY315" s="319"/>
      <c r="AZ315" s="319"/>
      <c r="BA315" s="319"/>
    </row>
    <row r="316" spans="1:53" ht="13.2" hidden="1">
      <c r="A316" s="319"/>
      <c r="B316" s="319"/>
      <c r="C316" s="319"/>
      <c r="D316" s="319">
        <f>IF(OR(HideCode_projectType2=1,HideCode_projectType2=4,HideCode_projectType2&gt;=6),1,0)</f>
        <v>0</v>
      </c>
      <c r="E316" s="840">
        <f>IF(AND(Set_Level=1,HideCode_projectType2=1),1,IF(OR(HideCodeLN_HPT=2,HideCodeLN_HPT=5,HideCodeLN_HPT=8),0,1)*D316)</f>
        <v>0</v>
      </c>
      <c r="F316" s="319"/>
      <c r="G316" s="319"/>
      <c r="H316" s="319"/>
      <c r="I316" s="319"/>
      <c r="J316" s="319"/>
      <c r="K316" s="319">
        <f>IF(OR(HideCode_projectType2=3,HideCode_projectType2&gt;=5),1,0)</f>
        <v>0</v>
      </c>
      <c r="L316" s="319">
        <f>IF(AND(Set_Level=1,HideCode_projectType2=3),1,IF(OR(HideCodeLN_CPT=2,HideCodeLN_CPT=5,HideCodeLN_CPT=8),0,1)*K316)</f>
        <v>0</v>
      </c>
      <c r="M316" s="319"/>
      <c r="N316" s="319"/>
      <c r="O316" s="319"/>
      <c r="P316" s="319"/>
      <c r="Q316" s="319"/>
      <c r="R316" s="319"/>
      <c r="S316" s="319"/>
      <c r="T316" s="319"/>
      <c r="U316" s="319">
        <f>IF(OR(HideCodeLN_HPT=4,HideCodeLN_HPT=6,HideCodeLN_HPT=7,HideCodeLN_HPT=9),1,0)</f>
        <v>0</v>
      </c>
      <c r="V316" s="319">
        <f>IF(OR(HideCodeLN_HPT=5,HideCodeLN_HPT=6,HideCodeLN_HPT&gt;7),1,0)</f>
        <v>0</v>
      </c>
      <c r="W316" s="319" t="s">
        <v>75</v>
      </c>
      <c r="X316" s="319"/>
      <c r="Y316" s="319"/>
      <c r="Z316" s="319"/>
      <c r="AA316" s="319"/>
      <c r="AB316" s="319"/>
      <c r="AC316" s="319"/>
      <c r="AD316" s="319"/>
      <c r="AE316" s="319"/>
      <c r="AF316" s="319"/>
      <c r="AG316" s="319"/>
      <c r="AH316" s="319" t="s">
        <v>75</v>
      </c>
      <c r="AI316" s="319"/>
      <c r="AJ316" s="319"/>
      <c r="AK316" s="319"/>
      <c r="AL316" s="319"/>
      <c r="AM316" s="319"/>
      <c r="AN316" s="319" t="s">
        <v>726</v>
      </c>
      <c r="AO316" s="319" t="s">
        <v>629</v>
      </c>
      <c r="AP316" s="319" t="s">
        <v>5769</v>
      </c>
      <c r="AQ316" s="319" t="s">
        <v>5700</v>
      </c>
      <c r="AR316" s="319" t="s">
        <v>3290</v>
      </c>
      <c r="AS316" s="319"/>
      <c r="AT316" s="319"/>
      <c r="AU316" s="319"/>
      <c r="AV316" s="319"/>
      <c r="AW316" s="319"/>
      <c r="AX316" s="319"/>
      <c r="AY316" s="319"/>
      <c r="AZ316" s="319"/>
      <c r="BA316" s="319"/>
    </row>
    <row r="317" spans="1:53" ht="13.2" hidden="1">
      <c r="A317" s="319"/>
      <c r="B317" s="319"/>
      <c r="C317" s="319"/>
      <c r="D317" s="319"/>
      <c r="E317" s="319"/>
      <c r="F317" s="319" t="s">
        <v>1566</v>
      </c>
      <c r="G317" s="319"/>
      <c r="H317" s="319"/>
      <c r="I317" s="319"/>
      <c r="J317" s="319"/>
      <c r="K317" s="319"/>
      <c r="L317" s="319"/>
      <c r="M317" s="319" t="s">
        <v>1566</v>
      </c>
      <c r="N317" s="319"/>
      <c r="O317" s="319"/>
      <c r="P317" s="319"/>
      <c r="Q317" s="319"/>
      <c r="R317" s="319" t="s">
        <v>1848</v>
      </c>
      <c r="S317" s="319"/>
      <c r="T317" s="319"/>
      <c r="U317" s="319"/>
      <c r="V317" s="319">
        <f>SUM(AH47:AU47)</f>
        <v>0</v>
      </c>
      <c r="W317" s="319">
        <f>SUMIF($F$34:$S$34,$E$344,AH40:AU40)</f>
        <v>0</v>
      </c>
      <c r="X317" s="319"/>
      <c r="Y317" s="319"/>
      <c r="Z317" s="319"/>
      <c r="AA317" s="319"/>
      <c r="AB317" s="319"/>
      <c r="AC317" s="319"/>
      <c r="AD317" s="319"/>
      <c r="AE317" s="319"/>
      <c r="AF317" s="319"/>
      <c r="AG317" s="319">
        <f>SUM(AH152:AU152)</f>
        <v>0</v>
      </c>
      <c r="AH317" s="319">
        <f>SUMIF($F$139:$S$139,$E$344,AH145:AU145)</f>
        <v>0</v>
      </c>
      <c r="AI317" s="319"/>
      <c r="AJ317" s="319"/>
      <c r="AK317" s="319"/>
      <c r="AL317" s="319"/>
      <c r="AM317" s="319"/>
      <c r="AN317" s="319" t="s">
        <v>4355</v>
      </c>
      <c r="AO317" s="319" t="str">
        <f>'Modelo Energético'!C6</f>
        <v>Bomba de calor</v>
      </c>
      <c r="AP317" s="319" t="str">
        <f>IF(OR(HideCode_projectType2&lt;3,HideCode_projectType2=4),"",'Modelo Energético'!D926)</f>
        <v/>
      </c>
      <c r="AQ317" s="319">
        <f>'Modelo Energético'!S10</f>
        <v>0</v>
      </c>
      <c r="AR317" s="841">
        <f>'Modelo Energético'!D11</f>
        <v>0</v>
      </c>
      <c r="AS317" s="319"/>
      <c r="AT317" s="319"/>
      <c r="AU317" s="319"/>
      <c r="AV317" s="319"/>
      <c r="AW317" s="319"/>
      <c r="AX317" s="319"/>
      <c r="AY317" s="319"/>
      <c r="AZ317" s="319"/>
      <c r="BA317" s="319"/>
    </row>
    <row r="318" spans="1:53" ht="13.2" hidden="1">
      <c r="A318" s="319"/>
      <c r="B318" s="319"/>
      <c r="C318" s="319"/>
      <c r="D318" s="319"/>
      <c r="E318" s="319" t="s">
        <v>1577</v>
      </c>
      <c r="F318" s="319" t="s">
        <v>5700</v>
      </c>
      <c r="G318" s="319" t="s">
        <v>2744</v>
      </c>
      <c r="H318" s="319"/>
      <c r="I318" s="319"/>
      <c r="J318" s="319"/>
      <c r="K318" s="319"/>
      <c r="L318" s="319" t="s">
        <v>1577</v>
      </c>
      <c r="M318" s="319" t="s">
        <v>5700</v>
      </c>
      <c r="N318" s="319" t="s">
        <v>2744</v>
      </c>
      <c r="O318" s="319"/>
      <c r="P318" s="319"/>
      <c r="Q318" s="319"/>
      <c r="R318" s="319" t="s">
        <v>1566</v>
      </c>
      <c r="S318" s="319"/>
      <c r="T318" s="319"/>
      <c r="U318" s="319"/>
      <c r="V318" s="319">
        <f>IF(OR(HideCodeLN_HPT=2,HideCodeLN_HPT=3),X14,IF(OR(HideCodeLN_HPT=5,HideCodeLN_HPT=6,HideCodeLN_HPT&gt;7),SUM(AH41:AU41),0))</f>
        <v>0</v>
      </c>
      <c r="W318" s="319">
        <f>SUMIF($F$34:$S$34,$E$344,AH41:AU41)</f>
        <v>0</v>
      </c>
      <c r="X318" s="319"/>
      <c r="Y318" s="319"/>
      <c r="Z318" s="319"/>
      <c r="AA318" s="319"/>
      <c r="AB318" s="319"/>
      <c r="AC318" s="319"/>
      <c r="AD318" s="319"/>
      <c r="AE318" s="319"/>
      <c r="AF318" s="319"/>
      <c r="AG318" s="319">
        <f>IF(OR(HideCodeLN_CPT=2,HideCodeLN_CPT=3),X119,IF(OR(HideCodeLN_CPT=5,HideCodeLN_CPT=6,HideCodeLN_CPT&gt;7),SUM(AH146:AU146),0))</f>
        <v>0</v>
      </c>
      <c r="AH318" s="319">
        <f>SUMIF($F$139:$S$139,$E$344,AH146:AU146)</f>
        <v>0</v>
      </c>
      <c r="AI318" s="319"/>
      <c r="AJ318" s="319"/>
      <c r="AK318" s="319" t="s">
        <v>1972</v>
      </c>
      <c r="AL318" s="319"/>
      <c r="AM318" s="319">
        <f>HideCode_projectType2</f>
        <v>2</v>
      </c>
      <c r="AN318" s="319" t="s">
        <v>3325</v>
      </c>
      <c r="AO318" s="319" t="str">
        <f>'Modelo Energético'!C16</f>
        <v>Compressor</v>
      </c>
      <c r="AP318" s="319" t="str">
        <f>IF(OR(HideCode_projectType2&lt;3,HideCode_projectType2=4),"",'Modelo Energético'!D931)</f>
        <v/>
      </c>
      <c r="AQ318" s="319">
        <f>'Modelo Energético'!S21</f>
        <v>0</v>
      </c>
      <c r="AR318" s="841">
        <f>'Modelo Energético'!D22</f>
        <v>0</v>
      </c>
      <c r="AS318" s="319" t="s">
        <v>1764</v>
      </c>
      <c r="AT318" s="319"/>
      <c r="AU318" s="319"/>
      <c r="AV318" s="319"/>
      <c r="AW318" s="319"/>
      <c r="AX318" s="319"/>
      <c r="AY318" s="319"/>
      <c r="AZ318" s="319"/>
      <c r="BA318" s="319"/>
    </row>
    <row r="319" spans="1:53" ht="13.2" hidden="1">
      <c r="A319" s="319"/>
      <c r="B319" s="319"/>
      <c r="C319" s="319"/>
      <c r="D319" s="319" t="s">
        <v>1037</v>
      </c>
      <c r="E319" s="656">
        <f>IF(AND(Set_Level=2,Iniciar!P4=0),AO238,IF(AND(Set_Level=1,Iniciar!P4=0),AO238,'Modelo Energético '!P914))</f>
        <v>0</v>
      </c>
      <c r="F319" s="319">
        <f>IF(AND(G319&lt;=0,U15=1,HideCodeLN_HPT&lt;4),0,AN238)</f>
        <v>0</v>
      </c>
      <c r="G319" s="319">
        <f>IF(AND(HideCodeLN_HPT=3,U15=2),0,AP238*IF(AR238=2,0,1))</f>
        <v>0</v>
      </c>
      <c r="H319" s="319">
        <f>IF(AR238=1,0,1)</f>
        <v>1</v>
      </c>
      <c r="I319" s="319"/>
      <c r="J319" s="319"/>
      <c r="K319" s="319" t="s">
        <v>1036</v>
      </c>
      <c r="L319" s="319">
        <f>IF(AND(Set_Level=2,Iniciar!P4=0),AI238,IF(AND(Set_Level=1,Iniciar!P4=0),AI238,'Modelo Energético '!P886))</f>
        <v>0</v>
      </c>
      <c r="M319" s="319">
        <f>IF(AND(N319&lt;=0,HideCodeLN_CPT&lt;4,U120=1),0,AH238)</f>
        <v>0</v>
      </c>
      <c r="N319" s="319">
        <f>IF(AND(HideCodeLN_CPT=3,U120=2),0,AJ238*IF(AL238=2,0,1))</f>
        <v>0</v>
      </c>
      <c r="O319" s="319">
        <f>IF(AL238=1,0,1)</f>
        <v>1</v>
      </c>
      <c r="P319" s="319"/>
      <c r="Q319" s="319"/>
      <c r="R319" s="319"/>
      <c r="S319" s="319"/>
      <c r="T319" s="319"/>
      <c r="U319" s="319"/>
      <c r="V319" s="319">
        <f>SUM(AH41:AU41)</f>
        <v>0</v>
      </c>
      <c r="W319" s="319">
        <f>SUM(W317:W318)</f>
        <v>0</v>
      </c>
      <c r="X319" s="319"/>
      <c r="Y319" s="319"/>
      <c r="Z319" s="319"/>
      <c r="AA319" s="319"/>
      <c r="AB319" s="319"/>
      <c r="AC319" s="319"/>
      <c r="AD319" s="319"/>
      <c r="AE319" s="319"/>
      <c r="AF319" s="319"/>
      <c r="AG319" s="319">
        <f>SUM(AH146:AU146)</f>
        <v>0</v>
      </c>
      <c r="AH319" s="319">
        <f>SUM(AH317:AH318)</f>
        <v>0</v>
      </c>
      <c r="AI319" s="319"/>
      <c r="AJ319" s="319"/>
      <c r="AK319" s="319"/>
      <c r="AL319" s="319"/>
      <c r="AM319" s="319"/>
      <c r="AN319" s="319">
        <f>IF(OR(HideCode_projectType2&lt;3,HideCode_projectType2=4),0,1)</f>
        <v>0</v>
      </c>
      <c r="AO319" s="319"/>
      <c r="AP319" s="319"/>
      <c r="AQ319" s="319"/>
      <c r="AR319" s="319"/>
      <c r="AS319" s="319">
        <f>IF(OR(HideCode_projectType2&lt;3,HideCode_projectType2=4),0,1)*IF(AS335=0,0,1)</f>
        <v>0</v>
      </c>
      <c r="AT319" s="319">
        <f>IF(OR(HideCode_projectType2&lt;3,HideCode_projectType2=4),0,1)*IF(AT335=0,0,1)</f>
        <v>0</v>
      </c>
      <c r="AU319" s="481" t="s">
        <v>738</v>
      </c>
      <c r="AV319" s="481"/>
      <c r="AW319" s="481"/>
      <c r="AX319" s="481"/>
      <c r="AY319" s="481"/>
      <c r="AZ319" s="481"/>
      <c r="BA319" s="494"/>
    </row>
    <row r="320" spans="1:53" ht="13.2" hidden="1">
      <c r="A320" s="319"/>
      <c r="B320" s="319"/>
      <c r="C320" s="319" t="s">
        <v>2744</v>
      </c>
      <c r="D320" s="319" t="s">
        <v>739</v>
      </c>
      <c r="E320" s="319" t="s">
        <v>5700</v>
      </c>
      <c r="F320" s="319" t="s">
        <v>2514</v>
      </c>
      <c r="G320" s="319" t="s">
        <v>2513</v>
      </c>
      <c r="H320" s="319" t="s">
        <v>3299</v>
      </c>
      <c r="I320" s="319" t="s">
        <v>3300</v>
      </c>
      <c r="J320" s="319" t="s">
        <v>2037</v>
      </c>
      <c r="K320" s="319" t="s">
        <v>739</v>
      </c>
      <c r="L320" s="319" t="s">
        <v>5700</v>
      </c>
      <c r="M320" s="319" t="s">
        <v>2514</v>
      </c>
      <c r="N320" s="319" t="s">
        <v>2513</v>
      </c>
      <c r="O320" s="319" t="s">
        <v>3299</v>
      </c>
      <c r="P320" s="319" t="s">
        <v>3300</v>
      </c>
      <c r="Q320" s="319" t="s">
        <v>2037</v>
      </c>
      <c r="R320" s="319" t="s">
        <v>5744</v>
      </c>
      <c r="S320" s="319" t="s">
        <v>4823</v>
      </c>
      <c r="T320" s="319"/>
      <c r="U320" s="319" t="s">
        <v>3357</v>
      </c>
      <c r="V320" s="319" t="s">
        <v>2803</v>
      </c>
      <c r="W320" s="319" t="s">
        <v>2746</v>
      </c>
      <c r="X320" s="319" t="s">
        <v>5744</v>
      </c>
      <c r="Y320" s="319" t="s">
        <v>4823</v>
      </c>
      <c r="Z320" s="319" t="s">
        <v>3357</v>
      </c>
      <c r="AA320" s="319"/>
      <c r="AB320" s="319"/>
      <c r="AC320" s="319"/>
      <c r="AD320" s="319"/>
      <c r="AE320" s="319"/>
      <c r="AF320" s="319"/>
      <c r="AG320" s="319" t="s">
        <v>2803</v>
      </c>
      <c r="AH320" s="319" t="s">
        <v>2746</v>
      </c>
      <c r="AI320" s="319" t="s">
        <v>2746</v>
      </c>
      <c r="AJ320" s="319" t="s">
        <v>5905</v>
      </c>
      <c r="AK320" s="319" t="s">
        <v>1920</v>
      </c>
      <c r="AL320" s="319" t="s">
        <v>717</v>
      </c>
      <c r="AM320" s="319" t="s">
        <v>1910</v>
      </c>
      <c r="AN320" s="319" t="s">
        <v>4955</v>
      </c>
      <c r="AO320" s="319" t="s">
        <v>3289</v>
      </c>
      <c r="AP320" s="319" t="s">
        <v>3291</v>
      </c>
      <c r="AQ320" s="319" t="s">
        <v>1867</v>
      </c>
      <c r="AR320" s="319" t="s">
        <v>483</v>
      </c>
      <c r="AS320" s="319" t="str">
        <f>Language!C1283</f>
        <v>Sistema de Aquecimento</v>
      </c>
      <c r="AT320" s="319" t="str">
        <f>Language!C1284</f>
        <v>Sistema de produção de eletricidade</v>
      </c>
      <c r="AU320" s="574" t="s">
        <v>3633</v>
      </c>
      <c r="AV320" s="842" t="s">
        <v>1516</v>
      </c>
      <c r="AW320" s="842" t="s">
        <v>1517</v>
      </c>
      <c r="AX320" s="842" t="s">
        <v>3446</v>
      </c>
      <c r="AY320" s="842" t="s">
        <v>1518</v>
      </c>
      <c r="AZ320" s="575" t="s">
        <v>1064</v>
      </c>
      <c r="BA320" s="319"/>
    </row>
    <row r="321" spans="1:53" ht="13.2" hidden="1">
      <c r="A321" s="319"/>
      <c r="B321" s="319" t="s">
        <v>1395</v>
      </c>
      <c r="C321" s="319">
        <v>732</v>
      </c>
      <c r="D321" s="477">
        <f>'Carga e Rede'!AX321*VLOOKUP('Carga e Rede'!AY321,'Carga e Rede'!$AU$321:$AV$332,2)/$AG$58</f>
        <v>0.48979591836734687</v>
      </c>
      <c r="E321" s="494">
        <f t="shared" ref="E321:E333" si="95">$E$319*D321*$E$316</f>
        <v>0</v>
      </c>
      <c r="F321" s="319">
        <f>IF($G$319=0,0,($F$319*$G$319-$C$333*$F$319)*C321/($C$334-$C$333))</f>
        <v>0</v>
      </c>
      <c r="G321" s="319">
        <f>F321/C321</f>
        <v>0</v>
      </c>
      <c r="H321" s="319">
        <f t="shared" ref="H321:H332" si="96">C321*H230*$H$319*$F$319</f>
        <v>0</v>
      </c>
      <c r="I321" s="319">
        <f>H321/C321</f>
        <v>0</v>
      </c>
      <c r="J321" s="494">
        <f t="shared" ref="J321:J333" si="97">(E321+G321+I321)*$D$316</f>
        <v>0</v>
      </c>
      <c r="K321" s="742">
        <f>'Carga e Rede'!AZ321/(Iniciar!$P$53-10)</f>
        <v>0</v>
      </c>
      <c r="L321" s="494">
        <f t="shared" ref="L321:L333" si="98">K321*$L$319*$L$316</f>
        <v>0</v>
      </c>
      <c r="M321" s="494">
        <f>IF($N$319=0,0,($M$319*$N$319-$M$319*$C$333)*C321/($C$334-$C$333))</f>
        <v>0</v>
      </c>
      <c r="N321" s="494">
        <f t="shared" ref="N321:N333" si="99">M321/C321</f>
        <v>0</v>
      </c>
      <c r="O321" s="494">
        <f t="shared" ref="O321:O332" si="100">C321*$M$319*$O$319*F230</f>
        <v>0</v>
      </c>
      <c r="P321" s="494">
        <f t="shared" ref="P321:P333" si="101">O321/C321</f>
        <v>0</v>
      </c>
      <c r="Q321" s="494">
        <f t="shared" ref="Q321:Q333" si="102">(L321+N321+P321)*$K$316</f>
        <v>0</v>
      </c>
      <c r="R321" s="494" t="e">
        <f t="shared" ref="R321:R333" si="103">IF(HideCodeLN_HPT&lt;4,IF($D$9=$E$344,E321,0)/$D$10,0)</f>
        <v>#DIV/0!</v>
      </c>
      <c r="S321" s="494">
        <f t="shared" ref="S321:S333" si="104">IF(OR(HideCodeLN_HPT=2,HideCodeLN_HPT=3),IF($D$9=$E$344,IF($U$15=1,G321,I321),0)/$D$10,0)</f>
        <v>0</v>
      </c>
      <c r="T321" s="494"/>
      <c r="U321" s="494">
        <f t="shared" ref="U321:U333" si="105">IF($E$333=0,0,IF(OR(HideCodeLN_HPT=4,HideCodeLN_HPT=6,HideCodeLN_HPT=7,HideCodeLN_HPT=9),$W$317*E321/$E$333,0))</f>
        <v>0</v>
      </c>
      <c r="V321" s="494">
        <f t="shared" ref="V321:V333" si="106">IF(OR(HideCodeLN_HPT=5,HideCodeLN_HPT=6,HideCodeLN_HPT&gt;7),IF($U$40=1,$V$317/8.76,(G321+I321)*$V$318/($G$333+$I$333)),0)</f>
        <v>0</v>
      </c>
      <c r="W321" s="494" t="e">
        <f>SUM(R321:V321)</f>
        <v>#DIV/0!</v>
      </c>
      <c r="X321" s="494" t="e">
        <f t="shared" ref="X321:X333" si="107">IF(HideCodeLN_CPT&lt;4,IF($D$114=$E$344,L321,0)/$D$115,0)</f>
        <v>#DIV/0!</v>
      </c>
      <c r="Y321" s="494">
        <f t="shared" ref="Y321:Y333" si="108">IF(OR(HideCodeLN_CPT=2,HideCodeLN_CPT=3),IF($D$114=$E$344,IF($U$120=1,N321,P321),0)/$D$115,0)</f>
        <v>0</v>
      </c>
      <c r="Z321" s="494">
        <f t="shared" ref="Z321:Z333" si="109">IF($L$333=0,0,IF(OR(HideCodeLN_CPT=4,HideCodeLN_CPT=6,HideCodeLN_CPT=7,HideCodeLN_CPT=9),$AH$317*L321/$L$333,0))</f>
        <v>0</v>
      </c>
      <c r="AA321" s="494"/>
      <c r="AB321" s="494"/>
      <c r="AC321" s="494"/>
      <c r="AD321" s="494"/>
      <c r="AE321" s="494"/>
      <c r="AF321" s="494"/>
      <c r="AG321" s="494">
        <f t="shared" ref="AG321:AG333" si="110">IF(OR(HideCodeLN_CPT=5,HideCodeLN_CPT=6,HideCodeLN_CPT&gt;7),IF($U$145=1,$AG$317/8.76,(N321+P321)*$AG$318/($N$333+$P$333)),0)</f>
        <v>0</v>
      </c>
      <c r="AH321" s="494" t="e">
        <f>X321+Y321+Z321+AG321</f>
        <v>#DIV/0!</v>
      </c>
      <c r="AI321" s="494">
        <f t="shared" ref="AI321:AI333" si="111">IF(OR(HideCode_projectType2&lt;4,HideCode_projectType2=6),0,IF(HideCode_projectType2=4,W321,IF(HideCode_projectType2=5,AH321,W321+AH321)))</f>
        <v>0</v>
      </c>
      <c r="AJ321" s="494">
        <f t="shared" ref="AJ321:AJ332" si="112">E230</f>
        <v>0</v>
      </c>
      <c r="AK321" s="494">
        <f t="shared" ref="AK321:AK332" si="113">IF(OR(HideCode_projectType2=1,HideCode_projectType2=3,HideCode_projectType2=6),0,N230)</f>
        <v>0</v>
      </c>
      <c r="AL321" s="494">
        <f t="shared" ref="AL321:AL332" si="114">IF(OR(HideCode_projectType2=2,HideCode_projectType2=3,HideCode_projectType2=5),0,R230)</f>
        <v>0</v>
      </c>
      <c r="AM321" s="494">
        <f t="shared" ref="AM321:AM332" si="115">IF(OR(HideCode_projectType2&lt;3,HideCode_projectType2=4),0,O230)</f>
        <v>0</v>
      </c>
      <c r="AN321" s="494">
        <f t="shared" ref="AN321:AN333" si="116">IF(AM321&gt;$AQ$317,$AQ$317,AM321)*$AN$319</f>
        <v>0</v>
      </c>
      <c r="AO321" s="494">
        <f t="shared" ref="AO321:AO333" si="117">IF(AM321-AN321&gt;0,IF(AM321-AN321&gt;$AQ$318,$AQ$318,AM321-AN321),0)*$AN$319</f>
        <v>0</v>
      </c>
      <c r="AP321" s="494" t="e">
        <f t="shared" ref="AP321:AP333" si="118">AN321/$AR$317</f>
        <v>#DIV/0!</v>
      </c>
      <c r="AQ321" s="494" t="e">
        <f t="shared" ref="AQ321:AQ333" si="119">AO321/$AR$318</f>
        <v>#DIV/0!</v>
      </c>
      <c r="AR321" s="494" t="e">
        <f t="shared" ref="AR321:AR333" si="120">IF($AP$317=$AP$318,AP321+AQ321,0)</f>
        <v>#DIV/0!</v>
      </c>
      <c r="AS321" s="494">
        <f t="shared" ref="AS321:AS333" si="121">IF(AND($AS$336=$AS$320,$AT$336=$AS$320),AP321+AQ321,IF($AS$336=$AS$320,AP321,IF($AT$336=$AS$320,AQ321,0)))</f>
        <v>0</v>
      </c>
      <c r="AT321" s="494">
        <f t="shared" ref="AT321:AT333" si="122">IF(AND($AS$336=$AT$320,$AT$336=$AT$320),AP321+AQ321,IF($AS$336=$AT$320,AP321,IF($AT$336=$AT$320,AQ321,0)))</f>
        <v>0</v>
      </c>
      <c r="AU321" s="560">
        <v>1</v>
      </c>
      <c r="AV321" s="598">
        <v>0.9</v>
      </c>
      <c r="AW321" s="598">
        <v>744</v>
      </c>
      <c r="AX321" s="598">
        <f>Iniciar!T58/AW321*24+'Carga e Rede'!$AH$67</f>
        <v>8</v>
      </c>
      <c r="AY321" s="598">
        <f t="shared" ref="AY321:AY332" si="123">RANK(AX321,$AX$321:$AX$332)</f>
        <v>1</v>
      </c>
      <c r="AZ321" s="561">
        <f>Iniciar!U58/AW321*24+'Carga e Rede'!$AI$171</f>
        <v>0</v>
      </c>
      <c r="BA321" s="319"/>
    </row>
    <row r="322" spans="1:53" ht="13.2" hidden="1">
      <c r="A322" s="319"/>
      <c r="B322" s="319" t="s">
        <v>960</v>
      </c>
      <c r="C322" s="319">
        <v>661</v>
      </c>
      <c r="D322" s="477">
        <f>'Carga e Rede'!AX322*VLOOKUP('Carga e Rede'!AY322,'Carga e Rede'!$AU$321:$AV$332,2)/$AG$58</f>
        <v>0.36190476190476184</v>
      </c>
      <c r="E322" s="494">
        <f t="shared" si="95"/>
        <v>0</v>
      </c>
      <c r="F322" s="319">
        <f t="shared" ref="F322:F332" si="124">IF($G$319=0,0,($F$319*$G$319-$C$333*$F$319)*C322/($C$334-$C$333))</f>
        <v>0</v>
      </c>
      <c r="G322" s="319">
        <f t="shared" ref="G322:G333" si="125">F322/C322</f>
        <v>0</v>
      </c>
      <c r="H322" s="319">
        <f t="shared" si="96"/>
        <v>0</v>
      </c>
      <c r="I322" s="319">
        <f t="shared" ref="I322:I332" si="126">H322/C322</f>
        <v>0</v>
      </c>
      <c r="J322" s="494">
        <f t="shared" si="97"/>
        <v>0</v>
      </c>
      <c r="K322" s="742">
        <f>'Carga e Rede'!AZ322/(Iniciar!$P$53-10)</f>
        <v>4.6948356807511742E-2</v>
      </c>
      <c r="L322" s="494">
        <f t="shared" si="98"/>
        <v>0</v>
      </c>
      <c r="M322" s="494">
        <f t="shared" ref="M322:M332" si="127">IF($N$319=0,0,($M$319*$N$319-$M$319*$C$333)*C322/($C$334-$C$333))</f>
        <v>0</v>
      </c>
      <c r="N322" s="494">
        <f t="shared" si="99"/>
        <v>0</v>
      </c>
      <c r="O322" s="494">
        <f t="shared" si="100"/>
        <v>0</v>
      </c>
      <c r="P322" s="494">
        <f t="shared" si="101"/>
        <v>0</v>
      </c>
      <c r="Q322" s="494">
        <f t="shared" si="102"/>
        <v>0</v>
      </c>
      <c r="R322" s="494" t="e">
        <f t="shared" si="103"/>
        <v>#DIV/0!</v>
      </c>
      <c r="S322" s="494">
        <f t="shared" si="104"/>
        <v>0</v>
      </c>
      <c r="T322" s="494"/>
      <c r="U322" s="494">
        <f t="shared" si="105"/>
        <v>0</v>
      </c>
      <c r="V322" s="494">
        <f t="shared" si="106"/>
        <v>0</v>
      </c>
      <c r="W322" s="494" t="e">
        <f t="shared" ref="W322:W333" si="128">SUM(R322:V322)</f>
        <v>#DIV/0!</v>
      </c>
      <c r="X322" s="494" t="e">
        <f t="shared" si="107"/>
        <v>#DIV/0!</v>
      </c>
      <c r="Y322" s="494">
        <f t="shared" si="108"/>
        <v>0</v>
      </c>
      <c r="Z322" s="494">
        <f t="shared" si="109"/>
        <v>0</v>
      </c>
      <c r="AA322" s="494"/>
      <c r="AB322" s="494"/>
      <c r="AC322" s="494"/>
      <c r="AD322" s="494"/>
      <c r="AE322" s="494"/>
      <c r="AF322" s="494"/>
      <c r="AG322" s="494">
        <f t="shared" si="110"/>
        <v>0</v>
      </c>
      <c r="AH322" s="494" t="e">
        <f t="shared" ref="AH322:AH332" si="129">X322+Y322+Z322+AG322</f>
        <v>#DIV/0!</v>
      </c>
      <c r="AI322" s="494">
        <f t="shared" si="111"/>
        <v>0</v>
      </c>
      <c r="AJ322" s="494">
        <f t="shared" si="112"/>
        <v>0</v>
      </c>
      <c r="AK322" s="494">
        <f t="shared" si="113"/>
        <v>0</v>
      </c>
      <c r="AL322" s="494">
        <f t="shared" si="114"/>
        <v>0</v>
      </c>
      <c r="AM322" s="494">
        <f t="shared" si="115"/>
        <v>0</v>
      </c>
      <c r="AN322" s="494">
        <f t="shared" si="116"/>
        <v>0</v>
      </c>
      <c r="AO322" s="494">
        <f t="shared" si="117"/>
        <v>0</v>
      </c>
      <c r="AP322" s="494" t="e">
        <f t="shared" si="118"/>
        <v>#DIV/0!</v>
      </c>
      <c r="AQ322" s="494" t="e">
        <f t="shared" si="119"/>
        <v>#DIV/0!</v>
      </c>
      <c r="AR322" s="494" t="e">
        <f t="shared" si="120"/>
        <v>#DIV/0!</v>
      </c>
      <c r="AS322" s="494">
        <f t="shared" si="121"/>
        <v>0</v>
      </c>
      <c r="AT322" s="494">
        <f t="shared" si="122"/>
        <v>0</v>
      </c>
      <c r="AU322" s="560">
        <v>2</v>
      </c>
      <c r="AV322" s="598">
        <v>0.78</v>
      </c>
      <c r="AW322" s="598">
        <v>672</v>
      </c>
      <c r="AX322" s="598">
        <f>Iniciar!T59/AW322*24+'Carga e Rede'!$AH$67</f>
        <v>7</v>
      </c>
      <c r="AY322" s="598">
        <f t="shared" si="123"/>
        <v>3</v>
      </c>
      <c r="AZ322" s="561">
        <f>Iniciar!U59/AW322*24+'Carga e Rede'!$AI$171</f>
        <v>1</v>
      </c>
      <c r="BA322" s="319"/>
    </row>
    <row r="323" spans="1:53" ht="13.2" hidden="1">
      <c r="A323" s="319"/>
      <c r="B323" s="319" t="s">
        <v>5680</v>
      </c>
      <c r="C323" s="319">
        <v>732</v>
      </c>
      <c r="D323" s="477">
        <f>'Carga e Rede'!AX323*VLOOKUP('Carga e Rede'!AY323,'Carga e Rede'!$AU$321:$AV$332,2)/$AG$58</f>
        <v>0.26190476190476181</v>
      </c>
      <c r="E323" s="494">
        <f t="shared" si="95"/>
        <v>0</v>
      </c>
      <c r="F323" s="319">
        <f t="shared" si="124"/>
        <v>0</v>
      </c>
      <c r="G323" s="319">
        <f t="shared" si="125"/>
        <v>0</v>
      </c>
      <c r="H323" s="319">
        <f t="shared" si="96"/>
        <v>0</v>
      </c>
      <c r="I323" s="319">
        <f t="shared" si="126"/>
        <v>0</v>
      </c>
      <c r="J323" s="494">
        <f t="shared" si="97"/>
        <v>0</v>
      </c>
      <c r="K323" s="742">
        <f>'Carga e Rede'!AZ323/(Iniciar!$P$53-10)</f>
        <v>0.11737089201877936</v>
      </c>
      <c r="L323" s="494">
        <f t="shared" si="98"/>
        <v>0</v>
      </c>
      <c r="M323" s="494">
        <f t="shared" si="127"/>
        <v>0</v>
      </c>
      <c r="N323" s="494">
        <f t="shared" si="99"/>
        <v>0</v>
      </c>
      <c r="O323" s="494">
        <f t="shared" si="100"/>
        <v>0</v>
      </c>
      <c r="P323" s="494">
        <f t="shared" si="101"/>
        <v>0</v>
      </c>
      <c r="Q323" s="494">
        <f t="shared" si="102"/>
        <v>0</v>
      </c>
      <c r="R323" s="494" t="e">
        <f t="shared" si="103"/>
        <v>#DIV/0!</v>
      </c>
      <c r="S323" s="494">
        <f t="shared" si="104"/>
        <v>0</v>
      </c>
      <c r="T323" s="494"/>
      <c r="U323" s="494">
        <f t="shared" si="105"/>
        <v>0</v>
      </c>
      <c r="V323" s="494">
        <f t="shared" si="106"/>
        <v>0</v>
      </c>
      <c r="W323" s="494" t="e">
        <f t="shared" si="128"/>
        <v>#DIV/0!</v>
      </c>
      <c r="X323" s="494" t="e">
        <f t="shared" si="107"/>
        <v>#DIV/0!</v>
      </c>
      <c r="Y323" s="494">
        <f t="shared" si="108"/>
        <v>0</v>
      </c>
      <c r="Z323" s="494">
        <f t="shared" si="109"/>
        <v>0</v>
      </c>
      <c r="AA323" s="494"/>
      <c r="AB323" s="494"/>
      <c r="AC323" s="494"/>
      <c r="AD323" s="494"/>
      <c r="AE323" s="494"/>
      <c r="AF323" s="494"/>
      <c r="AG323" s="494">
        <f t="shared" si="110"/>
        <v>0</v>
      </c>
      <c r="AH323" s="494" t="e">
        <f t="shared" si="129"/>
        <v>#DIV/0!</v>
      </c>
      <c r="AI323" s="494">
        <f t="shared" si="111"/>
        <v>0</v>
      </c>
      <c r="AJ323" s="494">
        <f t="shared" si="112"/>
        <v>0</v>
      </c>
      <c r="AK323" s="494">
        <f t="shared" si="113"/>
        <v>0</v>
      </c>
      <c r="AL323" s="494">
        <f t="shared" si="114"/>
        <v>0</v>
      </c>
      <c r="AM323" s="494">
        <f t="shared" si="115"/>
        <v>0</v>
      </c>
      <c r="AN323" s="494">
        <f t="shared" si="116"/>
        <v>0</v>
      </c>
      <c r="AO323" s="494">
        <f t="shared" si="117"/>
        <v>0</v>
      </c>
      <c r="AP323" s="494" t="e">
        <f t="shared" si="118"/>
        <v>#DIV/0!</v>
      </c>
      <c r="AQ323" s="494" t="e">
        <f t="shared" si="119"/>
        <v>#DIV/0!</v>
      </c>
      <c r="AR323" s="494" t="e">
        <f t="shared" si="120"/>
        <v>#DIV/0!</v>
      </c>
      <c r="AS323" s="494">
        <f t="shared" si="121"/>
        <v>0</v>
      </c>
      <c r="AT323" s="494">
        <f t="shared" si="122"/>
        <v>0</v>
      </c>
      <c r="AU323" s="560">
        <v>3</v>
      </c>
      <c r="AV323" s="598">
        <v>0.76</v>
      </c>
      <c r="AW323" s="598">
        <v>744</v>
      </c>
      <c r="AX323" s="598">
        <f>Iniciar!T60/AW323*24+'Carga e Rede'!$AH$67</f>
        <v>5.5</v>
      </c>
      <c r="AY323" s="598">
        <f t="shared" si="123"/>
        <v>4</v>
      </c>
      <c r="AZ323" s="561">
        <f>Iniciar!U60/AW323*24+'Carga e Rede'!$AI$171</f>
        <v>2.5</v>
      </c>
      <c r="BA323" s="319"/>
    </row>
    <row r="324" spans="1:53" ht="13.2" hidden="1">
      <c r="A324" s="319"/>
      <c r="B324" s="319" t="s">
        <v>2804</v>
      </c>
      <c r="C324" s="319">
        <v>708</v>
      </c>
      <c r="D324" s="477">
        <f>'Carga e Rede'!AX324*VLOOKUP('Carga e Rede'!AY324,'Carga e Rede'!$AU$321:$AV$332,2)/$AG$58</f>
        <v>0.17414965986394554</v>
      </c>
      <c r="E324" s="494">
        <f t="shared" si="95"/>
        <v>0</v>
      </c>
      <c r="F324" s="319">
        <f t="shared" si="124"/>
        <v>0</v>
      </c>
      <c r="G324" s="319">
        <f t="shared" si="125"/>
        <v>0</v>
      </c>
      <c r="H324" s="319">
        <f t="shared" si="96"/>
        <v>0</v>
      </c>
      <c r="I324" s="319">
        <f t="shared" si="126"/>
        <v>0</v>
      </c>
      <c r="J324" s="494">
        <f t="shared" si="97"/>
        <v>0</v>
      </c>
      <c r="K324" s="742">
        <f>'Carga e Rede'!AZ324/(Iniciar!$P$53-10)</f>
        <v>0.18779342723004697</v>
      </c>
      <c r="L324" s="494">
        <f t="shared" si="98"/>
        <v>0</v>
      </c>
      <c r="M324" s="494">
        <f t="shared" si="127"/>
        <v>0</v>
      </c>
      <c r="N324" s="494">
        <f t="shared" si="99"/>
        <v>0</v>
      </c>
      <c r="O324" s="494">
        <f t="shared" si="100"/>
        <v>0</v>
      </c>
      <c r="P324" s="494">
        <f t="shared" si="101"/>
        <v>0</v>
      </c>
      <c r="Q324" s="494">
        <f t="shared" si="102"/>
        <v>0</v>
      </c>
      <c r="R324" s="494" t="e">
        <f t="shared" si="103"/>
        <v>#DIV/0!</v>
      </c>
      <c r="S324" s="494">
        <f t="shared" si="104"/>
        <v>0</v>
      </c>
      <c r="T324" s="494"/>
      <c r="U324" s="494">
        <f t="shared" si="105"/>
        <v>0</v>
      </c>
      <c r="V324" s="494">
        <f t="shared" si="106"/>
        <v>0</v>
      </c>
      <c r="W324" s="494" t="e">
        <f t="shared" si="128"/>
        <v>#DIV/0!</v>
      </c>
      <c r="X324" s="494" t="e">
        <f t="shared" si="107"/>
        <v>#DIV/0!</v>
      </c>
      <c r="Y324" s="494">
        <f t="shared" si="108"/>
        <v>0</v>
      </c>
      <c r="Z324" s="494">
        <f t="shared" si="109"/>
        <v>0</v>
      </c>
      <c r="AA324" s="494"/>
      <c r="AB324" s="494"/>
      <c r="AC324" s="494"/>
      <c r="AD324" s="494"/>
      <c r="AE324" s="494"/>
      <c r="AF324" s="494"/>
      <c r="AG324" s="494">
        <f t="shared" si="110"/>
        <v>0</v>
      </c>
      <c r="AH324" s="494" t="e">
        <f t="shared" si="129"/>
        <v>#DIV/0!</v>
      </c>
      <c r="AI324" s="494">
        <f t="shared" si="111"/>
        <v>0</v>
      </c>
      <c r="AJ324" s="494">
        <f t="shared" si="112"/>
        <v>0</v>
      </c>
      <c r="AK324" s="494">
        <f t="shared" si="113"/>
        <v>0</v>
      </c>
      <c r="AL324" s="494">
        <f t="shared" si="114"/>
        <v>0</v>
      </c>
      <c r="AM324" s="494">
        <f t="shared" si="115"/>
        <v>0</v>
      </c>
      <c r="AN324" s="494">
        <f t="shared" si="116"/>
        <v>0</v>
      </c>
      <c r="AO324" s="494">
        <f t="shared" si="117"/>
        <v>0</v>
      </c>
      <c r="AP324" s="494" t="e">
        <f t="shared" si="118"/>
        <v>#DIV/0!</v>
      </c>
      <c r="AQ324" s="494" t="e">
        <f t="shared" si="119"/>
        <v>#DIV/0!</v>
      </c>
      <c r="AR324" s="494" t="e">
        <f t="shared" si="120"/>
        <v>#DIV/0!</v>
      </c>
      <c r="AS324" s="494">
        <f t="shared" si="121"/>
        <v>0</v>
      </c>
      <c r="AT324" s="494">
        <f t="shared" si="122"/>
        <v>0</v>
      </c>
      <c r="AU324" s="560">
        <v>4</v>
      </c>
      <c r="AV324" s="598">
        <v>0.7</v>
      </c>
      <c r="AW324" s="598">
        <v>720</v>
      </c>
      <c r="AX324" s="598">
        <f>Iniciar!T61/AW324*24+'Carga e Rede'!$AH$67</f>
        <v>4</v>
      </c>
      <c r="AY324" s="598">
        <f t="shared" si="123"/>
        <v>6</v>
      </c>
      <c r="AZ324" s="561">
        <f>Iniciar!U61/AW324*24+'Carga e Rede'!$AI$171</f>
        <v>4</v>
      </c>
      <c r="BA324" s="319"/>
    </row>
    <row r="325" spans="1:53" ht="13.2" hidden="1">
      <c r="A325" s="319"/>
      <c r="B325" s="319" t="s">
        <v>917</v>
      </c>
      <c r="C325" s="319">
        <v>732</v>
      </c>
      <c r="D325" s="477">
        <f>'Carga e Rede'!AX325*VLOOKUP('Carga e Rede'!AY325,'Carga e Rede'!$AU$321:$AV$332,2)/$AG$58</f>
        <v>6.8571428571428561E-2</v>
      </c>
      <c r="E325" s="494">
        <f t="shared" si="95"/>
        <v>0</v>
      </c>
      <c r="F325" s="319">
        <f t="shared" si="124"/>
        <v>0</v>
      </c>
      <c r="G325" s="319">
        <f t="shared" si="125"/>
        <v>0</v>
      </c>
      <c r="H325" s="319">
        <f t="shared" si="96"/>
        <v>0</v>
      </c>
      <c r="I325" s="319">
        <f t="shared" si="126"/>
        <v>0</v>
      </c>
      <c r="J325" s="494">
        <f t="shared" si="97"/>
        <v>0</v>
      </c>
      <c r="K325" s="742">
        <f>'Carga e Rede'!AZ325/(Iniciar!$P$53-10)</f>
        <v>0.30046948356807518</v>
      </c>
      <c r="L325" s="494">
        <f t="shared" si="98"/>
        <v>0</v>
      </c>
      <c r="M325" s="494">
        <f t="shared" si="127"/>
        <v>0</v>
      </c>
      <c r="N325" s="494">
        <f t="shared" si="99"/>
        <v>0</v>
      </c>
      <c r="O325" s="494">
        <f t="shared" si="100"/>
        <v>0</v>
      </c>
      <c r="P325" s="494">
        <f t="shared" si="101"/>
        <v>0</v>
      </c>
      <c r="Q325" s="494">
        <f t="shared" si="102"/>
        <v>0</v>
      </c>
      <c r="R325" s="494" t="e">
        <f t="shared" si="103"/>
        <v>#DIV/0!</v>
      </c>
      <c r="S325" s="494">
        <f t="shared" si="104"/>
        <v>0</v>
      </c>
      <c r="T325" s="494"/>
      <c r="U325" s="494">
        <f t="shared" si="105"/>
        <v>0</v>
      </c>
      <c r="V325" s="494">
        <f t="shared" si="106"/>
        <v>0</v>
      </c>
      <c r="W325" s="494" t="e">
        <f t="shared" si="128"/>
        <v>#DIV/0!</v>
      </c>
      <c r="X325" s="494" t="e">
        <f t="shared" si="107"/>
        <v>#DIV/0!</v>
      </c>
      <c r="Y325" s="494">
        <f t="shared" si="108"/>
        <v>0</v>
      </c>
      <c r="Z325" s="494">
        <f t="shared" si="109"/>
        <v>0</v>
      </c>
      <c r="AA325" s="494"/>
      <c r="AB325" s="494"/>
      <c r="AC325" s="494"/>
      <c r="AD325" s="494"/>
      <c r="AE325" s="494"/>
      <c r="AF325" s="494"/>
      <c r="AG325" s="494">
        <f t="shared" si="110"/>
        <v>0</v>
      </c>
      <c r="AH325" s="494" t="e">
        <f t="shared" si="129"/>
        <v>#DIV/0!</v>
      </c>
      <c r="AI325" s="494">
        <f t="shared" si="111"/>
        <v>0</v>
      </c>
      <c r="AJ325" s="494">
        <f t="shared" si="112"/>
        <v>0</v>
      </c>
      <c r="AK325" s="494">
        <f t="shared" si="113"/>
        <v>0</v>
      </c>
      <c r="AL325" s="494">
        <f t="shared" si="114"/>
        <v>0</v>
      </c>
      <c r="AM325" s="494">
        <f t="shared" si="115"/>
        <v>0</v>
      </c>
      <c r="AN325" s="494">
        <f t="shared" si="116"/>
        <v>0</v>
      </c>
      <c r="AO325" s="494">
        <f t="shared" si="117"/>
        <v>0</v>
      </c>
      <c r="AP325" s="494" t="e">
        <f t="shared" si="118"/>
        <v>#DIV/0!</v>
      </c>
      <c r="AQ325" s="494" t="e">
        <f t="shared" si="119"/>
        <v>#DIV/0!</v>
      </c>
      <c r="AR325" s="494" t="e">
        <f t="shared" si="120"/>
        <v>#DIV/0!</v>
      </c>
      <c r="AS325" s="494">
        <f t="shared" si="121"/>
        <v>0</v>
      </c>
      <c r="AT325" s="494">
        <f t="shared" si="122"/>
        <v>0</v>
      </c>
      <c r="AU325" s="560">
        <v>5</v>
      </c>
      <c r="AV325" s="598">
        <v>0.66</v>
      </c>
      <c r="AW325" s="598">
        <v>744</v>
      </c>
      <c r="AX325" s="598">
        <f>Iniciar!T62/AW325*24+'Carga e Rede'!$AH$67</f>
        <v>1.6</v>
      </c>
      <c r="AY325" s="598">
        <f t="shared" si="123"/>
        <v>7</v>
      </c>
      <c r="AZ325" s="561">
        <f>Iniciar!U62/AW325*24+'Carga e Rede'!$AI$171</f>
        <v>6.4</v>
      </c>
      <c r="BA325" s="319"/>
    </row>
    <row r="326" spans="1:53" ht="13.2" hidden="1">
      <c r="A326" s="319"/>
      <c r="B326" s="319" t="s">
        <v>1480</v>
      </c>
      <c r="C326" s="319">
        <v>708</v>
      </c>
      <c r="D326" s="477">
        <f>'Carga e Rede'!AX326*VLOOKUP('Carga e Rede'!AY326,'Carga e Rede'!$AU$321:$AV$332,2)/$AG$58</f>
        <v>0</v>
      </c>
      <c r="E326" s="494">
        <f t="shared" si="95"/>
        <v>0</v>
      </c>
      <c r="F326" s="319">
        <f t="shared" si="124"/>
        <v>0</v>
      </c>
      <c r="G326" s="319">
        <f t="shared" si="125"/>
        <v>0</v>
      </c>
      <c r="H326" s="319">
        <f t="shared" si="96"/>
        <v>0</v>
      </c>
      <c r="I326" s="319">
        <f t="shared" si="126"/>
        <v>0</v>
      </c>
      <c r="J326" s="494">
        <f t="shared" si="97"/>
        <v>0</v>
      </c>
      <c r="K326" s="742">
        <f>'Carga e Rede'!AZ326/(Iniciar!$P$53-10)</f>
        <v>0.4507042253521128</v>
      </c>
      <c r="L326" s="494">
        <f t="shared" si="98"/>
        <v>0</v>
      </c>
      <c r="M326" s="494">
        <f t="shared" si="127"/>
        <v>0</v>
      </c>
      <c r="N326" s="494">
        <f t="shared" si="99"/>
        <v>0</v>
      </c>
      <c r="O326" s="494">
        <f t="shared" si="100"/>
        <v>0</v>
      </c>
      <c r="P326" s="494">
        <f t="shared" si="101"/>
        <v>0</v>
      </c>
      <c r="Q326" s="494">
        <f t="shared" si="102"/>
        <v>0</v>
      </c>
      <c r="R326" s="494" t="e">
        <f t="shared" si="103"/>
        <v>#DIV/0!</v>
      </c>
      <c r="S326" s="494">
        <f t="shared" si="104"/>
        <v>0</v>
      </c>
      <c r="T326" s="494"/>
      <c r="U326" s="494">
        <f t="shared" si="105"/>
        <v>0</v>
      </c>
      <c r="V326" s="494">
        <f t="shared" si="106"/>
        <v>0</v>
      </c>
      <c r="W326" s="494" t="e">
        <f t="shared" si="128"/>
        <v>#DIV/0!</v>
      </c>
      <c r="X326" s="494" t="e">
        <f t="shared" si="107"/>
        <v>#DIV/0!</v>
      </c>
      <c r="Y326" s="494">
        <f t="shared" si="108"/>
        <v>0</v>
      </c>
      <c r="Z326" s="494">
        <f t="shared" si="109"/>
        <v>0</v>
      </c>
      <c r="AA326" s="494"/>
      <c r="AB326" s="494"/>
      <c r="AC326" s="494"/>
      <c r="AD326" s="494"/>
      <c r="AE326" s="494"/>
      <c r="AF326" s="494"/>
      <c r="AG326" s="494">
        <f t="shared" si="110"/>
        <v>0</v>
      </c>
      <c r="AH326" s="494" t="e">
        <f t="shared" si="129"/>
        <v>#DIV/0!</v>
      </c>
      <c r="AI326" s="494">
        <f t="shared" si="111"/>
        <v>0</v>
      </c>
      <c r="AJ326" s="494">
        <f t="shared" si="112"/>
        <v>0</v>
      </c>
      <c r="AK326" s="494">
        <f t="shared" si="113"/>
        <v>0</v>
      </c>
      <c r="AL326" s="494">
        <f t="shared" si="114"/>
        <v>0</v>
      </c>
      <c r="AM326" s="494">
        <f t="shared" si="115"/>
        <v>0</v>
      </c>
      <c r="AN326" s="494">
        <f t="shared" si="116"/>
        <v>0</v>
      </c>
      <c r="AO326" s="494">
        <f t="shared" si="117"/>
        <v>0</v>
      </c>
      <c r="AP326" s="494" t="e">
        <f t="shared" si="118"/>
        <v>#DIV/0!</v>
      </c>
      <c r="AQ326" s="494" t="e">
        <f t="shared" si="119"/>
        <v>#DIV/0!</v>
      </c>
      <c r="AR326" s="494" t="e">
        <f t="shared" si="120"/>
        <v>#DIV/0!</v>
      </c>
      <c r="AS326" s="494">
        <f t="shared" si="121"/>
        <v>0</v>
      </c>
      <c r="AT326" s="494">
        <f t="shared" si="122"/>
        <v>0</v>
      </c>
      <c r="AU326" s="560">
        <v>6</v>
      </c>
      <c r="AV326" s="598">
        <v>0.64</v>
      </c>
      <c r="AW326" s="598">
        <v>720</v>
      </c>
      <c r="AX326" s="598">
        <f>Iniciar!T63/AW326*24+'Carga e Rede'!$AH$67</f>
        <v>0</v>
      </c>
      <c r="AY326" s="598">
        <f t="shared" si="123"/>
        <v>9</v>
      </c>
      <c r="AZ326" s="561">
        <f>Iniciar!U63/AW326*24+'Carga e Rede'!$AI$171</f>
        <v>9.6000000000000014</v>
      </c>
      <c r="BA326" s="319"/>
    </row>
    <row r="327" spans="1:53" ht="13.2" hidden="1">
      <c r="A327" s="319"/>
      <c r="B327" s="319" t="s">
        <v>1481</v>
      </c>
      <c r="C327" s="319">
        <v>732</v>
      </c>
      <c r="D327" s="477">
        <f>'Carga e Rede'!AX327*VLOOKUP('Carga e Rede'!AY327,'Carga e Rede'!$AU$321:$AV$332,2)/$AG$58</f>
        <v>0</v>
      </c>
      <c r="E327" s="494">
        <f t="shared" si="95"/>
        <v>0</v>
      </c>
      <c r="F327" s="319">
        <f t="shared" si="124"/>
        <v>0</v>
      </c>
      <c r="G327" s="319">
        <f t="shared" si="125"/>
        <v>0</v>
      </c>
      <c r="H327" s="319">
        <f t="shared" si="96"/>
        <v>0</v>
      </c>
      <c r="I327" s="319">
        <f t="shared" si="126"/>
        <v>0</v>
      </c>
      <c r="J327" s="494">
        <f t="shared" si="97"/>
        <v>0</v>
      </c>
      <c r="K327" s="742">
        <f>'Carga e Rede'!AZ327/(Iniciar!$P$53-10)</f>
        <v>0.55399061032863861</v>
      </c>
      <c r="L327" s="494">
        <f t="shared" si="98"/>
        <v>0</v>
      </c>
      <c r="M327" s="494">
        <f t="shared" si="127"/>
        <v>0</v>
      </c>
      <c r="N327" s="494">
        <f t="shared" si="99"/>
        <v>0</v>
      </c>
      <c r="O327" s="494">
        <f t="shared" si="100"/>
        <v>0</v>
      </c>
      <c r="P327" s="494">
        <f t="shared" si="101"/>
        <v>0</v>
      </c>
      <c r="Q327" s="494">
        <f t="shared" si="102"/>
        <v>0</v>
      </c>
      <c r="R327" s="494" t="e">
        <f t="shared" si="103"/>
        <v>#DIV/0!</v>
      </c>
      <c r="S327" s="494">
        <f t="shared" si="104"/>
        <v>0</v>
      </c>
      <c r="T327" s="494"/>
      <c r="U327" s="494">
        <f t="shared" si="105"/>
        <v>0</v>
      </c>
      <c r="V327" s="494">
        <f t="shared" si="106"/>
        <v>0</v>
      </c>
      <c r="W327" s="494" t="e">
        <f t="shared" si="128"/>
        <v>#DIV/0!</v>
      </c>
      <c r="X327" s="494" t="e">
        <f t="shared" si="107"/>
        <v>#DIV/0!</v>
      </c>
      <c r="Y327" s="494">
        <f t="shared" si="108"/>
        <v>0</v>
      </c>
      <c r="Z327" s="494">
        <f t="shared" si="109"/>
        <v>0</v>
      </c>
      <c r="AA327" s="494"/>
      <c r="AB327" s="494"/>
      <c r="AC327" s="494"/>
      <c r="AD327" s="494"/>
      <c r="AE327" s="494"/>
      <c r="AF327" s="494"/>
      <c r="AG327" s="494">
        <f t="shared" si="110"/>
        <v>0</v>
      </c>
      <c r="AH327" s="494" t="e">
        <f t="shared" si="129"/>
        <v>#DIV/0!</v>
      </c>
      <c r="AI327" s="494">
        <f t="shared" si="111"/>
        <v>0</v>
      </c>
      <c r="AJ327" s="494">
        <f t="shared" si="112"/>
        <v>0</v>
      </c>
      <c r="AK327" s="494">
        <f t="shared" si="113"/>
        <v>0</v>
      </c>
      <c r="AL327" s="494">
        <f t="shared" si="114"/>
        <v>0</v>
      </c>
      <c r="AM327" s="494">
        <f t="shared" si="115"/>
        <v>0</v>
      </c>
      <c r="AN327" s="494">
        <f t="shared" si="116"/>
        <v>0</v>
      </c>
      <c r="AO327" s="494">
        <f t="shared" si="117"/>
        <v>0</v>
      </c>
      <c r="AP327" s="494" t="e">
        <f t="shared" si="118"/>
        <v>#DIV/0!</v>
      </c>
      <c r="AQ327" s="494" t="e">
        <f t="shared" si="119"/>
        <v>#DIV/0!</v>
      </c>
      <c r="AR327" s="494" t="e">
        <f t="shared" si="120"/>
        <v>#DIV/0!</v>
      </c>
      <c r="AS327" s="494">
        <f t="shared" si="121"/>
        <v>0</v>
      </c>
      <c r="AT327" s="494">
        <f t="shared" si="122"/>
        <v>0</v>
      </c>
      <c r="AU327" s="560">
        <v>7</v>
      </c>
      <c r="AV327" s="598">
        <v>0.63</v>
      </c>
      <c r="AW327" s="598">
        <v>744</v>
      </c>
      <c r="AX327" s="598">
        <f>Iniciar!T64/AW327*24+'Carga e Rede'!$AH$67</f>
        <v>0</v>
      </c>
      <c r="AY327" s="598">
        <f t="shared" si="123"/>
        <v>9</v>
      </c>
      <c r="AZ327" s="561">
        <f>Iniciar!U64/AW327*24+'Carga e Rede'!$AI$171</f>
        <v>11.8</v>
      </c>
      <c r="BA327" s="319"/>
    </row>
    <row r="328" spans="1:53" ht="13.2" hidden="1">
      <c r="A328" s="319"/>
      <c r="B328" s="319" t="s">
        <v>4106</v>
      </c>
      <c r="C328" s="319">
        <v>732</v>
      </c>
      <c r="D328" s="477">
        <f>'Carga e Rede'!AX328*VLOOKUP('Carga e Rede'!AY328,'Carga e Rede'!$AU$321:$AV$332,2)/$AG$58</f>
        <v>0</v>
      </c>
      <c r="E328" s="494">
        <f t="shared" si="95"/>
        <v>0</v>
      </c>
      <c r="F328" s="319">
        <f t="shared" si="124"/>
        <v>0</v>
      </c>
      <c r="G328" s="319">
        <f t="shared" si="125"/>
        <v>0</v>
      </c>
      <c r="H328" s="319">
        <f t="shared" si="96"/>
        <v>0</v>
      </c>
      <c r="I328" s="319">
        <f t="shared" si="126"/>
        <v>0</v>
      </c>
      <c r="J328" s="494">
        <f t="shared" si="97"/>
        <v>0</v>
      </c>
      <c r="K328" s="742">
        <f>'Carga e Rede'!AZ328/(Iniciar!$P$53-10)</f>
        <v>0.55399061032863861</v>
      </c>
      <c r="L328" s="494">
        <f t="shared" si="98"/>
        <v>0</v>
      </c>
      <c r="M328" s="494">
        <f t="shared" si="127"/>
        <v>0</v>
      </c>
      <c r="N328" s="494">
        <f t="shared" si="99"/>
        <v>0</v>
      </c>
      <c r="O328" s="494">
        <f t="shared" si="100"/>
        <v>0</v>
      </c>
      <c r="P328" s="494">
        <f t="shared" si="101"/>
        <v>0</v>
      </c>
      <c r="Q328" s="494">
        <f t="shared" si="102"/>
        <v>0</v>
      </c>
      <c r="R328" s="494" t="e">
        <f t="shared" si="103"/>
        <v>#DIV/0!</v>
      </c>
      <c r="S328" s="494">
        <f t="shared" si="104"/>
        <v>0</v>
      </c>
      <c r="T328" s="494"/>
      <c r="U328" s="494">
        <f t="shared" si="105"/>
        <v>0</v>
      </c>
      <c r="V328" s="494">
        <f t="shared" si="106"/>
        <v>0</v>
      </c>
      <c r="W328" s="494" t="e">
        <f t="shared" si="128"/>
        <v>#DIV/0!</v>
      </c>
      <c r="X328" s="494" t="e">
        <f t="shared" si="107"/>
        <v>#DIV/0!</v>
      </c>
      <c r="Y328" s="494">
        <f t="shared" si="108"/>
        <v>0</v>
      </c>
      <c r="Z328" s="494">
        <f t="shared" si="109"/>
        <v>0</v>
      </c>
      <c r="AA328" s="494"/>
      <c r="AB328" s="494"/>
      <c r="AC328" s="494"/>
      <c r="AD328" s="494"/>
      <c r="AE328" s="494"/>
      <c r="AF328" s="494"/>
      <c r="AG328" s="494">
        <f t="shared" si="110"/>
        <v>0</v>
      </c>
      <c r="AH328" s="494" t="e">
        <f t="shared" si="129"/>
        <v>#DIV/0!</v>
      </c>
      <c r="AI328" s="494">
        <f t="shared" si="111"/>
        <v>0</v>
      </c>
      <c r="AJ328" s="494">
        <f t="shared" si="112"/>
        <v>0</v>
      </c>
      <c r="AK328" s="494">
        <f t="shared" si="113"/>
        <v>0</v>
      </c>
      <c r="AL328" s="494">
        <f t="shared" si="114"/>
        <v>0</v>
      </c>
      <c r="AM328" s="494">
        <f t="shared" si="115"/>
        <v>0</v>
      </c>
      <c r="AN328" s="494">
        <f t="shared" si="116"/>
        <v>0</v>
      </c>
      <c r="AO328" s="494">
        <f t="shared" si="117"/>
        <v>0</v>
      </c>
      <c r="AP328" s="494" t="e">
        <f t="shared" si="118"/>
        <v>#DIV/0!</v>
      </c>
      <c r="AQ328" s="494" t="e">
        <f t="shared" si="119"/>
        <v>#DIV/0!</v>
      </c>
      <c r="AR328" s="494" t="e">
        <f t="shared" si="120"/>
        <v>#DIV/0!</v>
      </c>
      <c r="AS328" s="494">
        <f t="shared" si="121"/>
        <v>0</v>
      </c>
      <c r="AT328" s="494">
        <f t="shared" si="122"/>
        <v>0</v>
      </c>
      <c r="AU328" s="560">
        <v>8</v>
      </c>
      <c r="AV328" s="598">
        <v>0.62</v>
      </c>
      <c r="AW328" s="598">
        <v>744</v>
      </c>
      <c r="AX328" s="598">
        <f>Iniciar!T65/AW328*24+'Carga e Rede'!$AH$67</f>
        <v>0</v>
      </c>
      <c r="AY328" s="598">
        <f t="shared" si="123"/>
        <v>9</v>
      </c>
      <c r="AZ328" s="561">
        <f>Iniciar!U65/AW328*24+'Carga e Rede'!$AI$171</f>
        <v>11.8</v>
      </c>
      <c r="BA328" s="319"/>
    </row>
    <row r="329" spans="1:53" ht="13.2" hidden="1">
      <c r="A329" s="319"/>
      <c r="B329" s="319" t="s">
        <v>1783</v>
      </c>
      <c r="C329" s="319">
        <v>708</v>
      </c>
      <c r="D329" s="477">
        <f>'Carga e Rede'!AX329*VLOOKUP('Carga e Rede'!AY329,'Carga e Rede'!$AU$321:$AV$332,2)/$AG$58</f>
        <v>0</v>
      </c>
      <c r="E329" s="494">
        <f t="shared" si="95"/>
        <v>0</v>
      </c>
      <c r="F329" s="319">
        <f t="shared" si="124"/>
        <v>0</v>
      </c>
      <c r="G329" s="319">
        <f t="shared" si="125"/>
        <v>0</v>
      </c>
      <c r="H329" s="319">
        <f t="shared" si="96"/>
        <v>0</v>
      </c>
      <c r="I329" s="319">
        <f t="shared" si="126"/>
        <v>0</v>
      </c>
      <c r="J329" s="494">
        <f t="shared" si="97"/>
        <v>0</v>
      </c>
      <c r="K329" s="742">
        <f>'Carga e Rede'!AZ329/(Iniciar!$P$53-10)</f>
        <v>0.50704225352112686</v>
      </c>
      <c r="L329" s="494">
        <f t="shared" si="98"/>
        <v>0</v>
      </c>
      <c r="M329" s="494">
        <f t="shared" si="127"/>
        <v>0</v>
      </c>
      <c r="N329" s="494">
        <f t="shared" si="99"/>
        <v>0</v>
      </c>
      <c r="O329" s="494">
        <f t="shared" si="100"/>
        <v>0</v>
      </c>
      <c r="P329" s="494">
        <f t="shared" si="101"/>
        <v>0</v>
      </c>
      <c r="Q329" s="494">
        <f t="shared" si="102"/>
        <v>0</v>
      </c>
      <c r="R329" s="494" t="e">
        <f t="shared" si="103"/>
        <v>#DIV/0!</v>
      </c>
      <c r="S329" s="494">
        <f t="shared" si="104"/>
        <v>0</v>
      </c>
      <c r="T329" s="494"/>
      <c r="U329" s="494">
        <f t="shared" si="105"/>
        <v>0</v>
      </c>
      <c r="V329" s="494">
        <f t="shared" si="106"/>
        <v>0</v>
      </c>
      <c r="W329" s="494" t="e">
        <f t="shared" si="128"/>
        <v>#DIV/0!</v>
      </c>
      <c r="X329" s="494" t="e">
        <f t="shared" si="107"/>
        <v>#DIV/0!</v>
      </c>
      <c r="Y329" s="494">
        <f t="shared" si="108"/>
        <v>0</v>
      </c>
      <c r="Z329" s="494">
        <f t="shared" si="109"/>
        <v>0</v>
      </c>
      <c r="AA329" s="494"/>
      <c r="AB329" s="494"/>
      <c r="AC329" s="494"/>
      <c r="AD329" s="494"/>
      <c r="AE329" s="494"/>
      <c r="AF329" s="494"/>
      <c r="AG329" s="494">
        <f t="shared" si="110"/>
        <v>0</v>
      </c>
      <c r="AH329" s="494" t="e">
        <f t="shared" si="129"/>
        <v>#DIV/0!</v>
      </c>
      <c r="AI329" s="494">
        <f t="shared" si="111"/>
        <v>0</v>
      </c>
      <c r="AJ329" s="494">
        <f t="shared" si="112"/>
        <v>0</v>
      </c>
      <c r="AK329" s="494">
        <f t="shared" si="113"/>
        <v>0</v>
      </c>
      <c r="AL329" s="494">
        <f t="shared" si="114"/>
        <v>0</v>
      </c>
      <c r="AM329" s="494">
        <f t="shared" si="115"/>
        <v>0</v>
      </c>
      <c r="AN329" s="494">
        <f t="shared" si="116"/>
        <v>0</v>
      </c>
      <c r="AO329" s="494">
        <f t="shared" si="117"/>
        <v>0</v>
      </c>
      <c r="AP329" s="494" t="e">
        <f t="shared" si="118"/>
        <v>#DIV/0!</v>
      </c>
      <c r="AQ329" s="494" t="e">
        <f t="shared" si="119"/>
        <v>#DIV/0!</v>
      </c>
      <c r="AR329" s="494" t="e">
        <f t="shared" si="120"/>
        <v>#DIV/0!</v>
      </c>
      <c r="AS329" s="494">
        <f t="shared" si="121"/>
        <v>0</v>
      </c>
      <c r="AT329" s="494">
        <f t="shared" si="122"/>
        <v>0</v>
      </c>
      <c r="AU329" s="560">
        <v>9</v>
      </c>
      <c r="AV329" s="598">
        <v>0.61</v>
      </c>
      <c r="AW329" s="598">
        <v>720</v>
      </c>
      <c r="AX329" s="598">
        <f>Iniciar!T66/AW329*24+'Carga e Rede'!$AH$67</f>
        <v>0</v>
      </c>
      <c r="AY329" s="598">
        <f t="shared" si="123"/>
        <v>9</v>
      </c>
      <c r="AZ329" s="561">
        <f>Iniciar!U66/AW329*24+'Carga e Rede'!$AI$171</f>
        <v>10.8</v>
      </c>
      <c r="BA329" s="319"/>
    </row>
    <row r="330" spans="1:53" ht="13.2" hidden="1">
      <c r="A330" s="319"/>
      <c r="B330" s="319" t="s">
        <v>5311</v>
      </c>
      <c r="C330" s="319">
        <v>732</v>
      </c>
      <c r="D330" s="477">
        <f>'Carga e Rede'!AX330*VLOOKUP('Carga e Rede'!AY330,'Carga e Rede'!$AU$321:$AV$332,2)/$AG$58</f>
        <v>2.530612244897959E-2</v>
      </c>
      <c r="E330" s="494">
        <f t="shared" si="95"/>
        <v>0</v>
      </c>
      <c r="F330" s="319">
        <f t="shared" si="124"/>
        <v>0</v>
      </c>
      <c r="G330" s="319">
        <f t="shared" si="125"/>
        <v>0</v>
      </c>
      <c r="H330" s="319">
        <f t="shared" si="96"/>
        <v>0</v>
      </c>
      <c r="I330" s="319">
        <f t="shared" si="126"/>
        <v>0</v>
      </c>
      <c r="J330" s="494">
        <f t="shared" si="97"/>
        <v>0</v>
      </c>
      <c r="K330" s="742">
        <f>'Carga e Rede'!AZ330/(Iniciar!$P$53-10)</f>
        <v>0.34741784037558693</v>
      </c>
      <c r="L330" s="494">
        <f t="shared" si="98"/>
        <v>0</v>
      </c>
      <c r="M330" s="494">
        <f t="shared" si="127"/>
        <v>0</v>
      </c>
      <c r="N330" s="494">
        <f t="shared" si="99"/>
        <v>0</v>
      </c>
      <c r="O330" s="494">
        <f t="shared" si="100"/>
        <v>0</v>
      </c>
      <c r="P330" s="494">
        <f t="shared" si="101"/>
        <v>0</v>
      </c>
      <c r="Q330" s="494">
        <f t="shared" si="102"/>
        <v>0</v>
      </c>
      <c r="R330" s="494" t="e">
        <f t="shared" si="103"/>
        <v>#DIV/0!</v>
      </c>
      <c r="S330" s="494">
        <f t="shared" si="104"/>
        <v>0</v>
      </c>
      <c r="T330" s="494"/>
      <c r="U330" s="494">
        <f t="shared" si="105"/>
        <v>0</v>
      </c>
      <c r="V330" s="494">
        <f t="shared" si="106"/>
        <v>0</v>
      </c>
      <c r="W330" s="494" t="e">
        <f t="shared" si="128"/>
        <v>#DIV/0!</v>
      </c>
      <c r="X330" s="494" t="e">
        <f t="shared" si="107"/>
        <v>#DIV/0!</v>
      </c>
      <c r="Y330" s="494">
        <f t="shared" si="108"/>
        <v>0</v>
      </c>
      <c r="Z330" s="494">
        <f t="shared" si="109"/>
        <v>0</v>
      </c>
      <c r="AA330" s="494"/>
      <c r="AB330" s="494"/>
      <c r="AC330" s="494"/>
      <c r="AD330" s="494"/>
      <c r="AE330" s="494"/>
      <c r="AF330" s="494"/>
      <c r="AG330" s="494">
        <f t="shared" si="110"/>
        <v>0</v>
      </c>
      <c r="AH330" s="494" t="e">
        <f t="shared" si="129"/>
        <v>#DIV/0!</v>
      </c>
      <c r="AI330" s="494">
        <f t="shared" si="111"/>
        <v>0</v>
      </c>
      <c r="AJ330" s="494">
        <f t="shared" si="112"/>
        <v>0</v>
      </c>
      <c r="AK330" s="494">
        <f t="shared" si="113"/>
        <v>0</v>
      </c>
      <c r="AL330" s="494">
        <f t="shared" si="114"/>
        <v>0</v>
      </c>
      <c r="AM330" s="494">
        <f t="shared" si="115"/>
        <v>0</v>
      </c>
      <c r="AN330" s="494">
        <f t="shared" si="116"/>
        <v>0</v>
      </c>
      <c r="AO330" s="494">
        <f t="shared" si="117"/>
        <v>0</v>
      </c>
      <c r="AP330" s="494" t="e">
        <f t="shared" si="118"/>
        <v>#DIV/0!</v>
      </c>
      <c r="AQ330" s="494" t="e">
        <f t="shared" si="119"/>
        <v>#DIV/0!</v>
      </c>
      <c r="AR330" s="494" t="e">
        <f t="shared" si="120"/>
        <v>#DIV/0!</v>
      </c>
      <c r="AS330" s="494">
        <f t="shared" si="121"/>
        <v>0</v>
      </c>
      <c r="AT330" s="494">
        <f t="shared" si="122"/>
        <v>0</v>
      </c>
      <c r="AU330" s="560">
        <v>10</v>
      </c>
      <c r="AV330" s="598">
        <v>0.59</v>
      </c>
      <c r="AW330" s="598">
        <v>744</v>
      </c>
      <c r="AX330" s="598">
        <f>Iniciar!T67/AW330*24+'Carga e Rede'!$AH$67</f>
        <v>0.60000000000000009</v>
      </c>
      <c r="AY330" s="598">
        <f t="shared" si="123"/>
        <v>8</v>
      </c>
      <c r="AZ330" s="561">
        <f>Iniciar!U67/AW330*24+'Carga e Rede'!$AI$171</f>
        <v>7.4</v>
      </c>
      <c r="BA330" s="319"/>
    </row>
    <row r="331" spans="1:53" ht="13.2" hidden="1">
      <c r="A331" s="319"/>
      <c r="B331" s="319" t="s">
        <v>3081</v>
      </c>
      <c r="C331" s="319">
        <v>708</v>
      </c>
      <c r="D331" s="477">
        <f>'Carga e Rede'!AX331*VLOOKUP('Carga e Rede'!AY331,'Carga e Rede'!$AU$321:$AV$332,2)/$AG$58</f>
        <v>0.22448979591836732</v>
      </c>
      <c r="E331" s="494">
        <f t="shared" si="95"/>
        <v>0</v>
      </c>
      <c r="F331" s="319">
        <f t="shared" si="124"/>
        <v>0</v>
      </c>
      <c r="G331" s="319">
        <f t="shared" si="125"/>
        <v>0</v>
      </c>
      <c r="H331" s="319">
        <f t="shared" si="96"/>
        <v>0</v>
      </c>
      <c r="I331" s="319">
        <f t="shared" si="126"/>
        <v>0</v>
      </c>
      <c r="J331" s="494">
        <f t="shared" si="97"/>
        <v>0</v>
      </c>
      <c r="K331" s="742">
        <f>'Carga e Rede'!AZ331/(Iniciar!$P$53-10)</f>
        <v>0.14084507042253522</v>
      </c>
      <c r="L331" s="494">
        <f t="shared" si="98"/>
        <v>0</v>
      </c>
      <c r="M331" s="494">
        <f t="shared" si="127"/>
        <v>0</v>
      </c>
      <c r="N331" s="494">
        <f t="shared" si="99"/>
        <v>0</v>
      </c>
      <c r="O331" s="494">
        <f t="shared" si="100"/>
        <v>0</v>
      </c>
      <c r="P331" s="494">
        <f t="shared" si="101"/>
        <v>0</v>
      </c>
      <c r="Q331" s="494">
        <f t="shared" si="102"/>
        <v>0</v>
      </c>
      <c r="R331" s="494" t="e">
        <f t="shared" si="103"/>
        <v>#DIV/0!</v>
      </c>
      <c r="S331" s="494">
        <f t="shared" si="104"/>
        <v>0</v>
      </c>
      <c r="T331" s="494"/>
      <c r="U331" s="494">
        <f t="shared" si="105"/>
        <v>0</v>
      </c>
      <c r="V331" s="494">
        <f t="shared" si="106"/>
        <v>0</v>
      </c>
      <c r="W331" s="494" t="e">
        <f t="shared" si="128"/>
        <v>#DIV/0!</v>
      </c>
      <c r="X331" s="494" t="e">
        <f t="shared" si="107"/>
        <v>#DIV/0!</v>
      </c>
      <c r="Y331" s="494">
        <f t="shared" si="108"/>
        <v>0</v>
      </c>
      <c r="Z331" s="494">
        <f t="shared" si="109"/>
        <v>0</v>
      </c>
      <c r="AA331" s="494"/>
      <c r="AB331" s="494"/>
      <c r="AC331" s="494"/>
      <c r="AD331" s="494"/>
      <c r="AE331" s="494"/>
      <c r="AF331" s="494"/>
      <c r="AG331" s="494">
        <f t="shared" si="110"/>
        <v>0</v>
      </c>
      <c r="AH331" s="494" t="e">
        <f t="shared" si="129"/>
        <v>#DIV/0!</v>
      </c>
      <c r="AI331" s="494">
        <f t="shared" si="111"/>
        <v>0</v>
      </c>
      <c r="AJ331" s="494">
        <f t="shared" si="112"/>
        <v>0</v>
      </c>
      <c r="AK331" s="494">
        <f t="shared" si="113"/>
        <v>0</v>
      </c>
      <c r="AL331" s="494">
        <f t="shared" si="114"/>
        <v>0</v>
      </c>
      <c r="AM331" s="494">
        <f t="shared" si="115"/>
        <v>0</v>
      </c>
      <c r="AN331" s="494">
        <f t="shared" si="116"/>
        <v>0</v>
      </c>
      <c r="AO331" s="494">
        <f t="shared" si="117"/>
        <v>0</v>
      </c>
      <c r="AP331" s="494" t="e">
        <f t="shared" si="118"/>
        <v>#DIV/0!</v>
      </c>
      <c r="AQ331" s="494" t="e">
        <f t="shared" si="119"/>
        <v>#DIV/0!</v>
      </c>
      <c r="AR331" s="494" t="e">
        <f t="shared" si="120"/>
        <v>#DIV/0!</v>
      </c>
      <c r="AS331" s="494">
        <f t="shared" si="121"/>
        <v>0</v>
      </c>
      <c r="AT331" s="494">
        <f t="shared" si="122"/>
        <v>0</v>
      </c>
      <c r="AU331" s="560">
        <v>11</v>
      </c>
      <c r="AV331" s="598">
        <v>0.59</v>
      </c>
      <c r="AW331" s="598">
        <v>720</v>
      </c>
      <c r="AX331" s="598">
        <f>Iniciar!T68/AW331*24+'Carga e Rede'!$AH$67</f>
        <v>5</v>
      </c>
      <c r="AY331" s="598">
        <f t="shared" si="123"/>
        <v>5</v>
      </c>
      <c r="AZ331" s="561">
        <f>Iniciar!U68/AW331*24+'Carga e Rede'!$AI$171</f>
        <v>3</v>
      </c>
      <c r="BA331" s="319"/>
    </row>
    <row r="332" spans="1:53" ht="13.2" hidden="1">
      <c r="A332" s="319"/>
      <c r="B332" s="319" t="s">
        <v>2515</v>
      </c>
      <c r="C332" s="319">
        <v>732</v>
      </c>
      <c r="D332" s="477">
        <f>'Carga e Rede'!AX332*VLOOKUP('Carga e Rede'!AY332,'Carga e Rede'!$AU$321:$AV$332,2)/$AG$58</f>
        <v>0.40326530612244887</v>
      </c>
      <c r="E332" s="494">
        <f t="shared" si="95"/>
        <v>0</v>
      </c>
      <c r="F332" s="319">
        <f t="shared" si="124"/>
        <v>0</v>
      </c>
      <c r="G332" s="319">
        <f t="shared" si="125"/>
        <v>0</v>
      </c>
      <c r="H332" s="319">
        <f t="shared" si="96"/>
        <v>0</v>
      </c>
      <c r="I332" s="319">
        <f t="shared" si="126"/>
        <v>0</v>
      </c>
      <c r="J332" s="494">
        <f t="shared" si="97"/>
        <v>0</v>
      </c>
      <c r="K332" s="742">
        <f>'Carga e Rede'!AZ332/(Iniciar!$P$53-10)</f>
        <v>1.8779342723004699E-2</v>
      </c>
      <c r="L332" s="494">
        <f t="shared" si="98"/>
        <v>0</v>
      </c>
      <c r="M332" s="494">
        <f t="shared" si="127"/>
        <v>0</v>
      </c>
      <c r="N332" s="494">
        <f t="shared" si="99"/>
        <v>0</v>
      </c>
      <c r="O332" s="494">
        <f t="shared" si="100"/>
        <v>0</v>
      </c>
      <c r="P332" s="494">
        <f t="shared" si="101"/>
        <v>0</v>
      </c>
      <c r="Q332" s="494">
        <f t="shared" si="102"/>
        <v>0</v>
      </c>
      <c r="R332" s="494" t="e">
        <f t="shared" si="103"/>
        <v>#DIV/0!</v>
      </c>
      <c r="S332" s="494">
        <f t="shared" si="104"/>
        <v>0</v>
      </c>
      <c r="T332" s="494"/>
      <c r="U332" s="494">
        <f t="shared" si="105"/>
        <v>0</v>
      </c>
      <c r="V332" s="494">
        <f t="shared" si="106"/>
        <v>0</v>
      </c>
      <c r="W332" s="494" t="e">
        <f t="shared" si="128"/>
        <v>#DIV/0!</v>
      </c>
      <c r="X332" s="494" t="e">
        <f t="shared" si="107"/>
        <v>#DIV/0!</v>
      </c>
      <c r="Y332" s="494">
        <f t="shared" si="108"/>
        <v>0</v>
      </c>
      <c r="Z332" s="494">
        <f t="shared" si="109"/>
        <v>0</v>
      </c>
      <c r="AA332" s="494"/>
      <c r="AB332" s="494"/>
      <c r="AC332" s="494"/>
      <c r="AD332" s="494"/>
      <c r="AE332" s="494"/>
      <c r="AF332" s="494"/>
      <c r="AG332" s="494">
        <f t="shared" si="110"/>
        <v>0</v>
      </c>
      <c r="AH332" s="494" t="e">
        <f t="shared" si="129"/>
        <v>#DIV/0!</v>
      </c>
      <c r="AI332" s="494">
        <f t="shared" si="111"/>
        <v>0</v>
      </c>
      <c r="AJ332" s="494">
        <f t="shared" si="112"/>
        <v>0</v>
      </c>
      <c r="AK332" s="494">
        <f t="shared" si="113"/>
        <v>0</v>
      </c>
      <c r="AL332" s="494">
        <f t="shared" si="114"/>
        <v>0</v>
      </c>
      <c r="AM332" s="494">
        <f t="shared" si="115"/>
        <v>0</v>
      </c>
      <c r="AN332" s="494">
        <f t="shared" si="116"/>
        <v>0</v>
      </c>
      <c r="AO332" s="494">
        <f t="shared" si="117"/>
        <v>0</v>
      </c>
      <c r="AP332" s="494" t="e">
        <f t="shared" si="118"/>
        <v>#DIV/0!</v>
      </c>
      <c r="AQ332" s="494" t="e">
        <f t="shared" si="119"/>
        <v>#DIV/0!</v>
      </c>
      <c r="AR332" s="494" t="e">
        <f t="shared" si="120"/>
        <v>#DIV/0!</v>
      </c>
      <c r="AS332" s="494">
        <f t="shared" si="121"/>
        <v>0</v>
      </c>
      <c r="AT332" s="494">
        <f t="shared" si="122"/>
        <v>0</v>
      </c>
      <c r="AU332" s="843">
        <v>12</v>
      </c>
      <c r="AV332" s="844">
        <v>0.49</v>
      </c>
      <c r="AW332" s="844">
        <v>744</v>
      </c>
      <c r="AX332" s="844">
        <f>Iniciar!T69/AW332*24+'Carga e Rede'!$AH$67</f>
        <v>7.6</v>
      </c>
      <c r="AY332" s="844">
        <f t="shared" si="123"/>
        <v>2</v>
      </c>
      <c r="AZ332" s="561">
        <f>Iniciar!U69/AW332*24+'Carga e Rede'!$AI$171</f>
        <v>0.4</v>
      </c>
      <c r="BA332" s="319"/>
    </row>
    <row r="333" spans="1:53" ht="13.2" hidden="1">
      <c r="A333" s="319"/>
      <c r="B333" s="319" t="s">
        <v>1576</v>
      </c>
      <c r="C333" s="319">
        <v>143</v>
      </c>
      <c r="D333" s="319">
        <v>1</v>
      </c>
      <c r="E333" s="494">
        <f t="shared" si="95"/>
        <v>0</v>
      </c>
      <c r="F333" s="319">
        <f>IF(G319=0,0,F319*C333)</f>
        <v>0</v>
      </c>
      <c r="G333" s="319">
        <f t="shared" si="125"/>
        <v>0</v>
      </c>
      <c r="H333" s="319">
        <f>IF(H319=0,0,C333*F319)</f>
        <v>0</v>
      </c>
      <c r="I333" s="319">
        <f>H333/C333</f>
        <v>0</v>
      </c>
      <c r="J333" s="494">
        <f t="shared" si="97"/>
        <v>0</v>
      </c>
      <c r="K333" s="742">
        <v>1</v>
      </c>
      <c r="L333" s="494">
        <f t="shared" si="98"/>
        <v>0</v>
      </c>
      <c r="M333" s="494">
        <f>IF($N$319=0,0,$M$319*C333)</f>
        <v>0</v>
      </c>
      <c r="N333" s="494">
        <f t="shared" si="99"/>
        <v>0</v>
      </c>
      <c r="O333" s="494">
        <f>IF(O319=0,0,C333*M319)</f>
        <v>0</v>
      </c>
      <c r="P333" s="494">
        <f t="shared" si="101"/>
        <v>0</v>
      </c>
      <c r="Q333" s="494">
        <f t="shared" si="102"/>
        <v>0</v>
      </c>
      <c r="R333" s="494" t="e">
        <f t="shared" si="103"/>
        <v>#DIV/0!</v>
      </c>
      <c r="S333" s="494">
        <f t="shared" si="104"/>
        <v>0</v>
      </c>
      <c r="T333" s="494"/>
      <c r="U333" s="494">
        <f t="shared" si="105"/>
        <v>0</v>
      </c>
      <c r="V333" s="494">
        <f t="shared" si="106"/>
        <v>0</v>
      </c>
      <c r="W333" s="494" t="e">
        <f t="shared" si="128"/>
        <v>#DIV/0!</v>
      </c>
      <c r="X333" s="494" t="e">
        <f t="shared" si="107"/>
        <v>#DIV/0!</v>
      </c>
      <c r="Y333" s="494">
        <f t="shared" si="108"/>
        <v>0</v>
      </c>
      <c r="Z333" s="494">
        <f t="shared" si="109"/>
        <v>0</v>
      </c>
      <c r="AA333" s="494"/>
      <c r="AB333" s="494"/>
      <c r="AC333" s="494"/>
      <c r="AD333" s="494"/>
      <c r="AE333" s="494"/>
      <c r="AF333" s="494"/>
      <c r="AG333" s="494">
        <f t="shared" si="110"/>
        <v>0</v>
      </c>
      <c r="AH333" s="494" t="e">
        <f>X333+Y333+Z333+AG333</f>
        <v>#DIV/0!</v>
      </c>
      <c r="AI333" s="494">
        <f t="shared" si="111"/>
        <v>0</v>
      </c>
      <c r="AJ333" s="494">
        <f>D244-AI333</f>
        <v>0</v>
      </c>
      <c r="AK333" s="494">
        <f>IF(OR(HideCode_projectType2=1,HideCode_projectType2=3,HideCode_projectType2=6),0,N243)</f>
        <v>0</v>
      </c>
      <c r="AL333" s="494">
        <f>IF(OR(HideCode_projectType2=2,HideCode_projectType2=3,HideCode_projectType2=5),0,R244)</f>
        <v>0</v>
      </c>
      <c r="AM333" s="494">
        <f>IF(OR(HideCode_projectType2&lt;3,HideCode_projectType2=4),0,O244)</f>
        <v>0</v>
      </c>
      <c r="AN333" s="494">
        <f t="shared" si="116"/>
        <v>0</v>
      </c>
      <c r="AO333" s="494">
        <f t="shared" si="117"/>
        <v>0</v>
      </c>
      <c r="AP333" s="494" t="e">
        <f t="shared" si="118"/>
        <v>#DIV/0!</v>
      </c>
      <c r="AQ333" s="494" t="e">
        <f t="shared" si="119"/>
        <v>#DIV/0!</v>
      </c>
      <c r="AR333" s="494" t="e">
        <f t="shared" si="120"/>
        <v>#DIV/0!</v>
      </c>
      <c r="AS333" s="494">
        <f t="shared" si="121"/>
        <v>0</v>
      </c>
      <c r="AT333" s="494">
        <f t="shared" si="122"/>
        <v>0</v>
      </c>
      <c r="AU333" s="319"/>
      <c r="AV333" s="319"/>
      <c r="AW333" s="319"/>
      <c r="AX333" s="319"/>
      <c r="AY333" s="319"/>
      <c r="AZ333" s="319"/>
      <c r="BA333" s="319"/>
    </row>
    <row r="334" spans="1:53" ht="13.2" hidden="1">
      <c r="A334" s="319"/>
      <c r="B334" s="319"/>
      <c r="C334" s="319">
        <f>SUM(C321:C333)</f>
        <v>8760</v>
      </c>
      <c r="D334" s="319"/>
      <c r="E334" s="319"/>
      <c r="F334" s="319">
        <f>SUM(F321:F333)</f>
        <v>0</v>
      </c>
      <c r="G334" s="319"/>
      <c r="H334" s="319">
        <f>SUM(H321:H333)</f>
        <v>0</v>
      </c>
      <c r="I334" s="319"/>
      <c r="J334" s="494"/>
      <c r="K334" s="319"/>
      <c r="L334" s="494"/>
      <c r="M334" s="494"/>
      <c r="N334" s="494"/>
      <c r="O334" s="494">
        <f>SUM(O321:O333)</f>
        <v>0</v>
      </c>
      <c r="P334" s="494"/>
      <c r="Q334" s="494"/>
      <c r="R334" s="494"/>
      <c r="S334" s="494"/>
      <c r="T334" s="494"/>
      <c r="U334" s="494"/>
      <c r="V334" s="494"/>
      <c r="W334" s="494"/>
      <c r="X334" s="494"/>
      <c r="Y334" s="494"/>
      <c r="Z334" s="494"/>
      <c r="AA334" s="494"/>
      <c r="AB334" s="494"/>
      <c r="AC334" s="494"/>
      <c r="AD334" s="494"/>
      <c r="AE334" s="494"/>
      <c r="AF334" s="494"/>
      <c r="AG334" s="494"/>
      <c r="AH334" s="494"/>
      <c r="AI334" s="494"/>
      <c r="AJ334" s="494"/>
      <c r="AK334" s="494"/>
      <c r="AL334" s="494"/>
      <c r="AM334" s="494"/>
      <c r="AN334" s="494"/>
      <c r="AO334" s="494"/>
      <c r="AP334" s="494"/>
      <c r="AQ334" s="494"/>
      <c r="AR334" s="494"/>
      <c r="AS334" s="494"/>
      <c r="AT334" s="494"/>
      <c r="AU334" s="319"/>
      <c r="AV334" s="319"/>
      <c r="AW334" s="319"/>
      <c r="AX334" s="319"/>
      <c r="AY334" s="319"/>
      <c r="AZ334" s="319"/>
      <c r="BA334" s="319"/>
    </row>
    <row r="335" spans="1:53" ht="13.2" hidden="1">
      <c r="A335" s="319"/>
      <c r="B335" s="319"/>
      <c r="C335" s="319" t="s">
        <v>2745</v>
      </c>
      <c r="D335" s="494">
        <f>SUMPRODUCT(C321:C333,D321:D333*E319/1000)</f>
        <v>0</v>
      </c>
      <c r="E335" s="494">
        <f>SUMPRODUCT($C$321:$C$333,E321:E333)/1000</f>
        <v>0</v>
      </c>
      <c r="F335" s="319"/>
      <c r="G335" s="319">
        <f>SUMPRODUCT($C$321:$C$333,G321:G333)/1000</f>
        <v>0</v>
      </c>
      <c r="H335" s="319"/>
      <c r="I335" s="319">
        <f>SUMPRODUCT($C$321:$C$333,I321:I333)/1000</f>
        <v>0</v>
      </c>
      <c r="J335" s="494">
        <f>SUMPRODUCT($C$321:$C$333,J321:J333)/1000</f>
        <v>0</v>
      </c>
      <c r="K335" s="319"/>
      <c r="L335" s="494">
        <f>SUMPRODUCT($C$321:$C$333,L321:L333)/1000</f>
        <v>0</v>
      </c>
      <c r="M335" s="494"/>
      <c r="N335" s="494">
        <f>SUMPRODUCT($C$321:$C$333,N321:N333)/1000</f>
        <v>0</v>
      </c>
      <c r="O335" s="494"/>
      <c r="P335" s="494">
        <f>SUMPRODUCT($C$321:$C$333,P321:P333)/1000</f>
        <v>0</v>
      </c>
      <c r="Q335" s="494">
        <f>SUMPRODUCT($C$321:$C$333,Q321:Q333)/1000</f>
        <v>0</v>
      </c>
      <c r="R335" s="494"/>
      <c r="S335" s="494">
        <f>SUMPRODUCT($C$321:$C$333,S321:S333)/1000</f>
        <v>0</v>
      </c>
      <c r="T335" s="494"/>
      <c r="U335" s="494">
        <f>SUMPRODUCT($C$321:$C$333,U321:U333)/1000</f>
        <v>0</v>
      </c>
      <c r="V335" s="494">
        <f>SUMPRODUCT($C$321:$C$333,V321:V333)/1000</f>
        <v>0</v>
      </c>
      <c r="W335" s="494"/>
      <c r="X335" s="494" t="e">
        <f>SUMPRODUCT($C$321:$C$333,X321:X333)/1000</f>
        <v>#DIV/0!</v>
      </c>
      <c r="Y335" s="494">
        <f>SUMPRODUCT($C$321:$C$333,Y321:Y333)/1000</f>
        <v>0</v>
      </c>
      <c r="Z335" s="494">
        <f>SUMPRODUCT($C$321:$C$333,Z321:Z333)/1000</f>
        <v>0</v>
      </c>
      <c r="AA335" s="494"/>
      <c r="AB335" s="494"/>
      <c r="AC335" s="494"/>
      <c r="AD335" s="494"/>
      <c r="AE335" s="494"/>
      <c r="AF335" s="494"/>
      <c r="AG335" s="494">
        <f>SUMPRODUCT($C$321:$C$333,AG321:AG333)/1000</f>
        <v>0</v>
      </c>
      <c r="AH335" s="494"/>
      <c r="AI335" s="494"/>
      <c r="AJ335" s="494">
        <f t="shared" ref="AJ335:AT335" si="130">SUMPRODUCT($C$321:$C$333,AJ321:AJ333)/1000</f>
        <v>0</v>
      </c>
      <c r="AK335" s="494">
        <f t="shared" si="130"/>
        <v>0</v>
      </c>
      <c r="AL335" s="494">
        <f t="shared" si="130"/>
        <v>0</v>
      </c>
      <c r="AM335" s="494">
        <f t="shared" si="130"/>
        <v>0</v>
      </c>
      <c r="AN335" s="494">
        <f t="shared" si="130"/>
        <v>0</v>
      </c>
      <c r="AO335" s="494">
        <f t="shared" si="130"/>
        <v>0</v>
      </c>
      <c r="AP335" s="494" t="e">
        <f t="shared" si="130"/>
        <v>#DIV/0!</v>
      </c>
      <c r="AQ335" s="494" t="e">
        <f t="shared" si="130"/>
        <v>#DIV/0!</v>
      </c>
      <c r="AR335" s="494" t="e">
        <f t="shared" si="130"/>
        <v>#DIV/0!</v>
      </c>
      <c r="AS335" s="494">
        <f t="shared" si="130"/>
        <v>0</v>
      </c>
      <c r="AT335" s="494">
        <f t="shared" si="130"/>
        <v>0</v>
      </c>
      <c r="AU335" s="319"/>
      <c r="AV335" s="319"/>
      <c r="AW335" s="319"/>
      <c r="AX335" s="319"/>
      <c r="AY335" s="319"/>
      <c r="AZ335" s="319"/>
      <c r="BA335" s="319"/>
    </row>
    <row r="336" spans="1:53" ht="13.2" hidden="1">
      <c r="A336" s="319"/>
      <c r="B336" s="319"/>
      <c r="C336" s="319"/>
      <c r="D336" s="494"/>
      <c r="E336" s="494">
        <f>IF(E333=0,0,E335/E333*1000)</f>
        <v>0</v>
      </c>
      <c r="F336" s="319"/>
      <c r="G336" s="319"/>
      <c r="H336" s="319">
        <f>IF(I333=0,0,H334/I333)</f>
        <v>0</v>
      </c>
      <c r="I336" s="319"/>
      <c r="J336" s="494">
        <f>IF(J333=0,0,J335/J333*1000)</f>
        <v>0</v>
      </c>
      <c r="K336" s="319"/>
      <c r="L336" s="494">
        <f>IF(L333=0,0,L335/L333*1000)</f>
        <v>0</v>
      </c>
      <c r="M336" s="319"/>
      <c r="N336" s="319"/>
      <c r="O336" s="319">
        <f>IF(P333=0,0,O334/P333)</f>
        <v>0</v>
      </c>
      <c r="P336" s="319">
        <f>IF(P333=0,0,P335/P333*1000)</f>
        <v>0</v>
      </c>
      <c r="Q336" s="494">
        <f>IF(Q333=0,0,Q335/Q333*1000)</f>
        <v>0</v>
      </c>
      <c r="R336" s="319"/>
      <c r="S336" s="319"/>
      <c r="T336" s="319"/>
      <c r="U336" s="319"/>
      <c r="V336" s="319"/>
      <c r="W336" s="319"/>
      <c r="X336" s="319"/>
      <c r="Y336" s="319"/>
      <c r="Z336" s="319"/>
      <c r="AA336" s="319"/>
      <c r="AB336" s="319"/>
      <c r="AC336" s="319"/>
      <c r="AD336" s="319"/>
      <c r="AE336" s="319"/>
      <c r="AF336" s="319"/>
      <c r="AG336" s="319"/>
      <c r="AH336" s="319"/>
      <c r="AI336" s="319"/>
      <c r="AJ336" s="319"/>
      <c r="AK336" s="319"/>
      <c r="AL336" s="319"/>
      <c r="AM336" s="319"/>
      <c r="AN336" s="319"/>
      <c r="AO336" s="319"/>
      <c r="AP336" s="319"/>
      <c r="AQ336" s="319"/>
      <c r="AR336" s="319"/>
      <c r="AS336" s="319" t="str">
        <f>AP317</f>
        <v/>
      </c>
      <c r="AT336" s="319" t="str">
        <f>AP318</f>
        <v/>
      </c>
      <c r="AU336" s="319"/>
      <c r="AV336" s="319"/>
      <c r="AW336" s="319"/>
      <c r="AX336" s="319"/>
      <c r="AY336" s="319"/>
      <c r="AZ336" s="319"/>
      <c r="BA336" s="319"/>
    </row>
    <row r="337" spans="1:53" ht="13.2" hidden="1">
      <c r="A337" s="319"/>
      <c r="B337" s="319"/>
      <c r="C337" s="319"/>
      <c r="D337" s="319"/>
      <c r="E337" s="319"/>
      <c r="F337" s="319"/>
      <c r="G337" s="319"/>
      <c r="H337" s="319"/>
      <c r="I337" s="319"/>
      <c r="J337" s="319"/>
      <c r="K337" s="319"/>
      <c r="L337" s="319"/>
      <c r="M337" s="319"/>
      <c r="N337" s="319"/>
      <c r="O337" s="319"/>
      <c r="P337" s="319"/>
      <c r="Q337" s="319"/>
      <c r="R337" s="319"/>
      <c r="S337" s="319"/>
      <c r="T337" s="319"/>
      <c r="U337" s="319"/>
      <c r="V337" s="319"/>
      <c r="W337" s="319"/>
      <c r="X337" s="319"/>
      <c r="Y337" s="319"/>
      <c r="Z337" s="319"/>
      <c r="AA337" s="319"/>
      <c r="AB337" s="319"/>
      <c r="AC337" s="319"/>
      <c r="AD337" s="319"/>
      <c r="AE337" s="319"/>
      <c r="AF337" s="319"/>
      <c r="AG337" s="319"/>
      <c r="AH337" s="319"/>
      <c r="AI337" s="319"/>
      <c r="AJ337" s="319"/>
      <c r="AK337" s="319"/>
      <c r="AL337" s="319"/>
      <c r="AM337" s="319"/>
      <c r="AN337" s="319"/>
      <c r="AO337" s="319"/>
      <c r="AP337" s="319"/>
      <c r="AQ337" s="319"/>
      <c r="AR337" s="319"/>
      <c r="AS337" s="319"/>
      <c r="AT337" s="319"/>
      <c r="AU337" s="319"/>
      <c r="AV337" s="319"/>
      <c r="AW337" s="319"/>
      <c r="AX337" s="319"/>
      <c r="AY337" s="319"/>
      <c r="AZ337" s="319"/>
      <c r="BA337" s="319"/>
    </row>
    <row r="338" spans="1:53" ht="13.2" hidden="1">
      <c r="A338" s="319"/>
      <c r="B338" s="319"/>
      <c r="C338" s="319"/>
      <c r="D338" s="319"/>
      <c r="E338" s="319"/>
      <c r="F338" s="319"/>
      <c r="G338" s="319"/>
      <c r="H338" s="319"/>
      <c r="I338" s="319"/>
      <c r="J338" s="319"/>
      <c r="K338" s="319"/>
      <c r="L338" s="319"/>
      <c r="M338" s="319"/>
      <c r="N338" s="319"/>
      <c r="O338" s="319"/>
      <c r="P338" s="319"/>
      <c r="Q338" s="319"/>
      <c r="R338" s="319"/>
      <c r="S338" s="319"/>
      <c r="T338" s="319"/>
      <c r="U338" s="319"/>
      <c r="V338" s="319"/>
      <c r="W338" s="319"/>
      <c r="X338" s="319"/>
      <c r="Y338" s="319"/>
      <c r="Z338" s="319"/>
      <c r="AA338" s="319"/>
      <c r="AB338" s="319"/>
      <c r="AC338" s="319"/>
      <c r="AD338" s="319"/>
      <c r="AE338" s="319"/>
      <c r="AF338" s="319"/>
      <c r="AG338" s="319"/>
      <c r="AH338" s="319"/>
      <c r="AI338" s="319"/>
      <c r="AJ338" s="319"/>
      <c r="AK338" s="319"/>
      <c r="AL338" s="319"/>
      <c r="AM338" s="319"/>
      <c r="AN338" s="319"/>
      <c r="AO338" s="319"/>
      <c r="AP338" s="319"/>
      <c r="AQ338" s="319"/>
      <c r="AR338" s="319"/>
      <c r="AS338" s="319"/>
      <c r="AT338" s="319"/>
      <c r="AU338" s="319"/>
      <c r="AV338" s="319"/>
      <c r="AW338" s="319"/>
      <c r="AX338" s="319"/>
      <c r="AY338" s="319"/>
      <c r="AZ338" s="319"/>
      <c r="BA338" s="319"/>
    </row>
    <row r="339" spans="1:53" ht="13.2" hidden="1">
      <c r="A339" s="319"/>
      <c r="B339" s="319"/>
      <c r="C339" s="319" t="s">
        <v>1518</v>
      </c>
      <c r="D339" s="319" t="s">
        <v>1359</v>
      </c>
      <c r="E339" s="319" t="s">
        <v>1359</v>
      </c>
      <c r="F339" s="319"/>
      <c r="G339" s="319"/>
      <c r="H339" s="319" t="s">
        <v>2297</v>
      </c>
      <c r="I339" s="319"/>
      <c r="J339" s="319" t="s">
        <v>3326</v>
      </c>
      <c r="K339" s="319" t="s">
        <v>3732</v>
      </c>
      <c r="L339" s="319" t="s">
        <v>475</v>
      </c>
      <c r="M339" s="319" t="s">
        <v>5239</v>
      </c>
      <c r="N339" s="319" t="s">
        <v>3442</v>
      </c>
      <c r="O339" s="319" t="s">
        <v>5722</v>
      </c>
      <c r="P339" s="319" t="s">
        <v>2746</v>
      </c>
      <c r="Q339" s="319" t="s">
        <v>5865</v>
      </c>
      <c r="R339" s="319" t="s">
        <v>956</v>
      </c>
      <c r="S339" s="319" t="s">
        <v>5637</v>
      </c>
      <c r="T339" s="319"/>
      <c r="U339" s="319" t="s">
        <v>3326</v>
      </c>
      <c r="V339" s="319" t="s">
        <v>3732</v>
      </c>
      <c r="W339" s="319" t="s">
        <v>475</v>
      </c>
      <c r="X339" s="319" t="s">
        <v>5239</v>
      </c>
      <c r="Y339" s="319" t="s">
        <v>3442</v>
      </c>
      <c r="Z339" s="319" t="s">
        <v>5722</v>
      </c>
      <c r="AA339" s="319"/>
      <c r="AB339" s="319"/>
      <c r="AC339" s="319"/>
      <c r="AD339" s="319"/>
      <c r="AE339" s="319"/>
      <c r="AF339" s="319"/>
      <c r="AG339" s="319"/>
      <c r="AH339" s="319"/>
      <c r="AI339" s="319"/>
      <c r="AJ339" s="319"/>
      <c r="AK339" s="319"/>
      <c r="AL339" s="319"/>
      <c r="AM339" s="319"/>
      <c r="AN339" s="319"/>
      <c r="AO339" s="319"/>
      <c r="AP339" s="319"/>
      <c r="AQ339" s="319"/>
      <c r="AR339" s="319"/>
      <c r="AS339" s="319"/>
      <c r="AT339" s="319"/>
      <c r="AU339" s="319"/>
      <c r="AV339" s="319"/>
      <c r="AW339" s="319"/>
      <c r="AX339" s="319"/>
      <c r="AY339" s="319"/>
      <c r="AZ339" s="319"/>
      <c r="BA339" s="319"/>
    </row>
    <row r="340" spans="1:53" ht="13.2" hidden="1">
      <c r="A340" s="319"/>
      <c r="B340" s="319"/>
      <c r="C340" s="319">
        <f>RANK(P340,$P$340:$P$363)</f>
        <v>1</v>
      </c>
      <c r="D340" s="319" t="str">
        <f>E340</f>
        <v xml:space="preserve">Biomassa </v>
      </c>
      <c r="E340" s="319" t="str">
        <f>'Modelo Energético'!K1175</f>
        <v xml:space="preserve">Biomassa </v>
      </c>
      <c r="F340" s="319" t="str">
        <f>'Modelo Energético'!L1175</f>
        <v xml:space="preserve">Biomassa </v>
      </c>
      <c r="G340" s="319" t="str">
        <f>'Modelo Energético'!M1175</f>
        <v>t</v>
      </c>
      <c r="H340" s="494">
        <f>'Modelo Energético'!N1175</f>
        <v>5123.3732222222206</v>
      </c>
      <c r="I340" s="319" t="str">
        <f>'Modelo Energético'!O1175</f>
        <v>€/t</v>
      </c>
      <c r="J340" s="494">
        <f t="shared" ref="J340:J363" si="131">SUMIF($D$9,E340,$D$22)*$Q$369</f>
        <v>0</v>
      </c>
      <c r="K340" s="494">
        <f t="shared" ref="K340:K363" si="132">SUMIF($F$34:$S$34,E340,$F$48:$S$48)*$Q$369</f>
        <v>0</v>
      </c>
      <c r="L340" s="494">
        <f t="shared" ref="L340:L363" si="133">SUMIF($D$114,E340,$D$127)*$Q$370</f>
        <v>0</v>
      </c>
      <c r="M340" s="494">
        <f t="shared" ref="M340:M363" si="134">SUMIF($F$139:$S$139,E340,$F$153:$S$153)*$Q$370</f>
        <v>0</v>
      </c>
      <c r="N340" s="494"/>
      <c r="O340" s="494">
        <f>SUMIF($P$373:$P$388,E340,$Q$373:$Q$388)</f>
        <v>0</v>
      </c>
      <c r="P340" s="494">
        <f>IF(ISERROR(IF($Q$372=0,SUM(J340:N340)+R340,O340)),0,IF($Q$372=0,SUM(J340:N340)+R340,O340))</f>
        <v>0</v>
      </c>
      <c r="Q340" s="494">
        <f>H340*P340/1000*3.6</f>
        <v>0</v>
      </c>
      <c r="R340" s="494">
        <f t="shared" ref="R340:R363" si="135">IF(ISERROR(IF($D$220=E340,$W$222/3.6,0)/H340),0,IF($D$220=E340,$W$222/3.6,0)/H340*1000)</f>
        <v>0</v>
      </c>
      <c r="S340" s="494">
        <f>IF(ISERROR(SUM(U340:Z340)),0,SUM(U340:Z340)+IF(R340&lt;&gt;0,$D$226,0))</f>
        <v>0</v>
      </c>
      <c r="T340" s="494"/>
      <c r="U340" s="494">
        <f t="shared" ref="U340:U363" si="136">SUMIF($D$9,E340,$D$24)*$Q$369</f>
        <v>0</v>
      </c>
      <c r="V340" s="494">
        <f t="shared" ref="V340:V363" si="137">SUMIF($F$34:$S$34,E340,$F$51:$S$51)*$Q$369</f>
        <v>0</v>
      </c>
      <c r="W340" s="494">
        <f t="shared" ref="W340:W363" si="138">SUMIF($D$114,E340,$D$129)*$Q$370</f>
        <v>0</v>
      </c>
      <c r="X340" s="494">
        <f t="shared" ref="X340:X363" si="139">SUMIF($F$139:$S$139,E340,$F$156:$S$156)*$Q$370</f>
        <v>0</v>
      </c>
      <c r="Y340" s="494"/>
      <c r="Z340" s="494">
        <f t="shared" ref="Z340:Z363" si="140">SUMIF($P$373:$P$388,E340,$R$373:$R$388)</f>
        <v>0</v>
      </c>
      <c r="AA340" s="319"/>
      <c r="AB340" s="319"/>
      <c r="AC340" s="319"/>
      <c r="AD340" s="319"/>
      <c r="AE340" s="319"/>
      <c r="AF340" s="319"/>
      <c r="AG340" s="319"/>
      <c r="AH340" s="319"/>
      <c r="AI340" s="319"/>
      <c r="AJ340" s="319"/>
      <c r="AK340" s="319"/>
      <c r="AL340" s="319"/>
      <c r="AM340" s="319"/>
      <c r="AN340" s="319"/>
      <c r="AO340" s="319"/>
      <c r="AP340" s="319"/>
      <c r="AQ340" s="319"/>
      <c r="AR340" s="319"/>
      <c r="AS340" s="319"/>
      <c r="AT340" s="319"/>
      <c r="AU340" s="319"/>
      <c r="AV340" s="319"/>
      <c r="AW340" s="319"/>
      <c r="AX340" s="319"/>
      <c r="AY340" s="319"/>
      <c r="AZ340" s="319"/>
      <c r="BA340" s="319"/>
    </row>
    <row r="341" spans="1:53" ht="13.2" hidden="1">
      <c r="A341" s="319"/>
      <c r="B341" s="319"/>
      <c r="C341" s="319">
        <f t="shared" ref="C341:C363" si="141">RANK(P341,$P$340:$P$363)</f>
        <v>1</v>
      </c>
      <c r="D341" s="319" t="str">
        <f>E341</f>
        <v>Carvão</v>
      </c>
      <c r="E341" s="319" t="str">
        <f>'Modelo Energético'!K1176</f>
        <v>Carvão</v>
      </c>
      <c r="F341" s="319" t="str">
        <f>'Modelo Energético'!L1176</f>
        <v>Carvão</v>
      </c>
      <c r="G341" s="319" t="str">
        <f>'Modelo Energético'!M1176</f>
        <v>t</v>
      </c>
      <c r="H341" s="494">
        <f>'Modelo Energético'!N1176</f>
        <v>9045.5370841666663</v>
      </c>
      <c r="I341" s="319" t="str">
        <f>'Modelo Energético'!O1176</f>
        <v>€/t</v>
      </c>
      <c r="J341" s="494">
        <f t="shared" si="131"/>
        <v>0</v>
      </c>
      <c r="K341" s="494">
        <f t="shared" si="132"/>
        <v>0</v>
      </c>
      <c r="L341" s="494">
        <f t="shared" si="133"/>
        <v>0</v>
      </c>
      <c r="M341" s="494">
        <f t="shared" si="134"/>
        <v>0</v>
      </c>
      <c r="N341" s="494"/>
      <c r="O341" s="494">
        <f t="shared" ref="O341:O363" si="142">SUMIF($P$373:$P$388,E341,$Q$373:$Q$388)</f>
        <v>0</v>
      </c>
      <c r="P341" s="494">
        <f t="shared" ref="P341:P363" si="143">IF(ISERROR(IF($Q$372=0,SUM(J341:N341)+R341,O341)),0,IF($Q$372=0,SUM(J341:N341)+R341,O341))</f>
        <v>0</v>
      </c>
      <c r="Q341" s="494">
        <f t="shared" ref="Q341:Q360" si="144">H341*P341/1000*3.6</f>
        <v>0</v>
      </c>
      <c r="R341" s="494">
        <f t="shared" si="135"/>
        <v>0</v>
      </c>
      <c r="S341" s="494">
        <f t="shared" ref="S341:S363" si="145">IF(ISERROR(SUM(U341:Z341)),0,SUM(U341:Z341)+IF(R341&lt;&gt;0,$D$226,0))</f>
        <v>0</v>
      </c>
      <c r="T341" s="494"/>
      <c r="U341" s="494">
        <f t="shared" si="136"/>
        <v>0</v>
      </c>
      <c r="V341" s="494">
        <f t="shared" si="137"/>
        <v>0</v>
      </c>
      <c r="W341" s="494">
        <f t="shared" si="138"/>
        <v>0</v>
      </c>
      <c r="X341" s="494">
        <f t="shared" si="139"/>
        <v>0</v>
      </c>
      <c r="Y341" s="494"/>
      <c r="Z341" s="494">
        <f t="shared" si="140"/>
        <v>0</v>
      </c>
      <c r="AA341" s="319"/>
      <c r="AB341" s="319"/>
      <c r="AC341" s="319"/>
      <c r="AD341" s="319"/>
      <c r="AE341" s="319"/>
      <c r="AF341" s="319"/>
      <c r="AG341" s="319"/>
      <c r="AH341" s="319"/>
      <c r="AI341" s="319"/>
      <c r="AJ341" s="319"/>
      <c r="AK341" s="319"/>
      <c r="AL341" s="319"/>
      <c r="AM341" s="319"/>
      <c r="AN341" s="319"/>
      <c r="AO341" s="319"/>
      <c r="AP341" s="319"/>
      <c r="AQ341" s="319"/>
      <c r="AR341" s="319"/>
      <c r="AS341" s="319"/>
      <c r="AT341" s="319"/>
      <c r="AU341" s="319"/>
      <c r="AV341" s="319"/>
      <c r="AW341" s="319"/>
      <c r="AX341" s="319"/>
      <c r="AY341" s="319"/>
      <c r="AZ341" s="319"/>
      <c r="BA341" s="319"/>
    </row>
    <row r="342" spans="1:53" ht="13.2" hidden="1">
      <c r="A342" s="319"/>
      <c r="B342" s="319"/>
      <c r="C342" s="319">
        <f t="shared" si="141"/>
        <v>1</v>
      </c>
      <c r="D342" s="319" t="str">
        <f>E342</f>
        <v>Diesel (óleo #2) - gal</v>
      </c>
      <c r="E342" s="319" t="str">
        <f>'Modelo Energético'!K1177</f>
        <v>Diesel (óleo #2) - gal</v>
      </c>
      <c r="F342" s="319" t="str">
        <f>'Modelo Energético'!L1177</f>
        <v>Diesel (oleo#2)</v>
      </c>
      <c r="G342" s="319" t="str">
        <f>'Modelo Energético'!M1177</f>
        <v>gal</v>
      </c>
      <c r="H342" s="494">
        <f>'Modelo Energético'!N1177</f>
        <v>38.155524095297608</v>
      </c>
      <c r="I342" s="319" t="str">
        <f>'Modelo Energético'!O1177</f>
        <v>€/gal</v>
      </c>
      <c r="J342" s="494">
        <f t="shared" si="131"/>
        <v>0</v>
      </c>
      <c r="K342" s="494">
        <f t="shared" si="132"/>
        <v>0</v>
      </c>
      <c r="L342" s="494">
        <f t="shared" si="133"/>
        <v>0</v>
      </c>
      <c r="M342" s="494">
        <f t="shared" si="134"/>
        <v>0</v>
      </c>
      <c r="N342" s="494"/>
      <c r="O342" s="494">
        <f t="shared" si="142"/>
        <v>0</v>
      </c>
      <c r="P342" s="494">
        <f t="shared" si="143"/>
        <v>0</v>
      </c>
      <c r="Q342" s="494">
        <f t="shared" si="144"/>
        <v>0</v>
      </c>
      <c r="R342" s="494">
        <f t="shared" si="135"/>
        <v>0</v>
      </c>
      <c r="S342" s="494">
        <f t="shared" si="145"/>
        <v>0</v>
      </c>
      <c r="T342" s="494"/>
      <c r="U342" s="494">
        <f t="shared" si="136"/>
        <v>0</v>
      </c>
      <c r="V342" s="494">
        <f t="shared" si="137"/>
        <v>0</v>
      </c>
      <c r="W342" s="494">
        <f t="shared" si="138"/>
        <v>0</v>
      </c>
      <c r="X342" s="494">
        <f t="shared" si="139"/>
        <v>0</v>
      </c>
      <c r="Y342" s="494"/>
      <c r="Z342" s="494">
        <f t="shared" si="140"/>
        <v>0</v>
      </c>
      <c r="AA342" s="319"/>
      <c r="AB342" s="319"/>
      <c r="AC342" s="319"/>
      <c r="AD342" s="319"/>
      <c r="AE342" s="319"/>
      <c r="AF342" s="319"/>
      <c r="AG342" s="319"/>
      <c r="AH342" s="319"/>
      <c r="AI342" s="319"/>
      <c r="AJ342" s="319"/>
      <c r="AK342" s="319"/>
      <c r="AL342" s="319"/>
      <c r="AM342" s="319"/>
      <c r="AN342" s="319"/>
      <c r="AO342" s="319"/>
      <c r="AP342" s="319"/>
      <c r="AQ342" s="319"/>
      <c r="AR342" s="319"/>
      <c r="AS342" s="319"/>
      <c r="AT342" s="319"/>
      <c r="AU342" s="319"/>
      <c r="AV342" s="319"/>
      <c r="AW342" s="319"/>
      <c r="AX342" s="319"/>
      <c r="AY342" s="319"/>
      <c r="AZ342" s="319"/>
      <c r="BA342" s="319"/>
    </row>
    <row r="343" spans="1:53" ht="13.2" hidden="1">
      <c r="A343" s="319"/>
      <c r="B343" s="319"/>
      <c r="C343" s="319">
        <f t="shared" si="141"/>
        <v>1</v>
      </c>
      <c r="D343" s="319" t="str">
        <f>E343</f>
        <v>Diesel (óleo #2) - L</v>
      </c>
      <c r="E343" s="319" t="str">
        <f>'Modelo Energético'!K1178</f>
        <v>Diesel (óleo #2) - L</v>
      </c>
      <c r="F343" s="319" t="str">
        <f>'Modelo Energético'!L1178</f>
        <v>Diesel (oleo#2)</v>
      </c>
      <c r="G343" s="319" t="str">
        <f>'Modelo Energético'!M1178</f>
        <v>L</v>
      </c>
      <c r="H343" s="494">
        <f>'Modelo Energético'!N1178</f>
        <v>10.079623109055554</v>
      </c>
      <c r="I343" s="319" t="str">
        <f>'Modelo Energético'!O1178</f>
        <v>€/L</v>
      </c>
      <c r="J343" s="494">
        <f t="shared" si="131"/>
        <v>0</v>
      </c>
      <c r="K343" s="494">
        <f t="shared" si="132"/>
        <v>0</v>
      </c>
      <c r="L343" s="494">
        <f t="shared" si="133"/>
        <v>0</v>
      </c>
      <c r="M343" s="494">
        <f t="shared" si="134"/>
        <v>0</v>
      </c>
      <c r="N343" s="494"/>
      <c r="O343" s="494">
        <f t="shared" si="142"/>
        <v>0</v>
      </c>
      <c r="P343" s="494">
        <f t="shared" si="143"/>
        <v>0</v>
      </c>
      <c r="Q343" s="494">
        <f t="shared" si="144"/>
        <v>0</v>
      </c>
      <c r="R343" s="494">
        <f t="shared" si="135"/>
        <v>0</v>
      </c>
      <c r="S343" s="494">
        <f t="shared" si="145"/>
        <v>0</v>
      </c>
      <c r="T343" s="494"/>
      <c r="U343" s="494">
        <f t="shared" si="136"/>
        <v>0</v>
      </c>
      <c r="V343" s="494">
        <f t="shared" si="137"/>
        <v>0</v>
      </c>
      <c r="W343" s="494">
        <f t="shared" si="138"/>
        <v>0</v>
      </c>
      <c r="X343" s="494">
        <f t="shared" si="139"/>
        <v>0</v>
      </c>
      <c r="Y343" s="494"/>
      <c r="Z343" s="494">
        <f t="shared" si="140"/>
        <v>0</v>
      </c>
      <c r="AA343" s="319"/>
      <c r="AB343" s="319"/>
      <c r="AC343" s="319"/>
      <c r="AD343" s="319"/>
      <c r="AE343" s="319"/>
      <c r="AF343" s="319"/>
      <c r="AG343" s="319"/>
      <c r="AH343" s="319"/>
      <c r="AI343" s="319"/>
      <c r="AJ343" s="319"/>
      <c r="AK343" s="319"/>
      <c r="AL343" s="319"/>
      <c r="AM343" s="319"/>
      <c r="AN343" s="319"/>
      <c r="AO343" s="319"/>
      <c r="AP343" s="319"/>
      <c r="AQ343" s="319"/>
      <c r="AR343" s="319"/>
      <c r="AS343" s="319"/>
      <c r="AT343" s="319"/>
      <c r="AU343" s="319"/>
      <c r="AV343" s="319"/>
      <c r="AW343" s="319"/>
      <c r="AX343" s="319"/>
      <c r="AY343" s="319"/>
      <c r="AZ343" s="319"/>
      <c r="BA343" s="319"/>
    </row>
    <row r="344" spans="1:53" ht="13.2" hidden="1">
      <c r="A344" s="319"/>
      <c r="B344" s="319"/>
      <c r="C344" s="319">
        <f t="shared" si="141"/>
        <v>1</v>
      </c>
      <c r="D344" s="319" t="str">
        <f>E345</f>
        <v>Gasolina - gal</v>
      </c>
      <c r="E344" s="319" t="str">
        <f>'Modelo Energético'!K1179</f>
        <v>Eletricidade</v>
      </c>
      <c r="F344" s="319" t="str">
        <f>'Modelo Energético'!L1179</f>
        <v>Eletricidade</v>
      </c>
      <c r="G344" s="319" t="str">
        <f>'Modelo Energético'!M1179</f>
        <v>MWh</v>
      </c>
      <c r="H344" s="494">
        <f>'Modelo Energético'!N1179</f>
        <v>1000</v>
      </c>
      <c r="I344" s="319" t="str">
        <f>'Modelo Energético'!O1179</f>
        <v>€/kWh</v>
      </c>
      <c r="J344" s="494">
        <f t="shared" si="131"/>
        <v>0</v>
      </c>
      <c r="K344" s="494">
        <f t="shared" si="132"/>
        <v>0</v>
      </c>
      <c r="L344" s="494">
        <f t="shared" si="133"/>
        <v>0</v>
      </c>
      <c r="M344" s="494">
        <f t="shared" si="134"/>
        <v>0</v>
      </c>
      <c r="N344" s="494">
        <f>IF(ISERROR(E246*Q371*IF(SUM(O340:O363)&lt;&gt;0,0,1)),0,E246*Q371*IF(SUM(O340:O363)&lt;&gt;0,0,1))</f>
        <v>0</v>
      </c>
      <c r="O344" s="494">
        <f t="shared" si="142"/>
        <v>0</v>
      </c>
      <c r="P344" s="494">
        <f>IF(ISERROR(IF($Q$372=0,SUM(J344:N344)+R344,O344)),0,IF($Q$372=0,SUM(J344:N344)+R344,O344))*IF(AND(HideCodeLN_Power_GT=5,O344=0),0,1)</f>
        <v>0</v>
      </c>
      <c r="Q344" s="494">
        <f>H344*P344/1000*3.6*IF(AND(HideCodeLN_Power_GT=5,O344=0),0,1)</f>
        <v>0</v>
      </c>
      <c r="R344" s="494">
        <f>IF(ISERROR(IF($D$220=E344,$W$222/3.6,0)/H344),0,IF($D$220=E344,$W$222/3.6,0)/H344*1000)</f>
        <v>0</v>
      </c>
      <c r="S344" s="494">
        <f>IF(ISERROR(SUM(U344:Z344)),0,SUM(U344:Z344)+IF(R344&lt;&gt;0,$D$226,0))*IF(AND(HideCodeLN_Power_GT=5,O344=0),0,1)</f>
        <v>0</v>
      </c>
      <c r="T344" s="494"/>
      <c r="U344" s="494">
        <f t="shared" si="136"/>
        <v>0</v>
      </c>
      <c r="V344" s="494">
        <f t="shared" si="137"/>
        <v>0</v>
      </c>
      <c r="W344" s="494">
        <f t="shared" si="138"/>
        <v>0</v>
      </c>
      <c r="X344" s="494">
        <f t="shared" si="139"/>
        <v>0</v>
      </c>
      <c r="Y344" s="494">
        <f>IF(ISERROR(E248*Q371*IF(SUM(O340:O363)&lt;&gt;0,0,1)),0,E248*Q371*IF(SUM(O340:O363)&lt;&gt;0,0,1))</f>
        <v>0</v>
      </c>
      <c r="Z344" s="494">
        <f t="shared" si="140"/>
        <v>0</v>
      </c>
      <c r="AA344" s="319"/>
      <c r="AB344" s="319"/>
      <c r="AC344" s="319"/>
      <c r="AD344" s="319"/>
      <c r="AE344" s="319"/>
      <c r="AF344" s="319"/>
      <c r="AG344" s="319"/>
      <c r="AH344" s="319"/>
      <c r="AI344" s="319"/>
      <c r="AJ344" s="319"/>
      <c r="AK344" s="319"/>
      <c r="AL344" s="319"/>
      <c r="AM344" s="319"/>
      <c r="AN344" s="319"/>
      <c r="AO344" s="319"/>
      <c r="AP344" s="319"/>
      <c r="AQ344" s="319"/>
      <c r="AR344" s="319"/>
      <c r="AS344" s="319"/>
      <c r="AT344" s="319"/>
      <c r="AU344" s="319"/>
      <c r="AV344" s="319"/>
      <c r="AW344" s="319"/>
      <c r="AX344" s="319"/>
      <c r="AY344" s="319"/>
      <c r="AZ344" s="319"/>
      <c r="BA344" s="319"/>
    </row>
    <row r="345" spans="1:53" ht="13.2" hidden="1">
      <c r="A345" s="319"/>
      <c r="B345" s="319"/>
      <c r="C345" s="319">
        <f t="shared" si="141"/>
        <v>1</v>
      </c>
      <c r="D345" s="319" t="str">
        <f t="shared" ref="D345:D359" si="146">E346</f>
        <v>Gasolina - L</v>
      </c>
      <c r="E345" s="319" t="str">
        <f>'Modelo Energético'!K1180</f>
        <v>Gasolina - gal</v>
      </c>
      <c r="F345" s="319" t="str">
        <f>'Modelo Energético'!L1180</f>
        <v>Gasolina</v>
      </c>
      <c r="G345" s="319" t="str">
        <f>'Modelo Energético'!M1180</f>
        <v>gal</v>
      </c>
      <c r="H345" s="494">
        <f>'Modelo Energético'!N1180</f>
        <v>33.613753884474576</v>
      </c>
      <c r="I345" s="319" t="str">
        <f>'Modelo Energético'!O1180</f>
        <v>€/gal</v>
      </c>
      <c r="J345" s="494">
        <f t="shared" si="131"/>
        <v>0</v>
      </c>
      <c r="K345" s="494">
        <f t="shared" si="132"/>
        <v>0</v>
      </c>
      <c r="L345" s="494">
        <f t="shared" si="133"/>
        <v>0</v>
      </c>
      <c r="M345" s="494">
        <f t="shared" si="134"/>
        <v>0</v>
      </c>
      <c r="N345" s="494"/>
      <c r="O345" s="494">
        <f t="shared" si="142"/>
        <v>0</v>
      </c>
      <c r="P345" s="494">
        <f t="shared" si="143"/>
        <v>0</v>
      </c>
      <c r="Q345" s="494">
        <f t="shared" si="144"/>
        <v>0</v>
      </c>
      <c r="R345" s="494">
        <f t="shared" si="135"/>
        <v>0</v>
      </c>
      <c r="S345" s="494">
        <f t="shared" si="145"/>
        <v>0</v>
      </c>
      <c r="T345" s="494"/>
      <c r="U345" s="494">
        <f t="shared" si="136"/>
        <v>0</v>
      </c>
      <c r="V345" s="494">
        <f t="shared" si="137"/>
        <v>0</v>
      </c>
      <c r="W345" s="494">
        <f t="shared" si="138"/>
        <v>0</v>
      </c>
      <c r="X345" s="494">
        <f t="shared" si="139"/>
        <v>0</v>
      </c>
      <c r="Y345" s="494"/>
      <c r="Z345" s="494">
        <f t="shared" si="140"/>
        <v>0</v>
      </c>
      <c r="AA345" s="319"/>
      <c r="AB345" s="319"/>
      <c r="AC345" s="319"/>
      <c r="AD345" s="319"/>
      <c r="AE345" s="319"/>
      <c r="AF345" s="319"/>
      <c r="AG345" s="319"/>
      <c r="AH345" s="319"/>
      <c r="AI345" s="319"/>
      <c r="AJ345" s="319"/>
      <c r="AK345" s="319"/>
      <c r="AL345" s="319"/>
      <c r="AM345" s="319"/>
      <c r="AN345" s="319"/>
      <c r="AO345" s="319"/>
      <c r="AP345" s="319"/>
      <c r="AQ345" s="319"/>
      <c r="AR345" s="319"/>
      <c r="AS345" s="319"/>
      <c r="AT345" s="319"/>
      <c r="AU345" s="319"/>
      <c r="AV345" s="319"/>
      <c r="AW345" s="319"/>
      <c r="AX345" s="319"/>
      <c r="AY345" s="319"/>
      <c r="AZ345" s="319"/>
      <c r="BA345" s="319"/>
    </row>
    <row r="346" spans="1:53" ht="13.2" hidden="1">
      <c r="A346" s="319"/>
      <c r="B346" s="319"/>
      <c r="C346" s="319">
        <f t="shared" si="141"/>
        <v>1</v>
      </c>
      <c r="D346" s="319" t="str">
        <f t="shared" si="146"/>
        <v>Querosene - gal</v>
      </c>
      <c r="E346" s="319" t="str">
        <f>'Modelo Energético'!K1181</f>
        <v>Gasolina - L</v>
      </c>
      <c r="F346" s="319" t="str">
        <f>'Modelo Energético'!L1181</f>
        <v>Gasolina</v>
      </c>
      <c r="G346" s="319" t="str">
        <f>'Modelo Energético'!M1181</f>
        <v>L</v>
      </c>
      <c r="H346" s="494">
        <f>'Modelo Energético'!N1181</f>
        <v>8.8798143511233327</v>
      </c>
      <c r="I346" s="319" t="str">
        <f>'Modelo Energético'!O1181</f>
        <v>€/L</v>
      </c>
      <c r="J346" s="494">
        <f t="shared" si="131"/>
        <v>0</v>
      </c>
      <c r="K346" s="494">
        <f t="shared" si="132"/>
        <v>0</v>
      </c>
      <c r="L346" s="494">
        <f t="shared" si="133"/>
        <v>0</v>
      </c>
      <c r="M346" s="494">
        <f t="shared" si="134"/>
        <v>0</v>
      </c>
      <c r="N346" s="494"/>
      <c r="O346" s="494">
        <f t="shared" si="142"/>
        <v>0</v>
      </c>
      <c r="P346" s="494">
        <f t="shared" si="143"/>
        <v>0</v>
      </c>
      <c r="Q346" s="494">
        <f t="shared" si="144"/>
        <v>0</v>
      </c>
      <c r="R346" s="494">
        <f t="shared" si="135"/>
        <v>0</v>
      </c>
      <c r="S346" s="494">
        <f t="shared" si="145"/>
        <v>0</v>
      </c>
      <c r="T346" s="494"/>
      <c r="U346" s="494">
        <f t="shared" si="136"/>
        <v>0</v>
      </c>
      <c r="V346" s="494">
        <f t="shared" si="137"/>
        <v>0</v>
      </c>
      <c r="W346" s="494">
        <f t="shared" si="138"/>
        <v>0</v>
      </c>
      <c r="X346" s="494">
        <f t="shared" si="139"/>
        <v>0</v>
      </c>
      <c r="Y346" s="494"/>
      <c r="Z346" s="494">
        <f t="shared" si="140"/>
        <v>0</v>
      </c>
      <c r="AA346" s="319"/>
      <c r="AB346" s="319"/>
      <c r="AC346" s="319"/>
      <c r="AD346" s="319"/>
      <c r="AE346" s="319"/>
      <c r="AF346" s="319"/>
      <c r="AG346" s="319"/>
      <c r="AH346" s="319"/>
      <c r="AI346" s="319"/>
      <c r="AJ346" s="319"/>
      <c r="AK346" s="319"/>
      <c r="AL346" s="319"/>
      <c r="AM346" s="319"/>
      <c r="AN346" s="319"/>
      <c r="AO346" s="319"/>
      <c r="AP346" s="319"/>
      <c r="AQ346" s="319"/>
      <c r="AR346" s="319"/>
      <c r="AS346" s="319"/>
      <c r="AT346" s="319"/>
      <c r="AU346" s="319"/>
      <c r="AV346" s="319"/>
      <c r="AW346" s="319"/>
      <c r="AX346" s="319"/>
      <c r="AY346" s="319"/>
      <c r="AZ346" s="319"/>
      <c r="BA346" s="319"/>
    </row>
    <row r="347" spans="1:53" ht="13.2" hidden="1">
      <c r="A347" s="319"/>
      <c r="B347" s="319"/>
      <c r="C347" s="319">
        <f t="shared" si="141"/>
        <v>1</v>
      </c>
      <c r="D347" s="319" t="str">
        <f t="shared" si="146"/>
        <v>Querosene - L</v>
      </c>
      <c r="E347" s="319" t="str">
        <f>'Modelo Energético'!K1182</f>
        <v>Querosene - gal</v>
      </c>
      <c r="F347" s="319" t="str">
        <f>'Modelo Energético'!L1182</f>
        <v>Querosene</v>
      </c>
      <c r="G347" s="319" t="str">
        <f>'Modelo Energético'!M1182</f>
        <v>gal</v>
      </c>
      <c r="H347" s="494">
        <f>'Modelo Energético'!N1182</f>
        <v>36.409867313488029</v>
      </c>
      <c r="I347" s="319" t="str">
        <f>'Modelo Energético'!O1182</f>
        <v>€/gal</v>
      </c>
      <c r="J347" s="494">
        <f t="shared" si="131"/>
        <v>0</v>
      </c>
      <c r="K347" s="494">
        <f t="shared" si="132"/>
        <v>0</v>
      </c>
      <c r="L347" s="494">
        <f t="shared" si="133"/>
        <v>0</v>
      </c>
      <c r="M347" s="494">
        <f t="shared" si="134"/>
        <v>0</v>
      </c>
      <c r="N347" s="494"/>
      <c r="O347" s="494">
        <f t="shared" si="142"/>
        <v>0</v>
      </c>
      <c r="P347" s="494">
        <f t="shared" si="143"/>
        <v>0</v>
      </c>
      <c r="Q347" s="494">
        <f t="shared" si="144"/>
        <v>0</v>
      </c>
      <c r="R347" s="494">
        <f t="shared" si="135"/>
        <v>0</v>
      </c>
      <c r="S347" s="494">
        <f t="shared" si="145"/>
        <v>0</v>
      </c>
      <c r="T347" s="494"/>
      <c r="U347" s="494">
        <f t="shared" si="136"/>
        <v>0</v>
      </c>
      <c r="V347" s="494">
        <f t="shared" si="137"/>
        <v>0</v>
      </c>
      <c r="W347" s="494">
        <f t="shared" si="138"/>
        <v>0</v>
      </c>
      <c r="X347" s="494">
        <f t="shared" si="139"/>
        <v>0</v>
      </c>
      <c r="Y347" s="494"/>
      <c r="Z347" s="494">
        <f t="shared" si="140"/>
        <v>0</v>
      </c>
      <c r="AA347" s="319"/>
      <c r="AB347" s="319"/>
      <c r="AC347" s="319"/>
      <c r="AD347" s="319"/>
      <c r="AE347" s="319"/>
      <c r="AF347" s="319"/>
      <c r="AG347" s="319"/>
      <c r="AH347" s="319"/>
      <c r="AI347" s="319"/>
      <c r="AJ347" s="319"/>
      <c r="AK347" s="319"/>
      <c r="AL347" s="319"/>
      <c r="AM347" s="319"/>
      <c r="AN347" s="319"/>
      <c r="AO347" s="319"/>
      <c r="AP347" s="319"/>
      <c r="AQ347" s="319"/>
      <c r="AR347" s="319"/>
      <c r="AS347" s="319"/>
      <c r="AT347" s="319"/>
      <c r="AU347" s="319"/>
      <c r="AV347" s="319"/>
      <c r="AW347" s="319"/>
      <c r="AX347" s="319"/>
      <c r="AY347" s="319"/>
      <c r="AZ347" s="319"/>
      <c r="BA347" s="319"/>
    </row>
    <row r="348" spans="1:53" ht="13.2" hidden="1">
      <c r="A348" s="319"/>
      <c r="B348" s="319"/>
      <c r="C348" s="319">
        <f t="shared" si="141"/>
        <v>1</v>
      </c>
      <c r="D348" s="319" t="str">
        <f t="shared" si="146"/>
        <v>Gaz natural - 100 pi³</v>
      </c>
      <c r="E348" s="319" t="str">
        <f>'Modelo Energético'!K1183</f>
        <v>Querosene - L</v>
      </c>
      <c r="F348" s="319" t="str">
        <f>'Modelo Energético'!L1183</f>
        <v>Querosene</v>
      </c>
      <c r="G348" s="319" t="str">
        <f>'Modelo Energético'!M1183</f>
        <v>L</v>
      </c>
      <c r="H348" s="494">
        <f>'Modelo Energético'!N1183</f>
        <v>9.6184693742919958</v>
      </c>
      <c r="I348" s="319" t="str">
        <f>'Modelo Energético'!O1183</f>
        <v>€/L</v>
      </c>
      <c r="J348" s="494">
        <f t="shared" si="131"/>
        <v>0</v>
      </c>
      <c r="K348" s="494">
        <f t="shared" si="132"/>
        <v>0</v>
      </c>
      <c r="L348" s="494">
        <f t="shared" si="133"/>
        <v>0</v>
      </c>
      <c r="M348" s="494">
        <f t="shared" si="134"/>
        <v>0</v>
      </c>
      <c r="N348" s="494"/>
      <c r="O348" s="494">
        <f t="shared" si="142"/>
        <v>0</v>
      </c>
      <c r="P348" s="494">
        <f t="shared" si="143"/>
        <v>0</v>
      </c>
      <c r="Q348" s="494">
        <f t="shared" si="144"/>
        <v>0</v>
      </c>
      <c r="R348" s="494">
        <f t="shared" si="135"/>
        <v>0</v>
      </c>
      <c r="S348" s="494">
        <f t="shared" si="145"/>
        <v>0</v>
      </c>
      <c r="T348" s="494"/>
      <c r="U348" s="494">
        <f t="shared" si="136"/>
        <v>0</v>
      </c>
      <c r="V348" s="494">
        <f t="shared" si="137"/>
        <v>0</v>
      </c>
      <c r="W348" s="494">
        <f t="shared" si="138"/>
        <v>0</v>
      </c>
      <c r="X348" s="494">
        <f t="shared" si="139"/>
        <v>0</v>
      </c>
      <c r="Y348" s="494"/>
      <c r="Z348" s="494">
        <f t="shared" si="140"/>
        <v>0</v>
      </c>
      <c r="AA348" s="319"/>
      <c r="AB348" s="319"/>
      <c r="AC348" s="319"/>
      <c r="AD348" s="319"/>
      <c r="AE348" s="319"/>
      <c r="AF348" s="319"/>
      <c r="AG348" s="319"/>
      <c r="AH348" s="319"/>
      <c r="AI348" s="319"/>
      <c r="AJ348" s="319"/>
      <c r="AK348" s="319"/>
      <c r="AL348" s="319"/>
      <c r="AM348" s="319"/>
      <c r="AN348" s="319"/>
      <c r="AO348" s="319"/>
      <c r="AP348" s="319"/>
      <c r="AQ348" s="319"/>
      <c r="AR348" s="319"/>
      <c r="AS348" s="319"/>
      <c r="AT348" s="319"/>
      <c r="AU348" s="319"/>
      <c r="AV348" s="319"/>
      <c r="AW348" s="319"/>
      <c r="AX348" s="319"/>
      <c r="AY348" s="319"/>
      <c r="AZ348" s="319"/>
      <c r="BA348" s="319"/>
    </row>
    <row r="349" spans="1:53" ht="13.2" hidden="1">
      <c r="A349" s="319"/>
      <c r="B349" s="319"/>
      <c r="C349" s="319">
        <f t="shared" si="141"/>
        <v>1</v>
      </c>
      <c r="D349" s="319" t="str">
        <f t="shared" si="146"/>
        <v>Gás Natural - GJ</v>
      </c>
      <c r="E349" s="319" t="str">
        <f>'Modelo Energético'!K1184</f>
        <v>Gaz natural - 100 pi³</v>
      </c>
      <c r="F349" s="319" t="str">
        <f>'Modelo Energético'!L1184</f>
        <v>Gás Natural</v>
      </c>
      <c r="G349" s="319" t="str">
        <f>'Modelo Energético'!M1184</f>
        <v>100 pes³</v>
      </c>
      <c r="H349" s="494">
        <f>'Modelo Energético'!N1184</f>
        <v>26.726194929438709</v>
      </c>
      <c r="I349" s="319" t="str">
        <f>'Modelo Energético'!O1184</f>
        <v>€/100 pés³</v>
      </c>
      <c r="J349" s="494">
        <f t="shared" si="131"/>
        <v>0</v>
      </c>
      <c r="K349" s="494">
        <f t="shared" si="132"/>
        <v>0</v>
      </c>
      <c r="L349" s="494">
        <f t="shared" si="133"/>
        <v>0</v>
      </c>
      <c r="M349" s="494">
        <f t="shared" si="134"/>
        <v>0</v>
      </c>
      <c r="N349" s="494"/>
      <c r="O349" s="494">
        <f t="shared" si="142"/>
        <v>0</v>
      </c>
      <c r="P349" s="494">
        <f t="shared" si="143"/>
        <v>0</v>
      </c>
      <c r="Q349" s="494">
        <f t="shared" si="144"/>
        <v>0</v>
      </c>
      <c r="R349" s="494">
        <f t="shared" si="135"/>
        <v>0</v>
      </c>
      <c r="S349" s="494">
        <f t="shared" si="145"/>
        <v>0</v>
      </c>
      <c r="T349" s="494"/>
      <c r="U349" s="494">
        <f t="shared" si="136"/>
        <v>0</v>
      </c>
      <c r="V349" s="494">
        <f t="shared" si="137"/>
        <v>0</v>
      </c>
      <c r="W349" s="494">
        <f t="shared" si="138"/>
        <v>0</v>
      </c>
      <c r="X349" s="494">
        <f t="shared" si="139"/>
        <v>0</v>
      </c>
      <c r="Y349" s="494"/>
      <c r="Z349" s="494">
        <f t="shared" si="140"/>
        <v>0</v>
      </c>
      <c r="AA349" s="319"/>
      <c r="AB349" s="319"/>
      <c r="AC349" s="319"/>
      <c r="AD349" s="319"/>
      <c r="AE349" s="319"/>
      <c r="AF349" s="319"/>
      <c r="AG349" s="319"/>
      <c r="AH349" s="319"/>
      <c r="AI349" s="319"/>
      <c r="AJ349" s="319"/>
      <c r="AK349" s="319"/>
      <c r="AL349" s="319"/>
      <c r="AM349" s="319"/>
      <c r="AN349" s="319"/>
      <c r="AO349" s="319"/>
      <c r="AP349" s="319"/>
      <c r="AQ349" s="319"/>
      <c r="AR349" s="319"/>
      <c r="AS349" s="319"/>
      <c r="AT349" s="319"/>
      <c r="AU349" s="319"/>
      <c r="AV349" s="319"/>
      <c r="AW349" s="319"/>
      <c r="AX349" s="319"/>
      <c r="AY349" s="319"/>
      <c r="AZ349" s="319"/>
      <c r="BA349" s="319"/>
    </row>
    <row r="350" spans="1:53" ht="13.2" hidden="1">
      <c r="A350" s="319"/>
      <c r="B350" s="319"/>
      <c r="C350" s="319">
        <f t="shared" si="141"/>
        <v>1</v>
      </c>
      <c r="D350" s="319" t="str">
        <f t="shared" si="146"/>
        <v>Gaz natural - kWh</v>
      </c>
      <c r="E350" s="319" t="str">
        <f>'Modelo Energético'!K1185</f>
        <v>Gás Natural - GJ</v>
      </c>
      <c r="F350" s="319" t="str">
        <f>'Modelo Energético'!L1185</f>
        <v>Gás Natural</v>
      </c>
      <c r="G350" s="319" t="str">
        <f>'Modelo Energético'!M1185</f>
        <v>GJ</v>
      </c>
      <c r="H350" s="494">
        <f>'Modelo Energético'!N1185</f>
        <v>277.77777777777777</v>
      </c>
      <c r="I350" s="319" t="str">
        <f>'Modelo Energético'!O1185</f>
        <v>€/GJ</v>
      </c>
      <c r="J350" s="494">
        <f t="shared" si="131"/>
        <v>0</v>
      </c>
      <c r="K350" s="494">
        <f t="shared" si="132"/>
        <v>0</v>
      </c>
      <c r="L350" s="494">
        <f t="shared" si="133"/>
        <v>0</v>
      </c>
      <c r="M350" s="494">
        <f t="shared" si="134"/>
        <v>0</v>
      </c>
      <c r="N350" s="494"/>
      <c r="O350" s="494">
        <f t="shared" si="142"/>
        <v>0</v>
      </c>
      <c r="P350" s="494">
        <f t="shared" si="143"/>
        <v>0</v>
      </c>
      <c r="Q350" s="494">
        <f t="shared" si="144"/>
        <v>0</v>
      </c>
      <c r="R350" s="494">
        <f t="shared" si="135"/>
        <v>0</v>
      </c>
      <c r="S350" s="494">
        <f t="shared" si="145"/>
        <v>0</v>
      </c>
      <c r="T350" s="494"/>
      <c r="U350" s="494">
        <f t="shared" si="136"/>
        <v>0</v>
      </c>
      <c r="V350" s="494">
        <f t="shared" si="137"/>
        <v>0</v>
      </c>
      <c r="W350" s="494">
        <f t="shared" si="138"/>
        <v>0</v>
      </c>
      <c r="X350" s="494">
        <f t="shared" si="139"/>
        <v>0</v>
      </c>
      <c r="Y350" s="494"/>
      <c r="Z350" s="494">
        <f t="shared" si="140"/>
        <v>0</v>
      </c>
      <c r="AA350" s="319"/>
      <c r="AB350" s="319"/>
      <c r="AC350" s="319"/>
      <c r="AD350" s="319"/>
      <c r="AE350" s="319"/>
      <c r="AF350" s="319"/>
      <c r="AG350" s="319"/>
      <c r="AH350" s="319"/>
      <c r="AI350" s="319"/>
      <c r="AJ350" s="319"/>
      <c r="AK350" s="319"/>
      <c r="AL350" s="319"/>
      <c r="AM350" s="319"/>
      <c r="AN350" s="319"/>
      <c r="AO350" s="319"/>
      <c r="AP350" s="319"/>
      <c r="AQ350" s="319"/>
      <c r="AR350" s="319"/>
      <c r="AS350" s="319"/>
      <c r="AT350" s="319"/>
      <c r="AU350" s="319"/>
      <c r="AV350" s="319"/>
      <c r="AW350" s="319"/>
      <c r="AX350" s="319"/>
      <c r="AY350" s="319"/>
      <c r="AZ350" s="319"/>
      <c r="BA350" s="319"/>
    </row>
    <row r="351" spans="1:53" ht="13.2" hidden="1">
      <c r="A351" s="319"/>
      <c r="B351" s="319"/>
      <c r="C351" s="319">
        <f t="shared" si="141"/>
        <v>1</v>
      </c>
      <c r="D351" s="319" t="str">
        <f>E352</f>
        <v>Gas natural - m³</v>
      </c>
      <c r="E351" s="319" t="str">
        <f>'Modelo Energético'!K1186</f>
        <v>Gaz natural - kWh</v>
      </c>
      <c r="F351" s="319" t="str">
        <f>'Modelo Energético'!L1186</f>
        <v>Gás Natural</v>
      </c>
      <c r="G351" s="319" t="str">
        <f>'Modelo Energético'!M1186</f>
        <v>kWh</v>
      </c>
      <c r="H351" s="494">
        <f>'Modelo Energético'!N1186</f>
        <v>0.99999999999999989</v>
      </c>
      <c r="I351" s="319" t="str">
        <f>'Modelo Energético'!O1186</f>
        <v>€/kWh</v>
      </c>
      <c r="J351" s="494">
        <f>SUMIF($D$9,E351,$D$22)*$Q$369</f>
        <v>0</v>
      </c>
      <c r="K351" s="494">
        <f>SUMIF($F$34:$S$34,E351,$F$48:$S$48)*$Q$369</f>
        <v>0</v>
      </c>
      <c r="L351" s="494">
        <f>SUMIF($D$114,E351,$D$127)*$Q$370</f>
        <v>0</v>
      </c>
      <c r="M351" s="494">
        <f>SUMIF($F$139:$S$139,E351,$F$153:$S$153)*$Q$370</f>
        <v>0</v>
      </c>
      <c r="N351" s="494"/>
      <c r="O351" s="494">
        <f>SUMIF($P$373:$P$388,E351,$Q$373:$Q$388)</f>
        <v>0</v>
      </c>
      <c r="P351" s="494">
        <f>IF(ISERROR(IF($Q$372=0,SUM(J351:N351)+R351,O351)),0,IF($Q$372=0,SUM(J351:N351)+R351,O351))</f>
        <v>0</v>
      </c>
      <c r="Q351" s="494">
        <f>H351*P351/1000*3.6</f>
        <v>0</v>
      </c>
      <c r="R351" s="494">
        <f>IF(ISERROR(IF($D$220=E351,$W$222/3.6,0)/H351),0,IF($D$220=E351,$W$222/3.6,0)/H351*1000)</f>
        <v>0</v>
      </c>
      <c r="S351" s="494">
        <f>IF(ISERROR(SUM(U351:Z351)),0,SUM(U351:Z351)+IF(R351&lt;&gt;0,$D$226,0))</f>
        <v>0</v>
      </c>
      <c r="T351" s="494"/>
      <c r="U351" s="494">
        <f>SUMIF($D$9,E351,$D$24)*$Q$369</f>
        <v>0</v>
      </c>
      <c r="V351" s="494">
        <f>SUMIF($F$34:$S$34,E351,$F$51:$S$51)*$Q$369</f>
        <v>0</v>
      </c>
      <c r="W351" s="494">
        <f>SUMIF($D$114,E351,$D$129)*$Q$370</f>
        <v>0</v>
      </c>
      <c r="X351" s="494">
        <f>SUMIF($F$139:$S$139,E351,$F$156:$S$156)*$Q$370</f>
        <v>0</v>
      </c>
      <c r="Y351" s="494"/>
      <c r="Z351" s="494">
        <f>SUMIF($P$373:$P$388,E351,$R$373:$R$388)</f>
        <v>0</v>
      </c>
      <c r="AA351" s="319"/>
      <c r="AB351" s="319"/>
      <c r="AC351" s="319"/>
      <c r="AD351" s="319"/>
      <c r="AE351" s="319"/>
      <c r="AF351" s="319"/>
      <c r="AG351" s="319"/>
      <c r="AH351" s="319"/>
      <c r="AI351" s="319"/>
      <c r="AJ351" s="319"/>
      <c r="AK351" s="319"/>
      <c r="AL351" s="319"/>
      <c r="AM351" s="319"/>
      <c r="AN351" s="319"/>
      <c r="AO351" s="319"/>
      <c r="AP351" s="319"/>
      <c r="AQ351" s="319"/>
      <c r="AR351" s="319"/>
      <c r="AS351" s="319"/>
      <c r="AT351" s="319"/>
      <c r="AU351" s="319"/>
      <c r="AV351" s="319"/>
      <c r="AW351" s="319"/>
      <c r="AX351" s="319"/>
      <c r="AY351" s="319"/>
      <c r="AZ351" s="319"/>
      <c r="BA351" s="319"/>
    </row>
    <row r="352" spans="1:53" ht="13.2" hidden="1">
      <c r="A352" s="319"/>
      <c r="B352" s="319"/>
      <c r="C352" s="319">
        <f t="shared" si="141"/>
        <v>1</v>
      </c>
      <c r="D352" s="319" t="str">
        <f t="shared" si="146"/>
        <v>Gas natural - mmBtu</v>
      </c>
      <c r="E352" s="319" t="str">
        <f>'Modelo Energético'!K1187</f>
        <v>Gas natural - m³</v>
      </c>
      <c r="F352" s="319" t="str">
        <f>'Modelo Energético'!L1187</f>
        <v>Gás Natural</v>
      </c>
      <c r="G352" s="319" t="str">
        <f>'Modelo Energético'!M1187</f>
        <v>m³</v>
      </c>
      <c r="H352" s="494">
        <f>'Modelo Energético'!N1187</f>
        <v>9.4382666666666655</v>
      </c>
      <c r="I352" s="319" t="str">
        <f>'Modelo Energético'!O1187</f>
        <v>€/m³</v>
      </c>
      <c r="J352" s="494">
        <f t="shared" si="131"/>
        <v>0</v>
      </c>
      <c r="K352" s="494">
        <f t="shared" si="132"/>
        <v>0</v>
      </c>
      <c r="L352" s="494">
        <f t="shared" si="133"/>
        <v>0</v>
      </c>
      <c r="M352" s="494">
        <f t="shared" si="134"/>
        <v>0</v>
      </c>
      <c r="N352" s="494"/>
      <c r="O352" s="494">
        <f t="shared" si="142"/>
        <v>0</v>
      </c>
      <c r="P352" s="494">
        <f t="shared" si="143"/>
        <v>0</v>
      </c>
      <c r="Q352" s="494">
        <f t="shared" si="144"/>
        <v>0</v>
      </c>
      <c r="R352" s="494">
        <f t="shared" si="135"/>
        <v>0</v>
      </c>
      <c r="S352" s="494">
        <f t="shared" si="145"/>
        <v>0</v>
      </c>
      <c r="T352" s="494"/>
      <c r="U352" s="494">
        <f t="shared" si="136"/>
        <v>0</v>
      </c>
      <c r="V352" s="494">
        <f t="shared" si="137"/>
        <v>0</v>
      </c>
      <c r="W352" s="494">
        <f t="shared" si="138"/>
        <v>0</v>
      </c>
      <c r="X352" s="494">
        <f t="shared" si="139"/>
        <v>0</v>
      </c>
      <c r="Y352" s="494"/>
      <c r="Z352" s="494">
        <f t="shared" si="140"/>
        <v>0</v>
      </c>
      <c r="AA352" s="319"/>
      <c r="AB352" s="319"/>
      <c r="AC352" s="319"/>
      <c r="AD352" s="319"/>
      <c r="AE352" s="319"/>
      <c r="AF352" s="319"/>
      <c r="AG352" s="319"/>
      <c r="AH352" s="319"/>
      <c r="AI352" s="319"/>
      <c r="AJ352" s="319"/>
      <c r="AK352" s="319"/>
      <c r="AL352" s="319"/>
      <c r="AM352" s="319"/>
      <c r="AN352" s="319"/>
      <c r="AO352" s="319"/>
      <c r="AP352" s="319"/>
      <c r="AQ352" s="319"/>
      <c r="AR352" s="319"/>
      <c r="AS352" s="319"/>
      <c r="AT352" s="319"/>
      <c r="AU352" s="319"/>
      <c r="AV352" s="319"/>
      <c r="AW352" s="319"/>
      <c r="AX352" s="319"/>
      <c r="AY352" s="319"/>
      <c r="AZ352" s="319"/>
      <c r="BA352" s="319"/>
    </row>
    <row r="353" spans="1:53" ht="13.2" hidden="1">
      <c r="A353" s="319"/>
      <c r="B353" s="319"/>
      <c r="C353" s="319">
        <f t="shared" si="141"/>
        <v>1</v>
      </c>
      <c r="D353" s="319" t="str">
        <f t="shared" si="146"/>
        <v>Gaz natural - térm.</v>
      </c>
      <c r="E353" s="319" t="str">
        <f>'Modelo Energético'!K1188</f>
        <v>Gas natural - mmBtu</v>
      </c>
      <c r="F353" s="319" t="str">
        <f>'Modelo Energético'!L1188</f>
        <v>Gás Natural</v>
      </c>
      <c r="G353" s="319" t="str">
        <f>'Modelo Energético'!M1188</f>
        <v>mmBtu</v>
      </c>
      <c r="H353" s="494">
        <f>'Modelo Energético'!N1188</f>
        <v>293.07107017222216</v>
      </c>
      <c r="I353" s="319" t="str">
        <f>'Modelo Energético'!O1188</f>
        <v>€/mmBtu</v>
      </c>
      <c r="J353" s="494">
        <f t="shared" si="131"/>
        <v>0</v>
      </c>
      <c r="K353" s="494">
        <f t="shared" si="132"/>
        <v>0</v>
      </c>
      <c r="L353" s="494">
        <f t="shared" si="133"/>
        <v>0</v>
      </c>
      <c r="M353" s="494">
        <f t="shared" si="134"/>
        <v>0</v>
      </c>
      <c r="N353" s="494"/>
      <c r="O353" s="494">
        <f t="shared" si="142"/>
        <v>0</v>
      </c>
      <c r="P353" s="494">
        <f t="shared" si="143"/>
        <v>0</v>
      </c>
      <c r="Q353" s="494">
        <f t="shared" si="144"/>
        <v>0</v>
      </c>
      <c r="R353" s="494">
        <f t="shared" si="135"/>
        <v>0</v>
      </c>
      <c r="S353" s="494">
        <f t="shared" si="145"/>
        <v>0</v>
      </c>
      <c r="T353" s="494"/>
      <c r="U353" s="494">
        <f t="shared" si="136"/>
        <v>0</v>
      </c>
      <c r="V353" s="494">
        <f t="shared" si="137"/>
        <v>0</v>
      </c>
      <c r="W353" s="494">
        <f t="shared" si="138"/>
        <v>0</v>
      </c>
      <c r="X353" s="494">
        <f t="shared" si="139"/>
        <v>0</v>
      </c>
      <c r="Y353" s="494"/>
      <c r="Z353" s="494">
        <f t="shared" si="140"/>
        <v>0</v>
      </c>
      <c r="AA353" s="319"/>
      <c r="AB353" s="319"/>
      <c r="AC353" s="319"/>
      <c r="AD353" s="319"/>
      <c r="AE353" s="319"/>
      <c r="AF353" s="319"/>
      <c r="AG353" s="319"/>
      <c r="AH353" s="319"/>
      <c r="AI353" s="319"/>
      <c r="AJ353" s="319"/>
      <c r="AK353" s="319"/>
      <c r="AL353" s="319"/>
      <c r="AM353" s="319"/>
      <c r="AN353" s="319"/>
      <c r="AO353" s="319"/>
      <c r="AP353" s="319"/>
      <c r="AQ353" s="319"/>
      <c r="AR353" s="319"/>
      <c r="AS353" s="319"/>
      <c r="AT353" s="319"/>
      <c r="AU353" s="319"/>
      <c r="AV353" s="319"/>
      <c r="AW353" s="319"/>
      <c r="AX353" s="319"/>
      <c r="AY353" s="319"/>
      <c r="AZ353" s="319"/>
      <c r="BA353" s="319"/>
    </row>
    <row r="354" spans="1:53" ht="13.2" hidden="1">
      <c r="A354" s="319"/>
      <c r="B354" s="319"/>
      <c r="C354" s="319">
        <f t="shared" si="141"/>
        <v>1</v>
      </c>
      <c r="D354" s="319" t="str">
        <f>E355</f>
        <v>Oleo (#6) - gal</v>
      </c>
      <c r="E354" s="319" t="str">
        <f>'Modelo Energético'!K1189</f>
        <v>Gaz natural - térm.</v>
      </c>
      <c r="F354" s="319" t="str">
        <f>'Modelo Energético'!L1189</f>
        <v>Gás Natural</v>
      </c>
      <c r="G354" s="319" t="str">
        <f>'Modelo Energético'!M1189</f>
        <v>térm.</v>
      </c>
      <c r="H354" s="494">
        <f>'Modelo Energético'!N1189</f>
        <v>29.307107017222215</v>
      </c>
      <c r="I354" s="319" t="str">
        <f>'Modelo Energético'!O1189</f>
        <v>€/térm.</v>
      </c>
      <c r="J354" s="494">
        <f>SUMIF($D$9,E354,$D$22)*$Q$369</f>
        <v>0</v>
      </c>
      <c r="K354" s="494">
        <f>SUMIF($F$34:$S$34,E354,$F$48:$S$48)*$Q$369</f>
        <v>0</v>
      </c>
      <c r="L354" s="494">
        <f>SUMIF($D$114,E354,$D$127)*$Q$370</f>
        <v>0</v>
      </c>
      <c r="M354" s="494">
        <f>SUMIF($F$139:$S$139,E354,$F$153:$S$153)*$Q$370</f>
        <v>0</v>
      </c>
      <c r="N354" s="494"/>
      <c r="O354" s="494">
        <f>SUMIF($P$373:$P$388,E354,$Q$373:$Q$388)</f>
        <v>0</v>
      </c>
      <c r="P354" s="494">
        <f>IF(ISERROR(IF($Q$372=0,SUM(J354:N354)+R354,O354)),0,IF($Q$372=0,SUM(J354:N354)+R354,O354))</f>
        <v>0</v>
      </c>
      <c r="Q354" s="494">
        <f>H354*P354/1000*3.6</f>
        <v>0</v>
      </c>
      <c r="R354" s="494">
        <f>IF(ISERROR(IF($D$220=E354,$W$222/3.6,0)/H354),0,IF($D$220=E354,$W$222/3.6,0)/H354*1000)</f>
        <v>0</v>
      </c>
      <c r="S354" s="494">
        <f>IF(ISERROR(SUM(U354:Z354)),0,SUM(U354:Z354)+IF(R354&lt;&gt;0,$D$226,0))</f>
        <v>0</v>
      </c>
      <c r="T354" s="494"/>
      <c r="U354" s="494">
        <f>SUMIF($D$9,E354,$D$24)*$Q$369</f>
        <v>0</v>
      </c>
      <c r="V354" s="494">
        <f>SUMIF($F$34:$S$34,E354,$F$51:$S$51)*$Q$369</f>
        <v>0</v>
      </c>
      <c r="W354" s="494">
        <f>SUMIF($D$114,E354,$D$129)*$Q$370</f>
        <v>0</v>
      </c>
      <c r="X354" s="494">
        <f>SUMIF($F$139:$S$139,E354,$F$156:$S$156)*$Q$370</f>
        <v>0</v>
      </c>
      <c r="Y354" s="494"/>
      <c r="Z354" s="494">
        <f>SUMIF($P$373:$P$388,E354,$R$373:$R$388)</f>
        <v>0</v>
      </c>
      <c r="AA354" s="319"/>
      <c r="AB354" s="319"/>
      <c r="AC354" s="319"/>
      <c r="AD354" s="319"/>
      <c r="AE354" s="319"/>
      <c r="AF354" s="319"/>
      <c r="AG354" s="319"/>
      <c r="AH354" s="319"/>
      <c r="AI354" s="319"/>
      <c r="AJ354" s="319"/>
      <c r="AK354" s="319"/>
      <c r="AL354" s="319"/>
      <c r="AM354" s="319"/>
      <c r="AN354" s="319"/>
      <c r="AO354" s="319"/>
      <c r="AP354" s="319"/>
      <c r="AQ354" s="319"/>
      <c r="AR354" s="319"/>
      <c r="AS354" s="319"/>
      <c r="AT354" s="319"/>
      <c r="AU354" s="319"/>
      <c r="AV354" s="319"/>
      <c r="AW354" s="319"/>
      <c r="AX354" s="319"/>
      <c r="AY354" s="319"/>
      <c r="AZ354" s="319"/>
      <c r="BA354" s="319"/>
    </row>
    <row r="355" spans="1:53" ht="13.2" hidden="1">
      <c r="A355" s="319"/>
      <c r="B355" s="319"/>
      <c r="C355" s="319">
        <f t="shared" si="141"/>
        <v>1</v>
      </c>
      <c r="D355" s="319" t="str">
        <f t="shared" si="146"/>
        <v>Oleo (#6) - L</v>
      </c>
      <c r="E355" s="319" t="str">
        <f>'Modelo Energético'!K1190</f>
        <v>Oleo (#6) - gal</v>
      </c>
      <c r="F355" s="319" t="str">
        <f>'Modelo Energético'!L1190</f>
        <v>Óleo (#6)</v>
      </c>
      <c r="G355" s="319" t="str">
        <f>'Modelo Energético'!M1190</f>
        <v>gal</v>
      </c>
      <c r="H355" s="494">
        <f>'Modelo Energético'!N1190</f>
        <v>40.682051659889886</v>
      </c>
      <c r="I355" s="319" t="str">
        <f>'Modelo Energético'!O1190</f>
        <v>€/gal</v>
      </c>
      <c r="J355" s="494">
        <f t="shared" si="131"/>
        <v>0</v>
      </c>
      <c r="K355" s="494">
        <f t="shared" si="132"/>
        <v>0</v>
      </c>
      <c r="L355" s="494">
        <f t="shared" si="133"/>
        <v>0</v>
      </c>
      <c r="M355" s="494">
        <f t="shared" si="134"/>
        <v>0</v>
      </c>
      <c r="N355" s="494"/>
      <c r="O355" s="494">
        <f t="shared" si="142"/>
        <v>0</v>
      </c>
      <c r="P355" s="494">
        <f t="shared" si="143"/>
        <v>0</v>
      </c>
      <c r="Q355" s="494">
        <f t="shared" si="144"/>
        <v>0</v>
      </c>
      <c r="R355" s="494">
        <f t="shared" si="135"/>
        <v>0</v>
      </c>
      <c r="S355" s="494">
        <f t="shared" si="145"/>
        <v>0</v>
      </c>
      <c r="T355" s="494"/>
      <c r="U355" s="494">
        <f t="shared" si="136"/>
        <v>0</v>
      </c>
      <c r="V355" s="494">
        <f t="shared" si="137"/>
        <v>0</v>
      </c>
      <c r="W355" s="494">
        <f t="shared" si="138"/>
        <v>0</v>
      </c>
      <c r="X355" s="494">
        <f t="shared" si="139"/>
        <v>0</v>
      </c>
      <c r="Y355" s="494"/>
      <c r="Z355" s="494">
        <f t="shared" si="140"/>
        <v>0</v>
      </c>
      <c r="AA355" s="319"/>
      <c r="AB355" s="319"/>
      <c r="AC355" s="319"/>
      <c r="AD355" s="319"/>
      <c r="AE355" s="319"/>
      <c r="AF355" s="319"/>
      <c r="AG355" s="319"/>
      <c r="AH355" s="319"/>
      <c r="AI355" s="319"/>
      <c r="AJ355" s="319"/>
      <c r="AK355" s="319"/>
      <c r="AL355" s="319"/>
      <c r="AM355" s="319"/>
      <c r="AN355" s="319"/>
      <c r="AO355" s="319"/>
      <c r="AP355" s="319"/>
      <c r="AQ355" s="319"/>
      <c r="AR355" s="319"/>
      <c r="AS355" s="319"/>
      <c r="AT355" s="319"/>
      <c r="AU355" s="319"/>
      <c r="AV355" s="319"/>
      <c r="AW355" s="319"/>
      <c r="AX355" s="319"/>
      <c r="AY355" s="319"/>
      <c r="AZ355" s="319"/>
      <c r="BA355" s="319"/>
    </row>
    <row r="356" spans="1:53" ht="13.2" hidden="1">
      <c r="A356" s="319"/>
      <c r="B356" s="319"/>
      <c r="C356" s="319">
        <f t="shared" si="141"/>
        <v>1</v>
      </c>
      <c r="D356" s="319" t="str">
        <f t="shared" si="146"/>
        <v>Propano - gal</v>
      </c>
      <c r="E356" s="319" t="str">
        <f>'Modelo Energético'!K1191</f>
        <v>Oleo (#6) - L</v>
      </c>
      <c r="F356" s="319" t="str">
        <f>'Modelo Energético'!L1191</f>
        <v>Óleo (#6)</v>
      </c>
      <c r="G356" s="319" t="str">
        <f>'Modelo Energético'!M1191</f>
        <v>L</v>
      </c>
      <c r="H356" s="494">
        <f>'Modelo Energético'!N1191</f>
        <v>10.74706108113333</v>
      </c>
      <c r="I356" s="319" t="str">
        <f>'Modelo Energético'!O1191</f>
        <v>€/L</v>
      </c>
      <c r="J356" s="494">
        <f t="shared" si="131"/>
        <v>0</v>
      </c>
      <c r="K356" s="494">
        <f t="shared" si="132"/>
        <v>0</v>
      </c>
      <c r="L356" s="494">
        <f t="shared" si="133"/>
        <v>0</v>
      </c>
      <c r="M356" s="494">
        <f t="shared" si="134"/>
        <v>0</v>
      </c>
      <c r="N356" s="494"/>
      <c r="O356" s="494">
        <f t="shared" si="142"/>
        <v>0</v>
      </c>
      <c r="P356" s="494">
        <f t="shared" si="143"/>
        <v>0</v>
      </c>
      <c r="Q356" s="494">
        <f t="shared" si="144"/>
        <v>0</v>
      </c>
      <c r="R356" s="494">
        <f t="shared" si="135"/>
        <v>0</v>
      </c>
      <c r="S356" s="494">
        <f t="shared" si="145"/>
        <v>0</v>
      </c>
      <c r="T356" s="494"/>
      <c r="U356" s="494">
        <f t="shared" si="136"/>
        <v>0</v>
      </c>
      <c r="V356" s="494">
        <f t="shared" si="137"/>
        <v>0</v>
      </c>
      <c r="W356" s="494">
        <f t="shared" si="138"/>
        <v>0</v>
      </c>
      <c r="X356" s="494">
        <f t="shared" si="139"/>
        <v>0</v>
      </c>
      <c r="Y356" s="494"/>
      <c r="Z356" s="494">
        <f t="shared" si="140"/>
        <v>0</v>
      </c>
      <c r="AA356" s="319"/>
      <c r="AB356" s="319"/>
      <c r="AC356" s="319"/>
      <c r="AD356" s="319"/>
      <c r="AE356" s="319"/>
      <c r="AF356" s="319"/>
      <c r="AG356" s="319"/>
      <c r="AH356" s="319"/>
      <c r="AI356" s="319"/>
      <c r="AJ356" s="319"/>
      <c r="AK356" s="319"/>
      <c r="AL356" s="319"/>
      <c r="AM356" s="319"/>
      <c r="AN356" s="319"/>
      <c r="AO356" s="319"/>
      <c r="AP356" s="319"/>
      <c r="AQ356" s="319"/>
      <c r="AR356" s="319"/>
      <c r="AS356" s="319"/>
      <c r="AT356" s="319"/>
      <c r="AU356" s="319"/>
      <c r="AV356" s="319"/>
      <c r="AW356" s="319"/>
      <c r="AX356" s="319"/>
      <c r="AY356" s="319"/>
      <c r="AZ356" s="319"/>
      <c r="BA356" s="319"/>
    </row>
    <row r="357" spans="1:53" ht="13.2" hidden="1">
      <c r="A357" s="319"/>
      <c r="B357" s="319"/>
      <c r="C357" s="319">
        <f t="shared" si="141"/>
        <v>1</v>
      </c>
      <c r="D357" s="319" t="str">
        <f t="shared" si="146"/>
        <v>Propano - kg</v>
      </c>
      <c r="E357" s="319" t="str">
        <f>'Modelo Energético'!K1192</f>
        <v>Propano - gal</v>
      </c>
      <c r="F357" s="319" t="str">
        <f>'Modelo Energético'!L1192</f>
        <v>Propano</v>
      </c>
      <c r="G357" s="319" t="str">
        <f>'Modelo Energético'!M1192</f>
        <v>gal</v>
      </c>
      <c r="H357" s="494">
        <f>'Modelo Energético'!N1192</f>
        <v>25.790136664784796</v>
      </c>
      <c r="I357" s="319" t="str">
        <f>'Modelo Energético'!O1192</f>
        <v>€/gal</v>
      </c>
      <c r="J357" s="494">
        <f t="shared" si="131"/>
        <v>0</v>
      </c>
      <c r="K357" s="494">
        <f t="shared" si="132"/>
        <v>0</v>
      </c>
      <c r="L357" s="494">
        <f t="shared" si="133"/>
        <v>0</v>
      </c>
      <c r="M357" s="494">
        <f t="shared" si="134"/>
        <v>0</v>
      </c>
      <c r="N357" s="494"/>
      <c r="O357" s="494">
        <f t="shared" si="142"/>
        <v>0</v>
      </c>
      <c r="P357" s="494">
        <f t="shared" si="143"/>
        <v>0</v>
      </c>
      <c r="Q357" s="494">
        <f t="shared" si="144"/>
        <v>0</v>
      </c>
      <c r="R357" s="494">
        <f t="shared" si="135"/>
        <v>0</v>
      </c>
      <c r="S357" s="494">
        <f t="shared" si="145"/>
        <v>0</v>
      </c>
      <c r="T357" s="494"/>
      <c r="U357" s="494">
        <f t="shared" si="136"/>
        <v>0</v>
      </c>
      <c r="V357" s="494">
        <f t="shared" si="137"/>
        <v>0</v>
      </c>
      <c r="W357" s="494">
        <f t="shared" si="138"/>
        <v>0</v>
      </c>
      <c r="X357" s="494">
        <f t="shared" si="139"/>
        <v>0</v>
      </c>
      <c r="Y357" s="494"/>
      <c r="Z357" s="494">
        <f t="shared" si="140"/>
        <v>0</v>
      </c>
      <c r="AA357" s="319"/>
      <c r="AB357" s="319"/>
      <c r="AC357" s="319"/>
      <c r="AD357" s="319"/>
      <c r="AE357" s="319"/>
      <c r="AF357" s="319"/>
      <c r="AG357" s="319"/>
      <c r="AH357" s="319"/>
      <c r="AI357" s="319"/>
      <c r="AJ357" s="319"/>
      <c r="AK357" s="319"/>
      <c r="AL357" s="319"/>
      <c r="AM357" s="319"/>
      <c r="AN357" s="319"/>
      <c r="AO357" s="319"/>
      <c r="AP357" s="319"/>
      <c r="AQ357" s="319"/>
      <c r="AR357" s="319"/>
      <c r="AS357" s="319"/>
      <c r="AT357" s="319"/>
      <c r="AU357" s="319"/>
      <c r="AV357" s="319"/>
      <c r="AW357" s="319"/>
      <c r="AX357" s="319"/>
      <c r="AY357" s="319"/>
      <c r="AZ357" s="319"/>
      <c r="BA357" s="319"/>
    </row>
    <row r="358" spans="1:53" ht="13.2" hidden="1">
      <c r="A358" s="319"/>
      <c r="B358" s="319"/>
      <c r="C358" s="319">
        <f t="shared" si="141"/>
        <v>1</v>
      </c>
      <c r="D358" s="319" t="str">
        <f t="shared" si="146"/>
        <v>Propano - L</v>
      </c>
      <c r="E358" s="319" t="str">
        <f>'Modelo Energético'!K1193</f>
        <v>Propano - kg</v>
      </c>
      <c r="F358" s="319" t="str">
        <f>'Modelo Energético'!L1193</f>
        <v>Propano</v>
      </c>
      <c r="G358" s="319" t="str">
        <f>'Modelo Energético'!M1193</f>
        <v>kg</v>
      </c>
      <c r="H358" s="494">
        <f>'Modelo Energético'!N1193</f>
        <v>13.358888888888888</v>
      </c>
      <c r="I358" s="319" t="str">
        <f>'Modelo Energético'!O1193</f>
        <v>€/kg</v>
      </c>
      <c r="J358" s="494">
        <f t="shared" si="131"/>
        <v>0</v>
      </c>
      <c r="K358" s="494">
        <f t="shared" si="132"/>
        <v>0</v>
      </c>
      <c r="L358" s="494">
        <f t="shared" si="133"/>
        <v>0</v>
      </c>
      <c r="M358" s="494">
        <f t="shared" si="134"/>
        <v>0</v>
      </c>
      <c r="N358" s="494"/>
      <c r="O358" s="494">
        <f t="shared" si="142"/>
        <v>0</v>
      </c>
      <c r="P358" s="494">
        <f t="shared" si="143"/>
        <v>0</v>
      </c>
      <c r="Q358" s="494">
        <f t="shared" si="144"/>
        <v>0</v>
      </c>
      <c r="R358" s="494">
        <f t="shared" si="135"/>
        <v>0</v>
      </c>
      <c r="S358" s="494">
        <f t="shared" si="145"/>
        <v>0</v>
      </c>
      <c r="T358" s="494"/>
      <c r="U358" s="494">
        <f t="shared" si="136"/>
        <v>0</v>
      </c>
      <c r="V358" s="494">
        <f t="shared" si="137"/>
        <v>0</v>
      </c>
      <c r="W358" s="494">
        <f t="shared" si="138"/>
        <v>0</v>
      </c>
      <c r="X358" s="494">
        <f t="shared" si="139"/>
        <v>0</v>
      </c>
      <c r="Y358" s="494"/>
      <c r="Z358" s="494">
        <f t="shared" si="140"/>
        <v>0</v>
      </c>
      <c r="AA358" s="319"/>
      <c r="AB358" s="319"/>
      <c r="AC358" s="319"/>
      <c r="AD358" s="319"/>
      <c r="AE358" s="319"/>
      <c r="AF358" s="319"/>
      <c r="AG358" s="319"/>
      <c r="AH358" s="319"/>
      <c r="AI358" s="319"/>
      <c r="AJ358" s="319"/>
      <c r="AK358" s="319"/>
      <c r="AL358" s="319"/>
      <c r="AM358" s="319"/>
      <c r="AN358" s="319"/>
      <c r="AO358" s="319"/>
      <c r="AP358" s="319"/>
      <c r="AQ358" s="319"/>
      <c r="AR358" s="319"/>
      <c r="AS358" s="319"/>
      <c r="AT358" s="319"/>
      <c r="AU358" s="319"/>
      <c r="AV358" s="319"/>
      <c r="AW358" s="319"/>
      <c r="AX358" s="319"/>
      <c r="AY358" s="319"/>
      <c r="AZ358" s="319"/>
      <c r="BA358" s="319"/>
    </row>
    <row r="359" spans="1:53" ht="13.2" hidden="1">
      <c r="A359" s="319"/>
      <c r="B359" s="319"/>
      <c r="C359" s="319">
        <f t="shared" si="141"/>
        <v>1</v>
      </c>
      <c r="D359" s="319" t="str">
        <f t="shared" si="146"/>
        <v>Combustível definido pelo usuário</v>
      </c>
      <c r="E359" s="319" t="str">
        <f>'Modelo Energético'!K1194</f>
        <v>Propano - L</v>
      </c>
      <c r="F359" s="319" t="str">
        <f>'Modelo Energético'!L1194</f>
        <v>Propano</v>
      </c>
      <c r="G359" s="319" t="str">
        <f>'Modelo Energético'!M1194</f>
        <v>L</v>
      </c>
      <c r="H359" s="494">
        <f>'Modelo Energético'!N1194</f>
        <v>6.8130333333333333</v>
      </c>
      <c r="I359" s="319" t="str">
        <f>'Modelo Energético'!O1194</f>
        <v>€/L</v>
      </c>
      <c r="J359" s="494">
        <f t="shared" si="131"/>
        <v>0</v>
      </c>
      <c r="K359" s="494">
        <f t="shared" si="132"/>
        <v>0</v>
      </c>
      <c r="L359" s="494">
        <f t="shared" si="133"/>
        <v>0</v>
      </c>
      <c r="M359" s="494">
        <f t="shared" si="134"/>
        <v>0</v>
      </c>
      <c r="N359" s="494"/>
      <c r="O359" s="494">
        <f t="shared" si="142"/>
        <v>0</v>
      </c>
      <c r="P359" s="494">
        <f t="shared" si="143"/>
        <v>0</v>
      </c>
      <c r="Q359" s="494">
        <f t="shared" si="144"/>
        <v>0</v>
      </c>
      <c r="R359" s="494">
        <f t="shared" si="135"/>
        <v>0</v>
      </c>
      <c r="S359" s="494">
        <f t="shared" si="145"/>
        <v>0</v>
      </c>
      <c r="T359" s="494"/>
      <c r="U359" s="494">
        <f t="shared" si="136"/>
        <v>0</v>
      </c>
      <c r="V359" s="494">
        <f t="shared" si="137"/>
        <v>0</v>
      </c>
      <c r="W359" s="494">
        <f t="shared" si="138"/>
        <v>0</v>
      </c>
      <c r="X359" s="494">
        <f t="shared" si="139"/>
        <v>0</v>
      </c>
      <c r="Y359" s="494"/>
      <c r="Z359" s="494">
        <f t="shared" si="140"/>
        <v>0</v>
      </c>
      <c r="AA359" s="319"/>
      <c r="AB359" s="319"/>
      <c r="AC359" s="319"/>
      <c r="AD359" s="319"/>
      <c r="AE359" s="319"/>
      <c r="AF359" s="319"/>
      <c r="AG359" s="319"/>
      <c r="AH359" s="319"/>
      <c r="AI359" s="319"/>
      <c r="AJ359" s="319"/>
      <c r="AK359" s="319"/>
      <c r="AL359" s="319"/>
      <c r="AM359" s="319"/>
      <c r="AN359" s="319"/>
      <c r="AO359" s="319"/>
      <c r="AP359" s="319"/>
      <c r="AQ359" s="319"/>
      <c r="AR359" s="319"/>
      <c r="AS359" s="319"/>
      <c r="AT359" s="319"/>
      <c r="AU359" s="319"/>
      <c r="AV359" s="319"/>
      <c r="AW359" s="319"/>
      <c r="AX359" s="319"/>
      <c r="AY359" s="319"/>
      <c r="AZ359" s="319"/>
      <c r="BA359" s="319"/>
    </row>
    <row r="360" spans="1:53" ht="13.2" hidden="1">
      <c r="A360" s="319"/>
      <c r="B360" s="319"/>
      <c r="C360" s="319">
        <f t="shared" si="141"/>
        <v>1</v>
      </c>
      <c r="D360" s="319"/>
      <c r="E360" s="319" t="str">
        <f>'Modelo Energético'!K1195</f>
        <v>Combustível definido pelo usuário</v>
      </c>
      <c r="F360" s="319" t="str">
        <f>'Modelo Energético'!L1195</f>
        <v>Combustível definido pelo usuário</v>
      </c>
      <c r="G360" s="319" t="str">
        <f>'Modelo Energético'!M1195</f>
        <v>kg</v>
      </c>
      <c r="H360" s="494">
        <f>'Modelo Energético'!N1195</f>
        <v>5.5555555555555554</v>
      </c>
      <c r="I360" s="319" t="str">
        <f>'Modelo Energético'!O1195</f>
        <v>€/kg</v>
      </c>
      <c r="J360" s="494">
        <f t="shared" si="131"/>
        <v>0</v>
      </c>
      <c r="K360" s="494">
        <f t="shared" si="132"/>
        <v>0</v>
      </c>
      <c r="L360" s="494">
        <f t="shared" si="133"/>
        <v>0</v>
      </c>
      <c r="M360" s="494">
        <f t="shared" si="134"/>
        <v>0</v>
      </c>
      <c r="N360" s="494"/>
      <c r="O360" s="494">
        <f t="shared" si="142"/>
        <v>0</v>
      </c>
      <c r="P360" s="494">
        <f t="shared" si="143"/>
        <v>0</v>
      </c>
      <c r="Q360" s="494">
        <f t="shared" si="144"/>
        <v>0</v>
      </c>
      <c r="R360" s="494">
        <f t="shared" si="135"/>
        <v>0</v>
      </c>
      <c r="S360" s="494">
        <f t="shared" si="145"/>
        <v>0</v>
      </c>
      <c r="T360" s="494"/>
      <c r="U360" s="494">
        <f t="shared" si="136"/>
        <v>0</v>
      </c>
      <c r="V360" s="494">
        <f t="shared" si="137"/>
        <v>0</v>
      </c>
      <c r="W360" s="494">
        <f t="shared" si="138"/>
        <v>0</v>
      </c>
      <c r="X360" s="494">
        <f t="shared" si="139"/>
        <v>0</v>
      </c>
      <c r="Y360" s="494"/>
      <c r="Z360" s="494">
        <f t="shared" si="140"/>
        <v>0</v>
      </c>
      <c r="AA360" s="319"/>
      <c r="AB360" s="319"/>
      <c r="AC360" s="319"/>
      <c r="AD360" s="319"/>
      <c r="AE360" s="319"/>
      <c r="AF360" s="319"/>
      <c r="AG360" s="319"/>
      <c r="AH360" s="319"/>
      <c r="AI360" s="319"/>
      <c r="AJ360" s="319"/>
      <c r="AK360" s="319"/>
      <c r="AL360" s="319"/>
      <c r="AM360" s="319"/>
      <c r="AN360" s="319"/>
      <c r="AO360" s="319"/>
      <c r="AP360" s="319"/>
      <c r="AQ360" s="319"/>
      <c r="AR360" s="319"/>
      <c r="AS360" s="319"/>
      <c r="AT360" s="319"/>
      <c r="AU360" s="319"/>
      <c r="AV360" s="319"/>
      <c r="AW360" s="319"/>
      <c r="AX360" s="319"/>
      <c r="AY360" s="319"/>
      <c r="AZ360" s="319"/>
      <c r="BA360" s="319"/>
    </row>
    <row r="361" spans="1:53" ht="13.2" hidden="1">
      <c r="A361" s="319"/>
      <c r="B361" s="319"/>
      <c r="C361" s="319">
        <f t="shared" si="141"/>
        <v>1</v>
      </c>
      <c r="D361" s="319"/>
      <c r="E361" s="319" t="s">
        <v>5467</v>
      </c>
      <c r="F361" s="319" t="s">
        <v>5467</v>
      </c>
      <c r="G361" s="319" t="s">
        <v>708</v>
      </c>
      <c r="H361" s="494">
        <v>1000</v>
      </c>
      <c r="I361" s="319" t="s">
        <v>637</v>
      </c>
      <c r="J361" s="494">
        <f t="shared" si="131"/>
        <v>0</v>
      </c>
      <c r="K361" s="494">
        <f t="shared" si="132"/>
        <v>0</v>
      </c>
      <c r="L361" s="494">
        <f t="shared" si="133"/>
        <v>0</v>
      </c>
      <c r="M361" s="494">
        <f t="shared" si="134"/>
        <v>0</v>
      </c>
      <c r="N361" s="494"/>
      <c r="O361" s="494">
        <f t="shared" si="142"/>
        <v>0</v>
      </c>
      <c r="P361" s="494">
        <f t="shared" si="143"/>
        <v>0</v>
      </c>
      <c r="Q361" s="494">
        <f>H361*P361/1000*3.6</f>
        <v>0</v>
      </c>
      <c r="R361" s="494">
        <f t="shared" si="135"/>
        <v>0</v>
      </c>
      <c r="S361" s="494">
        <f t="shared" si="145"/>
        <v>0</v>
      </c>
      <c r="T361" s="494"/>
      <c r="U361" s="494">
        <f t="shared" si="136"/>
        <v>0</v>
      </c>
      <c r="V361" s="494">
        <f t="shared" si="137"/>
        <v>0</v>
      </c>
      <c r="W361" s="494">
        <f t="shared" si="138"/>
        <v>0</v>
      </c>
      <c r="X361" s="494">
        <f t="shared" si="139"/>
        <v>0</v>
      </c>
      <c r="Y361" s="494"/>
      <c r="Z361" s="494">
        <f t="shared" si="140"/>
        <v>0</v>
      </c>
      <c r="AA361" s="319"/>
      <c r="AB361" s="319"/>
      <c r="AC361" s="319"/>
      <c r="AD361" s="319"/>
      <c r="AE361" s="319"/>
      <c r="AF361" s="319"/>
      <c r="AG361" s="319"/>
      <c r="AH361" s="319"/>
      <c r="AI361" s="319"/>
      <c r="AJ361" s="319"/>
      <c r="AK361" s="319"/>
      <c r="AL361" s="319"/>
      <c r="AM361" s="319"/>
      <c r="AN361" s="319"/>
      <c r="AO361" s="319"/>
      <c r="AP361" s="319"/>
      <c r="AQ361" s="319"/>
      <c r="AR361" s="319"/>
      <c r="AS361" s="319"/>
      <c r="AT361" s="319"/>
      <c r="AU361" s="319"/>
      <c r="AV361" s="319"/>
      <c r="AW361" s="319"/>
      <c r="AX361" s="319"/>
      <c r="AY361" s="319"/>
      <c r="AZ361" s="319"/>
      <c r="BA361" s="319"/>
    </row>
    <row r="362" spans="1:53" ht="13.2" hidden="1">
      <c r="A362" s="319"/>
      <c r="B362" s="319"/>
      <c r="C362" s="319">
        <f t="shared" si="141"/>
        <v>1</v>
      </c>
      <c r="D362" s="319"/>
      <c r="E362" s="319" t="s">
        <v>3442</v>
      </c>
      <c r="F362" s="319" t="s">
        <v>3442</v>
      </c>
      <c r="G362" s="319" t="s">
        <v>2745</v>
      </c>
      <c r="H362" s="494">
        <v>1000</v>
      </c>
      <c r="I362" s="319" t="s">
        <v>5915</v>
      </c>
      <c r="J362" s="494">
        <f t="shared" si="131"/>
        <v>0</v>
      </c>
      <c r="K362" s="494">
        <f t="shared" si="132"/>
        <v>0</v>
      </c>
      <c r="L362" s="494">
        <f t="shared" si="133"/>
        <v>0</v>
      </c>
      <c r="M362" s="494">
        <f t="shared" si="134"/>
        <v>0</v>
      </c>
      <c r="N362" s="494"/>
      <c r="O362" s="494">
        <f t="shared" si="142"/>
        <v>0</v>
      </c>
      <c r="P362" s="494">
        <f t="shared" si="143"/>
        <v>0</v>
      </c>
      <c r="Q362" s="494">
        <f>H362*P362/1000*3.6</f>
        <v>0</v>
      </c>
      <c r="R362" s="494">
        <f t="shared" si="135"/>
        <v>0</v>
      </c>
      <c r="S362" s="494">
        <f t="shared" si="145"/>
        <v>0</v>
      </c>
      <c r="T362" s="494"/>
      <c r="U362" s="494">
        <f t="shared" si="136"/>
        <v>0</v>
      </c>
      <c r="V362" s="494">
        <f t="shared" si="137"/>
        <v>0</v>
      </c>
      <c r="W362" s="494">
        <f t="shared" si="138"/>
        <v>0</v>
      </c>
      <c r="X362" s="494">
        <f t="shared" si="139"/>
        <v>0</v>
      </c>
      <c r="Y362" s="494"/>
      <c r="Z362" s="494">
        <f t="shared" si="140"/>
        <v>0</v>
      </c>
      <c r="AA362" s="319"/>
      <c r="AB362" s="319"/>
      <c r="AC362" s="319"/>
      <c r="AD362" s="319"/>
      <c r="AE362" s="319"/>
      <c r="AF362" s="319"/>
      <c r="AG362" s="319"/>
      <c r="AH362" s="319"/>
      <c r="AI362" s="319"/>
      <c r="AJ362" s="319"/>
      <c r="AK362" s="319"/>
      <c r="AL362" s="319"/>
      <c r="AM362" s="319"/>
      <c r="AN362" s="319"/>
      <c r="AO362" s="319"/>
      <c r="AP362" s="319"/>
      <c r="AQ362" s="319"/>
      <c r="AR362" s="319"/>
      <c r="AS362" s="319"/>
      <c r="AT362" s="319"/>
      <c r="AU362" s="319"/>
      <c r="AV362" s="319"/>
      <c r="AW362" s="319"/>
      <c r="AX362" s="319"/>
      <c r="AY362" s="319"/>
      <c r="AZ362" s="319"/>
      <c r="BA362" s="319"/>
    </row>
    <row r="363" spans="1:53" ht="13.2" hidden="1">
      <c r="A363" s="319"/>
      <c r="B363" s="319"/>
      <c r="C363" s="319">
        <f t="shared" si="141"/>
        <v>1</v>
      </c>
      <c r="D363" s="319"/>
      <c r="E363" s="319" t="s">
        <v>2506</v>
      </c>
      <c r="F363" s="319" t="s">
        <v>2506</v>
      </c>
      <c r="G363" s="319" t="s">
        <v>2745</v>
      </c>
      <c r="H363" s="494">
        <v>1000</v>
      </c>
      <c r="I363" s="319" t="s">
        <v>5915</v>
      </c>
      <c r="J363" s="494">
        <f t="shared" si="131"/>
        <v>0</v>
      </c>
      <c r="K363" s="494">
        <f t="shared" si="132"/>
        <v>0</v>
      </c>
      <c r="L363" s="494">
        <f t="shared" si="133"/>
        <v>0</v>
      </c>
      <c r="M363" s="494">
        <f t="shared" si="134"/>
        <v>0</v>
      </c>
      <c r="N363" s="494"/>
      <c r="O363" s="494">
        <f t="shared" si="142"/>
        <v>0</v>
      </c>
      <c r="P363" s="494">
        <f t="shared" si="143"/>
        <v>0</v>
      </c>
      <c r="Q363" s="494">
        <f>H363*P363/1000*3.6</f>
        <v>0</v>
      </c>
      <c r="R363" s="494">
        <f t="shared" si="135"/>
        <v>0</v>
      </c>
      <c r="S363" s="494">
        <f t="shared" si="145"/>
        <v>0</v>
      </c>
      <c r="T363" s="494"/>
      <c r="U363" s="494">
        <f t="shared" si="136"/>
        <v>0</v>
      </c>
      <c r="V363" s="494">
        <f t="shared" si="137"/>
        <v>0</v>
      </c>
      <c r="W363" s="494">
        <f t="shared" si="138"/>
        <v>0</v>
      </c>
      <c r="X363" s="494">
        <f t="shared" si="139"/>
        <v>0</v>
      </c>
      <c r="Y363" s="494"/>
      <c r="Z363" s="494">
        <f t="shared" si="140"/>
        <v>0</v>
      </c>
      <c r="AA363" s="319"/>
      <c r="AB363" s="319"/>
      <c r="AC363" s="319"/>
      <c r="AD363" s="319"/>
      <c r="AE363" s="319"/>
      <c r="AF363" s="319"/>
      <c r="AG363" s="319"/>
      <c r="AH363" s="319"/>
      <c r="AI363" s="319"/>
      <c r="AJ363" s="319"/>
      <c r="AK363" s="319"/>
      <c r="AL363" s="319"/>
      <c r="AM363" s="319"/>
      <c r="AN363" s="319"/>
      <c r="AO363" s="319"/>
      <c r="AP363" s="319"/>
      <c r="AQ363" s="319"/>
      <c r="AR363" s="319"/>
      <c r="AS363" s="319"/>
      <c r="AT363" s="319"/>
      <c r="AU363" s="319"/>
      <c r="AV363" s="319"/>
      <c r="AW363" s="319"/>
      <c r="AX363" s="319"/>
      <c r="AY363" s="319"/>
      <c r="AZ363" s="319"/>
      <c r="BA363" s="319"/>
    </row>
    <row r="364" spans="1:53" ht="13.2" hidden="1">
      <c r="A364" s="319"/>
      <c r="B364" s="319"/>
      <c r="C364" s="319"/>
      <c r="D364" s="319"/>
      <c r="E364" s="319"/>
      <c r="F364" s="319"/>
      <c r="G364" s="319"/>
      <c r="H364" s="319"/>
      <c r="I364" s="319"/>
      <c r="J364" s="319"/>
      <c r="K364" s="319"/>
      <c r="L364" s="319"/>
      <c r="M364" s="319"/>
      <c r="N364" s="319"/>
      <c r="O364" s="319"/>
      <c r="P364" s="319"/>
      <c r="Q364" s="319"/>
      <c r="R364" s="319"/>
      <c r="S364" s="319"/>
      <c r="T364" s="319"/>
      <c r="U364" s="319"/>
      <c r="V364" s="319"/>
      <c r="W364" s="319"/>
      <c r="X364" s="319"/>
      <c r="Y364" s="319"/>
      <c r="Z364" s="319"/>
      <c r="AA364" s="319"/>
      <c r="AB364" s="319"/>
      <c r="AC364" s="319"/>
      <c r="AD364" s="319"/>
      <c r="AE364" s="319"/>
      <c r="AF364" s="319"/>
      <c r="AG364" s="319"/>
      <c r="AH364" s="319"/>
      <c r="AI364" s="319"/>
      <c r="AJ364" s="319"/>
      <c r="AK364" s="319"/>
      <c r="AL364" s="319"/>
      <c r="AM364" s="319"/>
      <c r="AN364" s="319"/>
      <c r="AO364" s="319"/>
      <c r="AP364" s="319"/>
      <c r="AQ364" s="319"/>
      <c r="AR364" s="319"/>
      <c r="AS364" s="319"/>
      <c r="AT364" s="319"/>
      <c r="AU364" s="319"/>
      <c r="AV364" s="319"/>
      <c r="AW364" s="319"/>
      <c r="AX364" s="319"/>
      <c r="AY364" s="319"/>
      <c r="AZ364" s="319"/>
      <c r="BA364" s="319"/>
    </row>
    <row r="365" spans="1:53" ht="13.2" hidden="1">
      <c r="A365" s="319"/>
      <c r="B365" s="319"/>
      <c r="C365" s="319">
        <f>MAX(C340:C363)</f>
        <v>1</v>
      </c>
      <c r="D365" s="319" t="s">
        <v>1829</v>
      </c>
      <c r="E365" s="319"/>
      <c r="F365" s="319"/>
      <c r="G365" s="319"/>
      <c r="H365" s="319"/>
      <c r="I365" s="319"/>
      <c r="J365" s="494">
        <f>SUM(J367:J388)</f>
        <v>0</v>
      </c>
      <c r="K365" s="319"/>
      <c r="L365" s="319"/>
      <c r="M365" s="319"/>
      <c r="N365" s="319"/>
      <c r="O365" s="319"/>
      <c r="P365" s="319"/>
      <c r="Q365" s="319"/>
      <c r="R365" s="319"/>
      <c r="S365" s="319"/>
      <c r="T365" s="319"/>
      <c r="U365" s="319" t="s">
        <v>726</v>
      </c>
      <c r="V365" s="319"/>
      <c r="W365" s="319"/>
      <c r="X365" s="319"/>
      <c r="Y365" s="319"/>
      <c r="Z365" s="319"/>
      <c r="AA365" s="319"/>
      <c r="AB365" s="319"/>
      <c r="AC365" s="319"/>
      <c r="AD365" s="319"/>
      <c r="AE365" s="319"/>
      <c r="AF365" s="319"/>
      <c r="AG365" s="319"/>
      <c r="AH365" s="319"/>
      <c r="AI365" s="319"/>
      <c r="AJ365" s="319"/>
      <c r="AK365" s="319"/>
      <c r="AL365" s="319"/>
      <c r="AM365" s="319"/>
      <c r="AN365" s="319"/>
      <c r="AO365" s="319"/>
      <c r="AP365" s="319"/>
      <c r="AQ365" s="319"/>
      <c r="AR365" s="319"/>
      <c r="AS365" s="319"/>
      <c r="AT365" s="319"/>
      <c r="AU365" s="319"/>
      <c r="AV365" s="319"/>
      <c r="AW365" s="319"/>
      <c r="AX365" s="319"/>
      <c r="AY365" s="319"/>
      <c r="AZ365" s="319"/>
      <c r="BA365" s="319"/>
    </row>
    <row r="366" spans="1:53" ht="13.2" hidden="1">
      <c r="A366" s="319"/>
      <c r="B366" s="319"/>
      <c r="C366" s="319"/>
      <c r="D366" s="319"/>
      <c r="E366" s="319"/>
      <c r="F366" s="319"/>
      <c r="G366" s="319"/>
      <c r="H366" s="319"/>
      <c r="I366" s="319" t="s">
        <v>1038</v>
      </c>
      <c r="J366" s="319" t="s">
        <v>1198</v>
      </c>
      <c r="K366" s="319"/>
      <c r="L366" s="319" t="s">
        <v>113</v>
      </c>
      <c r="M366" s="319"/>
      <c r="N366" s="319"/>
      <c r="O366" s="319"/>
      <c r="P366" s="319" t="s">
        <v>3021</v>
      </c>
      <c r="Q366" s="319"/>
      <c r="R366" s="319"/>
      <c r="S366" s="319"/>
      <c r="T366" s="319"/>
      <c r="U366" s="319"/>
      <c r="V366" s="319"/>
      <c r="W366" s="319"/>
      <c r="X366" s="319"/>
      <c r="Y366" s="319"/>
      <c r="Z366" s="319"/>
      <c r="AA366" s="319"/>
      <c r="AB366" s="319"/>
      <c r="AC366" s="319"/>
      <c r="AD366" s="319"/>
      <c r="AE366" s="319"/>
      <c r="AF366" s="319"/>
      <c r="AG366" s="319"/>
      <c r="AH366" s="319"/>
      <c r="AI366" s="319"/>
      <c r="AJ366" s="319"/>
      <c r="AK366" s="319"/>
      <c r="AL366" s="319"/>
      <c r="AM366" s="319"/>
      <c r="AN366" s="319"/>
      <c r="AO366" s="319"/>
      <c r="AP366" s="319"/>
      <c r="AQ366" s="319"/>
      <c r="AR366" s="319"/>
      <c r="AS366" s="319"/>
      <c r="AT366" s="319"/>
      <c r="AU366" s="319"/>
      <c r="AV366" s="319"/>
      <c r="AW366" s="319"/>
      <c r="AX366" s="319"/>
      <c r="AY366" s="319"/>
      <c r="AZ366" s="319"/>
      <c r="BA366" s="319"/>
    </row>
    <row r="367" spans="1:53" ht="13.2" hidden="1">
      <c r="A367" s="319"/>
      <c r="B367" s="319"/>
      <c r="C367" s="319"/>
      <c r="D367" s="319"/>
      <c r="E367" s="319">
        <v>1</v>
      </c>
      <c r="F367" s="319" t="str">
        <f>IF(E367&lt;$C$365,IF(ISERROR(VLOOKUP(E367,$C$340:$S$363,3,FALSE)),$E$352,VLOOKUP(E367,$C$340:$S$363,3,FALSE)),"XX")</f>
        <v>XX</v>
      </c>
      <c r="G367" s="319" t="str">
        <f t="shared" ref="G367:G388" si="147">IF(ISERROR(VLOOKUP(E367,$C$340:$S$363,4,FALSE)),$F$352,VLOOKUP(E367,$C$340:$S$363,4,FALSE))</f>
        <v xml:space="preserve">Biomassa </v>
      </c>
      <c r="H367" s="319" t="str">
        <f t="shared" ref="H367:H388" si="148">IF(ISERROR(VLOOKUP(E367,$C$340:$S$363,5,FALSE)),$G$352,VLOOKUP(E367,$C$340:$S$363,5,FALSE))</f>
        <v>t</v>
      </c>
      <c r="I367" s="494">
        <f t="shared" ref="I367:I388" si="149">IF(ISERROR(VLOOKUP(E367,$C$340:$S$363,14,FALSE)),0,VLOOKUP(E367,$C$340:$S$363,14,FALSE))</f>
        <v>0</v>
      </c>
      <c r="J367" s="494">
        <f t="shared" ref="J367:J388" si="150">IF(ISERROR(VLOOKUP(E367,$C$340:$S$363,17,FALSE)),0,VLOOKUP(E367,$C$340:$S$363,17,FALSE))</f>
        <v>0</v>
      </c>
      <c r="K367" s="319"/>
      <c r="L367" s="319"/>
      <c r="M367" s="319" t="s">
        <v>5865</v>
      </c>
      <c r="N367" s="319"/>
      <c r="O367" s="319"/>
      <c r="P367" s="319" t="str">
        <f>VLOOKUP(D220,E340:F363,2,FALSE)</f>
        <v>Gás Natural</v>
      </c>
      <c r="Q367" s="494">
        <f>W222</f>
        <v>0</v>
      </c>
      <c r="R367" s="319" t="s">
        <v>5865</v>
      </c>
      <c r="S367" s="319"/>
      <c r="T367" s="319"/>
      <c r="U367" s="319"/>
      <c r="V367" s="319"/>
      <c r="W367" s="319"/>
      <c r="X367" s="319"/>
      <c r="Y367" s="319"/>
      <c r="Z367" s="319"/>
      <c r="AA367" s="319"/>
      <c r="AB367" s="319"/>
      <c r="AC367" s="319"/>
      <c r="AD367" s="319"/>
      <c r="AE367" s="319"/>
      <c r="AF367" s="319"/>
      <c r="AG367" s="319"/>
      <c r="AH367" s="319"/>
      <c r="AI367" s="319"/>
      <c r="AJ367" s="319"/>
      <c r="AK367" s="319"/>
      <c r="AL367" s="319"/>
      <c r="AM367" s="319"/>
      <c r="AN367" s="319"/>
      <c r="AO367" s="319"/>
      <c r="AP367" s="319"/>
      <c r="AQ367" s="319"/>
      <c r="AR367" s="319"/>
      <c r="AS367" s="319"/>
      <c r="AT367" s="319"/>
      <c r="AU367" s="319"/>
      <c r="AV367" s="319"/>
      <c r="AW367" s="319"/>
      <c r="AX367" s="319"/>
      <c r="AY367" s="319"/>
      <c r="AZ367" s="319"/>
      <c r="BA367" s="319"/>
    </row>
    <row r="368" spans="1:53" ht="13.2" hidden="1">
      <c r="A368" s="319"/>
      <c r="B368" s="319"/>
      <c r="C368" s="319"/>
      <c r="D368" s="319"/>
      <c r="E368" s="319">
        <v>2</v>
      </c>
      <c r="F368" s="319" t="str">
        <f t="shared" ref="F368:F388" si="151">IF(E368&lt;$C$365,IF(ISERROR(VLOOKUP(E368,$C$340:$S$363,3,FALSE)),$E$352,VLOOKUP(E368,$C$340:$S$363,3,FALSE)),"XX")</f>
        <v>XX</v>
      </c>
      <c r="G368" s="319" t="str">
        <f t="shared" si="147"/>
        <v>Gás Natural</v>
      </c>
      <c r="H368" s="319" t="str">
        <f t="shared" si="148"/>
        <v>m³</v>
      </c>
      <c r="I368" s="494">
        <f t="shared" si="149"/>
        <v>0</v>
      </c>
      <c r="J368" s="494">
        <f t="shared" si="150"/>
        <v>0</v>
      </c>
      <c r="K368" s="319"/>
      <c r="L368" s="319" t="str">
        <f>$F340</f>
        <v xml:space="preserve">Biomassa </v>
      </c>
      <c r="M368" s="494">
        <f t="shared" ref="M368:M377" si="152">SUMIF($F$340:$F$360,L368,$Q$340:$Q$360)</f>
        <v>0</v>
      </c>
      <c r="N368" s="319">
        <f t="shared" ref="N368:N377" si="153">IF($M$378=0,0,M368/$M$378)</f>
        <v>0</v>
      </c>
      <c r="O368" s="319"/>
      <c r="P368" s="319"/>
      <c r="Q368" s="319"/>
      <c r="R368" s="319"/>
      <c r="S368" s="319" t="s">
        <v>5685</v>
      </c>
      <c r="T368" s="319"/>
      <c r="U368" s="319"/>
      <c r="V368" s="319"/>
      <c r="W368" s="319"/>
      <c r="X368" s="319"/>
      <c r="Y368" s="319"/>
      <c r="Z368" s="319"/>
      <c r="AA368" s="319"/>
      <c r="AB368" s="319"/>
      <c r="AC368" s="319"/>
      <c r="AD368" s="319"/>
      <c r="AE368" s="319"/>
      <c r="AF368" s="319"/>
      <c r="AG368" s="319"/>
      <c r="AH368" s="319"/>
      <c r="AI368" s="319"/>
      <c r="AJ368" s="319"/>
      <c r="AK368" s="319"/>
      <c r="AL368" s="319"/>
      <c r="AM368" s="319"/>
      <c r="AN368" s="319"/>
      <c r="AO368" s="319"/>
      <c r="AP368" s="319"/>
      <c r="AQ368" s="319"/>
      <c r="AR368" s="319"/>
      <c r="AS368" s="319"/>
      <c r="AT368" s="319"/>
      <c r="AU368" s="319"/>
      <c r="AV368" s="319"/>
      <c r="AW368" s="319"/>
      <c r="AX368" s="319"/>
      <c r="AY368" s="319"/>
      <c r="AZ368" s="319"/>
      <c r="BA368" s="319"/>
    </row>
    <row r="369" spans="1:53" ht="13.2" hidden="1">
      <c r="A369" s="319"/>
      <c r="B369" s="319"/>
      <c r="C369" s="319"/>
      <c r="D369" s="319"/>
      <c r="E369" s="319">
        <v>3</v>
      </c>
      <c r="F369" s="319" t="str">
        <f t="shared" si="151"/>
        <v>XX</v>
      </c>
      <c r="G369" s="319" t="str">
        <f t="shared" si="147"/>
        <v>Gás Natural</v>
      </c>
      <c r="H369" s="319" t="str">
        <f t="shared" si="148"/>
        <v>m³</v>
      </c>
      <c r="I369" s="494">
        <f t="shared" si="149"/>
        <v>0</v>
      </c>
      <c r="J369" s="494">
        <f t="shared" si="150"/>
        <v>0</v>
      </c>
      <c r="K369" s="319"/>
      <c r="L369" s="319" t="str">
        <f>$F341</f>
        <v>Carvão</v>
      </c>
      <c r="M369" s="494">
        <f t="shared" si="152"/>
        <v>0</v>
      </c>
      <c r="N369" s="319">
        <f t="shared" si="153"/>
        <v>0</v>
      </c>
      <c r="O369" s="319"/>
      <c r="P369" s="319" t="s">
        <v>2506</v>
      </c>
      <c r="Q369" s="494">
        <f>IF($Q$372=1,0,1)*IF(OR(HideCode_projectType2=1,HideCode_projectType2=4,HideCode_projectType2=6,HideCode_projectType2=7),1,0)</f>
        <v>0</v>
      </c>
      <c r="R369" s="319" t="s">
        <v>2506</v>
      </c>
      <c r="S369" s="494">
        <f>IF(ISERROR(D51+D24+R373),0,IF($Q$372=0,IF(OR(HideCode_projectType2=1,HideCode_projectType2=4,HideCode_projectType2=6,HideCode_projectType2=7),1,0)*IF(HideCodeLN_HPT&gt;3,D51,D24),R373))</f>
        <v>0</v>
      </c>
      <c r="T369" s="319"/>
      <c r="U369" s="319"/>
      <c r="V369" s="319"/>
      <c r="W369" s="319"/>
      <c r="X369" s="319"/>
      <c r="Y369" s="319"/>
      <c r="Z369" s="319"/>
      <c r="AA369" s="319"/>
      <c r="AB369" s="319"/>
      <c r="AC369" s="319"/>
      <c r="AD369" s="319"/>
      <c r="AE369" s="319"/>
      <c r="AF369" s="319"/>
      <c r="AG369" s="319"/>
      <c r="AH369" s="319"/>
      <c r="AI369" s="319"/>
      <c r="AJ369" s="319"/>
      <c r="AK369" s="319"/>
      <c r="AL369" s="319"/>
      <c r="AM369" s="319"/>
      <c r="AN369" s="319"/>
      <c r="AO369" s="319"/>
      <c r="AP369" s="319"/>
      <c r="AQ369" s="319"/>
      <c r="AR369" s="319"/>
      <c r="AS369" s="319"/>
      <c r="AT369" s="319"/>
      <c r="AU369" s="319"/>
      <c r="AV369" s="319"/>
      <c r="AW369" s="319"/>
      <c r="AX369" s="319"/>
      <c r="AY369" s="319"/>
      <c r="AZ369" s="319"/>
      <c r="BA369" s="319"/>
    </row>
    <row r="370" spans="1:53" ht="13.2" hidden="1">
      <c r="A370" s="319"/>
      <c r="B370" s="319"/>
      <c r="C370" s="319"/>
      <c r="D370" s="319"/>
      <c r="E370" s="319">
        <v>4</v>
      </c>
      <c r="F370" s="319" t="str">
        <f t="shared" si="151"/>
        <v>XX</v>
      </c>
      <c r="G370" s="319" t="str">
        <f t="shared" si="147"/>
        <v>Gás Natural</v>
      </c>
      <c r="H370" s="319" t="str">
        <f t="shared" si="148"/>
        <v>m³</v>
      </c>
      <c r="I370" s="494">
        <f t="shared" si="149"/>
        <v>0</v>
      </c>
      <c r="J370" s="494">
        <f t="shared" si="150"/>
        <v>0</v>
      </c>
      <c r="K370" s="319"/>
      <c r="L370" s="319" t="str">
        <f>$F342</f>
        <v>Diesel (oleo#2)</v>
      </c>
      <c r="M370" s="494">
        <f t="shared" si="152"/>
        <v>0</v>
      </c>
      <c r="N370" s="319">
        <f t="shared" si="153"/>
        <v>0</v>
      </c>
      <c r="O370" s="319"/>
      <c r="P370" s="319" t="s">
        <v>726</v>
      </c>
      <c r="Q370" s="494">
        <f>IF($Q$372=1,0,1)*IF(OR(HideCode_projectType2=3,HideCode_projectType2=5,HideCode_projectType2=6,HideCode_projectType2=7),1,0)</f>
        <v>0</v>
      </c>
      <c r="R370" s="319" t="s">
        <v>726</v>
      </c>
      <c r="S370" s="494">
        <f>IF(ISERROR(D156+D129+R375),0,IF($Q$372=0,IF(OR(HideCode_projectType2=3,HideCode_projectType2&gt;=5),1,0)*IF(HideCodeLN_CPT&gt;3,D156,D129),R375))</f>
        <v>0</v>
      </c>
      <c r="T370" s="319"/>
      <c r="U370" s="319"/>
      <c r="V370" s="319"/>
      <c r="W370" s="319"/>
      <c r="X370" s="319"/>
      <c r="Y370" s="319"/>
      <c r="Z370" s="319"/>
      <c r="AA370" s="319"/>
      <c r="AB370" s="319"/>
      <c r="AC370" s="319"/>
      <c r="AD370" s="319"/>
      <c r="AE370" s="319"/>
      <c r="AF370" s="319"/>
      <c r="AG370" s="319"/>
      <c r="AH370" s="319"/>
      <c r="AI370" s="319"/>
      <c r="AJ370" s="319"/>
      <c r="AK370" s="319"/>
      <c r="AL370" s="319"/>
      <c r="AM370" s="319"/>
      <c r="AN370" s="319"/>
      <c r="AO370" s="319"/>
      <c r="AP370" s="319"/>
      <c r="AQ370" s="319"/>
      <c r="AR370" s="319"/>
      <c r="AS370" s="319"/>
      <c r="AT370" s="319"/>
      <c r="AU370" s="319"/>
      <c r="AV370" s="319"/>
      <c r="AW370" s="319"/>
      <c r="AX370" s="319"/>
      <c r="AY370" s="319"/>
      <c r="AZ370" s="319"/>
      <c r="BA370" s="319"/>
    </row>
    <row r="371" spans="1:53" ht="13.2" hidden="1">
      <c r="A371" s="319"/>
      <c r="B371" s="319"/>
      <c r="C371" s="319"/>
      <c r="D371" s="319"/>
      <c r="E371" s="319">
        <v>5</v>
      </c>
      <c r="F371" s="319" t="str">
        <f t="shared" si="151"/>
        <v>XX</v>
      </c>
      <c r="G371" s="319" t="str">
        <f t="shared" si="147"/>
        <v>Gás Natural</v>
      </c>
      <c r="H371" s="319" t="str">
        <f t="shared" si="148"/>
        <v>m³</v>
      </c>
      <c r="I371" s="494">
        <f t="shared" si="149"/>
        <v>0</v>
      </c>
      <c r="J371" s="494">
        <f t="shared" si="150"/>
        <v>0</v>
      </c>
      <c r="K371" s="319"/>
      <c r="L371" s="319" t="str">
        <f>F346</f>
        <v>Gasolina</v>
      </c>
      <c r="M371" s="494">
        <f t="shared" si="152"/>
        <v>0</v>
      </c>
      <c r="N371" s="319">
        <f t="shared" si="153"/>
        <v>0</v>
      </c>
      <c r="O371" s="319"/>
      <c r="P371" s="319" t="s">
        <v>3442</v>
      </c>
      <c r="Q371" s="494">
        <f>IF($Q$372=1,0,1)*IF(OR(HideCode_projectType2=2,HideCode_projectType2=4,HideCode_projectType2=5,HideCode_projectType2=7),1,0)</f>
        <v>1</v>
      </c>
      <c r="R371" s="319" t="s">
        <v>3442</v>
      </c>
      <c r="S371" s="494">
        <f>IF($Q$372=0,IF(OR(HideCode_projectType2=2,HideCode_projectType2=4,HideCode_projectType2=5,HideCode_projectType2=7),1,0)*IF(HideCodeLN_Power_GT=5,E246*W225*1000,E248),R376)+IF(HideCode_projectType2=2,1,0)*SUM(R373:R388)</f>
        <v>0</v>
      </c>
      <c r="T371" s="319"/>
      <c r="U371" s="319"/>
      <c r="V371" s="319"/>
      <c r="W371" s="319"/>
      <c r="X371" s="319"/>
      <c r="Y371" s="319"/>
      <c r="Z371" s="319"/>
      <c r="AA371" s="319"/>
      <c r="AB371" s="319"/>
      <c r="AC371" s="319"/>
      <c r="AD371" s="319"/>
      <c r="AE371" s="319"/>
      <c r="AF371" s="319"/>
      <c r="AG371" s="319"/>
      <c r="AH371" s="319"/>
      <c r="AI371" s="319"/>
      <c r="AJ371" s="319"/>
      <c r="AK371" s="319"/>
      <c r="AL371" s="319"/>
      <c r="AM371" s="319"/>
      <c r="AN371" s="319"/>
      <c r="AO371" s="319"/>
      <c r="AP371" s="319"/>
      <c r="AQ371" s="319"/>
      <c r="AR371" s="319"/>
      <c r="AS371" s="319"/>
      <c r="AT371" s="319"/>
      <c r="AU371" s="319"/>
      <c r="AV371" s="319"/>
      <c r="AW371" s="319"/>
      <c r="AX371" s="319"/>
      <c r="AY371" s="319"/>
      <c r="AZ371" s="319"/>
      <c r="BA371" s="319"/>
    </row>
    <row r="372" spans="1:53" ht="13.2" hidden="1">
      <c r="A372" s="319"/>
      <c r="B372" s="319"/>
      <c r="C372" s="319"/>
      <c r="D372" s="319"/>
      <c r="E372" s="319">
        <v>6</v>
      </c>
      <c r="F372" s="319" t="str">
        <f t="shared" si="151"/>
        <v>XX</v>
      </c>
      <c r="G372" s="319" t="str">
        <f t="shared" si="147"/>
        <v>Gás Natural</v>
      </c>
      <c r="H372" s="319" t="str">
        <f t="shared" si="148"/>
        <v>m³</v>
      </c>
      <c r="I372" s="494">
        <f t="shared" si="149"/>
        <v>0</v>
      </c>
      <c r="J372" s="494">
        <f t="shared" si="150"/>
        <v>0</v>
      </c>
      <c r="K372" s="319"/>
      <c r="L372" s="319" t="str">
        <f>F347</f>
        <v>Querosene</v>
      </c>
      <c r="M372" s="494">
        <f t="shared" si="152"/>
        <v>0</v>
      </c>
      <c r="N372" s="319">
        <f t="shared" si="153"/>
        <v>0</v>
      </c>
      <c r="O372" s="319"/>
      <c r="P372" s="319" t="s">
        <v>5722</v>
      </c>
      <c r="Q372" s="494">
        <f>Iniciar!P3</f>
        <v>0</v>
      </c>
      <c r="R372" s="319"/>
      <c r="S372" s="319"/>
      <c r="T372" s="319"/>
      <c r="U372" s="319"/>
      <c r="V372" s="319"/>
      <c r="W372" s="319"/>
      <c r="X372" s="319"/>
      <c r="Y372" s="319"/>
      <c r="Z372" s="319"/>
      <c r="AA372" s="319"/>
      <c r="AB372" s="319"/>
      <c r="AC372" s="319"/>
      <c r="AD372" s="319"/>
      <c r="AE372" s="319"/>
      <c r="AF372" s="319"/>
      <c r="AG372" s="319"/>
      <c r="AH372" s="319"/>
      <c r="AI372" s="319"/>
      <c r="AJ372" s="319"/>
      <c r="AK372" s="319"/>
      <c r="AL372" s="319"/>
      <c r="AM372" s="319"/>
      <c r="AN372" s="319"/>
      <c r="AO372" s="319"/>
      <c r="AP372" s="319"/>
      <c r="AQ372" s="319"/>
      <c r="AR372" s="319"/>
      <c r="AS372" s="319"/>
      <c r="AT372" s="319"/>
      <c r="AU372" s="319"/>
      <c r="AV372" s="319"/>
      <c r="AW372" s="319"/>
      <c r="AX372" s="319"/>
      <c r="AY372" s="319"/>
      <c r="AZ372" s="319"/>
      <c r="BA372" s="319"/>
    </row>
    <row r="373" spans="1:53" ht="13.2" hidden="1">
      <c r="A373" s="319"/>
      <c r="B373" s="319"/>
      <c r="C373" s="319"/>
      <c r="D373" s="319"/>
      <c r="E373" s="319">
        <v>7</v>
      </c>
      <c r="F373" s="319" t="str">
        <f t="shared" si="151"/>
        <v>XX</v>
      </c>
      <c r="G373" s="319" t="str">
        <f t="shared" si="147"/>
        <v>Gás Natural</v>
      </c>
      <c r="H373" s="319" t="str">
        <f t="shared" si="148"/>
        <v>m³</v>
      </c>
      <c r="I373" s="494">
        <f t="shared" si="149"/>
        <v>0</v>
      </c>
      <c r="J373" s="494">
        <f t="shared" si="150"/>
        <v>0</v>
      </c>
      <c r="K373" s="319"/>
      <c r="L373" s="319" t="str">
        <f>F353</f>
        <v>Gás Natural</v>
      </c>
      <c r="M373" s="494">
        <f t="shared" si="152"/>
        <v>0</v>
      </c>
      <c r="N373" s="319">
        <f t="shared" si="153"/>
        <v>0</v>
      </c>
      <c r="O373" s="319"/>
      <c r="P373" s="319" t="str">
        <f>'Modelo Energético '!B1094</f>
        <v>Gas natural - m³</v>
      </c>
      <c r="Q373" s="494">
        <f>'Modelo Energético '!C1094</f>
        <v>0</v>
      </c>
      <c r="R373" s="494">
        <f>'Modelo Energético '!D1094</f>
        <v>0</v>
      </c>
      <c r="S373" s="319"/>
      <c r="T373" s="319"/>
      <c r="U373" s="319"/>
      <c r="V373" s="319"/>
      <c r="W373" s="319"/>
      <c r="X373" s="319"/>
      <c r="Y373" s="319"/>
      <c r="Z373" s="319"/>
      <c r="AA373" s="319"/>
      <c r="AB373" s="319"/>
      <c r="AC373" s="319"/>
      <c r="AD373" s="319"/>
      <c r="AE373" s="319"/>
      <c r="AF373" s="319"/>
      <c r="AG373" s="319"/>
      <c r="AH373" s="319"/>
      <c r="AI373" s="319"/>
      <c r="AJ373" s="319"/>
      <c r="AK373" s="319"/>
      <c r="AL373" s="319"/>
      <c r="AM373" s="319"/>
      <c r="AN373" s="319"/>
      <c r="AO373" s="319"/>
      <c r="AP373" s="319"/>
      <c r="AQ373" s="319"/>
      <c r="AR373" s="319"/>
      <c r="AS373" s="319"/>
      <c r="AT373" s="319"/>
      <c r="AU373" s="319"/>
      <c r="AV373" s="319"/>
      <c r="AW373" s="319"/>
      <c r="AX373" s="319"/>
      <c r="AY373" s="319"/>
      <c r="AZ373" s="319"/>
      <c r="BA373" s="319"/>
    </row>
    <row r="374" spans="1:53" ht="13.2" hidden="1">
      <c r="A374" s="319"/>
      <c r="B374" s="319"/>
      <c r="C374" s="319"/>
      <c r="D374" s="319"/>
      <c r="E374" s="319">
        <v>8</v>
      </c>
      <c r="F374" s="319" t="str">
        <f t="shared" si="151"/>
        <v>XX</v>
      </c>
      <c r="G374" s="319" t="str">
        <f t="shared" si="147"/>
        <v>Gás Natural</v>
      </c>
      <c r="H374" s="319" t="str">
        <f t="shared" si="148"/>
        <v>m³</v>
      </c>
      <c r="I374" s="494">
        <f t="shared" si="149"/>
        <v>0</v>
      </c>
      <c r="J374" s="494">
        <f t="shared" si="150"/>
        <v>0</v>
      </c>
      <c r="K374" s="319"/>
      <c r="L374" s="319" t="str">
        <f>F355</f>
        <v>Óleo (#6)</v>
      </c>
      <c r="M374" s="494">
        <f t="shared" si="152"/>
        <v>0</v>
      </c>
      <c r="N374" s="319">
        <f t="shared" si="153"/>
        <v>0</v>
      </c>
      <c r="O374" s="319"/>
      <c r="P374" s="319" t="str">
        <f>'Modelo Energético '!B1095</f>
        <v>Eletricidade</v>
      </c>
      <c r="Q374" s="494">
        <f>'Modelo Energético '!C1095</f>
        <v>0</v>
      </c>
      <c r="R374" s="494">
        <f>'Modelo Energético '!D1095</f>
        <v>0</v>
      </c>
      <c r="S374" s="319"/>
      <c r="T374" s="319"/>
      <c r="U374" s="319"/>
      <c r="V374" s="319"/>
      <c r="W374" s="319"/>
      <c r="X374" s="319"/>
      <c r="Y374" s="319"/>
      <c r="Z374" s="319"/>
      <c r="AA374" s="319"/>
      <c r="AB374" s="319"/>
      <c r="AC374" s="319"/>
      <c r="AD374" s="319"/>
      <c r="AE374" s="319"/>
      <c r="AF374" s="319"/>
      <c r="AG374" s="319"/>
      <c r="AH374" s="319"/>
      <c r="AI374" s="319"/>
      <c r="AJ374" s="319"/>
      <c r="AK374" s="319"/>
      <c r="AL374" s="319"/>
      <c r="AM374" s="319"/>
      <c r="AN374" s="319"/>
      <c r="AO374" s="319"/>
      <c r="AP374" s="319"/>
      <c r="AQ374" s="319"/>
      <c r="AR374" s="319"/>
      <c r="AS374" s="319"/>
      <c r="AT374" s="319"/>
      <c r="AU374" s="319"/>
      <c r="AV374" s="319"/>
      <c r="AW374" s="319"/>
      <c r="AX374" s="319"/>
      <c r="AY374" s="319"/>
      <c r="AZ374" s="319"/>
      <c r="BA374" s="319"/>
    </row>
    <row r="375" spans="1:53" ht="13.2" hidden="1">
      <c r="A375" s="319"/>
      <c r="B375" s="319"/>
      <c r="C375" s="319"/>
      <c r="D375" s="319"/>
      <c r="E375" s="319">
        <v>9</v>
      </c>
      <c r="F375" s="319" t="str">
        <f t="shared" si="151"/>
        <v>XX</v>
      </c>
      <c r="G375" s="319" t="str">
        <f t="shared" si="147"/>
        <v>Gás Natural</v>
      </c>
      <c r="H375" s="319" t="str">
        <f t="shared" si="148"/>
        <v>m³</v>
      </c>
      <c r="I375" s="494">
        <f t="shared" si="149"/>
        <v>0</v>
      </c>
      <c r="J375" s="494">
        <f t="shared" si="150"/>
        <v>0</v>
      </c>
      <c r="K375" s="319"/>
      <c r="L375" s="319" t="str">
        <f>F359</f>
        <v>Propano</v>
      </c>
      <c r="M375" s="494">
        <f t="shared" si="152"/>
        <v>0</v>
      </c>
      <c r="N375" s="319">
        <f t="shared" si="153"/>
        <v>0</v>
      </c>
      <c r="O375" s="319"/>
      <c r="P375" s="319">
        <f>'Modelo Energético '!B1096</f>
        <v>0</v>
      </c>
      <c r="Q375" s="494">
        <f>'Modelo Energético '!C1096</f>
        <v>0</v>
      </c>
      <c r="R375" s="494">
        <f>'Modelo Energético '!D1096</f>
        <v>0</v>
      </c>
      <c r="S375" s="319"/>
      <c r="T375" s="319"/>
      <c r="U375" s="319"/>
      <c r="V375" s="319"/>
      <c r="W375" s="319"/>
      <c r="X375" s="319"/>
      <c r="Y375" s="319"/>
      <c r="Z375" s="319"/>
      <c r="AA375" s="319"/>
      <c r="AB375" s="319"/>
      <c r="AC375" s="319"/>
      <c r="AD375" s="319"/>
      <c r="AE375" s="319"/>
      <c r="AF375" s="319"/>
      <c r="AG375" s="319"/>
      <c r="AH375" s="319"/>
      <c r="AI375" s="319"/>
      <c r="AJ375" s="319"/>
      <c r="AK375" s="319"/>
      <c r="AL375" s="319"/>
      <c r="AM375" s="319"/>
      <c r="AN375" s="319"/>
      <c r="AO375" s="319"/>
      <c r="AP375" s="319"/>
      <c r="AQ375" s="319"/>
      <c r="AR375" s="319"/>
      <c r="AS375" s="319"/>
      <c r="AT375" s="319"/>
      <c r="AU375" s="319"/>
      <c r="AV375" s="319"/>
      <c r="AW375" s="319"/>
      <c r="AX375" s="319"/>
      <c r="AY375" s="319"/>
      <c r="AZ375" s="319"/>
      <c r="BA375" s="319"/>
    </row>
    <row r="376" spans="1:53" ht="13.2" hidden="1">
      <c r="A376" s="319"/>
      <c r="B376" s="319"/>
      <c r="C376" s="319"/>
      <c r="D376" s="319"/>
      <c r="E376" s="319">
        <v>10</v>
      </c>
      <c r="F376" s="319" t="str">
        <f t="shared" si="151"/>
        <v>XX</v>
      </c>
      <c r="G376" s="319" t="str">
        <f t="shared" si="147"/>
        <v>Gás Natural</v>
      </c>
      <c r="H376" s="319" t="str">
        <f t="shared" si="148"/>
        <v>m³</v>
      </c>
      <c r="I376" s="494">
        <f t="shared" si="149"/>
        <v>0</v>
      </c>
      <c r="J376" s="494">
        <f t="shared" si="150"/>
        <v>0</v>
      </c>
      <c r="K376" s="319"/>
      <c r="L376" s="319" t="str">
        <f>F360</f>
        <v>Combustível definido pelo usuário</v>
      </c>
      <c r="M376" s="494">
        <f t="shared" si="152"/>
        <v>0</v>
      </c>
      <c r="N376" s="319">
        <f t="shared" si="153"/>
        <v>0</v>
      </c>
      <c r="O376" s="319"/>
      <c r="P376" s="319" t="str">
        <f>'Modelo Energético '!B1097</f>
        <v>Eletricidade</v>
      </c>
      <c r="Q376" s="494">
        <f>'Modelo Energético '!C1097</f>
        <v>0</v>
      </c>
      <c r="R376" s="494">
        <f>'Modelo Energético '!D1097</f>
        <v>0</v>
      </c>
      <c r="S376" s="319"/>
      <c r="T376" s="319"/>
      <c r="U376" s="319"/>
      <c r="V376" s="319"/>
      <c r="W376" s="319"/>
      <c r="X376" s="319"/>
      <c r="Y376" s="319"/>
      <c r="Z376" s="319"/>
      <c r="AA376" s="319"/>
      <c r="AB376" s="319"/>
      <c r="AC376" s="319"/>
      <c r="AD376" s="319"/>
      <c r="AE376" s="319"/>
      <c r="AF376" s="319"/>
      <c r="AG376" s="319"/>
      <c r="AH376" s="319"/>
      <c r="AI376" s="319"/>
      <c r="AJ376" s="319"/>
      <c r="AK376" s="319"/>
      <c r="AL376" s="319"/>
      <c r="AM376" s="319"/>
      <c r="AN376" s="319"/>
      <c r="AO376" s="319"/>
      <c r="AP376" s="319"/>
      <c r="AQ376" s="319"/>
      <c r="AR376" s="319"/>
      <c r="AS376" s="319"/>
      <c r="AT376" s="319"/>
      <c r="AU376" s="319"/>
      <c r="AV376" s="319"/>
      <c r="AW376" s="319"/>
      <c r="AX376" s="319"/>
      <c r="AY376" s="319"/>
      <c r="AZ376" s="319"/>
      <c r="BA376" s="319"/>
    </row>
    <row r="377" spans="1:53" ht="13.2" hidden="1">
      <c r="A377" s="319"/>
      <c r="B377" s="319"/>
      <c r="C377" s="319"/>
      <c r="D377" s="319"/>
      <c r="E377" s="319">
        <v>11</v>
      </c>
      <c r="F377" s="319" t="str">
        <f t="shared" si="151"/>
        <v>XX</v>
      </c>
      <c r="G377" s="319" t="str">
        <f t="shared" si="147"/>
        <v>Gás Natural</v>
      </c>
      <c r="H377" s="319" t="str">
        <f t="shared" si="148"/>
        <v>m³</v>
      </c>
      <c r="I377" s="494">
        <f t="shared" si="149"/>
        <v>0</v>
      </c>
      <c r="J377" s="494">
        <f t="shared" si="150"/>
        <v>0</v>
      </c>
      <c r="K377" s="319"/>
      <c r="L377" s="319" t="str">
        <f>$F$344</f>
        <v>Eletricidade</v>
      </c>
      <c r="M377" s="494">
        <f t="shared" si="152"/>
        <v>0</v>
      </c>
      <c r="N377" s="319">
        <f t="shared" si="153"/>
        <v>0</v>
      </c>
      <c r="O377" s="319"/>
      <c r="P377" s="319" t="str">
        <f>'Modelo Energético '!B1098</f>
        <v>Gas natural - m³</v>
      </c>
      <c r="Q377" s="494">
        <f>'Modelo Energético '!C1098</f>
        <v>0</v>
      </c>
      <c r="R377" s="494">
        <f>'Modelo Energético '!D1098</f>
        <v>0</v>
      </c>
      <c r="S377" s="319"/>
      <c r="T377" s="319"/>
      <c r="U377" s="319"/>
      <c r="V377" s="319"/>
      <c r="W377" s="319"/>
      <c r="X377" s="319"/>
      <c r="Y377" s="319"/>
      <c r="Z377" s="319"/>
      <c r="AA377" s="319"/>
      <c r="AB377" s="319"/>
      <c r="AC377" s="319"/>
      <c r="AD377" s="319"/>
      <c r="AE377" s="319"/>
      <c r="AF377" s="319"/>
      <c r="AG377" s="319"/>
      <c r="AH377" s="319"/>
      <c r="AI377" s="319"/>
      <c r="AJ377" s="319"/>
      <c r="AK377" s="319"/>
      <c r="AL377" s="319"/>
      <c r="AM377" s="319"/>
      <c r="AN377" s="319"/>
      <c r="AO377" s="319"/>
      <c r="AP377" s="319"/>
      <c r="AQ377" s="319"/>
      <c r="AR377" s="319"/>
      <c r="AS377" s="319"/>
      <c r="AT377" s="319"/>
      <c r="AU377" s="319"/>
      <c r="AV377" s="319"/>
      <c r="AW377" s="319"/>
      <c r="AX377" s="319"/>
      <c r="AY377" s="319"/>
      <c r="AZ377" s="319"/>
      <c r="BA377" s="319"/>
    </row>
    <row r="378" spans="1:53" ht="13.2" hidden="1">
      <c r="A378" s="319"/>
      <c r="B378" s="319"/>
      <c r="C378" s="319"/>
      <c r="D378" s="319"/>
      <c r="E378" s="319">
        <v>12</v>
      </c>
      <c r="F378" s="319" t="str">
        <f t="shared" si="151"/>
        <v>XX</v>
      </c>
      <c r="G378" s="319" t="str">
        <f t="shared" si="147"/>
        <v>Gás Natural</v>
      </c>
      <c r="H378" s="319" t="str">
        <f t="shared" si="148"/>
        <v>m³</v>
      </c>
      <c r="I378" s="494">
        <f t="shared" si="149"/>
        <v>0</v>
      </c>
      <c r="J378" s="494">
        <f t="shared" si="150"/>
        <v>0</v>
      </c>
      <c r="K378" s="319"/>
      <c r="L378" s="319"/>
      <c r="M378" s="494">
        <f>SUM(M368:M377)</f>
        <v>0</v>
      </c>
      <c r="N378" s="319"/>
      <c r="O378" s="319"/>
      <c r="P378" s="319" t="str">
        <f>'Modelo Energético '!B1099</f>
        <v>Eletricidade</v>
      </c>
      <c r="Q378" s="494">
        <f>'Modelo Energético '!C1099</f>
        <v>0</v>
      </c>
      <c r="R378" s="494">
        <f>'Modelo Energético '!D1099</f>
        <v>0</v>
      </c>
      <c r="S378" s="319"/>
      <c r="T378" s="319"/>
      <c r="U378" s="319"/>
      <c r="V378" s="319"/>
      <c r="W378" s="319"/>
      <c r="X378" s="319"/>
      <c r="Y378" s="319"/>
      <c r="Z378" s="319"/>
      <c r="AA378" s="319"/>
      <c r="AB378" s="319"/>
      <c r="AC378" s="319"/>
      <c r="AD378" s="319"/>
      <c r="AE378" s="319"/>
      <c r="AF378" s="319"/>
      <c r="AG378" s="319"/>
      <c r="AH378" s="319"/>
      <c r="AI378" s="319"/>
      <c r="AJ378" s="319"/>
      <c r="AK378" s="319"/>
      <c r="AL378" s="319"/>
      <c r="AM378" s="319"/>
      <c r="AN378" s="319"/>
      <c r="AO378" s="319"/>
      <c r="AP378" s="319"/>
      <c r="AQ378" s="319"/>
      <c r="AR378" s="319"/>
      <c r="AS378" s="319"/>
      <c r="AT378" s="319"/>
      <c r="AU378" s="319"/>
      <c r="AV378" s="319"/>
      <c r="AW378" s="319"/>
      <c r="AX378" s="319"/>
      <c r="AY378" s="319"/>
      <c r="AZ378" s="319"/>
      <c r="BA378" s="319"/>
    </row>
    <row r="379" spans="1:53" ht="13.2" hidden="1">
      <c r="A379" s="319"/>
      <c r="B379" s="319"/>
      <c r="C379" s="319"/>
      <c r="D379" s="319"/>
      <c r="E379" s="319">
        <v>13</v>
      </c>
      <c r="F379" s="319" t="str">
        <f t="shared" si="151"/>
        <v>XX</v>
      </c>
      <c r="G379" s="319" t="str">
        <f t="shared" si="147"/>
        <v>Gás Natural</v>
      </c>
      <c r="H379" s="319" t="str">
        <f t="shared" si="148"/>
        <v>m³</v>
      </c>
      <c r="I379" s="494">
        <f t="shared" si="149"/>
        <v>0</v>
      </c>
      <c r="J379" s="494">
        <f t="shared" si="150"/>
        <v>0</v>
      </c>
      <c r="K379" s="319"/>
      <c r="L379" s="319"/>
      <c r="M379" s="319"/>
      <c r="N379" s="319"/>
      <c r="O379" s="319"/>
      <c r="P379" s="319" t="str">
        <f>'Modelo Energético '!B1100</f>
        <v>Gas natural - m³</v>
      </c>
      <c r="Q379" s="494">
        <f>'Modelo Energético '!C1100</f>
        <v>0</v>
      </c>
      <c r="R379" s="494">
        <f>'Modelo Energético '!D1100</f>
        <v>0</v>
      </c>
      <c r="S379" s="319"/>
      <c r="T379" s="319"/>
      <c r="U379" s="319"/>
      <c r="V379" s="319"/>
      <c r="W379" s="319"/>
      <c r="X379" s="319"/>
      <c r="Y379" s="319"/>
      <c r="Z379" s="319"/>
      <c r="AA379" s="319"/>
      <c r="AB379" s="319"/>
      <c r="AC379" s="319"/>
      <c r="AD379" s="319"/>
      <c r="AE379" s="319"/>
      <c r="AF379" s="319"/>
      <c r="AG379" s="319"/>
      <c r="AH379" s="319"/>
      <c r="AI379" s="319"/>
      <c r="AJ379" s="319"/>
      <c r="AK379" s="319"/>
      <c r="AL379" s="319"/>
      <c r="AM379" s="319"/>
      <c r="AN379" s="319"/>
      <c r="AO379" s="319"/>
      <c r="AP379" s="319"/>
      <c r="AQ379" s="319"/>
      <c r="AR379" s="319"/>
      <c r="AS379" s="319"/>
      <c r="AT379" s="319"/>
      <c r="AU379" s="319"/>
      <c r="AV379" s="319"/>
      <c r="AW379" s="319"/>
      <c r="AX379" s="319"/>
      <c r="AY379" s="319"/>
      <c r="AZ379" s="319"/>
      <c r="BA379" s="319"/>
    </row>
    <row r="380" spans="1:53" ht="13.2" hidden="1">
      <c r="A380" s="319"/>
      <c r="B380" s="319"/>
      <c r="C380" s="319"/>
      <c r="D380" s="319"/>
      <c r="E380" s="319">
        <v>14</v>
      </c>
      <c r="F380" s="319" t="str">
        <f t="shared" si="151"/>
        <v>XX</v>
      </c>
      <c r="G380" s="319" t="str">
        <f t="shared" si="147"/>
        <v>Gás Natural</v>
      </c>
      <c r="H380" s="319" t="str">
        <f t="shared" si="148"/>
        <v>m³</v>
      </c>
      <c r="I380" s="494">
        <f t="shared" si="149"/>
        <v>0</v>
      </c>
      <c r="J380" s="494">
        <f t="shared" si="150"/>
        <v>0</v>
      </c>
      <c r="K380" s="319"/>
      <c r="L380" s="319"/>
      <c r="M380" s="319"/>
      <c r="N380" s="319"/>
      <c r="O380" s="319"/>
      <c r="P380" s="319" t="str">
        <f>'Modelo Energético '!B1101</f>
        <v>Gas natural - m³</v>
      </c>
      <c r="Q380" s="494">
        <f>'Modelo Energético '!C1101</f>
        <v>0</v>
      </c>
      <c r="R380" s="494">
        <f>'Modelo Energético '!D1101</f>
        <v>0</v>
      </c>
      <c r="S380" s="319"/>
      <c r="T380" s="319"/>
      <c r="U380" s="319"/>
      <c r="V380" s="319"/>
      <c r="W380" s="319"/>
      <c r="X380" s="319"/>
      <c r="Y380" s="319"/>
      <c r="Z380" s="319"/>
      <c r="AA380" s="319"/>
      <c r="AB380" s="319"/>
      <c r="AC380" s="319"/>
      <c r="AD380" s="319"/>
      <c r="AE380" s="319"/>
      <c r="AF380" s="319"/>
      <c r="AG380" s="319"/>
      <c r="AH380" s="319"/>
      <c r="AI380" s="319"/>
      <c r="AJ380" s="319"/>
      <c r="AK380" s="319"/>
      <c r="AL380" s="319"/>
      <c r="AM380" s="319"/>
      <c r="AN380" s="319"/>
      <c r="AO380" s="319"/>
      <c r="AP380" s="319"/>
      <c r="AQ380" s="319"/>
      <c r="AR380" s="319"/>
      <c r="AS380" s="319"/>
      <c r="AT380" s="319"/>
      <c r="AU380" s="319"/>
      <c r="AV380" s="319"/>
      <c r="AW380" s="319"/>
      <c r="AX380" s="319"/>
      <c r="AY380" s="319"/>
      <c r="AZ380" s="319"/>
      <c r="BA380" s="319"/>
    </row>
    <row r="381" spans="1:53" ht="13.2" hidden="1">
      <c r="A381" s="319"/>
      <c r="B381" s="319"/>
      <c r="C381" s="319"/>
      <c r="D381" s="319"/>
      <c r="E381" s="319">
        <v>15</v>
      </c>
      <c r="F381" s="319" t="str">
        <f t="shared" si="151"/>
        <v>XX</v>
      </c>
      <c r="G381" s="319" t="str">
        <f t="shared" si="147"/>
        <v>Gás Natural</v>
      </c>
      <c r="H381" s="319" t="str">
        <f t="shared" si="148"/>
        <v>m³</v>
      </c>
      <c r="I381" s="494">
        <f t="shared" si="149"/>
        <v>0</v>
      </c>
      <c r="J381" s="494">
        <f t="shared" si="150"/>
        <v>0</v>
      </c>
      <c r="K381" s="319"/>
      <c r="L381" s="319"/>
      <c r="M381" s="319"/>
      <c r="N381" s="319"/>
      <c r="O381" s="319"/>
      <c r="P381" s="319" t="str">
        <f>'Modelo Energético '!B1102</f>
        <v>Gas natural - m³</v>
      </c>
      <c r="Q381" s="494">
        <f>'Modelo Energético '!C1102</f>
        <v>0</v>
      </c>
      <c r="R381" s="494">
        <f>'Modelo Energético '!D1102</f>
        <v>0</v>
      </c>
      <c r="S381" s="319"/>
      <c r="T381" s="319"/>
      <c r="U381" s="319"/>
      <c r="V381" s="319"/>
      <c r="W381" s="319"/>
      <c r="X381" s="319"/>
      <c r="Y381" s="319"/>
      <c r="Z381" s="319"/>
      <c r="AA381" s="319"/>
      <c r="AB381" s="319"/>
      <c r="AC381" s="319"/>
      <c r="AD381" s="319"/>
      <c r="AE381" s="319"/>
      <c r="AF381" s="319"/>
      <c r="AG381" s="319"/>
      <c r="AH381" s="319"/>
      <c r="AI381" s="319"/>
      <c r="AJ381" s="319"/>
      <c r="AK381" s="319"/>
      <c r="AL381" s="319"/>
      <c r="AM381" s="319"/>
      <c r="AN381" s="319"/>
      <c r="AO381" s="319"/>
      <c r="AP381" s="319"/>
      <c r="AQ381" s="319"/>
      <c r="AR381" s="319"/>
      <c r="AS381" s="319"/>
      <c r="AT381" s="319"/>
      <c r="AU381" s="319"/>
      <c r="AV381" s="319"/>
      <c r="AW381" s="319"/>
      <c r="AX381" s="319"/>
      <c r="AY381" s="319"/>
      <c r="AZ381" s="319"/>
      <c r="BA381" s="319"/>
    </row>
    <row r="382" spans="1:53" ht="13.2" hidden="1">
      <c r="A382" s="319"/>
      <c r="B382" s="319"/>
      <c r="C382" s="319"/>
      <c r="D382" s="319"/>
      <c r="E382" s="319">
        <v>16</v>
      </c>
      <c r="F382" s="319" t="str">
        <f t="shared" si="151"/>
        <v>XX</v>
      </c>
      <c r="G382" s="319" t="str">
        <f t="shared" si="147"/>
        <v>Gás Natural</v>
      </c>
      <c r="H382" s="319" t="str">
        <f t="shared" si="148"/>
        <v>m³</v>
      </c>
      <c r="I382" s="494">
        <f t="shared" si="149"/>
        <v>0</v>
      </c>
      <c r="J382" s="494">
        <f t="shared" si="150"/>
        <v>0</v>
      </c>
      <c r="K382" s="319"/>
      <c r="L382" s="319"/>
      <c r="M382" s="319"/>
      <c r="N382" s="319"/>
      <c r="O382" s="319"/>
      <c r="P382" s="319" t="str">
        <f>'Modelo Energético '!B1103</f>
        <v>Eletricidade</v>
      </c>
      <c r="Q382" s="494">
        <f>'Modelo Energético '!C1103</f>
        <v>0</v>
      </c>
      <c r="R382" s="494">
        <f>'Modelo Energético '!D1103</f>
        <v>0</v>
      </c>
      <c r="S382" s="319"/>
      <c r="T382" s="319"/>
      <c r="U382" s="319"/>
      <c r="V382" s="319"/>
      <c r="W382" s="319"/>
      <c r="X382" s="319"/>
      <c r="Y382" s="319"/>
      <c r="Z382" s="319"/>
      <c r="AA382" s="319"/>
      <c r="AB382" s="319"/>
      <c r="AC382" s="319"/>
      <c r="AD382" s="319"/>
      <c r="AE382" s="319"/>
      <c r="AF382" s="319"/>
      <c r="AG382" s="319"/>
      <c r="AH382" s="319"/>
      <c r="AI382" s="319"/>
      <c r="AJ382" s="319"/>
      <c r="AK382" s="319"/>
      <c r="AL382" s="319"/>
      <c r="AM382" s="319"/>
      <c r="AN382" s="319"/>
      <c r="AO382" s="319"/>
      <c r="AP382" s="319"/>
      <c r="AQ382" s="319"/>
      <c r="AR382" s="319"/>
      <c r="AS382" s="319"/>
      <c r="AT382" s="319"/>
      <c r="AU382" s="319"/>
      <c r="AV382" s="319"/>
      <c r="AW382" s="319"/>
      <c r="AX382" s="319"/>
      <c r="AY382" s="319"/>
      <c r="AZ382" s="319"/>
      <c r="BA382" s="319"/>
    </row>
    <row r="383" spans="1:53" ht="13.2" hidden="1">
      <c r="A383" s="319"/>
      <c r="B383" s="319"/>
      <c r="C383" s="319"/>
      <c r="D383" s="319"/>
      <c r="E383" s="319">
        <v>17</v>
      </c>
      <c r="F383" s="319" t="str">
        <f t="shared" si="151"/>
        <v>XX</v>
      </c>
      <c r="G383" s="319" t="str">
        <f t="shared" si="147"/>
        <v>Gás Natural</v>
      </c>
      <c r="H383" s="319" t="str">
        <f t="shared" si="148"/>
        <v>m³</v>
      </c>
      <c r="I383" s="494">
        <f t="shared" si="149"/>
        <v>0</v>
      </c>
      <c r="J383" s="494">
        <f t="shared" si="150"/>
        <v>0</v>
      </c>
      <c r="K383" s="319"/>
      <c r="L383" s="319"/>
      <c r="M383" s="319"/>
      <c r="N383" s="319"/>
      <c r="O383" s="319"/>
      <c r="P383" s="319" t="str">
        <f>'Modelo Energético '!B1104</f>
        <v>Eletricidade</v>
      </c>
      <c r="Q383" s="494">
        <f>'Modelo Energético '!C1104</f>
        <v>0</v>
      </c>
      <c r="R383" s="494">
        <f>'Modelo Energético '!D1104</f>
        <v>0</v>
      </c>
      <c r="S383" s="319"/>
      <c r="T383" s="319"/>
      <c r="U383" s="319"/>
      <c r="V383" s="319"/>
      <c r="W383" s="319"/>
      <c r="X383" s="319"/>
      <c r="Y383" s="319"/>
      <c r="Z383" s="319"/>
      <c r="AA383" s="319"/>
      <c r="AB383" s="319"/>
      <c r="AC383" s="319"/>
      <c r="AD383" s="319"/>
      <c r="AE383" s="319"/>
      <c r="AF383" s="319"/>
      <c r="AG383" s="319"/>
      <c r="AH383" s="319"/>
      <c r="AI383" s="319"/>
      <c r="AJ383" s="319"/>
      <c r="AK383" s="319"/>
      <c r="AL383" s="319"/>
      <c r="AM383" s="319"/>
      <c r="AN383" s="319"/>
      <c r="AO383" s="319"/>
      <c r="AP383" s="319"/>
      <c r="AQ383" s="319"/>
      <c r="AR383" s="319"/>
      <c r="AS383" s="319"/>
      <c r="AT383" s="319"/>
      <c r="AU383" s="319"/>
      <c r="AV383" s="319"/>
      <c r="AW383" s="319"/>
      <c r="AX383" s="319"/>
      <c r="AY383" s="319"/>
      <c r="AZ383" s="319"/>
      <c r="BA383" s="319"/>
    </row>
    <row r="384" spans="1:53" ht="13.2" hidden="1">
      <c r="A384" s="319"/>
      <c r="B384" s="319"/>
      <c r="C384" s="319"/>
      <c r="D384" s="319"/>
      <c r="E384" s="319">
        <v>18</v>
      </c>
      <c r="F384" s="319" t="str">
        <f t="shared" si="151"/>
        <v>XX</v>
      </c>
      <c r="G384" s="319" t="str">
        <f t="shared" si="147"/>
        <v>Gás Natural</v>
      </c>
      <c r="H384" s="319" t="str">
        <f t="shared" si="148"/>
        <v>m³</v>
      </c>
      <c r="I384" s="494">
        <f t="shared" si="149"/>
        <v>0</v>
      </c>
      <c r="J384" s="494">
        <f t="shared" si="150"/>
        <v>0</v>
      </c>
      <c r="K384" s="319"/>
      <c r="L384" s="319"/>
      <c r="M384" s="319"/>
      <c r="N384" s="319"/>
      <c r="O384" s="319"/>
      <c r="P384" s="319">
        <f>'Modelo Energético '!B1105</f>
        <v>0</v>
      </c>
      <c r="Q384" s="494">
        <f>'Modelo Energético '!C1105</f>
        <v>0</v>
      </c>
      <c r="R384" s="494">
        <f>'Modelo Energético '!D1105</f>
        <v>0</v>
      </c>
      <c r="S384" s="319"/>
      <c r="T384" s="319"/>
      <c r="U384" s="319"/>
      <c r="V384" s="319"/>
      <c r="W384" s="319"/>
      <c r="X384" s="319"/>
      <c r="Y384" s="319"/>
      <c r="Z384" s="319"/>
      <c r="AA384" s="319"/>
      <c r="AB384" s="319"/>
      <c r="AC384" s="319"/>
      <c r="AD384" s="319"/>
      <c r="AE384" s="319"/>
      <c r="AF384" s="319"/>
      <c r="AG384" s="319"/>
      <c r="AH384" s="319"/>
      <c r="AI384" s="319"/>
      <c r="AJ384" s="319"/>
      <c r="AK384" s="319"/>
      <c r="AL384" s="319"/>
      <c r="AM384" s="319"/>
      <c r="AN384" s="319"/>
      <c r="AO384" s="319"/>
      <c r="AP384" s="319"/>
      <c r="AQ384" s="319"/>
      <c r="AR384" s="319"/>
      <c r="AS384" s="319"/>
      <c r="AT384" s="319"/>
      <c r="AU384" s="319"/>
      <c r="AV384" s="319"/>
      <c r="AW384" s="319"/>
      <c r="AX384" s="319"/>
      <c r="AY384" s="319"/>
      <c r="AZ384" s="319"/>
      <c r="BA384" s="319"/>
    </row>
    <row r="385" spans="1:53" ht="13.2" hidden="1">
      <c r="A385" s="319"/>
      <c r="B385" s="319"/>
      <c r="C385" s="319"/>
      <c r="D385" s="319"/>
      <c r="E385" s="319">
        <v>19</v>
      </c>
      <c r="F385" s="319" t="str">
        <f t="shared" si="151"/>
        <v>XX</v>
      </c>
      <c r="G385" s="319" t="str">
        <f t="shared" si="147"/>
        <v>Gás Natural</v>
      </c>
      <c r="H385" s="319" t="str">
        <f t="shared" si="148"/>
        <v>m³</v>
      </c>
      <c r="I385" s="494">
        <f t="shared" si="149"/>
        <v>0</v>
      </c>
      <c r="J385" s="494">
        <f t="shared" si="150"/>
        <v>0</v>
      </c>
      <c r="K385" s="319"/>
      <c r="L385" s="319"/>
      <c r="M385" s="319"/>
      <c r="N385" s="319"/>
      <c r="O385" s="319"/>
      <c r="P385" s="319">
        <f>'Modelo Energético '!B1106</f>
        <v>0</v>
      </c>
      <c r="Q385" s="494">
        <f>'Modelo Energético '!C1106</f>
        <v>0</v>
      </c>
      <c r="R385" s="494">
        <f>'Modelo Energético '!D1106</f>
        <v>0</v>
      </c>
      <c r="S385" s="319"/>
      <c r="T385" s="319"/>
      <c r="U385" s="319"/>
      <c r="V385" s="319"/>
      <c r="W385" s="319"/>
      <c r="X385" s="319"/>
      <c r="Y385" s="319"/>
      <c r="Z385" s="319"/>
      <c r="AA385" s="319"/>
      <c r="AB385" s="319"/>
      <c r="AC385" s="319"/>
      <c r="AD385" s="319"/>
      <c r="AE385" s="319"/>
      <c r="AF385" s="319"/>
      <c r="AG385" s="319"/>
      <c r="AH385" s="319"/>
      <c r="AI385" s="319"/>
      <c r="AJ385" s="319"/>
      <c r="AK385" s="319"/>
      <c r="AL385" s="319"/>
      <c r="AM385" s="319"/>
      <c r="AN385" s="319"/>
      <c r="AO385" s="319"/>
      <c r="AP385" s="319"/>
      <c r="AQ385" s="319"/>
      <c r="AR385" s="319"/>
      <c r="AS385" s="319"/>
      <c r="AT385" s="319"/>
      <c r="AU385" s="319"/>
      <c r="AV385" s="319"/>
      <c r="AW385" s="319"/>
      <c r="AX385" s="319"/>
      <c r="AY385" s="319"/>
      <c r="AZ385" s="319"/>
      <c r="BA385" s="319"/>
    </row>
    <row r="386" spans="1:53" ht="13.2" hidden="1">
      <c r="A386" s="319"/>
      <c r="B386" s="319"/>
      <c r="C386" s="319"/>
      <c r="D386" s="319"/>
      <c r="E386" s="319">
        <v>20</v>
      </c>
      <c r="F386" s="319" t="str">
        <f t="shared" si="151"/>
        <v>XX</v>
      </c>
      <c r="G386" s="319" t="str">
        <f t="shared" si="147"/>
        <v>Gás Natural</v>
      </c>
      <c r="H386" s="319" t="str">
        <f t="shared" si="148"/>
        <v>m³</v>
      </c>
      <c r="I386" s="494">
        <f t="shared" si="149"/>
        <v>0</v>
      </c>
      <c r="J386" s="494">
        <f t="shared" si="150"/>
        <v>0</v>
      </c>
      <c r="K386" s="319"/>
      <c r="L386" s="319"/>
      <c r="M386" s="319"/>
      <c r="N386" s="319"/>
      <c r="O386" s="319"/>
      <c r="P386" s="319">
        <f>'Modelo Energético '!B1107</f>
        <v>0</v>
      </c>
      <c r="Q386" s="494">
        <f>'Modelo Energético '!C1107</f>
        <v>0</v>
      </c>
      <c r="R386" s="494">
        <f>'Modelo Energético '!D1107</f>
        <v>0</v>
      </c>
      <c r="S386" s="319"/>
      <c r="T386" s="319"/>
      <c r="U386" s="319"/>
      <c r="V386" s="319"/>
      <c r="W386" s="319"/>
      <c r="X386" s="319"/>
      <c r="Y386" s="319"/>
      <c r="Z386" s="319"/>
      <c r="AA386" s="319"/>
      <c r="AB386" s="319"/>
      <c r="AC386" s="319"/>
      <c r="AD386" s="319"/>
      <c r="AE386" s="319"/>
      <c r="AF386" s="319"/>
      <c r="AG386" s="319"/>
      <c r="AH386" s="319"/>
      <c r="AI386" s="319"/>
      <c r="AJ386" s="319"/>
      <c r="AK386" s="319"/>
      <c r="AL386" s="319"/>
      <c r="AM386" s="319"/>
      <c r="AN386" s="319"/>
      <c r="AO386" s="319"/>
      <c r="AP386" s="319"/>
      <c r="AQ386" s="319"/>
      <c r="AR386" s="319"/>
      <c r="AS386" s="319"/>
      <c r="AT386" s="319"/>
      <c r="AU386" s="319"/>
      <c r="AV386" s="319"/>
      <c r="AW386" s="319"/>
      <c r="AX386" s="319"/>
      <c r="AY386" s="319"/>
      <c r="AZ386" s="319"/>
      <c r="BA386" s="319"/>
    </row>
    <row r="387" spans="1:53" ht="13.2" hidden="1">
      <c r="A387" s="319"/>
      <c r="B387" s="319"/>
      <c r="C387" s="319"/>
      <c r="D387" s="319"/>
      <c r="E387" s="319">
        <v>21</v>
      </c>
      <c r="F387" s="319" t="str">
        <f t="shared" si="151"/>
        <v>XX</v>
      </c>
      <c r="G387" s="319" t="str">
        <f t="shared" si="147"/>
        <v>Gás Natural</v>
      </c>
      <c r="H387" s="319" t="str">
        <f t="shared" si="148"/>
        <v>m³</v>
      </c>
      <c r="I387" s="494">
        <f t="shared" si="149"/>
        <v>0</v>
      </c>
      <c r="J387" s="494">
        <f t="shared" si="150"/>
        <v>0</v>
      </c>
      <c r="K387" s="319"/>
      <c r="L387" s="319"/>
      <c r="M387" s="319"/>
      <c r="N387" s="319"/>
      <c r="O387" s="319"/>
      <c r="P387" s="319">
        <f>'Modelo Energético '!B1108</f>
        <v>0</v>
      </c>
      <c r="Q387" s="494">
        <f>'Modelo Energético '!C1108</f>
        <v>0</v>
      </c>
      <c r="R387" s="494">
        <f>'Modelo Energético '!D1108</f>
        <v>0</v>
      </c>
      <c r="S387" s="319"/>
      <c r="T387" s="319"/>
      <c r="U387" s="319"/>
      <c r="V387" s="319"/>
      <c r="W387" s="319"/>
      <c r="X387" s="319"/>
      <c r="Y387" s="319"/>
      <c r="Z387" s="319"/>
      <c r="AA387" s="319"/>
      <c r="AB387" s="319"/>
      <c r="AC387" s="319"/>
      <c r="AD387" s="319"/>
      <c r="AE387" s="319"/>
      <c r="AF387" s="319"/>
      <c r="AG387" s="319"/>
      <c r="AH387" s="319"/>
      <c r="AI387" s="319"/>
      <c r="AJ387" s="319"/>
      <c r="AK387" s="319"/>
      <c r="AL387" s="319"/>
      <c r="AM387" s="319"/>
      <c r="AN387" s="319"/>
      <c r="AO387" s="319"/>
      <c r="AP387" s="319"/>
      <c r="AQ387" s="319"/>
      <c r="AR387" s="319"/>
      <c r="AS387" s="319"/>
      <c r="AT387" s="319"/>
      <c r="AU387" s="319"/>
      <c r="AV387" s="319"/>
      <c r="AW387" s="319"/>
      <c r="AX387" s="319"/>
      <c r="AY387" s="319"/>
      <c r="AZ387" s="319"/>
      <c r="BA387" s="319"/>
    </row>
    <row r="388" spans="1:53" ht="13.2" hidden="1">
      <c r="A388" s="319"/>
      <c r="B388" s="319"/>
      <c r="C388" s="319"/>
      <c r="D388" s="319"/>
      <c r="E388" s="319">
        <v>22</v>
      </c>
      <c r="F388" s="319" t="str">
        <f t="shared" si="151"/>
        <v>XX</v>
      </c>
      <c r="G388" s="319" t="str">
        <f t="shared" si="147"/>
        <v>Gás Natural</v>
      </c>
      <c r="H388" s="319" t="str">
        <f t="shared" si="148"/>
        <v>m³</v>
      </c>
      <c r="I388" s="494">
        <f t="shared" si="149"/>
        <v>0</v>
      </c>
      <c r="J388" s="494">
        <f t="shared" si="150"/>
        <v>0</v>
      </c>
      <c r="K388" s="319"/>
      <c r="L388" s="319"/>
      <c r="M388" s="319"/>
      <c r="N388" s="319"/>
      <c r="O388" s="319"/>
      <c r="P388" s="319">
        <f>'Modelo Energético '!B1109</f>
        <v>0</v>
      </c>
      <c r="Q388" s="494">
        <f>'Modelo Energético '!C1109</f>
        <v>0</v>
      </c>
      <c r="R388" s="494">
        <f>'Modelo Energético '!D1109</f>
        <v>0</v>
      </c>
      <c r="S388" s="319"/>
      <c r="T388" s="319"/>
      <c r="U388" s="319"/>
      <c r="V388" s="319"/>
      <c r="W388" s="319"/>
      <c r="X388" s="319"/>
      <c r="Y388" s="319"/>
      <c r="Z388" s="319"/>
      <c r="AA388" s="319"/>
      <c r="AB388" s="319"/>
      <c r="AC388" s="319"/>
      <c r="AD388" s="319"/>
      <c r="AE388" s="319"/>
      <c r="AF388" s="319"/>
      <c r="AG388" s="319"/>
      <c r="AH388" s="319"/>
      <c r="AI388" s="319"/>
      <c r="AJ388" s="319"/>
      <c r="AK388" s="319"/>
      <c r="AL388" s="319"/>
      <c r="AM388" s="319"/>
      <c r="AN388" s="319"/>
      <c r="AO388" s="319"/>
      <c r="AP388" s="319"/>
      <c r="AQ388" s="319"/>
      <c r="AR388" s="319"/>
      <c r="AS388" s="319"/>
      <c r="AT388" s="319"/>
      <c r="AU388" s="319"/>
      <c r="AV388" s="319"/>
      <c r="AW388" s="319"/>
      <c r="AX388" s="319"/>
      <c r="AY388" s="319"/>
      <c r="AZ388" s="319"/>
      <c r="BA388" s="319"/>
    </row>
  </sheetData>
  <mergeCells count="32">
    <mergeCell ref="A52:B52"/>
    <mergeCell ref="A25:B25"/>
    <mergeCell ref="J251:L251"/>
    <mergeCell ref="J228:M228"/>
    <mergeCell ref="F16:H16"/>
    <mergeCell ref="F121:H121"/>
    <mergeCell ref="J1:S3"/>
    <mergeCell ref="A1:I3"/>
    <mergeCell ref="C6:E6"/>
    <mergeCell ref="C111:E111"/>
    <mergeCell ref="A4:B4"/>
    <mergeCell ref="A6:B6"/>
    <mergeCell ref="A130:B130"/>
    <mergeCell ref="A57:C57"/>
    <mergeCell ref="N256:Q256"/>
    <mergeCell ref="C256:E256"/>
    <mergeCell ref="C219:E219"/>
    <mergeCell ref="B243:C243"/>
    <mergeCell ref="A228:B228"/>
    <mergeCell ref="N228:S228"/>
    <mergeCell ref="C228:I228"/>
    <mergeCell ref="A250:B250"/>
    <mergeCell ref="J252:L252"/>
    <mergeCell ref="J253:L253"/>
    <mergeCell ref="F41:H41"/>
    <mergeCell ref="F146:H146"/>
    <mergeCell ref="A157:B157"/>
    <mergeCell ref="A162:B162"/>
    <mergeCell ref="A214:B214"/>
    <mergeCell ref="A215:B215"/>
    <mergeCell ref="A109:B109"/>
    <mergeCell ref="A111:B111"/>
  </mergeCells>
  <phoneticPr fontId="0" type="noConversion"/>
  <conditionalFormatting sqref="D15 D40 D145 D120">
    <cfRule type="expression" dxfId="471" priority="1" stopIfTrue="1">
      <formula>X$32=0</formula>
    </cfRule>
  </conditionalFormatting>
  <conditionalFormatting sqref="F137:S137">
    <cfRule type="expression" dxfId="470" priority="2" stopIfTrue="1">
      <formula>AH$137=0</formula>
    </cfRule>
  </conditionalFormatting>
  <conditionalFormatting sqref="F199:S199 F83:R83 J94:S96 F53:S54 F201:S201 F50:S51 F33:S35 F93:I98 J93:R93 J97:R98 F42:S42">
    <cfRule type="expression" dxfId="469" priority="3" stopIfTrue="1">
      <formula>AH$32=0</formula>
    </cfRule>
  </conditionalFormatting>
  <conditionalFormatting sqref="F37:S37 F39:S39 F82:S82">
    <cfRule type="expression" dxfId="468" priority="4" stopIfTrue="1">
      <formula>F$32=0</formula>
    </cfRule>
  </conditionalFormatting>
  <conditionalFormatting sqref="F43:S49">
    <cfRule type="expression" dxfId="467" priority="5" stopIfTrue="1">
      <formula>AH$32=0</formula>
    </cfRule>
  </conditionalFormatting>
  <conditionalFormatting sqref="F188:R188 F147:S147 F158:S158 F138:S140 F155:S156 F202:S202">
    <cfRule type="expression" dxfId="466" priority="6" stopIfTrue="1">
      <formula>AH$137=0</formula>
    </cfRule>
  </conditionalFormatting>
  <conditionalFormatting sqref="F148:S154 F159:S159">
    <cfRule type="expression" dxfId="465" priority="7" stopIfTrue="1">
      <formula>AH$137=0</formula>
    </cfRule>
  </conditionalFormatting>
  <conditionalFormatting sqref="F171:R183">
    <cfRule type="expression" dxfId="464" priority="8" stopIfTrue="1">
      <formula>AH$137=0</formula>
    </cfRule>
    <cfRule type="expression" dxfId="463" priority="9" stopIfTrue="1">
      <formula>$Y171=0</formula>
    </cfRule>
  </conditionalFormatting>
  <conditionalFormatting sqref="F198:R198 F200:R200 F203:S203">
    <cfRule type="expression" dxfId="462" priority="10" stopIfTrue="1">
      <formula>AH$137=0</formula>
    </cfRule>
  </conditionalFormatting>
  <conditionalFormatting sqref="G104:R104">
    <cfRule type="expression" dxfId="461" priority="11" stopIfTrue="1">
      <formula>AI$102="-"</formula>
    </cfRule>
  </conditionalFormatting>
  <conditionalFormatting sqref="F32:S32">
    <cfRule type="expression" dxfId="460" priority="12" stopIfTrue="1">
      <formula>AH$32=0</formula>
    </cfRule>
  </conditionalFormatting>
  <conditionalFormatting sqref="F160:S160">
    <cfRule type="expression" dxfId="459" priority="13" stopIfTrue="1">
      <formula>OR(AH$137=0,$U$109=5,$U$109=6,$U$109=8,$U$109=9)</formula>
    </cfRule>
  </conditionalFormatting>
  <conditionalFormatting sqref="F104">
    <cfRule type="expression" dxfId="458" priority="14" stopIfTrue="1">
      <formula>AH$102="-"</formula>
    </cfRule>
  </conditionalFormatting>
  <conditionalFormatting sqref="S171:S183">
    <cfRule type="expression" dxfId="457" priority="15" stopIfTrue="1">
      <formula>AU$137=0</formula>
    </cfRule>
    <cfRule type="expression" dxfId="456" priority="16" stopIfTrue="1">
      <formula>$Y171=0</formula>
    </cfRule>
  </conditionalFormatting>
  <conditionalFormatting sqref="F187:S187 F144:S144 F142:S142">
    <cfRule type="expression" dxfId="455" priority="17" stopIfTrue="1">
      <formula>F$137=0</formula>
    </cfRule>
  </conditionalFormatting>
  <conditionalFormatting sqref="S83 S93 S97:S98">
    <cfRule type="expression" dxfId="454" priority="18" stopIfTrue="1">
      <formula>AU$32=0</formula>
    </cfRule>
  </conditionalFormatting>
  <conditionalFormatting sqref="S188">
    <cfRule type="expression" dxfId="453" priority="19" stopIfTrue="1">
      <formula>AU$137=0</formula>
    </cfRule>
  </conditionalFormatting>
  <conditionalFormatting sqref="S198 S200">
    <cfRule type="expression" dxfId="452" priority="20" stopIfTrue="1">
      <formula>AU$137=0</formula>
    </cfRule>
  </conditionalFormatting>
  <conditionalFormatting sqref="D192">
    <cfRule type="expression" dxfId="451" priority="21" stopIfTrue="1">
      <formula>$D$191=G265</formula>
    </cfRule>
  </conditionalFormatting>
  <conditionalFormatting sqref="D87">
    <cfRule type="expression" dxfId="450" priority="22" stopIfTrue="1">
      <formula>$D$86=G265</formula>
    </cfRule>
  </conditionalFormatting>
  <conditionalFormatting sqref="F66:S78">
    <cfRule type="expression" dxfId="449" priority="23" stopIfTrue="1">
      <formula>F$32=0</formula>
    </cfRule>
    <cfRule type="expression" dxfId="448" priority="24" stopIfTrue="1">
      <formula>$Y66=0</formula>
    </cfRule>
  </conditionalFormatting>
  <conditionalFormatting sqref="F55:S55">
    <cfRule type="expression" dxfId="447" priority="25" stopIfTrue="1">
      <formula>OR(AH$32=0,$U$5=5,$U$5=6,$U$5=8,$U$5=9)</formula>
    </cfRule>
  </conditionalFormatting>
  <conditionalFormatting sqref="S104">
    <cfRule type="expression" dxfId="446" priority="26" stopIfTrue="1">
      <formula>AU$102="-"</formula>
    </cfRule>
  </conditionalFormatting>
  <conditionalFormatting sqref="F209">
    <cfRule type="expression" dxfId="445" priority="27" stopIfTrue="1">
      <formula>F$207&lt;&gt;"-"</formula>
    </cfRule>
    <cfRule type="expression" dxfId="444" priority="28" stopIfTrue="1">
      <formula>F$207="-"</formula>
    </cfRule>
  </conditionalFormatting>
  <conditionalFormatting sqref="G209:R209">
    <cfRule type="expression" dxfId="443" priority="29" stopIfTrue="1">
      <formula>G$207&lt;&gt;"-"</formula>
    </cfRule>
    <cfRule type="expression" dxfId="442" priority="30" stopIfTrue="1">
      <formula>G$207="-"</formula>
    </cfRule>
  </conditionalFormatting>
  <conditionalFormatting sqref="S209">
    <cfRule type="expression" dxfId="441" priority="31" stopIfTrue="1">
      <formula>S$207&lt;&gt;"-"</formula>
    </cfRule>
    <cfRule type="expression" dxfId="440" priority="32" stopIfTrue="1">
      <formula>S$207="-"</formula>
    </cfRule>
  </conditionalFormatting>
  <conditionalFormatting sqref="G101:S101 G206:S206">
    <cfRule type="expression" dxfId="439" priority="33" stopIfTrue="1">
      <formula>#REF!&gt;0</formula>
    </cfRule>
  </conditionalFormatting>
  <conditionalFormatting sqref="D243 D251 D247">
    <cfRule type="expression" dxfId="438" priority="34" stopIfTrue="1">
      <formula>$W$215=1</formula>
    </cfRule>
  </conditionalFormatting>
  <conditionalFormatting sqref="D230:D241">
    <cfRule type="expression" dxfId="437" priority="35" stopIfTrue="1">
      <formula>$W$215=1</formula>
    </cfRule>
  </conditionalFormatting>
  <conditionalFormatting sqref="F207:S208 F102:S103">
    <cfRule type="cellIs" dxfId="436" priority="36" stopIfTrue="1" operator="notEqual">
      <formula>"-"</formula>
    </cfRule>
  </conditionalFormatting>
  <conditionalFormatting sqref="F244">
    <cfRule type="expression" dxfId="435" priority="39" stopIfTrue="1">
      <formula>$O$265=2</formula>
    </cfRule>
  </conditionalFormatting>
  <conditionalFormatting sqref="D122">
    <cfRule type="expression" dxfId="434" priority="40" stopIfTrue="1">
      <formula>OR($D$122&lt;0,$D$122&gt;8760)</formula>
    </cfRule>
  </conditionalFormatting>
  <conditionalFormatting sqref="F16">
    <cfRule type="expression" dxfId="433" priority="41" stopIfTrue="1">
      <formula>$D$15=$J$256</formula>
    </cfRule>
    <cfRule type="expression" dxfId="432" priority="42" stopIfTrue="1">
      <formula>$D$15=$J$257</formula>
    </cfRule>
  </conditionalFormatting>
  <conditionalFormatting sqref="D17">
    <cfRule type="expression" dxfId="431" priority="45" stopIfTrue="1">
      <formula>OR($D$17&gt;8760,$D$17&lt;0)</formula>
    </cfRule>
  </conditionalFormatting>
  <conditionalFormatting sqref="F101 F206">
    <cfRule type="expression" dxfId="430" priority="46" stopIfTrue="1">
      <formula>#REF!&gt;0</formula>
    </cfRule>
  </conditionalFormatting>
  <conditionalFormatting sqref="C66:C78 C171:C183">
    <cfRule type="expression" dxfId="429" priority="47" stopIfTrue="1">
      <formula>C66=0</formula>
    </cfRule>
  </conditionalFormatting>
  <conditionalFormatting sqref="B13:G13">
    <cfRule type="expression" dxfId="428" priority="48" stopIfTrue="1">
      <formula>OR($U$6=2,$U$6=5,$U$6=8)</formula>
    </cfRule>
  </conditionalFormatting>
  <conditionalFormatting sqref="D143 B118:D118">
    <cfRule type="expression" dxfId="427" priority="49" stopIfTrue="1">
      <formula>OR($U$111=2,$U$111=5,$U$111=8)</formula>
    </cfRule>
  </conditionalFormatting>
  <conditionalFormatting sqref="F229">
    <cfRule type="expression" dxfId="426" priority="50" stopIfTrue="1">
      <formula>$O$265=1</formula>
    </cfRule>
  </conditionalFormatting>
  <conditionalFormatting sqref="F230:F241">
    <cfRule type="expression" dxfId="425" priority="51" stopIfTrue="1">
      <formula>$O$265=1</formula>
    </cfRule>
  </conditionalFormatting>
  <conditionalFormatting sqref="F243">
    <cfRule type="expression" dxfId="424" priority="52" stopIfTrue="1">
      <formula>$O$265=2</formula>
    </cfRule>
  </conditionalFormatting>
  <conditionalFormatting sqref="H229">
    <cfRule type="expression" dxfId="423" priority="53" stopIfTrue="1">
      <formula>$O$264=1</formula>
    </cfRule>
    <cfRule type="expression" dxfId="422" priority="54" stopIfTrue="1">
      <formula>$O$264=2</formula>
    </cfRule>
  </conditionalFormatting>
  <conditionalFormatting sqref="H230:H241">
    <cfRule type="expression" dxfId="421" priority="55" stopIfTrue="1">
      <formula>$O$264=1</formula>
    </cfRule>
    <cfRule type="expression" dxfId="420" priority="56" stopIfTrue="1">
      <formula>$O$264=2</formula>
    </cfRule>
  </conditionalFormatting>
  <conditionalFormatting sqref="H243">
    <cfRule type="expression" dxfId="419" priority="57" stopIfTrue="1">
      <formula>$O$264=2</formula>
    </cfRule>
    <cfRule type="expression" dxfId="418" priority="58" stopIfTrue="1">
      <formula>$O$264=1</formula>
    </cfRule>
  </conditionalFormatting>
  <conditionalFormatting sqref="H244">
    <cfRule type="expression" dxfId="417" priority="59" stopIfTrue="1">
      <formula>$O$264=1</formula>
    </cfRule>
    <cfRule type="expression" dxfId="416" priority="60" stopIfTrue="1">
      <formula>$O$264=2</formula>
    </cfRule>
  </conditionalFormatting>
  <conditionalFormatting sqref="F121:G121">
    <cfRule type="expression" dxfId="415" priority="61" stopIfTrue="1">
      <formula>$D$120=$J$262</formula>
    </cfRule>
    <cfRule type="expression" dxfId="414" priority="62" stopIfTrue="1">
      <formula>$D$120=$J$263</formula>
    </cfRule>
  </conditionalFormatting>
  <conditionalFormatting sqref="F41:H41">
    <cfRule type="expression" dxfId="413" priority="121" stopIfTrue="1">
      <formula>$D$40=$J$265</formula>
    </cfRule>
    <cfRule type="expression" dxfId="412" priority="122" stopIfTrue="1">
      <formula>$D$40=$J$266</formula>
    </cfRule>
  </conditionalFormatting>
  <conditionalFormatting sqref="F146:H146">
    <cfRule type="expression" dxfId="411" priority="123" stopIfTrue="1">
      <formula>$D$145=$J$265</formula>
    </cfRule>
    <cfRule type="expression" dxfId="410" priority="124" stopIfTrue="1">
      <formula>$D$145=$J$266</formula>
    </cfRule>
  </conditionalFormatting>
  <dataValidations count="16">
    <dataValidation type="list" allowBlank="1" showInputMessage="1" showErrorMessage="1" sqref="D191 D86" xr:uid="{65B05693-8C97-4939-AC45-580C86D866FC}">
      <formula1>$G$264:$G$265</formula1>
    </dataValidation>
    <dataValidation type="list" allowBlank="1" showInputMessage="1" showErrorMessage="1" sqref="F171:S183 F66:S78" xr:uid="{AA3E8060-D92D-480F-8EBB-3C3772DCA0CB}">
      <formula1>$G$260:$G$261</formula1>
    </dataValidation>
    <dataValidation type="list" allowBlank="1" showInputMessage="1" showErrorMessage="1" sqref="C14 C39" xr:uid="{3CD0311C-19E3-4D21-881B-86A6FB9354DB}">
      <formula1>$D$269:$D$270</formula1>
    </dataValidation>
    <dataValidation type="list" allowBlank="1" showInputMessage="1" showErrorMessage="1" sqref="C6:E6" xr:uid="{678AAD08-4436-4437-A61C-6E456348D296}">
      <formula1>LN_heatsystem</formula1>
    </dataValidation>
    <dataValidation type="list" allowBlank="1" showInputMessage="1" showErrorMessage="1" sqref="C37 C12" xr:uid="{EE63F300-6C95-4D2A-ABED-4A019335E0A3}">
      <formula1>$D$266:$D$267</formula1>
    </dataValidation>
    <dataValidation type="list" allowBlank="1" showInputMessage="1" showErrorMessage="1" sqref="D220" xr:uid="{B7917C16-A9CD-4936-A28E-284822B967B2}">
      <formula1>$D$340:$D$359</formula1>
    </dataValidation>
    <dataValidation type="list" allowBlank="1" showInputMessage="1" showErrorMessage="1" sqref="C223" xr:uid="{66E99588-F748-4045-A451-B1E2E0BF2683}">
      <formula1>$D$272:$D$273</formula1>
    </dataValidation>
    <dataValidation type="list" allowBlank="1" showInputMessage="1" showErrorMessage="1" sqref="C119 C144" xr:uid="{033090BF-DD0A-4B33-A719-B7C9DCD7AC84}">
      <formula1>$D$269:$D$271</formula1>
    </dataValidation>
    <dataValidation type="list" allowBlank="1" showInputMessage="1" showErrorMessage="1" sqref="C117 C142" xr:uid="{73805DFB-DF67-4FB9-9063-F2F6E3244A01}">
      <formula1>$D$266:$D$268</formula1>
    </dataValidation>
    <dataValidation type="list" allowBlank="1" showInputMessage="1" showErrorMessage="1" sqref="D170 E187 E82 D65" xr:uid="{DA8EAB1A-CCE7-4B11-8832-CFAE58DBF87C}">
      <formula1>$D$264:$D$265</formula1>
    </dataValidation>
    <dataValidation type="list" allowBlank="1" showInputMessage="1" showErrorMessage="1" sqref="C164:C165 C59:C60" xr:uid="{8A28BA92-EFD8-43CB-8952-22B443E37307}">
      <formula1>$D$262:$D$263</formula1>
    </dataValidation>
    <dataValidation type="list" allowBlank="1" showInputMessage="1" showErrorMessage="1" sqref="C113 C137 C32 C8" xr:uid="{73933413-C66D-4E1B-8EB8-14993EB20068}">
      <formula1>$D$260:$D$261</formula1>
    </dataValidation>
    <dataValidation type="list" allowBlank="1" showInputMessage="1" showErrorMessage="1" sqref="C111:E111" xr:uid="{12AAE1C6-5C86-4821-B799-62B07D7D4F49}">
      <formula1>LN_coolsystem</formula1>
    </dataValidation>
    <dataValidation type="list" allowBlank="1" showInputMessage="1" showErrorMessage="1" sqref="D114 F139:S139 D9 F34:S34" xr:uid="{802C2BFF-573C-4142-8B6F-97AB0658434C}">
      <formula1>ES_fuel3</formula1>
    </dataValidation>
    <dataValidation type="list" allowBlank="1" showInputMessage="1" showErrorMessage="1" sqref="D120 D145 D40 D15" xr:uid="{E27FAB84-617F-4274-A306-991357860942}">
      <formula1>$J$265:$J$266</formula1>
    </dataValidation>
    <dataValidation type="list" allowBlank="1" showInputMessage="1" showErrorMessage="1" sqref="D192 D87" xr:uid="{03619073-A9C9-4D42-8F27-41B9FAECF919}">
      <formula1>$J$260:$J$261</formula1>
    </dataValidation>
  </dataValidations>
  <printOptions horizontalCentered="1"/>
  <pageMargins left="0.51181102362204722" right="0.51181102362204722" top="0.51181102362204722" bottom="0.51181102362204722" header="0.51181102362204722" footer="0.31496062992125984"/>
  <pageSetup scale="42" fitToHeight="3" orientation="landscape" r:id="rId1"/>
  <headerFooter alignWithMargins="0">
    <oddFooter>&amp;L_x000D_&amp;R2007-09-27_x000D_RETScreen4-v182-45.xls</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9213B-A6E4-4A1B-967C-9A6236D00783}">
  <sheetPr codeName="CHP_EEM">
    <pageSetUpPr fitToPage="1"/>
  </sheetPr>
  <dimension ref="A1:CV1206"/>
  <sheetViews>
    <sheetView showRowColHeaders="0" zoomScale="80" zoomScaleNormal="80" workbookViewId="0">
      <selection sqref="A1:K2"/>
    </sheetView>
  </sheetViews>
  <sheetFormatPr defaultColWidth="0" defaultRowHeight="11.25" customHeight="1" zeroHeight="1"/>
  <cols>
    <col min="1" max="1" width="3.77734375" customWidth="1"/>
    <col min="2" max="2" width="52.88671875" customWidth="1"/>
    <col min="3" max="3" width="18.77734375" customWidth="1"/>
    <col min="4" max="4" width="15.77734375" customWidth="1"/>
    <col min="5" max="5" width="18.77734375" customWidth="1"/>
    <col min="6" max="6" width="15.33203125" customWidth="1"/>
    <col min="7" max="7" width="19.33203125" customWidth="1"/>
    <col min="8" max="8" width="20.33203125" customWidth="1"/>
    <col min="9" max="10" width="19.33203125" customWidth="1"/>
    <col min="11" max="11" width="18.33203125" customWidth="1"/>
    <col min="12" max="12" width="2.77734375" customWidth="1"/>
    <col min="13" max="21" width="14.6640625" hidden="1" customWidth="1"/>
    <col min="22" max="24" width="9.33203125" hidden="1" customWidth="1"/>
    <col min="25" max="25" width="10.33203125" hidden="1" customWidth="1"/>
    <col min="26" max="26" width="12.88671875" hidden="1" customWidth="1"/>
    <col min="27" max="30" width="9.33203125" hidden="1" customWidth="1"/>
    <col min="31" max="31" width="0" hidden="1" customWidth="1"/>
    <col min="32" max="33" width="9.33203125" hidden="1" customWidth="1"/>
    <col min="34" max="34" width="10.6640625" hidden="1" customWidth="1"/>
    <col min="35" max="35" width="9.33203125" hidden="1" customWidth="1"/>
    <col min="36" max="36" width="15.109375" hidden="1" customWidth="1"/>
    <col min="37" max="38" width="9.33203125" hidden="1" customWidth="1"/>
    <col min="39" max="39" width="0" hidden="1" customWidth="1"/>
    <col min="40" max="45" width="9.33203125" hidden="1" customWidth="1"/>
    <col min="46" max="46" width="11.33203125" hidden="1" customWidth="1"/>
    <col min="47" max="55" width="9.33203125" hidden="1" customWidth="1"/>
    <col min="56" max="57" width="0" hidden="1" customWidth="1"/>
    <col min="58" max="58" width="13.6640625" hidden="1" customWidth="1"/>
    <col min="59" max="59" width="0" hidden="1" customWidth="1"/>
    <col min="60" max="60" width="9.5546875" hidden="1" customWidth="1"/>
    <col min="61" max="61" width="13.6640625" hidden="1" customWidth="1"/>
    <col min="62" max="62" width="9.33203125" hidden="1" customWidth="1"/>
    <col min="63" max="63" width="0" hidden="1" customWidth="1"/>
    <col min="64" max="64" width="9.33203125" hidden="1" customWidth="1"/>
    <col min="65" max="65" width="10.109375" hidden="1" customWidth="1"/>
    <col min="66" max="66" width="9.33203125" hidden="1" customWidth="1"/>
    <col min="67" max="68" width="0" hidden="1" customWidth="1"/>
    <col min="69" max="69" width="10.33203125" hidden="1" customWidth="1"/>
    <col min="70" max="86" width="0" hidden="1" customWidth="1"/>
    <col min="87" max="87" width="13.44140625" hidden="1" customWidth="1"/>
    <col min="88" max="88" width="11.6640625" hidden="1" customWidth="1"/>
  </cols>
  <sheetData>
    <row r="1" spans="1:89" ht="13.2">
      <c r="A1" s="1194" t="str">
        <f>Language!C866&amp;'Análise de Emissões'!B188</f>
        <v>Modelo Energético RETScreen - Projeto produção de Eletricidade</v>
      </c>
      <c r="B1" s="1194"/>
      <c r="C1" s="1194"/>
      <c r="D1" s="1194"/>
      <c r="E1" s="1194"/>
      <c r="F1" s="1194"/>
      <c r="G1" s="1194"/>
      <c r="H1" s="1194"/>
      <c r="I1" s="1194"/>
      <c r="J1" s="1194"/>
      <c r="K1" s="1194"/>
      <c r="L1" s="1"/>
      <c r="M1" s="319">
        <f>IF(ISERROR(SUM(M4:M1015)+HideCodeEM_1),6,SUM(M4:M1015)+HideCodeEM_1)</f>
        <v>30881.191512678972</v>
      </c>
      <c r="N1" s="319">
        <v>2000000</v>
      </c>
      <c r="O1" s="319"/>
      <c r="P1" s="319"/>
      <c r="Q1" s="319">
        <v>82490</v>
      </c>
      <c r="R1" s="319">
        <f>Set_Level</f>
        <v>2</v>
      </c>
      <c r="S1" s="319">
        <v>1</v>
      </c>
      <c r="T1" s="319"/>
      <c r="U1" s="319"/>
      <c r="V1" s="319"/>
      <c r="W1" s="319"/>
      <c r="X1" s="319"/>
      <c r="Y1" s="319"/>
      <c r="Z1" s="319" t="s">
        <v>4187</v>
      </c>
      <c r="AA1" s="1006" t="s">
        <v>2452</v>
      </c>
      <c r="AB1" s="1006" t="s">
        <v>3541</v>
      </c>
      <c r="AC1" s="1006" t="s">
        <v>3542</v>
      </c>
      <c r="AD1" s="1006" t="s">
        <v>3543</v>
      </c>
      <c r="AE1" s="1006" t="s">
        <v>2456</v>
      </c>
      <c r="AF1" s="1006" t="s">
        <v>2457</v>
      </c>
      <c r="AG1" s="1030" t="s">
        <v>4176</v>
      </c>
      <c r="AH1" s="1030" t="s">
        <v>4185</v>
      </c>
      <c r="AI1" s="1030" t="s">
        <v>4175</v>
      </c>
      <c r="AJ1" s="1030" t="s">
        <v>4177</v>
      </c>
      <c r="AK1" s="1030" t="s">
        <v>4178</v>
      </c>
      <c r="AO1" s="319" t="s">
        <v>4188</v>
      </c>
      <c r="AP1" s="1013" t="s">
        <v>2452</v>
      </c>
      <c r="AQ1" s="1013" t="s">
        <v>2453</v>
      </c>
      <c r="AR1" s="1013" t="s">
        <v>2455</v>
      </c>
      <c r="AS1" s="1013" t="s">
        <v>2454</v>
      </c>
      <c r="AT1" s="1013" t="s">
        <v>4185</v>
      </c>
      <c r="AU1" s="1013" t="s">
        <v>4186</v>
      </c>
      <c r="AV1" s="319"/>
      <c r="AW1" s="319"/>
      <c r="AX1" s="319"/>
      <c r="AY1" s="319"/>
      <c r="AZ1" s="319"/>
      <c r="BA1" s="319"/>
      <c r="BB1" s="319"/>
      <c r="BC1" s="319"/>
      <c r="BD1" s="319"/>
      <c r="BE1" s="319"/>
      <c r="BF1" s="319"/>
      <c r="BG1" s="319"/>
      <c r="BH1" s="319"/>
      <c r="BI1" s="319"/>
      <c r="BJ1" s="319"/>
      <c r="BK1" s="319"/>
      <c r="BL1" s="319"/>
      <c r="BM1" s="319"/>
      <c r="BN1" s="319"/>
      <c r="BO1" s="319"/>
      <c r="BP1" s="319"/>
      <c r="BQ1" s="319"/>
      <c r="BR1" s="319"/>
      <c r="BS1" s="319"/>
      <c r="BT1" s="319"/>
      <c r="BU1" s="319"/>
      <c r="BV1" s="319"/>
      <c r="BW1" s="319"/>
      <c r="BX1" s="319"/>
      <c r="BY1" s="319"/>
      <c r="BZ1" s="319"/>
      <c r="CA1" s="319"/>
      <c r="CB1" s="319"/>
      <c r="CC1" s="319"/>
      <c r="CD1" s="319"/>
      <c r="CE1" s="319"/>
      <c r="CF1" s="319"/>
      <c r="CG1" s="319"/>
      <c r="CH1" s="319"/>
      <c r="CI1" s="319"/>
      <c r="CJ1" s="319"/>
      <c r="CK1" s="319"/>
    </row>
    <row r="2" spans="1:89" ht="12.75" customHeight="1">
      <c r="A2" s="1219"/>
      <c r="B2" s="1219"/>
      <c r="C2" s="1219"/>
      <c r="D2" s="1219"/>
      <c r="E2" s="1219"/>
      <c r="F2" s="1219"/>
      <c r="G2" s="1219"/>
      <c r="H2" s="1219"/>
      <c r="I2" s="1219"/>
      <c r="J2" s="1219"/>
      <c r="K2" s="1219"/>
      <c r="L2" s="1"/>
      <c r="M2" s="319"/>
      <c r="N2" s="319">
        <v>2000000</v>
      </c>
      <c r="O2" s="319"/>
      <c r="P2" s="319"/>
      <c r="Q2" s="319"/>
      <c r="R2" s="319">
        <f>Iniciar!P4</f>
        <v>0</v>
      </c>
      <c r="S2" s="319">
        <v>1</v>
      </c>
      <c r="T2" s="319"/>
      <c r="U2" s="319"/>
      <c r="V2" s="319"/>
      <c r="W2" s="319"/>
      <c r="X2" s="319"/>
      <c r="Y2" s="319"/>
      <c r="Z2" s="319"/>
      <c r="AA2" s="1006">
        <v>204</v>
      </c>
      <c r="AB2" s="1006">
        <v>3</v>
      </c>
      <c r="AC2" s="1006">
        <v>204</v>
      </c>
      <c r="AD2" s="1006">
        <v>17</v>
      </c>
      <c r="AE2" s="1006" t="b">
        <v>1</v>
      </c>
      <c r="AF2" s="1006" t="s">
        <v>3544</v>
      </c>
      <c r="AG2" s="1032" t="b">
        <v>1</v>
      </c>
      <c r="AH2" s="1006">
        <v>204</v>
      </c>
      <c r="AI2" s="1006">
        <v>4</v>
      </c>
      <c r="AJ2" s="1006">
        <v>205</v>
      </c>
      <c r="AK2" s="1006">
        <v>17</v>
      </c>
      <c r="AO2" s="319"/>
      <c r="AP2" s="1004">
        <v>4</v>
      </c>
      <c r="AQ2" s="1004">
        <v>3</v>
      </c>
      <c r="AR2" s="1004">
        <v>4</v>
      </c>
      <c r="AS2" s="1004">
        <v>13</v>
      </c>
      <c r="AT2" s="1004">
        <v>4</v>
      </c>
      <c r="AU2" s="1004">
        <v>4</v>
      </c>
      <c r="AV2" s="319"/>
      <c r="AW2" s="319"/>
      <c r="AX2" s="319"/>
      <c r="AY2" s="319"/>
      <c r="AZ2" s="319"/>
      <c r="BA2" s="319"/>
      <c r="BB2" s="319"/>
      <c r="BC2" s="319"/>
      <c r="BD2" s="319"/>
      <c r="BE2" s="319"/>
      <c r="BF2" s="319"/>
      <c r="BG2" s="319"/>
      <c r="BH2" s="319"/>
      <c r="BI2" s="319"/>
      <c r="BJ2" s="319"/>
      <c r="BK2" s="319"/>
      <c r="BL2" s="319"/>
      <c r="BM2" s="319"/>
      <c r="BN2" s="319"/>
      <c r="BO2" s="319"/>
      <c r="BP2" s="319"/>
      <c r="BQ2" s="319"/>
      <c r="BR2" s="319"/>
      <c r="BS2" s="319"/>
      <c r="BT2" s="319"/>
      <c r="BU2" s="319"/>
      <c r="BV2" s="319"/>
      <c r="BW2" s="319"/>
      <c r="BX2" s="319"/>
      <c r="BY2" s="319"/>
      <c r="BZ2" s="319"/>
      <c r="CA2" s="319"/>
      <c r="CB2" s="319"/>
      <c r="CC2" s="319"/>
      <c r="CD2" s="319"/>
      <c r="CE2" s="319"/>
      <c r="CF2" s="319"/>
      <c r="CG2" s="319"/>
      <c r="CH2" s="319"/>
      <c r="CI2" s="319"/>
      <c r="CJ2" s="319"/>
      <c r="CK2" s="319"/>
    </row>
    <row r="3" spans="1:89" ht="12.75" hidden="1" customHeight="1">
      <c r="A3" s="1211" t="str">
        <f>'Análise de Emissões'!B188</f>
        <v>Projeto produção de Eletricidade</v>
      </c>
      <c r="B3" s="1212"/>
      <c r="C3" s="354"/>
      <c r="D3" s="545"/>
      <c r="E3" s="354"/>
      <c r="F3" s="354"/>
      <c r="G3" s="354"/>
      <c r="H3" s="354"/>
      <c r="I3" s="354"/>
      <c r="J3" s="354"/>
      <c r="K3" s="355"/>
      <c r="L3" s="1"/>
      <c r="M3" s="319"/>
      <c r="N3" s="319">
        <v>2000000</v>
      </c>
      <c r="O3" s="319"/>
      <c r="P3" s="319"/>
      <c r="Q3" s="319" t="s">
        <v>187</v>
      </c>
      <c r="R3" s="319">
        <f>HideCode_projectType</f>
        <v>2</v>
      </c>
      <c r="S3" s="319"/>
      <c r="T3" s="319"/>
      <c r="U3" s="319"/>
      <c r="V3" s="319"/>
      <c r="W3" s="319"/>
      <c r="X3" s="319"/>
      <c r="Y3" s="319"/>
      <c r="Z3" s="319"/>
      <c r="AA3" s="1006">
        <v>204</v>
      </c>
      <c r="AB3" s="1006">
        <v>3</v>
      </c>
      <c r="AC3" s="1006">
        <v>205</v>
      </c>
      <c r="AD3" s="1006">
        <v>17</v>
      </c>
      <c r="AE3" s="1006" t="b">
        <v>1</v>
      </c>
      <c r="AF3" s="1006" t="s">
        <v>3544</v>
      </c>
      <c r="AG3" s="1032" t="b">
        <v>1</v>
      </c>
      <c r="AH3" s="1006">
        <v>204</v>
      </c>
      <c r="AI3" s="1006">
        <v>4</v>
      </c>
      <c r="AJ3" s="1006">
        <v>204</v>
      </c>
      <c r="AK3" s="1006">
        <v>17</v>
      </c>
      <c r="AO3" s="319"/>
      <c r="AP3" s="1004">
        <v>37</v>
      </c>
      <c r="AQ3" s="1004">
        <v>3</v>
      </c>
      <c r="AR3" s="1004">
        <v>37</v>
      </c>
      <c r="AS3" s="1004">
        <v>13</v>
      </c>
      <c r="AT3" s="1004">
        <v>37</v>
      </c>
      <c r="AU3" s="1004">
        <v>4</v>
      </c>
      <c r="AV3" s="319"/>
      <c r="AW3" s="319"/>
      <c r="AX3" s="319"/>
      <c r="AY3" s="319"/>
      <c r="AZ3" s="319"/>
      <c r="BA3" s="319"/>
      <c r="BB3" s="319"/>
      <c r="BC3" s="319"/>
      <c r="BD3" s="319"/>
      <c r="BE3" s="319"/>
      <c r="BF3" s="319"/>
      <c r="BG3" s="319"/>
      <c r="BH3" s="319"/>
      <c r="BI3" s="319"/>
      <c r="BJ3" s="319"/>
      <c r="BK3" s="319"/>
      <c r="BL3" s="319"/>
      <c r="BM3" s="319"/>
      <c r="BN3" s="319"/>
      <c r="BO3" s="319"/>
      <c r="BP3" s="319"/>
      <c r="BQ3" s="319"/>
      <c r="BR3" s="319"/>
      <c r="BS3" s="319"/>
      <c r="BT3" s="319"/>
      <c r="BU3" s="319"/>
      <c r="BV3" s="319"/>
      <c r="BW3" s="319"/>
      <c r="BX3" s="319"/>
      <c r="BY3" s="319"/>
      <c r="BZ3" s="319"/>
      <c r="CA3" s="319"/>
      <c r="CB3" s="319"/>
      <c r="CC3" s="319"/>
      <c r="CD3" s="319"/>
      <c r="CE3" s="319"/>
      <c r="CF3" s="319"/>
      <c r="CG3" s="319"/>
      <c r="CH3" s="319"/>
      <c r="CI3" s="319"/>
      <c r="CJ3" s="319"/>
      <c r="CK3" s="319"/>
    </row>
    <row r="4" spans="1:89" ht="12.75" customHeight="1">
      <c r="A4" s="1211" t="str">
        <f>Language!C1695</f>
        <v>Combustíveis &amp; horários</v>
      </c>
      <c r="B4" s="1212"/>
      <c r="C4" s="1020" t="s">
        <v>4190</v>
      </c>
      <c r="D4" s="1213" t="str">
        <f>$G$384</f>
        <v>Mostrar dado</v>
      </c>
      <c r="E4" s="1213"/>
      <c r="F4" s="1213"/>
      <c r="G4" s="1213"/>
      <c r="H4" s="1213"/>
      <c r="I4" s="1213"/>
      <c r="J4" s="1213"/>
      <c r="K4" s="1214"/>
      <c r="L4" s="1"/>
      <c r="M4" s="3" t="b">
        <v>1</v>
      </c>
      <c r="N4" s="319">
        <v>4010000</v>
      </c>
      <c r="O4" s="319"/>
      <c r="P4" s="319"/>
      <c r="Q4" s="319" t="s">
        <v>2029</v>
      </c>
      <c r="R4" s="319"/>
      <c r="S4" s="319" t="s">
        <v>635</v>
      </c>
      <c r="T4" s="319">
        <f>Iniciar!E49</f>
        <v>40.200000000000003</v>
      </c>
      <c r="U4" s="319">
        <f>T4*PI()/180</f>
        <v>0.70162235930172046</v>
      </c>
      <c r="V4" s="319"/>
      <c r="W4" s="319"/>
      <c r="X4" s="319"/>
      <c r="Y4" s="319"/>
      <c r="Z4" s="319"/>
      <c r="AA4" s="1006">
        <v>543</v>
      </c>
      <c r="AB4" s="1006">
        <v>3</v>
      </c>
      <c r="AC4" s="1006">
        <v>542</v>
      </c>
      <c r="AD4" s="1006">
        <v>17</v>
      </c>
      <c r="AE4" s="1006" t="b">
        <v>1</v>
      </c>
      <c r="AF4" s="1006" t="s">
        <v>3545</v>
      </c>
      <c r="AG4" s="1032" t="b">
        <v>0</v>
      </c>
      <c r="AH4" s="1006"/>
      <c r="AI4" s="1006"/>
      <c r="AJ4" s="1006"/>
      <c r="AK4" s="1006"/>
      <c r="AO4" s="319"/>
      <c r="AP4" s="1004">
        <v>39</v>
      </c>
      <c r="AQ4" s="1004">
        <v>10</v>
      </c>
      <c r="AR4" s="1004">
        <v>39</v>
      </c>
      <c r="AS4" s="1004">
        <v>17</v>
      </c>
      <c r="AT4" s="1004">
        <v>38</v>
      </c>
      <c r="AU4" s="1004">
        <v>10</v>
      </c>
      <c r="AV4" s="319"/>
      <c r="AW4" s="319"/>
      <c r="AX4" s="319"/>
      <c r="AY4" s="319"/>
      <c r="AZ4" s="319"/>
      <c r="BA4" s="319"/>
      <c r="BB4" s="319"/>
      <c r="BC4" s="319"/>
      <c r="BD4" s="319"/>
      <c r="BE4" s="319"/>
      <c r="BF4" s="319"/>
      <c r="BG4" s="319"/>
      <c r="BH4" s="319"/>
      <c r="BI4" s="319"/>
      <c r="BJ4" s="319"/>
      <c r="BK4" s="319"/>
      <c r="BL4" s="319"/>
      <c r="BM4" s="319"/>
      <c r="BN4" s="319"/>
      <c r="BO4" s="319"/>
      <c r="BP4" s="319"/>
      <c r="BQ4" s="319"/>
      <c r="BR4" s="319"/>
      <c r="BS4" s="319"/>
      <c r="BT4" s="319"/>
      <c r="BU4" s="319"/>
      <c r="BV4" s="319"/>
      <c r="BW4" s="319"/>
      <c r="BX4" s="319"/>
      <c r="BY4" s="319"/>
      <c r="BZ4" s="319"/>
      <c r="CA4" s="319"/>
      <c r="CB4" s="319"/>
      <c r="CC4" s="319"/>
      <c r="CD4" s="319"/>
      <c r="CE4" s="319"/>
      <c r="CF4" s="319"/>
      <c r="CG4" s="319"/>
      <c r="CH4" s="319"/>
      <c r="CI4" s="319"/>
      <c r="CJ4" s="319"/>
      <c r="CK4" s="319"/>
    </row>
    <row r="5" spans="1:89" ht="13.2">
      <c r="A5" s="12"/>
      <c r="B5" s="1"/>
      <c r="C5" s="1"/>
      <c r="D5" s="525"/>
      <c r="E5" s="82"/>
      <c r="F5" s="82"/>
      <c r="G5" s="82"/>
      <c r="H5" s="8"/>
      <c r="I5" s="8"/>
      <c r="J5" s="8"/>
      <c r="K5" s="9"/>
      <c r="L5" s="1"/>
      <c r="M5" s="319">
        <f>IF(EE1_Show1=TRUE,99,79)</f>
        <v>99</v>
      </c>
      <c r="N5" s="319">
        <v>4010000</v>
      </c>
      <c r="O5" s="319"/>
      <c r="P5" s="319"/>
      <c r="Q5" s="319"/>
      <c r="R5" s="319"/>
      <c r="S5" s="319"/>
      <c r="T5" s="319"/>
      <c r="U5" s="319"/>
      <c r="V5" s="319"/>
      <c r="W5" s="319"/>
      <c r="X5" s="319"/>
      <c r="Y5" s="319"/>
      <c r="Z5" s="319"/>
      <c r="AA5" s="1006">
        <v>544</v>
      </c>
      <c r="AB5" s="1006">
        <v>3</v>
      </c>
      <c r="AC5" s="1006">
        <v>543</v>
      </c>
      <c r="AD5" s="1006">
        <v>17</v>
      </c>
      <c r="AE5" s="1006" t="b">
        <v>1</v>
      </c>
      <c r="AF5" s="1006" t="s">
        <v>3545</v>
      </c>
      <c r="AG5" s="1032" t="b">
        <v>0</v>
      </c>
      <c r="AH5" s="1006"/>
      <c r="AI5" s="1006"/>
      <c r="AJ5" s="1006"/>
      <c r="AK5" s="1006"/>
      <c r="AO5" s="319"/>
      <c r="AP5" s="1004">
        <v>41</v>
      </c>
      <c r="AQ5" s="1004">
        <v>10</v>
      </c>
      <c r="AR5" s="1004">
        <v>41</v>
      </c>
      <c r="AS5" s="1004">
        <v>17</v>
      </c>
      <c r="AT5" s="1004">
        <v>41</v>
      </c>
      <c r="AU5" s="1004">
        <v>9</v>
      </c>
      <c r="AV5" s="319"/>
      <c r="AW5" s="319"/>
      <c r="AX5" s="319"/>
      <c r="AY5" s="319"/>
      <c r="AZ5" s="319"/>
      <c r="BA5" s="319"/>
      <c r="BB5" s="319"/>
      <c r="BC5" s="319"/>
      <c r="BD5" s="319"/>
      <c r="BE5" s="319"/>
      <c r="BF5" s="319"/>
      <c r="BG5" s="319"/>
      <c r="BH5" s="319"/>
      <c r="BI5" s="319"/>
      <c r="BJ5" s="319"/>
      <c r="BK5" s="319"/>
      <c r="BL5" s="319"/>
      <c r="BM5" s="319"/>
      <c r="BN5" s="319"/>
      <c r="BO5" s="319"/>
      <c r="BP5" s="319"/>
      <c r="BQ5" s="319"/>
      <c r="BR5" s="319"/>
      <c r="BS5" s="319"/>
      <c r="BT5" s="319"/>
      <c r="BU5" s="319"/>
      <c r="BV5" s="319"/>
      <c r="BW5" s="319"/>
      <c r="BX5" s="319"/>
      <c r="BY5" s="319"/>
      <c r="BZ5" s="319"/>
      <c r="CA5" s="319"/>
      <c r="CB5" s="319"/>
      <c r="CC5" s="319"/>
      <c r="CD5" s="319"/>
      <c r="CE5" s="319"/>
      <c r="CF5" s="319"/>
      <c r="CG5" s="319"/>
      <c r="CH5" s="319"/>
      <c r="CI5" s="319"/>
      <c r="CJ5" s="319"/>
      <c r="CK5" s="319"/>
    </row>
    <row r="6" spans="1:89" ht="25.5" customHeight="1">
      <c r="A6" s="12"/>
      <c r="B6" s="49" t="str">
        <f>Language!C574</f>
        <v>Combustível</v>
      </c>
      <c r="C6" s="128"/>
      <c r="D6" s="15"/>
      <c r="E6" s="142" t="str">
        <f>$B$801&amp;" 1"</f>
        <v>Tipo de Combustível 1</v>
      </c>
      <c r="F6" s="20" t="str">
        <f>$B$801&amp;" 2"</f>
        <v>Tipo de Combustível 2</v>
      </c>
      <c r="G6" s="20" t="str">
        <f>$B$801&amp;" 3"</f>
        <v>Tipo de Combustível 3</v>
      </c>
      <c r="H6" s="20" t="str">
        <f>$B$801&amp;" 4"</f>
        <v>Tipo de Combustível 4</v>
      </c>
      <c r="I6" s="20" t="str">
        <f>$B$801&amp;" 5"</f>
        <v>Tipo de Combustível 5</v>
      </c>
      <c r="J6" s="20" t="str">
        <f>$B$801&amp;" 6"</f>
        <v>Tipo de Combustível 6</v>
      </c>
      <c r="K6" s="9"/>
      <c r="L6" s="1"/>
      <c r="M6" s="476">
        <f>IF(ISERROR('Análise Financeira'!S14+'Análise Financeira'!S22+'Análise Financeira'!S36),3,'Análise Financeira'!S14+'Análise Financeira'!S22+'Análise Financeira'!S36)</f>
        <v>7460.1915126789727</v>
      </c>
      <c r="N6" s="319">
        <v>4010004</v>
      </c>
      <c r="O6" s="319"/>
      <c r="P6" s="319"/>
      <c r="Q6" s="319"/>
      <c r="R6" s="319"/>
      <c r="S6" s="319"/>
      <c r="T6" s="319"/>
      <c r="U6" s="319"/>
      <c r="V6" s="319"/>
      <c r="W6" s="319"/>
      <c r="X6" s="319"/>
      <c r="Y6" s="319"/>
      <c r="Z6" s="319"/>
      <c r="AA6" s="1006">
        <v>665</v>
      </c>
      <c r="AB6" s="1006">
        <v>3</v>
      </c>
      <c r="AC6" s="1006">
        <v>664</v>
      </c>
      <c r="AD6" s="1006">
        <v>17</v>
      </c>
      <c r="AE6" s="1006" t="b">
        <v>1</v>
      </c>
      <c r="AF6" s="1006" t="s">
        <v>3546</v>
      </c>
      <c r="AG6" s="1032" t="b">
        <v>0</v>
      </c>
      <c r="AH6" s="1006"/>
      <c r="AI6" s="1006"/>
      <c r="AJ6" s="1006"/>
      <c r="AK6" s="1006"/>
      <c r="AO6" s="319"/>
      <c r="AP6" s="1004">
        <v>42</v>
      </c>
      <c r="AQ6" s="1004">
        <v>10</v>
      </c>
      <c r="AR6" s="1004">
        <v>42</v>
      </c>
      <c r="AS6" s="1004">
        <v>17</v>
      </c>
      <c r="AT6" s="1004">
        <v>42</v>
      </c>
      <c r="AU6" s="1004">
        <v>9</v>
      </c>
      <c r="AV6" s="319"/>
      <c r="AW6" s="319"/>
      <c r="AX6" s="319"/>
      <c r="AY6" s="319"/>
      <c r="AZ6" s="319"/>
      <c r="BA6" s="319"/>
      <c r="BB6" s="319"/>
      <c r="BC6" s="319"/>
      <c r="BD6" s="319"/>
      <c r="BE6" s="319"/>
      <c r="BF6" s="319"/>
      <c r="BG6" s="319"/>
      <c r="BH6" s="319"/>
      <c r="BI6" s="319"/>
      <c r="BJ6" s="319"/>
      <c r="BK6" s="319"/>
      <c r="BL6" s="319"/>
      <c r="BM6" s="319"/>
      <c r="BN6" s="319"/>
      <c r="BO6" s="319"/>
      <c r="BP6" s="319"/>
      <c r="BQ6" s="319"/>
      <c r="BR6" s="319"/>
      <c r="BS6" s="319"/>
      <c r="BT6" s="319"/>
      <c r="BU6" s="319"/>
      <c r="BV6" s="319"/>
      <c r="BW6" s="319"/>
      <c r="BX6" s="319"/>
      <c r="BY6" s="319"/>
      <c r="BZ6" s="319"/>
      <c r="CA6" s="319"/>
      <c r="CB6" s="319"/>
      <c r="CC6" s="319"/>
      <c r="CD6" s="319"/>
      <c r="CE6" s="319"/>
      <c r="CF6" s="319"/>
      <c r="CG6" s="319"/>
      <c r="CH6" s="319"/>
      <c r="CI6" s="319"/>
      <c r="CJ6" s="319"/>
      <c r="CK6" s="319"/>
    </row>
    <row r="7" spans="1:89" ht="13.2">
      <c r="A7" s="12"/>
      <c r="B7" s="315" t="str">
        <f>$B$801</f>
        <v>Tipo de Combustível</v>
      </c>
      <c r="C7" s="316"/>
      <c r="D7" s="374"/>
      <c r="E7" s="317" t="str">
        <f>$F$1098</f>
        <v>Eletricidade</v>
      </c>
      <c r="F7" s="375"/>
      <c r="G7" s="375"/>
      <c r="H7" s="375"/>
      <c r="I7" s="375"/>
      <c r="J7" s="375"/>
      <c r="K7" s="9"/>
      <c r="L7" s="1"/>
      <c r="M7" s="319"/>
      <c r="N7" s="319">
        <v>2010106</v>
      </c>
      <c r="O7" s="319"/>
      <c r="P7" s="319"/>
      <c r="Q7" s="319"/>
      <c r="R7" s="319"/>
      <c r="S7" s="319"/>
      <c r="T7" s="319"/>
      <c r="U7" s="319"/>
      <c r="V7" s="319"/>
      <c r="W7" s="319"/>
      <c r="X7" s="319"/>
      <c r="Y7" s="319"/>
      <c r="Z7" s="319"/>
      <c r="AA7" s="1006">
        <v>666</v>
      </c>
      <c r="AB7" s="1006">
        <v>3</v>
      </c>
      <c r="AC7" s="1006">
        <v>665</v>
      </c>
      <c r="AD7" s="1006">
        <v>17</v>
      </c>
      <c r="AE7" s="1006" t="b">
        <v>1</v>
      </c>
      <c r="AF7" s="1006" t="s">
        <v>3546</v>
      </c>
      <c r="AG7" s="1032" t="b">
        <v>0</v>
      </c>
      <c r="AH7" s="1006"/>
      <c r="AI7" s="1006"/>
      <c r="AJ7" s="1006"/>
      <c r="AK7" s="1006"/>
      <c r="AO7" s="319"/>
      <c r="AP7" s="1004">
        <v>43</v>
      </c>
      <c r="AQ7" s="1004">
        <v>10</v>
      </c>
      <c r="AR7" s="1004">
        <v>43</v>
      </c>
      <c r="AS7" s="1004">
        <v>17</v>
      </c>
      <c r="AT7" s="1004">
        <v>43</v>
      </c>
      <c r="AU7" s="1004">
        <v>9</v>
      </c>
      <c r="AV7" s="319"/>
      <c r="AW7" s="319"/>
      <c r="AX7" s="319"/>
      <c r="AY7" s="319"/>
      <c r="AZ7" s="319"/>
      <c r="BA7" s="319"/>
      <c r="BB7" s="319"/>
      <c r="BC7" s="319"/>
      <c r="BD7" s="319"/>
      <c r="BE7" s="319"/>
      <c r="BF7" s="319"/>
      <c r="BG7" s="319"/>
      <c r="BH7" s="319"/>
      <c r="BI7" s="319"/>
      <c r="BJ7" s="319"/>
      <c r="BK7" s="319"/>
      <c r="BL7" s="319"/>
      <c r="BM7" s="319"/>
      <c r="BN7" s="319"/>
      <c r="BO7" s="319"/>
      <c r="BP7" s="319"/>
      <c r="BQ7" s="319"/>
      <c r="BR7" s="319"/>
      <c r="BS7" s="319"/>
      <c r="BT7" s="319"/>
      <c r="BU7" s="319"/>
      <c r="BV7" s="319"/>
      <c r="BW7" s="319"/>
      <c r="BX7" s="319"/>
      <c r="BY7" s="319"/>
      <c r="BZ7" s="319"/>
      <c r="CA7" s="319"/>
      <c r="CB7" s="319"/>
      <c r="CC7" s="319"/>
      <c r="CD7" s="319"/>
      <c r="CE7" s="319"/>
      <c r="CF7" s="319"/>
      <c r="CG7" s="319"/>
      <c r="CH7" s="319"/>
      <c r="CI7" s="319"/>
      <c r="CJ7" s="319"/>
      <c r="CK7" s="319"/>
    </row>
    <row r="8" spans="1:89" ht="13.2">
      <c r="A8" s="12"/>
      <c r="B8" s="56" t="str">
        <f>Language!C357</f>
        <v>Consumo de combustível - unitário</v>
      </c>
      <c r="C8" s="8"/>
      <c r="D8" s="1"/>
      <c r="E8" s="29" t="str">
        <f t="shared" ref="E8:J8" si="0">VLOOKUP(E7,LN_FuelList,3,FALSE)</f>
        <v>MWh</v>
      </c>
      <c r="F8" s="29" t="e">
        <f t="shared" si="0"/>
        <v>#N/A</v>
      </c>
      <c r="G8" s="29" t="e">
        <f t="shared" si="0"/>
        <v>#N/A</v>
      </c>
      <c r="H8" s="29" t="e">
        <f t="shared" si="0"/>
        <v>#N/A</v>
      </c>
      <c r="I8" s="29" t="e">
        <f t="shared" si="0"/>
        <v>#N/A</v>
      </c>
      <c r="J8" s="29" t="e">
        <f t="shared" si="0"/>
        <v>#N/A</v>
      </c>
      <c r="K8" s="9"/>
      <c r="L8" s="1"/>
      <c r="M8" s="319"/>
      <c r="N8" s="319">
        <v>111632</v>
      </c>
      <c r="O8" s="319"/>
      <c r="P8" s="319"/>
      <c r="Q8" s="319"/>
      <c r="R8" s="319"/>
      <c r="S8" s="319"/>
      <c r="T8" s="319"/>
      <c r="U8" s="319"/>
      <c r="V8" s="319"/>
      <c r="W8" s="319"/>
      <c r="X8" s="319"/>
      <c r="Y8" s="319"/>
      <c r="Z8" s="319"/>
      <c r="AA8" s="1006">
        <v>827</v>
      </c>
      <c r="AB8" s="1006">
        <v>2</v>
      </c>
      <c r="AC8" s="1006">
        <v>826</v>
      </c>
      <c r="AD8" s="1006">
        <v>17</v>
      </c>
      <c r="AE8" s="1006" t="b">
        <v>1</v>
      </c>
      <c r="AF8" s="1006" t="s">
        <v>3547</v>
      </c>
      <c r="AG8" s="1032" t="b">
        <v>0</v>
      </c>
      <c r="AH8" s="1006"/>
      <c r="AI8" s="1006"/>
      <c r="AJ8" s="1006"/>
      <c r="AK8" s="1006"/>
      <c r="AO8" s="319"/>
      <c r="AP8" s="1004">
        <v>44</v>
      </c>
      <c r="AQ8" s="1004">
        <v>10</v>
      </c>
      <c r="AR8" s="1004">
        <v>44</v>
      </c>
      <c r="AS8" s="1004">
        <v>17</v>
      </c>
      <c r="AT8" s="1004">
        <v>44</v>
      </c>
      <c r="AU8" s="1004">
        <v>9</v>
      </c>
      <c r="AV8" s="319"/>
      <c r="AW8" s="319"/>
      <c r="AX8" s="319"/>
      <c r="AY8" s="319"/>
      <c r="AZ8" s="319"/>
      <c r="BA8" s="319"/>
      <c r="BB8" s="319"/>
      <c r="BC8" s="319"/>
      <c r="BD8" s="319"/>
      <c r="BE8" s="319"/>
      <c r="BF8" s="319"/>
      <c r="BG8" s="319"/>
      <c r="BH8" s="319"/>
      <c r="BI8" s="319"/>
      <c r="BJ8" s="319"/>
      <c r="BK8" s="319"/>
      <c r="BL8" s="319"/>
      <c r="BM8" s="319"/>
      <c r="BN8" s="319"/>
      <c r="BO8" s="319"/>
      <c r="BP8" s="319"/>
      <c r="BQ8" s="319"/>
      <c r="BR8" s="319"/>
      <c r="BS8" s="319"/>
      <c r="BT8" s="319"/>
      <c r="BU8" s="319"/>
      <c r="BV8" s="319"/>
      <c r="BW8" s="319"/>
      <c r="BX8" s="319"/>
      <c r="BY8" s="319"/>
      <c r="BZ8" s="319"/>
      <c r="CA8" s="319"/>
      <c r="CB8" s="319"/>
      <c r="CC8" s="319"/>
      <c r="CD8" s="319"/>
      <c r="CE8" s="319"/>
      <c r="CF8" s="319"/>
      <c r="CG8" s="319"/>
      <c r="CH8" s="319"/>
      <c r="CI8" s="319"/>
      <c r="CJ8" s="319"/>
      <c r="CK8" s="319"/>
    </row>
    <row r="9" spans="1:89" ht="12.75" customHeight="1">
      <c r="A9" s="12"/>
      <c r="B9" s="56" t="str">
        <f>Language!C359</f>
        <v>Preço combustível - unidade</v>
      </c>
      <c r="C9" s="8"/>
      <c r="D9" s="1"/>
      <c r="E9" s="29" t="str">
        <f t="shared" ref="E9:J9" si="1">VLOOKUP(E7,LN_FuelList,5,FALSE)</f>
        <v>€/kWh</v>
      </c>
      <c r="F9" s="29" t="e">
        <f t="shared" si="1"/>
        <v>#N/A</v>
      </c>
      <c r="G9" s="29" t="e">
        <f t="shared" si="1"/>
        <v>#N/A</v>
      </c>
      <c r="H9" s="29" t="e">
        <f t="shared" si="1"/>
        <v>#N/A</v>
      </c>
      <c r="I9" s="29" t="e">
        <f t="shared" si="1"/>
        <v>#N/A</v>
      </c>
      <c r="J9" s="29" t="e">
        <f t="shared" si="1"/>
        <v>#N/A</v>
      </c>
      <c r="K9" s="9"/>
      <c r="L9" s="1"/>
      <c r="M9" s="319"/>
      <c r="N9" s="319">
        <v>4010010</v>
      </c>
      <c r="O9" s="319"/>
      <c r="P9" s="319"/>
      <c r="Q9" s="319"/>
      <c r="R9" s="319"/>
      <c r="S9" s="319"/>
      <c r="T9" s="319"/>
      <c r="U9" s="319"/>
      <c r="V9" s="319"/>
      <c r="W9" s="319"/>
      <c r="X9" s="319"/>
      <c r="Y9" s="319"/>
      <c r="Z9" s="319"/>
      <c r="AA9" s="1006">
        <v>827</v>
      </c>
      <c r="AB9" s="1006">
        <v>4</v>
      </c>
      <c r="AC9" s="1006">
        <v>826</v>
      </c>
      <c r="AD9" s="1006">
        <v>18</v>
      </c>
      <c r="AE9" s="1006" t="b">
        <v>1</v>
      </c>
      <c r="AF9" s="1006" t="s">
        <v>3547</v>
      </c>
      <c r="AG9" s="1032" t="b">
        <v>0</v>
      </c>
      <c r="AH9" s="1006"/>
      <c r="AI9" s="1006"/>
      <c r="AJ9" s="1006"/>
      <c r="AK9" s="1006"/>
      <c r="AO9" s="319"/>
      <c r="AP9" s="1004">
        <v>45</v>
      </c>
      <c r="AQ9" s="1004">
        <v>10</v>
      </c>
      <c r="AR9" s="1004">
        <v>45</v>
      </c>
      <c r="AS9" s="1004">
        <v>17</v>
      </c>
      <c r="AT9" s="1004">
        <v>45</v>
      </c>
      <c r="AU9" s="1004">
        <v>9</v>
      </c>
      <c r="AV9" s="319"/>
      <c r="AW9" s="319"/>
      <c r="AX9" s="319"/>
      <c r="AY9" s="319"/>
      <c r="AZ9" s="319"/>
      <c r="BA9" s="319"/>
      <c r="BB9" s="319"/>
      <c r="BC9" s="319"/>
      <c r="BD9" s="319"/>
      <c r="BE9" s="319"/>
      <c r="BF9" s="319"/>
      <c r="BG9" s="319"/>
      <c r="BH9" s="319"/>
      <c r="BI9" s="319"/>
      <c r="BJ9" s="319"/>
      <c r="BK9" s="319"/>
      <c r="BL9" s="319"/>
      <c r="BM9" s="319"/>
      <c r="BN9" s="319"/>
      <c r="BO9" s="319"/>
      <c r="BP9" s="319"/>
      <c r="BQ9" s="319"/>
      <c r="BR9" s="319"/>
      <c r="BS9" s="319"/>
      <c r="BT9" s="319"/>
      <c r="BU9" s="319"/>
      <c r="BV9" s="319"/>
      <c r="BW9" s="319"/>
      <c r="BX9" s="319"/>
      <c r="BY9" s="319"/>
      <c r="BZ9" s="319"/>
      <c r="CA9" s="319"/>
      <c r="CB9" s="319"/>
      <c r="CC9" s="319"/>
      <c r="CD9" s="319"/>
      <c r="CE9" s="319"/>
      <c r="CF9" s="319"/>
      <c r="CG9" s="319"/>
      <c r="CH9" s="319"/>
      <c r="CI9" s="319"/>
      <c r="CJ9" s="319"/>
      <c r="CK9" s="319"/>
    </row>
    <row r="10" spans="1:89" ht="13.2">
      <c r="A10" s="12"/>
      <c r="B10" s="1" t="str">
        <f>$B$804</f>
        <v>Preço do combustível</v>
      </c>
      <c r="C10" s="8"/>
      <c r="D10" s="1"/>
      <c r="E10" s="312"/>
      <c r="F10" s="312"/>
      <c r="G10" s="312"/>
      <c r="H10" s="312"/>
      <c r="I10" s="312"/>
      <c r="J10" s="312"/>
      <c r="K10" s="9"/>
      <c r="L10" s="1"/>
      <c r="M10" s="319"/>
      <c r="N10" s="319">
        <v>4010012</v>
      </c>
      <c r="O10" s="319"/>
      <c r="P10" s="319"/>
      <c r="Q10" s="319"/>
      <c r="R10" s="319"/>
      <c r="S10" s="319"/>
      <c r="T10" s="319"/>
      <c r="U10" s="319"/>
      <c r="V10" s="319"/>
      <c r="W10" s="319"/>
      <c r="X10" s="319"/>
      <c r="Y10" s="319"/>
      <c r="Z10" s="319"/>
      <c r="AA10" s="1006">
        <v>933</v>
      </c>
      <c r="AB10" s="1006">
        <v>3</v>
      </c>
      <c r="AC10" s="1006">
        <v>933</v>
      </c>
      <c r="AD10" s="1006">
        <v>17</v>
      </c>
      <c r="AE10" s="1006" t="b">
        <v>1</v>
      </c>
      <c r="AF10" s="1006" t="s">
        <v>3548</v>
      </c>
      <c r="AG10" s="1032" t="b">
        <v>0</v>
      </c>
      <c r="AH10" s="1006"/>
      <c r="AI10" s="1006"/>
      <c r="AJ10" s="1006"/>
      <c r="AK10" s="1006"/>
      <c r="AO10" s="319"/>
      <c r="AP10" s="1004">
        <v>47</v>
      </c>
      <c r="AQ10" s="1004">
        <v>10</v>
      </c>
      <c r="AR10" s="1004">
        <v>47</v>
      </c>
      <c r="AS10" s="1004">
        <v>17</v>
      </c>
      <c r="AT10" s="1004">
        <v>47</v>
      </c>
      <c r="AU10" s="1004">
        <v>9</v>
      </c>
      <c r="AV10" s="319"/>
      <c r="AW10" s="319"/>
      <c r="AX10" s="319"/>
      <c r="AY10" s="319"/>
      <c r="AZ10" s="319"/>
      <c r="BA10" s="319"/>
      <c r="BB10" s="319"/>
      <c r="BC10" s="319"/>
      <c r="BD10" s="319"/>
      <c r="BE10" s="319"/>
      <c r="BF10" s="319"/>
      <c r="BG10" s="319"/>
      <c r="BH10" s="319"/>
      <c r="BI10" s="319"/>
      <c r="BJ10" s="319"/>
      <c r="BK10" s="319"/>
      <c r="BL10" s="319"/>
      <c r="BM10" s="319"/>
      <c r="BN10" s="319"/>
      <c r="BO10" s="319"/>
      <c r="BP10" s="319"/>
      <c r="BQ10" s="319"/>
      <c r="BR10" s="319"/>
      <c r="BS10" s="319"/>
      <c r="BT10" s="319"/>
      <c r="BU10" s="319"/>
      <c r="BV10" s="319"/>
      <c r="BW10" s="319"/>
      <c r="BX10" s="319"/>
      <c r="BY10" s="319"/>
      <c r="BZ10" s="319"/>
      <c r="CA10" s="319"/>
      <c r="CB10" s="319"/>
      <c r="CC10" s="319"/>
      <c r="CD10" s="319"/>
      <c r="CE10" s="319"/>
      <c r="CF10" s="319"/>
      <c r="CG10" s="319"/>
      <c r="CH10" s="319"/>
      <c r="CI10" s="319"/>
      <c r="CJ10" s="319"/>
      <c r="CK10" s="319"/>
    </row>
    <row r="11" spans="1:89" ht="13.2">
      <c r="A11" s="12"/>
      <c r="B11" s="153"/>
      <c r="C11" s="8"/>
      <c r="D11" s="1"/>
      <c r="E11" s="82"/>
      <c r="F11" s="82"/>
      <c r="G11" s="82"/>
      <c r="H11" s="82"/>
      <c r="I11" s="8"/>
      <c r="J11" s="8"/>
      <c r="K11" s="9"/>
      <c r="L11" s="1"/>
      <c r="M11" s="393"/>
      <c r="N11" s="319">
        <v>4010004</v>
      </c>
      <c r="O11" s="319"/>
      <c r="P11" s="319"/>
      <c r="Q11" s="319"/>
      <c r="R11" s="319"/>
      <c r="S11" s="319"/>
      <c r="T11" s="319"/>
      <c r="U11" s="319"/>
      <c r="V11" s="319"/>
      <c r="W11" s="319"/>
      <c r="X11" s="319"/>
      <c r="Y11" s="319"/>
      <c r="Z11" s="319"/>
      <c r="AA11" s="1006">
        <v>934</v>
      </c>
      <c r="AB11" s="1006">
        <v>3</v>
      </c>
      <c r="AC11" s="1006">
        <v>934</v>
      </c>
      <c r="AD11" s="1006">
        <v>17</v>
      </c>
      <c r="AE11" s="1006" t="b">
        <v>1</v>
      </c>
      <c r="AF11" s="1006" t="s">
        <v>3548</v>
      </c>
      <c r="AG11" s="1032" t="b">
        <v>0</v>
      </c>
      <c r="AH11" s="1006"/>
      <c r="AI11" s="1006"/>
      <c r="AJ11" s="1006"/>
      <c r="AK11" s="1006"/>
      <c r="AO11" s="319"/>
      <c r="AP11" s="1004">
        <v>48</v>
      </c>
      <c r="AQ11" s="1004">
        <v>10</v>
      </c>
      <c r="AR11" s="1004">
        <v>48</v>
      </c>
      <c r="AS11" s="1004">
        <v>17</v>
      </c>
      <c r="AT11" s="1004">
        <v>48</v>
      </c>
      <c r="AU11" s="1004">
        <v>9</v>
      </c>
      <c r="AV11" s="319"/>
      <c r="AW11" s="319"/>
      <c r="AX11" s="319"/>
      <c r="AY11" s="319"/>
      <c r="AZ11" s="319"/>
      <c r="BA11" s="319"/>
      <c r="BB11" s="319"/>
      <c r="BC11" s="319"/>
      <c r="BD11" s="319"/>
      <c r="BE11" s="319"/>
      <c r="BF11" s="319"/>
      <c r="BG11" s="319"/>
      <c r="BH11" s="319"/>
      <c r="BI11" s="319"/>
      <c r="BJ11" s="319"/>
      <c r="BK11" s="319"/>
      <c r="BL11" s="319"/>
      <c r="BM11" s="319"/>
      <c r="BN11" s="319"/>
      <c r="BO11" s="319"/>
      <c r="BP11" s="319"/>
      <c r="BQ11" s="319"/>
      <c r="BR11" s="319"/>
      <c r="BS11" s="319"/>
      <c r="BT11" s="319"/>
      <c r="BU11" s="319"/>
      <c r="BV11" s="319"/>
      <c r="BW11" s="319"/>
      <c r="BX11" s="319"/>
      <c r="BY11" s="319"/>
      <c r="BZ11" s="319"/>
      <c r="CA11" s="319"/>
      <c r="CB11" s="319"/>
      <c r="CC11" s="319"/>
      <c r="CD11" s="319"/>
      <c r="CE11" s="319"/>
      <c r="CF11" s="319"/>
      <c r="CG11" s="319"/>
      <c r="CH11" s="319"/>
      <c r="CI11" s="319"/>
      <c r="CJ11" s="319"/>
      <c r="CK11" s="319"/>
    </row>
    <row r="12" spans="1:89" ht="14.4">
      <c r="A12" s="12"/>
      <c r="B12" s="153"/>
      <c r="C12" s="8"/>
      <c r="D12" s="1"/>
      <c r="E12" s="82"/>
      <c r="F12" s="82"/>
      <c r="G12" s="82"/>
      <c r="H12" s="82"/>
      <c r="I12" s="8"/>
      <c r="J12" s="8"/>
      <c r="K12" s="9"/>
      <c r="L12" s="1"/>
      <c r="M12" s="1005"/>
      <c r="N12" s="319">
        <v>4010004</v>
      </c>
      <c r="O12" s="319"/>
      <c r="P12" s="319"/>
      <c r="Q12" s="319"/>
      <c r="R12" s="319"/>
      <c r="S12" s="319"/>
      <c r="T12" s="319"/>
      <c r="U12" s="319"/>
      <c r="V12" s="319"/>
      <c r="W12" s="319"/>
      <c r="X12" s="319"/>
      <c r="Y12" s="319"/>
      <c r="Z12" s="319"/>
      <c r="AA12" s="1006">
        <v>935</v>
      </c>
      <c r="AB12" s="1006">
        <v>3</v>
      </c>
      <c r="AC12" s="1006">
        <v>935</v>
      </c>
      <c r="AD12" s="1006">
        <v>17</v>
      </c>
      <c r="AE12" s="1006" t="b">
        <v>1</v>
      </c>
      <c r="AF12" s="1006" t="s">
        <v>3548</v>
      </c>
      <c r="AG12" s="1032" t="b">
        <v>0</v>
      </c>
      <c r="AH12" s="1006"/>
      <c r="AI12" s="1006"/>
      <c r="AJ12" s="1006"/>
      <c r="AK12" s="1006"/>
      <c r="AO12" s="319"/>
      <c r="AP12" s="1014">
        <v>49</v>
      </c>
      <c r="AQ12" s="1004">
        <v>10</v>
      </c>
      <c r="AR12" s="1006">
        <v>49</v>
      </c>
      <c r="AS12" s="1004">
        <v>17</v>
      </c>
      <c r="AT12" s="1006">
        <v>49</v>
      </c>
      <c r="AU12" s="1004">
        <v>9</v>
      </c>
      <c r="AV12" s="319"/>
      <c r="AW12" s="319"/>
      <c r="AX12" s="319"/>
      <c r="AY12" s="319"/>
      <c r="AZ12" s="319"/>
      <c r="BA12" s="319"/>
      <c r="BB12" s="319"/>
      <c r="BC12" s="319"/>
      <c r="BD12" s="319"/>
      <c r="BE12" s="319"/>
      <c r="BF12" s="319"/>
      <c r="BG12" s="319"/>
      <c r="BH12" s="319"/>
      <c r="BI12" s="319"/>
      <c r="BJ12" s="319"/>
      <c r="BK12" s="319"/>
      <c r="BL12" s="319"/>
      <c r="BM12" s="319"/>
      <c r="BN12" s="319"/>
      <c r="BO12" s="319"/>
      <c r="BP12" s="319"/>
      <c r="BQ12" s="319"/>
      <c r="BR12" s="319"/>
      <c r="BS12" s="319"/>
      <c r="BT12" s="319"/>
      <c r="BU12" s="319"/>
      <c r="BV12" s="319"/>
      <c r="BW12" s="319"/>
      <c r="BX12" s="319"/>
      <c r="BY12" s="319"/>
      <c r="BZ12" s="319"/>
      <c r="CA12" s="319"/>
      <c r="CB12" s="319"/>
      <c r="CC12" s="319"/>
      <c r="CD12" s="319"/>
      <c r="CE12" s="319"/>
      <c r="CF12" s="319"/>
      <c r="CG12" s="319"/>
      <c r="CH12" s="319"/>
      <c r="CI12" s="319"/>
      <c r="CJ12" s="319"/>
      <c r="CK12" s="319"/>
    </row>
    <row r="13" spans="1:89" ht="12.75" customHeight="1">
      <c r="A13" s="12"/>
      <c r="B13" s="49" t="str">
        <f>Language!C2469</f>
        <v>Horário</v>
      </c>
      <c r="C13" s="128" t="str">
        <f>C221</f>
        <v>Unidade</v>
      </c>
      <c r="D13" s="162"/>
      <c r="E13" s="142" t="str">
        <f>B13&amp;" 1"</f>
        <v>Horário 1</v>
      </c>
      <c r="F13" s="142" t="str">
        <f>B13&amp;" 2"</f>
        <v>Horário 2</v>
      </c>
      <c r="G13" s="142" t="str">
        <f>B13&amp;" 3"</f>
        <v>Horário 3</v>
      </c>
      <c r="H13" s="142" t="str">
        <f>B13&amp;" 4"</f>
        <v>Horário 4</v>
      </c>
      <c r="I13" s="142" t="str">
        <f>B13&amp;" 5"</f>
        <v>Horário 5</v>
      </c>
      <c r="J13" s="142" t="str">
        <f>B13&amp;" 6"</f>
        <v>Horário 6</v>
      </c>
      <c r="K13" s="9"/>
      <c r="L13" s="1"/>
      <c r="M13" s="393"/>
      <c r="N13" s="319">
        <v>4010014</v>
      </c>
      <c r="O13" s="319"/>
      <c r="P13" s="319"/>
      <c r="Q13" s="319"/>
      <c r="R13" s="319"/>
      <c r="S13" s="319"/>
      <c r="T13" s="319"/>
      <c r="U13" s="319"/>
      <c r="V13" s="319"/>
      <c r="W13" s="319"/>
      <c r="X13" s="319"/>
      <c r="Y13" s="319"/>
      <c r="Z13" s="319"/>
      <c r="AA13" s="319"/>
      <c r="AB13" s="319"/>
      <c r="AC13" s="319"/>
      <c r="AD13" s="319"/>
      <c r="AE13" s="319"/>
      <c r="AF13" s="319"/>
      <c r="AG13" s="319"/>
      <c r="AO13" s="319"/>
      <c r="AP13" s="1014">
        <v>50</v>
      </c>
      <c r="AQ13" s="1004">
        <v>10</v>
      </c>
      <c r="AR13" s="1006">
        <v>50</v>
      </c>
      <c r="AS13" s="1004">
        <v>17</v>
      </c>
      <c r="AT13" s="1006">
        <v>50</v>
      </c>
      <c r="AU13" s="1004">
        <v>9</v>
      </c>
      <c r="AV13" s="319"/>
      <c r="AW13" s="319"/>
      <c r="AX13" s="319"/>
      <c r="AY13" s="319"/>
      <c r="AZ13" s="319"/>
      <c r="BA13" s="319"/>
      <c r="BB13" s="319"/>
      <c r="BC13" s="319"/>
      <c r="BD13" s="319"/>
      <c r="BE13" s="319"/>
      <c r="BF13" s="319"/>
      <c r="BG13" s="319"/>
      <c r="BH13" s="319"/>
      <c r="BI13" s="319"/>
      <c r="BJ13" s="319"/>
      <c r="BK13" s="319"/>
      <c r="BL13" s="319"/>
      <c r="BM13" s="319"/>
      <c r="BN13" s="319"/>
      <c r="BO13" s="319"/>
      <c r="BP13" s="319"/>
      <c r="BQ13" s="319"/>
      <c r="BR13" s="319"/>
      <c r="BS13" s="319"/>
      <c r="BT13" s="319"/>
      <c r="BU13" s="319"/>
      <c r="BV13" s="319"/>
      <c r="BW13" s="319"/>
      <c r="BX13" s="319"/>
      <c r="BY13" s="319"/>
      <c r="BZ13" s="319"/>
      <c r="CA13" s="319"/>
      <c r="CB13" s="319"/>
      <c r="CC13" s="319"/>
      <c r="CD13" s="319"/>
      <c r="CE13" s="319"/>
      <c r="CF13" s="319"/>
      <c r="CG13" s="319"/>
      <c r="CH13" s="319"/>
      <c r="CI13" s="319"/>
      <c r="CJ13" s="319"/>
      <c r="CK13" s="319"/>
    </row>
    <row r="14" spans="1:89" ht="13.2">
      <c r="A14" s="12"/>
      <c r="B14" s="154" t="str">
        <f>B206</f>
        <v>Descrição</v>
      </c>
      <c r="C14" s="154"/>
      <c r="D14" s="56"/>
      <c r="E14" s="364" t="str">
        <f>Language!C2316</f>
        <v>24/7</v>
      </c>
      <c r="F14" s="376"/>
      <c r="G14" s="376"/>
      <c r="H14" s="376"/>
      <c r="I14" s="666"/>
      <c r="J14" s="666"/>
      <c r="K14" s="9"/>
      <c r="L14" s="1"/>
      <c r="M14" s="393"/>
      <c r="N14" s="319">
        <v>4010016</v>
      </c>
      <c r="O14" s="319"/>
      <c r="P14" s="319"/>
      <c r="Q14" s="319"/>
      <c r="R14" s="319"/>
      <c r="S14" s="319"/>
      <c r="T14" s="319"/>
      <c r="U14" s="319"/>
      <c r="V14" s="319"/>
      <c r="W14" s="319"/>
      <c r="X14" s="319"/>
      <c r="Y14" s="319"/>
      <c r="Z14" s="319"/>
      <c r="AA14" s="319"/>
      <c r="AB14" s="319"/>
      <c r="AC14" s="319"/>
      <c r="AD14" s="319"/>
      <c r="AE14" s="319"/>
      <c r="AF14" s="319"/>
      <c r="AG14" s="319"/>
      <c r="AO14" s="319"/>
      <c r="AP14" s="1014">
        <v>51</v>
      </c>
      <c r="AQ14" s="1004">
        <v>10</v>
      </c>
      <c r="AR14" s="1006">
        <v>51</v>
      </c>
      <c r="AS14" s="1004">
        <v>17</v>
      </c>
      <c r="AT14" s="1006">
        <v>51</v>
      </c>
      <c r="AU14" s="1004">
        <v>9</v>
      </c>
      <c r="AV14" s="319"/>
      <c r="AW14" s="319"/>
      <c r="AX14" s="319"/>
      <c r="AY14" s="319"/>
      <c r="AZ14" s="319"/>
      <c r="BA14" s="319"/>
      <c r="BB14" s="319"/>
      <c r="BC14" s="319"/>
      <c r="BD14" s="319"/>
      <c r="BE14" s="319"/>
      <c r="BF14" s="319"/>
      <c r="BG14" s="319"/>
      <c r="BH14" s="319"/>
      <c r="BI14" s="319"/>
      <c r="BJ14" s="319"/>
      <c r="BK14" s="319"/>
      <c r="BL14" s="319"/>
      <c r="BM14" s="319"/>
      <c r="BN14" s="319"/>
      <c r="BO14" s="319"/>
      <c r="BP14" s="319"/>
      <c r="BQ14" s="319"/>
      <c r="BR14" s="319"/>
      <c r="BS14" s="319"/>
      <c r="BT14" s="319"/>
      <c r="BU14" s="319"/>
      <c r="BV14" s="319"/>
      <c r="BW14" s="319"/>
      <c r="BX14" s="319"/>
      <c r="BY14" s="319"/>
      <c r="BZ14" s="319"/>
      <c r="CA14" s="319"/>
      <c r="CB14" s="319"/>
      <c r="CC14" s="319"/>
      <c r="CD14" s="319"/>
      <c r="CE14" s="319"/>
      <c r="CF14" s="319"/>
      <c r="CG14" s="319"/>
      <c r="CH14" s="319"/>
      <c r="CI14" s="319"/>
      <c r="CJ14" s="319"/>
      <c r="CK14" s="319"/>
    </row>
    <row r="15" spans="1:89" ht="13.2">
      <c r="A15" s="12"/>
      <c r="B15" s="154"/>
      <c r="C15" s="154"/>
      <c r="D15" s="8"/>
      <c r="E15" s="8"/>
      <c r="F15" s="21" t="str">
        <f>Language!C2445</f>
        <v>Ocupado</v>
      </c>
      <c r="G15" s="21" t="str">
        <f>$F$15</f>
        <v>Ocupado</v>
      </c>
      <c r="H15" s="21" t="str">
        <f>$F$15</f>
        <v>Ocupado</v>
      </c>
      <c r="I15" s="21" t="str">
        <f>$F$15</f>
        <v>Ocupado</v>
      </c>
      <c r="J15" s="21" t="str">
        <f>$F$15</f>
        <v>Ocupado</v>
      </c>
      <c r="K15" s="9"/>
      <c r="L15" s="1"/>
      <c r="M15" s="393"/>
      <c r="N15" s="319">
        <v>4010014</v>
      </c>
      <c r="O15" s="319"/>
      <c r="P15" s="319"/>
      <c r="Q15" s="319"/>
      <c r="R15" s="319"/>
      <c r="S15" s="319"/>
      <c r="T15" s="319"/>
      <c r="U15" s="319"/>
      <c r="V15" s="319"/>
      <c r="W15" s="319"/>
      <c r="X15" s="319"/>
      <c r="Y15" s="319"/>
      <c r="Z15" s="319"/>
      <c r="AA15" s="319"/>
      <c r="AB15" s="319"/>
      <c r="AC15" s="319"/>
      <c r="AD15" s="319"/>
      <c r="AE15" s="319"/>
      <c r="AF15" s="319"/>
      <c r="AG15" s="319"/>
      <c r="AO15" s="319"/>
      <c r="AP15" s="1014">
        <v>53</v>
      </c>
      <c r="AQ15" s="1004">
        <v>10</v>
      </c>
      <c r="AR15" s="1006">
        <v>53</v>
      </c>
      <c r="AS15" s="1004">
        <v>17</v>
      </c>
      <c r="AT15" s="1006">
        <v>53</v>
      </c>
      <c r="AU15" s="1004">
        <v>9</v>
      </c>
      <c r="AV15" s="319"/>
      <c r="AW15" s="319"/>
      <c r="AX15" s="319"/>
      <c r="AY15" s="319"/>
      <c r="AZ15" s="319"/>
      <c r="BA15" s="319"/>
      <c r="BB15" s="319"/>
      <c r="BC15" s="319"/>
      <c r="BD15" s="319"/>
      <c r="BE15" s="319"/>
      <c r="BF15" s="319"/>
      <c r="BG15" s="319"/>
      <c r="BH15" s="319"/>
      <c r="BI15" s="319"/>
      <c r="BJ15" s="319"/>
      <c r="BK15" s="319"/>
      <c r="BL15" s="319"/>
      <c r="BM15" s="319"/>
      <c r="BN15" s="319"/>
      <c r="BO15" s="319"/>
      <c r="BP15" s="319"/>
      <c r="BQ15" s="319"/>
      <c r="BR15" s="319"/>
      <c r="BS15" s="319"/>
      <c r="BT15" s="319"/>
      <c r="BU15" s="319"/>
      <c r="BV15" s="319"/>
      <c r="BW15" s="319"/>
      <c r="BX15" s="319"/>
      <c r="BY15" s="319"/>
      <c r="BZ15" s="319"/>
      <c r="CA15" s="319"/>
      <c r="CB15" s="319"/>
      <c r="CC15" s="319"/>
      <c r="CD15" s="319"/>
      <c r="CE15" s="319"/>
      <c r="CF15" s="319"/>
      <c r="CG15" s="319"/>
      <c r="CH15" s="319"/>
      <c r="CI15" s="319"/>
      <c r="CJ15" s="319"/>
      <c r="CK15" s="319"/>
    </row>
    <row r="16" spans="1:89" ht="13.2">
      <c r="A16" s="12"/>
      <c r="B16" s="379" t="str">
        <f>Language!C2019</f>
        <v>Temperatura - aquecimento ambiental</v>
      </c>
      <c r="C16" s="303" t="s">
        <v>5568</v>
      </c>
      <c r="D16" s="8"/>
      <c r="E16" s="395"/>
      <c r="F16" s="395"/>
      <c r="G16" s="395"/>
      <c r="H16" s="395"/>
      <c r="I16" s="395"/>
      <c r="J16" s="395"/>
      <c r="K16" s="9"/>
      <c r="L16" s="1"/>
      <c r="M16" s="393"/>
      <c r="N16" s="319">
        <v>4010018</v>
      </c>
      <c r="O16" s="319"/>
      <c r="P16" s="319">
        <f>IF(OR(C16=$C$1178,C16=""),1,5/9)</f>
        <v>1</v>
      </c>
      <c r="Q16" s="494">
        <f t="shared" ref="Q16:V17" si="2">$P16*(E16+40)-40</f>
        <v>0</v>
      </c>
      <c r="R16" s="494">
        <f t="shared" si="2"/>
        <v>0</v>
      </c>
      <c r="S16" s="494">
        <f t="shared" si="2"/>
        <v>0</v>
      </c>
      <c r="T16" s="494">
        <f t="shared" si="2"/>
        <v>0</v>
      </c>
      <c r="U16" s="494">
        <f t="shared" si="2"/>
        <v>0</v>
      </c>
      <c r="V16" s="494">
        <f t="shared" si="2"/>
        <v>0</v>
      </c>
      <c r="W16" s="494"/>
      <c r="X16" s="319"/>
      <c r="Y16" s="319"/>
      <c r="Z16" s="319"/>
      <c r="AA16" s="319"/>
      <c r="AB16" s="319"/>
      <c r="AC16" s="319"/>
      <c r="AD16" s="319"/>
      <c r="AE16" s="319"/>
      <c r="AF16" s="319"/>
      <c r="AG16" s="319"/>
      <c r="AO16" s="319"/>
      <c r="AP16" s="1014">
        <v>54</v>
      </c>
      <c r="AQ16" s="1004">
        <v>10</v>
      </c>
      <c r="AR16" s="1006">
        <v>54</v>
      </c>
      <c r="AS16" s="1004">
        <v>17</v>
      </c>
      <c r="AT16" s="1006">
        <v>54</v>
      </c>
      <c r="AU16" s="1004">
        <v>9</v>
      </c>
      <c r="AV16" s="319"/>
      <c r="AW16" s="319"/>
      <c r="AX16" s="319"/>
      <c r="AY16" s="319"/>
      <c r="AZ16" s="319"/>
      <c r="BA16" s="319"/>
      <c r="BB16" s="319"/>
      <c r="BC16" s="319"/>
      <c r="BD16" s="319"/>
      <c r="BE16" s="319"/>
      <c r="BF16" s="319"/>
      <c r="BG16" s="319"/>
      <c r="BH16" s="319"/>
      <c r="BI16" s="319"/>
      <c r="BJ16" s="319"/>
      <c r="BK16" s="319"/>
      <c r="BL16" s="319"/>
      <c r="BM16" s="319"/>
      <c r="BN16" s="319"/>
      <c r="BO16" s="319"/>
      <c r="BP16" s="319"/>
      <c r="BQ16" s="319"/>
      <c r="BR16" s="319"/>
      <c r="BS16" s="319"/>
      <c r="BT16" s="319"/>
      <c r="BU16" s="319"/>
      <c r="BV16" s="319"/>
      <c r="BW16" s="319"/>
      <c r="BX16" s="319"/>
      <c r="BY16" s="319"/>
      <c r="BZ16" s="319"/>
      <c r="CA16" s="319"/>
      <c r="CB16" s="319"/>
      <c r="CC16" s="319"/>
      <c r="CD16" s="319"/>
      <c r="CE16" s="319"/>
      <c r="CF16" s="319"/>
      <c r="CG16" s="319"/>
      <c r="CH16" s="319"/>
      <c r="CI16" s="319"/>
      <c r="CJ16" s="319"/>
      <c r="CK16" s="319"/>
    </row>
    <row r="17" spans="1:89" ht="13.2">
      <c r="A17" s="12"/>
      <c r="B17" s="379" t="str">
        <f>Language!C2018</f>
        <v>Temperatura - refrigeração ambiental</v>
      </c>
      <c r="C17" s="303" t="s">
        <v>5568</v>
      </c>
      <c r="D17" s="8"/>
      <c r="E17" s="395"/>
      <c r="F17" s="395"/>
      <c r="G17" s="395"/>
      <c r="H17" s="395"/>
      <c r="I17" s="395"/>
      <c r="J17" s="395"/>
      <c r="K17" s="9"/>
      <c r="L17" s="1"/>
      <c r="M17" s="393"/>
      <c r="N17" s="319">
        <v>4010020</v>
      </c>
      <c r="O17" s="319"/>
      <c r="P17" s="319">
        <f>IF(OR(C17=$C$1178,C17=""),1,5/9)</f>
        <v>1</v>
      </c>
      <c r="Q17" s="494">
        <f t="shared" si="2"/>
        <v>0</v>
      </c>
      <c r="R17" s="494">
        <f t="shared" si="2"/>
        <v>0</v>
      </c>
      <c r="S17" s="494">
        <f t="shared" si="2"/>
        <v>0</v>
      </c>
      <c r="T17" s="494">
        <f t="shared" si="2"/>
        <v>0</v>
      </c>
      <c r="U17" s="494">
        <f t="shared" si="2"/>
        <v>0</v>
      </c>
      <c r="V17" s="494">
        <f t="shared" si="2"/>
        <v>0</v>
      </c>
      <c r="W17" s="494"/>
      <c r="X17" s="319"/>
      <c r="Y17" s="319"/>
      <c r="Z17" s="319"/>
      <c r="AA17" s="319"/>
      <c r="AB17" s="319"/>
      <c r="AC17" s="319"/>
      <c r="AD17" s="319"/>
      <c r="AE17" s="319"/>
      <c r="AF17" s="319"/>
      <c r="AG17" s="319"/>
      <c r="AO17" s="319"/>
      <c r="AP17" s="1014">
        <v>55</v>
      </c>
      <c r="AQ17" s="1004">
        <v>10</v>
      </c>
      <c r="AR17" s="1006">
        <v>55</v>
      </c>
      <c r="AS17" s="1004">
        <v>17</v>
      </c>
      <c r="AT17" s="1006">
        <v>55</v>
      </c>
      <c r="AU17" s="1004">
        <v>9</v>
      </c>
      <c r="AV17" s="319"/>
      <c r="AW17" s="319"/>
      <c r="AX17" s="319"/>
      <c r="AY17" s="319"/>
      <c r="AZ17" s="319"/>
      <c r="BA17" s="319"/>
      <c r="BB17" s="319"/>
      <c r="BC17" s="319"/>
      <c r="BD17" s="319"/>
      <c r="BE17" s="319"/>
      <c r="BF17" s="319"/>
      <c r="BG17" s="319"/>
      <c r="BH17" s="319"/>
      <c r="BI17" s="319"/>
      <c r="BJ17" s="319"/>
      <c r="BK17" s="319"/>
      <c r="BL17" s="319"/>
      <c r="BM17" s="319"/>
      <c r="BN17" s="319"/>
      <c r="BO17" s="319"/>
      <c r="BP17" s="319"/>
      <c r="BQ17" s="319"/>
      <c r="BR17" s="319"/>
      <c r="BS17" s="319"/>
      <c r="BT17" s="319"/>
      <c r="BU17" s="319"/>
      <c r="BV17" s="319"/>
      <c r="BW17" s="319"/>
      <c r="BX17" s="319"/>
      <c r="BY17" s="319"/>
      <c r="BZ17" s="319"/>
      <c r="CA17" s="319"/>
      <c r="CB17" s="319"/>
      <c r="CC17" s="319"/>
      <c r="CD17" s="319"/>
      <c r="CE17" s="319"/>
      <c r="CF17" s="319"/>
      <c r="CG17" s="319"/>
      <c r="CH17" s="319"/>
      <c r="CI17" s="319"/>
      <c r="CJ17" s="319"/>
      <c r="CK17" s="319"/>
    </row>
    <row r="18" spans="1:89" ht="13.2">
      <c r="A18" s="12"/>
      <c r="B18" s="379"/>
      <c r="C18" s="379"/>
      <c r="D18" s="8"/>
      <c r="E18" s="8"/>
      <c r="F18" s="21" t="str">
        <f>Language!C2507</f>
        <v>Desocupado</v>
      </c>
      <c r="G18" s="21" t="str">
        <f>$F$18</f>
        <v>Desocupado</v>
      </c>
      <c r="H18" s="21" t="str">
        <f>$F$18</f>
        <v>Desocupado</v>
      </c>
      <c r="I18" s="21" t="str">
        <f>$F$18</f>
        <v>Desocupado</v>
      </c>
      <c r="J18" s="21" t="str">
        <f>$F$18</f>
        <v>Desocupado</v>
      </c>
      <c r="K18" s="9"/>
      <c r="L18" s="1"/>
      <c r="M18" s="393"/>
      <c r="N18" s="319">
        <v>4010014</v>
      </c>
      <c r="O18" s="319"/>
      <c r="P18" s="319"/>
      <c r="Q18" s="494"/>
      <c r="R18" s="494"/>
      <c r="S18" s="494"/>
      <c r="T18" s="494"/>
      <c r="U18" s="494"/>
      <c r="V18" s="494"/>
      <c r="W18" s="319"/>
      <c r="X18" s="319"/>
      <c r="Y18" s="319"/>
      <c r="Z18" s="319"/>
      <c r="AA18" s="319"/>
      <c r="AB18" s="319"/>
      <c r="AC18" s="319"/>
      <c r="AD18" s="319"/>
      <c r="AE18" s="319"/>
      <c r="AF18" s="319"/>
      <c r="AG18" s="319"/>
      <c r="AO18" s="319"/>
      <c r="AP18" s="1014">
        <v>56</v>
      </c>
      <c r="AQ18" s="1004">
        <v>10</v>
      </c>
      <c r="AR18" s="1006">
        <v>56</v>
      </c>
      <c r="AS18" s="1004">
        <v>17</v>
      </c>
      <c r="AT18" s="1006">
        <v>56</v>
      </c>
      <c r="AU18" s="1004">
        <v>9</v>
      </c>
      <c r="AV18" s="319"/>
      <c r="AW18" s="319"/>
      <c r="AX18" s="319"/>
      <c r="AY18" s="319"/>
      <c r="AZ18" s="319"/>
      <c r="BA18" s="319"/>
      <c r="BB18" s="319"/>
      <c r="BC18" s="319"/>
      <c r="BD18" s="319"/>
      <c r="BE18" s="319"/>
      <c r="BF18" s="319"/>
      <c r="BG18" s="319"/>
      <c r="BH18" s="319"/>
      <c r="BI18" s="319"/>
      <c r="BJ18" s="319"/>
      <c r="BK18" s="319"/>
      <c r="BL18" s="319"/>
      <c r="BM18" s="319"/>
      <c r="BN18" s="319"/>
      <c r="BO18" s="319"/>
      <c r="BP18" s="319"/>
      <c r="BQ18" s="319"/>
      <c r="BR18" s="319"/>
      <c r="BS18" s="319"/>
      <c r="BT18" s="319"/>
      <c r="BU18" s="319"/>
      <c r="BV18" s="319"/>
      <c r="BW18" s="319"/>
      <c r="BX18" s="319"/>
      <c r="BY18" s="319"/>
      <c r="BZ18" s="319"/>
      <c r="CA18" s="319"/>
      <c r="CB18" s="319"/>
      <c r="CC18" s="319"/>
      <c r="CD18" s="319"/>
      <c r="CE18" s="319"/>
      <c r="CF18" s="319"/>
      <c r="CG18" s="319"/>
      <c r="CH18" s="319"/>
      <c r="CI18" s="319"/>
      <c r="CJ18" s="319"/>
      <c r="CK18" s="319"/>
    </row>
    <row r="19" spans="1:89" ht="13.2">
      <c r="A19" s="12"/>
      <c r="B19" s="329" t="str">
        <f>Language!C2020</f>
        <v>Temperatura - desocupado</v>
      </c>
      <c r="C19" s="303" t="s">
        <v>4936</v>
      </c>
      <c r="D19" s="8"/>
      <c r="E19" s="8"/>
      <c r="F19" s="395"/>
      <c r="G19" s="395"/>
      <c r="H19" s="395"/>
      <c r="I19" s="395"/>
      <c r="J19" s="395"/>
      <c r="K19" s="9"/>
      <c r="L19" s="1"/>
      <c r="M19" s="393"/>
      <c r="N19" s="319">
        <v>4010022</v>
      </c>
      <c r="O19" s="319"/>
      <c r="P19" s="319">
        <f>IF(OR(C19=$F$1174,C19=""),1,5/9)</f>
        <v>1</v>
      </c>
      <c r="Q19" s="494"/>
      <c r="R19" s="494">
        <f>$P19*(F19)</f>
        <v>0</v>
      </c>
      <c r="S19" s="494">
        <f>$P19*(G19)</f>
        <v>0</v>
      </c>
      <c r="T19" s="494">
        <f>$P19*(H19)</f>
        <v>0</v>
      </c>
      <c r="U19" s="494">
        <f>$P19*(I19)</f>
        <v>0</v>
      </c>
      <c r="V19" s="494">
        <f>$P19*(J19)</f>
        <v>0</v>
      </c>
      <c r="W19" s="319"/>
      <c r="X19" s="319"/>
      <c r="Y19" s="319"/>
      <c r="Z19" s="319"/>
      <c r="AA19" s="319"/>
      <c r="AB19" s="319"/>
      <c r="AC19" s="319"/>
      <c r="AD19" s="319"/>
      <c r="AE19" s="319"/>
      <c r="AF19" s="319"/>
      <c r="AG19" s="319"/>
      <c r="AO19" s="319"/>
      <c r="AP19" s="1014">
        <v>57</v>
      </c>
      <c r="AQ19" s="1004">
        <v>10</v>
      </c>
      <c r="AR19" s="1006">
        <v>57</v>
      </c>
      <c r="AS19" s="1004">
        <v>17</v>
      </c>
      <c r="AT19" s="1006">
        <v>57</v>
      </c>
      <c r="AU19" s="1004">
        <v>9</v>
      </c>
      <c r="AV19" s="319"/>
      <c r="AW19" s="319"/>
      <c r="AX19" s="319"/>
      <c r="AY19" s="319"/>
      <c r="AZ19" s="319"/>
      <c r="BA19" s="319"/>
      <c r="BB19" s="319"/>
      <c r="BC19" s="319"/>
      <c r="BD19" s="319"/>
      <c r="BE19" s="319"/>
      <c r="BF19" s="319"/>
      <c r="BG19" s="319"/>
      <c r="BH19" s="319"/>
      <c r="BI19" s="319"/>
      <c r="BJ19" s="319"/>
      <c r="BK19" s="319"/>
      <c r="BL19" s="319"/>
      <c r="BM19" s="319"/>
      <c r="BN19" s="319"/>
      <c r="BO19" s="319"/>
      <c r="BP19" s="319"/>
      <c r="BQ19" s="319"/>
      <c r="BR19" s="319"/>
      <c r="BS19" s="319"/>
      <c r="BT19" s="319"/>
      <c r="BU19" s="319"/>
      <c r="BV19" s="319"/>
      <c r="BW19" s="319"/>
      <c r="BX19" s="319"/>
      <c r="BY19" s="319"/>
      <c r="BZ19" s="319"/>
      <c r="CA19" s="319"/>
      <c r="CB19" s="319"/>
      <c r="CC19" s="319"/>
      <c r="CD19" s="319"/>
      <c r="CE19" s="319"/>
      <c r="CF19" s="319"/>
      <c r="CG19" s="319"/>
      <c r="CH19" s="319"/>
      <c r="CI19" s="319"/>
      <c r="CJ19" s="319"/>
      <c r="CK19" s="319"/>
    </row>
    <row r="20" spans="1:89" ht="13.2">
      <c r="A20" s="12"/>
      <c r="B20" s="329"/>
      <c r="C20" s="329"/>
      <c r="D20" s="8"/>
      <c r="E20" s="8"/>
      <c r="F20" s="21" t="str">
        <f>F15</f>
        <v>Ocupado</v>
      </c>
      <c r="G20" s="21" t="str">
        <f>G15</f>
        <v>Ocupado</v>
      </c>
      <c r="H20" s="21" t="str">
        <f>H15</f>
        <v>Ocupado</v>
      </c>
      <c r="I20" s="21" t="str">
        <f>I15</f>
        <v>Ocupado</v>
      </c>
      <c r="J20" s="21" t="str">
        <f>J15</f>
        <v>Ocupado</v>
      </c>
      <c r="K20" s="9"/>
      <c r="L20" s="1"/>
      <c r="M20" s="393"/>
      <c r="N20" s="319">
        <v>4010014</v>
      </c>
      <c r="O20" s="319"/>
      <c r="P20" s="319"/>
      <c r="Q20" s="556"/>
      <c r="R20" s="556"/>
      <c r="S20" s="556"/>
      <c r="T20" s="319"/>
      <c r="U20" s="319"/>
      <c r="V20" s="319"/>
      <c r="W20" s="319"/>
      <c r="X20" s="319"/>
      <c r="Y20" s="319"/>
      <c r="Z20" s="319"/>
      <c r="AA20" s="319"/>
      <c r="AB20" s="319"/>
      <c r="AC20" s="319"/>
      <c r="AD20" s="319"/>
      <c r="AE20" s="319"/>
      <c r="AF20" s="319"/>
      <c r="AG20" s="319"/>
      <c r="AO20" s="319"/>
      <c r="AP20" s="1014">
        <v>59</v>
      </c>
      <c r="AQ20" s="1004">
        <v>10</v>
      </c>
      <c r="AR20" s="1006">
        <v>59</v>
      </c>
      <c r="AS20" s="1004">
        <v>17</v>
      </c>
      <c r="AT20" s="1006">
        <v>59</v>
      </c>
      <c r="AU20" s="1004">
        <v>9</v>
      </c>
      <c r="AV20" s="319"/>
      <c r="AW20" s="319"/>
      <c r="AX20" s="319"/>
      <c r="AY20" s="319"/>
      <c r="AZ20" s="319"/>
      <c r="BA20" s="319"/>
      <c r="BB20" s="319"/>
      <c r="BC20" s="319"/>
      <c r="BD20" s="319"/>
      <c r="BE20" s="319"/>
      <c r="BF20" s="319"/>
      <c r="BG20" s="319"/>
      <c r="BH20" s="319"/>
      <c r="BI20" s="319"/>
      <c r="BJ20" s="319"/>
      <c r="BK20" s="319"/>
      <c r="BL20" s="319"/>
      <c r="BM20" s="319"/>
      <c r="BN20" s="319"/>
      <c r="BO20" s="319"/>
      <c r="BP20" s="319"/>
      <c r="BQ20" s="319"/>
      <c r="BR20" s="319"/>
      <c r="BS20" s="319"/>
      <c r="BT20" s="319"/>
      <c r="BU20" s="319"/>
      <c r="BV20" s="319"/>
      <c r="BW20" s="319"/>
      <c r="BX20" s="319"/>
      <c r="BY20" s="319"/>
      <c r="BZ20" s="319"/>
      <c r="CA20" s="319"/>
      <c r="CB20" s="319"/>
      <c r="CC20" s="319"/>
      <c r="CD20" s="319"/>
      <c r="CE20" s="319"/>
      <c r="CF20" s="319"/>
      <c r="CG20" s="319"/>
      <c r="CH20" s="319"/>
      <c r="CI20" s="319"/>
      <c r="CJ20" s="319"/>
      <c r="CK20" s="319"/>
    </row>
    <row r="21" spans="1:89" ht="13.2">
      <c r="A21" s="12"/>
      <c r="B21" s="329" t="str">
        <f>Language!C2444</f>
        <v>Taxa de ocupação - diária</v>
      </c>
      <c r="C21" s="329"/>
      <c r="D21" s="8"/>
      <c r="E21" s="21" t="str">
        <f>Language!C2208</f>
        <v>h/d</v>
      </c>
      <c r="F21" s="21" t="str">
        <f>$E$21</f>
        <v>h/d</v>
      </c>
      <c r="G21" s="21" t="str">
        <f>$E$21</f>
        <v>h/d</v>
      </c>
      <c r="H21" s="21" t="str">
        <f>$E$21</f>
        <v>h/d</v>
      </c>
      <c r="I21" s="21" t="str">
        <f>$E$21</f>
        <v>h/d</v>
      </c>
      <c r="J21" s="21" t="str">
        <f>$E$21</f>
        <v>h/d</v>
      </c>
      <c r="K21" s="9"/>
      <c r="L21" s="1"/>
      <c r="M21" s="393"/>
      <c r="N21" s="319">
        <v>4010024</v>
      </c>
      <c r="O21" s="319"/>
      <c r="P21" s="319"/>
      <c r="Q21" s="556"/>
      <c r="R21" s="556"/>
      <c r="S21" s="556"/>
      <c r="T21" s="319"/>
      <c r="U21" s="319"/>
      <c r="V21" s="319"/>
      <c r="W21" s="319"/>
      <c r="X21" s="319"/>
      <c r="Y21" s="319"/>
      <c r="Z21" s="319"/>
      <c r="AA21" s="319"/>
      <c r="AB21" s="319"/>
      <c r="AC21" s="319"/>
      <c r="AD21" s="319"/>
      <c r="AE21" s="319"/>
      <c r="AF21" s="319"/>
      <c r="AG21" s="319"/>
      <c r="AO21" s="319"/>
      <c r="AP21" s="1014">
        <v>60</v>
      </c>
      <c r="AQ21" s="1004">
        <v>10</v>
      </c>
      <c r="AR21" s="1006">
        <v>60</v>
      </c>
      <c r="AS21" s="1004">
        <v>17</v>
      </c>
      <c r="AT21" s="1006">
        <v>60</v>
      </c>
      <c r="AU21" s="1004">
        <v>9</v>
      </c>
      <c r="AV21" s="319"/>
      <c r="AW21" s="319"/>
      <c r="AX21" s="319"/>
      <c r="AY21" s="319"/>
      <c r="AZ21" s="319"/>
      <c r="BA21" s="319"/>
      <c r="BB21" s="319"/>
      <c r="BC21" s="319"/>
      <c r="BD21" s="319"/>
      <c r="BE21" s="319"/>
      <c r="BF21" s="319"/>
      <c r="BG21" s="319"/>
      <c r="BH21" s="319"/>
      <c r="BI21" s="319"/>
      <c r="BJ21" s="319"/>
      <c r="BK21" s="319"/>
      <c r="BL21" s="319"/>
      <c r="BM21" s="319"/>
      <c r="BN21" s="319"/>
      <c r="BO21" s="319"/>
      <c r="BP21" s="319"/>
      <c r="BQ21" s="319"/>
      <c r="BR21" s="319"/>
      <c r="BS21" s="319"/>
      <c r="BT21" s="319"/>
      <c r="BU21" s="319"/>
      <c r="BV21" s="319"/>
      <c r="BW21" s="319"/>
      <c r="BX21" s="319"/>
      <c r="BY21" s="319"/>
      <c r="BZ21" s="319"/>
      <c r="CA21" s="319"/>
      <c r="CB21" s="319"/>
      <c r="CC21" s="319"/>
      <c r="CD21" s="319"/>
      <c r="CE21" s="319"/>
      <c r="CF21" s="319"/>
      <c r="CG21" s="319"/>
      <c r="CH21" s="319"/>
      <c r="CI21" s="319"/>
      <c r="CJ21" s="319"/>
      <c r="CK21" s="319"/>
    </row>
    <row r="22" spans="1:89" ht="13.2">
      <c r="A22" s="12"/>
      <c r="B22" s="379" t="str">
        <f>Language!C2429</f>
        <v>Segunda Feira</v>
      </c>
      <c r="C22" s="379"/>
      <c r="D22" s="8"/>
      <c r="E22" s="21">
        <v>24</v>
      </c>
      <c r="F22" s="395"/>
      <c r="G22" s="395"/>
      <c r="H22" s="395"/>
      <c r="I22" s="395"/>
      <c r="J22" s="395"/>
      <c r="K22" s="9"/>
      <c r="L22" s="1"/>
      <c r="M22" s="393"/>
      <c r="N22" s="319">
        <v>4010024</v>
      </c>
      <c r="O22" s="319"/>
      <c r="P22" s="319"/>
      <c r="Q22" s="319"/>
      <c r="R22" s="556"/>
      <c r="S22" s="556"/>
      <c r="T22" s="319"/>
      <c r="U22" s="319"/>
      <c r="V22" s="319"/>
      <c r="W22" s="319"/>
      <c r="X22" s="319"/>
      <c r="Y22" s="319"/>
      <c r="Z22" s="319"/>
      <c r="AA22" s="319"/>
      <c r="AB22" s="319"/>
      <c r="AC22" s="319"/>
      <c r="AD22" s="319"/>
      <c r="AE22" s="319"/>
      <c r="AF22" s="319"/>
      <c r="AG22" s="319"/>
      <c r="AO22" s="319"/>
      <c r="AP22" s="1014">
        <v>61</v>
      </c>
      <c r="AQ22" s="1004">
        <v>10</v>
      </c>
      <c r="AR22" s="1006">
        <v>61</v>
      </c>
      <c r="AS22" s="1004">
        <v>17</v>
      </c>
      <c r="AT22" s="1006">
        <v>61</v>
      </c>
      <c r="AU22" s="1004">
        <v>9</v>
      </c>
      <c r="AV22" s="319"/>
      <c r="AW22" s="319"/>
      <c r="AX22" s="319"/>
      <c r="AY22" s="319"/>
      <c r="AZ22" s="319"/>
      <c r="BA22" s="319"/>
      <c r="BB22" s="319"/>
      <c r="BC22" s="319"/>
      <c r="BD22" s="319"/>
      <c r="BE22" s="319"/>
      <c r="BF22" s="319"/>
      <c r="BG22" s="319"/>
      <c r="BH22" s="319"/>
      <c r="BI22" s="319"/>
      <c r="BJ22" s="319"/>
      <c r="BK22" s="319"/>
      <c r="BL22" s="319"/>
      <c r="BM22" s="319"/>
      <c r="BN22" s="319"/>
      <c r="BO22" s="319"/>
      <c r="BP22" s="319"/>
      <c r="BQ22" s="319"/>
      <c r="BR22" s="319"/>
      <c r="BS22" s="319"/>
      <c r="BT22" s="319"/>
      <c r="BU22" s="319"/>
      <c r="BV22" s="319"/>
      <c r="BW22" s="319"/>
      <c r="BX22" s="319"/>
      <c r="BY22" s="319"/>
      <c r="BZ22" s="319"/>
      <c r="CA22" s="319"/>
      <c r="CB22" s="319"/>
      <c r="CC22" s="319"/>
      <c r="CD22" s="319"/>
      <c r="CE22" s="319"/>
      <c r="CF22" s="319"/>
      <c r="CG22" s="319"/>
      <c r="CH22" s="319"/>
      <c r="CI22" s="319"/>
      <c r="CJ22" s="319"/>
      <c r="CK22" s="319"/>
    </row>
    <row r="23" spans="1:89" ht="13.2">
      <c r="A23" s="12"/>
      <c r="B23" s="379" t="str">
        <f>Language!C2502</f>
        <v>Terça feira</v>
      </c>
      <c r="C23" s="379"/>
      <c r="D23" s="8"/>
      <c r="E23" s="21">
        <v>24</v>
      </c>
      <c r="F23" s="395"/>
      <c r="G23" s="395"/>
      <c r="H23" s="395"/>
      <c r="I23" s="395"/>
      <c r="J23" s="395"/>
      <c r="K23" s="9"/>
      <c r="L23" s="1"/>
      <c r="M23" s="393"/>
      <c r="N23" s="319">
        <v>4010024</v>
      </c>
      <c r="O23" s="319"/>
      <c r="P23" s="319"/>
      <c r="Q23" s="319"/>
      <c r="R23" s="556"/>
      <c r="S23" s="556"/>
      <c r="T23" s="319"/>
      <c r="U23" s="319"/>
      <c r="V23" s="319"/>
      <c r="W23" s="319"/>
      <c r="X23" s="319"/>
      <c r="Y23" s="319"/>
      <c r="Z23" s="319"/>
      <c r="AA23" s="319"/>
      <c r="AB23" s="319"/>
      <c r="AC23" s="319"/>
      <c r="AD23" s="319"/>
      <c r="AE23" s="319"/>
      <c r="AF23" s="319"/>
      <c r="AG23" s="319"/>
      <c r="AO23" s="319"/>
      <c r="AP23" s="1014">
        <v>62</v>
      </c>
      <c r="AQ23" s="1004">
        <v>10</v>
      </c>
      <c r="AR23" s="1006">
        <v>62</v>
      </c>
      <c r="AS23" s="1004">
        <v>17</v>
      </c>
      <c r="AT23" s="1006">
        <v>62</v>
      </c>
      <c r="AU23" s="1004">
        <v>9</v>
      </c>
      <c r="AV23" s="319"/>
      <c r="AW23" s="319"/>
      <c r="AX23" s="319"/>
      <c r="AY23" s="319"/>
      <c r="AZ23" s="319"/>
      <c r="BA23" s="319"/>
      <c r="BB23" s="319"/>
      <c r="BC23" s="319"/>
      <c r="BD23" s="319"/>
      <c r="BE23" s="319"/>
      <c r="BF23" s="319"/>
      <c r="BG23" s="319"/>
      <c r="BH23" s="319"/>
      <c r="BI23" s="319"/>
      <c r="BJ23" s="319"/>
      <c r="BK23" s="319"/>
      <c r="BL23" s="319"/>
      <c r="BM23" s="319"/>
      <c r="BN23" s="319"/>
      <c r="BO23" s="319"/>
      <c r="BP23" s="319"/>
      <c r="BQ23" s="319"/>
      <c r="BR23" s="319"/>
      <c r="BS23" s="319"/>
      <c r="BT23" s="319"/>
      <c r="BU23" s="319"/>
      <c r="BV23" s="319"/>
      <c r="BW23" s="319"/>
      <c r="BX23" s="319"/>
      <c r="BY23" s="319"/>
      <c r="BZ23" s="319"/>
      <c r="CA23" s="319"/>
      <c r="CB23" s="319"/>
      <c r="CC23" s="319"/>
      <c r="CD23" s="319"/>
      <c r="CE23" s="319"/>
      <c r="CF23" s="319"/>
      <c r="CG23" s="319"/>
      <c r="CH23" s="319"/>
      <c r="CI23" s="319"/>
      <c r="CJ23" s="319"/>
      <c r="CK23" s="319"/>
    </row>
    <row r="24" spans="1:89" ht="13.2">
      <c r="A24" s="12"/>
      <c r="B24" s="379" t="str">
        <f>Language!C2519</f>
        <v>Quarta feira</v>
      </c>
      <c r="C24" s="379"/>
      <c r="D24" s="8"/>
      <c r="E24" s="21">
        <v>24</v>
      </c>
      <c r="F24" s="395"/>
      <c r="G24" s="395"/>
      <c r="H24" s="395"/>
      <c r="I24" s="395"/>
      <c r="J24" s="395"/>
      <c r="K24" s="9"/>
      <c r="L24" s="1"/>
      <c r="M24" s="393"/>
      <c r="N24" s="319">
        <v>4010024</v>
      </c>
      <c r="O24" s="319"/>
      <c r="P24" s="319"/>
      <c r="Q24" s="556"/>
      <c r="R24" s="556"/>
      <c r="S24" s="556"/>
      <c r="T24" s="319"/>
      <c r="U24" s="319"/>
      <c r="V24" s="319"/>
      <c r="W24" s="319"/>
      <c r="X24" s="319"/>
      <c r="Y24" s="319"/>
      <c r="Z24" s="319"/>
      <c r="AA24" s="319"/>
      <c r="AB24" s="319"/>
      <c r="AC24" s="319"/>
      <c r="AD24" s="319"/>
      <c r="AE24" s="319"/>
      <c r="AF24" s="319"/>
      <c r="AG24" s="319"/>
      <c r="AO24" s="319"/>
      <c r="AP24" s="1014">
        <v>63</v>
      </c>
      <c r="AQ24" s="1004">
        <v>10</v>
      </c>
      <c r="AR24" s="1006">
        <v>63</v>
      </c>
      <c r="AS24" s="1004">
        <v>17</v>
      </c>
      <c r="AT24" s="1006">
        <v>63</v>
      </c>
      <c r="AU24" s="1004">
        <v>9</v>
      </c>
      <c r="AV24" s="319"/>
      <c r="AW24" s="319"/>
      <c r="AX24" s="319"/>
      <c r="AY24" s="319"/>
      <c r="AZ24" s="319"/>
      <c r="BA24" s="319"/>
      <c r="BB24" s="319"/>
      <c r="BC24" s="319"/>
      <c r="BD24" s="319"/>
      <c r="BE24" s="319"/>
      <c r="BF24" s="319"/>
      <c r="BG24" s="319"/>
      <c r="BH24" s="319"/>
      <c r="BI24" s="319"/>
      <c r="BJ24" s="319"/>
      <c r="BK24" s="319"/>
      <c r="BL24" s="319"/>
      <c r="BM24" s="319"/>
      <c r="BN24" s="319"/>
      <c r="BO24" s="319"/>
      <c r="BP24" s="319"/>
      <c r="BQ24" s="319"/>
      <c r="BR24" s="319"/>
      <c r="BS24" s="319"/>
      <c r="BT24" s="319"/>
      <c r="BU24" s="319"/>
      <c r="BV24" s="319"/>
      <c r="BW24" s="319"/>
      <c r="BX24" s="319"/>
      <c r="BY24" s="319"/>
      <c r="BZ24" s="319"/>
      <c r="CA24" s="319"/>
      <c r="CB24" s="319"/>
      <c r="CC24" s="319"/>
      <c r="CD24" s="319"/>
      <c r="CE24" s="319"/>
      <c r="CF24" s="319"/>
      <c r="CG24" s="319"/>
      <c r="CH24" s="319"/>
      <c r="CI24" s="319"/>
      <c r="CJ24" s="319"/>
      <c r="CK24" s="319"/>
    </row>
    <row r="25" spans="1:89" ht="13.2">
      <c r="A25" s="12"/>
      <c r="B25" s="379" t="str">
        <f>Language!C2500</f>
        <v>Quinta feira</v>
      </c>
      <c r="C25" s="379"/>
      <c r="D25" s="8"/>
      <c r="E25" s="21">
        <v>24</v>
      </c>
      <c r="F25" s="395"/>
      <c r="G25" s="395"/>
      <c r="H25" s="395"/>
      <c r="I25" s="395"/>
      <c r="J25" s="395"/>
      <c r="K25" s="9"/>
      <c r="L25" s="1"/>
      <c r="M25" s="393"/>
      <c r="N25" s="319">
        <v>4010024</v>
      </c>
      <c r="O25" s="319"/>
      <c r="P25" s="319"/>
      <c r="Q25" s="556"/>
      <c r="R25" s="556"/>
      <c r="S25" s="556"/>
      <c r="T25" s="319"/>
      <c r="U25" s="319"/>
      <c r="V25" s="319"/>
      <c r="W25" s="319"/>
      <c r="X25" s="319"/>
      <c r="Y25" s="319"/>
      <c r="Z25" s="319"/>
      <c r="AA25" s="319"/>
      <c r="AB25" s="319"/>
      <c r="AC25" s="319"/>
      <c r="AD25" s="319"/>
      <c r="AE25" s="319"/>
      <c r="AF25" s="319"/>
      <c r="AG25" s="319"/>
      <c r="AO25" s="319"/>
      <c r="AP25" s="1014">
        <v>65</v>
      </c>
      <c r="AQ25" s="1004">
        <v>10</v>
      </c>
      <c r="AR25" s="1006">
        <v>65</v>
      </c>
      <c r="AS25" s="1004">
        <v>17</v>
      </c>
      <c r="AT25" s="1006">
        <v>65</v>
      </c>
      <c r="AU25" s="1004">
        <v>9</v>
      </c>
      <c r="AV25" s="319"/>
      <c r="AW25" s="319"/>
      <c r="AX25" s="319"/>
      <c r="AY25" s="319"/>
      <c r="AZ25" s="319"/>
      <c r="BA25" s="319"/>
      <c r="BB25" s="319"/>
      <c r="BC25" s="319"/>
      <c r="BD25" s="319"/>
      <c r="BE25" s="319"/>
      <c r="BF25" s="319"/>
      <c r="BG25" s="319"/>
      <c r="BH25" s="319"/>
      <c r="BI25" s="319"/>
      <c r="BJ25" s="319"/>
      <c r="BK25" s="319"/>
      <c r="BL25" s="319"/>
      <c r="BM25" s="319"/>
      <c r="BN25" s="319"/>
      <c r="BO25" s="319"/>
      <c r="BP25" s="319"/>
      <c r="BQ25" s="319"/>
      <c r="BR25" s="319"/>
      <c r="BS25" s="319"/>
      <c r="BT25" s="319"/>
      <c r="BU25" s="319"/>
      <c r="BV25" s="319"/>
      <c r="BW25" s="319"/>
      <c r="BX25" s="319"/>
      <c r="BY25" s="319"/>
      <c r="BZ25" s="319"/>
      <c r="CA25" s="319"/>
      <c r="CB25" s="319"/>
      <c r="CC25" s="319"/>
      <c r="CD25" s="319"/>
      <c r="CE25" s="319"/>
      <c r="CF25" s="319"/>
      <c r="CG25" s="319"/>
      <c r="CH25" s="319"/>
      <c r="CI25" s="319"/>
      <c r="CJ25" s="319"/>
      <c r="CK25" s="319"/>
    </row>
    <row r="26" spans="1:89" ht="13.2">
      <c r="A26" s="12"/>
      <c r="B26" s="329" t="str">
        <f>Language!C2379</f>
        <v>Sexta feira</v>
      </c>
      <c r="C26" s="379"/>
      <c r="D26" s="8"/>
      <c r="E26" s="21">
        <v>24</v>
      </c>
      <c r="F26" s="395"/>
      <c r="G26" s="395"/>
      <c r="H26" s="395"/>
      <c r="I26" s="395"/>
      <c r="J26" s="395"/>
      <c r="K26" s="9"/>
      <c r="L26" s="1"/>
      <c r="M26" s="393"/>
      <c r="N26" s="319">
        <v>4010024</v>
      </c>
      <c r="O26" s="319"/>
      <c r="P26" s="319"/>
      <c r="Q26" s="556"/>
      <c r="R26" s="556"/>
      <c r="S26" s="556"/>
      <c r="T26" s="319"/>
      <c r="U26" s="319"/>
      <c r="V26" s="319"/>
      <c r="W26" s="319"/>
      <c r="X26" s="319"/>
      <c r="Y26" s="319"/>
      <c r="Z26" s="319"/>
      <c r="AA26" s="319"/>
      <c r="AB26" s="319"/>
      <c r="AC26" s="319"/>
      <c r="AD26" s="319"/>
      <c r="AE26" s="319"/>
      <c r="AF26" s="319"/>
      <c r="AG26" s="319"/>
      <c r="AO26" s="319"/>
      <c r="AP26" s="1014">
        <v>66</v>
      </c>
      <c r="AQ26" s="1004">
        <v>10</v>
      </c>
      <c r="AR26" s="1006">
        <v>66</v>
      </c>
      <c r="AS26" s="1004">
        <v>17</v>
      </c>
      <c r="AT26" s="1006">
        <v>66</v>
      </c>
      <c r="AU26" s="1004">
        <v>9</v>
      </c>
      <c r="AV26" s="319"/>
      <c r="AW26" s="319"/>
      <c r="AX26" s="319"/>
      <c r="AY26" s="319"/>
      <c r="AZ26" s="319"/>
      <c r="BA26" s="319"/>
      <c r="BB26" s="319"/>
      <c r="BC26" s="319"/>
      <c r="BD26" s="319"/>
      <c r="BE26" s="319"/>
      <c r="BF26" s="319"/>
      <c r="BG26" s="319"/>
      <c r="BH26" s="319"/>
      <c r="BI26" s="319"/>
      <c r="BJ26" s="319"/>
      <c r="BK26" s="319"/>
      <c r="BL26" s="319"/>
      <c r="BM26" s="319"/>
      <c r="BN26" s="319"/>
      <c r="BO26" s="319"/>
      <c r="BP26" s="319"/>
      <c r="BQ26" s="319"/>
      <c r="BR26" s="319"/>
      <c r="BS26" s="319"/>
      <c r="BT26" s="319"/>
      <c r="BU26" s="319"/>
      <c r="BV26" s="319"/>
      <c r="BW26" s="319"/>
      <c r="BX26" s="319"/>
      <c r="BY26" s="319"/>
      <c r="BZ26" s="319"/>
      <c r="CA26" s="319"/>
      <c r="CB26" s="319"/>
      <c r="CC26" s="319"/>
      <c r="CD26" s="319"/>
      <c r="CE26" s="319"/>
      <c r="CF26" s="319"/>
      <c r="CG26" s="319"/>
      <c r="CH26" s="319"/>
      <c r="CI26" s="319"/>
      <c r="CJ26" s="319"/>
      <c r="CK26" s="319"/>
    </row>
    <row r="27" spans="1:89" ht="13.2">
      <c r="A27" s="12"/>
      <c r="B27" s="379" t="str">
        <f>Language!C2468</f>
        <v>Sábado</v>
      </c>
      <c r="C27" s="379"/>
      <c r="D27" s="8"/>
      <c r="E27" s="21">
        <v>24</v>
      </c>
      <c r="F27" s="395"/>
      <c r="G27" s="395"/>
      <c r="H27" s="395"/>
      <c r="I27" s="395"/>
      <c r="J27" s="395"/>
      <c r="K27" s="9"/>
      <c r="L27" s="1"/>
      <c r="M27" s="393"/>
      <c r="N27" s="319">
        <v>4010024</v>
      </c>
      <c r="O27" s="319"/>
      <c r="P27" s="319"/>
      <c r="Q27" s="556"/>
      <c r="R27" s="556"/>
      <c r="S27" s="556"/>
      <c r="T27" s="319"/>
      <c r="U27" s="319"/>
      <c r="V27" s="319"/>
      <c r="W27" s="319"/>
      <c r="X27" s="319"/>
      <c r="Y27" s="319"/>
      <c r="Z27" s="319"/>
      <c r="AA27" s="319"/>
      <c r="AB27" s="319"/>
      <c r="AC27" s="319"/>
      <c r="AD27" s="319"/>
      <c r="AE27" s="319"/>
      <c r="AF27" s="319"/>
      <c r="AG27" s="319"/>
      <c r="AO27" s="319"/>
      <c r="AP27" s="1014">
        <v>67</v>
      </c>
      <c r="AQ27" s="1004">
        <v>10</v>
      </c>
      <c r="AR27" s="1006">
        <v>67</v>
      </c>
      <c r="AS27" s="1004">
        <v>17</v>
      </c>
      <c r="AT27" s="1006">
        <v>67</v>
      </c>
      <c r="AU27" s="1004">
        <v>9</v>
      </c>
      <c r="AV27" s="319"/>
      <c r="AW27" s="319"/>
      <c r="AX27" s="319"/>
      <c r="AY27" s="319"/>
      <c r="AZ27" s="319"/>
      <c r="BA27" s="319"/>
      <c r="BB27" s="319"/>
      <c r="BC27" s="319"/>
      <c r="BD27" s="319"/>
      <c r="BE27" s="319"/>
      <c r="BF27" s="319"/>
      <c r="BG27" s="319"/>
      <c r="BH27" s="319"/>
      <c r="BI27" s="319"/>
      <c r="BJ27" s="319"/>
      <c r="BK27" s="319"/>
      <c r="BL27" s="319"/>
      <c r="BM27" s="319"/>
      <c r="BN27" s="319"/>
      <c r="BO27" s="319"/>
      <c r="BP27" s="319"/>
      <c r="BQ27" s="319"/>
      <c r="BR27" s="319"/>
      <c r="BS27" s="319"/>
      <c r="BT27" s="319"/>
      <c r="BU27" s="319"/>
      <c r="BV27" s="319"/>
      <c r="BW27" s="319"/>
      <c r="BX27" s="319"/>
      <c r="BY27" s="319"/>
      <c r="BZ27" s="319"/>
      <c r="CA27" s="319"/>
      <c r="CB27" s="319"/>
      <c r="CC27" s="319"/>
      <c r="CD27" s="319"/>
      <c r="CE27" s="319"/>
      <c r="CF27" s="319"/>
      <c r="CG27" s="319"/>
      <c r="CH27" s="319"/>
      <c r="CI27" s="319"/>
      <c r="CJ27" s="319"/>
      <c r="CK27" s="319"/>
    </row>
    <row r="28" spans="1:89" ht="13.2">
      <c r="A28" s="12"/>
      <c r="B28" s="379" t="str">
        <f>Language!C2492</f>
        <v>Domingo</v>
      </c>
      <c r="C28" s="379"/>
      <c r="D28" s="8"/>
      <c r="E28" s="21">
        <v>24</v>
      </c>
      <c r="F28" s="395"/>
      <c r="G28" s="395"/>
      <c r="H28" s="395"/>
      <c r="I28" s="395"/>
      <c r="J28" s="395"/>
      <c r="K28" s="9"/>
      <c r="L28" s="1"/>
      <c r="M28" s="393"/>
      <c r="N28" s="319">
        <v>4010024</v>
      </c>
      <c r="O28" s="319"/>
      <c r="P28" s="319"/>
      <c r="Q28" s="556"/>
      <c r="R28" s="556"/>
      <c r="S28" s="556"/>
      <c r="T28" s="319"/>
      <c r="U28" s="319"/>
      <c r="V28" s="319"/>
      <c r="W28" s="319"/>
      <c r="X28" s="319"/>
      <c r="Y28" s="319"/>
      <c r="Z28" s="319"/>
      <c r="AA28" s="319"/>
      <c r="AB28" s="319"/>
      <c r="AC28" s="319"/>
      <c r="AD28" s="319"/>
      <c r="AE28" s="319"/>
      <c r="AF28" s="319"/>
      <c r="AG28" s="319"/>
      <c r="AO28" s="319"/>
      <c r="AP28" s="1014">
        <v>68</v>
      </c>
      <c r="AQ28" s="1004">
        <v>10</v>
      </c>
      <c r="AR28" s="1006">
        <v>68</v>
      </c>
      <c r="AS28" s="1004">
        <v>17</v>
      </c>
      <c r="AT28" s="1006">
        <v>68</v>
      </c>
      <c r="AU28" s="1004">
        <v>9</v>
      </c>
      <c r="AV28" s="319"/>
      <c r="AW28" s="319"/>
      <c r="AX28" s="319"/>
      <c r="AY28" s="319"/>
      <c r="AZ28" s="319"/>
      <c r="BA28" s="319"/>
      <c r="BB28" s="319"/>
      <c r="BC28" s="319"/>
      <c r="BD28" s="319"/>
      <c r="BE28" s="319"/>
      <c r="BF28" s="319"/>
      <c r="BG28" s="319"/>
      <c r="BH28" s="319"/>
      <c r="BI28" s="319"/>
      <c r="BJ28" s="319"/>
      <c r="BK28" s="319"/>
      <c r="BL28" s="319"/>
      <c r="BM28" s="319"/>
      <c r="BN28" s="319"/>
      <c r="BO28" s="319"/>
      <c r="BP28" s="319"/>
      <c r="BQ28" s="319"/>
      <c r="BR28" s="319"/>
      <c r="BS28" s="319"/>
      <c r="BT28" s="319"/>
      <c r="BU28" s="319"/>
      <c r="BV28" s="319"/>
      <c r="BW28" s="319"/>
      <c r="BX28" s="319"/>
      <c r="BY28" s="319"/>
      <c r="BZ28" s="319"/>
      <c r="CA28" s="319"/>
      <c r="CB28" s="319"/>
      <c r="CC28" s="319"/>
      <c r="CD28" s="319"/>
      <c r="CE28" s="319"/>
      <c r="CF28" s="319"/>
      <c r="CG28" s="319"/>
      <c r="CH28" s="319"/>
      <c r="CI28" s="319"/>
      <c r="CJ28" s="319"/>
      <c r="CK28" s="319"/>
    </row>
    <row r="29" spans="1:89" ht="13.2">
      <c r="A29" s="12"/>
      <c r="B29" s="329" t="str">
        <f>Language!C2443</f>
        <v>Taxa de ocupação - anual</v>
      </c>
      <c r="C29" s="21" t="str">
        <f>Language!C2210</f>
        <v>h/ano</v>
      </c>
      <c r="D29" s="8"/>
      <c r="E29" s="369">
        <v>8760</v>
      </c>
      <c r="F29" s="369">
        <f>SUM(F22:F28)*8760/24/7</f>
        <v>0</v>
      </c>
      <c r="G29" s="369">
        <f>SUM(G22:G28)*8760/24/7</f>
        <v>0</v>
      </c>
      <c r="H29" s="369">
        <f>SUM(H22:H28)*8760/24/7</f>
        <v>0</v>
      </c>
      <c r="I29" s="369">
        <f>SUM(I22:I28)*8760/24/7</f>
        <v>0</v>
      </c>
      <c r="J29" s="369">
        <f>SUM(J22:J28)*8760/24/7</f>
        <v>0</v>
      </c>
      <c r="K29" s="9"/>
      <c r="L29" s="1"/>
      <c r="M29" s="393"/>
      <c r="N29" s="319">
        <v>4010026</v>
      </c>
      <c r="O29" s="319"/>
      <c r="P29" s="319"/>
      <c r="Q29" s="556"/>
      <c r="R29" s="556"/>
      <c r="S29" s="556"/>
      <c r="T29" s="319"/>
      <c r="U29" s="319"/>
      <c r="V29" s="319"/>
      <c r="W29" s="319"/>
      <c r="X29" s="319"/>
      <c r="Y29" s="319"/>
      <c r="Z29" s="319"/>
      <c r="AA29" s="319"/>
      <c r="AB29" s="319"/>
      <c r="AC29" s="319"/>
      <c r="AD29" s="319"/>
      <c r="AE29" s="319"/>
      <c r="AF29" s="319"/>
      <c r="AG29" s="319"/>
      <c r="AO29" s="319"/>
      <c r="AP29" s="1014">
        <v>69</v>
      </c>
      <c r="AQ29" s="1004">
        <v>10</v>
      </c>
      <c r="AR29" s="1006">
        <v>69</v>
      </c>
      <c r="AS29" s="1004">
        <v>17</v>
      </c>
      <c r="AT29" s="1006">
        <v>69</v>
      </c>
      <c r="AU29" s="1004">
        <v>9</v>
      </c>
      <c r="AV29" s="319"/>
      <c r="AW29" s="319"/>
      <c r="AX29" s="319"/>
      <c r="AY29" s="319"/>
      <c r="AZ29" s="319"/>
      <c r="BA29" s="319"/>
      <c r="BB29" s="319"/>
      <c r="BC29" s="319"/>
      <c r="BD29" s="319"/>
      <c r="BE29" s="319"/>
      <c r="BF29" s="319"/>
      <c r="BG29" s="319"/>
      <c r="BH29" s="319"/>
      <c r="BI29" s="319"/>
      <c r="BJ29" s="319"/>
      <c r="BK29" s="319"/>
      <c r="BL29" s="319"/>
      <c r="BM29" s="319"/>
      <c r="BN29" s="319"/>
      <c r="BO29" s="319"/>
      <c r="BP29" s="319"/>
      <c r="BQ29" s="319"/>
      <c r="BR29" s="319"/>
      <c r="BS29" s="319"/>
      <c r="BT29" s="319"/>
      <c r="BU29" s="319"/>
      <c r="BV29" s="319"/>
      <c r="BW29" s="319"/>
      <c r="BX29" s="319"/>
      <c r="BY29" s="319"/>
      <c r="BZ29" s="319"/>
      <c r="CA29" s="319"/>
      <c r="CB29" s="319"/>
      <c r="CC29" s="319"/>
      <c r="CD29" s="319"/>
      <c r="CE29" s="319"/>
      <c r="CF29" s="319"/>
      <c r="CG29" s="319"/>
      <c r="CH29" s="319"/>
      <c r="CI29" s="319"/>
      <c r="CJ29" s="319"/>
      <c r="CK29" s="319"/>
    </row>
    <row r="30" spans="1:89" ht="13.2">
      <c r="A30" s="12"/>
      <c r="B30" s="379"/>
      <c r="C30" s="29" t="str">
        <f>$C$254</f>
        <v>%</v>
      </c>
      <c r="D30" s="379"/>
      <c r="E30" s="96">
        <v>1</v>
      </c>
      <c r="F30" s="96">
        <f>F29/8760</f>
        <v>0</v>
      </c>
      <c r="G30" s="96">
        <f>G29/8760</f>
        <v>0</v>
      </c>
      <c r="H30" s="96">
        <f>H29/8760</f>
        <v>0</v>
      </c>
      <c r="I30" s="96">
        <f>I29/8760</f>
        <v>0</v>
      </c>
      <c r="J30" s="96">
        <f>J29/8760</f>
        <v>0</v>
      </c>
      <c r="K30" s="9"/>
      <c r="L30" s="1"/>
      <c r="M30" s="393"/>
      <c r="N30" s="319">
        <v>4010026</v>
      </c>
      <c r="O30" s="319"/>
      <c r="P30" s="319"/>
      <c r="Q30" s="319"/>
      <c r="R30" s="319"/>
      <c r="S30" s="319"/>
      <c r="T30" s="319"/>
      <c r="U30" s="319"/>
      <c r="V30" s="319"/>
      <c r="W30" s="319"/>
      <c r="X30" s="319"/>
      <c r="Y30" s="319"/>
      <c r="Z30" s="319"/>
      <c r="AA30" s="319"/>
      <c r="AB30" s="319"/>
      <c r="AC30" s="319"/>
      <c r="AD30" s="319"/>
      <c r="AE30" s="319"/>
      <c r="AF30" s="319"/>
      <c r="AG30" s="319"/>
      <c r="AO30" s="319"/>
      <c r="AP30" s="1014">
        <v>71</v>
      </c>
      <c r="AQ30" s="1004">
        <v>10</v>
      </c>
      <c r="AR30" s="1006">
        <v>71</v>
      </c>
      <c r="AS30" s="1004">
        <v>17</v>
      </c>
      <c r="AT30" s="1006">
        <v>71</v>
      </c>
      <c r="AU30" s="1004">
        <v>9</v>
      </c>
      <c r="AV30" s="319"/>
      <c r="AW30" s="319"/>
      <c r="AX30" s="319"/>
      <c r="AY30" s="319"/>
      <c r="AZ30" s="319"/>
      <c r="BA30" s="319"/>
      <c r="BB30" s="319"/>
      <c r="BC30" s="319"/>
      <c r="BD30" s="319"/>
      <c r="BE30" s="319"/>
      <c r="BF30" s="319"/>
      <c r="BG30" s="319"/>
      <c r="BH30" s="319"/>
      <c r="BI30" s="319"/>
      <c r="BJ30" s="319"/>
      <c r="BK30" s="319"/>
      <c r="BL30" s="319"/>
      <c r="BM30" s="319"/>
      <c r="BN30" s="319"/>
      <c r="BO30" s="319"/>
      <c r="BP30" s="319"/>
      <c r="BQ30" s="319"/>
      <c r="BR30" s="319"/>
      <c r="BS30" s="319"/>
      <c r="BT30" s="319"/>
      <c r="BU30" s="319"/>
      <c r="BV30" s="319"/>
      <c r="BW30" s="319"/>
      <c r="BX30" s="319"/>
      <c r="BY30" s="319"/>
      <c r="BZ30" s="319"/>
      <c r="CA30" s="319"/>
      <c r="CB30" s="319"/>
      <c r="CC30" s="319"/>
      <c r="CD30" s="319"/>
      <c r="CE30" s="319"/>
      <c r="CF30" s="319"/>
      <c r="CG30" s="319"/>
      <c r="CH30" s="319"/>
      <c r="CI30" s="319"/>
      <c r="CJ30" s="319"/>
      <c r="CK30" s="319"/>
    </row>
    <row r="31" spans="1:89" ht="13.2">
      <c r="A31" s="12"/>
      <c r="B31" s="153"/>
      <c r="C31" s="8"/>
      <c r="D31" s="82"/>
      <c r="E31" s="329"/>
      <c r="F31" s="329"/>
      <c r="G31" s="329"/>
      <c r="H31" s="329"/>
      <c r="I31" s="329"/>
      <c r="J31" s="329"/>
      <c r="K31" s="9"/>
      <c r="L31" s="1"/>
      <c r="M31" s="319"/>
      <c r="N31" s="319">
        <v>4010014</v>
      </c>
      <c r="O31" s="319"/>
      <c r="P31" s="319"/>
      <c r="Q31" s="319"/>
      <c r="R31" s="319"/>
      <c r="S31" s="319"/>
      <c r="T31" s="319"/>
      <c r="U31" s="319"/>
      <c r="V31" s="319"/>
      <c r="W31" s="319"/>
      <c r="X31" s="319"/>
      <c r="Y31" s="319"/>
      <c r="Z31" s="319"/>
      <c r="AA31" s="319"/>
      <c r="AB31" s="319"/>
      <c r="AC31" s="319"/>
      <c r="AD31" s="319"/>
      <c r="AE31" s="319"/>
      <c r="AF31" s="319"/>
      <c r="AG31" s="319"/>
      <c r="AO31" s="319"/>
      <c r="AP31" s="1014">
        <v>72</v>
      </c>
      <c r="AQ31" s="1004">
        <v>10</v>
      </c>
      <c r="AR31" s="1006">
        <v>72</v>
      </c>
      <c r="AS31" s="1004">
        <v>17</v>
      </c>
      <c r="AT31" s="1006">
        <v>72</v>
      </c>
      <c r="AU31" s="1004">
        <v>9</v>
      </c>
      <c r="AV31" s="319"/>
      <c r="AW31" s="319"/>
      <c r="AX31" s="319"/>
      <c r="AY31" s="319"/>
      <c r="AZ31" s="319"/>
      <c r="BA31" s="319"/>
      <c r="BB31" s="319"/>
      <c r="BC31" s="319"/>
      <c r="BD31" s="319"/>
      <c r="BE31" s="319"/>
      <c r="BF31" s="319"/>
      <c r="BG31" s="319"/>
      <c r="BH31" s="319"/>
      <c r="BI31" s="319"/>
      <c r="BJ31" s="319"/>
      <c r="BK31" s="319"/>
      <c r="BL31" s="319"/>
      <c r="BM31" s="319"/>
      <c r="BN31" s="319"/>
      <c r="BO31" s="319"/>
      <c r="BP31" s="319"/>
      <c r="BQ31" s="319"/>
      <c r="BR31" s="319"/>
      <c r="BS31" s="319"/>
      <c r="BT31" s="319"/>
      <c r="BU31" s="319"/>
      <c r="BV31" s="319"/>
      <c r="BW31" s="319"/>
      <c r="BX31" s="319"/>
      <c r="BY31" s="319"/>
      <c r="BZ31" s="319"/>
      <c r="CA31" s="319"/>
      <c r="CB31" s="319"/>
      <c r="CC31" s="319"/>
      <c r="CD31" s="319"/>
      <c r="CE31" s="319"/>
      <c r="CF31" s="319"/>
      <c r="CG31" s="319"/>
      <c r="CH31" s="319"/>
      <c r="CI31" s="319"/>
      <c r="CJ31" s="319"/>
      <c r="CK31" s="319"/>
    </row>
    <row r="32" spans="1:89" ht="13.2">
      <c r="A32" s="12"/>
      <c r="B32" s="154" t="str">
        <f>Language!C1722</f>
        <v>Temperatura de comutação aquec./ refrigeração</v>
      </c>
      <c r="C32" s="303" t="s">
        <v>5568</v>
      </c>
      <c r="D32" s="395">
        <v>16</v>
      </c>
      <c r="E32" s="329"/>
      <c r="F32" s="329"/>
      <c r="G32" s="329"/>
      <c r="H32" s="329"/>
      <c r="I32" s="329"/>
      <c r="J32" s="329"/>
      <c r="K32" s="9"/>
      <c r="L32" s="1"/>
      <c r="M32" s="319"/>
      <c r="N32" s="319">
        <v>4010028</v>
      </c>
      <c r="O32" s="319"/>
      <c r="P32" s="319">
        <f>IF(OR(C32=$C$1178,C32=""),1,5/9)</f>
        <v>1</v>
      </c>
      <c r="Q32" s="494">
        <f>$P32*(D32+40)-40</f>
        <v>16</v>
      </c>
      <c r="R32" s="319"/>
      <c r="S32" s="319"/>
      <c r="T32" s="319"/>
      <c r="U32" s="319"/>
      <c r="V32" s="319"/>
      <c r="W32" s="319"/>
      <c r="X32" s="319"/>
      <c r="Y32" s="319"/>
      <c r="Z32" s="319"/>
      <c r="AA32" s="319"/>
      <c r="AB32" s="319"/>
      <c r="AC32" s="319"/>
      <c r="AD32" s="319"/>
      <c r="AE32" s="319"/>
      <c r="AF32" s="319"/>
      <c r="AG32" s="319"/>
      <c r="AO32" s="319"/>
      <c r="AP32" s="1014">
        <v>73</v>
      </c>
      <c r="AQ32" s="1004">
        <v>10</v>
      </c>
      <c r="AR32" s="1006">
        <v>73</v>
      </c>
      <c r="AS32" s="1004">
        <v>17</v>
      </c>
      <c r="AT32" s="1006">
        <v>73</v>
      </c>
      <c r="AU32" s="1004">
        <v>9</v>
      </c>
      <c r="AV32" s="319"/>
      <c r="AW32" s="319"/>
      <c r="AX32" s="319"/>
      <c r="AY32" s="319"/>
      <c r="AZ32" s="319"/>
      <c r="BA32" s="319"/>
      <c r="BB32" s="319"/>
      <c r="BC32" s="319"/>
      <c r="BD32" s="319"/>
      <c r="BE32" s="319"/>
      <c r="BF32" s="319"/>
      <c r="BG32" s="319"/>
      <c r="BH32" s="319"/>
      <c r="BI32" s="319"/>
      <c r="BJ32" s="319"/>
      <c r="BK32" s="319"/>
      <c r="BL32" s="319"/>
      <c r="BM32" s="319"/>
      <c r="BN32" s="319"/>
      <c r="BO32" s="319"/>
      <c r="BP32" s="319"/>
      <c r="BQ32" s="319"/>
      <c r="BR32" s="319"/>
      <c r="BS32" s="319"/>
      <c r="BT32" s="319"/>
      <c r="BU32" s="319"/>
      <c r="BV32" s="319"/>
      <c r="BW32" s="319"/>
      <c r="BX32" s="319"/>
      <c r="BY32" s="319"/>
      <c r="BZ32" s="319"/>
      <c r="CA32" s="319"/>
      <c r="CB32" s="319"/>
      <c r="CC32" s="319"/>
      <c r="CD32" s="319"/>
      <c r="CE32" s="319"/>
      <c r="CF32" s="319"/>
      <c r="CG32" s="319"/>
      <c r="CH32" s="319"/>
      <c r="CI32" s="319"/>
      <c r="CJ32" s="319"/>
      <c r="CK32" s="319"/>
    </row>
    <row r="33" spans="1:89" ht="13.2">
      <c r="A33" s="12"/>
      <c r="B33" s="329" t="str">
        <f>Language!C1779</f>
        <v>Duração da estação de calor</v>
      </c>
      <c r="C33" s="21" t="str">
        <f>Language!C2197</f>
        <v>d</v>
      </c>
      <c r="D33" s="364">
        <f>365-D34</f>
        <v>166</v>
      </c>
      <c r="E33" s="329"/>
      <c r="F33" s="329"/>
      <c r="G33" s="329"/>
      <c r="H33" s="329"/>
      <c r="I33" s="329"/>
      <c r="J33" s="329"/>
      <c r="K33" s="9"/>
      <c r="L33" s="1"/>
      <c r="M33" s="319"/>
      <c r="N33" s="319">
        <v>4010030</v>
      </c>
      <c r="O33" s="319"/>
      <c r="P33" s="319"/>
      <c r="Q33" s="319"/>
      <c r="R33" s="319"/>
      <c r="S33" s="319"/>
      <c r="T33" s="319"/>
      <c r="U33" s="319"/>
      <c r="V33" s="319"/>
      <c r="W33" s="319"/>
      <c r="X33" s="319"/>
      <c r="Y33" s="319"/>
      <c r="Z33" s="319"/>
      <c r="AA33" s="319"/>
      <c r="AB33" s="319"/>
      <c r="AC33" s="319"/>
      <c r="AD33" s="319"/>
      <c r="AE33" s="319"/>
      <c r="AF33" s="319"/>
      <c r="AG33" s="319"/>
      <c r="AO33" s="319"/>
      <c r="AP33" s="1014">
        <v>74</v>
      </c>
      <c r="AQ33" s="1004">
        <v>10</v>
      </c>
      <c r="AR33" s="1006">
        <v>74</v>
      </c>
      <c r="AS33" s="1004">
        <v>17</v>
      </c>
      <c r="AT33" s="1006">
        <v>74</v>
      </c>
      <c r="AU33" s="1004">
        <v>9</v>
      </c>
      <c r="AV33" s="319"/>
      <c r="AW33" s="319"/>
      <c r="AX33" s="319"/>
      <c r="AY33" s="319"/>
      <c r="AZ33" s="319"/>
      <c r="BA33" s="319"/>
      <c r="BB33" s="319"/>
      <c r="BC33" s="319"/>
      <c r="BD33" s="319"/>
      <c r="BE33" s="319"/>
      <c r="BF33" s="319"/>
      <c r="BG33" s="319"/>
      <c r="BH33" s="319"/>
      <c r="BI33" s="319"/>
      <c r="BJ33" s="319"/>
      <c r="BK33" s="319"/>
      <c r="BL33" s="319"/>
      <c r="BM33" s="319"/>
      <c r="BN33" s="319"/>
      <c r="BO33" s="319"/>
      <c r="BP33" s="319"/>
      <c r="BQ33" s="319"/>
      <c r="BR33" s="319"/>
      <c r="BS33" s="319"/>
      <c r="BT33" s="319"/>
      <c r="BU33" s="319"/>
      <c r="BV33" s="319"/>
      <c r="BW33" s="319"/>
      <c r="BX33" s="319"/>
      <c r="BY33" s="319"/>
      <c r="BZ33" s="319"/>
      <c r="CA33" s="319"/>
      <c r="CB33" s="319"/>
      <c r="CC33" s="319"/>
      <c r="CD33" s="319"/>
      <c r="CE33" s="319"/>
      <c r="CF33" s="319"/>
      <c r="CG33" s="319"/>
      <c r="CH33" s="319"/>
      <c r="CI33" s="319"/>
      <c r="CJ33" s="319"/>
      <c r="CK33" s="319"/>
    </row>
    <row r="34" spans="1:89" ht="13.2">
      <c r="A34" s="12"/>
      <c r="B34" s="329" t="str">
        <f>Language!C1778</f>
        <v>Duração da estação de frio</v>
      </c>
      <c r="C34" s="21" t="str">
        <f>C33</f>
        <v>d</v>
      </c>
      <c r="D34" s="364">
        <f>'EET2'!D73</f>
        <v>199</v>
      </c>
      <c r="E34" s="329"/>
      <c r="F34" s="329"/>
      <c r="G34" s="329"/>
      <c r="H34" s="329"/>
      <c r="I34" s="329"/>
      <c r="J34" s="329"/>
      <c r="K34" s="9"/>
      <c r="L34" s="1"/>
      <c r="M34" s="319"/>
      <c r="N34" s="319">
        <v>4010032</v>
      </c>
      <c r="O34" s="319"/>
      <c r="P34" s="319"/>
      <c r="Q34" s="319"/>
      <c r="R34" s="319"/>
      <c r="S34" s="481" t="str">
        <f>Language!C1688</f>
        <v>Consumo de combustível - caso de referência</v>
      </c>
      <c r="T34" s="319">
        <v>1</v>
      </c>
      <c r="U34" s="319"/>
      <c r="V34" s="319"/>
      <c r="W34" s="319"/>
      <c r="X34" s="319"/>
      <c r="Y34" s="319"/>
      <c r="Z34" s="319"/>
      <c r="AA34" s="319"/>
      <c r="AB34" s="319"/>
      <c r="AC34" s="319"/>
      <c r="AD34" s="319"/>
      <c r="AE34" s="319"/>
      <c r="AF34" s="319"/>
      <c r="AG34" s="319"/>
      <c r="AO34" s="319"/>
      <c r="AP34" s="1014">
        <v>75</v>
      </c>
      <c r="AQ34" s="1004">
        <v>10</v>
      </c>
      <c r="AR34" s="1006">
        <v>75</v>
      </c>
      <c r="AS34" s="1004">
        <v>17</v>
      </c>
      <c r="AT34" s="1006">
        <v>75</v>
      </c>
      <c r="AU34" s="1004">
        <v>9</v>
      </c>
      <c r="AV34" s="319"/>
      <c r="AW34" s="319"/>
      <c r="AX34" s="319"/>
      <c r="AY34" s="319"/>
      <c r="AZ34" s="319"/>
      <c r="BA34" s="319"/>
      <c r="BB34" s="319"/>
      <c r="BC34" s="319"/>
      <c r="BD34" s="319"/>
      <c r="BE34" s="319"/>
      <c r="BF34" s="319"/>
      <c r="BG34" s="319"/>
      <c r="BH34" s="319"/>
      <c r="BI34" s="319"/>
      <c r="BJ34" s="319"/>
      <c r="BK34" s="319"/>
      <c r="BL34" s="319"/>
      <c r="BM34" s="319"/>
      <c r="BN34" s="319"/>
      <c r="BO34" s="319"/>
      <c r="BP34" s="319"/>
      <c r="BQ34" s="319"/>
      <c r="BR34" s="319"/>
      <c r="BS34" s="319"/>
      <c r="BT34" s="319"/>
      <c r="BU34" s="319"/>
      <c r="BV34" s="319"/>
      <c r="BW34" s="319"/>
      <c r="BX34" s="319"/>
      <c r="BY34" s="319"/>
      <c r="BZ34" s="319"/>
      <c r="CA34" s="319"/>
      <c r="CB34" s="319"/>
      <c r="CC34" s="319"/>
      <c r="CD34" s="319"/>
      <c r="CE34" s="319"/>
      <c r="CF34" s="319"/>
      <c r="CG34" s="319"/>
      <c r="CH34" s="319"/>
      <c r="CI34" s="319"/>
      <c r="CJ34" s="319"/>
      <c r="CK34" s="319"/>
    </row>
    <row r="35" spans="1:89" ht="13.2">
      <c r="A35" s="14"/>
      <c r="B35" s="380"/>
      <c r="C35" s="380"/>
      <c r="D35" s="380"/>
      <c r="E35" s="380"/>
      <c r="F35" s="380"/>
      <c r="G35" s="380"/>
      <c r="H35" s="380"/>
      <c r="I35" s="380"/>
      <c r="J35" s="380"/>
      <c r="K35" s="11"/>
      <c r="L35" s="1"/>
      <c r="M35" s="319"/>
      <c r="N35" s="319">
        <v>4010000</v>
      </c>
      <c r="O35" s="319"/>
      <c r="P35" s="319"/>
      <c r="Q35" s="319"/>
      <c r="R35" s="319"/>
      <c r="S35" s="481" t="str">
        <f>Language!C1690</f>
        <v>Consumo de combustível - caso proposto</v>
      </c>
      <c r="T35" s="319">
        <v>3</v>
      </c>
      <c r="U35" s="319"/>
      <c r="V35" s="319">
        <f>VLOOKUP(C39,W35:X37,2,FALSE)</f>
        <v>3.6</v>
      </c>
      <c r="W35" s="481" t="str">
        <f>R182</f>
        <v>MWh</v>
      </c>
      <c r="X35" s="319">
        <v>1</v>
      </c>
      <c r="Y35" s="319"/>
      <c r="Z35" s="319"/>
      <c r="AA35" s="319"/>
      <c r="AB35" s="319"/>
      <c r="AC35" s="319"/>
      <c r="AD35" s="319"/>
      <c r="AE35" s="319"/>
      <c r="AF35" s="319"/>
      <c r="AG35" s="319"/>
      <c r="AO35" s="319"/>
      <c r="AP35" s="1014">
        <v>77</v>
      </c>
      <c r="AQ35" s="1004">
        <v>10</v>
      </c>
      <c r="AR35" s="1006">
        <v>77</v>
      </c>
      <c r="AS35" s="1004">
        <v>17</v>
      </c>
      <c r="AT35" s="1006">
        <v>77</v>
      </c>
      <c r="AU35" s="1004">
        <v>9</v>
      </c>
      <c r="AV35" s="319"/>
      <c r="AW35" s="319"/>
      <c r="AX35" s="319"/>
      <c r="AY35" s="319"/>
      <c r="AZ35" s="319"/>
      <c r="BA35" s="319"/>
      <c r="BB35" s="319"/>
      <c r="BC35" s="319"/>
      <c r="BD35" s="319"/>
      <c r="BE35" s="319"/>
      <c r="BF35" s="319"/>
      <c r="BG35" s="319"/>
      <c r="BH35" s="319"/>
      <c r="BI35" s="319"/>
      <c r="BJ35" s="319"/>
      <c r="BK35" s="319"/>
      <c r="BL35" s="319"/>
      <c r="BM35" s="319"/>
      <c r="BN35" s="319"/>
      <c r="BO35" s="319"/>
      <c r="BP35" s="319"/>
      <c r="BQ35" s="319"/>
      <c r="BR35" s="319"/>
      <c r="BS35" s="319"/>
      <c r="BT35" s="319"/>
      <c r="BU35" s="319"/>
      <c r="BV35" s="319"/>
      <c r="BW35" s="319"/>
      <c r="BX35" s="319"/>
      <c r="BY35" s="319"/>
      <c r="BZ35" s="319"/>
      <c r="CA35" s="319"/>
      <c r="CB35" s="319"/>
      <c r="CC35" s="319"/>
      <c r="CD35" s="319"/>
      <c r="CE35" s="319"/>
      <c r="CF35" s="319"/>
      <c r="CG35" s="319"/>
      <c r="CH35" s="319"/>
      <c r="CI35" s="319"/>
      <c r="CJ35" s="319"/>
      <c r="CK35" s="319"/>
    </row>
    <row r="36" spans="1:89" ht="13.2">
      <c r="A36" s="46"/>
      <c r="B36" s="49"/>
      <c r="C36" s="15"/>
      <c r="D36" s="142"/>
      <c r="E36" s="380"/>
      <c r="F36" s="380"/>
      <c r="G36" s="380"/>
      <c r="H36" s="380"/>
      <c r="I36" s="380"/>
      <c r="J36" s="380"/>
      <c r="K36" s="46"/>
      <c r="L36" s="1"/>
      <c r="M36" s="319">
        <f>IF(M37=TRUE,90,79)</f>
        <v>90</v>
      </c>
      <c r="N36" s="319">
        <v>12000</v>
      </c>
      <c r="O36" s="319"/>
      <c r="P36" s="319"/>
      <c r="Q36" s="319"/>
      <c r="R36" s="319"/>
      <c r="S36" s="481" t="str">
        <f>Language!C1693</f>
        <v>Economia de combustível</v>
      </c>
      <c r="T36" s="319">
        <v>2</v>
      </c>
      <c r="U36" s="319"/>
      <c r="V36" s="319"/>
      <c r="W36" s="481" t="str">
        <f>R184</f>
        <v>GJ</v>
      </c>
      <c r="X36" s="319">
        <v>3.6</v>
      </c>
      <c r="Y36" s="319"/>
      <c r="Z36" s="319"/>
      <c r="AA36" s="319"/>
      <c r="AB36" s="319"/>
      <c r="AC36" s="319"/>
      <c r="AD36" s="319"/>
      <c r="AE36" s="319"/>
      <c r="AF36" s="319"/>
      <c r="AG36" s="319"/>
      <c r="AO36" s="319"/>
      <c r="AP36" s="1014">
        <v>78</v>
      </c>
      <c r="AQ36" s="1004">
        <v>10</v>
      </c>
      <c r="AR36" s="1006">
        <v>78</v>
      </c>
      <c r="AS36" s="1004">
        <v>17</v>
      </c>
      <c r="AT36" s="1006">
        <v>78</v>
      </c>
      <c r="AU36" s="1004">
        <v>9</v>
      </c>
      <c r="AV36" s="319"/>
      <c r="AW36" s="319"/>
      <c r="AX36" s="319"/>
      <c r="AY36" s="319"/>
      <c r="AZ36" s="319"/>
      <c r="BA36" s="319"/>
      <c r="BB36" s="319"/>
      <c r="BC36" s="319"/>
      <c r="BD36" s="319"/>
      <c r="BE36" s="319"/>
      <c r="BF36" s="319"/>
      <c r="BG36" s="319"/>
      <c r="BH36" s="319"/>
      <c r="BI36" s="319"/>
      <c r="BJ36" s="319"/>
      <c r="BK36" s="319"/>
      <c r="BL36" s="319"/>
      <c r="BM36" s="319"/>
      <c r="BN36" s="319"/>
      <c r="BO36" s="319"/>
      <c r="BP36" s="319"/>
      <c r="BQ36" s="319"/>
      <c r="BR36" s="319"/>
      <c r="BS36" s="319"/>
      <c r="BT36" s="319"/>
      <c r="BU36" s="319"/>
      <c r="BV36" s="319"/>
      <c r="BW36" s="319"/>
      <c r="BX36" s="319"/>
      <c r="BY36" s="319"/>
      <c r="BZ36" s="319"/>
      <c r="CA36" s="319"/>
      <c r="CB36" s="319"/>
      <c r="CC36" s="319"/>
      <c r="CD36" s="319"/>
      <c r="CE36" s="319"/>
      <c r="CF36" s="319"/>
      <c r="CG36" s="319"/>
      <c r="CH36" s="319"/>
      <c r="CI36" s="319"/>
      <c r="CJ36" s="319"/>
      <c r="CK36" s="319"/>
    </row>
    <row r="37" spans="1:89" ht="13.2">
      <c r="A37" s="1203" t="str">
        <f>Language!C1646</f>
        <v>Caracarterísticas da instalação</v>
      </c>
      <c r="B37" s="1204"/>
      <c r="C37" s="1015" t="s">
        <v>4190</v>
      </c>
      <c r="D37" s="1205" t="str">
        <f>$G$384</f>
        <v>Mostrar dado</v>
      </c>
      <c r="E37" s="1205"/>
      <c r="F37" s="1205"/>
      <c r="G37" s="1205"/>
      <c r="H37" s="1205"/>
      <c r="I37" s="1205"/>
      <c r="J37" s="1205"/>
      <c r="K37" s="1206"/>
      <c r="L37" s="1"/>
      <c r="M37" s="3" t="b">
        <v>1</v>
      </c>
      <c r="N37" s="319">
        <v>4020000</v>
      </c>
      <c r="O37" s="319"/>
      <c r="P37" s="319"/>
      <c r="Q37" s="319"/>
      <c r="R37" s="319"/>
      <c r="S37" s="319" t="str">
        <f>Language!C2605</f>
        <v>Demanda de energia - caso de referência</v>
      </c>
      <c r="T37" s="319">
        <v>4</v>
      </c>
      <c r="U37" s="319"/>
      <c r="V37" s="319"/>
      <c r="W37" s="481" t="str">
        <f>Language!C1382</f>
        <v>milhão Btu</v>
      </c>
      <c r="X37" s="319">
        <v>3.4121416331279426</v>
      </c>
      <c r="Y37" s="319"/>
      <c r="Z37" s="319"/>
      <c r="AA37" s="319"/>
      <c r="AB37" s="319"/>
      <c r="AC37" s="319"/>
      <c r="AD37" s="319"/>
      <c r="AE37" s="319"/>
      <c r="AF37" s="319"/>
      <c r="AG37" s="319"/>
      <c r="AO37" s="319"/>
      <c r="AP37" s="1014">
        <v>79</v>
      </c>
      <c r="AQ37" s="1004">
        <v>10</v>
      </c>
      <c r="AR37" s="1006">
        <v>79</v>
      </c>
      <c r="AS37" s="1004">
        <v>17</v>
      </c>
      <c r="AT37" s="1006">
        <v>79</v>
      </c>
      <c r="AU37" s="1004">
        <v>9</v>
      </c>
      <c r="AV37" s="319"/>
      <c r="AW37" s="319"/>
      <c r="AX37" s="319"/>
      <c r="AY37" s="319"/>
      <c r="AZ37" s="319"/>
      <c r="BA37" s="319"/>
      <c r="BB37" s="319"/>
      <c r="BC37" s="319"/>
      <c r="BD37" s="319"/>
      <c r="BE37" s="319"/>
      <c r="BF37" s="319"/>
      <c r="BG37" s="319"/>
      <c r="BH37" s="319"/>
      <c r="BI37" s="319"/>
      <c r="BJ37" s="319"/>
      <c r="BK37" s="319"/>
      <c r="BL37" s="319"/>
      <c r="BM37" s="319"/>
      <c r="BN37" s="319"/>
      <c r="BO37" s="319"/>
      <c r="BP37" s="319"/>
      <c r="BQ37" s="319"/>
      <c r="BR37" s="319"/>
      <c r="BS37" s="319"/>
      <c r="BT37" s="319"/>
      <c r="BU37" s="319"/>
      <c r="BV37" s="319"/>
      <c r="BW37" s="319"/>
      <c r="BX37" s="319"/>
      <c r="BY37" s="319"/>
      <c r="BZ37" s="319"/>
      <c r="CA37" s="319"/>
      <c r="CB37" s="319"/>
      <c r="CC37" s="319"/>
      <c r="CD37" s="319"/>
      <c r="CE37" s="319"/>
      <c r="CF37" s="319"/>
      <c r="CG37" s="319"/>
      <c r="CH37" s="319"/>
      <c r="CI37" s="319"/>
      <c r="CJ37" s="319"/>
      <c r="CK37" s="319"/>
    </row>
    <row r="38" spans="1:89" ht="38.25" customHeight="1">
      <c r="A38" s="12"/>
      <c r="B38" s="965" t="str">
        <f>Language!C1969</f>
        <v>Mostrar:</v>
      </c>
      <c r="C38" s="20" t="str">
        <f>C172</f>
        <v>Aquecimento</v>
      </c>
      <c r="D38" s="20" t="str">
        <f>D172</f>
        <v>Refrigeração</v>
      </c>
      <c r="E38" s="20" t="str">
        <f>$F$1098</f>
        <v>Eletricidade</v>
      </c>
      <c r="F38" s="20" t="str">
        <f>$G$244</f>
        <v>Custo inicial incremental</v>
      </c>
      <c r="G38" s="20" t="str">
        <f>Language!C2382</f>
        <v>Economia - custo de combustível</v>
      </c>
      <c r="H38" s="20" t="str">
        <f>Language!C2403</f>
        <v>Economia de O&amp;M incremental</v>
      </c>
      <c r="I38" s="20" t="str">
        <f>B1013</f>
        <v>Retorno simples</v>
      </c>
      <c r="J38" s="20" t="str">
        <f>Language!C1745</f>
        <v>Inclui a medida ?</v>
      </c>
      <c r="K38" s="9"/>
      <c r="L38" s="1"/>
      <c r="M38" s="319">
        <f>Iniciar!N22</f>
        <v>4</v>
      </c>
      <c r="N38" s="319">
        <v>4020000</v>
      </c>
      <c r="O38" s="319"/>
      <c r="P38" s="319"/>
      <c r="Q38" s="319"/>
      <c r="R38" s="319"/>
      <c r="S38" s="319" t="str">
        <f>Language!C2606</f>
        <v>Demanda de energia - caso proposto</v>
      </c>
      <c r="T38" s="556">
        <v>5</v>
      </c>
      <c r="U38" s="319"/>
      <c r="V38" s="319"/>
      <c r="W38" s="319"/>
      <c r="X38" s="319"/>
      <c r="Y38" s="319"/>
      <c r="Z38" s="319"/>
      <c r="AA38" s="319"/>
      <c r="AB38" s="319"/>
      <c r="AC38" s="319"/>
      <c r="AD38" s="319"/>
      <c r="AE38" s="319"/>
      <c r="AF38" s="319"/>
      <c r="AG38" s="319"/>
      <c r="AO38" s="319"/>
      <c r="AP38" s="1014">
        <v>80</v>
      </c>
      <c r="AQ38" s="1004">
        <v>10</v>
      </c>
      <c r="AR38" s="1006">
        <v>80</v>
      </c>
      <c r="AS38" s="1004">
        <v>17</v>
      </c>
      <c r="AT38" s="1006">
        <v>80</v>
      </c>
      <c r="AU38" s="1004">
        <v>9</v>
      </c>
      <c r="AV38" s="319"/>
      <c r="AW38" s="319"/>
      <c r="AX38" s="319"/>
      <c r="AY38" s="319"/>
      <c r="AZ38" s="319"/>
      <c r="BA38" s="319"/>
      <c r="BB38" s="319"/>
      <c r="BC38" s="319"/>
      <c r="BD38" s="319"/>
      <c r="BE38" s="319"/>
      <c r="BF38" s="319"/>
      <c r="BG38" s="319"/>
      <c r="BH38" s="319"/>
      <c r="BI38" s="319"/>
      <c r="BJ38" s="319"/>
      <c r="BK38" s="319"/>
      <c r="BL38" s="319"/>
      <c r="BM38" s="319"/>
      <c r="BN38" s="319"/>
      <c r="BO38" s="319"/>
      <c r="BP38" s="319"/>
      <c r="BQ38" s="319"/>
      <c r="BR38" s="319"/>
      <c r="BS38" s="319"/>
      <c r="BT38" s="319"/>
      <c r="BU38" s="319"/>
      <c r="BV38" s="319"/>
      <c r="BW38" s="319"/>
      <c r="BX38" s="319"/>
      <c r="BY38" s="319"/>
      <c r="BZ38" s="319"/>
      <c r="CA38" s="319"/>
      <c r="CB38" s="319"/>
      <c r="CC38" s="319"/>
      <c r="CD38" s="319"/>
      <c r="CE38" s="319"/>
      <c r="CF38" s="319"/>
      <c r="CG38" s="319"/>
      <c r="CH38" s="319"/>
      <c r="CI38" s="319"/>
      <c r="CJ38" s="319"/>
      <c r="CK38" s="319"/>
    </row>
    <row r="39" spans="1:89" ht="13.2">
      <c r="A39" s="12"/>
      <c r="B39" s="370" t="s">
        <v>7466</v>
      </c>
      <c r="C39" s="307" t="s">
        <v>5865</v>
      </c>
      <c r="D39" s="191" t="str">
        <f>$C$39</f>
        <v>GJ</v>
      </c>
      <c r="E39" s="191" t="str">
        <f>$C$39</f>
        <v>GJ</v>
      </c>
      <c r="F39" s="128" t="str">
        <f>Currency</f>
        <v>€</v>
      </c>
      <c r="G39" s="128" t="str">
        <f>Currency</f>
        <v>€</v>
      </c>
      <c r="H39" s="128" t="str">
        <f>Currency</f>
        <v>€</v>
      </c>
      <c r="I39" s="128" t="str">
        <f>C1014</f>
        <v>ano</v>
      </c>
      <c r="J39" s="1016" t="s">
        <v>4189</v>
      </c>
      <c r="K39" s="9"/>
      <c r="L39" s="1"/>
      <c r="M39" s="319">
        <f>EET!BU15</f>
        <v>0</v>
      </c>
      <c r="N39" s="319">
        <v>4020000</v>
      </c>
      <c r="O39" s="319"/>
      <c r="P39" s="319"/>
      <c r="Q39" s="3" t="b">
        <v>0</v>
      </c>
      <c r="R39" s="319">
        <f>IF(ISERROR(VLOOKUP(B39,S34:T45,2,FALSE)),4,VLOOKUP(B39,S34:T45,2,FALSE))</f>
        <v>2</v>
      </c>
      <c r="S39" s="556" t="str">
        <f>Language!C1635</f>
        <v>Economia de energia</v>
      </c>
      <c r="T39" s="556">
        <v>6</v>
      </c>
      <c r="U39" s="319"/>
      <c r="V39" s="319"/>
      <c r="W39" s="319"/>
      <c r="X39" s="319"/>
      <c r="Y39" s="319"/>
      <c r="Z39" s="319"/>
      <c r="AA39" s="319"/>
      <c r="AB39" s="319"/>
      <c r="AC39" s="319"/>
      <c r="AD39" s="319"/>
      <c r="AE39" s="319"/>
      <c r="AF39" s="319"/>
      <c r="AG39" s="319"/>
      <c r="AO39" s="319"/>
      <c r="AP39" s="1014">
        <v>81</v>
      </c>
      <c r="AQ39" s="1004">
        <v>10</v>
      </c>
      <c r="AR39" s="1006">
        <v>81</v>
      </c>
      <c r="AS39" s="1004">
        <v>17</v>
      </c>
      <c r="AT39" s="1006">
        <v>81</v>
      </c>
      <c r="AU39" s="1004">
        <v>9</v>
      </c>
      <c r="AV39" s="319"/>
      <c r="AW39" s="319"/>
      <c r="AX39" s="319"/>
      <c r="AY39" s="319"/>
      <c r="AZ39" s="319"/>
      <c r="BA39" s="319"/>
      <c r="BB39" s="319"/>
      <c r="BC39" s="319"/>
      <c r="BD39" s="319"/>
      <c r="BE39" s="319"/>
      <c r="BF39" s="319"/>
      <c r="BG39" s="319"/>
      <c r="BH39" s="319"/>
      <c r="BI39" s="319"/>
      <c r="BJ39" s="319"/>
      <c r="BK39" s="319"/>
      <c r="BL39" s="319"/>
      <c r="BM39" s="319"/>
      <c r="BN39" s="319"/>
      <c r="BO39" s="319"/>
      <c r="BP39" s="319"/>
      <c r="BQ39" s="319"/>
      <c r="BR39" s="319"/>
      <c r="BS39" s="319"/>
      <c r="BT39" s="319"/>
      <c r="BU39" s="319"/>
      <c r="BV39" s="319"/>
      <c r="BW39" s="319"/>
      <c r="BX39" s="319"/>
      <c r="BY39" s="319"/>
      <c r="BZ39" s="319"/>
      <c r="CA39" s="319"/>
      <c r="CB39" s="319"/>
      <c r="CC39" s="319"/>
      <c r="CD39" s="319"/>
      <c r="CE39" s="319"/>
      <c r="CF39" s="319"/>
      <c r="CG39" s="319"/>
      <c r="CH39" s="319"/>
      <c r="CI39" s="319"/>
      <c r="CJ39" s="319"/>
      <c r="CK39" s="319"/>
    </row>
    <row r="40" spans="1:89" ht="13.2">
      <c r="A40" s="12"/>
      <c r="B40" s="543" t="str">
        <f>Language!C1283</f>
        <v>Sistema de Aquecimento</v>
      </c>
      <c r="C40" s="30"/>
      <c r="D40" s="30"/>
      <c r="E40" s="30"/>
      <c r="F40" s="290"/>
      <c r="G40" s="30"/>
      <c r="H40" s="30"/>
      <c r="I40" s="140"/>
      <c r="J40" s="29"/>
      <c r="K40" s="9"/>
      <c r="L40" s="12"/>
      <c r="M40" s="319"/>
      <c r="N40" s="319">
        <v>12100</v>
      </c>
      <c r="O40" s="319"/>
      <c r="P40" s="319"/>
      <c r="Q40" s="319">
        <f>COUNTIF(Q41:Q148,FALSE)</f>
        <v>0</v>
      </c>
      <c r="R40" s="319"/>
      <c r="S40" s="556"/>
      <c r="T40" s="556"/>
      <c r="U40" s="319"/>
      <c r="V40" s="319"/>
      <c r="W40" s="319"/>
      <c r="X40" s="319"/>
      <c r="Y40" s="319"/>
      <c r="Z40" s="319"/>
      <c r="AA40" s="319"/>
      <c r="AB40" s="319"/>
      <c r="AC40" s="319"/>
      <c r="AD40" s="319"/>
      <c r="AE40" s="319"/>
      <c r="AF40" s="319"/>
      <c r="AG40" s="319"/>
      <c r="AO40" s="319"/>
      <c r="AP40" s="1014">
        <v>83</v>
      </c>
      <c r="AQ40" s="1004">
        <v>10</v>
      </c>
      <c r="AR40" s="1006">
        <v>83</v>
      </c>
      <c r="AS40" s="1004">
        <v>17</v>
      </c>
      <c r="AT40" s="1006">
        <v>83</v>
      </c>
      <c r="AU40" s="1004">
        <v>9</v>
      </c>
      <c r="AV40" s="319"/>
      <c r="AW40" s="319"/>
      <c r="AX40" s="319"/>
      <c r="AY40" s="319"/>
      <c r="AZ40" s="319"/>
      <c r="BA40" s="319"/>
      <c r="BB40" s="319"/>
      <c r="BC40" s="319"/>
      <c r="BD40" s="319"/>
      <c r="BE40" s="319"/>
      <c r="BF40" s="319"/>
      <c r="BG40" s="319"/>
      <c r="BH40" s="319"/>
      <c r="BI40" s="319"/>
      <c r="BJ40" s="319"/>
      <c r="BK40" s="319"/>
      <c r="BL40" s="319"/>
      <c r="BM40" s="319"/>
      <c r="BN40" s="319"/>
      <c r="BO40" s="319"/>
      <c r="BP40" s="319"/>
      <c r="BQ40" s="319"/>
      <c r="BR40" s="319"/>
      <c r="BS40" s="319"/>
      <c r="BT40" s="319"/>
      <c r="BU40" s="319"/>
      <c r="BV40" s="319"/>
      <c r="BW40" s="319"/>
      <c r="BX40" s="319"/>
      <c r="BY40" s="319"/>
      <c r="BZ40" s="319"/>
      <c r="CA40" s="319"/>
      <c r="CB40" s="319"/>
      <c r="CC40" s="319"/>
      <c r="CD40" s="319"/>
      <c r="CE40" s="319"/>
      <c r="CF40" s="319"/>
      <c r="CG40" s="319"/>
      <c r="CH40" s="319"/>
      <c r="CI40" s="319"/>
      <c r="CJ40" s="319"/>
      <c r="CK40" s="319"/>
    </row>
    <row r="41" spans="1:89" ht="13.2" hidden="1">
      <c r="A41" s="12"/>
      <c r="B41" s="329" t="str">
        <f>IF(EET!D16="","",EET!D16)</f>
        <v/>
      </c>
      <c r="C41" s="30">
        <f>IF($R$39=1,0,IF($R$39=2,EET!AL16,0))*$V$35</f>
        <v>0</v>
      </c>
      <c r="D41" s="30" t="s">
        <v>637</v>
      </c>
      <c r="E41" s="30" t="s">
        <v>637</v>
      </c>
      <c r="F41" s="290">
        <f>EET!E16</f>
        <v>0</v>
      </c>
      <c r="G41" s="30">
        <f>EET!F16</f>
        <v>0</v>
      </c>
      <c r="H41" s="30">
        <f>EET!G16</f>
        <v>0</v>
      </c>
      <c r="I41" s="140" t="str">
        <f>IF(ISERROR(F41/(G41+H41)),"-",F41/(G41+H41))</f>
        <v>-</v>
      </c>
      <c r="J41" s="1017" t="s">
        <v>4190</v>
      </c>
      <c r="K41" s="9"/>
      <c r="L41" s="12"/>
      <c r="M41" s="393">
        <f>IF(OR(EET!BU16&gt;0,Q41=""),1,0)</f>
        <v>0</v>
      </c>
      <c r="N41" s="319">
        <v>12100</v>
      </c>
      <c r="O41" s="319"/>
      <c r="P41" s="319"/>
      <c r="Q41" s="311" t="b">
        <v>1</v>
      </c>
      <c r="R41" s="319"/>
      <c r="S41" s="556"/>
      <c r="T41" s="556"/>
      <c r="U41" s="319"/>
      <c r="V41" s="309" t="b">
        <v>1</v>
      </c>
      <c r="W41" s="309" t="b">
        <v>1</v>
      </c>
      <c r="X41" s="319"/>
      <c r="Y41" s="319"/>
      <c r="Z41" s="319"/>
      <c r="AA41" s="319"/>
      <c r="AB41" s="319"/>
      <c r="AC41" s="319"/>
      <c r="AD41" s="319"/>
      <c r="AE41" s="319"/>
      <c r="AF41" s="319"/>
      <c r="AG41" s="319"/>
      <c r="AO41" s="319"/>
      <c r="AP41" s="1014">
        <v>84</v>
      </c>
      <c r="AQ41" s="1004">
        <v>10</v>
      </c>
      <c r="AR41" s="1006">
        <v>84</v>
      </c>
      <c r="AS41" s="1004">
        <v>17</v>
      </c>
      <c r="AT41" s="1006">
        <v>84</v>
      </c>
      <c r="AU41" s="1004">
        <v>9</v>
      </c>
      <c r="AV41" s="319"/>
      <c r="AW41" s="319"/>
      <c r="AX41" s="319"/>
      <c r="AY41" s="319"/>
      <c r="AZ41" s="319"/>
      <c r="BA41" s="319"/>
      <c r="BB41" s="319"/>
      <c r="BC41" s="319"/>
      <c r="BD41" s="319"/>
      <c r="BE41" s="319"/>
      <c r="BF41" s="319"/>
      <c r="BG41" s="319"/>
      <c r="BH41" s="319"/>
      <c r="BI41" s="319"/>
      <c r="BJ41" s="319"/>
      <c r="BK41" s="319"/>
      <c r="BL41" s="319"/>
      <c r="BM41" s="319"/>
      <c r="BN41" s="319"/>
      <c r="BO41" s="319"/>
      <c r="BP41" s="319"/>
      <c r="BQ41" s="319"/>
      <c r="BR41" s="319"/>
      <c r="BS41" s="319"/>
      <c r="BT41" s="319"/>
      <c r="BU41" s="319"/>
      <c r="BV41" s="319"/>
      <c r="BW41" s="319"/>
      <c r="BX41" s="319"/>
      <c r="BY41" s="319"/>
      <c r="BZ41" s="319"/>
      <c r="CA41" s="319"/>
      <c r="CB41" s="319"/>
      <c r="CC41" s="319"/>
      <c r="CD41" s="319"/>
      <c r="CE41" s="319"/>
      <c r="CF41" s="319"/>
      <c r="CG41" s="319"/>
      <c r="CH41" s="319"/>
      <c r="CI41" s="319"/>
      <c r="CJ41" s="319"/>
      <c r="CK41" s="319"/>
    </row>
    <row r="42" spans="1:89" ht="13.2" hidden="1">
      <c r="A42" s="12"/>
      <c r="B42" s="329" t="str">
        <f>IF(EET!D17="","",EET!D17)</f>
        <v/>
      </c>
      <c r="C42" s="30">
        <f>IF($R$39=1,0,IF($R$39=2,EET!AL17,0))*$V$35</f>
        <v>0</v>
      </c>
      <c r="D42" s="30" t="s">
        <v>637</v>
      </c>
      <c r="E42" s="30" t="s">
        <v>637</v>
      </c>
      <c r="F42" s="290">
        <f>EET!E17</f>
        <v>0</v>
      </c>
      <c r="G42" s="30">
        <f>EET!F17</f>
        <v>0</v>
      </c>
      <c r="H42" s="30">
        <f>EET!G17</f>
        <v>0</v>
      </c>
      <c r="I42" s="140" t="str">
        <f t="shared" ref="I42:I51" si="3">IF(ISERROR(F42/(G42+H42)),"-",F42/(G42+H42))</f>
        <v>-</v>
      </c>
      <c r="J42" s="1017" t="s">
        <v>4190</v>
      </c>
      <c r="K42" s="9"/>
      <c r="L42" s="12"/>
      <c r="M42" s="393">
        <f>IF(OR(EET!BU17&gt;0,Q42=""),1,0)</f>
        <v>0</v>
      </c>
      <c r="N42" s="319">
        <v>12100</v>
      </c>
      <c r="O42" s="319"/>
      <c r="P42" s="319"/>
      <c r="Q42" s="3" t="b">
        <v>1</v>
      </c>
      <c r="R42" s="319"/>
      <c r="S42" s="319"/>
      <c r="T42" s="319"/>
      <c r="U42" s="319"/>
      <c r="V42" s="309" t="b">
        <v>1</v>
      </c>
      <c r="W42" s="319" t="b">
        <v>1</v>
      </c>
      <c r="X42" s="319"/>
      <c r="Y42" s="319"/>
      <c r="Z42" s="319"/>
      <c r="AA42" s="319"/>
      <c r="AB42" s="319"/>
      <c r="AC42" s="319"/>
      <c r="AD42" s="319"/>
      <c r="AE42" s="319"/>
      <c r="AF42" s="319"/>
      <c r="AG42" s="319"/>
      <c r="AO42" s="319"/>
      <c r="AP42" s="1014">
        <v>85</v>
      </c>
      <c r="AQ42" s="1004">
        <v>10</v>
      </c>
      <c r="AR42" s="1006">
        <v>85</v>
      </c>
      <c r="AS42" s="1004">
        <v>17</v>
      </c>
      <c r="AT42" s="1006">
        <v>85</v>
      </c>
      <c r="AU42" s="1004">
        <v>9</v>
      </c>
      <c r="AV42" s="319"/>
      <c r="AW42" s="319"/>
      <c r="AX42" s="319"/>
      <c r="AY42" s="319"/>
      <c r="AZ42" s="319"/>
      <c r="BA42" s="319"/>
      <c r="BB42" s="319"/>
      <c r="BC42" s="319"/>
      <c r="BD42" s="319"/>
      <c r="BE42" s="319"/>
      <c r="BF42" s="319"/>
      <c r="BG42" s="319"/>
      <c r="BH42" s="319"/>
      <c r="BI42" s="319"/>
      <c r="BJ42" s="319"/>
      <c r="BK42" s="319"/>
      <c r="BL42" s="319"/>
      <c r="BM42" s="319"/>
      <c r="BN42" s="319"/>
      <c r="BO42" s="319"/>
      <c r="BP42" s="319"/>
      <c r="BQ42" s="319"/>
      <c r="BR42" s="319"/>
      <c r="BS42" s="319"/>
      <c r="BT42" s="319"/>
      <c r="BU42" s="319"/>
      <c r="BV42" s="319"/>
      <c r="BW42" s="319"/>
      <c r="BX42" s="319"/>
      <c r="BY42" s="319"/>
      <c r="BZ42" s="319"/>
      <c r="CA42" s="319"/>
      <c r="CB42" s="319"/>
      <c r="CC42" s="319"/>
      <c r="CD42" s="319"/>
      <c r="CE42" s="319"/>
      <c r="CF42" s="319"/>
      <c r="CG42" s="319"/>
      <c r="CH42" s="319"/>
      <c r="CI42" s="319"/>
      <c r="CJ42" s="319"/>
      <c r="CK42" s="319"/>
    </row>
    <row r="43" spans="1:89" ht="13.2" hidden="1">
      <c r="A43" s="12"/>
      <c r="B43" s="329" t="str">
        <f>IF(EET!D18="","",EET!D18)</f>
        <v/>
      </c>
      <c r="C43" s="30">
        <f>IF($R$39=1,0,IF($R$39=2,EET!AL18,0))*$V$35</f>
        <v>0</v>
      </c>
      <c r="D43" s="30" t="s">
        <v>637</v>
      </c>
      <c r="E43" s="30" t="s">
        <v>637</v>
      </c>
      <c r="F43" s="290">
        <f>EET!E18</f>
        <v>0</v>
      </c>
      <c r="G43" s="30">
        <f>EET!F18</f>
        <v>0</v>
      </c>
      <c r="H43" s="30">
        <f>EET!G18</f>
        <v>0</v>
      </c>
      <c r="I43" s="140" t="str">
        <f t="shared" si="3"/>
        <v>-</v>
      </c>
      <c r="J43" s="1017" t="s">
        <v>4190</v>
      </c>
      <c r="K43" s="9"/>
      <c r="L43" s="12"/>
      <c r="M43" s="393">
        <f>IF(OR(EET!BU18&gt;0,Q43=""),1,0)</f>
        <v>0</v>
      </c>
      <c r="N43" s="319">
        <v>12100</v>
      </c>
      <c r="O43" s="319"/>
      <c r="P43" s="319"/>
      <c r="Q43" s="3" t="b">
        <v>1</v>
      </c>
      <c r="R43" s="319"/>
      <c r="S43" s="319"/>
      <c r="T43" s="319"/>
      <c r="U43" s="319"/>
      <c r="V43" s="309" t="b">
        <v>1</v>
      </c>
      <c r="W43" s="319" t="b">
        <v>1</v>
      </c>
      <c r="X43" s="319"/>
      <c r="Y43" s="319"/>
      <c r="Z43" s="319"/>
      <c r="AA43" s="319"/>
      <c r="AB43" s="319"/>
      <c r="AC43" s="319"/>
      <c r="AD43" s="319"/>
      <c r="AE43" s="319"/>
      <c r="AF43" s="319"/>
      <c r="AG43" s="319"/>
      <c r="AO43" s="319"/>
      <c r="AP43" s="1014">
        <v>86</v>
      </c>
      <c r="AQ43" s="1004">
        <v>10</v>
      </c>
      <c r="AR43" s="1006">
        <v>86</v>
      </c>
      <c r="AS43" s="1004">
        <v>17</v>
      </c>
      <c r="AT43" s="1006">
        <v>86</v>
      </c>
      <c r="AU43" s="1004">
        <v>9</v>
      </c>
      <c r="AV43" s="319"/>
      <c r="AW43" s="319"/>
      <c r="AX43" s="319"/>
      <c r="AY43" s="319"/>
      <c r="AZ43" s="319"/>
      <c r="BA43" s="319"/>
      <c r="BB43" s="319"/>
      <c r="BC43" s="319"/>
      <c r="BD43" s="319"/>
      <c r="BE43" s="319"/>
      <c r="BF43" s="319"/>
      <c r="BG43" s="319"/>
      <c r="BH43" s="319"/>
      <c r="BI43" s="319"/>
      <c r="BJ43" s="319"/>
      <c r="BK43" s="319"/>
      <c r="BL43" s="319"/>
      <c r="BM43" s="319"/>
      <c r="BN43" s="319"/>
      <c r="BO43" s="319"/>
      <c r="BP43" s="319"/>
      <c r="BQ43" s="319"/>
      <c r="BR43" s="319"/>
      <c r="BS43" s="319"/>
      <c r="BT43" s="319"/>
      <c r="BU43" s="319"/>
      <c r="BV43" s="319"/>
      <c r="BW43" s="319"/>
      <c r="BX43" s="319"/>
      <c r="BY43" s="319"/>
      <c r="BZ43" s="319"/>
      <c r="CA43" s="319"/>
      <c r="CB43" s="319"/>
      <c r="CC43" s="319"/>
      <c r="CD43" s="319"/>
      <c r="CE43" s="319"/>
      <c r="CF43" s="319"/>
      <c r="CG43" s="319"/>
      <c r="CH43" s="319"/>
      <c r="CI43" s="319"/>
      <c r="CJ43" s="319"/>
      <c r="CK43" s="319"/>
    </row>
    <row r="44" spans="1:89" ht="13.2" hidden="1">
      <c r="A44" s="12"/>
      <c r="B44" s="329" t="str">
        <f>IF(EET!D19="","",EET!D19)</f>
        <v/>
      </c>
      <c r="C44" s="30">
        <f>IF($R$39=1,0,IF($R$39=2,EET!AL19,0))*$V$35</f>
        <v>0</v>
      </c>
      <c r="D44" s="30" t="s">
        <v>637</v>
      </c>
      <c r="E44" s="30" t="s">
        <v>637</v>
      </c>
      <c r="F44" s="290">
        <f>EET!E19</f>
        <v>0</v>
      </c>
      <c r="G44" s="30">
        <f>EET!F19</f>
        <v>0</v>
      </c>
      <c r="H44" s="30">
        <f>EET!G19</f>
        <v>0</v>
      </c>
      <c r="I44" s="140" t="str">
        <f t="shared" si="3"/>
        <v>-</v>
      </c>
      <c r="J44" s="1017" t="s">
        <v>4190</v>
      </c>
      <c r="K44" s="9"/>
      <c r="L44" s="12"/>
      <c r="M44" s="393">
        <f>IF(OR(EET!BU19&gt;0,Q44=""),1,0)</f>
        <v>0</v>
      </c>
      <c r="N44" s="319">
        <v>12100</v>
      </c>
      <c r="O44" s="319"/>
      <c r="P44" s="319"/>
      <c r="Q44" s="3" t="b">
        <v>1</v>
      </c>
      <c r="R44" s="319"/>
      <c r="S44" s="319"/>
      <c r="T44" s="319"/>
      <c r="U44" s="319"/>
      <c r="V44" s="309" t="b">
        <v>1</v>
      </c>
      <c r="W44" s="319" t="b">
        <v>1</v>
      </c>
      <c r="X44" s="319"/>
      <c r="Y44" s="319"/>
      <c r="Z44" s="319"/>
      <c r="AA44" s="319"/>
      <c r="AB44" s="319"/>
      <c r="AC44" s="319"/>
      <c r="AD44" s="319"/>
      <c r="AE44" s="319"/>
      <c r="AF44" s="319"/>
      <c r="AG44" s="319"/>
      <c r="AO44" s="319"/>
      <c r="AP44" s="1014">
        <v>87</v>
      </c>
      <c r="AQ44" s="1004">
        <v>10</v>
      </c>
      <c r="AR44" s="1006">
        <v>87</v>
      </c>
      <c r="AS44" s="1004">
        <v>17</v>
      </c>
      <c r="AT44" s="1006">
        <v>87</v>
      </c>
      <c r="AU44" s="1004">
        <v>9</v>
      </c>
      <c r="AV44" s="319"/>
      <c r="AW44" s="319"/>
      <c r="AX44" s="319"/>
      <c r="AY44" s="319"/>
      <c r="AZ44" s="319"/>
      <c r="BA44" s="319"/>
      <c r="BB44" s="319"/>
      <c r="BC44" s="319"/>
      <c r="BD44" s="319"/>
      <c r="BE44" s="319"/>
      <c r="BF44" s="319"/>
      <c r="BG44" s="319"/>
      <c r="BH44" s="319"/>
      <c r="BI44" s="319"/>
      <c r="BJ44" s="319"/>
      <c r="BK44" s="319"/>
      <c r="BL44" s="319"/>
      <c r="BM44" s="319"/>
      <c r="BN44" s="319"/>
      <c r="BO44" s="319"/>
      <c r="BP44" s="319"/>
      <c r="BQ44" s="319"/>
      <c r="BR44" s="319"/>
      <c r="BS44" s="319"/>
      <c r="BT44" s="319"/>
      <c r="BU44" s="319"/>
      <c r="BV44" s="319"/>
      <c r="BW44" s="319"/>
      <c r="BX44" s="319"/>
      <c r="BY44" s="319"/>
      <c r="BZ44" s="319"/>
      <c r="CA44" s="319"/>
      <c r="CB44" s="319"/>
      <c r="CC44" s="319"/>
      <c r="CD44" s="319"/>
      <c r="CE44" s="319"/>
      <c r="CF44" s="319"/>
      <c r="CG44" s="319"/>
      <c r="CH44" s="319"/>
      <c r="CI44" s="319"/>
      <c r="CJ44" s="319"/>
      <c r="CK44" s="319"/>
    </row>
    <row r="45" spans="1:89" ht="13.2" hidden="1">
      <c r="A45" s="12"/>
      <c r="B45" s="329" t="str">
        <f>IF(EET!D20="","",EET!D20)</f>
        <v/>
      </c>
      <c r="C45" s="30">
        <f>IF($R$39=1,0,IF($R$39=2,EET!AL20,0))*$V$35</f>
        <v>0</v>
      </c>
      <c r="D45" s="30" t="s">
        <v>637</v>
      </c>
      <c r="E45" s="30" t="s">
        <v>637</v>
      </c>
      <c r="F45" s="290">
        <f>EET!E20</f>
        <v>0</v>
      </c>
      <c r="G45" s="30">
        <f>EET!F20</f>
        <v>0</v>
      </c>
      <c r="H45" s="30">
        <f>EET!G20</f>
        <v>0</v>
      </c>
      <c r="I45" s="140" t="str">
        <f t="shared" si="3"/>
        <v>-</v>
      </c>
      <c r="J45" s="1017" t="s">
        <v>4190</v>
      </c>
      <c r="K45" s="9"/>
      <c r="L45" s="12"/>
      <c r="M45" s="393">
        <f>IF(OR(EET!BU20&gt;0,Q45=""),1,0)</f>
        <v>0</v>
      </c>
      <c r="N45" s="319">
        <v>12100</v>
      </c>
      <c r="O45" s="319"/>
      <c r="P45" s="319"/>
      <c r="Q45" s="3" t="b">
        <v>1</v>
      </c>
      <c r="R45" s="319"/>
      <c r="S45" s="319"/>
      <c r="T45" s="319"/>
      <c r="U45" s="319"/>
      <c r="V45" s="309" t="b">
        <v>1</v>
      </c>
      <c r="W45" s="319" t="b">
        <v>1</v>
      </c>
      <c r="X45" s="319"/>
      <c r="Y45" s="319"/>
      <c r="Z45" s="319"/>
      <c r="AA45" s="319"/>
      <c r="AB45" s="319"/>
      <c r="AC45" s="319"/>
      <c r="AD45" s="319"/>
      <c r="AE45" s="319"/>
      <c r="AF45" s="319"/>
      <c r="AG45" s="319"/>
      <c r="AO45" s="319"/>
      <c r="AP45" s="1014">
        <v>89</v>
      </c>
      <c r="AQ45" s="1004">
        <v>10</v>
      </c>
      <c r="AR45" s="1006">
        <v>89</v>
      </c>
      <c r="AS45" s="1004">
        <v>17</v>
      </c>
      <c r="AT45" s="1006">
        <v>89</v>
      </c>
      <c r="AU45" s="1004">
        <v>9</v>
      </c>
      <c r="AV45" s="319"/>
      <c r="AW45" s="319"/>
      <c r="AX45" s="319"/>
      <c r="AY45" s="319"/>
      <c r="AZ45" s="319"/>
      <c r="BA45" s="319"/>
      <c r="BB45" s="319"/>
      <c r="BC45" s="319"/>
      <c r="BD45" s="319"/>
      <c r="BE45" s="319"/>
      <c r="BF45" s="319"/>
      <c r="BG45" s="319"/>
      <c r="BH45" s="319"/>
      <c r="BI45" s="319"/>
      <c r="BJ45" s="319"/>
      <c r="BK45" s="319"/>
      <c r="BL45" s="319"/>
      <c r="BM45" s="319"/>
      <c r="BN45" s="319"/>
      <c r="BO45" s="319"/>
      <c r="BP45" s="319"/>
      <c r="BQ45" s="319"/>
      <c r="BR45" s="319"/>
      <c r="BS45" s="319"/>
      <c r="BT45" s="319"/>
      <c r="BU45" s="319"/>
      <c r="BV45" s="319"/>
      <c r="BW45" s="319"/>
      <c r="BX45" s="319"/>
      <c r="BY45" s="319"/>
      <c r="BZ45" s="319"/>
      <c r="CA45" s="319"/>
      <c r="CB45" s="319"/>
      <c r="CC45" s="319"/>
      <c r="CD45" s="319"/>
      <c r="CE45" s="319"/>
      <c r="CF45" s="319"/>
      <c r="CG45" s="319"/>
      <c r="CH45" s="319"/>
      <c r="CI45" s="319"/>
      <c r="CJ45" s="319"/>
      <c r="CK45" s="319"/>
    </row>
    <row r="46" spans="1:89" ht="13.2">
      <c r="A46" s="12"/>
      <c r="B46" s="543" t="str">
        <f>Language!C542</f>
        <v>Sistema de refrigeração</v>
      </c>
      <c r="C46" s="30"/>
      <c r="D46" s="30"/>
      <c r="E46" s="30"/>
      <c r="F46" s="290"/>
      <c r="G46" s="30"/>
      <c r="H46" s="30"/>
      <c r="I46" s="140"/>
      <c r="J46" s="29"/>
      <c r="K46" s="9"/>
      <c r="L46" s="12"/>
      <c r="M46" s="393">
        <f>IF(OR(EET!BU21&gt;0,Q46=""),1,0)</f>
        <v>1</v>
      </c>
      <c r="N46" s="319">
        <v>12110</v>
      </c>
      <c r="O46" s="319"/>
      <c r="P46" s="319"/>
      <c r="Q46" s="319"/>
      <c r="R46" s="319"/>
      <c r="S46" s="319"/>
      <c r="T46" s="319"/>
      <c r="U46" s="319"/>
      <c r="V46" s="309"/>
      <c r="W46" s="319"/>
      <c r="X46" s="319"/>
      <c r="Y46" s="319"/>
      <c r="Z46" s="319"/>
      <c r="AA46" s="319"/>
      <c r="AB46" s="319"/>
      <c r="AC46" s="319"/>
      <c r="AD46" s="319"/>
      <c r="AE46" s="319"/>
      <c r="AF46" s="319"/>
      <c r="AG46" s="319"/>
      <c r="AO46" s="319"/>
      <c r="AP46" s="1014">
        <v>90</v>
      </c>
      <c r="AQ46" s="1004">
        <v>10</v>
      </c>
      <c r="AR46" s="1006">
        <v>90</v>
      </c>
      <c r="AS46" s="1004">
        <v>17</v>
      </c>
      <c r="AT46" s="1006">
        <v>90</v>
      </c>
      <c r="AU46" s="1004">
        <v>9</v>
      </c>
      <c r="AV46" s="319"/>
      <c r="AW46" s="319"/>
      <c r="AX46" s="319"/>
      <c r="AY46" s="319"/>
      <c r="AZ46" s="319"/>
      <c r="BA46" s="319"/>
      <c r="BB46" s="319"/>
      <c r="BC46" s="319"/>
      <c r="BD46" s="319"/>
      <c r="BE46" s="319"/>
      <c r="BF46" s="319"/>
      <c r="BG46" s="319"/>
      <c r="BH46" s="319"/>
      <c r="BI46" s="319"/>
      <c r="BJ46" s="319"/>
      <c r="BK46" s="319"/>
      <c r="BL46" s="319"/>
      <c r="BM46" s="319"/>
      <c r="BN46" s="319"/>
      <c r="BO46" s="319"/>
      <c r="BP46" s="319"/>
      <c r="BQ46" s="319"/>
      <c r="BR46" s="319"/>
      <c r="BS46" s="319"/>
      <c r="BT46" s="319"/>
      <c r="BU46" s="319"/>
      <c r="BV46" s="319"/>
      <c r="BW46" s="319"/>
      <c r="BX46" s="319"/>
      <c r="BY46" s="319"/>
      <c r="BZ46" s="319"/>
      <c r="CA46" s="319"/>
      <c r="CB46" s="319"/>
      <c r="CC46" s="319"/>
      <c r="CD46" s="319"/>
      <c r="CE46" s="319"/>
      <c r="CF46" s="319"/>
      <c r="CG46" s="319"/>
      <c r="CH46" s="319"/>
      <c r="CI46" s="319"/>
      <c r="CJ46" s="319"/>
      <c r="CK46" s="319"/>
    </row>
    <row r="47" spans="1:89" ht="13.2" hidden="1">
      <c r="A47" s="12"/>
      <c r="B47" s="329" t="str">
        <f>IF(EET!D22="","",EET!D22)</f>
        <v/>
      </c>
      <c r="C47" s="30" t="s">
        <v>637</v>
      </c>
      <c r="D47" s="30">
        <f>IF($R$39=1,0,IF($R$39=2,EET!AL22,0))*$V$35</f>
        <v>0</v>
      </c>
      <c r="E47" s="30" t="s">
        <v>637</v>
      </c>
      <c r="F47" s="290">
        <f>EET!E22</f>
        <v>0</v>
      </c>
      <c r="G47" s="30">
        <f>EET!F22</f>
        <v>0</v>
      </c>
      <c r="H47" s="30">
        <f>EET!G22</f>
        <v>0</v>
      </c>
      <c r="I47" s="140" t="str">
        <f>IF(ISERROR(F47/(G47+H47)),"-",F47/(G47+H47))</f>
        <v>-</v>
      </c>
      <c r="J47" s="1017" t="s">
        <v>4190</v>
      </c>
      <c r="K47" s="9"/>
      <c r="L47" s="12"/>
      <c r="M47" s="393">
        <f>IF(OR(EET!BU22&gt;0,Q47=""),1,0)</f>
        <v>0</v>
      </c>
      <c r="N47" s="319">
        <v>12110</v>
      </c>
      <c r="O47" s="319"/>
      <c r="P47" s="319"/>
      <c r="Q47" s="311" t="b">
        <v>1</v>
      </c>
      <c r="R47" s="319"/>
      <c r="S47" s="319"/>
      <c r="T47" s="319"/>
      <c r="U47" s="319"/>
      <c r="V47" s="309" t="b">
        <v>1</v>
      </c>
      <c r="W47" s="309" t="b">
        <v>1</v>
      </c>
      <c r="X47" s="319"/>
      <c r="Y47" s="319"/>
      <c r="Z47" s="319"/>
      <c r="AA47" s="319"/>
      <c r="AB47" s="319"/>
      <c r="AC47" s="319"/>
      <c r="AD47" s="319"/>
      <c r="AE47" s="319"/>
      <c r="AF47" s="319"/>
      <c r="AG47" s="319"/>
      <c r="AO47" s="319"/>
      <c r="AP47" s="1014">
        <v>91</v>
      </c>
      <c r="AQ47" s="1004">
        <v>10</v>
      </c>
      <c r="AR47" s="1006">
        <v>91</v>
      </c>
      <c r="AS47" s="1004">
        <v>17</v>
      </c>
      <c r="AT47" s="1006">
        <v>91</v>
      </c>
      <c r="AU47" s="1004">
        <v>9</v>
      </c>
      <c r="AV47" s="319"/>
      <c r="AW47" s="319"/>
      <c r="AX47" s="319"/>
      <c r="AY47" s="319"/>
      <c r="AZ47" s="319"/>
      <c r="BA47" s="319"/>
      <c r="BB47" s="319"/>
      <c r="BC47" s="319"/>
      <c r="BD47" s="319"/>
      <c r="BE47" s="319"/>
      <c r="BF47" s="319"/>
      <c r="BG47" s="319"/>
      <c r="BH47" s="319"/>
      <c r="BI47" s="319"/>
      <c r="BJ47" s="319"/>
      <c r="BK47" s="319"/>
      <c r="BL47" s="319"/>
      <c r="BM47" s="319"/>
      <c r="BN47" s="319"/>
      <c r="BO47" s="319"/>
      <c r="BP47" s="319"/>
      <c r="BQ47" s="319"/>
      <c r="BR47" s="319"/>
      <c r="BS47" s="319"/>
      <c r="BT47" s="319"/>
      <c r="BU47" s="319"/>
      <c r="BV47" s="319"/>
      <c r="BW47" s="319"/>
      <c r="BX47" s="319"/>
      <c r="BY47" s="319"/>
      <c r="BZ47" s="319"/>
      <c r="CA47" s="319"/>
      <c r="CB47" s="319"/>
      <c r="CC47" s="319"/>
      <c r="CD47" s="319"/>
      <c r="CE47" s="319"/>
      <c r="CF47" s="319"/>
      <c r="CG47" s="319"/>
      <c r="CH47" s="319"/>
      <c r="CI47" s="319"/>
      <c r="CJ47" s="319"/>
      <c r="CK47" s="319"/>
    </row>
    <row r="48" spans="1:89" ht="13.2" hidden="1">
      <c r="A48" s="12"/>
      <c r="B48" s="329" t="str">
        <f>IF(EET!D23="","",EET!D23)</f>
        <v/>
      </c>
      <c r="C48" s="30" t="s">
        <v>637</v>
      </c>
      <c r="D48" s="30">
        <f>IF($R$39=1,0,IF($R$39=2,EET!AL23,0))*$V$35</f>
        <v>0</v>
      </c>
      <c r="E48" s="30" t="s">
        <v>637</v>
      </c>
      <c r="F48" s="290">
        <f>EET!E23</f>
        <v>0</v>
      </c>
      <c r="G48" s="30">
        <f>EET!F23</f>
        <v>0</v>
      </c>
      <c r="H48" s="30">
        <f>EET!G23</f>
        <v>0</v>
      </c>
      <c r="I48" s="140" t="str">
        <f t="shared" si="3"/>
        <v>-</v>
      </c>
      <c r="J48" s="1017" t="s">
        <v>4190</v>
      </c>
      <c r="K48" s="9"/>
      <c r="L48" s="12"/>
      <c r="M48" s="393">
        <f>IF(OR(EET!BU23&gt;0,Q48=""),1,0)</f>
        <v>0</v>
      </c>
      <c r="N48" s="319">
        <v>12110</v>
      </c>
      <c r="O48" s="319"/>
      <c r="P48" s="319"/>
      <c r="Q48" s="3" t="b">
        <v>1</v>
      </c>
      <c r="R48" s="319"/>
      <c r="S48" s="319"/>
      <c r="T48" s="319"/>
      <c r="U48" s="319"/>
      <c r="V48" s="309" t="b">
        <v>1</v>
      </c>
      <c r="W48" s="319" t="b">
        <v>1</v>
      </c>
      <c r="X48" s="319"/>
      <c r="Y48" s="319"/>
      <c r="Z48" s="319"/>
      <c r="AA48" s="319"/>
      <c r="AB48" s="319"/>
      <c r="AC48" s="319"/>
      <c r="AD48" s="319"/>
      <c r="AE48" s="319"/>
      <c r="AF48" s="319"/>
      <c r="AG48" s="319"/>
      <c r="AO48" s="319"/>
      <c r="AP48" s="1014">
        <v>92</v>
      </c>
      <c r="AQ48" s="1004">
        <v>10</v>
      </c>
      <c r="AR48" s="1006">
        <v>92</v>
      </c>
      <c r="AS48" s="1004">
        <v>17</v>
      </c>
      <c r="AT48" s="1006">
        <v>92</v>
      </c>
      <c r="AU48" s="1004">
        <v>9</v>
      </c>
      <c r="AV48" s="319"/>
      <c r="AW48" s="319"/>
      <c r="AX48" s="319"/>
      <c r="AY48" s="319"/>
      <c r="AZ48" s="319"/>
      <c r="BA48" s="319"/>
      <c r="BB48" s="319"/>
      <c r="BC48" s="319"/>
      <c r="BD48" s="319"/>
      <c r="BE48" s="319"/>
      <c r="BF48" s="319"/>
      <c r="BG48" s="319"/>
      <c r="BH48" s="319"/>
      <c r="BI48" s="319"/>
      <c r="BJ48" s="319"/>
      <c r="BK48" s="319"/>
      <c r="BL48" s="319"/>
      <c r="BM48" s="319"/>
      <c r="BN48" s="319"/>
      <c r="BO48" s="319"/>
      <c r="BP48" s="319"/>
      <c r="BQ48" s="319"/>
      <c r="BR48" s="319"/>
      <c r="BS48" s="319"/>
      <c r="BT48" s="319"/>
      <c r="BU48" s="319"/>
      <c r="BV48" s="319"/>
      <c r="BW48" s="319"/>
      <c r="BX48" s="319"/>
      <c r="BY48" s="319"/>
      <c r="BZ48" s="319"/>
      <c r="CA48" s="319"/>
      <c r="CB48" s="319"/>
      <c r="CC48" s="319"/>
      <c r="CD48" s="319"/>
      <c r="CE48" s="319"/>
      <c r="CF48" s="319"/>
      <c r="CG48" s="319"/>
      <c r="CH48" s="319"/>
      <c r="CI48" s="319"/>
      <c r="CJ48" s="319"/>
      <c r="CK48" s="319"/>
    </row>
    <row r="49" spans="1:89" ht="13.2" hidden="1">
      <c r="A49" s="12"/>
      <c r="B49" s="329" t="str">
        <f>IF(EET!D24="","",EET!D24)</f>
        <v/>
      </c>
      <c r="C49" s="30" t="s">
        <v>637</v>
      </c>
      <c r="D49" s="30">
        <f>IF($R$39=1,0,IF($R$39=2,EET!AL24,0))*$V$35</f>
        <v>0</v>
      </c>
      <c r="E49" s="30" t="s">
        <v>637</v>
      </c>
      <c r="F49" s="290">
        <f>EET!E24</f>
        <v>0</v>
      </c>
      <c r="G49" s="30">
        <f>EET!F24</f>
        <v>0</v>
      </c>
      <c r="H49" s="30">
        <f>EET!G24</f>
        <v>0</v>
      </c>
      <c r="I49" s="140" t="str">
        <f t="shared" si="3"/>
        <v>-</v>
      </c>
      <c r="J49" s="1017" t="s">
        <v>4190</v>
      </c>
      <c r="K49" s="9"/>
      <c r="L49" s="12"/>
      <c r="M49" s="393">
        <f>IF(OR(EET!BU24&gt;0,Q49=""),1,0)</f>
        <v>0</v>
      </c>
      <c r="N49" s="319">
        <v>12110</v>
      </c>
      <c r="O49" s="319"/>
      <c r="P49" s="319"/>
      <c r="Q49" s="3" t="b">
        <v>1</v>
      </c>
      <c r="R49" s="319"/>
      <c r="S49" s="319"/>
      <c r="T49" s="319"/>
      <c r="U49" s="319"/>
      <c r="V49" s="309" t="b">
        <v>1</v>
      </c>
      <c r="W49" s="319" t="b">
        <v>1</v>
      </c>
      <c r="X49" s="319"/>
      <c r="Y49" s="319"/>
      <c r="Z49" s="319"/>
      <c r="AA49" s="319"/>
      <c r="AB49" s="319"/>
      <c r="AC49" s="319"/>
      <c r="AD49" s="319"/>
      <c r="AE49" s="319"/>
      <c r="AF49" s="319"/>
      <c r="AG49" s="319"/>
      <c r="AO49" s="319"/>
      <c r="AP49" s="1014">
        <v>93</v>
      </c>
      <c r="AQ49" s="1004">
        <v>10</v>
      </c>
      <c r="AR49" s="1006">
        <v>93</v>
      </c>
      <c r="AS49" s="1004">
        <v>17</v>
      </c>
      <c r="AT49" s="1006">
        <v>93</v>
      </c>
      <c r="AU49" s="1004">
        <v>9</v>
      </c>
      <c r="AV49" s="319"/>
      <c r="AW49" s="319"/>
      <c r="AX49" s="319"/>
      <c r="AY49" s="319"/>
      <c r="AZ49" s="319"/>
      <c r="BA49" s="319"/>
      <c r="BB49" s="319"/>
      <c r="BC49" s="319"/>
      <c r="BD49" s="319"/>
      <c r="BE49" s="319"/>
      <c r="BF49" s="319"/>
      <c r="BG49" s="319"/>
      <c r="BH49" s="319"/>
      <c r="BI49" s="319"/>
      <c r="BJ49" s="319"/>
      <c r="BK49" s="319"/>
      <c r="BL49" s="319"/>
      <c r="BM49" s="319"/>
      <c r="BN49" s="319"/>
      <c r="BO49" s="319"/>
      <c r="BP49" s="319"/>
      <c r="BQ49" s="319"/>
      <c r="BR49" s="319"/>
      <c r="BS49" s="319"/>
      <c r="BT49" s="319"/>
      <c r="BU49" s="319"/>
      <c r="BV49" s="319"/>
      <c r="BW49" s="319"/>
      <c r="BX49" s="319"/>
      <c r="BY49" s="319"/>
      <c r="BZ49" s="319"/>
      <c r="CA49" s="319"/>
      <c r="CB49" s="319"/>
      <c r="CC49" s="319"/>
      <c r="CD49" s="319"/>
      <c r="CE49" s="319"/>
      <c r="CF49" s="319"/>
      <c r="CG49" s="319"/>
      <c r="CH49" s="319"/>
      <c r="CI49" s="319"/>
      <c r="CJ49" s="319"/>
      <c r="CK49" s="319"/>
    </row>
    <row r="50" spans="1:89" ht="13.2" hidden="1">
      <c r="A50" s="12"/>
      <c r="B50" s="329" t="str">
        <f>IF(EET!D25="","",EET!D25)</f>
        <v/>
      </c>
      <c r="C50" s="30" t="s">
        <v>637</v>
      </c>
      <c r="D50" s="30">
        <f>IF($R$39=1,0,IF($R$39=2,EET!AL25,0))*$V$35</f>
        <v>0</v>
      </c>
      <c r="E50" s="30" t="s">
        <v>637</v>
      </c>
      <c r="F50" s="290">
        <f>EET!E25</f>
        <v>0</v>
      </c>
      <c r="G50" s="30">
        <f>EET!F25</f>
        <v>0</v>
      </c>
      <c r="H50" s="30">
        <f>EET!G25</f>
        <v>0</v>
      </c>
      <c r="I50" s="140" t="str">
        <f t="shared" si="3"/>
        <v>-</v>
      </c>
      <c r="J50" s="1017" t="s">
        <v>4190</v>
      </c>
      <c r="K50" s="9"/>
      <c r="L50" s="12"/>
      <c r="M50" s="393">
        <f>IF(OR(EET!BU25&gt;0,Q50=""),1,0)</f>
        <v>0</v>
      </c>
      <c r="N50" s="319">
        <v>12110</v>
      </c>
      <c r="O50" s="319"/>
      <c r="P50" s="319"/>
      <c r="Q50" s="3" t="b">
        <v>1</v>
      </c>
      <c r="R50" s="319"/>
      <c r="S50" s="319"/>
      <c r="T50" s="319"/>
      <c r="U50" s="319"/>
      <c r="V50" s="309" t="b">
        <v>1</v>
      </c>
      <c r="W50" s="319" t="b">
        <v>1</v>
      </c>
      <c r="X50" s="319"/>
      <c r="Y50" s="319"/>
      <c r="Z50" s="319"/>
      <c r="AA50" s="319"/>
      <c r="AB50" s="319"/>
      <c r="AC50" s="319"/>
      <c r="AD50" s="319"/>
      <c r="AE50" s="319"/>
      <c r="AF50" s="319"/>
      <c r="AG50" s="319"/>
      <c r="AO50" s="319"/>
      <c r="AP50" s="1014">
        <v>95</v>
      </c>
      <c r="AQ50" s="1004">
        <v>10</v>
      </c>
      <c r="AR50" s="1006">
        <v>95</v>
      </c>
      <c r="AS50" s="1004">
        <v>17</v>
      </c>
      <c r="AT50" s="1006">
        <v>95</v>
      </c>
      <c r="AU50" s="1004">
        <v>9</v>
      </c>
      <c r="AV50" s="319"/>
      <c r="AW50" s="319"/>
      <c r="AX50" s="319"/>
      <c r="AY50" s="319"/>
      <c r="AZ50" s="319"/>
      <c r="BA50" s="319"/>
      <c r="BB50" s="319"/>
      <c r="BC50" s="319"/>
      <c r="BD50" s="319"/>
      <c r="BE50" s="319"/>
      <c r="BF50" s="319"/>
      <c r="BG50" s="319"/>
      <c r="BH50" s="319"/>
      <c r="BI50" s="319"/>
      <c r="BJ50" s="319"/>
      <c r="BK50" s="319"/>
      <c r="BL50" s="319"/>
      <c r="BM50" s="319"/>
      <c r="BN50" s="319"/>
      <c r="BO50" s="319"/>
      <c r="BP50" s="319"/>
      <c r="BQ50" s="319"/>
      <c r="BR50" s="319"/>
      <c r="BS50" s="319"/>
      <c r="BT50" s="319"/>
      <c r="BU50" s="319"/>
      <c r="BV50" s="319"/>
      <c r="BW50" s="319"/>
      <c r="BX50" s="319"/>
      <c r="BY50" s="319"/>
      <c r="BZ50" s="319"/>
      <c r="CA50" s="319"/>
      <c r="CB50" s="319"/>
      <c r="CC50" s="319"/>
      <c r="CD50" s="319"/>
      <c r="CE50" s="319"/>
      <c r="CF50" s="319"/>
      <c r="CG50" s="319"/>
      <c r="CH50" s="319"/>
      <c r="CI50" s="319"/>
      <c r="CJ50" s="319"/>
      <c r="CK50" s="319"/>
    </row>
    <row r="51" spans="1:89" ht="13.2" hidden="1">
      <c r="A51" s="12"/>
      <c r="B51" s="329" t="str">
        <f>IF(EET!D26="","",EET!D26)</f>
        <v/>
      </c>
      <c r="C51" s="30" t="s">
        <v>637</v>
      </c>
      <c r="D51" s="30">
        <f>IF($R$39=1,0,IF($R$39=2,EET!AL26,0))*$V$35</f>
        <v>0</v>
      </c>
      <c r="E51" s="30" t="s">
        <v>637</v>
      </c>
      <c r="F51" s="290">
        <f>EET!E26</f>
        <v>0</v>
      </c>
      <c r="G51" s="30">
        <f>EET!F26</f>
        <v>0</v>
      </c>
      <c r="H51" s="30">
        <f>EET!G26</f>
        <v>0</v>
      </c>
      <c r="I51" s="140" t="str">
        <f t="shared" si="3"/>
        <v>-</v>
      </c>
      <c r="J51" s="1017" t="s">
        <v>4190</v>
      </c>
      <c r="K51" s="9"/>
      <c r="L51" s="12"/>
      <c r="M51" s="393">
        <f>IF(OR(EET!BU26&gt;0,Q51=""),1,0)</f>
        <v>0</v>
      </c>
      <c r="N51" s="319">
        <v>12110</v>
      </c>
      <c r="O51" s="319"/>
      <c r="P51" s="319"/>
      <c r="Q51" s="3" t="b">
        <v>1</v>
      </c>
      <c r="R51" s="319"/>
      <c r="S51" s="319"/>
      <c r="T51" s="319"/>
      <c r="U51" s="319"/>
      <c r="V51" s="309" t="b">
        <v>1</v>
      </c>
      <c r="W51" s="319" t="b">
        <v>1</v>
      </c>
      <c r="X51" s="319"/>
      <c r="Y51" s="319"/>
      <c r="Z51" s="319"/>
      <c r="AA51" s="319"/>
      <c r="AB51" s="319"/>
      <c r="AC51" s="319"/>
      <c r="AD51" s="319"/>
      <c r="AE51" s="319"/>
      <c r="AF51" s="319"/>
      <c r="AG51" s="319"/>
      <c r="AO51" s="319"/>
      <c r="AP51" s="1014">
        <v>96</v>
      </c>
      <c r="AQ51" s="1004">
        <v>10</v>
      </c>
      <c r="AR51" s="1006">
        <v>96</v>
      </c>
      <c r="AS51" s="1004">
        <v>17</v>
      </c>
      <c r="AT51" s="1006">
        <v>96</v>
      </c>
      <c r="AU51" s="1004">
        <v>9</v>
      </c>
      <c r="AV51" s="319"/>
      <c r="AW51" s="319"/>
      <c r="AX51" s="319"/>
      <c r="AY51" s="319"/>
      <c r="AZ51" s="319"/>
      <c r="BA51" s="319"/>
      <c r="BB51" s="319"/>
      <c r="BC51" s="319"/>
      <c r="BD51" s="319"/>
      <c r="BE51" s="319"/>
      <c r="BF51" s="319"/>
      <c r="BG51" s="319"/>
      <c r="BH51" s="319"/>
      <c r="BI51" s="319"/>
      <c r="BJ51" s="319"/>
      <c r="BK51" s="319"/>
      <c r="BL51" s="319"/>
      <c r="BM51" s="319"/>
      <c r="BN51" s="319"/>
      <c r="BO51" s="319"/>
      <c r="BP51" s="319"/>
      <c r="BQ51" s="319"/>
      <c r="BR51" s="319"/>
      <c r="BS51" s="319"/>
      <c r="BT51" s="319"/>
      <c r="BU51" s="319"/>
      <c r="BV51" s="319"/>
      <c r="BW51" s="319"/>
      <c r="BX51" s="319"/>
      <c r="BY51" s="319"/>
      <c r="BZ51" s="319"/>
      <c r="CA51" s="319"/>
      <c r="CB51" s="319"/>
      <c r="CC51" s="319"/>
      <c r="CD51" s="319"/>
      <c r="CE51" s="319"/>
      <c r="CF51" s="319"/>
      <c r="CG51" s="319"/>
      <c r="CH51" s="319"/>
      <c r="CI51" s="319"/>
      <c r="CJ51" s="319"/>
      <c r="CK51" s="319"/>
    </row>
    <row r="52" spans="1:89" ht="13.2">
      <c r="A52" s="12"/>
      <c r="B52" s="544" t="str">
        <f>Language!C2328</f>
        <v>Invólucro do prédio</v>
      </c>
      <c r="C52" s="86"/>
      <c r="D52" s="86"/>
      <c r="E52" s="86"/>
      <c r="F52" s="432"/>
      <c r="G52" s="86"/>
      <c r="H52" s="86"/>
      <c r="I52" s="244"/>
      <c r="J52" s="85"/>
      <c r="K52" s="9"/>
      <c r="L52" s="12"/>
      <c r="M52" s="393">
        <f>IF(OR(EET!BU27&gt;0,Q52=""),1,0)</f>
        <v>1</v>
      </c>
      <c r="N52" s="319">
        <v>12120</v>
      </c>
      <c r="O52" s="319"/>
      <c r="P52" s="319"/>
      <c r="Q52" s="319"/>
      <c r="R52" s="319"/>
      <c r="S52" s="319"/>
      <c r="T52" s="319"/>
      <c r="U52" s="319"/>
      <c r="V52" s="309"/>
      <c r="W52" s="319"/>
      <c r="X52" s="319"/>
      <c r="Y52" s="319"/>
      <c r="Z52" s="319"/>
      <c r="AA52" s="319"/>
      <c r="AB52" s="319"/>
      <c r="AC52" s="319"/>
      <c r="AD52" s="319"/>
      <c r="AE52" s="319"/>
      <c r="AF52" s="319"/>
      <c r="AG52" s="319"/>
      <c r="AO52" s="319"/>
      <c r="AP52" s="1014">
        <v>97</v>
      </c>
      <c r="AQ52" s="1004">
        <v>10</v>
      </c>
      <c r="AR52" s="1006">
        <v>97</v>
      </c>
      <c r="AS52" s="1004">
        <v>17</v>
      </c>
      <c r="AT52" s="1006">
        <v>97</v>
      </c>
      <c r="AU52" s="1004">
        <v>9</v>
      </c>
      <c r="AV52" s="319"/>
      <c r="AW52" s="319"/>
      <c r="AX52" s="319"/>
      <c r="AY52" s="319"/>
      <c r="AZ52" s="319"/>
      <c r="BA52" s="319"/>
      <c r="BB52" s="319"/>
      <c r="BC52" s="319"/>
      <c r="BD52" s="319"/>
      <c r="BE52" s="319"/>
      <c r="BF52" s="319"/>
      <c r="BG52" s="319"/>
      <c r="BH52" s="319"/>
      <c r="BI52" s="319"/>
      <c r="BJ52" s="319"/>
      <c r="BK52" s="319"/>
      <c r="BL52" s="319"/>
      <c r="BM52" s="319"/>
      <c r="BN52" s="319"/>
      <c r="BO52" s="319"/>
      <c r="BP52" s="319"/>
      <c r="BQ52" s="319"/>
      <c r="BR52" s="319"/>
      <c r="BS52" s="319"/>
      <c r="BT52" s="319"/>
      <c r="BU52" s="319"/>
      <c r="BV52" s="319"/>
      <c r="BW52" s="319"/>
      <c r="BX52" s="319"/>
      <c r="BY52" s="319"/>
      <c r="BZ52" s="319"/>
      <c r="CA52" s="319"/>
      <c r="CB52" s="319"/>
      <c r="CC52" s="319"/>
      <c r="CD52" s="319"/>
      <c r="CE52" s="319"/>
      <c r="CF52" s="319"/>
      <c r="CG52" s="319"/>
      <c r="CH52" s="319"/>
      <c r="CI52" s="319"/>
      <c r="CJ52" s="319"/>
      <c r="CK52" s="319"/>
    </row>
    <row r="53" spans="1:89" ht="13.2" hidden="1">
      <c r="A53" s="12"/>
      <c r="B53" s="329" t="str">
        <f>IF(EET!D28="","",EET!D28)</f>
        <v/>
      </c>
      <c r="C53" s="30">
        <f>IF($R$39=1,EET!X28,IF($R$39=2,EET!AG28,IF($R$39=3,EET!AF28,IF($R$39=4,EET!T28,IF($R$39=5,EET!AB28,EET!T28-EET!AB28)))))*$V$35</f>
        <v>0</v>
      </c>
      <c r="D53" s="30">
        <f>IF($R$39=1,EET!AS28,IF($R$39=2,EET!BB28,IF($R$39=3,EET!BA28,IF($R$39=4,EET!AO28,IF($R$39=5,EET!AW28,EET!AO28-EET!AW28)))))*$V$35</f>
        <v>0</v>
      </c>
      <c r="E53" s="30" t="s">
        <v>637</v>
      </c>
      <c r="F53" s="290">
        <f>EET!E28</f>
        <v>0</v>
      </c>
      <c r="G53" s="30">
        <f>EET!F28</f>
        <v>0</v>
      </c>
      <c r="H53" s="30">
        <f>EET!G28</f>
        <v>0</v>
      </c>
      <c r="I53" s="140" t="str">
        <f>IF(ISERROR(F53/(G53+H53)),"-",F53/(G53+H53))</f>
        <v>-</v>
      </c>
      <c r="J53" s="1017" t="s">
        <v>4190</v>
      </c>
      <c r="K53" s="9"/>
      <c r="L53" s="12"/>
      <c r="M53" s="393">
        <f>IF(OR(EET!BU28&gt;0,Q53=""),1,0)</f>
        <v>0</v>
      </c>
      <c r="N53" s="319">
        <v>12120</v>
      </c>
      <c r="O53" s="319"/>
      <c r="P53" s="319"/>
      <c r="Q53" s="311" t="b">
        <v>1</v>
      </c>
      <c r="R53" s="319"/>
      <c r="S53" s="319"/>
      <c r="T53" s="319"/>
      <c r="U53" s="319"/>
      <c r="V53" s="309" t="b">
        <v>1</v>
      </c>
      <c r="W53" s="309" t="b">
        <v>1</v>
      </c>
      <c r="X53" s="319"/>
      <c r="Y53" s="319"/>
      <c r="Z53" s="319"/>
      <c r="AA53" s="319"/>
      <c r="AB53" s="319"/>
      <c r="AC53" s="319"/>
      <c r="AD53" s="319"/>
      <c r="AE53" s="319"/>
      <c r="AF53" s="319"/>
      <c r="AG53" s="319"/>
      <c r="AO53" s="319"/>
      <c r="AP53" s="1014">
        <v>98</v>
      </c>
      <c r="AQ53" s="1004">
        <v>10</v>
      </c>
      <c r="AR53" s="1006">
        <v>98</v>
      </c>
      <c r="AS53" s="1004">
        <v>17</v>
      </c>
      <c r="AT53" s="1006">
        <v>98</v>
      </c>
      <c r="AU53" s="1004">
        <v>9</v>
      </c>
      <c r="AV53" s="319"/>
      <c r="AW53" s="319"/>
      <c r="AX53" s="319"/>
      <c r="AY53" s="319"/>
      <c r="AZ53" s="319"/>
      <c r="BA53" s="319"/>
      <c r="BB53" s="319"/>
      <c r="BC53" s="319"/>
      <c r="BD53" s="319"/>
      <c r="BE53" s="319"/>
      <c r="BF53" s="319"/>
      <c r="BG53" s="319"/>
      <c r="BH53" s="319"/>
      <c r="BI53" s="319"/>
      <c r="BJ53" s="319"/>
      <c r="BK53" s="319"/>
      <c r="BL53" s="319"/>
      <c r="BM53" s="319"/>
      <c r="BN53" s="319"/>
      <c r="BO53" s="319"/>
      <c r="BP53" s="319"/>
      <c r="BQ53" s="319"/>
      <c r="BR53" s="319"/>
      <c r="BS53" s="319"/>
      <c r="BT53" s="319"/>
      <c r="BU53" s="319"/>
      <c r="BV53" s="319"/>
      <c r="BW53" s="319"/>
      <c r="BX53" s="319"/>
      <c r="BY53" s="319"/>
      <c r="BZ53" s="319"/>
      <c r="CA53" s="319"/>
      <c r="CB53" s="319"/>
      <c r="CC53" s="319"/>
      <c r="CD53" s="319"/>
      <c r="CE53" s="319"/>
      <c r="CF53" s="319"/>
      <c r="CG53" s="319"/>
      <c r="CH53" s="319"/>
      <c r="CI53" s="319"/>
      <c r="CJ53" s="319"/>
      <c r="CK53" s="319"/>
    </row>
    <row r="54" spans="1:89" ht="13.2" hidden="1">
      <c r="A54" s="12"/>
      <c r="B54" s="329" t="str">
        <f>IF(EET!D29="","",EET!D29)</f>
        <v/>
      </c>
      <c r="C54" s="30">
        <f>IF($R$39=1,EET!X29,IF($R$39=2,EET!AG29,IF($R$39=3,EET!AF29,IF($R$39=4,EET!T29,IF($R$39=5,EET!AB29,EET!T29-EET!AB29)))))*$V$35</f>
        <v>0</v>
      </c>
      <c r="D54" s="30">
        <f>IF($R$39=1,EET!AS29,IF($R$39=2,EET!BB29,IF($R$39=3,EET!BA29,IF($R$39=4,EET!AO29,IF($R$39=5,EET!AW29,EET!AO29-EET!AW29)))))*$V$35</f>
        <v>0</v>
      </c>
      <c r="E54" s="30" t="s">
        <v>637</v>
      </c>
      <c r="F54" s="290">
        <f>EET!E29</f>
        <v>0</v>
      </c>
      <c r="G54" s="30">
        <f>EET!F29</f>
        <v>0</v>
      </c>
      <c r="H54" s="30">
        <f>EET!G29</f>
        <v>0</v>
      </c>
      <c r="I54" s="140" t="str">
        <f t="shared" ref="I54:I117" si="4">IF(ISERROR(F54/(G54+H54)),"-",F54/(G54+H54))</f>
        <v>-</v>
      </c>
      <c r="J54" s="1017" t="s">
        <v>4190</v>
      </c>
      <c r="K54" s="9"/>
      <c r="L54" s="12"/>
      <c r="M54" s="393">
        <f>IF(OR(EET!BU29&gt;0,Q54=""),1,0)</f>
        <v>0</v>
      </c>
      <c r="N54" s="319">
        <v>12120</v>
      </c>
      <c r="O54" s="319"/>
      <c r="P54" s="319"/>
      <c r="Q54" s="3" t="b">
        <v>1</v>
      </c>
      <c r="R54" s="319"/>
      <c r="S54" s="319"/>
      <c r="T54" s="319"/>
      <c r="U54" s="319"/>
      <c r="V54" s="309" t="b">
        <v>1</v>
      </c>
      <c r="W54" s="319" t="b">
        <v>1</v>
      </c>
      <c r="X54" s="319"/>
      <c r="Y54" s="319"/>
      <c r="Z54" s="319"/>
      <c r="AA54" s="319"/>
      <c r="AB54" s="319"/>
      <c r="AC54" s="319"/>
      <c r="AD54" s="319"/>
      <c r="AE54" s="319"/>
      <c r="AF54" s="319"/>
      <c r="AG54" s="319"/>
      <c r="AO54" s="319"/>
      <c r="AP54" s="1014">
        <v>99</v>
      </c>
      <c r="AQ54" s="1004">
        <v>10</v>
      </c>
      <c r="AR54" s="1006">
        <v>99</v>
      </c>
      <c r="AS54" s="1004">
        <v>17</v>
      </c>
      <c r="AT54" s="1006">
        <v>99</v>
      </c>
      <c r="AU54" s="1004">
        <v>9</v>
      </c>
      <c r="AV54" s="319"/>
      <c r="AW54" s="319"/>
      <c r="AX54" s="319"/>
      <c r="AY54" s="319"/>
      <c r="AZ54" s="319"/>
      <c r="BA54" s="319"/>
      <c r="BB54" s="319"/>
      <c r="BC54" s="319"/>
      <c r="BD54" s="319"/>
      <c r="BE54" s="319"/>
      <c r="BF54" s="319"/>
      <c r="BG54" s="319"/>
      <c r="BH54" s="319"/>
      <c r="BI54" s="319"/>
      <c r="BJ54" s="319"/>
      <c r="BK54" s="319"/>
      <c r="BL54" s="319"/>
      <c r="BM54" s="319"/>
      <c r="BN54" s="319"/>
      <c r="BO54" s="319"/>
      <c r="BP54" s="319"/>
      <c r="BQ54" s="319"/>
      <c r="BR54" s="319"/>
      <c r="BS54" s="319"/>
      <c r="BT54" s="319"/>
      <c r="BU54" s="319"/>
      <c r="BV54" s="319"/>
      <c r="BW54" s="319"/>
      <c r="BX54" s="319"/>
      <c r="BY54" s="319"/>
      <c r="BZ54" s="319"/>
      <c r="CA54" s="319"/>
      <c r="CB54" s="319"/>
      <c r="CC54" s="319"/>
      <c r="CD54" s="319"/>
      <c r="CE54" s="319"/>
      <c r="CF54" s="319"/>
      <c r="CG54" s="319"/>
      <c r="CH54" s="319"/>
      <c r="CI54" s="319"/>
      <c r="CJ54" s="319"/>
      <c r="CK54" s="319"/>
    </row>
    <row r="55" spans="1:89" ht="13.2" hidden="1">
      <c r="A55" s="12"/>
      <c r="B55" s="329" t="str">
        <f>IF(EET!D30="","",EET!D30)</f>
        <v/>
      </c>
      <c r="C55" s="30">
        <f>IF($R$39=1,EET!X30,IF($R$39=2,EET!AG30,IF($R$39=3,EET!AF30,IF($R$39=4,EET!T30,IF($R$39=5,EET!AB30,EET!T30-EET!AB30)))))*$V$35</f>
        <v>0</v>
      </c>
      <c r="D55" s="30">
        <f>IF($R$39=1,EET!AS30,IF($R$39=2,EET!BB30,IF($R$39=3,EET!BA30,IF($R$39=4,EET!AO30,IF($R$39=5,EET!AW30,EET!AO30-EET!AW30)))))*$V$35</f>
        <v>0</v>
      </c>
      <c r="E55" s="30" t="s">
        <v>637</v>
      </c>
      <c r="F55" s="290">
        <f>EET!E30</f>
        <v>0</v>
      </c>
      <c r="G55" s="30">
        <f>EET!F30</f>
        <v>0</v>
      </c>
      <c r="H55" s="30">
        <f>EET!G30</f>
        <v>0</v>
      </c>
      <c r="I55" s="140" t="str">
        <f t="shared" si="4"/>
        <v>-</v>
      </c>
      <c r="J55" s="1017" t="s">
        <v>4190</v>
      </c>
      <c r="K55" s="9"/>
      <c r="L55" s="12"/>
      <c r="M55" s="393">
        <f>IF(OR(EET!BU30&gt;0,Q55=""),1,0)</f>
        <v>0</v>
      </c>
      <c r="N55" s="319">
        <v>12120</v>
      </c>
      <c r="O55" s="319"/>
      <c r="P55" s="319"/>
      <c r="Q55" s="3" t="b">
        <v>1</v>
      </c>
      <c r="R55" s="319"/>
      <c r="S55" s="319"/>
      <c r="T55" s="319"/>
      <c r="U55" s="319"/>
      <c r="V55" s="309" t="b">
        <v>1</v>
      </c>
      <c r="W55" s="319" t="b">
        <v>1</v>
      </c>
      <c r="X55" s="319"/>
      <c r="Y55" s="319"/>
      <c r="Z55" s="319"/>
      <c r="AA55" s="319"/>
      <c r="AB55" s="319"/>
      <c r="AC55" s="319"/>
      <c r="AD55" s="319"/>
      <c r="AE55" s="319"/>
      <c r="AF55" s="319"/>
      <c r="AG55" s="319"/>
      <c r="AO55" s="319"/>
      <c r="AP55" s="1014">
        <v>101</v>
      </c>
      <c r="AQ55" s="1004">
        <v>10</v>
      </c>
      <c r="AR55" s="1006">
        <v>101</v>
      </c>
      <c r="AS55" s="1004">
        <v>17</v>
      </c>
      <c r="AT55" s="1006">
        <v>101</v>
      </c>
      <c r="AU55" s="1004">
        <v>9</v>
      </c>
      <c r="AV55" s="319"/>
      <c r="AW55" s="319"/>
      <c r="AX55" s="319"/>
      <c r="AY55" s="319"/>
      <c r="AZ55" s="319"/>
      <c r="BA55" s="319"/>
      <c r="BB55" s="319"/>
      <c r="BC55" s="319"/>
      <c r="BD55" s="319"/>
      <c r="BE55" s="319"/>
      <c r="BF55" s="319"/>
      <c r="BG55" s="319"/>
      <c r="BH55" s="319"/>
      <c r="BI55" s="319"/>
      <c r="BJ55" s="319"/>
      <c r="BK55" s="319"/>
      <c r="BL55" s="319"/>
      <c r="BM55" s="319"/>
      <c r="BN55" s="319"/>
      <c r="BO55" s="319"/>
      <c r="BP55" s="319"/>
      <c r="BQ55" s="319"/>
      <c r="BR55" s="319"/>
      <c r="BS55" s="319"/>
      <c r="BT55" s="319"/>
      <c r="BU55" s="319"/>
      <c r="BV55" s="319"/>
      <c r="BW55" s="319"/>
      <c r="BX55" s="319"/>
      <c r="BY55" s="319"/>
      <c r="BZ55" s="319"/>
      <c r="CA55" s="319"/>
      <c r="CB55" s="319"/>
      <c r="CC55" s="319"/>
      <c r="CD55" s="319"/>
      <c r="CE55" s="319"/>
      <c r="CF55" s="319"/>
      <c r="CG55" s="319"/>
      <c r="CH55" s="319"/>
      <c r="CI55" s="319"/>
      <c r="CJ55" s="319"/>
      <c r="CK55" s="319"/>
    </row>
    <row r="56" spans="1:89" ht="13.2" hidden="1">
      <c r="A56" s="12"/>
      <c r="B56" s="329" t="str">
        <f>IF(EET!D31="","",EET!D31)</f>
        <v/>
      </c>
      <c r="C56" s="30">
        <f>IF($R$39=1,EET!X31,IF($R$39=2,EET!AG31,IF($R$39=3,EET!AF31,IF($R$39=4,EET!T31,IF($R$39=5,EET!AB31,EET!T31-EET!AB31)))))*$V$35</f>
        <v>0</v>
      </c>
      <c r="D56" s="30">
        <f>IF($R$39=1,EET!AS31,IF($R$39=2,EET!BB31,IF($R$39=3,EET!BA31,IF($R$39=4,EET!AO31,IF($R$39=5,EET!AW31,EET!AO31-EET!AW31)))))*$V$35</f>
        <v>0</v>
      </c>
      <c r="E56" s="30" t="s">
        <v>637</v>
      </c>
      <c r="F56" s="290">
        <f>EET!E31</f>
        <v>0</v>
      </c>
      <c r="G56" s="30">
        <f>EET!F31</f>
        <v>0</v>
      </c>
      <c r="H56" s="30">
        <f>EET!G31</f>
        <v>0</v>
      </c>
      <c r="I56" s="140" t="str">
        <f t="shared" si="4"/>
        <v>-</v>
      </c>
      <c r="J56" s="1017" t="s">
        <v>4190</v>
      </c>
      <c r="K56" s="9"/>
      <c r="L56" s="12"/>
      <c r="M56" s="393">
        <f>IF(OR(EET!BU31&gt;0,Q56=""),1,0)</f>
        <v>0</v>
      </c>
      <c r="N56" s="319">
        <v>12120</v>
      </c>
      <c r="O56" s="319"/>
      <c r="P56" s="319"/>
      <c r="Q56" s="3" t="b">
        <v>1</v>
      </c>
      <c r="R56" s="319"/>
      <c r="S56" s="319"/>
      <c r="T56" s="319"/>
      <c r="U56" s="319"/>
      <c r="V56" s="309" t="b">
        <v>1</v>
      </c>
      <c r="W56" s="319" t="b">
        <v>1</v>
      </c>
      <c r="X56" s="319"/>
      <c r="Y56" s="319"/>
      <c r="Z56" s="319"/>
      <c r="AA56" s="319"/>
      <c r="AB56" s="319"/>
      <c r="AC56" s="319"/>
      <c r="AD56" s="319"/>
      <c r="AE56" s="319"/>
      <c r="AF56" s="319"/>
      <c r="AG56" s="319"/>
      <c r="AO56" s="319"/>
      <c r="AP56" s="1014">
        <v>102</v>
      </c>
      <c r="AQ56" s="1004">
        <v>10</v>
      </c>
      <c r="AR56" s="1006">
        <v>102</v>
      </c>
      <c r="AS56" s="1004">
        <v>17</v>
      </c>
      <c r="AT56" s="1006">
        <v>102</v>
      </c>
      <c r="AU56" s="1004">
        <v>9</v>
      </c>
      <c r="AV56" s="319"/>
      <c r="AW56" s="319"/>
      <c r="AX56" s="319"/>
      <c r="AY56" s="319"/>
      <c r="AZ56" s="319"/>
      <c r="BA56" s="319"/>
      <c r="BB56" s="319"/>
      <c r="BC56" s="319"/>
      <c r="BD56" s="319"/>
      <c r="BE56" s="319"/>
      <c r="BF56" s="319"/>
      <c r="BG56" s="319"/>
      <c r="BH56" s="319"/>
      <c r="BI56" s="319"/>
      <c r="BJ56" s="319"/>
      <c r="BK56" s="319"/>
      <c r="BL56" s="319"/>
      <c r="BM56" s="319"/>
      <c r="BN56" s="319"/>
      <c r="BO56" s="319"/>
      <c r="BP56" s="319"/>
      <c r="BQ56" s="319"/>
      <c r="BR56" s="319"/>
      <c r="BS56" s="319"/>
      <c r="BT56" s="319"/>
      <c r="BU56" s="319"/>
      <c r="BV56" s="319"/>
      <c r="BW56" s="319"/>
      <c r="BX56" s="319"/>
      <c r="BY56" s="319"/>
      <c r="BZ56" s="319"/>
      <c r="CA56" s="319"/>
      <c r="CB56" s="319"/>
      <c r="CC56" s="319"/>
      <c r="CD56" s="319"/>
      <c r="CE56" s="319"/>
      <c r="CF56" s="319"/>
      <c r="CG56" s="319"/>
      <c r="CH56" s="319"/>
      <c r="CI56" s="319"/>
      <c r="CJ56" s="319"/>
      <c r="CK56" s="319"/>
    </row>
    <row r="57" spans="1:89" ht="13.2" hidden="1">
      <c r="A57" s="12"/>
      <c r="B57" s="329" t="str">
        <f>IF(EET!D32="","",EET!D32)</f>
        <v/>
      </c>
      <c r="C57" s="30">
        <f>IF($R$39=1,EET!X32,IF($R$39=2,EET!AG32,IF($R$39=3,EET!AF32,IF($R$39=4,EET!T32,IF($R$39=5,EET!AB32,EET!T32-EET!AB32)))))*$V$35</f>
        <v>0</v>
      </c>
      <c r="D57" s="30">
        <f>IF($R$39=1,EET!AS32,IF($R$39=2,EET!BB32,IF($R$39=3,EET!BA32,IF($R$39=4,EET!AO32,IF($R$39=5,EET!AW32,EET!AO32-EET!AW32)))))*$V$35</f>
        <v>0</v>
      </c>
      <c r="E57" s="30" t="s">
        <v>637</v>
      </c>
      <c r="F57" s="290">
        <f>EET!E32</f>
        <v>0</v>
      </c>
      <c r="G57" s="30">
        <f>EET!F32</f>
        <v>0</v>
      </c>
      <c r="H57" s="30">
        <f>EET!G32</f>
        <v>0</v>
      </c>
      <c r="I57" s="140" t="str">
        <f t="shared" si="4"/>
        <v>-</v>
      </c>
      <c r="J57" s="1017" t="s">
        <v>4190</v>
      </c>
      <c r="K57" s="9"/>
      <c r="L57" s="12"/>
      <c r="M57" s="393">
        <f>IF(OR(EET!BU32&gt;0,Q57=""),1,0)</f>
        <v>0</v>
      </c>
      <c r="N57" s="319">
        <v>12120</v>
      </c>
      <c r="O57" s="319"/>
      <c r="P57" s="319"/>
      <c r="Q57" s="3" t="b">
        <v>1</v>
      </c>
      <c r="R57" s="319"/>
      <c r="S57" s="319"/>
      <c r="T57" s="319"/>
      <c r="U57" s="319"/>
      <c r="V57" s="309" t="b">
        <v>1</v>
      </c>
      <c r="W57" s="319" t="b">
        <v>1</v>
      </c>
      <c r="X57" s="319"/>
      <c r="Y57" s="319"/>
      <c r="Z57" s="319"/>
      <c r="AA57" s="319"/>
      <c r="AB57" s="319"/>
      <c r="AC57" s="319"/>
      <c r="AD57" s="319"/>
      <c r="AE57" s="319"/>
      <c r="AF57" s="319"/>
      <c r="AG57" s="319"/>
      <c r="AO57" s="319"/>
      <c r="AP57" s="1014">
        <v>103</v>
      </c>
      <c r="AQ57" s="1004">
        <v>10</v>
      </c>
      <c r="AR57" s="1006">
        <v>103</v>
      </c>
      <c r="AS57" s="1004">
        <v>17</v>
      </c>
      <c r="AT57" s="1006">
        <v>103</v>
      </c>
      <c r="AU57" s="1004">
        <v>9</v>
      </c>
      <c r="AV57" s="319"/>
      <c r="AW57" s="319"/>
      <c r="AX57" s="319"/>
      <c r="AY57" s="319"/>
      <c r="AZ57" s="319"/>
      <c r="BA57" s="319"/>
      <c r="BB57" s="319"/>
      <c r="BC57" s="319"/>
      <c r="BD57" s="319"/>
      <c r="BE57" s="319"/>
      <c r="BF57" s="319"/>
      <c r="BG57" s="319"/>
      <c r="BH57" s="319"/>
      <c r="BI57" s="319"/>
      <c r="BJ57" s="319"/>
      <c r="BK57" s="319"/>
      <c r="BL57" s="319"/>
      <c r="BM57" s="319"/>
      <c r="BN57" s="319"/>
      <c r="BO57" s="319"/>
      <c r="BP57" s="319"/>
      <c r="BQ57" s="319"/>
      <c r="BR57" s="319"/>
      <c r="BS57" s="319"/>
      <c r="BT57" s="319"/>
      <c r="BU57" s="319"/>
      <c r="BV57" s="319"/>
      <c r="BW57" s="319"/>
      <c r="BX57" s="319"/>
      <c r="BY57" s="319"/>
      <c r="BZ57" s="319"/>
      <c r="CA57" s="319"/>
      <c r="CB57" s="319"/>
      <c r="CC57" s="319"/>
      <c r="CD57" s="319"/>
      <c r="CE57" s="319"/>
      <c r="CF57" s="319"/>
      <c r="CG57" s="319"/>
      <c r="CH57" s="319"/>
      <c r="CI57" s="319"/>
      <c r="CJ57" s="319"/>
      <c r="CK57" s="319"/>
    </row>
    <row r="58" spans="1:89" ht="13.2">
      <c r="A58" s="12"/>
      <c r="B58" s="543" t="str">
        <f>Language!C2062</f>
        <v>Ventilação</v>
      </c>
      <c r="C58" s="30"/>
      <c r="D58" s="30"/>
      <c r="E58" s="30"/>
      <c r="F58" s="290"/>
      <c r="G58" s="30"/>
      <c r="H58" s="30"/>
      <c r="I58" s="140"/>
      <c r="J58" s="29"/>
      <c r="K58" s="9"/>
      <c r="L58" s="12"/>
      <c r="M58" s="393">
        <f>IF(OR(EET!BU33&gt;0,Q58=""),1,0)</f>
        <v>1</v>
      </c>
      <c r="N58" s="319">
        <v>12130</v>
      </c>
      <c r="O58" s="319"/>
      <c r="P58" s="319"/>
      <c r="Q58" s="319"/>
      <c r="R58" s="319"/>
      <c r="S58" s="319"/>
      <c r="T58" s="319"/>
      <c r="U58" s="319"/>
      <c r="V58" s="309"/>
      <c r="W58" s="319"/>
      <c r="X58" s="319"/>
      <c r="Y58" s="319"/>
      <c r="Z58" s="319"/>
      <c r="AA58" s="319"/>
      <c r="AB58" s="319"/>
      <c r="AC58" s="319"/>
      <c r="AD58" s="319"/>
      <c r="AE58" s="319"/>
      <c r="AF58" s="319"/>
      <c r="AG58" s="319"/>
      <c r="AO58" s="319"/>
      <c r="AP58" s="1014">
        <v>104</v>
      </c>
      <c r="AQ58" s="1004">
        <v>10</v>
      </c>
      <c r="AR58" s="1006">
        <v>104</v>
      </c>
      <c r="AS58" s="1004">
        <v>17</v>
      </c>
      <c r="AT58" s="1006">
        <v>104</v>
      </c>
      <c r="AU58" s="1004">
        <v>9</v>
      </c>
      <c r="AV58" s="319"/>
      <c r="AW58" s="319"/>
      <c r="AX58" s="319"/>
      <c r="AY58" s="319"/>
      <c r="AZ58" s="319"/>
      <c r="BA58" s="319"/>
      <c r="BB58" s="319"/>
      <c r="BC58" s="319"/>
      <c r="BD58" s="319"/>
      <c r="BE58" s="319"/>
      <c r="BF58" s="319"/>
      <c r="BG58" s="319"/>
      <c r="BH58" s="319"/>
      <c r="BI58" s="319"/>
      <c r="BJ58" s="319"/>
      <c r="BK58" s="319"/>
      <c r="BL58" s="319"/>
      <c r="BM58" s="319"/>
      <c r="BN58" s="319"/>
      <c r="BO58" s="319"/>
      <c r="BP58" s="319"/>
      <c r="BQ58" s="319"/>
      <c r="BR58" s="319"/>
      <c r="BS58" s="319"/>
      <c r="BT58" s="319"/>
      <c r="BU58" s="319"/>
      <c r="BV58" s="319"/>
      <c r="BW58" s="319"/>
      <c r="BX58" s="319"/>
      <c r="BY58" s="319"/>
      <c r="BZ58" s="319"/>
      <c r="CA58" s="319"/>
      <c r="CB58" s="319"/>
      <c r="CC58" s="319"/>
      <c r="CD58" s="319"/>
      <c r="CE58" s="319"/>
      <c r="CF58" s="319"/>
      <c r="CG58" s="319"/>
      <c r="CH58" s="319"/>
      <c r="CI58" s="319"/>
      <c r="CJ58" s="319"/>
      <c r="CK58" s="319"/>
    </row>
    <row r="59" spans="1:89" ht="13.2" hidden="1">
      <c r="A59" s="12"/>
      <c r="B59" s="329" t="str">
        <f>IF(EET!D34="","",EET!D34)</f>
        <v/>
      </c>
      <c r="C59" s="30">
        <f>IF($R$39=1,EET!X34,IF($R$39=2,EET!AG34,IF($R$39=3,EET!AF34,IF($R$39=4,EET!T34,IF($R$39=5,EET!AB34,EET!T34-EET!AB34)))))*$V$35</f>
        <v>0</v>
      </c>
      <c r="D59" s="30">
        <f>IF($R$39=1,EET!AS34,IF($R$39=2,EET!BB34,IF($R$39=3,EET!BA34,IF($R$39=4,EET!AO34,IF($R$39=5,EET!AW34,EET!AO34-EET!AW34)))))*$V$35</f>
        <v>0</v>
      </c>
      <c r="E59" s="30" t="s">
        <v>637</v>
      </c>
      <c r="F59" s="290">
        <f>EET!E34</f>
        <v>0</v>
      </c>
      <c r="G59" s="30">
        <f>EET!F34</f>
        <v>0</v>
      </c>
      <c r="H59" s="30">
        <f>EET!G34</f>
        <v>0</v>
      </c>
      <c r="I59" s="140" t="str">
        <f t="shared" si="4"/>
        <v>-</v>
      </c>
      <c r="J59" s="1017" t="s">
        <v>4190</v>
      </c>
      <c r="K59" s="9"/>
      <c r="L59" s="12"/>
      <c r="M59" s="393">
        <f>IF(OR(EET!BU34&gt;0,Q59=""),1,0)</f>
        <v>0</v>
      </c>
      <c r="N59" s="319">
        <v>12130</v>
      </c>
      <c r="O59" s="319"/>
      <c r="P59" s="319"/>
      <c r="Q59" s="311" t="b">
        <v>1</v>
      </c>
      <c r="R59" s="319"/>
      <c r="S59" s="319"/>
      <c r="T59" s="319"/>
      <c r="U59" s="319"/>
      <c r="V59" s="309" t="b">
        <v>1</v>
      </c>
      <c r="W59" s="309" t="b">
        <v>1</v>
      </c>
      <c r="X59" s="319"/>
      <c r="Y59" s="319"/>
      <c r="Z59" s="319"/>
      <c r="AA59" s="319"/>
      <c r="AB59" s="319"/>
      <c r="AC59" s="319"/>
      <c r="AD59" s="319"/>
      <c r="AE59" s="319"/>
      <c r="AF59" s="319"/>
      <c r="AG59" s="319"/>
      <c r="AO59" s="319"/>
      <c r="AP59" s="1014">
        <v>105</v>
      </c>
      <c r="AQ59" s="1004">
        <v>10</v>
      </c>
      <c r="AR59" s="1006">
        <v>105</v>
      </c>
      <c r="AS59" s="1004">
        <v>17</v>
      </c>
      <c r="AT59" s="1006">
        <v>105</v>
      </c>
      <c r="AU59" s="1004">
        <v>9</v>
      </c>
      <c r="AV59" s="319"/>
      <c r="AW59" s="319"/>
      <c r="AX59" s="319"/>
      <c r="AY59" s="319"/>
      <c r="AZ59" s="319"/>
      <c r="BA59" s="319"/>
      <c r="BB59" s="319"/>
      <c r="BC59" s="319"/>
      <c r="BD59" s="319"/>
      <c r="BE59" s="319"/>
      <c r="BF59" s="319"/>
      <c r="BG59" s="319"/>
      <c r="BH59" s="319"/>
      <c r="BI59" s="319"/>
      <c r="BJ59" s="319"/>
      <c r="BK59" s="319"/>
      <c r="BL59" s="319"/>
      <c r="BM59" s="319"/>
      <c r="BN59" s="319"/>
      <c r="BO59" s="319"/>
      <c r="BP59" s="319"/>
      <c r="BQ59" s="319"/>
      <c r="BR59" s="319"/>
      <c r="BS59" s="319"/>
      <c r="BT59" s="319"/>
      <c r="BU59" s="319"/>
      <c r="BV59" s="319"/>
      <c r="BW59" s="319"/>
      <c r="BX59" s="319"/>
      <c r="BY59" s="319"/>
      <c r="BZ59" s="319"/>
      <c r="CA59" s="319"/>
      <c r="CB59" s="319"/>
      <c r="CC59" s="319"/>
      <c r="CD59" s="319"/>
      <c r="CE59" s="319"/>
      <c r="CF59" s="319"/>
      <c r="CG59" s="319"/>
      <c r="CH59" s="319"/>
      <c r="CI59" s="319"/>
      <c r="CJ59" s="319"/>
      <c r="CK59" s="319"/>
    </row>
    <row r="60" spans="1:89" ht="13.2" hidden="1">
      <c r="A60" s="12"/>
      <c r="B60" s="329" t="str">
        <f>IF(EET!D35="","",EET!D35)</f>
        <v/>
      </c>
      <c r="C60" s="30">
        <f>IF($R$39=1,EET!X35,IF($R$39=2,EET!AG35,IF($R$39=3,EET!AF35,IF($R$39=4,EET!T35,IF($R$39=5,EET!AB35,EET!T35-EET!AB35)))))*$V$35</f>
        <v>0</v>
      </c>
      <c r="D60" s="30">
        <f>IF($R$39=1,EET!AS35,IF($R$39=2,EET!BB35,IF($R$39=3,EET!BA35,IF($R$39=4,EET!AO35,IF($R$39=5,EET!AW35,EET!AO35-EET!AW35)))))*$V$35</f>
        <v>0</v>
      </c>
      <c r="E60" s="30" t="s">
        <v>637</v>
      </c>
      <c r="F60" s="290">
        <f>EET!E35</f>
        <v>0</v>
      </c>
      <c r="G60" s="30">
        <f>EET!F35</f>
        <v>0</v>
      </c>
      <c r="H60" s="30">
        <f>EET!G35</f>
        <v>0</v>
      </c>
      <c r="I60" s="140" t="str">
        <f t="shared" si="4"/>
        <v>-</v>
      </c>
      <c r="J60" s="1017" t="s">
        <v>4190</v>
      </c>
      <c r="K60" s="9"/>
      <c r="L60" s="12"/>
      <c r="M60" s="393">
        <f>IF(OR(EET!BU35&gt;0,Q60=""),1,0)</f>
        <v>0</v>
      </c>
      <c r="N60" s="319">
        <v>12130</v>
      </c>
      <c r="O60" s="319"/>
      <c r="P60" s="319"/>
      <c r="Q60" s="3" t="b">
        <v>1</v>
      </c>
      <c r="R60" s="319"/>
      <c r="S60" s="319"/>
      <c r="T60" s="319"/>
      <c r="U60" s="319"/>
      <c r="V60" s="309" t="b">
        <v>1</v>
      </c>
      <c r="W60" s="319" t="b">
        <v>1</v>
      </c>
      <c r="X60" s="319"/>
      <c r="Y60" s="319"/>
      <c r="Z60" s="319"/>
      <c r="AA60" s="319"/>
      <c r="AB60" s="319"/>
      <c r="AC60" s="319"/>
      <c r="AD60" s="319"/>
      <c r="AE60" s="319"/>
      <c r="AF60" s="319"/>
      <c r="AG60" s="319"/>
      <c r="AO60" s="319"/>
      <c r="AP60" s="1014">
        <v>107</v>
      </c>
      <c r="AQ60" s="1004">
        <v>10</v>
      </c>
      <c r="AR60" s="1006">
        <v>107</v>
      </c>
      <c r="AS60" s="1004">
        <v>17</v>
      </c>
      <c r="AT60" s="1006">
        <v>107</v>
      </c>
      <c r="AU60" s="1004">
        <v>9</v>
      </c>
      <c r="AV60" s="319"/>
      <c r="AW60" s="319"/>
      <c r="AX60" s="319"/>
      <c r="AY60" s="319"/>
      <c r="AZ60" s="319"/>
      <c r="BA60" s="319"/>
      <c r="BB60" s="319"/>
      <c r="BC60" s="319"/>
      <c r="BD60" s="319"/>
      <c r="BE60" s="319"/>
      <c r="BF60" s="319"/>
      <c r="BG60" s="319"/>
      <c r="BH60" s="319"/>
      <c r="BI60" s="319"/>
      <c r="BJ60" s="319"/>
      <c r="BK60" s="319"/>
      <c r="BL60" s="319"/>
      <c r="BM60" s="319"/>
      <c r="BN60" s="319"/>
      <c r="BO60" s="319"/>
      <c r="BP60" s="319"/>
      <c r="BQ60" s="319"/>
      <c r="BR60" s="319"/>
      <c r="BS60" s="319"/>
      <c r="BT60" s="319"/>
      <c r="BU60" s="319"/>
      <c r="BV60" s="319"/>
      <c r="BW60" s="319"/>
      <c r="BX60" s="319"/>
      <c r="BY60" s="319"/>
      <c r="BZ60" s="319"/>
      <c r="CA60" s="319"/>
      <c r="CB60" s="319"/>
      <c r="CC60" s="319"/>
      <c r="CD60" s="319"/>
      <c r="CE60" s="319"/>
      <c r="CF60" s="319"/>
      <c r="CG60" s="319"/>
      <c r="CH60" s="319"/>
      <c r="CI60" s="319"/>
      <c r="CJ60" s="319"/>
      <c r="CK60" s="319"/>
    </row>
    <row r="61" spans="1:89" ht="13.2" hidden="1">
      <c r="A61" s="12"/>
      <c r="B61" s="329" t="str">
        <f>IF(EET!D36="","",EET!D36)</f>
        <v/>
      </c>
      <c r="C61" s="30">
        <f>IF($R$39=1,EET!X36,IF($R$39=2,EET!AG36,IF($R$39=3,EET!AF36,IF($R$39=4,EET!T36,IF($R$39=5,EET!AB36,EET!T36-EET!AB36)))))*$V$35</f>
        <v>0</v>
      </c>
      <c r="D61" s="30">
        <f>IF($R$39=1,EET!AS36,IF($R$39=2,EET!BB36,IF($R$39=3,EET!BA36,IF($R$39=4,EET!AO36,IF($R$39=5,EET!AW36,EET!AO36-EET!AW36)))))*$V$35</f>
        <v>0</v>
      </c>
      <c r="E61" s="30" t="s">
        <v>637</v>
      </c>
      <c r="F61" s="290">
        <f>EET!E36</f>
        <v>0</v>
      </c>
      <c r="G61" s="30">
        <f>EET!F36</f>
        <v>0</v>
      </c>
      <c r="H61" s="30">
        <f>EET!G36</f>
        <v>0</v>
      </c>
      <c r="I61" s="140" t="str">
        <f t="shared" si="4"/>
        <v>-</v>
      </c>
      <c r="J61" s="1017" t="s">
        <v>4190</v>
      </c>
      <c r="K61" s="9"/>
      <c r="L61" s="12"/>
      <c r="M61" s="393">
        <f>IF(OR(EET!BU36&gt;0,Q61=""),1,0)</f>
        <v>0</v>
      </c>
      <c r="N61" s="319">
        <v>12130</v>
      </c>
      <c r="O61" s="319"/>
      <c r="P61" s="319"/>
      <c r="Q61" s="3" t="b">
        <v>1</v>
      </c>
      <c r="R61" s="319"/>
      <c r="S61" s="319"/>
      <c r="T61" s="319"/>
      <c r="U61" s="319"/>
      <c r="V61" s="309" t="b">
        <v>1</v>
      </c>
      <c r="W61" s="319" t="b">
        <v>1</v>
      </c>
      <c r="X61" s="319"/>
      <c r="Y61" s="319"/>
      <c r="Z61" s="319"/>
      <c r="AA61" s="319"/>
      <c r="AB61" s="319"/>
      <c r="AC61" s="319"/>
      <c r="AD61" s="319"/>
      <c r="AE61" s="319"/>
      <c r="AF61" s="319"/>
      <c r="AG61" s="319"/>
      <c r="AO61" s="319"/>
      <c r="AP61" s="1014">
        <v>108</v>
      </c>
      <c r="AQ61" s="1004">
        <v>10</v>
      </c>
      <c r="AR61" s="1006">
        <v>108</v>
      </c>
      <c r="AS61" s="1004">
        <v>17</v>
      </c>
      <c r="AT61" s="1006">
        <v>108</v>
      </c>
      <c r="AU61" s="1004">
        <v>9</v>
      </c>
      <c r="AV61" s="319"/>
      <c r="AW61" s="319"/>
      <c r="AX61" s="319"/>
      <c r="AY61" s="319"/>
      <c r="AZ61" s="319"/>
      <c r="BA61" s="319"/>
      <c r="BB61" s="319"/>
      <c r="BC61" s="319"/>
      <c r="BD61" s="319"/>
      <c r="BE61" s="319"/>
      <c r="BF61" s="319"/>
      <c r="BG61" s="319"/>
      <c r="BH61" s="319"/>
      <c r="BI61" s="319"/>
      <c r="BJ61" s="319"/>
      <c r="BK61" s="319"/>
      <c r="BL61" s="319"/>
      <c r="BM61" s="319"/>
      <c r="BN61" s="319"/>
      <c r="BO61" s="319"/>
      <c r="BP61" s="319"/>
      <c r="BQ61" s="319"/>
      <c r="BR61" s="319"/>
      <c r="BS61" s="319"/>
      <c r="BT61" s="319"/>
      <c r="BU61" s="319"/>
      <c r="BV61" s="319"/>
      <c r="BW61" s="319"/>
      <c r="BX61" s="319"/>
      <c r="BY61" s="319"/>
      <c r="BZ61" s="319"/>
      <c r="CA61" s="319"/>
      <c r="CB61" s="319"/>
      <c r="CC61" s="319"/>
      <c r="CD61" s="319"/>
      <c r="CE61" s="319"/>
      <c r="CF61" s="319"/>
      <c r="CG61" s="319"/>
      <c r="CH61" s="319"/>
      <c r="CI61" s="319"/>
      <c r="CJ61" s="319"/>
      <c r="CK61" s="319"/>
    </row>
    <row r="62" spans="1:89" ht="13.2" hidden="1">
      <c r="A62" s="12"/>
      <c r="B62" s="329" t="str">
        <f>IF(EET!D37="","",EET!D37)</f>
        <v/>
      </c>
      <c r="C62" s="30">
        <f>IF($R$39=1,EET!X37,IF($R$39=2,EET!AG37,IF($R$39=3,EET!AF37,IF($R$39=4,EET!T37,IF($R$39=5,EET!AB37,EET!T37-EET!AB37)))))*$V$35</f>
        <v>0</v>
      </c>
      <c r="D62" s="30">
        <f>IF($R$39=1,EET!AS37,IF($R$39=2,EET!BB37,IF($R$39=3,EET!BA37,IF($R$39=4,EET!AO37,IF($R$39=5,EET!AW37,EET!AO37-EET!AW37)))))*$V$35</f>
        <v>0</v>
      </c>
      <c r="E62" s="30" t="s">
        <v>637</v>
      </c>
      <c r="F62" s="290">
        <f>EET!E37</f>
        <v>0</v>
      </c>
      <c r="G62" s="30">
        <f>EET!F37</f>
        <v>0</v>
      </c>
      <c r="H62" s="30">
        <f>EET!G37</f>
        <v>0</v>
      </c>
      <c r="I62" s="140" t="str">
        <f t="shared" si="4"/>
        <v>-</v>
      </c>
      <c r="J62" s="1017" t="s">
        <v>4190</v>
      </c>
      <c r="K62" s="9"/>
      <c r="L62" s="12"/>
      <c r="M62" s="393">
        <f>IF(OR(EET!BU37&gt;0,Q62=""),1,0)</f>
        <v>0</v>
      </c>
      <c r="N62" s="319">
        <v>12130</v>
      </c>
      <c r="O62" s="319"/>
      <c r="P62" s="319"/>
      <c r="Q62" s="3" t="b">
        <v>1</v>
      </c>
      <c r="R62" s="319"/>
      <c r="S62" s="319"/>
      <c r="T62" s="319"/>
      <c r="U62" s="319"/>
      <c r="V62" s="309" t="b">
        <v>1</v>
      </c>
      <c r="W62" s="319" t="b">
        <v>1</v>
      </c>
      <c r="X62" s="319"/>
      <c r="Y62" s="319"/>
      <c r="Z62" s="319"/>
      <c r="AA62" s="319"/>
      <c r="AB62" s="319"/>
      <c r="AC62" s="319"/>
      <c r="AD62" s="319"/>
      <c r="AE62" s="319"/>
      <c r="AF62" s="319"/>
      <c r="AG62" s="319"/>
      <c r="AO62" s="319"/>
      <c r="AP62" s="1014">
        <v>109</v>
      </c>
      <c r="AQ62" s="1004">
        <v>10</v>
      </c>
      <c r="AR62" s="1006">
        <v>109</v>
      </c>
      <c r="AS62" s="1004">
        <v>17</v>
      </c>
      <c r="AT62" s="1006">
        <v>109</v>
      </c>
      <c r="AU62" s="1004">
        <v>9</v>
      </c>
      <c r="AV62" s="319"/>
      <c r="AW62" s="319"/>
      <c r="AX62" s="319"/>
      <c r="AY62" s="319"/>
      <c r="AZ62" s="319"/>
      <c r="BA62" s="319"/>
      <c r="BB62" s="319"/>
      <c r="BC62" s="319"/>
      <c r="BD62" s="319"/>
      <c r="BE62" s="319"/>
      <c r="BF62" s="319"/>
      <c r="BG62" s="319"/>
      <c r="BH62" s="319"/>
      <c r="BI62" s="319"/>
      <c r="BJ62" s="319"/>
      <c r="BK62" s="319"/>
      <c r="BL62" s="319"/>
      <c r="BM62" s="319"/>
      <c r="BN62" s="319"/>
      <c r="BO62" s="319"/>
      <c r="BP62" s="319"/>
      <c r="BQ62" s="319"/>
      <c r="BR62" s="319"/>
      <c r="BS62" s="319"/>
      <c r="BT62" s="319"/>
      <c r="BU62" s="319"/>
      <c r="BV62" s="319"/>
      <c r="BW62" s="319"/>
      <c r="BX62" s="319"/>
      <c r="BY62" s="319"/>
      <c r="BZ62" s="319"/>
      <c r="CA62" s="319"/>
      <c r="CB62" s="319"/>
      <c r="CC62" s="319"/>
      <c r="CD62" s="319"/>
      <c r="CE62" s="319"/>
      <c r="CF62" s="319"/>
      <c r="CG62" s="319"/>
      <c r="CH62" s="319"/>
      <c r="CI62" s="319"/>
      <c r="CJ62" s="319"/>
      <c r="CK62" s="319"/>
    </row>
    <row r="63" spans="1:89" ht="13.2" hidden="1">
      <c r="A63" s="12"/>
      <c r="B63" s="329" t="str">
        <f>IF(EET!D38="","",EET!D38)</f>
        <v/>
      </c>
      <c r="C63" s="30">
        <f>IF($R$39=1,EET!X38,IF($R$39=2,EET!AG38,IF($R$39=3,EET!AF38,IF($R$39=4,EET!T38,IF($R$39=5,EET!AB38,EET!T38-EET!AB38)))))*$V$35</f>
        <v>0</v>
      </c>
      <c r="D63" s="30">
        <f>IF($R$39=1,EET!AS38,IF($R$39=2,EET!BB38,IF($R$39=3,EET!BA38,IF($R$39=4,EET!AO38,IF($R$39=5,EET!AW38,EET!AO38-EET!AW38)))))*$V$35</f>
        <v>0</v>
      </c>
      <c r="E63" s="30" t="s">
        <v>637</v>
      </c>
      <c r="F63" s="290">
        <f>EET!E38</f>
        <v>0</v>
      </c>
      <c r="G63" s="30">
        <f>EET!F38</f>
        <v>0</v>
      </c>
      <c r="H63" s="30">
        <f>EET!G38</f>
        <v>0</v>
      </c>
      <c r="I63" s="140" t="str">
        <f t="shared" si="4"/>
        <v>-</v>
      </c>
      <c r="J63" s="1017" t="s">
        <v>4190</v>
      </c>
      <c r="K63" s="9"/>
      <c r="L63" s="12"/>
      <c r="M63" s="393">
        <f>IF(OR(EET!BU38&gt;0,Q63=""),1,0)</f>
        <v>0</v>
      </c>
      <c r="N63" s="319">
        <v>12130</v>
      </c>
      <c r="O63" s="319"/>
      <c r="P63" s="319"/>
      <c r="Q63" s="3" t="b">
        <v>1</v>
      </c>
      <c r="R63" s="319"/>
      <c r="S63" s="319"/>
      <c r="T63" s="319"/>
      <c r="U63" s="319"/>
      <c r="V63" s="309" t="b">
        <v>1</v>
      </c>
      <c r="W63" s="319" t="b">
        <v>1</v>
      </c>
      <c r="X63" s="319"/>
      <c r="Y63" s="319"/>
      <c r="Z63" s="319"/>
      <c r="AA63" s="319"/>
      <c r="AB63" s="319"/>
      <c r="AC63" s="319"/>
      <c r="AD63" s="319"/>
      <c r="AE63" s="319"/>
      <c r="AF63" s="319"/>
      <c r="AG63" s="319"/>
      <c r="AO63" s="319"/>
      <c r="AP63" s="1014">
        <v>110</v>
      </c>
      <c r="AQ63" s="1004">
        <v>10</v>
      </c>
      <c r="AR63" s="1006">
        <v>110</v>
      </c>
      <c r="AS63" s="1004">
        <v>17</v>
      </c>
      <c r="AT63" s="1006">
        <v>110</v>
      </c>
      <c r="AU63" s="1004">
        <v>9</v>
      </c>
      <c r="AV63" s="319"/>
      <c r="AW63" s="319"/>
      <c r="AX63" s="319"/>
      <c r="AY63" s="319"/>
      <c r="AZ63" s="319"/>
      <c r="BA63" s="319"/>
      <c r="BB63" s="319"/>
      <c r="BC63" s="319"/>
      <c r="BD63" s="319"/>
      <c r="BE63" s="319"/>
      <c r="BF63" s="319"/>
      <c r="BG63" s="319"/>
      <c r="BH63" s="319"/>
      <c r="BI63" s="319"/>
      <c r="BJ63" s="319"/>
      <c r="BK63" s="319"/>
      <c r="BL63" s="319"/>
      <c r="BM63" s="319"/>
      <c r="BN63" s="319"/>
      <c r="BO63" s="319"/>
      <c r="BP63" s="319"/>
      <c r="BQ63" s="319"/>
      <c r="BR63" s="319"/>
      <c r="BS63" s="319"/>
      <c r="BT63" s="319"/>
      <c r="BU63" s="319"/>
      <c r="BV63" s="319"/>
      <c r="BW63" s="319"/>
      <c r="BX63" s="319"/>
      <c r="BY63" s="319"/>
      <c r="BZ63" s="319"/>
      <c r="CA63" s="319"/>
      <c r="CB63" s="319"/>
      <c r="CC63" s="319"/>
      <c r="CD63" s="319"/>
      <c r="CE63" s="319"/>
      <c r="CF63" s="319"/>
      <c r="CG63" s="319"/>
      <c r="CH63" s="319"/>
      <c r="CI63" s="319"/>
      <c r="CJ63" s="319"/>
      <c r="CK63" s="319"/>
    </row>
    <row r="64" spans="1:89" ht="12.75" customHeight="1">
      <c r="A64" s="12"/>
      <c r="B64" s="543" t="str">
        <f>Language!C2422</f>
        <v>Lâmpadas</v>
      </c>
      <c r="C64" s="30"/>
      <c r="D64" s="30"/>
      <c r="E64" s="30"/>
      <c r="F64" s="290"/>
      <c r="G64" s="30"/>
      <c r="H64" s="30"/>
      <c r="I64" s="140"/>
      <c r="J64" s="29"/>
      <c r="K64" s="9"/>
      <c r="L64" s="12"/>
      <c r="M64" s="393">
        <f>IF(OR(EET!BU39&gt;0,Q64=""),1,0)</f>
        <v>1</v>
      </c>
      <c r="N64" s="319">
        <v>12140</v>
      </c>
      <c r="O64" s="319"/>
      <c r="P64" s="319"/>
      <c r="Q64" s="319"/>
      <c r="R64" s="319"/>
      <c r="S64" s="319"/>
      <c r="T64" s="319"/>
      <c r="U64" s="319"/>
      <c r="V64" s="309"/>
      <c r="W64" s="319"/>
      <c r="X64" s="319"/>
      <c r="Y64" s="319"/>
      <c r="Z64" s="319"/>
      <c r="AA64" s="319"/>
      <c r="AB64" s="319"/>
      <c r="AC64" s="319"/>
      <c r="AD64" s="319"/>
      <c r="AE64" s="319"/>
      <c r="AF64" s="319"/>
      <c r="AG64" s="319"/>
      <c r="AO64" s="319"/>
      <c r="AP64" s="1014">
        <v>111</v>
      </c>
      <c r="AQ64" s="1004">
        <v>10</v>
      </c>
      <c r="AR64" s="1006">
        <v>111</v>
      </c>
      <c r="AS64" s="1004">
        <v>17</v>
      </c>
      <c r="AT64" s="1006">
        <v>111</v>
      </c>
      <c r="AU64" s="1004">
        <v>9</v>
      </c>
      <c r="AV64" s="319"/>
      <c r="AW64" s="319"/>
      <c r="AX64" s="319"/>
      <c r="AY64" s="319"/>
      <c r="AZ64" s="319"/>
      <c r="BA64" s="319"/>
      <c r="BB64" s="319"/>
      <c r="BC64" s="319"/>
      <c r="BD64" s="319"/>
      <c r="BE64" s="319"/>
      <c r="BF64" s="319"/>
      <c r="BG64" s="319"/>
      <c r="BH64" s="319"/>
      <c r="BI64" s="319"/>
      <c r="BJ64" s="319"/>
      <c r="BK64" s="319"/>
      <c r="BL64" s="319"/>
      <c r="BM64" s="319"/>
      <c r="BN64" s="319"/>
      <c r="BO64" s="319"/>
      <c r="BP64" s="319"/>
      <c r="BQ64" s="319"/>
      <c r="BR64" s="319"/>
      <c r="BS64" s="319"/>
      <c r="BT64" s="319"/>
      <c r="BU64" s="319"/>
      <c r="BV64" s="319"/>
      <c r="BW64" s="319"/>
      <c r="BX64" s="319"/>
      <c r="BY64" s="319"/>
      <c r="BZ64" s="319"/>
      <c r="CA64" s="319"/>
      <c r="CB64" s="319"/>
      <c r="CC64" s="319"/>
      <c r="CD64" s="319"/>
      <c r="CE64" s="319"/>
      <c r="CF64" s="319"/>
      <c r="CG64" s="319"/>
      <c r="CH64" s="319"/>
      <c r="CI64" s="319"/>
      <c r="CJ64" s="319"/>
      <c r="CK64" s="319"/>
    </row>
    <row r="65" spans="1:89" ht="13.2" hidden="1">
      <c r="A65" s="12"/>
      <c r="B65" s="329" t="str">
        <f>IF(EET!D40="","",EET!D40)</f>
        <v/>
      </c>
      <c r="C65" s="30" t="s">
        <v>637</v>
      </c>
      <c r="D65" s="30" t="s">
        <v>637</v>
      </c>
      <c r="E65" s="30">
        <f>IF(OR($R$39=1,$R$39=4),EET!BI40,IF(OR($R$39=6,$R$39=2),EET!BI40-EET!BK40,EET!BK40))*$V$35</f>
        <v>0</v>
      </c>
      <c r="F65" s="290">
        <f>EET!E40</f>
        <v>0</v>
      </c>
      <c r="G65" s="30">
        <f>EET!F40</f>
        <v>0</v>
      </c>
      <c r="H65" s="30">
        <f>EET!G40</f>
        <v>0</v>
      </c>
      <c r="I65" s="140" t="str">
        <f t="shared" si="4"/>
        <v>-</v>
      </c>
      <c r="J65" s="1017" t="s">
        <v>4190</v>
      </c>
      <c r="K65" s="9"/>
      <c r="L65" s="12"/>
      <c r="M65" s="393">
        <f>IF(OR(EET!BU40&gt;0,Q65=""),1,0)</f>
        <v>0</v>
      </c>
      <c r="N65" s="319">
        <v>12140</v>
      </c>
      <c r="O65" s="319"/>
      <c r="P65" s="319"/>
      <c r="Q65" s="311" t="b">
        <v>1</v>
      </c>
      <c r="R65" s="319"/>
      <c r="S65" s="319"/>
      <c r="T65" s="319"/>
      <c r="U65" s="319"/>
      <c r="V65" s="309" t="b">
        <v>1</v>
      </c>
      <c r="W65" s="309" t="b">
        <v>1</v>
      </c>
      <c r="X65" s="319"/>
      <c r="Y65" s="319"/>
      <c r="Z65" s="319"/>
      <c r="AA65" s="319"/>
      <c r="AB65" s="319"/>
      <c r="AC65" s="319"/>
      <c r="AD65" s="319"/>
      <c r="AE65" s="319"/>
      <c r="AF65" s="319"/>
      <c r="AG65" s="319"/>
      <c r="AO65" s="319"/>
      <c r="AP65" s="1014">
        <v>113</v>
      </c>
      <c r="AQ65" s="1004">
        <v>10</v>
      </c>
      <c r="AR65" s="1006">
        <v>113</v>
      </c>
      <c r="AS65" s="1004">
        <v>17</v>
      </c>
      <c r="AT65" s="1006">
        <v>113</v>
      </c>
      <c r="AU65" s="1004">
        <v>9</v>
      </c>
      <c r="AV65" s="319"/>
      <c r="AW65" s="319"/>
      <c r="AX65" s="319"/>
      <c r="AY65" s="319"/>
      <c r="AZ65" s="319"/>
      <c r="BA65" s="319"/>
      <c r="BB65" s="319"/>
      <c r="BC65" s="319"/>
      <c r="BD65" s="319"/>
      <c r="BE65" s="319"/>
      <c r="BF65" s="319"/>
      <c r="BG65" s="319"/>
      <c r="BH65" s="319"/>
      <c r="BI65" s="319"/>
      <c r="BJ65" s="319"/>
      <c r="BK65" s="319"/>
      <c r="BL65" s="319"/>
      <c r="BM65" s="319"/>
      <c r="BN65" s="319"/>
      <c r="BO65" s="319"/>
      <c r="BP65" s="319"/>
      <c r="BQ65" s="319"/>
      <c r="BR65" s="319"/>
      <c r="BS65" s="319"/>
      <c r="BT65" s="319"/>
      <c r="BU65" s="319"/>
      <c r="BV65" s="319"/>
      <c r="BW65" s="319"/>
      <c r="BX65" s="319"/>
      <c r="BY65" s="319"/>
      <c r="BZ65" s="319"/>
      <c r="CA65" s="319"/>
      <c r="CB65" s="319"/>
      <c r="CC65" s="319"/>
      <c r="CD65" s="319"/>
      <c r="CE65" s="319"/>
      <c r="CF65" s="319"/>
      <c r="CG65" s="319"/>
      <c r="CH65" s="319"/>
      <c r="CI65" s="319"/>
      <c r="CJ65" s="319"/>
      <c r="CK65" s="319"/>
    </row>
    <row r="66" spans="1:89" ht="13.2" hidden="1">
      <c r="A66" s="12"/>
      <c r="B66" s="329" t="str">
        <f>IF(EET!D41="","",EET!D41)</f>
        <v/>
      </c>
      <c r="C66" s="30" t="s">
        <v>637</v>
      </c>
      <c r="D66" s="30" t="s">
        <v>637</v>
      </c>
      <c r="E66" s="30">
        <f>IF(OR($R$39=1,$R$39=4),EET!BI41,IF(OR($R$39=6,$R$39=2),EET!BI41-EET!BK41,EET!BK41))*$V$35</f>
        <v>0</v>
      </c>
      <c r="F66" s="290">
        <f>EET!E41</f>
        <v>0</v>
      </c>
      <c r="G66" s="30">
        <f>EET!F41</f>
        <v>0</v>
      </c>
      <c r="H66" s="30">
        <f>EET!G41</f>
        <v>0</v>
      </c>
      <c r="I66" s="140" t="str">
        <f t="shared" si="4"/>
        <v>-</v>
      </c>
      <c r="J66" s="1017" t="s">
        <v>4190</v>
      </c>
      <c r="K66" s="9"/>
      <c r="L66" s="12"/>
      <c r="M66" s="393">
        <f>IF(OR(EET!BU41&gt;0,Q66=""),1,0)</f>
        <v>0</v>
      </c>
      <c r="N66" s="319">
        <v>12140</v>
      </c>
      <c r="O66" s="319"/>
      <c r="P66" s="319"/>
      <c r="Q66" s="3" t="b">
        <v>1</v>
      </c>
      <c r="R66" s="319"/>
      <c r="S66" s="319"/>
      <c r="T66" s="319"/>
      <c r="U66" s="319"/>
      <c r="V66" s="309" t="b">
        <v>1</v>
      </c>
      <c r="W66" s="319" t="b">
        <v>1</v>
      </c>
      <c r="X66" s="319"/>
      <c r="Y66" s="319"/>
      <c r="Z66" s="319"/>
      <c r="AA66" s="319"/>
      <c r="AB66" s="319"/>
      <c r="AC66" s="319"/>
      <c r="AD66" s="319"/>
      <c r="AE66" s="319"/>
      <c r="AF66" s="319"/>
      <c r="AG66" s="319"/>
      <c r="AO66" s="319"/>
      <c r="AP66" s="1014">
        <v>114</v>
      </c>
      <c r="AQ66" s="1004">
        <v>10</v>
      </c>
      <c r="AR66" s="1006">
        <v>114</v>
      </c>
      <c r="AS66" s="1004">
        <v>17</v>
      </c>
      <c r="AT66" s="1006">
        <v>114</v>
      </c>
      <c r="AU66" s="1004">
        <v>9</v>
      </c>
      <c r="AV66" s="319"/>
      <c r="AW66" s="319"/>
      <c r="AX66" s="319"/>
      <c r="AY66" s="319"/>
      <c r="AZ66" s="319"/>
      <c r="BA66" s="319"/>
      <c r="BB66" s="319"/>
      <c r="BC66" s="319"/>
      <c r="BD66" s="319"/>
      <c r="BE66" s="319"/>
      <c r="BF66" s="319"/>
      <c r="BG66" s="319"/>
      <c r="BH66" s="319"/>
      <c r="BI66" s="319"/>
      <c r="BJ66" s="319"/>
      <c r="BK66" s="319"/>
      <c r="BL66" s="319"/>
      <c r="BM66" s="319"/>
      <c r="BN66" s="319"/>
      <c r="BO66" s="319"/>
      <c r="BP66" s="319"/>
      <c r="BQ66" s="319"/>
      <c r="BR66" s="319"/>
      <c r="BS66" s="319"/>
      <c r="BT66" s="319"/>
      <c r="BU66" s="319"/>
      <c r="BV66" s="319"/>
      <c r="BW66" s="319"/>
      <c r="BX66" s="319"/>
      <c r="BY66" s="319"/>
      <c r="BZ66" s="319"/>
      <c r="CA66" s="319"/>
      <c r="CB66" s="319"/>
      <c r="CC66" s="319"/>
      <c r="CD66" s="319"/>
      <c r="CE66" s="319"/>
      <c r="CF66" s="319"/>
      <c r="CG66" s="319"/>
      <c r="CH66" s="319"/>
      <c r="CI66" s="319"/>
      <c r="CJ66" s="319"/>
      <c r="CK66" s="319"/>
    </row>
    <row r="67" spans="1:89" ht="13.2" hidden="1">
      <c r="A67" s="12"/>
      <c r="B67" s="329" t="str">
        <f>IF(EET!D42="","",EET!D42)</f>
        <v/>
      </c>
      <c r="C67" s="30" t="s">
        <v>637</v>
      </c>
      <c r="D67" s="30" t="s">
        <v>637</v>
      </c>
      <c r="E67" s="30">
        <f>IF(OR($R$39=1,$R$39=4),EET!BI42,IF(OR($R$39=6,$R$39=2),EET!BI42-EET!BK42,EET!BK42))*$V$35</f>
        <v>0</v>
      </c>
      <c r="F67" s="290">
        <f>EET!E42</f>
        <v>0</v>
      </c>
      <c r="G67" s="30">
        <f>EET!F42</f>
        <v>0</v>
      </c>
      <c r="H67" s="30">
        <f>EET!G42</f>
        <v>0</v>
      </c>
      <c r="I67" s="140" t="str">
        <f t="shared" si="4"/>
        <v>-</v>
      </c>
      <c r="J67" s="1017" t="s">
        <v>4190</v>
      </c>
      <c r="K67" s="9"/>
      <c r="L67" s="12"/>
      <c r="M67" s="393">
        <f>IF(OR(EET!BU42&gt;0,Q67=""),1,0)</f>
        <v>0</v>
      </c>
      <c r="N67" s="319">
        <v>12140</v>
      </c>
      <c r="O67" s="319"/>
      <c r="P67" s="319"/>
      <c r="Q67" s="3" t="b">
        <v>1</v>
      </c>
      <c r="R67" s="319"/>
      <c r="S67" s="319"/>
      <c r="T67" s="319"/>
      <c r="U67" s="319"/>
      <c r="V67" s="309" t="b">
        <v>1</v>
      </c>
      <c r="W67" s="319" t="b">
        <v>1</v>
      </c>
      <c r="X67" s="319"/>
      <c r="Y67" s="319"/>
      <c r="Z67" s="319"/>
      <c r="AA67" s="319"/>
      <c r="AB67" s="319"/>
      <c r="AC67" s="319"/>
      <c r="AD67" s="319"/>
      <c r="AE67" s="319"/>
      <c r="AF67" s="319"/>
      <c r="AG67" s="319"/>
      <c r="AO67" s="319"/>
      <c r="AP67" s="1014">
        <v>115</v>
      </c>
      <c r="AQ67" s="1004">
        <v>10</v>
      </c>
      <c r="AR67" s="1006">
        <v>115</v>
      </c>
      <c r="AS67" s="1004">
        <v>17</v>
      </c>
      <c r="AT67" s="1006">
        <v>115</v>
      </c>
      <c r="AU67" s="1004">
        <v>9</v>
      </c>
      <c r="AV67" s="319"/>
      <c r="AW67" s="319"/>
      <c r="AX67" s="319"/>
      <c r="AY67" s="319"/>
      <c r="AZ67" s="319"/>
      <c r="BA67" s="319"/>
      <c r="BB67" s="319"/>
      <c r="BC67" s="319"/>
      <c r="BD67" s="319"/>
      <c r="BE67" s="319"/>
      <c r="BF67" s="319"/>
      <c r="BG67" s="319"/>
      <c r="BH67" s="319"/>
      <c r="BI67" s="319"/>
      <c r="BJ67" s="319"/>
      <c r="BK67" s="319"/>
      <c r="BL67" s="319"/>
      <c r="BM67" s="319"/>
      <c r="BN67" s="319"/>
      <c r="BO67" s="319"/>
      <c r="BP67" s="319"/>
      <c r="BQ67" s="319"/>
      <c r="BR67" s="319"/>
      <c r="BS67" s="319"/>
      <c r="BT67" s="319"/>
      <c r="BU67" s="319"/>
      <c r="BV67" s="319"/>
      <c r="BW67" s="319"/>
      <c r="BX67" s="319"/>
      <c r="BY67" s="319"/>
      <c r="BZ67" s="319"/>
      <c r="CA67" s="319"/>
      <c r="CB67" s="319"/>
      <c r="CC67" s="319"/>
      <c r="CD67" s="319"/>
      <c r="CE67" s="319"/>
      <c r="CF67" s="319"/>
      <c r="CG67" s="319"/>
      <c r="CH67" s="319"/>
      <c r="CI67" s="319"/>
      <c r="CJ67" s="319"/>
      <c r="CK67" s="319"/>
    </row>
    <row r="68" spans="1:89" ht="13.2" hidden="1">
      <c r="A68" s="12"/>
      <c r="B68" s="329" t="str">
        <f>IF(EET!D43="","",EET!D43)</f>
        <v/>
      </c>
      <c r="C68" s="30" t="s">
        <v>637</v>
      </c>
      <c r="D68" s="30" t="s">
        <v>637</v>
      </c>
      <c r="E68" s="30">
        <f>IF(OR($R$39=1,$R$39=4),EET!BI43,IF(OR($R$39=6,$R$39=2),EET!BI43-EET!BK43,EET!BK43))*$V$35</f>
        <v>0</v>
      </c>
      <c r="F68" s="290">
        <f>EET!E43</f>
        <v>0</v>
      </c>
      <c r="G68" s="30">
        <f>EET!F43</f>
        <v>0</v>
      </c>
      <c r="H68" s="30">
        <f>EET!G43</f>
        <v>0</v>
      </c>
      <c r="I68" s="140" t="str">
        <f t="shared" si="4"/>
        <v>-</v>
      </c>
      <c r="J68" s="1017" t="s">
        <v>4190</v>
      </c>
      <c r="K68" s="9"/>
      <c r="L68" s="12"/>
      <c r="M68" s="393">
        <f>IF(OR(EET!BU43&gt;0,Q68=""),1,0)</f>
        <v>0</v>
      </c>
      <c r="N68" s="319">
        <v>12140</v>
      </c>
      <c r="O68" s="319"/>
      <c r="P68" s="319"/>
      <c r="Q68" s="3" t="b">
        <v>1</v>
      </c>
      <c r="R68" s="319"/>
      <c r="S68" s="319"/>
      <c r="T68" s="319"/>
      <c r="U68" s="319"/>
      <c r="V68" s="309" t="b">
        <v>1</v>
      </c>
      <c r="W68" s="319" t="b">
        <v>1</v>
      </c>
      <c r="X68" s="319"/>
      <c r="Y68" s="319"/>
      <c r="Z68" s="319"/>
      <c r="AA68" s="319"/>
      <c r="AB68" s="319"/>
      <c r="AC68" s="319"/>
      <c r="AD68" s="319"/>
      <c r="AE68" s="319"/>
      <c r="AF68" s="319"/>
      <c r="AG68" s="319"/>
      <c r="AO68" s="319"/>
      <c r="AP68" s="1014">
        <v>116</v>
      </c>
      <c r="AQ68" s="1004">
        <v>10</v>
      </c>
      <c r="AR68" s="1006">
        <v>116</v>
      </c>
      <c r="AS68" s="1004">
        <v>17</v>
      </c>
      <c r="AT68" s="1006">
        <v>116</v>
      </c>
      <c r="AU68" s="1004">
        <v>9</v>
      </c>
      <c r="AV68" s="319"/>
      <c r="AW68" s="319"/>
      <c r="AX68" s="319"/>
      <c r="AY68" s="319"/>
      <c r="AZ68" s="319"/>
      <c r="BA68" s="319"/>
      <c r="BB68" s="319"/>
      <c r="BC68" s="319"/>
      <c r="BD68" s="319"/>
      <c r="BE68" s="319"/>
      <c r="BF68" s="319"/>
      <c r="BG68" s="319"/>
      <c r="BH68" s="319"/>
      <c r="BI68" s="319"/>
      <c r="BJ68" s="319"/>
      <c r="BK68" s="319"/>
      <c r="BL68" s="319"/>
      <c r="BM68" s="319"/>
      <c r="BN68" s="319"/>
      <c r="BO68" s="319"/>
      <c r="BP68" s="319"/>
      <c r="BQ68" s="319"/>
      <c r="BR68" s="319"/>
      <c r="BS68" s="319"/>
      <c r="BT68" s="319"/>
      <c r="BU68" s="319"/>
      <c r="BV68" s="319"/>
      <c r="BW68" s="319"/>
      <c r="BX68" s="319"/>
      <c r="BY68" s="319"/>
      <c r="BZ68" s="319"/>
      <c r="CA68" s="319"/>
      <c r="CB68" s="319"/>
      <c r="CC68" s="319"/>
      <c r="CD68" s="319"/>
      <c r="CE68" s="319"/>
      <c r="CF68" s="319"/>
      <c r="CG68" s="319"/>
      <c r="CH68" s="319"/>
      <c r="CI68" s="319"/>
      <c r="CJ68" s="319"/>
      <c r="CK68" s="319"/>
    </row>
    <row r="69" spans="1:89" ht="13.2" hidden="1">
      <c r="A69" s="12"/>
      <c r="B69" s="329" t="str">
        <f>IF(EET!D44="","",EET!D44)</f>
        <v/>
      </c>
      <c r="C69" s="30" t="s">
        <v>637</v>
      </c>
      <c r="D69" s="30" t="s">
        <v>637</v>
      </c>
      <c r="E69" s="30">
        <f>IF(OR($R$39=1,$R$39=4),EET!BI44,IF(OR($R$39=6,$R$39=2),EET!BI44-EET!BK44,EET!BK44))*$V$35</f>
        <v>0</v>
      </c>
      <c r="F69" s="290">
        <f>EET!E44</f>
        <v>0</v>
      </c>
      <c r="G69" s="30">
        <f>EET!F44</f>
        <v>0</v>
      </c>
      <c r="H69" s="30">
        <f>EET!G44</f>
        <v>0</v>
      </c>
      <c r="I69" s="140" t="str">
        <f t="shared" si="4"/>
        <v>-</v>
      </c>
      <c r="J69" s="1017" t="s">
        <v>4190</v>
      </c>
      <c r="K69" s="9"/>
      <c r="L69" s="12"/>
      <c r="M69" s="393">
        <f>IF(OR(EET!BU44&gt;0,Q69=""),1,0)</f>
        <v>0</v>
      </c>
      <c r="N69" s="319">
        <v>12140</v>
      </c>
      <c r="O69" s="319"/>
      <c r="P69" s="319"/>
      <c r="Q69" s="3" t="b">
        <v>1</v>
      </c>
      <c r="R69" s="319"/>
      <c r="S69" s="319"/>
      <c r="T69" s="319"/>
      <c r="U69" s="319"/>
      <c r="V69" s="309" t="b">
        <v>1</v>
      </c>
      <c r="W69" s="319" t="b">
        <v>1</v>
      </c>
      <c r="X69" s="319"/>
      <c r="Y69" s="319"/>
      <c r="Z69" s="319"/>
      <c r="AA69" s="319"/>
      <c r="AB69" s="319"/>
      <c r="AC69" s="319"/>
      <c r="AD69" s="319"/>
      <c r="AE69" s="319"/>
      <c r="AF69" s="319"/>
      <c r="AG69" s="319"/>
      <c r="AO69" s="319"/>
      <c r="AP69" s="1014">
        <v>117</v>
      </c>
      <c r="AQ69" s="1004">
        <v>10</v>
      </c>
      <c r="AR69" s="1006">
        <v>117</v>
      </c>
      <c r="AS69" s="1004">
        <v>17</v>
      </c>
      <c r="AT69" s="1006">
        <v>117</v>
      </c>
      <c r="AU69" s="1004">
        <v>9</v>
      </c>
      <c r="AV69" s="319"/>
      <c r="AW69" s="319"/>
      <c r="AX69" s="319"/>
      <c r="AY69" s="319"/>
      <c r="AZ69" s="319"/>
      <c r="BA69" s="319"/>
      <c r="BB69" s="319"/>
      <c r="BC69" s="319"/>
      <c r="BD69" s="319"/>
      <c r="BE69" s="319"/>
      <c r="BF69" s="319"/>
      <c r="BG69" s="319"/>
      <c r="BH69" s="319"/>
      <c r="BI69" s="319"/>
      <c r="BJ69" s="319"/>
      <c r="BK69" s="319"/>
      <c r="BL69" s="319"/>
      <c r="BM69" s="319"/>
      <c r="BN69" s="319"/>
      <c r="BO69" s="319"/>
      <c r="BP69" s="319"/>
      <c r="BQ69" s="319"/>
      <c r="BR69" s="319"/>
      <c r="BS69" s="319"/>
      <c r="BT69" s="319"/>
      <c r="BU69" s="319"/>
      <c r="BV69" s="319"/>
      <c r="BW69" s="319"/>
      <c r="BX69" s="319"/>
      <c r="BY69" s="319"/>
      <c r="BZ69" s="319"/>
      <c r="CA69" s="319"/>
      <c r="CB69" s="319"/>
      <c r="CC69" s="319"/>
      <c r="CD69" s="319"/>
      <c r="CE69" s="319"/>
      <c r="CF69" s="319"/>
      <c r="CG69" s="319"/>
      <c r="CH69" s="319"/>
      <c r="CI69" s="319"/>
      <c r="CJ69" s="319"/>
      <c r="CK69" s="319"/>
    </row>
    <row r="70" spans="1:89" ht="13.2">
      <c r="A70" s="12"/>
      <c r="B70" s="543" t="str">
        <f>Language!C2582</f>
        <v>Equipamento elétrico</v>
      </c>
      <c r="C70" s="30"/>
      <c r="D70" s="30"/>
      <c r="E70" s="30"/>
      <c r="F70" s="290"/>
      <c r="G70" s="30"/>
      <c r="H70" s="30"/>
      <c r="I70" s="140"/>
      <c r="J70" s="29"/>
      <c r="K70" s="9"/>
      <c r="L70" s="12"/>
      <c r="M70" s="393">
        <f>IF(OR(EET!BU45&gt;0,Q70=""),1,0)</f>
        <v>1</v>
      </c>
      <c r="N70" s="319">
        <v>12150</v>
      </c>
      <c r="O70" s="319"/>
      <c r="P70" s="319"/>
      <c r="Q70" s="319"/>
      <c r="R70" s="319"/>
      <c r="S70" s="319"/>
      <c r="T70" s="319"/>
      <c r="U70" s="319"/>
      <c r="V70" s="309"/>
      <c r="W70" s="319"/>
      <c r="X70" s="319"/>
      <c r="Y70" s="319"/>
      <c r="Z70" s="319"/>
      <c r="AA70" s="319"/>
      <c r="AB70" s="319"/>
      <c r="AC70" s="319"/>
      <c r="AD70" s="319"/>
      <c r="AE70" s="319"/>
      <c r="AF70" s="319"/>
      <c r="AG70" s="319"/>
      <c r="AO70" s="319"/>
      <c r="AP70" s="1014">
        <v>119</v>
      </c>
      <c r="AQ70" s="1004">
        <v>10</v>
      </c>
      <c r="AR70" s="1006">
        <v>119</v>
      </c>
      <c r="AS70" s="1004">
        <v>17</v>
      </c>
      <c r="AT70" s="1006">
        <v>119</v>
      </c>
      <c r="AU70" s="1004">
        <v>9</v>
      </c>
      <c r="AV70" s="319"/>
      <c r="AW70" s="319"/>
      <c r="AX70" s="319"/>
      <c r="AY70" s="319"/>
      <c r="AZ70" s="319"/>
      <c r="BA70" s="319"/>
      <c r="BB70" s="319"/>
      <c r="BC70" s="319"/>
      <c r="BD70" s="319"/>
      <c r="BE70" s="319"/>
      <c r="BF70" s="319"/>
      <c r="BG70" s="319"/>
      <c r="BH70" s="319"/>
      <c r="BI70" s="319"/>
      <c r="BJ70" s="319"/>
      <c r="BK70" s="319"/>
      <c r="BL70" s="319"/>
      <c r="BM70" s="319"/>
      <c r="BN70" s="319"/>
      <c r="BO70" s="319"/>
      <c r="BP70" s="319"/>
      <c r="BQ70" s="319"/>
      <c r="BR70" s="319"/>
      <c r="BS70" s="319"/>
      <c r="BT70" s="319"/>
      <c r="BU70" s="319"/>
      <c r="BV70" s="319"/>
      <c r="BW70" s="319"/>
      <c r="BX70" s="319"/>
      <c r="BY70" s="319"/>
      <c r="BZ70" s="319"/>
      <c r="CA70" s="319"/>
      <c r="CB70" s="319"/>
      <c r="CC70" s="319"/>
      <c r="CD70" s="319"/>
      <c r="CE70" s="319"/>
      <c r="CF70" s="319"/>
      <c r="CG70" s="319"/>
      <c r="CH70" s="319"/>
      <c r="CI70" s="319"/>
      <c r="CJ70" s="319"/>
      <c r="CK70" s="319"/>
    </row>
    <row r="71" spans="1:89" ht="13.2" hidden="1">
      <c r="A71" s="12"/>
      <c r="B71" s="329" t="str">
        <f>IF(EET!D46="","",EET!D46)</f>
        <v/>
      </c>
      <c r="C71" s="30" t="s">
        <v>637</v>
      </c>
      <c r="D71" s="30" t="s">
        <v>637</v>
      </c>
      <c r="E71" s="30">
        <f>IF(OR($R$39=1,$R$39=4),EET!BI46,IF(OR($R$39=6,$R$39=2),EET!BI46-EET!BK46,EET!BK46))*$V$35</f>
        <v>0</v>
      </c>
      <c r="F71" s="290">
        <f>EET!E46</f>
        <v>0</v>
      </c>
      <c r="G71" s="30">
        <f>EET!F46</f>
        <v>0</v>
      </c>
      <c r="H71" s="30">
        <f>EET!G46</f>
        <v>0</v>
      </c>
      <c r="I71" s="140" t="str">
        <f t="shared" si="4"/>
        <v>-</v>
      </c>
      <c r="J71" s="1017" t="s">
        <v>4190</v>
      </c>
      <c r="K71" s="9"/>
      <c r="L71" s="12"/>
      <c r="M71" s="393">
        <f>IF(OR(EET!BU46&gt;0,Q71=""),1,0)</f>
        <v>0</v>
      </c>
      <c r="N71" s="319">
        <v>12150</v>
      </c>
      <c r="O71" s="319"/>
      <c r="P71" s="319"/>
      <c r="Q71" s="311" t="b">
        <v>1</v>
      </c>
      <c r="R71" s="319"/>
      <c r="S71" s="319"/>
      <c r="T71" s="319"/>
      <c r="U71" s="319"/>
      <c r="V71" s="309" t="b">
        <v>1</v>
      </c>
      <c r="W71" s="309" t="b">
        <v>1</v>
      </c>
      <c r="X71" s="319"/>
      <c r="Y71" s="319"/>
      <c r="Z71" s="319"/>
      <c r="AA71" s="319"/>
      <c r="AB71" s="319"/>
      <c r="AC71" s="319"/>
      <c r="AD71" s="319"/>
      <c r="AE71" s="319"/>
      <c r="AF71" s="319"/>
      <c r="AG71" s="319"/>
      <c r="AO71" s="319"/>
      <c r="AP71" s="1014">
        <v>120</v>
      </c>
      <c r="AQ71" s="1004">
        <v>10</v>
      </c>
      <c r="AR71" s="1006">
        <v>120</v>
      </c>
      <c r="AS71" s="1004">
        <v>17</v>
      </c>
      <c r="AT71" s="1006">
        <v>120</v>
      </c>
      <c r="AU71" s="1004">
        <v>9</v>
      </c>
      <c r="AV71" s="319"/>
      <c r="AW71" s="319"/>
      <c r="AX71" s="319"/>
      <c r="AY71" s="319"/>
      <c r="AZ71" s="319"/>
      <c r="BA71" s="319"/>
      <c r="BB71" s="319"/>
      <c r="BC71" s="319"/>
      <c r="BD71" s="319"/>
      <c r="BE71" s="319"/>
      <c r="BF71" s="319"/>
      <c r="BG71" s="319"/>
      <c r="BH71" s="319"/>
      <c r="BI71" s="319"/>
      <c r="BJ71" s="319"/>
      <c r="BK71" s="319"/>
      <c r="BL71" s="319"/>
      <c r="BM71" s="319"/>
      <c r="BN71" s="319"/>
      <c r="BO71" s="319"/>
      <c r="BP71" s="319"/>
      <c r="BQ71" s="319"/>
      <c r="BR71" s="319"/>
      <c r="BS71" s="319"/>
      <c r="BT71" s="319"/>
      <c r="BU71" s="319"/>
      <c r="BV71" s="319"/>
      <c r="BW71" s="319"/>
      <c r="BX71" s="319"/>
      <c r="BY71" s="319"/>
      <c r="BZ71" s="319"/>
      <c r="CA71" s="319"/>
      <c r="CB71" s="319"/>
      <c r="CC71" s="319"/>
      <c r="CD71" s="319"/>
      <c r="CE71" s="319"/>
      <c r="CF71" s="319"/>
      <c r="CG71" s="319"/>
      <c r="CH71" s="319"/>
      <c r="CI71" s="319"/>
      <c r="CJ71" s="319"/>
      <c r="CK71" s="319"/>
    </row>
    <row r="72" spans="1:89" ht="13.2" hidden="1">
      <c r="A72" s="12"/>
      <c r="B72" s="329" t="str">
        <f>IF(EET!D47="","",EET!D47)</f>
        <v/>
      </c>
      <c r="C72" s="30" t="s">
        <v>637</v>
      </c>
      <c r="D72" s="30" t="s">
        <v>637</v>
      </c>
      <c r="E72" s="30">
        <f>IF(OR($R$39=1,$R$39=4),EET!BI47,IF(OR($R$39=6,$R$39=2),EET!BI47-EET!BK47,EET!BK47))*$V$35</f>
        <v>0</v>
      </c>
      <c r="F72" s="290">
        <f>EET!E47</f>
        <v>0</v>
      </c>
      <c r="G72" s="30">
        <f>EET!F47</f>
        <v>0</v>
      </c>
      <c r="H72" s="30">
        <f>EET!G47</f>
        <v>0</v>
      </c>
      <c r="I72" s="140" t="str">
        <f t="shared" si="4"/>
        <v>-</v>
      </c>
      <c r="J72" s="1017" t="s">
        <v>4190</v>
      </c>
      <c r="K72" s="9"/>
      <c r="L72" s="12"/>
      <c r="M72" s="393">
        <f>IF(OR(EET!BU47&gt;0,Q72=""),1,0)</f>
        <v>0</v>
      </c>
      <c r="N72" s="319">
        <v>12150</v>
      </c>
      <c r="O72" s="319"/>
      <c r="P72" s="319"/>
      <c r="Q72" s="3" t="b">
        <v>1</v>
      </c>
      <c r="R72" s="319"/>
      <c r="S72" s="319"/>
      <c r="T72" s="319"/>
      <c r="U72" s="319"/>
      <c r="V72" s="309" t="b">
        <v>1</v>
      </c>
      <c r="W72" s="319" t="b">
        <v>1</v>
      </c>
      <c r="X72" s="319"/>
      <c r="Y72" s="319"/>
      <c r="Z72" s="319"/>
      <c r="AA72" s="319"/>
      <c r="AB72" s="319"/>
      <c r="AC72" s="319"/>
      <c r="AD72" s="319"/>
      <c r="AE72" s="319"/>
      <c r="AF72" s="319"/>
      <c r="AG72" s="319"/>
      <c r="AO72" s="319"/>
      <c r="AP72" s="1014">
        <v>121</v>
      </c>
      <c r="AQ72" s="1004">
        <v>10</v>
      </c>
      <c r="AR72" s="1006">
        <v>121</v>
      </c>
      <c r="AS72" s="1004">
        <v>17</v>
      </c>
      <c r="AT72" s="1006">
        <v>121</v>
      </c>
      <c r="AU72" s="1004">
        <v>9</v>
      </c>
      <c r="AV72" s="319"/>
      <c r="AW72" s="319"/>
      <c r="AX72" s="319"/>
      <c r="AY72" s="319"/>
      <c r="AZ72" s="319"/>
      <c r="BA72" s="319"/>
      <c r="BB72" s="319"/>
      <c r="BC72" s="319"/>
      <c r="BD72" s="319"/>
      <c r="BE72" s="319"/>
      <c r="BF72" s="319"/>
      <c r="BG72" s="319"/>
      <c r="BH72" s="319"/>
      <c r="BI72" s="319"/>
      <c r="BJ72" s="319"/>
      <c r="BK72" s="319"/>
      <c r="BL72" s="319"/>
      <c r="BM72" s="319"/>
      <c r="BN72" s="319"/>
      <c r="BO72" s="319"/>
      <c r="BP72" s="319"/>
      <c r="BQ72" s="319"/>
      <c r="BR72" s="319"/>
      <c r="BS72" s="319"/>
      <c r="BT72" s="319"/>
      <c r="BU72" s="319"/>
      <c r="BV72" s="319"/>
      <c r="BW72" s="319"/>
      <c r="BX72" s="319"/>
      <c r="BY72" s="319"/>
      <c r="BZ72" s="319"/>
      <c r="CA72" s="319"/>
      <c r="CB72" s="319"/>
      <c r="CC72" s="319"/>
      <c r="CD72" s="319"/>
      <c r="CE72" s="319"/>
      <c r="CF72" s="319"/>
      <c r="CG72" s="319"/>
      <c r="CH72" s="319"/>
      <c r="CI72" s="319"/>
      <c r="CJ72" s="319"/>
      <c r="CK72" s="319"/>
    </row>
    <row r="73" spans="1:89" ht="13.2" hidden="1">
      <c r="A73" s="12"/>
      <c r="B73" s="329" t="str">
        <f>IF(EET!D48="","",EET!D48)</f>
        <v/>
      </c>
      <c r="C73" s="30" t="s">
        <v>637</v>
      </c>
      <c r="D73" s="30" t="s">
        <v>637</v>
      </c>
      <c r="E73" s="30">
        <f>IF(OR($R$39=1,$R$39=4),EET!BI48,IF(OR($R$39=6,$R$39=2),EET!BI48-EET!BK48,EET!BK48))*$V$35</f>
        <v>0</v>
      </c>
      <c r="F73" s="290">
        <f>EET!E48</f>
        <v>0</v>
      </c>
      <c r="G73" s="30">
        <f>EET!F48</f>
        <v>0</v>
      </c>
      <c r="H73" s="30">
        <f>EET!G48</f>
        <v>0</v>
      </c>
      <c r="I73" s="140" t="str">
        <f t="shared" si="4"/>
        <v>-</v>
      </c>
      <c r="J73" s="1017" t="s">
        <v>4190</v>
      </c>
      <c r="K73" s="9"/>
      <c r="L73" s="12"/>
      <c r="M73" s="393">
        <f>IF(OR(EET!BU48&gt;0,Q73=""),1,0)</f>
        <v>0</v>
      </c>
      <c r="N73" s="319">
        <v>12150</v>
      </c>
      <c r="O73" s="319"/>
      <c r="P73" s="319"/>
      <c r="Q73" s="3" t="b">
        <v>1</v>
      </c>
      <c r="R73" s="319"/>
      <c r="S73" s="319"/>
      <c r="T73" s="319"/>
      <c r="U73" s="319"/>
      <c r="V73" s="309" t="b">
        <v>1</v>
      </c>
      <c r="W73" s="319" t="b">
        <v>1</v>
      </c>
      <c r="X73" s="319"/>
      <c r="Y73" s="319"/>
      <c r="Z73" s="319"/>
      <c r="AA73" s="319"/>
      <c r="AB73" s="319"/>
      <c r="AC73" s="319"/>
      <c r="AD73" s="319"/>
      <c r="AE73" s="319"/>
      <c r="AF73" s="319"/>
      <c r="AG73" s="319"/>
      <c r="AO73" s="319"/>
      <c r="AP73" s="1014">
        <v>122</v>
      </c>
      <c r="AQ73" s="1004">
        <v>10</v>
      </c>
      <c r="AR73" s="1006">
        <v>122</v>
      </c>
      <c r="AS73" s="1004">
        <v>17</v>
      </c>
      <c r="AT73" s="1006">
        <v>122</v>
      </c>
      <c r="AU73" s="1004">
        <v>9</v>
      </c>
      <c r="AV73" s="319"/>
      <c r="AW73" s="319"/>
      <c r="AX73" s="319"/>
      <c r="AY73" s="319"/>
      <c r="AZ73" s="319"/>
      <c r="BA73" s="319"/>
      <c r="BB73" s="319"/>
      <c r="BC73" s="319"/>
      <c r="BD73" s="319"/>
      <c r="BE73" s="319"/>
      <c r="BF73" s="319"/>
      <c r="BG73" s="319"/>
      <c r="BH73" s="319"/>
      <c r="BI73" s="319"/>
      <c r="BJ73" s="319"/>
      <c r="BK73" s="319"/>
      <c r="BL73" s="319"/>
      <c r="BM73" s="319"/>
      <c r="BN73" s="319"/>
      <c r="BO73" s="319"/>
      <c r="BP73" s="319"/>
      <c r="BQ73" s="319"/>
      <c r="BR73" s="319"/>
      <c r="BS73" s="319"/>
      <c r="BT73" s="319"/>
      <c r="BU73" s="319"/>
      <c r="BV73" s="319"/>
      <c r="BW73" s="319"/>
      <c r="BX73" s="319"/>
      <c r="BY73" s="319"/>
      <c r="BZ73" s="319"/>
      <c r="CA73" s="319"/>
      <c r="CB73" s="319"/>
      <c r="CC73" s="319"/>
      <c r="CD73" s="319"/>
      <c r="CE73" s="319"/>
      <c r="CF73" s="319"/>
      <c r="CG73" s="319"/>
      <c r="CH73" s="319"/>
      <c r="CI73" s="319"/>
      <c r="CJ73" s="319"/>
      <c r="CK73" s="319"/>
    </row>
    <row r="74" spans="1:89" ht="13.2" hidden="1">
      <c r="A74" s="12"/>
      <c r="B74" s="329" t="str">
        <f>IF(EET!D49="","",EET!D49)</f>
        <v/>
      </c>
      <c r="C74" s="30" t="s">
        <v>637</v>
      </c>
      <c r="D74" s="30" t="s">
        <v>637</v>
      </c>
      <c r="E74" s="30">
        <f>IF(OR($R$39=1,$R$39=4),EET!BI49,IF(OR($R$39=6,$R$39=2),EET!BI49-EET!BK49,EET!BK49))*$V$35</f>
        <v>0</v>
      </c>
      <c r="F74" s="290">
        <f>EET!E49</f>
        <v>0</v>
      </c>
      <c r="G74" s="30">
        <f>EET!F49</f>
        <v>0</v>
      </c>
      <c r="H74" s="30">
        <f>EET!G49</f>
        <v>0</v>
      </c>
      <c r="I74" s="140" t="str">
        <f t="shared" si="4"/>
        <v>-</v>
      </c>
      <c r="J74" s="1017" t="s">
        <v>4190</v>
      </c>
      <c r="K74" s="9"/>
      <c r="L74" s="12"/>
      <c r="M74" s="393">
        <f>IF(OR(EET!BU49&gt;0,Q74=""),1,0)</f>
        <v>0</v>
      </c>
      <c r="N74" s="319">
        <v>12150</v>
      </c>
      <c r="O74" s="319"/>
      <c r="P74" s="319"/>
      <c r="Q74" s="3" t="b">
        <v>1</v>
      </c>
      <c r="R74" s="319"/>
      <c r="S74" s="319"/>
      <c r="T74" s="319"/>
      <c r="U74" s="319"/>
      <c r="V74" s="309" t="b">
        <v>1</v>
      </c>
      <c r="W74" s="319" t="b">
        <v>1</v>
      </c>
      <c r="X74" s="319"/>
      <c r="Y74" s="319"/>
      <c r="Z74" s="319"/>
      <c r="AA74" s="319"/>
      <c r="AB74" s="319"/>
      <c r="AC74" s="319"/>
      <c r="AD74" s="319"/>
      <c r="AE74" s="319"/>
      <c r="AF74" s="319"/>
      <c r="AG74" s="319"/>
      <c r="AO74" s="319"/>
      <c r="AP74" s="1014">
        <v>123</v>
      </c>
      <c r="AQ74" s="1004">
        <v>10</v>
      </c>
      <c r="AR74" s="1006">
        <v>123</v>
      </c>
      <c r="AS74" s="1004">
        <v>17</v>
      </c>
      <c r="AT74" s="1006">
        <v>123</v>
      </c>
      <c r="AU74" s="1004">
        <v>9</v>
      </c>
      <c r="AV74" s="319"/>
      <c r="AW74" s="319"/>
      <c r="AX74" s="319"/>
      <c r="AY74" s="319"/>
      <c r="AZ74" s="319"/>
      <c r="BA74" s="319"/>
      <c r="BB74" s="319"/>
      <c r="BC74" s="319"/>
      <c r="BD74" s="319"/>
      <c r="BE74" s="319"/>
      <c r="BF74" s="319"/>
      <c r="BG74" s="319"/>
      <c r="BH74" s="319"/>
      <c r="BI74" s="319"/>
      <c r="BJ74" s="319"/>
      <c r="BK74" s="319"/>
      <c r="BL74" s="319"/>
      <c r="BM74" s="319"/>
      <c r="BN74" s="319"/>
      <c r="BO74" s="319"/>
      <c r="BP74" s="319"/>
      <c r="BQ74" s="319"/>
      <c r="BR74" s="319"/>
      <c r="BS74" s="319"/>
      <c r="BT74" s="319"/>
      <c r="BU74" s="319"/>
      <c r="BV74" s="319"/>
      <c r="BW74" s="319"/>
      <c r="BX74" s="319"/>
      <c r="BY74" s="319"/>
      <c r="BZ74" s="319"/>
      <c r="CA74" s="319"/>
      <c r="CB74" s="319"/>
      <c r="CC74" s="319"/>
      <c r="CD74" s="319"/>
      <c r="CE74" s="319"/>
      <c r="CF74" s="319"/>
      <c r="CG74" s="319"/>
      <c r="CH74" s="319"/>
      <c r="CI74" s="319"/>
      <c r="CJ74" s="319"/>
      <c r="CK74" s="319"/>
    </row>
    <row r="75" spans="1:89" ht="13.2" hidden="1">
      <c r="A75" s="12"/>
      <c r="B75" s="329" t="str">
        <f>IF(EET!D50="","",EET!D50)</f>
        <v/>
      </c>
      <c r="C75" s="30" t="s">
        <v>637</v>
      </c>
      <c r="D75" s="30" t="s">
        <v>637</v>
      </c>
      <c r="E75" s="30">
        <f>IF(OR($R$39=1,$R$39=4),EET!BI50,IF(OR($R$39=6,$R$39=2),EET!BI50-EET!BK50,EET!BK50))*$V$35</f>
        <v>0</v>
      </c>
      <c r="F75" s="290">
        <f>EET!E50</f>
        <v>0</v>
      </c>
      <c r="G75" s="30">
        <f>EET!F50</f>
        <v>0</v>
      </c>
      <c r="H75" s="30">
        <f>EET!G50</f>
        <v>0</v>
      </c>
      <c r="I75" s="140" t="str">
        <f t="shared" si="4"/>
        <v>-</v>
      </c>
      <c r="J75" s="1017" t="s">
        <v>4190</v>
      </c>
      <c r="K75" s="9"/>
      <c r="L75" s="12"/>
      <c r="M75" s="393">
        <f>IF(OR(EET!BU50&gt;0,Q75=""),1,0)</f>
        <v>0</v>
      </c>
      <c r="N75" s="319">
        <v>12150</v>
      </c>
      <c r="O75" s="319"/>
      <c r="P75" s="319"/>
      <c r="Q75" s="3" t="b">
        <v>1</v>
      </c>
      <c r="R75" s="319"/>
      <c r="S75" s="319"/>
      <c r="T75" s="319"/>
      <c r="U75" s="319"/>
      <c r="V75" s="309" t="b">
        <v>1</v>
      </c>
      <c r="W75" s="319" t="b">
        <v>1</v>
      </c>
      <c r="X75" s="319"/>
      <c r="Y75" s="319"/>
      <c r="Z75" s="319"/>
      <c r="AA75" s="319"/>
      <c r="AB75" s="319"/>
      <c r="AC75" s="319"/>
      <c r="AD75" s="319"/>
      <c r="AE75" s="319"/>
      <c r="AF75" s="319"/>
      <c r="AG75" s="319"/>
      <c r="AO75" s="319"/>
      <c r="AP75" s="1014">
        <v>125</v>
      </c>
      <c r="AQ75" s="1004">
        <v>10</v>
      </c>
      <c r="AR75" s="1006">
        <v>125</v>
      </c>
      <c r="AS75" s="1004">
        <v>17</v>
      </c>
      <c r="AT75" s="1006">
        <v>125</v>
      </c>
      <c r="AU75" s="1004">
        <v>9</v>
      </c>
      <c r="AV75" s="319"/>
      <c r="AW75" s="319"/>
      <c r="AX75" s="319"/>
      <c r="AY75" s="319"/>
      <c r="AZ75" s="319"/>
      <c r="BA75" s="319"/>
      <c r="BB75" s="319"/>
      <c r="BC75" s="319"/>
      <c r="BD75" s="319"/>
      <c r="BE75" s="319"/>
      <c r="BF75" s="319"/>
      <c r="BG75" s="319"/>
      <c r="BH75" s="319"/>
      <c r="BI75" s="319"/>
      <c r="BJ75" s="319"/>
      <c r="BK75" s="319"/>
      <c r="BL75" s="319"/>
      <c r="BM75" s="319"/>
      <c r="BN75" s="319"/>
      <c r="BO75" s="319"/>
      <c r="BP75" s="319"/>
      <c r="BQ75" s="319"/>
      <c r="BR75" s="319"/>
      <c r="BS75" s="319"/>
      <c r="BT75" s="319"/>
      <c r="BU75" s="319"/>
      <c r="BV75" s="319"/>
      <c r="BW75" s="319"/>
      <c r="BX75" s="319"/>
      <c r="BY75" s="319"/>
      <c r="BZ75" s="319"/>
      <c r="CA75" s="319"/>
      <c r="CB75" s="319"/>
      <c r="CC75" s="319"/>
      <c r="CD75" s="319"/>
      <c r="CE75" s="319"/>
      <c r="CF75" s="319"/>
      <c r="CG75" s="319"/>
      <c r="CH75" s="319"/>
      <c r="CI75" s="319"/>
      <c r="CJ75" s="319"/>
      <c r="CK75" s="319"/>
    </row>
    <row r="76" spans="1:89" ht="13.2">
      <c r="A76" s="12"/>
      <c r="B76" s="543" t="str">
        <f>Language!C149</f>
        <v>Água quente</v>
      </c>
      <c r="C76" s="30"/>
      <c r="D76" s="30"/>
      <c r="E76" s="30"/>
      <c r="F76" s="290"/>
      <c r="G76" s="30"/>
      <c r="H76" s="30"/>
      <c r="I76" s="140"/>
      <c r="J76" s="29"/>
      <c r="K76" s="9"/>
      <c r="L76" s="12"/>
      <c r="M76" s="393">
        <f>IF(OR(EET!BU51&gt;0,Q76=""),1,0)</f>
        <v>1</v>
      </c>
      <c r="N76" s="319">
        <v>12160</v>
      </c>
      <c r="O76" s="319"/>
      <c r="P76" s="319"/>
      <c r="Q76" s="319"/>
      <c r="R76" s="319"/>
      <c r="S76" s="319"/>
      <c r="T76" s="319"/>
      <c r="U76" s="319"/>
      <c r="V76" s="309"/>
      <c r="W76" s="319"/>
      <c r="X76" s="319"/>
      <c r="Y76" s="319"/>
      <c r="Z76" s="319"/>
      <c r="AA76" s="319"/>
      <c r="AB76" s="319"/>
      <c r="AC76" s="319"/>
      <c r="AD76" s="319"/>
      <c r="AE76" s="319"/>
      <c r="AF76" s="319"/>
      <c r="AG76" s="319"/>
      <c r="AO76" s="319"/>
      <c r="AP76" s="1014">
        <v>126</v>
      </c>
      <c r="AQ76" s="1004">
        <v>10</v>
      </c>
      <c r="AR76" s="1006">
        <v>126</v>
      </c>
      <c r="AS76" s="1004">
        <v>17</v>
      </c>
      <c r="AT76" s="1006">
        <v>126</v>
      </c>
      <c r="AU76" s="1004">
        <v>9</v>
      </c>
      <c r="AV76" s="319"/>
      <c r="AW76" s="319"/>
      <c r="AX76" s="319"/>
      <c r="AY76" s="319"/>
      <c r="AZ76" s="319"/>
      <c r="BA76" s="319"/>
      <c r="BB76" s="319"/>
      <c r="BC76" s="319"/>
      <c r="BD76" s="319"/>
      <c r="BE76" s="319"/>
      <c r="BF76" s="319"/>
      <c r="BG76" s="319"/>
      <c r="BH76" s="319"/>
      <c r="BI76" s="319"/>
      <c r="BJ76" s="319"/>
      <c r="BK76" s="319"/>
      <c r="BL76" s="319"/>
      <c r="BM76" s="319"/>
      <c r="BN76" s="319"/>
      <c r="BO76" s="319"/>
      <c r="BP76" s="319"/>
      <c r="BQ76" s="319"/>
      <c r="BR76" s="319"/>
      <c r="BS76" s="319"/>
      <c r="BT76" s="319"/>
      <c r="BU76" s="319"/>
      <c r="BV76" s="319"/>
      <c r="BW76" s="319"/>
      <c r="BX76" s="319"/>
      <c r="BY76" s="319"/>
      <c r="BZ76" s="319"/>
      <c r="CA76" s="319"/>
      <c r="CB76" s="319"/>
      <c r="CC76" s="319"/>
      <c r="CD76" s="319"/>
      <c r="CE76" s="319"/>
      <c r="CF76" s="319"/>
      <c r="CG76" s="319"/>
      <c r="CH76" s="319"/>
      <c r="CI76" s="319"/>
      <c r="CJ76" s="319"/>
      <c r="CK76" s="319"/>
    </row>
    <row r="77" spans="1:89" ht="13.2" hidden="1">
      <c r="A77" s="12"/>
      <c r="B77" s="329" t="str">
        <f>IF(EET!D52="","",EET!D52)</f>
        <v/>
      </c>
      <c r="C77" s="30">
        <f>IF($R$39=1,EET!X52,IF($R$39=2,EET!AG52,IF($R$39=3,EET!AF52,IF($R$39=4,EET!T52,IF($R$39=5,EET!AB52,EET!T52-EET!AB52)))))*$V$35</f>
        <v>0</v>
      </c>
      <c r="D77" s="30" t="s">
        <v>637</v>
      </c>
      <c r="E77" s="30" t="s">
        <v>637</v>
      </c>
      <c r="F77" s="290">
        <f>EET!E52</f>
        <v>0</v>
      </c>
      <c r="G77" s="30">
        <f>EET!F52</f>
        <v>0</v>
      </c>
      <c r="H77" s="30">
        <f>EET!G52</f>
        <v>0</v>
      </c>
      <c r="I77" s="140" t="str">
        <f t="shared" si="4"/>
        <v>-</v>
      </c>
      <c r="J77" s="1017" t="s">
        <v>4190</v>
      </c>
      <c r="K77" s="9"/>
      <c r="L77" s="12"/>
      <c r="M77" s="393">
        <f>IF(OR(EET!BU52&gt;0,Q77=""),1,0)</f>
        <v>0</v>
      </c>
      <c r="N77" s="319">
        <v>12160</v>
      </c>
      <c r="O77" s="319"/>
      <c r="P77" s="319"/>
      <c r="Q77" s="311" t="b">
        <v>1</v>
      </c>
      <c r="R77" s="319"/>
      <c r="S77" s="319"/>
      <c r="T77" s="319"/>
      <c r="U77" s="319"/>
      <c r="V77" s="309" t="b">
        <v>1</v>
      </c>
      <c r="W77" s="309" t="b">
        <v>1</v>
      </c>
      <c r="X77" s="319"/>
      <c r="Y77" s="319"/>
      <c r="Z77" s="319"/>
      <c r="AA77" s="319"/>
      <c r="AB77" s="319"/>
      <c r="AC77" s="319"/>
      <c r="AD77" s="319"/>
      <c r="AE77" s="319"/>
      <c r="AF77" s="319"/>
      <c r="AG77" s="319"/>
      <c r="AO77" s="319"/>
      <c r="AP77" s="1014">
        <v>127</v>
      </c>
      <c r="AQ77" s="1004">
        <v>10</v>
      </c>
      <c r="AR77" s="1006">
        <v>127</v>
      </c>
      <c r="AS77" s="1004">
        <v>17</v>
      </c>
      <c r="AT77" s="1006">
        <v>127</v>
      </c>
      <c r="AU77" s="1004">
        <v>9</v>
      </c>
      <c r="AV77" s="319"/>
      <c r="AW77" s="319"/>
      <c r="AX77" s="319"/>
      <c r="AY77" s="319"/>
      <c r="AZ77" s="319"/>
      <c r="BA77" s="319"/>
      <c r="BB77" s="319"/>
      <c r="BC77" s="319"/>
      <c r="BD77" s="319"/>
      <c r="BE77" s="319"/>
      <c r="BF77" s="319"/>
      <c r="BG77" s="319"/>
      <c r="BH77" s="319"/>
      <c r="BI77" s="319"/>
      <c r="BJ77" s="319"/>
      <c r="BK77" s="319"/>
      <c r="BL77" s="319"/>
      <c r="BM77" s="319"/>
      <c r="BN77" s="319"/>
      <c r="BO77" s="319"/>
      <c r="BP77" s="319"/>
      <c r="BQ77" s="319"/>
      <c r="BR77" s="319"/>
      <c r="BS77" s="319"/>
      <c r="BT77" s="319"/>
      <c r="BU77" s="319"/>
      <c r="BV77" s="319"/>
      <c r="BW77" s="319"/>
      <c r="BX77" s="319"/>
      <c r="BY77" s="319"/>
      <c r="BZ77" s="319"/>
      <c r="CA77" s="319"/>
      <c r="CB77" s="319"/>
      <c r="CC77" s="319"/>
      <c r="CD77" s="319"/>
      <c r="CE77" s="319"/>
      <c r="CF77" s="319"/>
      <c r="CG77" s="319"/>
      <c r="CH77" s="319"/>
      <c r="CI77" s="319"/>
      <c r="CJ77" s="319"/>
      <c r="CK77" s="319"/>
    </row>
    <row r="78" spans="1:89" ht="13.2" hidden="1">
      <c r="A78" s="12"/>
      <c r="B78" s="329" t="str">
        <f>IF(EET!D53="","",EET!D53)</f>
        <v/>
      </c>
      <c r="C78" s="30">
        <f>IF($R$39=1,EET!X53,IF($R$39=2,EET!AG53,IF($R$39=3,EET!AF53,IF($R$39=4,EET!T53,IF($R$39=5,EET!AB53,EET!T53-EET!AB53)))))*$V$35</f>
        <v>0</v>
      </c>
      <c r="D78" s="30" t="s">
        <v>637</v>
      </c>
      <c r="E78" s="30" t="s">
        <v>637</v>
      </c>
      <c r="F78" s="290">
        <f>EET!E53</f>
        <v>0</v>
      </c>
      <c r="G78" s="30">
        <f>EET!F53</f>
        <v>0</v>
      </c>
      <c r="H78" s="30">
        <f>EET!G53</f>
        <v>0</v>
      </c>
      <c r="I78" s="140" t="str">
        <f t="shared" si="4"/>
        <v>-</v>
      </c>
      <c r="J78" s="1017" t="s">
        <v>4190</v>
      </c>
      <c r="K78" s="9"/>
      <c r="L78" s="12"/>
      <c r="M78" s="393">
        <f>IF(OR(EET!BU53&gt;0,Q78=""),1,0)</f>
        <v>0</v>
      </c>
      <c r="N78" s="319">
        <v>12160</v>
      </c>
      <c r="O78" s="319"/>
      <c r="P78" s="319"/>
      <c r="Q78" s="3" t="b">
        <v>1</v>
      </c>
      <c r="R78" s="319"/>
      <c r="S78" s="319"/>
      <c r="T78" s="319"/>
      <c r="U78" s="319"/>
      <c r="V78" s="309" t="b">
        <v>1</v>
      </c>
      <c r="W78" s="319" t="b">
        <v>1</v>
      </c>
      <c r="X78" s="319"/>
      <c r="Y78" s="319"/>
      <c r="Z78" s="319"/>
      <c r="AA78" s="319"/>
      <c r="AB78" s="319"/>
      <c r="AC78" s="319"/>
      <c r="AD78" s="319"/>
      <c r="AE78" s="319"/>
      <c r="AF78" s="319"/>
      <c r="AG78" s="319"/>
      <c r="AO78" s="319"/>
      <c r="AP78" s="1014">
        <v>128</v>
      </c>
      <c r="AQ78" s="1004">
        <v>10</v>
      </c>
      <c r="AR78" s="1006">
        <v>128</v>
      </c>
      <c r="AS78" s="1004">
        <v>17</v>
      </c>
      <c r="AT78" s="1006">
        <v>128</v>
      </c>
      <c r="AU78" s="1004">
        <v>9</v>
      </c>
      <c r="AV78" s="319"/>
      <c r="AW78" s="319"/>
      <c r="AX78" s="319"/>
      <c r="AY78" s="319"/>
      <c r="AZ78" s="319"/>
      <c r="BA78" s="319"/>
      <c r="BB78" s="319"/>
      <c r="BC78" s="319"/>
      <c r="BD78" s="319"/>
      <c r="BE78" s="319"/>
      <c r="BF78" s="319"/>
      <c r="BG78" s="319"/>
      <c r="BH78" s="319"/>
      <c r="BI78" s="319"/>
      <c r="BJ78" s="319"/>
      <c r="BK78" s="319"/>
      <c r="BL78" s="319"/>
      <c r="BM78" s="319"/>
      <c r="BN78" s="319"/>
      <c r="BO78" s="319"/>
      <c r="BP78" s="319"/>
      <c r="BQ78" s="319"/>
      <c r="BR78" s="319"/>
      <c r="BS78" s="319"/>
      <c r="BT78" s="319"/>
      <c r="BU78" s="319"/>
      <c r="BV78" s="319"/>
      <c r="BW78" s="319"/>
      <c r="BX78" s="319"/>
      <c r="BY78" s="319"/>
      <c r="BZ78" s="319"/>
      <c r="CA78" s="319"/>
      <c r="CB78" s="319"/>
      <c r="CC78" s="319"/>
      <c r="CD78" s="319"/>
      <c r="CE78" s="319"/>
      <c r="CF78" s="319"/>
      <c r="CG78" s="319"/>
      <c r="CH78" s="319"/>
      <c r="CI78" s="319"/>
      <c r="CJ78" s="319"/>
      <c r="CK78" s="319"/>
    </row>
    <row r="79" spans="1:89" ht="13.2" hidden="1">
      <c r="A79" s="12"/>
      <c r="B79" s="329" t="str">
        <f>IF(EET!D54="","",EET!D54)</f>
        <v/>
      </c>
      <c r="C79" s="30">
        <f>IF($R$39=1,EET!X54,IF($R$39=2,EET!AG54,IF($R$39=3,EET!AF54,IF($R$39=4,EET!T54,IF($R$39=5,EET!AB54,EET!T54-EET!AB54)))))*$V$35</f>
        <v>0</v>
      </c>
      <c r="D79" s="30" t="s">
        <v>637</v>
      </c>
      <c r="E79" s="30" t="s">
        <v>637</v>
      </c>
      <c r="F79" s="290">
        <f>EET!E54</f>
        <v>0</v>
      </c>
      <c r="G79" s="30">
        <f>EET!F54</f>
        <v>0</v>
      </c>
      <c r="H79" s="30">
        <f>EET!G54</f>
        <v>0</v>
      </c>
      <c r="I79" s="140" t="str">
        <f t="shared" si="4"/>
        <v>-</v>
      </c>
      <c r="J79" s="1017" t="s">
        <v>4190</v>
      </c>
      <c r="K79" s="9"/>
      <c r="L79" s="12"/>
      <c r="M79" s="393">
        <f>IF(OR(EET!BU54&gt;0,Q79=""),1,0)</f>
        <v>0</v>
      </c>
      <c r="N79" s="319">
        <v>12160</v>
      </c>
      <c r="O79" s="319"/>
      <c r="P79" s="319"/>
      <c r="Q79" s="3" t="b">
        <v>1</v>
      </c>
      <c r="R79" s="319"/>
      <c r="S79" s="319"/>
      <c r="T79" s="319"/>
      <c r="U79" s="319"/>
      <c r="V79" s="309" t="b">
        <v>1</v>
      </c>
      <c r="W79" s="319" t="b">
        <v>1</v>
      </c>
      <c r="X79" s="319"/>
      <c r="Y79" s="319"/>
      <c r="Z79" s="319"/>
      <c r="AA79" s="319"/>
      <c r="AB79" s="319"/>
      <c r="AC79" s="319"/>
      <c r="AD79" s="319"/>
      <c r="AE79" s="319"/>
      <c r="AF79" s="319"/>
      <c r="AG79" s="319"/>
      <c r="AO79" s="319"/>
      <c r="AP79" s="1014">
        <v>129</v>
      </c>
      <c r="AQ79" s="1004">
        <v>10</v>
      </c>
      <c r="AR79" s="1006">
        <v>129</v>
      </c>
      <c r="AS79" s="1004">
        <v>17</v>
      </c>
      <c r="AT79" s="1006">
        <v>129</v>
      </c>
      <c r="AU79" s="1004">
        <v>9</v>
      </c>
      <c r="AV79" s="319"/>
      <c r="AW79" s="319"/>
      <c r="AX79" s="319"/>
      <c r="AY79" s="319"/>
      <c r="AZ79" s="319"/>
      <c r="BA79" s="319"/>
      <c r="BB79" s="319"/>
      <c r="BC79" s="319"/>
      <c r="BD79" s="319"/>
      <c r="BE79" s="319"/>
      <c r="BF79" s="319"/>
      <c r="BG79" s="319"/>
      <c r="BH79" s="319"/>
      <c r="BI79" s="319"/>
      <c r="BJ79" s="319"/>
      <c r="BK79" s="319"/>
      <c r="BL79" s="319"/>
      <c r="BM79" s="319"/>
      <c r="BN79" s="319"/>
      <c r="BO79" s="319"/>
      <c r="BP79" s="319"/>
      <c r="BQ79" s="319"/>
      <c r="BR79" s="319"/>
      <c r="BS79" s="319"/>
      <c r="BT79" s="319"/>
      <c r="BU79" s="319"/>
      <c r="BV79" s="319"/>
      <c r="BW79" s="319"/>
      <c r="BX79" s="319"/>
      <c r="BY79" s="319"/>
      <c r="BZ79" s="319"/>
      <c r="CA79" s="319"/>
      <c r="CB79" s="319"/>
      <c r="CC79" s="319"/>
      <c r="CD79" s="319"/>
      <c r="CE79" s="319"/>
      <c r="CF79" s="319"/>
      <c r="CG79" s="319"/>
      <c r="CH79" s="319"/>
      <c r="CI79" s="319"/>
      <c r="CJ79" s="319"/>
      <c r="CK79" s="319"/>
    </row>
    <row r="80" spans="1:89" ht="13.2" hidden="1">
      <c r="A80" s="12"/>
      <c r="B80" s="329" t="str">
        <f>IF(EET!D55="","",EET!D55)</f>
        <v/>
      </c>
      <c r="C80" s="30">
        <f>IF($R$39=1,EET!X55,IF($R$39=2,EET!AG55,IF($R$39=3,EET!AF55,IF($R$39=4,EET!T55,IF($R$39=5,EET!AB55,EET!T55-EET!AB55)))))*$V$35</f>
        <v>0</v>
      </c>
      <c r="D80" s="30" t="s">
        <v>637</v>
      </c>
      <c r="E80" s="30" t="s">
        <v>637</v>
      </c>
      <c r="F80" s="290">
        <f>EET!E55</f>
        <v>0</v>
      </c>
      <c r="G80" s="30">
        <f>EET!F55</f>
        <v>0</v>
      </c>
      <c r="H80" s="30">
        <f>EET!G55</f>
        <v>0</v>
      </c>
      <c r="I80" s="140" t="str">
        <f t="shared" si="4"/>
        <v>-</v>
      </c>
      <c r="J80" s="1017" t="s">
        <v>4190</v>
      </c>
      <c r="K80" s="9"/>
      <c r="L80" s="12"/>
      <c r="M80" s="393">
        <f>IF(OR(EET!BU55&gt;0,Q80=""),1,0)</f>
        <v>0</v>
      </c>
      <c r="N80" s="319">
        <v>12160</v>
      </c>
      <c r="O80" s="319"/>
      <c r="P80" s="319"/>
      <c r="Q80" s="3" t="b">
        <v>1</v>
      </c>
      <c r="R80" s="319"/>
      <c r="S80" s="318" t="s">
        <v>1679</v>
      </c>
      <c r="T80" s="319"/>
      <c r="U80" s="319"/>
      <c r="V80" s="309" t="b">
        <v>1</v>
      </c>
      <c r="W80" s="319" t="b">
        <v>1</v>
      </c>
      <c r="X80" s="319"/>
      <c r="Y80" s="319"/>
      <c r="Z80" s="319"/>
      <c r="AA80" s="319"/>
      <c r="AB80" s="319"/>
      <c r="AC80" s="319"/>
      <c r="AD80" s="319"/>
      <c r="AE80" s="319"/>
      <c r="AF80" s="319"/>
      <c r="AG80" s="319"/>
      <c r="AO80" s="319"/>
      <c r="AP80" s="1014">
        <v>131</v>
      </c>
      <c r="AQ80" s="1004">
        <v>10</v>
      </c>
      <c r="AR80" s="1006">
        <v>131</v>
      </c>
      <c r="AS80" s="1004">
        <v>17</v>
      </c>
      <c r="AT80" s="1006">
        <v>131</v>
      </c>
      <c r="AU80" s="1004">
        <v>9</v>
      </c>
      <c r="AV80" s="319"/>
      <c r="AW80" s="319"/>
      <c r="AX80" s="319"/>
      <c r="AY80" s="319"/>
      <c r="AZ80" s="319"/>
      <c r="BA80" s="319"/>
      <c r="BB80" s="319"/>
      <c r="BC80" s="319"/>
      <c r="BD80" s="319"/>
      <c r="BE80" s="319"/>
      <c r="BF80" s="319"/>
      <c r="BG80" s="319"/>
      <c r="BH80" s="319"/>
      <c r="BI80" s="319"/>
      <c r="BJ80" s="319"/>
      <c r="BK80" s="319"/>
      <c r="BL80" s="319"/>
      <c r="BM80" s="319"/>
      <c r="BN80" s="319"/>
      <c r="BO80" s="319"/>
      <c r="BP80" s="319"/>
      <c r="BQ80" s="319"/>
      <c r="BR80" s="319"/>
      <c r="BS80" s="319"/>
      <c r="BT80" s="319"/>
      <c r="BU80" s="319"/>
      <c r="BV80" s="319"/>
      <c r="BW80" s="319"/>
      <c r="BX80" s="319"/>
      <c r="BY80" s="319"/>
      <c r="BZ80" s="319"/>
      <c r="CA80" s="319"/>
      <c r="CB80" s="319"/>
      <c r="CC80" s="319"/>
      <c r="CD80" s="319"/>
      <c r="CE80" s="319"/>
      <c r="CF80" s="319"/>
      <c r="CG80" s="319"/>
      <c r="CH80" s="319"/>
      <c r="CI80" s="319"/>
      <c r="CJ80" s="319"/>
      <c r="CK80" s="319"/>
    </row>
    <row r="81" spans="1:89" ht="13.2" hidden="1">
      <c r="A81" s="12"/>
      <c r="B81" s="329" t="str">
        <f>IF(EET!D56="","",EET!D56)</f>
        <v/>
      </c>
      <c r="C81" s="30">
        <f>IF($R$39=1,EET!X56,IF($R$39=2,EET!AG56,IF($R$39=3,EET!AF56,IF($R$39=4,EET!T56,IF($R$39=5,EET!AB56,EET!T56-EET!AB56)))))*$V$35</f>
        <v>0</v>
      </c>
      <c r="D81" s="30" t="s">
        <v>637</v>
      </c>
      <c r="E81" s="30" t="s">
        <v>637</v>
      </c>
      <c r="F81" s="290">
        <f>EET!E56</f>
        <v>0</v>
      </c>
      <c r="G81" s="30">
        <f>EET!F56</f>
        <v>0</v>
      </c>
      <c r="H81" s="30">
        <f>EET!G56</f>
        <v>0</v>
      </c>
      <c r="I81" s="140" t="str">
        <f t="shared" si="4"/>
        <v>-</v>
      </c>
      <c r="J81" s="1017" t="s">
        <v>4190</v>
      </c>
      <c r="K81" s="9"/>
      <c r="L81" s="12"/>
      <c r="M81" s="393">
        <f>IF(OR(EET!BU56&gt;0,Q81=""),1,0)</f>
        <v>0</v>
      </c>
      <c r="N81" s="319">
        <v>12160</v>
      </c>
      <c r="O81" s="319"/>
      <c r="P81" s="319"/>
      <c r="Q81" s="3" t="b">
        <v>1</v>
      </c>
      <c r="R81" s="319"/>
      <c r="S81" s="319"/>
      <c r="T81" s="319" t="s">
        <v>3380</v>
      </c>
      <c r="U81" s="319"/>
      <c r="V81" s="309" t="b">
        <v>1</v>
      </c>
      <c r="W81" s="319" t="b">
        <v>1</v>
      </c>
      <c r="X81" s="319"/>
      <c r="Y81" s="319"/>
      <c r="Z81" s="319"/>
      <c r="AA81" s="319"/>
      <c r="AB81" s="319"/>
      <c r="AC81" s="319"/>
      <c r="AD81" s="319"/>
      <c r="AE81" s="319"/>
      <c r="AF81" s="319"/>
      <c r="AG81" s="319"/>
      <c r="AO81" s="319"/>
      <c r="AP81" s="1014">
        <v>132</v>
      </c>
      <c r="AQ81" s="1004">
        <v>10</v>
      </c>
      <c r="AR81" s="1006">
        <v>132</v>
      </c>
      <c r="AS81" s="1004">
        <v>17</v>
      </c>
      <c r="AT81" s="1006">
        <v>132</v>
      </c>
      <c r="AU81" s="1004">
        <v>9</v>
      </c>
      <c r="AV81" s="319"/>
      <c r="AW81" s="319"/>
      <c r="AX81" s="319"/>
      <c r="AY81" s="319"/>
      <c r="AZ81" s="319"/>
      <c r="BA81" s="319"/>
      <c r="BB81" s="319"/>
      <c r="BC81" s="319"/>
      <c r="BD81" s="319"/>
      <c r="BE81" s="319"/>
      <c r="BF81" s="319"/>
      <c r="BG81" s="319"/>
      <c r="BH81" s="319"/>
      <c r="BI81" s="319"/>
      <c r="BJ81" s="319"/>
      <c r="BK81" s="319"/>
      <c r="BL81" s="319"/>
      <c r="BM81" s="319"/>
      <c r="BN81" s="319"/>
      <c r="BO81" s="319"/>
      <c r="BP81" s="319"/>
      <c r="BQ81" s="319"/>
      <c r="BR81" s="319"/>
      <c r="BS81" s="319"/>
      <c r="BT81" s="319"/>
      <c r="BU81" s="319"/>
      <c r="BV81" s="319"/>
      <c r="BW81" s="319"/>
      <c r="BX81" s="319"/>
      <c r="BY81" s="319"/>
      <c r="BZ81" s="319"/>
      <c r="CA81" s="319"/>
      <c r="CB81" s="319"/>
      <c r="CC81" s="319"/>
      <c r="CD81" s="319"/>
      <c r="CE81" s="319"/>
      <c r="CF81" s="319"/>
      <c r="CG81" s="319"/>
      <c r="CH81" s="319"/>
      <c r="CI81" s="319"/>
      <c r="CJ81" s="319"/>
      <c r="CK81" s="319"/>
    </row>
    <row r="82" spans="1:89" ht="13.2">
      <c r="A82" s="12"/>
      <c r="B82" s="543" t="str">
        <f>Language!C1924</f>
        <v>Bombas</v>
      </c>
      <c r="C82" s="30"/>
      <c r="D82" s="30"/>
      <c r="E82" s="30"/>
      <c r="F82" s="290"/>
      <c r="G82" s="30"/>
      <c r="H82" s="30"/>
      <c r="I82" s="140"/>
      <c r="J82" s="29"/>
      <c r="K82" s="9"/>
      <c r="L82" s="12"/>
      <c r="M82" s="393">
        <f>IF($M$38&lt;R82,0,IF(OR(EET!BU57&gt;0,Q82=""),1,0))</f>
        <v>1</v>
      </c>
      <c r="N82" s="319">
        <v>12170</v>
      </c>
      <c r="O82" s="319"/>
      <c r="P82" s="319"/>
      <c r="Q82" s="319"/>
      <c r="R82" s="319">
        <v>2</v>
      </c>
      <c r="T82" s="319">
        <v>4</v>
      </c>
      <c r="U82" s="319"/>
      <c r="V82" s="309"/>
      <c r="W82" s="319"/>
      <c r="X82" s="319"/>
      <c r="Y82" s="319"/>
      <c r="Z82" s="319"/>
      <c r="AA82" s="319"/>
      <c r="AB82" s="319"/>
      <c r="AC82" s="319"/>
      <c r="AD82" s="319"/>
      <c r="AE82" s="319"/>
      <c r="AF82" s="319"/>
      <c r="AG82" s="319"/>
      <c r="AO82" s="319"/>
      <c r="AP82" s="1014">
        <v>133</v>
      </c>
      <c r="AQ82" s="1004">
        <v>10</v>
      </c>
      <c r="AR82" s="1006">
        <v>133</v>
      </c>
      <c r="AS82" s="1004">
        <v>17</v>
      </c>
      <c r="AT82" s="1006">
        <v>133</v>
      </c>
      <c r="AU82" s="1004">
        <v>9</v>
      </c>
      <c r="AV82" s="319"/>
      <c r="AW82" s="319"/>
      <c r="AX82" s="319"/>
      <c r="AY82" s="319"/>
      <c r="AZ82" s="319"/>
      <c r="BA82" s="319"/>
      <c r="BB82" s="319"/>
      <c r="BC82" s="319"/>
      <c r="BD82" s="319"/>
      <c r="BE82" s="319"/>
      <c r="BF82" s="319"/>
      <c r="BG82" s="319"/>
      <c r="BH82" s="319"/>
      <c r="BI82" s="319"/>
      <c r="BJ82" s="319"/>
      <c r="BK82" s="319"/>
      <c r="BL82" s="319"/>
      <c r="BM82" s="319"/>
      <c r="BN82" s="319"/>
      <c r="BO82" s="319"/>
      <c r="BP82" s="319"/>
      <c r="BQ82" s="319"/>
      <c r="BR82" s="319"/>
      <c r="BS82" s="319"/>
      <c r="BT82" s="319"/>
      <c r="BU82" s="319"/>
      <c r="BV82" s="319"/>
      <c r="BW82" s="319"/>
      <c r="BX82" s="319"/>
      <c r="BY82" s="319"/>
      <c r="BZ82" s="319"/>
      <c r="CA82" s="319"/>
      <c r="CB82" s="319"/>
      <c r="CC82" s="319"/>
      <c r="CD82" s="319"/>
      <c r="CE82" s="319"/>
      <c r="CF82" s="319"/>
      <c r="CG82" s="319"/>
      <c r="CH82" s="319"/>
      <c r="CI82" s="319"/>
      <c r="CJ82" s="319"/>
      <c r="CK82" s="319"/>
    </row>
    <row r="83" spans="1:89" ht="13.2" hidden="1">
      <c r="A83" s="12"/>
      <c r="B83" s="329" t="str">
        <f>IF(EET!D58="","",EET!D58)</f>
        <v/>
      </c>
      <c r="C83" s="30" t="s">
        <v>637</v>
      </c>
      <c r="D83" s="30" t="s">
        <v>637</v>
      </c>
      <c r="E83" s="30">
        <f>IF(OR($R$39=1,$R$39=4),EET!BI58,IF(OR($R$39=6,$R$39=2),EET!BI58-EET!BK58,EET!BK58))*$V$35</f>
        <v>0</v>
      </c>
      <c r="F83" s="290">
        <f>EET!E58</f>
        <v>0</v>
      </c>
      <c r="G83" s="30">
        <f>EET!F58</f>
        <v>0</v>
      </c>
      <c r="H83" s="30">
        <f>EET!G58</f>
        <v>0</v>
      </c>
      <c r="I83" s="140" t="str">
        <f t="shared" si="4"/>
        <v>-</v>
      </c>
      <c r="J83" s="1017" t="s">
        <v>4190</v>
      </c>
      <c r="K83" s="9"/>
      <c r="L83" s="12"/>
      <c r="M83" s="393">
        <f>IF($M$38&lt;R83,0,IF(OR(EET!BU58&gt;0,Q83=""),1,0))</f>
        <v>0</v>
      </c>
      <c r="N83" s="319">
        <v>12170</v>
      </c>
      <c r="O83" s="319"/>
      <c r="P83" s="319"/>
      <c r="Q83" s="311" t="b">
        <v>1</v>
      </c>
      <c r="R83" s="319">
        <v>2</v>
      </c>
      <c r="S83" s="319"/>
      <c r="T83" s="319">
        <v>4</v>
      </c>
      <c r="U83" s="319"/>
      <c r="V83" s="309" t="b">
        <v>1</v>
      </c>
      <c r="W83" s="309" t="b">
        <v>1</v>
      </c>
      <c r="X83" s="319"/>
      <c r="Y83" s="319"/>
      <c r="Z83" s="319"/>
      <c r="AA83" s="319"/>
      <c r="AB83" s="319"/>
      <c r="AC83" s="319"/>
      <c r="AD83" s="319"/>
      <c r="AE83" s="319"/>
      <c r="AF83" s="319"/>
      <c r="AG83" s="319"/>
      <c r="AO83" s="319"/>
      <c r="AP83" s="1014">
        <v>134</v>
      </c>
      <c r="AQ83" s="1004">
        <v>10</v>
      </c>
      <c r="AR83" s="1006">
        <v>134</v>
      </c>
      <c r="AS83" s="1004">
        <v>17</v>
      </c>
      <c r="AT83" s="1006">
        <v>134</v>
      </c>
      <c r="AU83" s="1004">
        <v>9</v>
      </c>
      <c r="AV83" s="319"/>
      <c r="AW83" s="319"/>
      <c r="AX83" s="319"/>
      <c r="AY83" s="319"/>
      <c r="AZ83" s="319"/>
      <c r="BA83" s="319"/>
      <c r="BB83" s="319"/>
      <c r="BC83" s="319"/>
      <c r="BD83" s="319"/>
      <c r="BE83" s="319"/>
      <c r="BF83" s="319"/>
      <c r="BG83" s="319"/>
      <c r="BH83" s="319"/>
      <c r="BI83" s="319"/>
      <c r="BJ83" s="319"/>
      <c r="BK83" s="319"/>
      <c r="BL83" s="319"/>
      <c r="BM83" s="319"/>
      <c r="BN83" s="319"/>
      <c r="BO83" s="319"/>
      <c r="BP83" s="319"/>
      <c r="BQ83" s="319"/>
      <c r="BR83" s="319"/>
      <c r="BS83" s="319"/>
      <c r="BT83" s="319"/>
      <c r="BU83" s="319"/>
      <c r="BV83" s="319"/>
      <c r="BW83" s="319"/>
      <c r="BX83" s="319"/>
      <c r="BY83" s="319"/>
      <c r="BZ83" s="319"/>
      <c r="CA83" s="319"/>
      <c r="CB83" s="319"/>
      <c r="CC83" s="319"/>
      <c r="CD83" s="319"/>
      <c r="CE83" s="319"/>
      <c r="CF83" s="319"/>
      <c r="CG83" s="319"/>
      <c r="CH83" s="319"/>
      <c r="CI83" s="319"/>
      <c r="CJ83" s="319"/>
      <c r="CK83" s="319"/>
    </row>
    <row r="84" spans="1:89" ht="13.2" hidden="1">
      <c r="A84" s="12"/>
      <c r="B84" s="329" t="str">
        <f>IF(EET!D59="","",EET!D59)</f>
        <v/>
      </c>
      <c r="C84" s="30" t="s">
        <v>637</v>
      </c>
      <c r="D84" s="30" t="s">
        <v>637</v>
      </c>
      <c r="E84" s="30">
        <f>IF(OR($R$39=1,$R$39=4),EET!BI59,IF(OR($R$39=6,$R$39=2),EET!BI59-EET!BK59,EET!BK59))*$V$35</f>
        <v>0</v>
      </c>
      <c r="F84" s="290">
        <f>EET!E59</f>
        <v>0</v>
      </c>
      <c r="G84" s="30">
        <f>EET!F59</f>
        <v>0</v>
      </c>
      <c r="H84" s="30">
        <f>EET!G59</f>
        <v>0</v>
      </c>
      <c r="I84" s="140" t="str">
        <f t="shared" si="4"/>
        <v>-</v>
      </c>
      <c r="J84" s="1017" t="s">
        <v>4190</v>
      </c>
      <c r="K84" s="9"/>
      <c r="L84" s="12"/>
      <c r="M84" s="393">
        <f>IF($M$38&lt;R84,0,IF(OR(EET!BU59&gt;0,Q84=""),1,0))</f>
        <v>0</v>
      </c>
      <c r="N84" s="319">
        <v>12170</v>
      </c>
      <c r="O84" s="319"/>
      <c r="P84" s="319"/>
      <c r="Q84" s="3" t="b">
        <v>1</v>
      </c>
      <c r="R84" s="319">
        <v>2</v>
      </c>
      <c r="S84" s="319"/>
      <c r="T84" s="319">
        <v>4</v>
      </c>
      <c r="U84" s="319"/>
      <c r="V84" s="309" t="b">
        <v>1</v>
      </c>
      <c r="W84" s="319" t="b">
        <v>1</v>
      </c>
      <c r="X84" s="319"/>
      <c r="Y84" s="319"/>
      <c r="Z84" s="319"/>
      <c r="AA84" s="319"/>
      <c r="AB84" s="319"/>
      <c r="AC84" s="319"/>
      <c r="AD84" s="319"/>
      <c r="AE84" s="319"/>
      <c r="AF84" s="319"/>
      <c r="AG84" s="319"/>
      <c r="AO84" s="319"/>
      <c r="AP84" s="1014">
        <v>135</v>
      </c>
      <c r="AQ84" s="1004">
        <v>10</v>
      </c>
      <c r="AR84" s="1006">
        <v>135</v>
      </c>
      <c r="AS84" s="1004">
        <v>17</v>
      </c>
      <c r="AT84" s="1006">
        <v>135</v>
      </c>
      <c r="AU84" s="1004">
        <v>9</v>
      </c>
      <c r="AV84" s="319"/>
      <c r="AW84" s="319"/>
      <c r="AX84" s="319"/>
      <c r="AY84" s="319"/>
      <c r="AZ84" s="319"/>
      <c r="BA84" s="319"/>
      <c r="BB84" s="319"/>
      <c r="BC84" s="319"/>
      <c r="BD84" s="319"/>
      <c r="BE84" s="319"/>
      <c r="BF84" s="319"/>
      <c r="BG84" s="319"/>
      <c r="BH84" s="319"/>
      <c r="BI84" s="319"/>
      <c r="BJ84" s="319"/>
      <c r="BK84" s="319"/>
      <c r="BL84" s="319"/>
      <c r="BM84" s="319"/>
      <c r="BN84" s="319"/>
      <c r="BO84" s="319"/>
      <c r="BP84" s="319"/>
      <c r="BQ84" s="319"/>
      <c r="BR84" s="319"/>
      <c r="BS84" s="319"/>
      <c r="BT84" s="319"/>
      <c r="BU84" s="319"/>
      <c r="BV84" s="319"/>
      <c r="BW84" s="319"/>
      <c r="BX84" s="319"/>
      <c r="BY84" s="319"/>
      <c r="BZ84" s="319"/>
      <c r="CA84" s="319"/>
      <c r="CB84" s="319"/>
      <c r="CC84" s="319"/>
      <c r="CD84" s="319"/>
      <c r="CE84" s="319"/>
      <c r="CF84" s="319"/>
      <c r="CG84" s="319"/>
      <c r="CH84" s="319"/>
      <c r="CI84" s="319"/>
      <c r="CJ84" s="319"/>
      <c r="CK84" s="319"/>
    </row>
    <row r="85" spans="1:89" ht="13.2" hidden="1">
      <c r="A85" s="12"/>
      <c r="B85" s="329" t="str">
        <f>IF(EET!D60="","",EET!D60)</f>
        <v/>
      </c>
      <c r="C85" s="30" t="s">
        <v>637</v>
      </c>
      <c r="D85" s="30" t="s">
        <v>637</v>
      </c>
      <c r="E85" s="30">
        <f>IF(OR($R$39=1,$R$39=4),EET!BI60,IF(OR($R$39=6,$R$39=2),EET!BI60-EET!BK60,EET!BK60))*$V$35</f>
        <v>0</v>
      </c>
      <c r="F85" s="290">
        <f>EET!E60</f>
        <v>0</v>
      </c>
      <c r="G85" s="30">
        <f>EET!F60</f>
        <v>0</v>
      </c>
      <c r="H85" s="30">
        <f>EET!G60</f>
        <v>0</v>
      </c>
      <c r="I85" s="140" t="str">
        <f t="shared" si="4"/>
        <v>-</v>
      </c>
      <c r="J85" s="1017" t="s">
        <v>4190</v>
      </c>
      <c r="K85" s="9"/>
      <c r="L85" s="12"/>
      <c r="M85" s="393">
        <f>IF($M$38&lt;R85,0,IF(OR(EET!BU60&gt;0,Q85=""),1,0))</f>
        <v>0</v>
      </c>
      <c r="N85" s="319">
        <v>12170</v>
      </c>
      <c r="O85" s="319"/>
      <c r="P85" s="319"/>
      <c r="Q85" s="3" t="b">
        <v>1</v>
      </c>
      <c r="R85" s="319">
        <v>2</v>
      </c>
      <c r="S85" s="319"/>
      <c r="T85" s="319">
        <v>4</v>
      </c>
      <c r="U85" s="319"/>
      <c r="V85" s="309" t="b">
        <v>1</v>
      </c>
      <c r="W85" s="319" t="b">
        <v>1</v>
      </c>
      <c r="X85" s="319"/>
      <c r="Y85" s="319"/>
      <c r="Z85" s="319"/>
      <c r="AA85" s="319"/>
      <c r="AB85" s="319"/>
      <c r="AC85" s="319"/>
      <c r="AD85" s="319"/>
      <c r="AE85" s="319"/>
      <c r="AF85" s="319"/>
      <c r="AG85" s="319"/>
      <c r="AO85" s="319"/>
      <c r="AP85" s="1014">
        <v>137</v>
      </c>
      <c r="AQ85" s="1004">
        <v>10</v>
      </c>
      <c r="AR85" s="1006">
        <v>137</v>
      </c>
      <c r="AS85" s="1004">
        <v>17</v>
      </c>
      <c r="AT85" s="1006">
        <v>137</v>
      </c>
      <c r="AU85" s="1004">
        <v>9</v>
      </c>
      <c r="AV85" s="319"/>
      <c r="AW85" s="319"/>
      <c r="AX85" s="319"/>
      <c r="AY85" s="319"/>
      <c r="AZ85" s="319"/>
      <c r="BA85" s="319"/>
      <c r="BB85" s="319"/>
      <c r="BC85" s="319"/>
      <c r="BD85" s="319"/>
      <c r="BE85" s="319"/>
      <c r="BF85" s="319"/>
      <c r="BG85" s="319"/>
      <c r="BH85" s="319"/>
      <c r="BI85" s="319"/>
      <c r="BJ85" s="319"/>
      <c r="BK85" s="319"/>
      <c r="BL85" s="319"/>
      <c r="BM85" s="319"/>
      <c r="BN85" s="319"/>
      <c r="BO85" s="319"/>
      <c r="BP85" s="319"/>
      <c r="BQ85" s="319"/>
      <c r="BR85" s="319"/>
      <c r="BS85" s="319"/>
      <c r="BT85" s="319"/>
      <c r="BU85" s="319"/>
      <c r="BV85" s="319"/>
      <c r="BW85" s="319"/>
      <c r="BX85" s="319"/>
      <c r="BY85" s="319"/>
      <c r="BZ85" s="319"/>
      <c r="CA85" s="319"/>
      <c r="CB85" s="319"/>
      <c r="CC85" s="319"/>
      <c r="CD85" s="319"/>
      <c r="CE85" s="319"/>
      <c r="CF85" s="319"/>
      <c r="CG85" s="319"/>
      <c r="CH85" s="319"/>
      <c r="CI85" s="319"/>
      <c r="CJ85" s="319"/>
      <c r="CK85" s="319"/>
    </row>
    <row r="86" spans="1:89" ht="13.2" hidden="1">
      <c r="A86" s="12"/>
      <c r="B86" s="329" t="str">
        <f>IF(EET!D61="","",EET!D61)</f>
        <v/>
      </c>
      <c r="C86" s="30" t="s">
        <v>637</v>
      </c>
      <c r="D86" s="30" t="s">
        <v>637</v>
      </c>
      <c r="E86" s="30">
        <f>IF(OR($R$39=1,$R$39=4),EET!BI61,IF(OR($R$39=6,$R$39=2),EET!BI61-EET!BK61,EET!BK61))*$V$35</f>
        <v>0</v>
      </c>
      <c r="F86" s="290">
        <f>EET!E61</f>
        <v>0</v>
      </c>
      <c r="G86" s="30">
        <f>EET!F61</f>
        <v>0</v>
      </c>
      <c r="H86" s="30">
        <f>EET!G61</f>
        <v>0</v>
      </c>
      <c r="I86" s="140" t="str">
        <f t="shared" si="4"/>
        <v>-</v>
      </c>
      <c r="J86" s="1017" t="s">
        <v>4190</v>
      </c>
      <c r="K86" s="9"/>
      <c r="L86" s="12"/>
      <c r="M86" s="393">
        <f>IF($M$38&lt;R86,0,IF(OR(EET!BU61&gt;0,Q86=""),1,0))</f>
        <v>0</v>
      </c>
      <c r="N86" s="319">
        <v>12170</v>
      </c>
      <c r="O86" s="319"/>
      <c r="P86" s="319"/>
      <c r="Q86" s="3" t="b">
        <v>1</v>
      </c>
      <c r="R86" s="319">
        <v>2</v>
      </c>
      <c r="S86" s="319"/>
      <c r="T86" s="319">
        <v>4</v>
      </c>
      <c r="U86" s="319"/>
      <c r="V86" s="309" t="b">
        <v>1</v>
      </c>
      <c r="W86" s="319" t="b">
        <v>1</v>
      </c>
      <c r="X86" s="319"/>
      <c r="Y86" s="319"/>
      <c r="Z86" s="319"/>
      <c r="AA86" s="319"/>
      <c r="AB86" s="319"/>
      <c r="AC86" s="319"/>
      <c r="AD86" s="319"/>
      <c r="AE86" s="319"/>
      <c r="AF86" s="319"/>
      <c r="AG86" s="319"/>
      <c r="AO86" s="319"/>
      <c r="AP86" s="1014">
        <v>138</v>
      </c>
      <c r="AQ86" s="1004">
        <v>10</v>
      </c>
      <c r="AR86" s="1006">
        <v>138</v>
      </c>
      <c r="AS86" s="1004">
        <v>17</v>
      </c>
      <c r="AT86" s="1006">
        <v>138</v>
      </c>
      <c r="AU86" s="1004">
        <v>9</v>
      </c>
      <c r="AV86" s="319"/>
      <c r="AW86" s="319"/>
      <c r="AX86" s="319"/>
      <c r="AY86" s="319"/>
      <c r="AZ86" s="319"/>
      <c r="BA86" s="319"/>
      <c r="BB86" s="319"/>
      <c r="BC86" s="319"/>
      <c r="BD86" s="319"/>
      <c r="BE86" s="319"/>
      <c r="BF86" s="319"/>
      <c r="BG86" s="319"/>
      <c r="BH86" s="319"/>
      <c r="BI86" s="319"/>
      <c r="BJ86" s="319"/>
      <c r="BK86" s="319"/>
      <c r="BL86" s="319"/>
      <c r="BM86" s="319"/>
      <c r="BN86" s="319"/>
      <c r="BO86" s="319"/>
      <c r="BP86" s="319"/>
      <c r="BQ86" s="319"/>
      <c r="BR86" s="319"/>
      <c r="BS86" s="319"/>
      <c r="BT86" s="319"/>
      <c r="BU86" s="319"/>
      <c r="BV86" s="319"/>
      <c r="BW86" s="319"/>
      <c r="BX86" s="319"/>
      <c r="BY86" s="319"/>
      <c r="BZ86" s="319"/>
      <c r="CA86" s="319"/>
      <c r="CB86" s="319"/>
      <c r="CC86" s="319"/>
      <c r="CD86" s="319"/>
      <c r="CE86" s="319"/>
      <c r="CF86" s="319"/>
      <c r="CG86" s="319"/>
      <c r="CH86" s="319"/>
      <c r="CI86" s="319"/>
      <c r="CJ86" s="319"/>
      <c r="CK86" s="319"/>
    </row>
    <row r="87" spans="1:89" ht="13.2" hidden="1">
      <c r="A87" s="12"/>
      <c r="B87" s="329" t="str">
        <f>IF(EET!D62="","",EET!D62)</f>
        <v/>
      </c>
      <c r="C87" s="30" t="s">
        <v>637</v>
      </c>
      <c r="D87" s="30" t="s">
        <v>637</v>
      </c>
      <c r="E87" s="30">
        <f>IF(OR($R$39=1,$R$39=4),EET!BI62,IF(OR($R$39=6,$R$39=2),EET!BI62-EET!BK62,EET!BK62))*$V$35</f>
        <v>0</v>
      </c>
      <c r="F87" s="290">
        <f>EET!E62</f>
        <v>0</v>
      </c>
      <c r="G87" s="30">
        <f>EET!F62</f>
        <v>0</v>
      </c>
      <c r="H87" s="30">
        <f>EET!G62</f>
        <v>0</v>
      </c>
      <c r="I87" s="140" t="str">
        <f t="shared" si="4"/>
        <v>-</v>
      </c>
      <c r="J87" s="1017" t="s">
        <v>4190</v>
      </c>
      <c r="K87" s="9"/>
      <c r="L87" s="12"/>
      <c r="M87" s="393">
        <f>IF($M$38&lt;R87,0,IF(OR(EET!BU62&gt;0,Q87=""),1,0))</f>
        <v>0</v>
      </c>
      <c r="N87" s="319">
        <v>12170</v>
      </c>
      <c r="O87" s="319"/>
      <c r="P87" s="319"/>
      <c r="Q87" s="3" t="b">
        <v>1</v>
      </c>
      <c r="R87" s="319">
        <v>2</v>
      </c>
      <c r="S87" s="319"/>
      <c r="T87" s="319">
        <v>4</v>
      </c>
      <c r="U87" s="319"/>
      <c r="V87" s="309" t="b">
        <v>1</v>
      </c>
      <c r="W87" s="319" t="b">
        <v>1</v>
      </c>
      <c r="X87" s="319"/>
      <c r="Y87" s="319"/>
      <c r="Z87" s="319"/>
      <c r="AA87" s="319"/>
      <c r="AB87" s="319"/>
      <c r="AC87" s="319"/>
      <c r="AD87" s="319"/>
      <c r="AE87" s="319"/>
      <c r="AF87" s="319"/>
      <c r="AG87" s="319"/>
      <c r="AO87" s="319"/>
      <c r="AP87" s="1014">
        <v>139</v>
      </c>
      <c r="AQ87" s="1004">
        <v>10</v>
      </c>
      <c r="AR87" s="1006">
        <v>139</v>
      </c>
      <c r="AS87" s="1004">
        <v>17</v>
      </c>
      <c r="AT87" s="1006">
        <v>139</v>
      </c>
      <c r="AU87" s="1004">
        <v>9</v>
      </c>
      <c r="AV87" s="319"/>
      <c r="AW87" s="319"/>
      <c r="AX87" s="319"/>
      <c r="AY87" s="319"/>
      <c r="AZ87" s="319"/>
      <c r="BA87" s="319"/>
      <c r="BB87" s="319"/>
      <c r="BC87" s="319"/>
      <c r="BD87" s="319"/>
      <c r="BE87" s="319"/>
      <c r="BF87" s="319"/>
      <c r="BG87" s="319"/>
      <c r="BH87" s="319"/>
      <c r="BI87" s="319"/>
      <c r="BJ87" s="319"/>
      <c r="BK87" s="319"/>
      <c r="BL87" s="319"/>
      <c r="BM87" s="319"/>
      <c r="BN87" s="319"/>
      <c r="BO87" s="319"/>
      <c r="BP87" s="319"/>
      <c r="BQ87" s="319"/>
      <c r="BR87" s="319"/>
      <c r="BS87" s="319"/>
      <c r="BT87" s="319"/>
      <c r="BU87" s="319"/>
      <c r="BV87" s="319"/>
      <c r="BW87" s="319"/>
      <c r="BX87" s="319"/>
      <c r="BY87" s="319"/>
      <c r="BZ87" s="319"/>
      <c r="CA87" s="319"/>
      <c r="CB87" s="319"/>
      <c r="CC87" s="319"/>
      <c r="CD87" s="319"/>
      <c r="CE87" s="319"/>
      <c r="CF87" s="319"/>
      <c r="CG87" s="319"/>
      <c r="CH87" s="319"/>
      <c r="CI87" s="319"/>
      <c r="CJ87" s="319"/>
      <c r="CK87" s="319"/>
    </row>
    <row r="88" spans="1:89" ht="13.2">
      <c r="A88" s="12"/>
      <c r="B88" s="543" t="str">
        <f>Language!C1652</f>
        <v>Ventiladores</v>
      </c>
      <c r="C88" s="30"/>
      <c r="D88" s="30"/>
      <c r="E88" s="30"/>
      <c r="F88" s="290"/>
      <c r="G88" s="30"/>
      <c r="H88" s="30"/>
      <c r="I88" s="140"/>
      <c r="J88" s="29"/>
      <c r="K88" s="9"/>
      <c r="L88" s="12"/>
      <c r="M88" s="393">
        <f>IF($M$38&lt;R88,0,IF(OR(EET!BU63&gt;0,Q88=""),1,0))</f>
        <v>1</v>
      </c>
      <c r="N88" s="319">
        <v>12180</v>
      </c>
      <c r="O88" s="319"/>
      <c r="P88" s="319"/>
      <c r="Q88" s="319"/>
      <c r="R88" s="319">
        <v>2</v>
      </c>
      <c r="S88" s="319"/>
      <c r="T88" s="319">
        <v>4</v>
      </c>
      <c r="U88" s="319"/>
      <c r="V88" s="309"/>
      <c r="W88" s="319"/>
      <c r="X88" s="319"/>
      <c r="Y88" s="319"/>
      <c r="Z88" s="319"/>
      <c r="AA88" s="319"/>
      <c r="AB88" s="319"/>
      <c r="AC88" s="319"/>
      <c r="AD88" s="319"/>
      <c r="AE88" s="319"/>
      <c r="AF88" s="319"/>
      <c r="AG88" s="319"/>
      <c r="AO88" s="319"/>
      <c r="AP88" s="1014">
        <v>140</v>
      </c>
      <c r="AQ88" s="1004">
        <v>10</v>
      </c>
      <c r="AR88" s="1006">
        <v>140</v>
      </c>
      <c r="AS88" s="1004">
        <v>17</v>
      </c>
      <c r="AT88" s="1006">
        <v>140</v>
      </c>
      <c r="AU88" s="1004">
        <v>9</v>
      </c>
      <c r="AV88" s="319"/>
      <c r="AW88" s="319"/>
      <c r="AX88" s="319"/>
      <c r="AY88" s="319"/>
      <c r="AZ88" s="319"/>
      <c r="BA88" s="319"/>
      <c r="BB88" s="319"/>
      <c r="BC88" s="319"/>
      <c r="BD88" s="319"/>
      <c r="BE88" s="319"/>
      <c r="BF88" s="319"/>
      <c r="BG88" s="319"/>
      <c r="BH88" s="319"/>
      <c r="BI88" s="319"/>
      <c r="BJ88" s="319"/>
      <c r="BK88" s="319"/>
      <c r="BL88" s="319"/>
      <c r="BM88" s="319"/>
      <c r="BN88" s="319"/>
      <c r="BO88" s="319"/>
      <c r="BP88" s="319"/>
      <c r="BQ88" s="319"/>
      <c r="BR88" s="319"/>
      <c r="BS88" s="319"/>
      <c r="BT88" s="319"/>
      <c r="BU88" s="319"/>
      <c r="BV88" s="319"/>
      <c r="BW88" s="319"/>
      <c r="BX88" s="319"/>
      <c r="BY88" s="319"/>
      <c r="BZ88" s="319"/>
      <c r="CA88" s="319"/>
      <c r="CB88" s="319"/>
      <c r="CC88" s="319"/>
      <c r="CD88" s="319"/>
      <c r="CE88" s="319"/>
      <c r="CF88" s="319"/>
      <c r="CG88" s="319"/>
      <c r="CH88" s="319"/>
      <c r="CI88" s="319"/>
      <c r="CJ88" s="319"/>
      <c r="CK88" s="319"/>
    </row>
    <row r="89" spans="1:89" ht="13.2" hidden="1">
      <c r="A89" s="12"/>
      <c r="B89" s="329" t="str">
        <f>IF(EET!D64="","",EET!D64)</f>
        <v/>
      </c>
      <c r="C89" s="30" t="s">
        <v>637</v>
      </c>
      <c r="D89" s="30" t="s">
        <v>637</v>
      </c>
      <c r="E89" s="30">
        <f>IF(OR($R$39=1,$R$39=4),EET!BI64,IF(OR($R$39=6,$R$39=2),EET!BI64-EET!BK64,EET!BK64))*$V$35</f>
        <v>0</v>
      </c>
      <c r="F89" s="290">
        <f>EET!E64</f>
        <v>0</v>
      </c>
      <c r="G89" s="30">
        <f>EET!F64</f>
        <v>0</v>
      </c>
      <c r="H89" s="30">
        <f>EET!G64</f>
        <v>0</v>
      </c>
      <c r="I89" s="140" t="str">
        <f t="shared" si="4"/>
        <v>-</v>
      </c>
      <c r="J89" s="1017" t="s">
        <v>4190</v>
      </c>
      <c r="K89" s="9"/>
      <c r="L89" s="12"/>
      <c r="M89" s="393">
        <f>IF($M$38&lt;R89,0,IF(OR(EET!BU64&gt;0,Q89=""),1,0))</f>
        <v>0</v>
      </c>
      <c r="N89" s="319">
        <v>12180</v>
      </c>
      <c r="O89" s="319"/>
      <c r="P89" s="319"/>
      <c r="Q89" s="311" t="b">
        <v>1</v>
      </c>
      <c r="R89" s="319">
        <v>2</v>
      </c>
      <c r="S89" s="319"/>
      <c r="T89" s="319">
        <v>4</v>
      </c>
      <c r="U89" s="319"/>
      <c r="V89" s="309" t="b">
        <v>1</v>
      </c>
      <c r="W89" s="309" t="b">
        <v>1</v>
      </c>
      <c r="X89" s="319"/>
      <c r="Y89" s="319"/>
      <c r="Z89" s="319"/>
      <c r="AA89" s="319"/>
      <c r="AB89" s="319"/>
      <c r="AC89" s="319"/>
      <c r="AD89" s="319"/>
      <c r="AE89" s="319"/>
      <c r="AF89" s="319"/>
      <c r="AG89" s="319"/>
      <c r="AO89" s="319"/>
      <c r="AP89" s="1014">
        <v>141</v>
      </c>
      <c r="AQ89" s="1004">
        <v>10</v>
      </c>
      <c r="AR89" s="1006">
        <v>141</v>
      </c>
      <c r="AS89" s="1004">
        <v>17</v>
      </c>
      <c r="AT89" s="1006">
        <v>141</v>
      </c>
      <c r="AU89" s="1004">
        <v>9</v>
      </c>
      <c r="AV89" s="319"/>
      <c r="AW89" s="319"/>
      <c r="AX89" s="319"/>
      <c r="AY89" s="319"/>
      <c r="AZ89" s="319"/>
      <c r="BA89" s="319"/>
      <c r="BB89" s="319"/>
      <c r="BC89" s="319"/>
      <c r="BD89" s="319"/>
      <c r="BE89" s="319"/>
      <c r="BF89" s="319"/>
      <c r="BG89" s="319"/>
      <c r="BH89" s="319"/>
      <c r="BI89" s="319"/>
      <c r="BJ89" s="319"/>
      <c r="BK89" s="319"/>
      <c r="BL89" s="319"/>
      <c r="BM89" s="319"/>
      <c r="BN89" s="319"/>
      <c r="BO89" s="319"/>
      <c r="BP89" s="319"/>
      <c r="BQ89" s="319"/>
      <c r="BR89" s="319"/>
      <c r="BS89" s="319"/>
      <c r="BT89" s="319"/>
      <c r="BU89" s="319"/>
      <c r="BV89" s="319"/>
      <c r="BW89" s="319"/>
      <c r="BX89" s="319"/>
      <c r="BY89" s="319"/>
      <c r="BZ89" s="319"/>
      <c r="CA89" s="319"/>
      <c r="CB89" s="319"/>
      <c r="CC89" s="319"/>
      <c r="CD89" s="319"/>
      <c r="CE89" s="319"/>
      <c r="CF89" s="319"/>
      <c r="CG89" s="319"/>
      <c r="CH89" s="319"/>
      <c r="CI89" s="319"/>
      <c r="CJ89" s="319"/>
      <c r="CK89" s="319"/>
    </row>
    <row r="90" spans="1:89" ht="13.2" hidden="1">
      <c r="A90" s="12"/>
      <c r="B90" s="329" t="str">
        <f>IF(EET!D65="","",EET!D65)</f>
        <v/>
      </c>
      <c r="C90" s="30" t="s">
        <v>637</v>
      </c>
      <c r="D90" s="30" t="s">
        <v>637</v>
      </c>
      <c r="E90" s="30">
        <f>IF(OR($R$39=1,$R$39=4),EET!BI65,IF(OR($R$39=6,$R$39=2),EET!BI65-EET!BK65,EET!BK65))*$V$35</f>
        <v>0</v>
      </c>
      <c r="F90" s="290">
        <f>EET!E65</f>
        <v>0</v>
      </c>
      <c r="G90" s="30">
        <f>EET!F65</f>
        <v>0</v>
      </c>
      <c r="H90" s="30">
        <f>EET!G65</f>
        <v>0</v>
      </c>
      <c r="I90" s="140" t="str">
        <f t="shared" si="4"/>
        <v>-</v>
      </c>
      <c r="J90" s="1017" t="s">
        <v>4190</v>
      </c>
      <c r="K90" s="9"/>
      <c r="L90" s="12"/>
      <c r="M90" s="393">
        <f>IF($M$38&lt;R90,0,IF(OR(EET!BU65&gt;0,Q90=""),1,0))</f>
        <v>0</v>
      </c>
      <c r="N90" s="319">
        <v>12180</v>
      </c>
      <c r="O90" s="319"/>
      <c r="P90" s="319"/>
      <c r="Q90" s="3" t="b">
        <v>1</v>
      </c>
      <c r="R90" s="319">
        <v>2</v>
      </c>
      <c r="S90" s="319"/>
      <c r="T90" s="319">
        <v>4</v>
      </c>
      <c r="U90" s="319"/>
      <c r="V90" s="309" t="b">
        <v>1</v>
      </c>
      <c r="W90" s="319" t="b">
        <v>1</v>
      </c>
      <c r="X90" s="319"/>
      <c r="Y90" s="319"/>
      <c r="Z90" s="319"/>
      <c r="AA90" s="319"/>
      <c r="AB90" s="319"/>
      <c r="AC90" s="319"/>
      <c r="AD90" s="319"/>
      <c r="AE90" s="319"/>
      <c r="AF90" s="319"/>
      <c r="AG90" s="319"/>
      <c r="AO90" s="319"/>
      <c r="AP90" s="1014">
        <v>143</v>
      </c>
      <c r="AQ90" s="1004">
        <v>10</v>
      </c>
      <c r="AR90" s="1006">
        <v>143</v>
      </c>
      <c r="AS90" s="1004">
        <v>17</v>
      </c>
      <c r="AT90" s="1006">
        <v>143</v>
      </c>
      <c r="AU90" s="1004">
        <v>9</v>
      </c>
      <c r="AV90" s="319"/>
      <c r="AW90" s="319"/>
      <c r="AX90" s="319"/>
      <c r="AY90" s="319"/>
      <c r="AZ90" s="319"/>
      <c r="BA90" s="319"/>
      <c r="BB90" s="319"/>
      <c r="BC90" s="319"/>
      <c r="BD90" s="319"/>
      <c r="BE90" s="319"/>
      <c r="BF90" s="319"/>
      <c r="BG90" s="319"/>
      <c r="BH90" s="319"/>
      <c r="BI90" s="319"/>
      <c r="BJ90" s="319"/>
      <c r="BK90" s="319"/>
      <c r="BL90" s="319"/>
      <c r="BM90" s="319"/>
      <c r="BN90" s="319"/>
      <c r="BO90" s="319"/>
      <c r="BP90" s="319"/>
      <c r="BQ90" s="319"/>
      <c r="BR90" s="319"/>
      <c r="BS90" s="319"/>
      <c r="BT90" s="319"/>
      <c r="BU90" s="319"/>
      <c r="BV90" s="319"/>
      <c r="BW90" s="319"/>
      <c r="BX90" s="319"/>
      <c r="BY90" s="319"/>
      <c r="BZ90" s="319"/>
      <c r="CA90" s="319"/>
      <c r="CB90" s="319"/>
      <c r="CC90" s="319"/>
      <c r="CD90" s="319"/>
      <c r="CE90" s="319"/>
      <c r="CF90" s="319"/>
      <c r="CG90" s="319"/>
      <c r="CH90" s="319"/>
      <c r="CI90" s="319"/>
      <c r="CJ90" s="319"/>
      <c r="CK90" s="319"/>
    </row>
    <row r="91" spans="1:89" ht="12.75" hidden="1" customHeight="1">
      <c r="A91" s="12"/>
      <c r="B91" s="329" t="str">
        <f>IF(EET!D66="","",EET!D66)</f>
        <v/>
      </c>
      <c r="C91" s="30" t="s">
        <v>637</v>
      </c>
      <c r="D91" s="30" t="s">
        <v>637</v>
      </c>
      <c r="E91" s="30">
        <f>IF(OR($R$39=1,$R$39=4),EET!BI66,IF(OR($R$39=6,$R$39=2),EET!BI66-EET!BK66,EET!BK66))*$V$35</f>
        <v>0</v>
      </c>
      <c r="F91" s="290">
        <f>EET!E66</f>
        <v>0</v>
      </c>
      <c r="G91" s="30">
        <f>EET!F66</f>
        <v>0</v>
      </c>
      <c r="H91" s="30">
        <f>EET!G66</f>
        <v>0</v>
      </c>
      <c r="I91" s="140" t="str">
        <f t="shared" si="4"/>
        <v>-</v>
      </c>
      <c r="J91" s="1017" t="s">
        <v>4190</v>
      </c>
      <c r="K91" s="9"/>
      <c r="L91" s="12"/>
      <c r="M91" s="393">
        <f>IF($M$38&lt;R91,0,IF(OR(EET!BU66&gt;0,Q91=""),1,0))</f>
        <v>0</v>
      </c>
      <c r="N91" s="319">
        <v>12180</v>
      </c>
      <c r="O91" s="319"/>
      <c r="P91" s="319"/>
      <c r="Q91" s="3" t="b">
        <v>1</v>
      </c>
      <c r="R91" s="319">
        <v>2</v>
      </c>
      <c r="S91" s="319"/>
      <c r="T91" s="319">
        <v>4</v>
      </c>
      <c r="U91" s="319"/>
      <c r="V91" s="309" t="b">
        <v>1</v>
      </c>
      <c r="W91" s="319" t="b">
        <v>1</v>
      </c>
      <c r="X91" s="319"/>
      <c r="Y91" s="319"/>
      <c r="Z91" s="319"/>
      <c r="AA91" s="319"/>
      <c r="AB91" s="319"/>
      <c r="AC91" s="319"/>
      <c r="AD91" s="319"/>
      <c r="AE91" s="319"/>
      <c r="AF91" s="319"/>
      <c r="AG91" s="319"/>
      <c r="AO91" s="319"/>
      <c r="AP91" s="1014">
        <v>144</v>
      </c>
      <c r="AQ91" s="1004">
        <v>10</v>
      </c>
      <c r="AR91" s="1006">
        <v>144</v>
      </c>
      <c r="AS91" s="1004">
        <v>17</v>
      </c>
      <c r="AT91" s="1006">
        <v>144</v>
      </c>
      <c r="AU91" s="1004">
        <v>9</v>
      </c>
      <c r="AV91" s="319"/>
      <c r="AW91" s="319"/>
      <c r="AX91" s="319"/>
      <c r="AY91" s="319"/>
      <c r="AZ91" s="319"/>
      <c r="BA91" s="319"/>
      <c r="BB91" s="319"/>
      <c r="BC91" s="319"/>
      <c r="BD91" s="319"/>
      <c r="BE91" s="319"/>
      <c r="BF91" s="319"/>
      <c r="BG91" s="319"/>
      <c r="BH91" s="319"/>
      <c r="BI91" s="319"/>
      <c r="BJ91" s="319"/>
      <c r="BK91" s="319"/>
      <c r="BL91" s="319"/>
      <c r="BM91" s="319"/>
      <c r="BN91" s="319"/>
      <c r="BO91" s="319"/>
      <c r="BP91" s="319"/>
      <c r="BQ91" s="319"/>
      <c r="BR91" s="319"/>
      <c r="BS91" s="319"/>
      <c r="BT91" s="319"/>
      <c r="BU91" s="319"/>
      <c r="BV91" s="319"/>
      <c r="BW91" s="319"/>
      <c r="BX91" s="319"/>
      <c r="BY91" s="319"/>
      <c r="BZ91" s="319"/>
      <c r="CA91" s="319"/>
      <c r="CB91" s="319"/>
      <c r="CC91" s="319"/>
      <c r="CD91" s="319"/>
      <c r="CE91" s="319"/>
      <c r="CF91" s="319"/>
      <c r="CG91" s="319"/>
      <c r="CH91" s="319"/>
      <c r="CI91" s="319"/>
      <c r="CJ91" s="319"/>
      <c r="CK91" s="319"/>
    </row>
    <row r="92" spans="1:89" ht="13.2" hidden="1">
      <c r="A92" s="12"/>
      <c r="B92" s="329" t="str">
        <f>IF(EET!D67="","",EET!D67)</f>
        <v/>
      </c>
      <c r="C92" s="30" t="s">
        <v>637</v>
      </c>
      <c r="D92" s="30" t="s">
        <v>637</v>
      </c>
      <c r="E92" s="30">
        <f>IF(OR($R$39=1,$R$39=4),EET!BI67,IF(OR($R$39=6,$R$39=2),EET!BI67-EET!BK67,EET!BK67))*$V$35</f>
        <v>0</v>
      </c>
      <c r="F92" s="290">
        <f>EET!E67</f>
        <v>0</v>
      </c>
      <c r="G92" s="30">
        <f>EET!F67</f>
        <v>0</v>
      </c>
      <c r="H92" s="30">
        <f>EET!G67</f>
        <v>0</v>
      </c>
      <c r="I92" s="140" t="str">
        <f t="shared" si="4"/>
        <v>-</v>
      </c>
      <c r="J92" s="1017" t="s">
        <v>4190</v>
      </c>
      <c r="K92" s="9"/>
      <c r="L92" s="12"/>
      <c r="M92" s="393">
        <f>IF($M$38&lt;R92,0,IF(OR(EET!BU67&gt;0,Q92=""),1,0))</f>
        <v>0</v>
      </c>
      <c r="N92" s="319">
        <v>12180</v>
      </c>
      <c r="O92" s="319"/>
      <c r="P92" s="319"/>
      <c r="Q92" s="3" t="b">
        <v>1</v>
      </c>
      <c r="R92" s="319">
        <v>2</v>
      </c>
      <c r="S92" s="319"/>
      <c r="T92" s="319">
        <v>4</v>
      </c>
      <c r="U92" s="319"/>
      <c r="V92" s="309" t="b">
        <v>1</v>
      </c>
      <c r="W92" s="319" t="b">
        <v>1</v>
      </c>
      <c r="X92" s="319"/>
      <c r="Y92" s="319"/>
      <c r="Z92" s="319"/>
      <c r="AA92" s="319"/>
      <c r="AB92" s="319"/>
      <c r="AC92" s="319"/>
      <c r="AD92" s="319"/>
      <c r="AE92" s="319"/>
      <c r="AF92" s="319"/>
      <c r="AG92" s="319"/>
      <c r="AO92" s="319"/>
      <c r="AP92" s="1014">
        <v>145</v>
      </c>
      <c r="AQ92" s="1004">
        <v>10</v>
      </c>
      <c r="AR92" s="1006">
        <v>145</v>
      </c>
      <c r="AS92" s="1004">
        <v>17</v>
      </c>
      <c r="AT92" s="1006">
        <v>145</v>
      </c>
      <c r="AU92" s="1004">
        <v>9</v>
      </c>
      <c r="AV92" s="319"/>
      <c r="AW92" s="319"/>
      <c r="AX92" s="319"/>
      <c r="AY92" s="319"/>
      <c r="AZ92" s="319"/>
      <c r="BA92" s="319"/>
      <c r="BB92" s="319"/>
      <c r="BC92" s="319"/>
      <c r="BD92" s="319"/>
      <c r="BE92" s="319"/>
      <c r="BF92" s="319"/>
      <c r="BG92" s="319"/>
      <c r="BH92" s="319"/>
      <c r="BI92" s="319"/>
      <c r="BJ92" s="319"/>
      <c r="BK92" s="319"/>
      <c r="BL92" s="319"/>
      <c r="BM92" s="319"/>
      <c r="BN92" s="319"/>
      <c r="BO92" s="319"/>
      <c r="BP92" s="319"/>
      <c r="BQ92" s="319"/>
      <c r="BR92" s="319"/>
      <c r="BS92" s="319"/>
      <c r="BT92" s="319"/>
      <c r="BU92" s="319"/>
      <c r="BV92" s="319"/>
      <c r="BW92" s="319"/>
      <c r="BX92" s="319"/>
      <c r="BY92" s="319"/>
      <c r="BZ92" s="319"/>
      <c r="CA92" s="319"/>
      <c r="CB92" s="319"/>
      <c r="CC92" s="319"/>
      <c r="CD92" s="319"/>
      <c r="CE92" s="319"/>
      <c r="CF92" s="319"/>
      <c r="CG92" s="319"/>
      <c r="CH92" s="319"/>
      <c r="CI92" s="319"/>
      <c r="CJ92" s="319"/>
      <c r="CK92" s="319"/>
    </row>
    <row r="93" spans="1:89" ht="13.2" hidden="1">
      <c r="A93" s="12"/>
      <c r="B93" s="329" t="str">
        <f>IF(EET!D68="","",EET!D68)</f>
        <v/>
      </c>
      <c r="C93" s="30" t="s">
        <v>637</v>
      </c>
      <c r="D93" s="30" t="s">
        <v>637</v>
      </c>
      <c r="E93" s="30">
        <f>IF(OR($R$39=1,$R$39=4),EET!BI68,IF(OR($R$39=6,$R$39=2),EET!BI68-EET!BK68,EET!BK68))*$V$35</f>
        <v>0</v>
      </c>
      <c r="F93" s="290">
        <f>EET!E68</f>
        <v>0</v>
      </c>
      <c r="G93" s="30">
        <f>EET!F68</f>
        <v>0</v>
      </c>
      <c r="H93" s="30">
        <f>EET!G68</f>
        <v>0</v>
      </c>
      <c r="I93" s="140" t="str">
        <f t="shared" si="4"/>
        <v>-</v>
      </c>
      <c r="J93" s="1017" t="s">
        <v>4190</v>
      </c>
      <c r="K93" s="9"/>
      <c r="L93" s="12"/>
      <c r="M93" s="393">
        <f>IF($M$38&lt;R93,0,IF(OR(EET!BU68&gt;0,Q93=""),1,0))</f>
        <v>0</v>
      </c>
      <c r="N93" s="319">
        <v>12180</v>
      </c>
      <c r="O93" s="319"/>
      <c r="P93" s="319"/>
      <c r="Q93" s="3" t="b">
        <v>1</v>
      </c>
      <c r="R93" s="319">
        <v>2</v>
      </c>
      <c r="S93" s="319"/>
      <c r="T93" s="319">
        <v>4</v>
      </c>
      <c r="U93" s="319"/>
      <c r="V93" s="309" t="b">
        <v>1</v>
      </c>
      <c r="W93" s="319" t="b">
        <v>1</v>
      </c>
      <c r="X93" s="319"/>
      <c r="Y93" s="319"/>
      <c r="Z93" s="319"/>
      <c r="AA93" s="319"/>
      <c r="AB93" s="319"/>
      <c r="AC93" s="319"/>
      <c r="AD93" s="319"/>
      <c r="AE93" s="319"/>
      <c r="AF93" s="319"/>
      <c r="AG93" s="319"/>
      <c r="AO93" s="319"/>
      <c r="AP93" s="1014">
        <v>146</v>
      </c>
      <c r="AQ93" s="1004">
        <v>10</v>
      </c>
      <c r="AR93" s="1006">
        <v>146</v>
      </c>
      <c r="AS93" s="1004">
        <v>17</v>
      </c>
      <c r="AT93" s="1006">
        <v>146</v>
      </c>
      <c r="AU93" s="1004">
        <v>9</v>
      </c>
      <c r="AV93" s="319"/>
      <c r="AW93" s="319"/>
      <c r="AX93" s="319"/>
      <c r="AY93" s="319"/>
      <c r="AZ93" s="319"/>
      <c r="BA93" s="319"/>
      <c r="BB93" s="319"/>
      <c r="BC93" s="319"/>
      <c r="BD93" s="319"/>
      <c r="BE93" s="319"/>
      <c r="BF93" s="319"/>
      <c r="BG93" s="319"/>
      <c r="BH93" s="319"/>
      <c r="BI93" s="319"/>
      <c r="BJ93" s="319"/>
      <c r="BK93" s="319"/>
      <c r="BL93" s="319"/>
      <c r="BM93" s="319"/>
      <c r="BN93" s="319"/>
      <c r="BO93" s="319"/>
      <c r="BP93" s="319"/>
      <c r="BQ93" s="319"/>
      <c r="BR93" s="319"/>
      <c r="BS93" s="319"/>
      <c r="BT93" s="319"/>
      <c r="BU93" s="319"/>
      <c r="BV93" s="319"/>
      <c r="BW93" s="319"/>
      <c r="BX93" s="319"/>
      <c r="BY93" s="319"/>
      <c r="BZ93" s="319"/>
      <c r="CA93" s="319"/>
      <c r="CB93" s="319"/>
      <c r="CC93" s="319"/>
      <c r="CD93" s="319"/>
      <c r="CE93" s="319"/>
      <c r="CF93" s="319"/>
      <c r="CG93" s="319"/>
      <c r="CH93" s="319"/>
      <c r="CI93" s="319"/>
      <c r="CJ93" s="319"/>
      <c r="CK93" s="319"/>
    </row>
    <row r="94" spans="1:89" ht="13.2">
      <c r="A94" s="12"/>
      <c r="B94" s="543" t="str">
        <f>Language!C1824</f>
        <v>Motores</v>
      </c>
      <c r="C94" s="30"/>
      <c r="D94" s="30"/>
      <c r="E94" s="30"/>
      <c r="F94" s="290"/>
      <c r="G94" s="30"/>
      <c r="H94" s="30"/>
      <c r="I94" s="140"/>
      <c r="J94" s="29"/>
      <c r="K94" s="9"/>
      <c r="L94" s="12"/>
      <c r="M94" s="393">
        <f>IF($M$38&lt;R94,0,IF(OR(EET!BU69&gt;0,Q94=""),1,0))</f>
        <v>1</v>
      </c>
      <c r="N94" s="319">
        <v>12190</v>
      </c>
      <c r="O94" s="319"/>
      <c r="P94" s="319"/>
      <c r="Q94" s="319"/>
      <c r="R94" s="319">
        <v>2</v>
      </c>
      <c r="S94" s="319"/>
      <c r="T94" s="319">
        <v>2</v>
      </c>
      <c r="U94" s="319"/>
      <c r="V94" s="309"/>
      <c r="W94" s="319"/>
      <c r="X94" s="319"/>
      <c r="Y94" s="319"/>
      <c r="Z94" s="319"/>
      <c r="AA94" s="319"/>
      <c r="AB94" s="319"/>
      <c r="AC94" s="319"/>
      <c r="AD94" s="319"/>
      <c r="AE94" s="319"/>
      <c r="AF94" s="319"/>
      <c r="AG94" s="319"/>
      <c r="AO94" s="319"/>
      <c r="AP94" s="1014">
        <v>147</v>
      </c>
      <c r="AQ94" s="1004">
        <v>10</v>
      </c>
      <c r="AR94" s="1006">
        <v>147</v>
      </c>
      <c r="AS94" s="1004">
        <v>17</v>
      </c>
      <c r="AT94" s="1006">
        <v>147</v>
      </c>
      <c r="AU94" s="1004">
        <v>9</v>
      </c>
      <c r="AV94" s="319"/>
      <c r="AW94" s="319"/>
      <c r="AX94" s="319"/>
      <c r="AY94" s="319"/>
      <c r="AZ94" s="319"/>
      <c r="BA94" s="319"/>
      <c r="BB94" s="319"/>
      <c r="BC94" s="319"/>
      <c r="BD94" s="319"/>
      <c r="BE94" s="319"/>
      <c r="BF94" s="319"/>
      <c r="BG94" s="319"/>
      <c r="BH94" s="319"/>
      <c r="BI94" s="319"/>
      <c r="BJ94" s="319"/>
      <c r="BK94" s="319"/>
      <c r="BL94" s="319"/>
      <c r="BM94" s="319"/>
      <c r="BN94" s="319"/>
      <c r="BO94" s="319"/>
      <c r="BP94" s="319"/>
      <c r="BQ94" s="319"/>
      <c r="BR94" s="319"/>
      <c r="BS94" s="319"/>
      <c r="BT94" s="319"/>
      <c r="BU94" s="319"/>
      <c r="BV94" s="319"/>
      <c r="BW94" s="319"/>
      <c r="BX94" s="319"/>
      <c r="BY94" s="319"/>
      <c r="BZ94" s="319"/>
      <c r="CA94" s="319"/>
      <c r="CB94" s="319"/>
      <c r="CC94" s="319"/>
      <c r="CD94" s="319"/>
      <c r="CE94" s="319"/>
      <c r="CF94" s="319"/>
      <c r="CG94" s="319"/>
      <c r="CH94" s="319"/>
      <c r="CI94" s="319"/>
      <c r="CJ94" s="319"/>
      <c r="CK94" s="319"/>
    </row>
    <row r="95" spans="1:89" ht="13.2" hidden="1">
      <c r="A95" s="12"/>
      <c r="B95" s="329" t="str">
        <f>IF(EET!D70="","",EET!D70)</f>
        <v/>
      </c>
      <c r="C95" s="30" t="s">
        <v>637</v>
      </c>
      <c r="D95" s="30" t="s">
        <v>637</v>
      </c>
      <c r="E95" s="30">
        <f>IF(OR($R$39=1,$R$39=4),EET!BI70,IF(OR($R$39=6,$R$39=2),EET!BI70-EET!BK70,EET!BK70))*$V$35</f>
        <v>0</v>
      </c>
      <c r="F95" s="290">
        <f>EET!E70</f>
        <v>0</v>
      </c>
      <c r="G95" s="30">
        <f>EET!F70</f>
        <v>0</v>
      </c>
      <c r="H95" s="30">
        <f>EET!G70</f>
        <v>0</v>
      </c>
      <c r="I95" s="140" t="str">
        <f t="shared" si="4"/>
        <v>-</v>
      </c>
      <c r="J95" s="1017" t="s">
        <v>4190</v>
      </c>
      <c r="K95" s="9"/>
      <c r="L95" s="12"/>
      <c r="M95" s="393">
        <f>IF($M$38&lt;R95,0,IF(OR(EET!BU70&gt;0,Q95=""),1,0))</f>
        <v>0</v>
      </c>
      <c r="N95" s="319">
        <v>12190</v>
      </c>
      <c r="O95" s="319"/>
      <c r="P95" s="319"/>
      <c r="Q95" s="311" t="b">
        <v>1</v>
      </c>
      <c r="R95" s="319">
        <v>2</v>
      </c>
      <c r="S95" s="319"/>
      <c r="T95" s="319">
        <v>2</v>
      </c>
      <c r="U95" s="319"/>
      <c r="V95" s="309" t="b">
        <v>1</v>
      </c>
      <c r="W95" s="309" t="b">
        <v>1</v>
      </c>
      <c r="X95" s="319"/>
      <c r="Y95" s="319"/>
      <c r="Z95" s="319"/>
      <c r="AA95" s="319"/>
      <c r="AB95" s="319"/>
      <c r="AC95" s="319"/>
      <c r="AD95" s="319"/>
      <c r="AE95" s="319"/>
      <c r="AF95" s="319"/>
      <c r="AG95" s="319"/>
      <c r="AO95" s="319"/>
      <c r="AP95" s="1014">
        <v>151</v>
      </c>
      <c r="AQ95" s="1014">
        <v>3</v>
      </c>
      <c r="AR95" s="1006">
        <v>151</v>
      </c>
      <c r="AS95" s="1014">
        <v>13</v>
      </c>
      <c r="AT95" s="1014">
        <v>151</v>
      </c>
      <c r="AU95" s="1014">
        <v>4</v>
      </c>
      <c r="AV95" s="319"/>
      <c r="AW95" s="319"/>
      <c r="AX95" s="319"/>
      <c r="AY95" s="319"/>
      <c r="AZ95" s="319"/>
      <c r="BA95" s="319"/>
      <c r="BB95" s="319"/>
      <c r="BC95" s="319"/>
      <c r="BD95" s="319"/>
      <c r="BE95" s="319"/>
      <c r="BF95" s="319"/>
      <c r="BG95" s="319"/>
      <c r="BH95" s="319"/>
      <c r="BI95" s="319"/>
      <c r="BJ95" s="319"/>
      <c r="BK95" s="319"/>
      <c r="BL95" s="319"/>
      <c r="BM95" s="319"/>
      <c r="BN95" s="319"/>
      <c r="BO95" s="319"/>
      <c r="BP95" s="319"/>
      <c r="BQ95" s="319"/>
      <c r="BR95" s="319"/>
      <c r="BS95" s="319"/>
      <c r="BT95" s="319"/>
      <c r="BU95" s="319"/>
      <c r="BV95" s="319"/>
      <c r="BW95" s="319"/>
      <c r="BX95" s="319"/>
      <c r="BY95" s="319"/>
      <c r="BZ95" s="319"/>
      <c r="CA95" s="319"/>
      <c r="CB95" s="319"/>
      <c r="CC95" s="319"/>
      <c r="CD95" s="319"/>
      <c r="CE95" s="319"/>
      <c r="CF95" s="319"/>
      <c r="CG95" s="319"/>
      <c r="CH95" s="319"/>
      <c r="CI95" s="319"/>
      <c r="CJ95" s="319"/>
      <c r="CK95" s="319"/>
    </row>
    <row r="96" spans="1:89" ht="13.2" hidden="1">
      <c r="A96" s="12"/>
      <c r="B96" s="329" t="str">
        <f>IF(EET!D71="","",EET!D71)</f>
        <v/>
      </c>
      <c r="C96" s="30" t="s">
        <v>637</v>
      </c>
      <c r="D96" s="30" t="s">
        <v>637</v>
      </c>
      <c r="E96" s="30">
        <f>IF(OR($R$39=1,$R$39=4),EET!BI71,IF(OR($R$39=6,$R$39=2),EET!BI71-EET!BK71,EET!BK71))*$V$35</f>
        <v>0</v>
      </c>
      <c r="F96" s="290">
        <f>EET!E71</f>
        <v>0</v>
      </c>
      <c r="G96" s="30">
        <f>EET!F71</f>
        <v>0</v>
      </c>
      <c r="H96" s="30">
        <f>EET!G71</f>
        <v>0</v>
      </c>
      <c r="I96" s="140" t="str">
        <f t="shared" si="4"/>
        <v>-</v>
      </c>
      <c r="J96" s="1017" t="s">
        <v>4190</v>
      </c>
      <c r="K96" s="9"/>
      <c r="L96" s="12"/>
      <c r="M96" s="393">
        <f>IF($M$38&lt;R96,0,IF(OR(EET!BU71&gt;0,Q96=""),1,0))</f>
        <v>0</v>
      </c>
      <c r="N96" s="319">
        <v>12190</v>
      </c>
      <c r="O96" s="319"/>
      <c r="P96" s="319"/>
      <c r="Q96" s="3" t="b">
        <v>1</v>
      </c>
      <c r="R96" s="319">
        <v>2</v>
      </c>
      <c r="S96" s="319"/>
      <c r="T96" s="319">
        <v>2</v>
      </c>
      <c r="U96" s="319"/>
      <c r="V96" s="309" t="b">
        <v>1</v>
      </c>
      <c r="W96" s="319" t="b">
        <v>1</v>
      </c>
      <c r="X96" s="319"/>
      <c r="Y96" s="319"/>
      <c r="Z96" s="319"/>
      <c r="AA96" s="319"/>
      <c r="AB96" s="319"/>
      <c r="AC96" s="319"/>
      <c r="AD96" s="319"/>
      <c r="AE96" s="319"/>
      <c r="AF96" s="319"/>
      <c r="AG96" s="319"/>
      <c r="AO96" s="319"/>
      <c r="AP96" s="1014">
        <v>229</v>
      </c>
      <c r="AQ96" s="1014">
        <v>1</v>
      </c>
      <c r="AR96" s="1006">
        <v>228</v>
      </c>
      <c r="AS96" s="1014">
        <v>17</v>
      </c>
      <c r="AT96" s="1014">
        <v>229</v>
      </c>
      <c r="AU96" s="1014">
        <v>2</v>
      </c>
      <c r="AV96" s="319"/>
      <c r="AW96" s="319"/>
      <c r="AX96" s="319"/>
      <c r="AY96" s="319"/>
      <c r="AZ96" s="319"/>
      <c r="BA96" s="319"/>
      <c r="BB96" s="319"/>
      <c r="BC96" s="319"/>
      <c r="BD96" s="319"/>
      <c r="BE96" s="319"/>
      <c r="BF96" s="319"/>
      <c r="BG96" s="319"/>
      <c r="BH96" s="319"/>
      <c r="BI96" s="319"/>
      <c r="BJ96" s="319"/>
      <c r="BK96" s="319"/>
      <c r="BL96" s="319"/>
      <c r="BM96" s="319"/>
      <c r="BN96" s="319"/>
      <c r="BO96" s="319"/>
      <c r="BP96" s="319"/>
      <c r="BQ96" s="319"/>
      <c r="BR96" s="319"/>
      <c r="BS96" s="319"/>
      <c r="BT96" s="319"/>
      <c r="BU96" s="319"/>
      <c r="BV96" s="319"/>
      <c r="BW96" s="319"/>
      <c r="BX96" s="319"/>
      <c r="BY96" s="319"/>
      <c r="BZ96" s="319"/>
      <c r="CA96" s="319"/>
      <c r="CB96" s="319"/>
      <c r="CC96" s="319"/>
      <c r="CD96" s="319"/>
      <c r="CE96" s="319"/>
      <c r="CF96" s="319"/>
      <c r="CG96" s="319"/>
      <c r="CH96" s="319"/>
      <c r="CI96" s="319"/>
      <c r="CJ96" s="319"/>
      <c r="CK96" s="319"/>
    </row>
    <row r="97" spans="1:89" ht="13.2" hidden="1">
      <c r="A97" s="12"/>
      <c r="B97" s="329" t="str">
        <f>IF(EET!D72="","",EET!D72)</f>
        <v/>
      </c>
      <c r="C97" s="30" t="s">
        <v>637</v>
      </c>
      <c r="D97" s="30" t="s">
        <v>637</v>
      </c>
      <c r="E97" s="30">
        <f>IF(OR($R$39=1,$R$39=4),EET!BI72,IF(OR($R$39=6,$R$39=2),EET!BI72-EET!BK72,EET!BK72))*$V$35</f>
        <v>0</v>
      </c>
      <c r="F97" s="290">
        <f>EET!E72</f>
        <v>0</v>
      </c>
      <c r="G97" s="30">
        <f>EET!F72</f>
        <v>0</v>
      </c>
      <c r="H97" s="30">
        <f>EET!G72</f>
        <v>0</v>
      </c>
      <c r="I97" s="140" t="str">
        <f t="shared" si="4"/>
        <v>-</v>
      </c>
      <c r="J97" s="1017" t="s">
        <v>4190</v>
      </c>
      <c r="K97" s="9"/>
      <c r="L97" s="12"/>
      <c r="M97" s="393">
        <f>IF($M$38&lt;R97,0,IF(OR(EET!BU72&gt;0,Q97=""),1,0))</f>
        <v>0</v>
      </c>
      <c r="N97" s="319">
        <v>12190</v>
      </c>
      <c r="O97" s="319"/>
      <c r="P97" s="319"/>
      <c r="Q97" s="3" t="b">
        <v>1</v>
      </c>
      <c r="R97" s="319">
        <v>2</v>
      </c>
      <c r="S97" s="319"/>
      <c r="T97" s="319">
        <v>2</v>
      </c>
      <c r="U97" s="319"/>
      <c r="V97" s="309" t="b">
        <v>1</v>
      </c>
      <c r="W97" s="319" t="b">
        <v>1</v>
      </c>
      <c r="X97" s="319"/>
      <c r="Y97" s="319"/>
      <c r="Z97" s="319"/>
      <c r="AA97" s="319"/>
      <c r="AB97" s="319"/>
      <c r="AC97" s="319"/>
      <c r="AD97" s="319"/>
      <c r="AE97" s="319"/>
      <c r="AF97" s="319"/>
      <c r="AG97" s="319"/>
      <c r="AO97" s="319"/>
      <c r="AP97" s="1014">
        <v>277</v>
      </c>
      <c r="AQ97" s="1014">
        <v>1</v>
      </c>
      <c r="AR97" s="1006">
        <v>277</v>
      </c>
      <c r="AS97" s="1014">
        <v>13</v>
      </c>
      <c r="AT97" s="1014">
        <v>277</v>
      </c>
      <c r="AU97" s="1014">
        <v>2</v>
      </c>
      <c r="AV97" s="319"/>
      <c r="AW97" s="319"/>
      <c r="AX97" s="319"/>
      <c r="AY97" s="319"/>
      <c r="AZ97" s="319"/>
      <c r="BA97" s="319"/>
      <c r="BB97" s="319"/>
      <c r="BC97" s="319"/>
      <c r="BD97" s="319"/>
      <c r="BE97" s="319"/>
      <c r="BF97" s="319"/>
      <c r="BG97" s="319"/>
      <c r="BH97" s="319"/>
      <c r="BI97" s="319"/>
      <c r="BJ97" s="319"/>
      <c r="BK97" s="319"/>
      <c r="BL97" s="319"/>
      <c r="BM97" s="319"/>
      <c r="BN97" s="319"/>
      <c r="BO97" s="319"/>
      <c r="BP97" s="319"/>
      <c r="BQ97" s="319"/>
      <c r="BR97" s="319"/>
      <c r="BS97" s="319"/>
      <c r="BT97" s="319"/>
      <c r="BU97" s="319"/>
      <c r="BV97" s="319"/>
      <c r="BW97" s="319"/>
      <c r="BX97" s="319"/>
      <c r="BY97" s="319"/>
      <c r="BZ97" s="319"/>
      <c r="CA97" s="319"/>
      <c r="CB97" s="319"/>
      <c r="CC97" s="319"/>
      <c r="CD97" s="319"/>
      <c r="CE97" s="319"/>
      <c r="CF97" s="319"/>
      <c r="CG97" s="319"/>
      <c r="CH97" s="319"/>
      <c r="CI97" s="319"/>
      <c r="CJ97" s="319"/>
      <c r="CK97" s="319"/>
    </row>
    <row r="98" spans="1:89" ht="13.2" hidden="1">
      <c r="A98" s="12"/>
      <c r="B98" s="329" t="str">
        <f>IF(EET!D73="","",EET!D73)</f>
        <v/>
      </c>
      <c r="C98" s="30" t="s">
        <v>637</v>
      </c>
      <c r="D98" s="30" t="s">
        <v>637</v>
      </c>
      <c r="E98" s="30">
        <f>IF(OR($R$39=1,$R$39=4),EET!BI73,IF(OR($R$39=6,$R$39=2),EET!BI73-EET!BK73,EET!BK73))*$V$35</f>
        <v>0</v>
      </c>
      <c r="F98" s="290">
        <f>EET!E73</f>
        <v>0</v>
      </c>
      <c r="G98" s="30">
        <f>EET!F73</f>
        <v>0</v>
      </c>
      <c r="H98" s="30">
        <f>EET!G73</f>
        <v>0</v>
      </c>
      <c r="I98" s="140" t="str">
        <f t="shared" si="4"/>
        <v>-</v>
      </c>
      <c r="J98" s="1017" t="s">
        <v>4190</v>
      </c>
      <c r="K98" s="9"/>
      <c r="L98" s="12"/>
      <c r="M98" s="393">
        <f>IF($M$38&lt;R98,0,IF(OR(EET!BU73&gt;0,Q98=""),1,0))</f>
        <v>0</v>
      </c>
      <c r="N98" s="319">
        <v>12190</v>
      </c>
      <c r="O98" s="319"/>
      <c r="P98" s="319"/>
      <c r="Q98" s="3" t="b">
        <v>1</v>
      </c>
      <c r="R98" s="319">
        <v>2</v>
      </c>
      <c r="S98" s="319"/>
      <c r="T98" s="319">
        <v>2</v>
      </c>
      <c r="U98" s="319"/>
      <c r="V98" s="309" t="b">
        <v>1</v>
      </c>
      <c r="W98" s="319" t="b">
        <v>1</v>
      </c>
      <c r="X98" s="319"/>
      <c r="Y98" s="319"/>
      <c r="Z98" s="319"/>
      <c r="AA98" s="319"/>
      <c r="AB98" s="319"/>
      <c r="AC98" s="319"/>
      <c r="AD98" s="319"/>
      <c r="AE98" s="319"/>
      <c r="AF98" s="319"/>
      <c r="AG98" s="319"/>
      <c r="AO98" s="319"/>
      <c r="AP98" s="1014">
        <v>316</v>
      </c>
      <c r="AQ98" s="1014">
        <v>4</v>
      </c>
      <c r="AR98" s="1006">
        <v>271</v>
      </c>
      <c r="AS98" s="1014">
        <v>13</v>
      </c>
      <c r="AT98" s="1014">
        <v>316</v>
      </c>
      <c r="AU98" s="1014">
        <v>5</v>
      </c>
      <c r="AV98" s="319"/>
      <c r="AW98" s="319"/>
      <c r="AX98" s="319"/>
      <c r="AY98" s="319"/>
      <c r="AZ98" s="319"/>
      <c r="BA98" s="319"/>
      <c r="BB98" s="319"/>
      <c r="BC98" s="319"/>
      <c r="BD98" s="319"/>
      <c r="BE98" s="319"/>
      <c r="BF98" s="319"/>
      <c r="BG98" s="319"/>
      <c r="BH98" s="319"/>
      <c r="BI98" s="319"/>
      <c r="BJ98" s="319"/>
      <c r="BK98" s="319"/>
      <c r="BL98" s="319"/>
      <c r="BM98" s="319"/>
      <c r="BN98" s="319"/>
      <c r="BO98" s="319"/>
      <c r="BP98" s="319"/>
      <c r="BQ98" s="319"/>
      <c r="BR98" s="319"/>
      <c r="BS98" s="319"/>
      <c r="BT98" s="319"/>
      <c r="BU98" s="319"/>
      <c r="BV98" s="319"/>
      <c r="BW98" s="319"/>
      <c r="BX98" s="319"/>
      <c r="BY98" s="319"/>
      <c r="BZ98" s="319"/>
      <c r="CA98" s="319"/>
      <c r="CB98" s="319"/>
      <c r="CC98" s="319"/>
      <c r="CD98" s="319"/>
      <c r="CE98" s="319"/>
      <c r="CF98" s="319"/>
      <c r="CG98" s="319"/>
      <c r="CH98" s="319"/>
      <c r="CI98" s="319"/>
      <c r="CJ98" s="319"/>
      <c r="CK98" s="319"/>
    </row>
    <row r="99" spans="1:89" ht="13.2" hidden="1">
      <c r="A99" s="12"/>
      <c r="B99" s="329" t="str">
        <f>IF(EET!D74="","",EET!D74)</f>
        <v/>
      </c>
      <c r="C99" s="30" t="s">
        <v>637</v>
      </c>
      <c r="D99" s="30" t="s">
        <v>637</v>
      </c>
      <c r="E99" s="30">
        <f>IF(OR($R$39=1,$R$39=4),EET!BI74,IF(OR($R$39=6,$R$39=2),EET!BI74-EET!BK74,EET!BK74))*$V$35</f>
        <v>0</v>
      </c>
      <c r="F99" s="290">
        <f>EET!E74</f>
        <v>0</v>
      </c>
      <c r="G99" s="30">
        <f>EET!F74</f>
        <v>0</v>
      </c>
      <c r="H99" s="30">
        <f>EET!G74</f>
        <v>0</v>
      </c>
      <c r="I99" s="140" t="str">
        <f t="shared" si="4"/>
        <v>-</v>
      </c>
      <c r="J99" s="1017" t="s">
        <v>4190</v>
      </c>
      <c r="K99" s="9"/>
      <c r="L99" s="12"/>
      <c r="M99" s="393">
        <f>IF($M$38&lt;R99,0,IF(OR(EET!BU74&gt;0,Q99=""),1,0))</f>
        <v>0</v>
      </c>
      <c r="N99" s="319">
        <v>12190</v>
      </c>
      <c r="O99" s="319"/>
      <c r="P99" s="319"/>
      <c r="Q99" s="3" t="b">
        <v>1</v>
      </c>
      <c r="R99" s="319">
        <v>2</v>
      </c>
      <c r="S99" s="319"/>
      <c r="T99" s="319">
        <v>2</v>
      </c>
      <c r="U99" s="319"/>
      <c r="V99" s="309" t="b">
        <v>1</v>
      </c>
      <c r="W99" s="319" t="b">
        <v>1</v>
      </c>
      <c r="X99" s="319"/>
      <c r="Y99" s="319"/>
      <c r="Z99" s="319"/>
      <c r="AA99" s="319"/>
      <c r="AB99" s="319"/>
      <c r="AC99" s="319"/>
      <c r="AD99" s="319"/>
      <c r="AE99" s="319"/>
      <c r="AF99" s="319"/>
      <c r="AG99" s="319"/>
      <c r="AO99" s="319"/>
      <c r="AP99" s="1014">
        <v>354</v>
      </c>
      <c r="AQ99" s="1014">
        <v>1</v>
      </c>
      <c r="AR99" s="1006">
        <v>354</v>
      </c>
      <c r="AS99" s="1014">
        <v>13</v>
      </c>
      <c r="AT99" s="1014">
        <v>354</v>
      </c>
      <c r="AU99" s="1014">
        <v>2</v>
      </c>
      <c r="AV99" s="319"/>
      <c r="AW99" s="319"/>
      <c r="AX99" s="319"/>
      <c r="AY99" s="319"/>
      <c r="AZ99" s="319"/>
      <c r="BA99" s="319"/>
      <c r="BB99" s="319"/>
      <c r="BC99" s="319"/>
      <c r="BD99" s="319"/>
      <c r="BE99" s="319"/>
      <c r="BF99" s="319"/>
      <c r="BG99" s="319"/>
      <c r="BH99" s="319"/>
      <c r="BI99" s="319"/>
      <c r="BJ99" s="319"/>
      <c r="BK99" s="319"/>
      <c r="BL99" s="319"/>
      <c r="BM99" s="319"/>
      <c r="BN99" s="319"/>
      <c r="BO99" s="319"/>
      <c r="BP99" s="319"/>
      <c r="BQ99" s="319"/>
      <c r="BR99" s="319"/>
      <c r="BS99" s="319"/>
      <c r="BT99" s="319"/>
      <c r="BU99" s="319"/>
      <c r="BV99" s="319"/>
      <c r="BW99" s="319"/>
      <c r="BX99" s="319"/>
      <c r="BY99" s="319"/>
      <c r="BZ99" s="319"/>
      <c r="CA99" s="319"/>
      <c r="CB99" s="319"/>
      <c r="CC99" s="319"/>
      <c r="CD99" s="319"/>
      <c r="CE99" s="319"/>
      <c r="CF99" s="319"/>
      <c r="CG99" s="319"/>
      <c r="CH99" s="319"/>
      <c r="CI99" s="319"/>
      <c r="CJ99" s="319"/>
      <c r="CK99" s="319"/>
    </row>
    <row r="100" spans="1:89" ht="13.2">
      <c r="A100" s="12"/>
      <c r="B100" s="543" t="str">
        <f>Language!C2456</f>
        <v>Eletricidade de processo</v>
      </c>
      <c r="C100" s="30"/>
      <c r="D100" s="30"/>
      <c r="E100" s="30"/>
      <c r="F100" s="290"/>
      <c r="G100" s="30"/>
      <c r="H100" s="30"/>
      <c r="I100" s="140"/>
      <c r="J100" s="29"/>
      <c r="K100" s="9"/>
      <c r="L100" s="12"/>
      <c r="M100" s="393">
        <f>IF($M$38&lt;R100,0,IF(OR(EET!BU75&gt;0,Q100=""),1,0))</f>
        <v>1</v>
      </c>
      <c r="N100" s="319">
        <v>12200</v>
      </c>
      <c r="O100" s="319"/>
      <c r="P100" s="319"/>
      <c r="Q100" s="319"/>
      <c r="R100" s="319">
        <v>3</v>
      </c>
      <c r="S100" s="319"/>
      <c r="T100" s="319">
        <v>3</v>
      </c>
      <c r="U100" s="319"/>
      <c r="V100" s="309"/>
      <c r="W100" s="319"/>
      <c r="X100" s="319"/>
      <c r="Y100" s="319"/>
      <c r="Z100" s="319"/>
      <c r="AA100" s="319"/>
      <c r="AB100" s="319"/>
      <c r="AC100" s="319"/>
      <c r="AD100" s="319"/>
      <c r="AE100" s="319"/>
      <c r="AF100" s="319"/>
      <c r="AG100" s="319"/>
      <c r="AO100" s="319"/>
      <c r="AP100" s="1014">
        <v>384</v>
      </c>
      <c r="AQ100" s="1014">
        <v>6</v>
      </c>
      <c r="AR100" s="1006">
        <v>384</v>
      </c>
      <c r="AS100" s="1014">
        <v>13</v>
      </c>
      <c r="AT100" s="1014">
        <v>384</v>
      </c>
      <c r="AU100" s="1014">
        <v>7</v>
      </c>
      <c r="AV100" s="319"/>
      <c r="AW100" s="319"/>
      <c r="AX100" s="319"/>
      <c r="AY100" s="319"/>
      <c r="AZ100" s="319"/>
      <c r="BA100" s="319"/>
      <c r="BB100" s="319"/>
      <c r="BC100" s="319"/>
      <c r="BD100" s="319"/>
      <c r="BE100" s="319"/>
      <c r="BF100" s="319"/>
      <c r="BG100" s="319"/>
      <c r="BH100" s="319"/>
      <c r="BI100" s="319"/>
      <c r="BJ100" s="319"/>
      <c r="BK100" s="319"/>
      <c r="BL100" s="319"/>
      <c r="BM100" s="319"/>
      <c r="BN100" s="319"/>
      <c r="BO100" s="319"/>
      <c r="BP100" s="319"/>
      <c r="BQ100" s="319"/>
      <c r="BR100" s="319"/>
      <c r="BS100" s="319"/>
      <c r="BT100" s="319"/>
      <c r="BU100" s="319"/>
      <c r="BV100" s="319"/>
      <c r="BW100" s="319"/>
      <c r="BX100" s="319"/>
      <c r="BY100" s="319"/>
      <c r="BZ100" s="319"/>
      <c r="CA100" s="319"/>
      <c r="CB100" s="319"/>
      <c r="CC100" s="319"/>
      <c r="CD100" s="319"/>
      <c r="CE100" s="319"/>
      <c r="CF100" s="319"/>
      <c r="CG100" s="319"/>
      <c r="CH100" s="319"/>
      <c r="CI100" s="319"/>
      <c r="CJ100" s="319"/>
      <c r="CK100" s="319"/>
    </row>
    <row r="101" spans="1:89" ht="13.2" hidden="1">
      <c r="A101" s="12"/>
      <c r="B101" s="329" t="str">
        <f>IF(EET!D76="","",EET!D76)</f>
        <v/>
      </c>
      <c r="C101" s="30" t="s">
        <v>637</v>
      </c>
      <c r="D101" s="30" t="s">
        <v>637</v>
      </c>
      <c r="E101" s="30">
        <f>IF(OR($R$39=1,$R$39=4),EET!BI76,IF(OR($R$39=6,$R$39=2),EET!BI76-EET!BK76,EET!BK76))*$V$35</f>
        <v>0</v>
      </c>
      <c r="F101" s="290">
        <f>EET!E76</f>
        <v>0</v>
      </c>
      <c r="G101" s="30">
        <f>EET!F76</f>
        <v>0</v>
      </c>
      <c r="H101" s="30">
        <f>EET!G76</f>
        <v>0</v>
      </c>
      <c r="I101" s="140" t="str">
        <f t="shared" si="4"/>
        <v>-</v>
      </c>
      <c r="J101" s="1017" t="s">
        <v>4190</v>
      </c>
      <c r="K101" s="9"/>
      <c r="L101" s="12"/>
      <c r="M101" s="393">
        <f>IF($M$38&lt;R101,0,IF(OR(EET!BU76&gt;0,Q101=""),1,0))</f>
        <v>0</v>
      </c>
      <c r="N101" s="319">
        <v>12200</v>
      </c>
      <c r="O101" s="319"/>
      <c r="P101" s="319"/>
      <c r="Q101" s="311" t="b">
        <v>1</v>
      </c>
      <c r="R101" s="319">
        <v>3</v>
      </c>
      <c r="S101" s="319"/>
      <c r="T101" s="319">
        <v>3</v>
      </c>
      <c r="U101" s="319"/>
      <c r="V101" s="309" t="b">
        <v>1</v>
      </c>
      <c r="W101" s="309" t="b">
        <v>1</v>
      </c>
      <c r="X101" s="319"/>
      <c r="Y101" s="319"/>
      <c r="Z101" s="319"/>
      <c r="AA101" s="319"/>
      <c r="AB101" s="319"/>
      <c r="AC101" s="319"/>
      <c r="AD101" s="319"/>
      <c r="AE101" s="319"/>
      <c r="AF101" s="319"/>
      <c r="AG101" s="319"/>
      <c r="AO101" s="319"/>
      <c r="AP101" s="1014">
        <v>562</v>
      </c>
      <c r="AQ101" s="1014">
        <v>1</v>
      </c>
      <c r="AR101" s="1006">
        <v>561</v>
      </c>
      <c r="AS101" s="1014">
        <v>17</v>
      </c>
      <c r="AT101" s="1014">
        <v>562</v>
      </c>
      <c r="AU101" s="1014">
        <v>2</v>
      </c>
      <c r="AV101" s="319"/>
      <c r="AW101" s="319"/>
      <c r="AX101" s="319"/>
      <c r="AY101" s="319"/>
      <c r="AZ101" s="319"/>
      <c r="BA101" s="319"/>
      <c r="BB101" s="319"/>
      <c r="BC101" s="319"/>
      <c r="BD101" s="319"/>
      <c r="BE101" s="319"/>
      <c r="BF101" s="319"/>
      <c r="BG101" s="319"/>
      <c r="BH101" s="319"/>
      <c r="BI101" s="319"/>
      <c r="BJ101" s="319"/>
      <c r="BK101" s="319"/>
      <c r="BL101" s="319"/>
      <c r="BM101" s="319"/>
      <c r="BN101" s="319"/>
      <c r="BO101" s="319"/>
      <c r="BP101" s="319"/>
      <c r="BQ101" s="319"/>
      <c r="BR101" s="319"/>
      <c r="BS101" s="319"/>
      <c r="BT101" s="319"/>
      <c r="BU101" s="319"/>
      <c r="BV101" s="319"/>
      <c r="BW101" s="319"/>
      <c r="BX101" s="319"/>
      <c r="BY101" s="319"/>
      <c r="BZ101" s="319"/>
      <c r="CA101" s="319"/>
      <c r="CB101" s="319"/>
      <c r="CC101" s="319"/>
      <c r="CD101" s="319"/>
      <c r="CE101" s="319"/>
      <c r="CF101" s="319"/>
      <c r="CG101" s="319"/>
      <c r="CH101" s="319"/>
      <c r="CI101" s="319"/>
      <c r="CJ101" s="319"/>
      <c r="CK101" s="319"/>
    </row>
    <row r="102" spans="1:89" ht="13.2" hidden="1">
      <c r="A102" s="12"/>
      <c r="B102" s="329" t="str">
        <f>IF(EET!D77="","",EET!D77)</f>
        <v/>
      </c>
      <c r="C102" s="30" t="s">
        <v>637</v>
      </c>
      <c r="D102" s="30" t="s">
        <v>637</v>
      </c>
      <c r="E102" s="30">
        <f>IF(OR($R$39=1,$R$39=4),EET!BI77,IF(OR($R$39=6,$R$39=2),EET!BI77-EET!BK77,EET!BK77))*$V$35</f>
        <v>0</v>
      </c>
      <c r="F102" s="290">
        <f>EET!E77</f>
        <v>0</v>
      </c>
      <c r="G102" s="30">
        <f>EET!F77</f>
        <v>0</v>
      </c>
      <c r="H102" s="30">
        <f>EET!G77</f>
        <v>0</v>
      </c>
      <c r="I102" s="140" t="str">
        <f t="shared" si="4"/>
        <v>-</v>
      </c>
      <c r="J102" s="1017" t="s">
        <v>4190</v>
      </c>
      <c r="K102" s="9"/>
      <c r="L102" s="12"/>
      <c r="M102" s="393">
        <f>IF($M$38&lt;R102,0,IF(OR(EET!BU77&gt;0,Q102=""),1,0))</f>
        <v>0</v>
      </c>
      <c r="N102" s="319">
        <v>12200</v>
      </c>
      <c r="O102" s="319"/>
      <c r="P102" s="319"/>
      <c r="Q102" s="3" t="b">
        <v>1</v>
      </c>
      <c r="R102" s="319">
        <v>3</v>
      </c>
      <c r="S102" s="319"/>
      <c r="T102" s="319">
        <v>3</v>
      </c>
      <c r="U102" s="319"/>
      <c r="V102" s="309" t="b">
        <v>1</v>
      </c>
      <c r="W102" s="319" t="b">
        <v>1</v>
      </c>
      <c r="X102" s="319"/>
      <c r="Y102" s="319"/>
      <c r="Z102" s="319"/>
      <c r="AA102" s="319"/>
      <c r="AB102" s="319"/>
      <c r="AC102" s="319"/>
      <c r="AD102" s="319"/>
      <c r="AE102" s="319"/>
      <c r="AF102" s="319"/>
      <c r="AG102" s="319"/>
      <c r="AO102" s="319"/>
      <c r="AP102" s="1014">
        <v>592</v>
      </c>
      <c r="AQ102" s="1014">
        <v>1</v>
      </c>
      <c r="AR102" s="1006">
        <v>591</v>
      </c>
      <c r="AS102" s="1014">
        <v>17</v>
      </c>
      <c r="AT102" s="1014">
        <v>592</v>
      </c>
      <c r="AU102" s="1014">
        <v>2</v>
      </c>
      <c r="AV102" s="319"/>
      <c r="AW102" s="319"/>
      <c r="AX102" s="319"/>
      <c r="AY102" s="319"/>
      <c r="AZ102" s="319"/>
      <c r="BA102" s="319"/>
      <c r="BB102" s="319"/>
      <c r="BC102" s="319"/>
      <c r="BD102" s="319"/>
      <c r="BE102" s="319"/>
      <c r="BF102" s="319"/>
      <c r="BG102" s="319"/>
      <c r="BH102" s="319"/>
      <c r="BI102" s="319"/>
      <c r="BJ102" s="319"/>
      <c r="BK102" s="319"/>
      <c r="BL102" s="319"/>
      <c r="BM102" s="319"/>
      <c r="BN102" s="319"/>
      <c r="BO102" s="319"/>
      <c r="BP102" s="319"/>
      <c r="BQ102" s="319"/>
      <c r="BR102" s="319"/>
      <c r="BS102" s="319"/>
      <c r="BT102" s="319"/>
      <c r="BU102" s="319"/>
      <c r="BV102" s="319"/>
      <c r="BW102" s="319"/>
      <c r="BX102" s="319"/>
      <c r="BY102" s="319"/>
      <c r="BZ102" s="319"/>
      <c r="CA102" s="319"/>
      <c r="CB102" s="319"/>
      <c r="CC102" s="319"/>
      <c r="CD102" s="319"/>
      <c r="CE102" s="319"/>
      <c r="CF102" s="319"/>
      <c r="CG102" s="319"/>
      <c r="CH102" s="319"/>
      <c r="CI102" s="319"/>
      <c r="CJ102" s="319"/>
      <c r="CK102" s="319"/>
    </row>
    <row r="103" spans="1:89" ht="13.2" hidden="1">
      <c r="A103" s="12"/>
      <c r="B103" s="329" t="str">
        <f>IF(EET!D78="","",EET!D78)</f>
        <v/>
      </c>
      <c r="C103" s="30" t="s">
        <v>637</v>
      </c>
      <c r="D103" s="30" t="s">
        <v>637</v>
      </c>
      <c r="E103" s="30">
        <f>IF(OR($R$39=1,$R$39=4),EET!BI78,IF(OR($R$39=6,$R$39=2),EET!BI78-EET!BK78,EET!BK78))*$V$35</f>
        <v>0</v>
      </c>
      <c r="F103" s="290">
        <f>EET!E78</f>
        <v>0</v>
      </c>
      <c r="G103" s="30">
        <f>EET!F78</f>
        <v>0</v>
      </c>
      <c r="H103" s="30">
        <f>EET!G78</f>
        <v>0</v>
      </c>
      <c r="I103" s="140" t="str">
        <f t="shared" si="4"/>
        <v>-</v>
      </c>
      <c r="J103" s="1017" t="s">
        <v>4190</v>
      </c>
      <c r="K103" s="9"/>
      <c r="L103" s="12"/>
      <c r="M103" s="393">
        <f>IF($M$38&lt;R103,0,IF(OR(EET!BU78&gt;0,Q103=""),1,0))</f>
        <v>0</v>
      </c>
      <c r="N103" s="319">
        <v>12200</v>
      </c>
      <c r="O103" s="319"/>
      <c r="P103" s="319"/>
      <c r="Q103" s="3" t="b">
        <v>1</v>
      </c>
      <c r="R103" s="319">
        <v>3</v>
      </c>
      <c r="S103" s="319"/>
      <c r="T103" s="319">
        <v>3</v>
      </c>
      <c r="U103" s="319"/>
      <c r="V103" s="309" t="b">
        <v>1</v>
      </c>
      <c r="W103" s="319" t="b">
        <v>1</v>
      </c>
      <c r="X103" s="319"/>
      <c r="Y103" s="319"/>
      <c r="Z103" s="319"/>
      <c r="AA103" s="319"/>
      <c r="AB103" s="319"/>
      <c r="AC103" s="319"/>
      <c r="AD103" s="319"/>
      <c r="AE103" s="319"/>
      <c r="AF103" s="319"/>
      <c r="AG103" s="319"/>
      <c r="AO103" s="319"/>
      <c r="AP103" s="1014">
        <v>614</v>
      </c>
      <c r="AQ103" s="1014">
        <v>1</v>
      </c>
      <c r="AR103" s="1006">
        <v>614</v>
      </c>
      <c r="AS103" s="1014">
        <v>17</v>
      </c>
      <c r="AT103" s="1014">
        <v>614</v>
      </c>
      <c r="AU103" s="1014">
        <v>2</v>
      </c>
      <c r="AV103" s="319"/>
      <c r="AW103" s="319"/>
      <c r="AX103" s="319"/>
      <c r="AY103" s="319"/>
      <c r="AZ103" s="319"/>
      <c r="BA103" s="319"/>
      <c r="BB103" s="319"/>
      <c r="BC103" s="319"/>
      <c r="BD103" s="319"/>
      <c r="BE103" s="319"/>
      <c r="BF103" s="319"/>
      <c r="BG103" s="319"/>
      <c r="BH103" s="319"/>
      <c r="BI103" s="319"/>
      <c r="BJ103" s="319"/>
      <c r="BK103" s="319"/>
      <c r="BL103" s="319"/>
      <c r="BM103" s="319"/>
      <c r="BN103" s="319"/>
      <c r="BO103" s="319"/>
      <c r="BP103" s="319"/>
      <c r="BQ103" s="319"/>
      <c r="BR103" s="319"/>
      <c r="BS103" s="319"/>
      <c r="BT103" s="319"/>
      <c r="BU103" s="319"/>
      <c r="BV103" s="319"/>
      <c r="BW103" s="319"/>
      <c r="BX103" s="319"/>
      <c r="BY103" s="319"/>
      <c r="BZ103" s="319"/>
      <c r="CA103" s="319"/>
      <c r="CB103" s="319"/>
      <c r="CC103" s="319"/>
      <c r="CD103" s="319"/>
      <c r="CE103" s="319"/>
      <c r="CF103" s="319"/>
      <c r="CG103" s="319"/>
      <c r="CH103" s="319"/>
      <c r="CI103" s="319"/>
      <c r="CJ103" s="319"/>
      <c r="CK103" s="319"/>
    </row>
    <row r="104" spans="1:89" ht="13.2" hidden="1">
      <c r="A104" s="12"/>
      <c r="B104" s="329" t="str">
        <f>IF(EET!D79="","",EET!D79)</f>
        <v/>
      </c>
      <c r="C104" s="30" t="s">
        <v>637</v>
      </c>
      <c r="D104" s="30" t="s">
        <v>637</v>
      </c>
      <c r="E104" s="30">
        <f>IF(OR($R$39=1,$R$39=4),EET!BI79,IF(OR($R$39=6,$R$39=2),EET!BI79-EET!BK79,EET!BK79))*$V$35</f>
        <v>0</v>
      </c>
      <c r="F104" s="290">
        <f>EET!E79</f>
        <v>0</v>
      </c>
      <c r="G104" s="30">
        <f>EET!F79</f>
        <v>0</v>
      </c>
      <c r="H104" s="30">
        <f>EET!G79</f>
        <v>0</v>
      </c>
      <c r="I104" s="140" t="str">
        <f t="shared" si="4"/>
        <v>-</v>
      </c>
      <c r="J104" s="1017" t="s">
        <v>4190</v>
      </c>
      <c r="K104" s="9"/>
      <c r="L104" s="12"/>
      <c r="M104" s="393">
        <f>IF($M$38&lt;R104,0,IF(OR(EET!BU79&gt;0,Q104=""),1,0))</f>
        <v>0</v>
      </c>
      <c r="N104" s="319">
        <v>12200</v>
      </c>
      <c r="O104" s="319"/>
      <c r="P104" s="319"/>
      <c r="Q104" s="3" t="b">
        <v>1</v>
      </c>
      <c r="R104" s="319">
        <v>3</v>
      </c>
      <c r="S104" s="319"/>
      <c r="T104" s="319">
        <v>3</v>
      </c>
      <c r="U104" s="319"/>
      <c r="V104" s="309" t="b">
        <v>1</v>
      </c>
      <c r="W104" s="319" t="b">
        <v>1</v>
      </c>
      <c r="X104" s="319"/>
      <c r="Y104" s="319"/>
      <c r="Z104" s="319"/>
      <c r="AA104" s="319"/>
      <c r="AB104" s="319"/>
      <c r="AC104" s="319"/>
      <c r="AD104" s="319"/>
      <c r="AE104" s="319"/>
      <c r="AF104" s="319"/>
      <c r="AG104" s="319"/>
      <c r="AO104" s="319"/>
      <c r="AP104" s="1014">
        <v>650</v>
      </c>
      <c r="AQ104" s="1014">
        <v>6</v>
      </c>
      <c r="AR104" s="1006">
        <v>632</v>
      </c>
      <c r="AS104" s="1014">
        <v>17</v>
      </c>
      <c r="AT104" s="1014">
        <v>650</v>
      </c>
      <c r="AU104" s="1014">
        <v>7</v>
      </c>
      <c r="AV104" s="319"/>
      <c r="AW104" s="319"/>
      <c r="AX104" s="319"/>
      <c r="AY104" s="319"/>
      <c r="AZ104" s="319"/>
      <c r="BA104" s="319"/>
      <c r="BB104" s="319"/>
      <c r="BC104" s="319"/>
      <c r="BD104" s="319"/>
      <c r="BE104" s="319"/>
      <c r="BF104" s="319"/>
      <c r="BG104" s="319"/>
      <c r="BH104" s="319"/>
      <c r="BI104" s="319"/>
      <c r="BJ104" s="319"/>
      <c r="BK104" s="319"/>
      <c r="BL104" s="319"/>
      <c r="BM104" s="319"/>
      <c r="BN104" s="319"/>
      <c r="BO104" s="319"/>
      <c r="BP104" s="319"/>
      <c r="BQ104" s="319"/>
      <c r="BR104" s="319"/>
      <c r="BS104" s="319"/>
      <c r="BT104" s="319"/>
      <c r="BU104" s="319"/>
      <c r="BV104" s="319"/>
      <c r="BW104" s="319"/>
      <c r="BX104" s="319"/>
      <c r="BY104" s="319"/>
      <c r="BZ104" s="319"/>
      <c r="CA104" s="319"/>
      <c r="CB104" s="319"/>
      <c r="CC104" s="319"/>
      <c r="CD104" s="319"/>
      <c r="CE104" s="319"/>
      <c r="CF104" s="319"/>
      <c r="CG104" s="319"/>
      <c r="CH104" s="319"/>
      <c r="CI104" s="319"/>
      <c r="CJ104" s="319"/>
      <c r="CK104" s="319"/>
    </row>
    <row r="105" spans="1:89" ht="13.2" hidden="1">
      <c r="A105" s="12"/>
      <c r="B105" s="329" t="str">
        <f>IF(EET!D80="","",EET!D80)</f>
        <v/>
      </c>
      <c r="C105" s="30" t="s">
        <v>637</v>
      </c>
      <c r="D105" s="30" t="s">
        <v>637</v>
      </c>
      <c r="E105" s="30">
        <f>IF(OR($R$39=1,$R$39=4),EET!BI80,IF(OR($R$39=6,$R$39=2),EET!BI80-EET!BK80,EET!BK80))*$V$35</f>
        <v>0</v>
      </c>
      <c r="F105" s="290">
        <f>EET!E80</f>
        <v>0</v>
      </c>
      <c r="G105" s="30">
        <f>EET!F80</f>
        <v>0</v>
      </c>
      <c r="H105" s="30">
        <f>EET!G80</f>
        <v>0</v>
      </c>
      <c r="I105" s="140" t="str">
        <f t="shared" si="4"/>
        <v>-</v>
      </c>
      <c r="J105" s="1017" t="s">
        <v>4190</v>
      </c>
      <c r="K105" s="9"/>
      <c r="L105" s="12"/>
      <c r="M105" s="393">
        <f>IF($M$38&lt;R105,0,IF(OR(EET!BU80&gt;0,Q105=""),1,0))</f>
        <v>0</v>
      </c>
      <c r="N105" s="319">
        <v>12200</v>
      </c>
      <c r="O105" s="319"/>
      <c r="P105" s="319"/>
      <c r="Q105" s="3" t="b">
        <v>1</v>
      </c>
      <c r="R105" s="319">
        <v>3</v>
      </c>
      <c r="S105" s="319"/>
      <c r="T105" s="319">
        <v>3</v>
      </c>
      <c r="U105" s="319"/>
      <c r="V105" s="309" t="b">
        <v>1</v>
      </c>
      <c r="W105" s="319" t="b">
        <v>1</v>
      </c>
      <c r="X105" s="319"/>
      <c r="Y105" s="319"/>
      <c r="Z105" s="319"/>
      <c r="AA105" s="319"/>
      <c r="AB105" s="319"/>
      <c r="AC105" s="319"/>
      <c r="AD105" s="319"/>
      <c r="AE105" s="319"/>
      <c r="AF105" s="319"/>
      <c r="AG105" s="319"/>
      <c r="AO105" s="319"/>
      <c r="AP105" s="1014">
        <v>678</v>
      </c>
      <c r="AQ105" s="1014">
        <v>1</v>
      </c>
      <c r="AR105" s="1006">
        <v>675</v>
      </c>
      <c r="AS105" s="1014">
        <v>17</v>
      </c>
      <c r="AT105" s="1014">
        <v>678</v>
      </c>
      <c r="AU105" s="1014">
        <v>2</v>
      </c>
      <c r="AV105" s="319"/>
      <c r="AW105" s="319"/>
      <c r="AX105" s="319"/>
      <c r="AY105" s="319"/>
      <c r="AZ105" s="319"/>
      <c r="BA105" s="319"/>
      <c r="BB105" s="319"/>
      <c r="BC105" s="319"/>
      <c r="BD105" s="319"/>
      <c r="BE105" s="319"/>
      <c r="BF105" s="319"/>
      <c r="BG105" s="319"/>
      <c r="BH105" s="319"/>
      <c r="BI105" s="319"/>
      <c r="BJ105" s="319"/>
      <c r="BK105" s="319"/>
      <c r="BL105" s="319"/>
      <c r="BM105" s="319"/>
      <c r="BN105" s="319"/>
      <c r="BO105" s="319"/>
      <c r="BP105" s="319"/>
      <c r="BQ105" s="319"/>
      <c r="BR105" s="319"/>
      <c r="BS105" s="319"/>
      <c r="BT105" s="319"/>
      <c r="BU105" s="319"/>
      <c r="BV105" s="319"/>
      <c r="BW105" s="319"/>
      <c r="BX105" s="319"/>
      <c r="BY105" s="319"/>
      <c r="BZ105" s="319"/>
      <c r="CA105" s="319"/>
      <c r="CB105" s="319"/>
      <c r="CC105" s="319"/>
      <c r="CD105" s="319"/>
      <c r="CE105" s="319"/>
      <c r="CF105" s="319"/>
      <c r="CG105" s="319"/>
      <c r="CH105" s="319"/>
      <c r="CI105" s="319"/>
      <c r="CJ105" s="319"/>
      <c r="CK105" s="319"/>
    </row>
    <row r="106" spans="1:89" ht="13.2">
      <c r="A106" s="12"/>
      <c r="B106" s="543" t="str">
        <f>Language!C2457</f>
        <v>Calor do processo</v>
      </c>
      <c r="C106" s="30"/>
      <c r="D106" s="30"/>
      <c r="E106" s="30"/>
      <c r="F106" s="290"/>
      <c r="G106" s="30"/>
      <c r="H106" s="30"/>
      <c r="I106" s="140"/>
      <c r="J106" s="29"/>
      <c r="K106" s="9"/>
      <c r="L106" s="12"/>
      <c r="M106" s="393">
        <f>IF($M$38&lt;R106,0,IF(OR(EET!BU81&gt;0,Q106=""),1,0))</f>
        <v>1</v>
      </c>
      <c r="N106" s="319">
        <v>12210</v>
      </c>
      <c r="O106" s="319"/>
      <c r="P106" s="319"/>
      <c r="Q106" s="319"/>
      <c r="R106" s="319">
        <v>3</v>
      </c>
      <c r="S106" s="319"/>
      <c r="T106" s="319">
        <v>3</v>
      </c>
      <c r="U106" s="319"/>
      <c r="V106" s="309"/>
      <c r="W106" s="319"/>
      <c r="X106" s="319"/>
      <c r="Y106" s="319"/>
      <c r="Z106" s="319"/>
      <c r="AA106" s="319"/>
      <c r="AB106" s="319"/>
      <c r="AC106" s="319"/>
      <c r="AD106" s="319"/>
      <c r="AE106" s="319"/>
      <c r="AF106" s="319"/>
      <c r="AG106" s="319"/>
      <c r="AO106" s="319"/>
      <c r="AP106" s="1014">
        <v>711</v>
      </c>
      <c r="AQ106" s="1014">
        <v>1</v>
      </c>
      <c r="AR106" s="1006">
        <v>710</v>
      </c>
      <c r="AS106" s="1014">
        <v>17</v>
      </c>
      <c r="AT106" s="1014">
        <v>711</v>
      </c>
      <c r="AU106" s="1014">
        <v>2</v>
      </c>
      <c r="AV106" s="319"/>
      <c r="AW106" s="319"/>
      <c r="AX106" s="319"/>
      <c r="AY106" s="319"/>
      <c r="AZ106" s="319"/>
      <c r="BA106" s="319"/>
      <c r="BB106" s="319"/>
      <c r="BC106" s="319"/>
      <c r="BD106" s="319"/>
      <c r="BE106" s="319"/>
      <c r="BF106" s="319"/>
      <c r="BG106" s="319"/>
      <c r="BH106" s="319"/>
      <c r="BI106" s="319"/>
      <c r="BJ106" s="319"/>
      <c r="BK106" s="319"/>
      <c r="BL106" s="319"/>
      <c r="BM106" s="319"/>
      <c r="BN106" s="319"/>
      <c r="BO106" s="319"/>
      <c r="BP106" s="319"/>
      <c r="BQ106" s="319"/>
      <c r="BR106" s="319"/>
      <c r="BS106" s="319"/>
      <c r="BT106" s="319"/>
      <c r="BU106" s="319"/>
      <c r="BV106" s="319"/>
      <c r="BW106" s="319"/>
      <c r="BX106" s="319"/>
      <c r="BY106" s="319"/>
      <c r="BZ106" s="319"/>
      <c r="CA106" s="319"/>
      <c r="CB106" s="319"/>
      <c r="CC106" s="319"/>
      <c r="CD106" s="319"/>
      <c r="CE106" s="319"/>
      <c r="CF106" s="319"/>
      <c r="CG106" s="319"/>
      <c r="CH106" s="319"/>
      <c r="CI106" s="319"/>
      <c r="CJ106" s="319"/>
      <c r="CK106" s="319"/>
    </row>
    <row r="107" spans="1:89" ht="13.2" hidden="1">
      <c r="A107" s="12"/>
      <c r="B107" s="329" t="str">
        <f>IF(EET!D82="","",EET!D82)</f>
        <v/>
      </c>
      <c r="C107" s="30">
        <f>IF($R$39=1,EET!X82,IF($R$39=2,EET!AG82,IF($R$39=3,EET!AF82,IF($R$39=4,EET!T82,IF($R$39=5,EET!AB82,EET!T82-EET!AB82)))))*$V$35</f>
        <v>0</v>
      </c>
      <c r="D107" s="30" t="s">
        <v>637</v>
      </c>
      <c r="E107" s="30" t="s">
        <v>637</v>
      </c>
      <c r="F107" s="290">
        <f>EET!E82</f>
        <v>0</v>
      </c>
      <c r="G107" s="30">
        <f>EET!F82</f>
        <v>0</v>
      </c>
      <c r="H107" s="30">
        <f>EET!G82</f>
        <v>0</v>
      </c>
      <c r="I107" s="140" t="str">
        <f t="shared" si="4"/>
        <v>-</v>
      </c>
      <c r="J107" s="1017" t="s">
        <v>4190</v>
      </c>
      <c r="K107" s="9"/>
      <c r="L107" s="12"/>
      <c r="M107" s="393">
        <f>IF($M$38&lt;R107,0,IF(OR(EET!BU82&gt;0,Q107=""),1,0))</f>
        <v>0</v>
      </c>
      <c r="N107" s="319">
        <v>12210</v>
      </c>
      <c r="O107" s="319"/>
      <c r="P107" s="319"/>
      <c r="Q107" s="311" t="b">
        <v>1</v>
      </c>
      <c r="R107" s="319">
        <v>3</v>
      </c>
      <c r="S107" s="319"/>
      <c r="T107" s="319">
        <v>3</v>
      </c>
      <c r="U107" s="319"/>
      <c r="V107" s="309" t="b">
        <v>1</v>
      </c>
      <c r="W107" s="309" t="b">
        <v>1</v>
      </c>
      <c r="X107" s="319"/>
      <c r="Y107" s="319"/>
      <c r="Z107" s="319"/>
      <c r="AA107" s="319"/>
      <c r="AB107" s="319"/>
      <c r="AC107" s="319"/>
      <c r="AD107" s="319"/>
      <c r="AE107" s="319"/>
      <c r="AF107" s="319"/>
      <c r="AG107" s="319"/>
      <c r="AO107" s="319"/>
      <c r="AP107" s="1014">
        <v>739</v>
      </c>
      <c r="AQ107" s="1014">
        <v>1</v>
      </c>
      <c r="AR107" s="1006">
        <v>739</v>
      </c>
      <c r="AS107" s="1014">
        <v>17</v>
      </c>
      <c r="AT107" s="1014">
        <v>739</v>
      </c>
      <c r="AU107" s="1014">
        <v>2</v>
      </c>
      <c r="AV107" s="319"/>
      <c r="AW107" s="319"/>
      <c r="AX107" s="319"/>
      <c r="AY107" s="319"/>
      <c r="AZ107" s="319"/>
      <c r="BA107" s="319"/>
      <c r="BB107" s="319"/>
      <c r="BC107" s="319"/>
      <c r="BD107" s="319"/>
      <c r="BE107" s="319"/>
      <c r="BF107" s="319"/>
      <c r="BG107" s="319"/>
      <c r="BH107" s="319"/>
      <c r="BI107" s="319"/>
      <c r="BJ107" s="319"/>
      <c r="BK107" s="319"/>
      <c r="BL107" s="319"/>
      <c r="BM107" s="319"/>
      <c r="BN107" s="319"/>
      <c r="BO107" s="319"/>
      <c r="BP107" s="319"/>
      <c r="BQ107" s="319"/>
      <c r="BR107" s="319"/>
      <c r="BS107" s="319"/>
      <c r="BT107" s="319"/>
      <c r="BU107" s="319"/>
      <c r="BV107" s="319"/>
      <c r="BW107" s="319"/>
      <c r="BX107" s="319"/>
      <c r="BY107" s="319"/>
      <c r="BZ107" s="319"/>
      <c r="CA107" s="319"/>
      <c r="CB107" s="319"/>
      <c r="CC107" s="319"/>
      <c r="CD107" s="319"/>
      <c r="CE107" s="319"/>
      <c r="CF107" s="319"/>
      <c r="CG107" s="319"/>
      <c r="CH107" s="319"/>
      <c r="CI107" s="319"/>
      <c r="CJ107" s="319"/>
      <c r="CK107" s="319"/>
    </row>
    <row r="108" spans="1:89" ht="13.2" hidden="1">
      <c r="A108" s="12"/>
      <c r="B108" s="329" t="str">
        <f>IF(EET!D83="","",EET!D83)</f>
        <v/>
      </c>
      <c r="C108" s="30">
        <f>IF($R$39=1,EET!X83,IF($R$39=2,EET!AG83,IF($R$39=3,EET!AF83,IF($R$39=4,EET!T83,IF($R$39=5,EET!AB83,EET!T83-EET!AB83)))))*$V$35</f>
        <v>0</v>
      </c>
      <c r="D108" s="30" t="s">
        <v>637</v>
      </c>
      <c r="E108" s="30" t="s">
        <v>637</v>
      </c>
      <c r="F108" s="290">
        <f>EET!E83</f>
        <v>0</v>
      </c>
      <c r="G108" s="30">
        <f>EET!F83</f>
        <v>0</v>
      </c>
      <c r="H108" s="30">
        <f>EET!G83</f>
        <v>0</v>
      </c>
      <c r="I108" s="140" t="str">
        <f t="shared" si="4"/>
        <v>-</v>
      </c>
      <c r="J108" s="1017" t="s">
        <v>4190</v>
      </c>
      <c r="K108" s="9"/>
      <c r="L108" s="12"/>
      <c r="M108" s="393">
        <f>IF($M$38&lt;R108,0,IF(OR(EET!BU83&gt;0,Q108=""),1,0))</f>
        <v>0</v>
      </c>
      <c r="N108" s="319">
        <v>12210</v>
      </c>
      <c r="O108" s="319"/>
      <c r="P108" s="319"/>
      <c r="Q108" s="3" t="b">
        <v>1</v>
      </c>
      <c r="R108" s="319">
        <v>3</v>
      </c>
      <c r="S108" s="319"/>
      <c r="T108" s="319">
        <v>3</v>
      </c>
      <c r="U108" s="319"/>
      <c r="V108" s="309" t="b">
        <v>1</v>
      </c>
      <c r="W108" s="319" t="b">
        <v>1</v>
      </c>
      <c r="X108" s="319"/>
      <c r="Y108" s="319"/>
      <c r="Z108" s="319"/>
      <c r="AA108" s="319"/>
      <c r="AB108" s="319"/>
      <c r="AC108" s="319"/>
      <c r="AD108" s="319"/>
      <c r="AE108" s="319"/>
      <c r="AF108" s="319"/>
      <c r="AG108" s="319"/>
      <c r="AO108" s="319"/>
      <c r="AP108" s="1014">
        <v>793</v>
      </c>
      <c r="AQ108" s="1014">
        <v>1</v>
      </c>
      <c r="AR108" s="1006">
        <v>792</v>
      </c>
      <c r="AS108" s="1014">
        <v>17</v>
      </c>
      <c r="AT108" s="1014">
        <v>793</v>
      </c>
      <c r="AU108" s="1014">
        <v>2</v>
      </c>
      <c r="AV108" s="319"/>
      <c r="AW108" s="319"/>
      <c r="AX108" s="319"/>
      <c r="AY108" s="319"/>
      <c r="AZ108" s="319"/>
      <c r="BA108" s="319"/>
      <c r="BB108" s="319"/>
      <c r="BC108" s="319"/>
      <c r="BD108" s="319"/>
      <c r="BE108" s="319"/>
      <c r="BF108" s="319"/>
      <c r="BG108" s="319"/>
      <c r="BH108" s="319"/>
      <c r="BI108" s="319"/>
      <c r="BJ108" s="319"/>
      <c r="BK108" s="319"/>
      <c r="BL108" s="319"/>
      <c r="BM108" s="319"/>
      <c r="BN108" s="319"/>
      <c r="BO108" s="319"/>
      <c r="BP108" s="319"/>
      <c r="BQ108" s="319"/>
      <c r="BR108" s="319"/>
      <c r="BS108" s="319"/>
      <c r="BT108" s="319"/>
      <c r="BU108" s="319"/>
      <c r="BV108" s="319"/>
      <c r="BW108" s="319"/>
      <c r="BX108" s="319"/>
      <c r="BY108" s="319"/>
      <c r="BZ108" s="319"/>
      <c r="CA108" s="319"/>
      <c r="CB108" s="319"/>
      <c r="CC108" s="319"/>
      <c r="CD108" s="319"/>
      <c r="CE108" s="319"/>
      <c r="CF108" s="319"/>
      <c r="CG108" s="319"/>
      <c r="CH108" s="319"/>
      <c r="CI108" s="319"/>
      <c r="CJ108" s="319"/>
      <c r="CK108" s="319"/>
    </row>
    <row r="109" spans="1:89" ht="13.2" hidden="1">
      <c r="A109" s="12"/>
      <c r="B109" s="329" t="str">
        <f>IF(EET!D84="","",EET!D84)</f>
        <v/>
      </c>
      <c r="C109" s="30">
        <f>IF($R$39=1,EET!X84,IF($R$39=2,EET!AG84,IF($R$39=3,EET!AF84,IF($R$39=4,EET!T84,IF($R$39=5,EET!AB84,EET!T84-EET!AB84)))))*$V$35</f>
        <v>0</v>
      </c>
      <c r="D109" s="30" t="s">
        <v>637</v>
      </c>
      <c r="E109" s="30" t="s">
        <v>637</v>
      </c>
      <c r="F109" s="290">
        <f>EET!E84</f>
        <v>0</v>
      </c>
      <c r="G109" s="30">
        <f>EET!F84</f>
        <v>0</v>
      </c>
      <c r="H109" s="30">
        <f>EET!G84</f>
        <v>0</v>
      </c>
      <c r="I109" s="140" t="str">
        <f t="shared" si="4"/>
        <v>-</v>
      </c>
      <c r="J109" s="1017" t="s">
        <v>4190</v>
      </c>
      <c r="K109" s="9"/>
      <c r="L109" s="12"/>
      <c r="M109" s="393">
        <f>IF($M$38&lt;R109,0,IF(OR(EET!BU84&gt;0,Q109=""),1,0))</f>
        <v>0</v>
      </c>
      <c r="N109" s="319">
        <v>12210</v>
      </c>
      <c r="O109" s="319"/>
      <c r="P109" s="319"/>
      <c r="Q109" s="3" t="b">
        <v>1</v>
      </c>
      <c r="R109" s="319">
        <v>3</v>
      </c>
      <c r="S109" s="319"/>
      <c r="T109" s="319">
        <v>3</v>
      </c>
      <c r="U109" s="319"/>
      <c r="V109" s="309" t="b">
        <v>1</v>
      </c>
      <c r="W109" s="319" t="b">
        <v>1</v>
      </c>
      <c r="X109" s="319"/>
      <c r="Y109" s="319"/>
      <c r="Z109" s="319"/>
      <c r="AA109" s="319"/>
      <c r="AB109" s="319"/>
      <c r="AC109" s="319"/>
      <c r="AD109" s="319"/>
      <c r="AE109" s="319"/>
      <c r="AF109" s="319"/>
      <c r="AG109" s="319"/>
      <c r="AO109" s="319"/>
      <c r="AP109" s="1014">
        <v>810</v>
      </c>
      <c r="AQ109" s="1014">
        <v>1</v>
      </c>
      <c r="AR109" s="1006">
        <v>809</v>
      </c>
      <c r="AS109" s="1014">
        <v>17</v>
      </c>
      <c r="AT109" s="1014">
        <v>810</v>
      </c>
      <c r="AU109" s="1014">
        <v>2</v>
      </c>
      <c r="AV109" s="319"/>
      <c r="AW109" s="319"/>
      <c r="AX109" s="319"/>
      <c r="AY109" s="319"/>
      <c r="AZ109" s="319"/>
      <c r="BA109" s="319"/>
      <c r="BB109" s="319"/>
      <c r="BC109" s="319"/>
      <c r="BD109" s="319"/>
      <c r="BE109" s="319"/>
      <c r="BF109" s="319"/>
      <c r="BG109" s="319"/>
      <c r="BH109" s="319"/>
      <c r="BI109" s="319"/>
      <c r="BJ109" s="319"/>
      <c r="BK109" s="319"/>
      <c r="BL109" s="319"/>
      <c r="BM109" s="319"/>
      <c r="BN109" s="319"/>
      <c r="BO109" s="319"/>
      <c r="BP109" s="319"/>
      <c r="BQ109" s="319"/>
      <c r="BR109" s="319"/>
      <c r="BS109" s="319"/>
      <c r="BT109" s="319"/>
      <c r="BU109" s="319"/>
      <c r="BV109" s="319"/>
      <c r="BW109" s="319"/>
      <c r="BX109" s="319"/>
      <c r="BY109" s="319"/>
      <c r="BZ109" s="319"/>
      <c r="CA109" s="319"/>
      <c r="CB109" s="319"/>
      <c r="CC109" s="319"/>
      <c r="CD109" s="319"/>
      <c r="CE109" s="319"/>
      <c r="CF109" s="319"/>
      <c r="CG109" s="319"/>
      <c r="CH109" s="319"/>
      <c r="CI109" s="319"/>
      <c r="CJ109" s="319"/>
      <c r="CK109" s="319"/>
    </row>
    <row r="110" spans="1:89" ht="13.2" hidden="1">
      <c r="A110" s="12"/>
      <c r="B110" s="329" t="str">
        <f>IF(EET!D85="","",EET!D85)</f>
        <v/>
      </c>
      <c r="C110" s="30">
        <f>IF($R$39=1,EET!X85,IF($R$39=2,EET!AG85,IF($R$39=3,EET!AF85,IF($R$39=4,EET!T85,IF($R$39=5,EET!AB85,EET!T85-EET!AB85)))))*$V$35</f>
        <v>0</v>
      </c>
      <c r="D110" s="30" t="s">
        <v>637</v>
      </c>
      <c r="E110" s="30" t="s">
        <v>637</v>
      </c>
      <c r="F110" s="290">
        <f>EET!E85</f>
        <v>0</v>
      </c>
      <c r="G110" s="30">
        <f>EET!F85</f>
        <v>0</v>
      </c>
      <c r="H110" s="30">
        <f>EET!G85</f>
        <v>0</v>
      </c>
      <c r="I110" s="140" t="str">
        <f t="shared" si="4"/>
        <v>-</v>
      </c>
      <c r="J110" s="1017" t="s">
        <v>4190</v>
      </c>
      <c r="K110" s="9"/>
      <c r="L110" s="12"/>
      <c r="M110" s="393">
        <f>IF($M$38&lt;R110,0,IF(OR(EET!BU85&gt;0,Q110=""),1,0))</f>
        <v>0</v>
      </c>
      <c r="N110" s="319">
        <v>12210</v>
      </c>
      <c r="O110" s="319"/>
      <c r="P110" s="319"/>
      <c r="Q110" s="3" t="b">
        <v>1</v>
      </c>
      <c r="R110" s="319">
        <v>3</v>
      </c>
      <c r="S110" s="319"/>
      <c r="T110" s="319">
        <v>3</v>
      </c>
      <c r="U110" s="319"/>
      <c r="V110" s="309" t="b">
        <v>1</v>
      </c>
      <c r="W110" s="319" t="b">
        <v>1</v>
      </c>
      <c r="X110" s="319"/>
      <c r="Y110" s="319"/>
      <c r="Z110" s="319"/>
      <c r="AA110" s="319"/>
      <c r="AB110" s="319"/>
      <c r="AC110" s="319"/>
      <c r="AD110" s="319"/>
      <c r="AE110" s="319"/>
      <c r="AF110" s="319"/>
      <c r="AG110" s="319"/>
      <c r="AO110" s="319"/>
      <c r="AP110" s="1006">
        <v>954</v>
      </c>
      <c r="AQ110" s="1006">
        <v>1</v>
      </c>
      <c r="AR110" s="1006">
        <v>953</v>
      </c>
      <c r="AS110" s="1006">
        <v>17</v>
      </c>
      <c r="AT110" s="1006">
        <v>954</v>
      </c>
      <c r="AU110" s="1006">
        <v>2</v>
      </c>
      <c r="AV110" s="319"/>
      <c r="AW110" s="319"/>
      <c r="AX110" s="319"/>
      <c r="AY110" s="319"/>
      <c r="AZ110" s="319"/>
      <c r="BA110" s="319"/>
      <c r="BB110" s="319"/>
      <c r="BC110" s="319"/>
      <c r="BD110" s="319"/>
      <c r="BE110" s="319"/>
      <c r="BF110" s="319"/>
      <c r="BG110" s="319"/>
      <c r="BH110" s="319"/>
      <c r="BI110" s="319"/>
      <c r="BJ110" s="319"/>
      <c r="BK110" s="319"/>
      <c r="BL110" s="319"/>
      <c r="BM110" s="319"/>
      <c r="BN110" s="319"/>
      <c r="BO110" s="319"/>
      <c r="BP110" s="319"/>
      <c r="BQ110" s="319"/>
      <c r="BR110" s="319"/>
      <c r="BS110" s="319"/>
      <c r="BT110" s="319"/>
      <c r="BU110" s="319"/>
      <c r="BV110" s="319"/>
      <c r="BW110" s="319"/>
      <c r="BX110" s="319"/>
      <c r="BY110" s="319"/>
      <c r="BZ110" s="319"/>
      <c r="CA110" s="319"/>
      <c r="CB110" s="319"/>
      <c r="CC110" s="319"/>
      <c r="CD110" s="319"/>
      <c r="CE110" s="319"/>
      <c r="CF110" s="319"/>
      <c r="CG110" s="319"/>
      <c r="CH110" s="319"/>
      <c r="CI110" s="319"/>
      <c r="CJ110" s="319"/>
      <c r="CK110" s="319"/>
    </row>
    <row r="111" spans="1:89" ht="12.75" hidden="1" customHeight="1">
      <c r="A111" s="12"/>
      <c r="B111" s="329" t="str">
        <f>IF(EET!D86="","",EET!D86)</f>
        <v/>
      </c>
      <c r="C111" s="30">
        <f>IF($R$39=1,EET!X86,IF($R$39=2,EET!AG86,IF($R$39=3,EET!AF86,IF($R$39=4,EET!T86,IF($R$39=5,EET!AB86,EET!T86-EET!AB86)))))*$V$35</f>
        <v>0</v>
      </c>
      <c r="D111" s="30" t="s">
        <v>637</v>
      </c>
      <c r="E111" s="30" t="s">
        <v>637</v>
      </c>
      <c r="F111" s="290">
        <f>EET!E86</f>
        <v>0</v>
      </c>
      <c r="G111" s="30">
        <f>EET!F86</f>
        <v>0</v>
      </c>
      <c r="H111" s="30">
        <f>EET!G86</f>
        <v>0</v>
      </c>
      <c r="I111" s="140" t="str">
        <f t="shared" si="4"/>
        <v>-</v>
      </c>
      <c r="J111" s="1017" t="s">
        <v>4190</v>
      </c>
      <c r="K111" s="9"/>
      <c r="L111" s="12"/>
      <c r="M111" s="393">
        <f>IF($M$38&lt;R111,0,IF(OR(EET!BU86&gt;0,Q111=""),1,0))</f>
        <v>0</v>
      </c>
      <c r="N111" s="319">
        <v>12210</v>
      </c>
      <c r="O111" s="319"/>
      <c r="P111" s="319"/>
      <c r="Q111" s="3" t="b">
        <v>1</v>
      </c>
      <c r="R111" s="319">
        <v>3</v>
      </c>
      <c r="S111" s="319"/>
      <c r="T111" s="319">
        <v>3</v>
      </c>
      <c r="U111" s="319"/>
      <c r="V111" s="309" t="b">
        <v>1</v>
      </c>
      <c r="W111" s="319" t="b">
        <v>1</v>
      </c>
      <c r="X111" s="319"/>
      <c r="Y111" s="319"/>
      <c r="Z111" s="319"/>
      <c r="AA111" s="319"/>
      <c r="AB111" s="319"/>
      <c r="AC111" s="319"/>
      <c r="AD111" s="319"/>
      <c r="AE111" s="319"/>
      <c r="AF111" s="319"/>
      <c r="AG111" s="319"/>
      <c r="AO111" s="319"/>
      <c r="AP111" s="1006">
        <v>474</v>
      </c>
      <c r="AQ111" s="1006">
        <v>1</v>
      </c>
      <c r="AR111" s="1006">
        <v>474</v>
      </c>
      <c r="AS111" s="1006">
        <v>17</v>
      </c>
      <c r="AT111" s="1006">
        <v>474</v>
      </c>
      <c r="AU111" s="1006">
        <v>2</v>
      </c>
      <c r="AV111" s="319"/>
      <c r="AW111" s="319"/>
      <c r="AX111" s="319"/>
      <c r="AY111" s="319"/>
      <c r="AZ111" s="319"/>
      <c r="BA111" s="319"/>
      <c r="BB111" s="319"/>
      <c r="BC111" s="319"/>
      <c r="BD111" s="319"/>
      <c r="BE111" s="319"/>
      <c r="BF111" s="319"/>
      <c r="BG111" s="319"/>
      <c r="BH111" s="319"/>
      <c r="BI111" s="319"/>
      <c r="BJ111" s="319"/>
      <c r="BK111" s="319"/>
      <c r="BL111" s="319"/>
      <c r="BM111" s="319"/>
      <c r="BN111" s="319"/>
      <c r="BO111" s="319"/>
      <c r="BP111" s="319"/>
      <c r="BQ111" s="319"/>
      <c r="BR111" s="319"/>
      <c r="BS111" s="319"/>
      <c r="BT111" s="319"/>
      <c r="BU111" s="319"/>
      <c r="BV111" s="319"/>
      <c r="BW111" s="319"/>
      <c r="BX111" s="319"/>
      <c r="BY111" s="319"/>
      <c r="BZ111" s="319"/>
      <c r="CA111" s="319"/>
      <c r="CB111" s="319"/>
      <c r="CC111" s="319"/>
      <c r="CD111" s="319"/>
      <c r="CE111" s="319"/>
      <c r="CF111" s="319"/>
      <c r="CG111" s="319"/>
      <c r="CH111" s="319"/>
      <c r="CI111" s="319"/>
      <c r="CJ111" s="319"/>
      <c r="CK111" s="319"/>
    </row>
    <row r="112" spans="1:89" ht="13.2">
      <c r="A112" s="12"/>
      <c r="B112" s="543" t="str">
        <f>Language!C2458</f>
        <v>Vapor do processo</v>
      </c>
      <c r="C112" s="30"/>
      <c r="D112" s="30"/>
      <c r="E112" s="30"/>
      <c r="F112" s="290"/>
      <c r="G112" s="30"/>
      <c r="H112" s="30"/>
      <c r="I112" s="140"/>
      <c r="J112" s="29"/>
      <c r="K112" s="9"/>
      <c r="L112" s="12"/>
      <c r="M112" s="393">
        <f>IF($M$38&lt;R112,0,IF(OR(EET!BU87&gt;0,Q112=""),1,0))</f>
        <v>1</v>
      </c>
      <c r="N112" s="319">
        <v>12220</v>
      </c>
      <c r="O112" s="319"/>
      <c r="P112" s="319"/>
      <c r="Q112" s="319"/>
      <c r="R112" s="319">
        <v>2</v>
      </c>
      <c r="S112" s="319"/>
      <c r="T112" s="319">
        <v>2</v>
      </c>
      <c r="U112" s="319"/>
      <c r="V112" s="309"/>
      <c r="W112" s="319"/>
      <c r="X112" s="319"/>
      <c r="Y112" s="319"/>
      <c r="Z112" s="319"/>
      <c r="AA112" s="319"/>
      <c r="AB112" s="319"/>
      <c r="AC112" s="319"/>
      <c r="AD112" s="319"/>
      <c r="AE112" s="319"/>
      <c r="AF112" s="319"/>
      <c r="AG112" s="319"/>
      <c r="AH112" s="319"/>
      <c r="AI112" s="319"/>
      <c r="AJ112" s="319"/>
      <c r="AK112" s="319"/>
      <c r="AL112" s="319"/>
      <c r="AM112" s="319"/>
      <c r="AN112" s="319"/>
      <c r="AO112" s="319"/>
      <c r="AP112" s="319">
        <v>177</v>
      </c>
      <c r="AQ112" s="319">
        <v>7</v>
      </c>
      <c r="AR112" s="319">
        <v>180</v>
      </c>
      <c r="AS112" s="319">
        <v>23</v>
      </c>
      <c r="AT112" s="319">
        <v>177</v>
      </c>
      <c r="AU112" s="319">
        <v>8</v>
      </c>
      <c r="AV112" s="319"/>
      <c r="AW112" s="319"/>
      <c r="AX112" s="319"/>
      <c r="AY112" s="319"/>
      <c r="AZ112" s="319"/>
      <c r="BA112" s="319"/>
      <c r="BB112" s="319"/>
      <c r="BC112" s="319"/>
      <c r="BD112" s="319"/>
      <c r="BE112" s="319"/>
      <c r="BF112" s="319"/>
      <c r="BG112" s="319"/>
      <c r="BH112" s="319"/>
      <c r="BI112" s="319"/>
      <c r="BJ112" s="319"/>
      <c r="BK112" s="319"/>
      <c r="BL112" s="319"/>
      <c r="BM112" s="319"/>
      <c r="BN112" s="319"/>
      <c r="BO112" s="319"/>
      <c r="BP112" s="319"/>
      <c r="BQ112" s="319"/>
      <c r="BR112" s="319"/>
      <c r="BS112" s="319"/>
      <c r="BT112" s="319"/>
      <c r="BU112" s="319"/>
      <c r="BV112" s="319"/>
      <c r="BW112" s="319"/>
      <c r="BX112" s="319"/>
      <c r="BY112" s="319"/>
      <c r="BZ112" s="319"/>
      <c r="CA112" s="319"/>
      <c r="CB112" s="319"/>
      <c r="CC112" s="319"/>
      <c r="CD112" s="319"/>
      <c r="CE112" s="319"/>
      <c r="CF112" s="319"/>
      <c r="CG112" s="319"/>
      <c r="CH112" s="319"/>
      <c r="CI112" s="319"/>
      <c r="CJ112" s="319"/>
      <c r="CK112" s="319"/>
    </row>
    <row r="113" spans="1:89" ht="13.2" hidden="1">
      <c r="A113" s="12"/>
      <c r="B113" s="329" t="str">
        <f>IF(EET!D88="","",EET!D88)</f>
        <v/>
      </c>
      <c r="C113" s="30">
        <f>IF($R$39=1,EET!X88,IF($R$39=2,EET!AG88,IF($R$39=3,EET!AF88,IF($R$39=4,EET!T88,IF($R$39=5,EET!AB88,EET!T88-EET!AB88)))))*$V$35</f>
        <v>0</v>
      </c>
      <c r="D113" s="30" t="s">
        <v>637</v>
      </c>
      <c r="E113" s="30" t="s">
        <v>637</v>
      </c>
      <c r="F113" s="290">
        <f>EET!E88</f>
        <v>0</v>
      </c>
      <c r="G113" s="30">
        <f>EET!F88</f>
        <v>0</v>
      </c>
      <c r="H113" s="30">
        <f>EET!G88</f>
        <v>0</v>
      </c>
      <c r="I113" s="140" t="str">
        <f t="shared" si="4"/>
        <v>-</v>
      </c>
      <c r="J113" s="1017" t="s">
        <v>4190</v>
      </c>
      <c r="K113" s="9"/>
      <c r="L113" s="12"/>
      <c r="M113" s="393">
        <f>IF($M$38&lt;R113,0,IF(OR(EET!BU88&gt;0,Q113=""),1,0))</f>
        <v>0</v>
      </c>
      <c r="N113" s="319">
        <v>12220</v>
      </c>
      <c r="O113" s="319"/>
      <c r="P113" s="319"/>
      <c r="Q113" s="311" t="b">
        <v>1</v>
      </c>
      <c r="R113" s="319">
        <v>2</v>
      </c>
      <c r="S113" s="319"/>
      <c r="T113" s="319">
        <v>2</v>
      </c>
      <c r="U113" s="319"/>
      <c r="V113" s="309" t="b">
        <v>1</v>
      </c>
      <c r="W113" s="309" t="b">
        <v>1</v>
      </c>
      <c r="X113" s="319"/>
      <c r="Y113" s="319"/>
      <c r="Z113" s="319"/>
      <c r="AA113" s="319"/>
      <c r="AB113" s="319"/>
      <c r="AC113" s="319"/>
      <c r="AD113" s="319"/>
      <c r="AE113" s="319"/>
      <c r="AF113" s="319"/>
      <c r="AG113" s="319"/>
      <c r="AH113" s="319"/>
      <c r="AI113" s="319"/>
      <c r="AJ113" s="319"/>
      <c r="AK113" s="319"/>
      <c r="AL113" s="319"/>
      <c r="AM113" s="319"/>
      <c r="AN113" s="319"/>
      <c r="AO113" s="319"/>
      <c r="AP113" s="319">
        <v>185</v>
      </c>
      <c r="AQ113" s="319">
        <v>7</v>
      </c>
      <c r="AR113" s="319">
        <v>183</v>
      </c>
      <c r="AS113" s="319">
        <v>23</v>
      </c>
      <c r="AT113" s="319">
        <v>185</v>
      </c>
      <c r="AU113" s="319">
        <v>8</v>
      </c>
      <c r="AV113" s="319"/>
      <c r="AW113" s="319"/>
      <c r="AX113" s="319"/>
      <c r="AY113" s="319"/>
      <c r="AZ113" s="319"/>
      <c r="BA113" s="319"/>
      <c r="BB113" s="319"/>
      <c r="BC113" s="319"/>
      <c r="BD113" s="319"/>
      <c r="BE113" s="319"/>
      <c r="BF113" s="319"/>
      <c r="BG113" s="319"/>
      <c r="BH113" s="319"/>
      <c r="BI113" s="319"/>
      <c r="BJ113" s="319"/>
      <c r="BK113" s="319"/>
      <c r="BL113" s="319"/>
      <c r="BM113" s="319"/>
      <c r="BN113" s="319"/>
      <c r="BO113" s="319"/>
      <c r="BP113" s="319"/>
      <c r="BQ113" s="319"/>
      <c r="BR113" s="319"/>
      <c r="BS113" s="319"/>
      <c r="BT113" s="319"/>
      <c r="BU113" s="319"/>
      <c r="BV113" s="319"/>
      <c r="BW113" s="319"/>
      <c r="BX113" s="319"/>
      <c r="BY113" s="319"/>
      <c r="BZ113" s="319"/>
      <c r="CA113" s="319"/>
      <c r="CB113" s="319"/>
      <c r="CC113" s="319"/>
      <c r="CD113" s="319"/>
      <c r="CE113" s="319"/>
      <c r="CF113" s="319"/>
      <c r="CG113" s="319"/>
      <c r="CH113" s="319"/>
      <c r="CI113" s="319"/>
      <c r="CJ113" s="319"/>
      <c r="CK113" s="319"/>
    </row>
    <row r="114" spans="1:89" ht="12.75" hidden="1" customHeight="1">
      <c r="A114" s="12"/>
      <c r="B114" s="329" t="str">
        <f>IF(EET!D89="","",EET!D89)</f>
        <v/>
      </c>
      <c r="C114" s="30">
        <f>IF($R$39=1,EET!X89,IF($R$39=2,EET!AG89,IF($R$39=3,EET!AF89,IF($R$39=4,EET!T89,IF($R$39=5,EET!AB89,EET!T89-EET!AB89)))))*$V$35</f>
        <v>0</v>
      </c>
      <c r="D114" s="30" t="s">
        <v>637</v>
      </c>
      <c r="E114" s="30" t="s">
        <v>637</v>
      </c>
      <c r="F114" s="290">
        <f>EET!E89</f>
        <v>0</v>
      </c>
      <c r="G114" s="30">
        <f>EET!F89</f>
        <v>0</v>
      </c>
      <c r="H114" s="30">
        <f>EET!G89</f>
        <v>0</v>
      </c>
      <c r="I114" s="140" t="str">
        <f t="shared" si="4"/>
        <v>-</v>
      </c>
      <c r="J114" s="1017" t="s">
        <v>4190</v>
      </c>
      <c r="K114" s="9"/>
      <c r="L114" s="12"/>
      <c r="M114" s="393">
        <f>IF($M$38&lt;R114,0,IF(OR(EET!BU89&gt;0,Q114=""),1,0))</f>
        <v>0</v>
      </c>
      <c r="N114" s="319">
        <v>12220</v>
      </c>
      <c r="O114" s="319"/>
      <c r="P114" s="319"/>
      <c r="Q114" s="3" t="b">
        <v>1</v>
      </c>
      <c r="R114" s="319">
        <v>2</v>
      </c>
      <c r="S114" s="319"/>
      <c r="T114" s="319">
        <v>2</v>
      </c>
      <c r="U114" s="319"/>
      <c r="V114" s="309" t="b">
        <v>1</v>
      </c>
      <c r="W114" s="319" t="b">
        <v>1</v>
      </c>
      <c r="X114" s="319"/>
      <c r="Y114" s="319"/>
      <c r="Z114" s="319"/>
      <c r="AA114" s="319"/>
      <c r="AB114" s="319"/>
      <c r="AC114" s="319"/>
      <c r="AD114" s="319"/>
      <c r="AE114" s="319"/>
      <c r="AF114" s="319"/>
      <c r="AG114" s="319"/>
      <c r="AH114" s="319"/>
      <c r="AI114" s="319"/>
      <c r="AJ114" s="319"/>
      <c r="AK114" s="319"/>
      <c r="AL114" s="319"/>
      <c r="AM114" s="319"/>
      <c r="AN114" s="319"/>
      <c r="AO114" s="319"/>
      <c r="AP114" s="319"/>
      <c r="AQ114" s="319"/>
      <c r="AR114" s="319"/>
      <c r="AS114" s="319"/>
      <c r="AT114" s="319"/>
      <c r="AU114" s="319"/>
      <c r="AV114" s="319"/>
      <c r="AW114" s="319"/>
      <c r="AX114" s="319"/>
      <c r="AY114" s="319"/>
      <c r="AZ114" s="319"/>
      <c r="BA114" s="319"/>
      <c r="BB114" s="319"/>
      <c r="BC114" s="319"/>
      <c r="BD114" s="319"/>
      <c r="BE114" s="319"/>
      <c r="BF114" s="319"/>
      <c r="BG114" s="319"/>
      <c r="BH114" s="319"/>
      <c r="BI114" s="319"/>
      <c r="BJ114" s="319"/>
      <c r="BK114" s="319"/>
      <c r="BL114" s="319"/>
      <c r="BM114" s="319"/>
      <c r="BN114" s="319"/>
      <c r="BO114" s="319"/>
      <c r="BP114" s="319"/>
      <c r="BQ114" s="319"/>
      <c r="BR114" s="319"/>
      <c r="BS114" s="319"/>
      <c r="BT114" s="319"/>
      <c r="BU114" s="319"/>
      <c r="BV114" s="319"/>
      <c r="BW114" s="319"/>
      <c r="BX114" s="319"/>
      <c r="BY114" s="319"/>
      <c r="BZ114" s="319"/>
      <c r="CA114" s="319"/>
      <c r="CB114" s="319"/>
      <c r="CC114" s="319"/>
      <c r="CD114" s="319"/>
      <c r="CE114" s="319"/>
      <c r="CF114" s="319"/>
      <c r="CG114" s="319"/>
      <c r="CH114" s="319"/>
      <c r="CI114" s="319"/>
      <c r="CJ114" s="319"/>
      <c r="CK114" s="319"/>
    </row>
    <row r="115" spans="1:89" ht="13.2" hidden="1">
      <c r="A115" s="12"/>
      <c r="B115" s="329" t="str">
        <f>IF(EET!D90="","",EET!D90)</f>
        <v/>
      </c>
      <c r="C115" s="30">
        <f>IF($R$39=1,EET!X90,IF($R$39=2,EET!AG90,IF($R$39=3,EET!AF90,IF($R$39=4,EET!T90,IF($R$39=5,EET!AB90,EET!T90-EET!AB90)))))*$V$35</f>
        <v>0</v>
      </c>
      <c r="D115" s="30" t="s">
        <v>637</v>
      </c>
      <c r="E115" s="30" t="s">
        <v>637</v>
      </c>
      <c r="F115" s="290">
        <f>EET!E90</f>
        <v>0</v>
      </c>
      <c r="G115" s="30">
        <f>EET!F90</f>
        <v>0</v>
      </c>
      <c r="H115" s="30">
        <f>EET!G90</f>
        <v>0</v>
      </c>
      <c r="I115" s="140" t="str">
        <f t="shared" si="4"/>
        <v>-</v>
      </c>
      <c r="J115" s="1017" t="s">
        <v>4190</v>
      </c>
      <c r="K115" s="9"/>
      <c r="L115" s="12"/>
      <c r="M115" s="393">
        <f>IF($M$38&lt;R115,0,IF(OR(EET!BU90&gt;0,Q115=""),1,0))</f>
        <v>0</v>
      </c>
      <c r="N115" s="319">
        <v>12220</v>
      </c>
      <c r="O115" s="319"/>
      <c r="P115" s="319"/>
      <c r="Q115" s="3" t="b">
        <v>1</v>
      </c>
      <c r="R115" s="319">
        <v>2</v>
      </c>
      <c r="S115" s="319"/>
      <c r="T115" s="319">
        <v>2</v>
      </c>
      <c r="U115" s="319"/>
      <c r="V115" s="309" t="b">
        <v>1</v>
      </c>
      <c r="W115" s="319" t="b">
        <v>1</v>
      </c>
      <c r="X115" s="319"/>
      <c r="Y115" s="319"/>
      <c r="Z115" s="319"/>
      <c r="AA115" s="319"/>
      <c r="AB115" s="319"/>
      <c r="AC115" s="319"/>
      <c r="AD115" s="319"/>
      <c r="AE115" s="319"/>
      <c r="AF115" s="319"/>
      <c r="AG115" s="319"/>
      <c r="AH115" s="319"/>
      <c r="AI115" s="319"/>
      <c r="AJ115" s="319"/>
      <c r="AK115" s="319"/>
      <c r="AL115" s="319"/>
      <c r="AM115" s="319"/>
      <c r="AN115" s="319"/>
      <c r="AO115" s="319"/>
      <c r="AP115" s="319"/>
      <c r="AQ115" s="319"/>
      <c r="AR115" s="319"/>
      <c r="AS115" s="319"/>
      <c r="AT115" s="319"/>
      <c r="AU115" s="319"/>
      <c r="AV115" s="319"/>
      <c r="AW115" s="319"/>
      <c r="AX115" s="319"/>
      <c r="AY115" s="319"/>
      <c r="AZ115" s="319"/>
      <c r="BA115" s="319"/>
      <c r="BB115" s="319"/>
      <c r="BC115" s="319"/>
      <c r="BD115" s="319"/>
      <c r="BE115" s="319"/>
      <c r="BF115" s="319"/>
      <c r="BG115" s="319"/>
      <c r="BH115" s="319"/>
      <c r="BI115" s="319"/>
      <c r="BJ115" s="319"/>
      <c r="BK115" s="319"/>
      <c r="BL115" s="319"/>
      <c r="BM115" s="319"/>
      <c r="BN115" s="319"/>
      <c r="BO115" s="319"/>
      <c r="BP115" s="319"/>
      <c r="BQ115" s="319"/>
      <c r="BR115" s="319"/>
      <c r="BS115" s="319"/>
      <c r="BT115" s="319"/>
      <c r="BU115" s="319"/>
      <c r="BV115" s="319"/>
      <c r="BW115" s="319"/>
      <c r="BX115" s="319"/>
      <c r="BY115" s="319"/>
      <c r="BZ115" s="319"/>
      <c r="CA115" s="319"/>
      <c r="CB115" s="319"/>
      <c r="CC115" s="319"/>
      <c r="CD115" s="319"/>
      <c r="CE115" s="319"/>
      <c r="CF115" s="319"/>
      <c r="CG115" s="319"/>
      <c r="CH115" s="319"/>
      <c r="CI115" s="319"/>
      <c r="CJ115" s="319"/>
      <c r="CK115" s="319"/>
    </row>
    <row r="116" spans="1:89" ht="13.2" hidden="1">
      <c r="A116" s="12"/>
      <c r="B116" s="329" t="str">
        <f>IF(EET!D91="","",EET!D91)</f>
        <v/>
      </c>
      <c r="C116" s="30">
        <f>IF($R$39=1,EET!X91,IF($R$39=2,EET!AG91,IF($R$39=3,EET!AF91,IF($R$39=4,EET!T91,IF($R$39=5,EET!AB91,EET!T91-EET!AB91)))))*$V$35</f>
        <v>0</v>
      </c>
      <c r="D116" s="30" t="s">
        <v>637</v>
      </c>
      <c r="E116" s="30" t="s">
        <v>637</v>
      </c>
      <c r="F116" s="290">
        <f>EET!E91</f>
        <v>0</v>
      </c>
      <c r="G116" s="30">
        <f>EET!F91</f>
        <v>0</v>
      </c>
      <c r="H116" s="30">
        <f>EET!G91</f>
        <v>0</v>
      </c>
      <c r="I116" s="140" t="str">
        <f t="shared" si="4"/>
        <v>-</v>
      </c>
      <c r="J116" s="1017" t="s">
        <v>4190</v>
      </c>
      <c r="K116" s="9"/>
      <c r="L116" s="12"/>
      <c r="M116" s="393">
        <f>IF($M$38&lt;R116,0,IF(OR(EET!BU91&gt;0,Q116=""),1,0))</f>
        <v>0</v>
      </c>
      <c r="N116" s="319">
        <v>12220</v>
      </c>
      <c r="O116" s="319"/>
      <c r="P116" s="319"/>
      <c r="Q116" s="3" t="b">
        <v>1</v>
      </c>
      <c r="R116" s="319">
        <v>2</v>
      </c>
      <c r="S116" s="319"/>
      <c r="T116" s="319">
        <v>2</v>
      </c>
      <c r="U116" s="319"/>
      <c r="V116" s="309" t="b">
        <v>1</v>
      </c>
      <c r="W116" s="319" t="b">
        <v>1</v>
      </c>
      <c r="X116" s="319"/>
      <c r="Y116" s="319"/>
      <c r="Z116" s="319"/>
      <c r="AA116" s="319"/>
      <c r="AB116" s="319"/>
      <c r="AC116" s="319"/>
      <c r="AD116" s="319"/>
      <c r="AE116" s="319"/>
      <c r="AF116" s="319"/>
      <c r="AG116" s="319"/>
      <c r="AH116" s="319"/>
      <c r="AI116" s="319"/>
      <c r="AJ116" s="319"/>
      <c r="AK116" s="319"/>
      <c r="AL116" s="319"/>
      <c r="AM116" s="319"/>
      <c r="AN116" s="319"/>
      <c r="AO116" s="319"/>
      <c r="AP116" s="319"/>
      <c r="AQ116" s="319"/>
      <c r="AR116" s="319"/>
      <c r="AS116" s="319"/>
      <c r="AT116" s="319"/>
      <c r="AU116" s="319"/>
      <c r="AV116" s="319"/>
      <c r="AW116" s="319"/>
      <c r="AX116" s="319"/>
      <c r="AY116" s="319"/>
      <c r="AZ116" s="319"/>
      <c r="BA116" s="319"/>
      <c r="BB116" s="319"/>
      <c r="BC116" s="319"/>
      <c r="BD116" s="319"/>
      <c r="BE116" s="319"/>
      <c r="BF116" s="319"/>
      <c r="BG116" s="319"/>
      <c r="BH116" s="319"/>
      <c r="BI116" s="319"/>
      <c r="BJ116" s="319"/>
      <c r="BK116" s="319"/>
      <c r="BL116" s="319"/>
      <c r="BM116" s="319"/>
      <c r="BN116" s="319"/>
      <c r="BO116" s="319"/>
      <c r="BP116" s="319"/>
      <c r="BQ116" s="319"/>
      <c r="BR116" s="319"/>
      <c r="BS116" s="319"/>
      <c r="BT116" s="319"/>
      <c r="BU116" s="319"/>
      <c r="BV116" s="319"/>
      <c r="BW116" s="319"/>
      <c r="BX116" s="319"/>
      <c r="BY116" s="319"/>
      <c r="BZ116" s="319"/>
      <c r="CA116" s="319"/>
      <c r="CB116" s="319"/>
      <c r="CC116" s="319"/>
      <c r="CD116" s="319"/>
      <c r="CE116" s="319"/>
      <c r="CF116" s="319"/>
      <c r="CG116" s="319"/>
      <c r="CH116" s="319"/>
      <c r="CI116" s="319"/>
      <c r="CJ116" s="319"/>
      <c r="CK116" s="319"/>
    </row>
    <row r="117" spans="1:89" ht="13.2" hidden="1">
      <c r="A117" s="12"/>
      <c r="B117" s="329" t="str">
        <f>IF(EET!D92="","",EET!D92)</f>
        <v/>
      </c>
      <c r="C117" s="30">
        <f>IF($R$39=1,EET!X92,IF($R$39=2,EET!AG92,IF($R$39=3,EET!AF92,IF($R$39=4,EET!T92,IF($R$39=5,EET!AB92,EET!T92-EET!AB92)))))*$V$35</f>
        <v>0</v>
      </c>
      <c r="D117" s="30" t="s">
        <v>637</v>
      </c>
      <c r="E117" s="30" t="s">
        <v>637</v>
      </c>
      <c r="F117" s="290">
        <f>EET!E92</f>
        <v>0</v>
      </c>
      <c r="G117" s="30">
        <f>EET!F92</f>
        <v>0</v>
      </c>
      <c r="H117" s="30">
        <f>EET!G92</f>
        <v>0</v>
      </c>
      <c r="I117" s="140" t="str">
        <f t="shared" si="4"/>
        <v>-</v>
      </c>
      <c r="J117" s="1017" t="s">
        <v>4190</v>
      </c>
      <c r="K117" s="9"/>
      <c r="L117" s="12"/>
      <c r="M117" s="393">
        <f>IF($M$38&lt;R117,0,IF(OR(EET!BU92&gt;0,Q117=""),1,0))</f>
        <v>0</v>
      </c>
      <c r="N117" s="319">
        <v>12220</v>
      </c>
      <c r="O117" s="319"/>
      <c r="P117" s="319"/>
      <c r="Q117" s="3" t="b">
        <v>1</v>
      </c>
      <c r="R117" s="319">
        <v>2</v>
      </c>
      <c r="S117" s="319"/>
      <c r="T117" s="319">
        <v>2</v>
      </c>
      <c r="U117" s="319"/>
      <c r="V117" s="309" t="b">
        <v>1</v>
      </c>
      <c r="W117" s="319" t="b">
        <v>1</v>
      </c>
      <c r="X117" s="319"/>
      <c r="Y117" s="319"/>
      <c r="Z117" s="319"/>
      <c r="AA117" s="319"/>
      <c r="AB117" s="319"/>
      <c r="AC117" s="319"/>
      <c r="AD117" s="319"/>
      <c r="AE117" s="319"/>
      <c r="AF117" s="319"/>
      <c r="AG117" s="319"/>
      <c r="AH117" s="319"/>
      <c r="AI117" s="319"/>
      <c r="AJ117" s="319"/>
      <c r="AK117" s="319"/>
      <c r="AL117" s="319"/>
      <c r="AM117" s="319"/>
      <c r="AN117" s="319"/>
      <c r="AO117" s="319"/>
      <c r="AP117" s="319"/>
      <c r="AQ117" s="319"/>
      <c r="AR117" s="319"/>
      <c r="AS117" s="319"/>
      <c r="AT117" s="319"/>
      <c r="AU117" s="319"/>
      <c r="AV117" s="319"/>
      <c r="AW117" s="319"/>
      <c r="AX117" s="319"/>
      <c r="AY117" s="319"/>
      <c r="AZ117" s="319"/>
      <c r="BA117" s="319"/>
      <c r="BB117" s="319"/>
      <c r="BC117" s="319"/>
      <c r="BD117" s="319"/>
      <c r="BE117" s="319"/>
      <c r="BF117" s="319"/>
      <c r="BG117" s="319"/>
      <c r="BH117" s="319"/>
      <c r="BI117" s="319"/>
      <c r="BJ117" s="319"/>
      <c r="BK117" s="319"/>
      <c r="BL117" s="319"/>
      <c r="BM117" s="319"/>
      <c r="BN117" s="319"/>
      <c r="BO117" s="319"/>
      <c r="BP117" s="319"/>
      <c r="BQ117" s="319"/>
      <c r="BR117" s="319"/>
      <c r="BS117" s="319"/>
      <c r="BT117" s="319"/>
      <c r="BU117" s="319"/>
      <c r="BV117" s="319"/>
      <c r="BW117" s="319"/>
      <c r="BX117" s="319"/>
      <c r="BY117" s="319"/>
      <c r="BZ117" s="319"/>
      <c r="CA117" s="319"/>
      <c r="CB117" s="319"/>
      <c r="CC117" s="319"/>
      <c r="CD117" s="319"/>
      <c r="CE117" s="319"/>
      <c r="CF117" s="319"/>
      <c r="CG117" s="319"/>
      <c r="CH117" s="319"/>
      <c r="CI117" s="319"/>
      <c r="CJ117" s="319"/>
      <c r="CK117" s="319"/>
    </row>
    <row r="118" spans="1:89" ht="13.2">
      <c r="A118" s="12"/>
      <c r="B118" s="543" t="str">
        <f>Language!C2487</f>
        <v>Perdas de vapor</v>
      </c>
      <c r="C118" s="30"/>
      <c r="D118" s="30"/>
      <c r="E118" s="30"/>
      <c r="F118" s="290"/>
      <c r="G118" s="30"/>
      <c r="H118" s="30"/>
      <c r="I118" s="140"/>
      <c r="J118" s="29"/>
      <c r="K118" s="9"/>
      <c r="L118" s="12"/>
      <c r="M118" s="393">
        <f>IF($M$38&lt;R118,0,IF(OR(EET!BU93&gt;0,Q118=""),1,0))</f>
        <v>1</v>
      </c>
      <c r="N118" s="319">
        <v>12230</v>
      </c>
      <c r="O118" s="319"/>
      <c r="P118" s="319"/>
      <c r="Q118" s="319"/>
      <c r="R118" s="319">
        <v>3</v>
      </c>
      <c r="S118" s="319"/>
      <c r="T118" s="319">
        <v>3</v>
      </c>
      <c r="U118" s="319"/>
      <c r="V118" s="309"/>
      <c r="W118" s="319"/>
      <c r="X118" s="319"/>
      <c r="Y118" s="319"/>
      <c r="Z118" s="319"/>
      <c r="AA118" s="319"/>
      <c r="AB118" s="319"/>
      <c r="AC118" s="319"/>
      <c r="AD118" s="319"/>
      <c r="AE118" s="319"/>
      <c r="AF118" s="319"/>
      <c r="AG118" s="319"/>
      <c r="AH118" s="319"/>
      <c r="AI118" s="319"/>
      <c r="AJ118" s="319"/>
      <c r="AK118" s="319"/>
      <c r="AL118" s="319"/>
      <c r="AM118" s="319"/>
      <c r="AN118" s="319"/>
      <c r="AO118" s="319"/>
      <c r="AV118" s="319"/>
      <c r="AW118" s="319"/>
      <c r="AX118" s="319"/>
      <c r="AY118" s="319"/>
      <c r="AZ118" s="319"/>
      <c r="BA118" s="319"/>
      <c r="BB118" s="319"/>
      <c r="BC118" s="319"/>
      <c r="BD118" s="319"/>
      <c r="BE118" s="319"/>
      <c r="BF118" s="319"/>
      <c r="BG118" s="319"/>
      <c r="BH118" s="319"/>
      <c r="BI118" s="319"/>
      <c r="BJ118" s="319"/>
      <c r="BK118" s="319"/>
      <c r="BL118" s="319"/>
      <c r="BM118" s="319"/>
      <c r="BN118" s="319"/>
      <c r="BO118" s="319"/>
      <c r="BP118" s="319"/>
      <c r="BQ118" s="319"/>
      <c r="BR118" s="319"/>
      <c r="BS118" s="319"/>
      <c r="BT118" s="319"/>
      <c r="BU118" s="319"/>
      <c r="BV118" s="319"/>
      <c r="BW118" s="319"/>
      <c r="BX118" s="319"/>
      <c r="BY118" s="319"/>
      <c r="BZ118" s="319"/>
      <c r="CA118" s="319"/>
      <c r="CB118" s="319"/>
      <c r="CC118" s="319"/>
      <c r="CD118" s="319"/>
      <c r="CE118" s="319"/>
      <c r="CF118" s="319"/>
      <c r="CG118" s="319"/>
      <c r="CH118" s="319"/>
      <c r="CI118" s="319"/>
      <c r="CJ118" s="319"/>
      <c r="CK118" s="319"/>
    </row>
    <row r="119" spans="1:89" ht="13.2" hidden="1">
      <c r="A119" s="12"/>
      <c r="B119" s="329" t="str">
        <f>IF(EET!D94="","",EET!D94)</f>
        <v/>
      </c>
      <c r="C119" s="30">
        <f>IF($R$39=1,EET!X94,IF($R$39=2,EET!AG94,IF($R$39=3,EET!AF94,IF($R$39=4,EET!T94,IF($R$39=5,EET!AB94,EET!T94-EET!AB94)))))*$V$35</f>
        <v>0</v>
      </c>
      <c r="D119" s="30" t="s">
        <v>637</v>
      </c>
      <c r="E119" s="30" t="s">
        <v>637</v>
      </c>
      <c r="F119" s="290">
        <f>EET!E94</f>
        <v>0</v>
      </c>
      <c r="G119" s="30">
        <f>EET!F94</f>
        <v>0</v>
      </c>
      <c r="H119" s="30">
        <f>EET!G94</f>
        <v>0</v>
      </c>
      <c r="I119" s="140" t="str">
        <f t="shared" ref="I119:I147" si="5">IF(ISERROR(F119/(G119+H119)),"-",F119/(G119+H119))</f>
        <v>-</v>
      </c>
      <c r="J119" s="1017" t="s">
        <v>4190</v>
      </c>
      <c r="K119" s="9"/>
      <c r="L119" s="12"/>
      <c r="M119" s="393">
        <f>IF($M$38&lt;R119,0,IF(OR(EET!BU94&gt;0,Q119=""),1,0))</f>
        <v>0</v>
      </c>
      <c r="N119" s="319">
        <v>12230</v>
      </c>
      <c r="O119" s="319"/>
      <c r="P119" s="319"/>
      <c r="Q119" s="311" t="b">
        <v>1</v>
      </c>
      <c r="R119" s="319">
        <v>3</v>
      </c>
      <c r="S119" s="319"/>
      <c r="T119" s="319">
        <v>3</v>
      </c>
      <c r="U119" s="319"/>
      <c r="V119" s="309" t="b">
        <v>1</v>
      </c>
      <c r="W119" s="309" t="b">
        <v>1</v>
      </c>
      <c r="X119" s="319"/>
      <c r="Y119" s="319"/>
      <c r="Z119" s="319"/>
      <c r="AA119" s="319"/>
      <c r="AB119" s="319"/>
      <c r="AC119" s="319"/>
      <c r="AD119" s="319"/>
      <c r="AE119" s="319"/>
      <c r="AF119" s="319"/>
      <c r="AG119" s="319"/>
      <c r="AH119" s="319"/>
      <c r="AI119" s="319"/>
      <c r="AJ119" s="319"/>
      <c r="AK119" s="319"/>
      <c r="AL119" s="319"/>
      <c r="AM119" s="319"/>
      <c r="AN119" s="319"/>
      <c r="AO119" s="319"/>
      <c r="AP119" s="319"/>
      <c r="AQ119" s="319"/>
      <c r="AR119" s="319"/>
      <c r="AS119" s="319"/>
      <c r="AT119" s="319"/>
      <c r="AU119" s="319"/>
      <c r="AV119" s="319"/>
      <c r="AW119" s="319"/>
      <c r="AX119" s="319"/>
      <c r="AY119" s="319"/>
      <c r="AZ119" s="319"/>
      <c r="BA119" s="319"/>
      <c r="BB119" s="319"/>
      <c r="BC119" s="319"/>
      <c r="BD119" s="319"/>
      <c r="BE119" s="319"/>
      <c r="BF119" s="319"/>
      <c r="BG119" s="319"/>
      <c r="BH119" s="319"/>
      <c r="BI119" s="319"/>
      <c r="BJ119" s="319"/>
      <c r="BK119" s="319"/>
      <c r="BL119" s="319"/>
      <c r="BM119" s="319"/>
      <c r="BN119" s="319"/>
      <c r="BO119" s="319"/>
      <c r="BP119" s="319"/>
      <c r="BQ119" s="319"/>
      <c r="BR119" s="319"/>
      <c r="BS119" s="319"/>
      <c r="BT119" s="319"/>
      <c r="BU119" s="319"/>
      <c r="BV119" s="319"/>
      <c r="BW119" s="319"/>
      <c r="BX119" s="319"/>
      <c r="BY119" s="319"/>
      <c r="BZ119" s="319"/>
      <c r="CA119" s="319"/>
      <c r="CB119" s="319"/>
      <c r="CC119" s="319"/>
      <c r="CD119" s="319"/>
      <c r="CE119" s="319"/>
      <c r="CF119" s="319"/>
      <c r="CG119" s="319"/>
      <c r="CH119" s="319"/>
      <c r="CI119" s="319"/>
      <c r="CJ119" s="319"/>
      <c r="CK119" s="319"/>
    </row>
    <row r="120" spans="1:89" ht="13.2" hidden="1">
      <c r="A120" s="12"/>
      <c r="B120" s="329" t="str">
        <f>IF(EET!D95="","",EET!D95)</f>
        <v/>
      </c>
      <c r="C120" s="30">
        <f>IF($R$39=1,EET!X95,IF($R$39=2,EET!AG95,IF($R$39=3,EET!AF95,IF($R$39=4,EET!T95,IF($R$39=5,EET!AB95,EET!T95-EET!AB95)))))*$V$35</f>
        <v>0</v>
      </c>
      <c r="D120" s="30" t="s">
        <v>637</v>
      </c>
      <c r="E120" s="30" t="s">
        <v>637</v>
      </c>
      <c r="F120" s="290">
        <f>EET!E95</f>
        <v>0</v>
      </c>
      <c r="G120" s="30">
        <f>EET!F95</f>
        <v>0</v>
      </c>
      <c r="H120" s="30">
        <f>EET!G95</f>
        <v>0</v>
      </c>
      <c r="I120" s="140" t="str">
        <f t="shared" si="5"/>
        <v>-</v>
      </c>
      <c r="J120" s="1017" t="s">
        <v>4190</v>
      </c>
      <c r="K120" s="9"/>
      <c r="L120" s="12"/>
      <c r="M120" s="393">
        <f>IF($M$38&lt;R120,0,IF(OR(EET!BU95&gt;0,Q120=""),1,0))</f>
        <v>0</v>
      </c>
      <c r="N120" s="319">
        <v>12230</v>
      </c>
      <c r="O120" s="319"/>
      <c r="P120" s="319"/>
      <c r="Q120" s="3" t="b">
        <v>1</v>
      </c>
      <c r="R120" s="319">
        <v>3</v>
      </c>
      <c r="S120" s="319"/>
      <c r="T120" s="319">
        <v>3</v>
      </c>
      <c r="U120" s="319"/>
      <c r="V120" s="309" t="b">
        <v>1</v>
      </c>
      <c r="W120" s="319" t="b">
        <v>1</v>
      </c>
      <c r="X120" s="319"/>
      <c r="Y120" s="319"/>
      <c r="Z120" s="319"/>
      <c r="AA120" s="319"/>
      <c r="AB120" s="319"/>
      <c r="AC120" s="319"/>
      <c r="AD120" s="319"/>
      <c r="AE120" s="319"/>
      <c r="AF120" s="319"/>
      <c r="AG120" s="319"/>
      <c r="AH120" s="319"/>
      <c r="AI120" s="319"/>
      <c r="AJ120" s="319"/>
      <c r="AK120" s="319"/>
      <c r="AL120" s="319"/>
      <c r="AM120" s="319"/>
      <c r="AN120" s="319"/>
      <c r="AO120" s="319"/>
      <c r="AP120" s="319"/>
      <c r="AQ120" s="319"/>
      <c r="AR120" s="319"/>
      <c r="AS120" s="319"/>
      <c r="AT120" s="319"/>
      <c r="AU120" s="319"/>
      <c r="AV120" s="319"/>
      <c r="AW120" s="319"/>
      <c r="AX120" s="319"/>
      <c r="AY120" s="319"/>
      <c r="AZ120" s="319"/>
      <c r="BA120" s="319"/>
      <c r="BB120" s="319"/>
      <c r="BC120" s="319"/>
      <c r="BD120" s="319"/>
      <c r="BE120" s="319"/>
      <c r="BF120" s="319"/>
      <c r="BG120" s="319"/>
      <c r="BH120" s="319"/>
      <c r="BI120" s="319"/>
      <c r="BJ120" s="319"/>
      <c r="BK120" s="319"/>
      <c r="BL120" s="319"/>
      <c r="BM120" s="319"/>
      <c r="BN120" s="319"/>
      <c r="BO120" s="319"/>
      <c r="BP120" s="319"/>
      <c r="BQ120" s="319"/>
      <c r="BR120" s="319"/>
      <c r="BS120" s="319"/>
      <c r="BT120" s="319"/>
      <c r="BU120" s="319"/>
      <c r="BV120" s="319"/>
      <c r="BW120" s="319"/>
      <c r="BX120" s="319"/>
      <c r="BY120" s="319"/>
      <c r="BZ120" s="319"/>
      <c r="CA120" s="319"/>
      <c r="CB120" s="319"/>
      <c r="CC120" s="319"/>
      <c r="CD120" s="319"/>
      <c r="CE120" s="319"/>
      <c r="CF120" s="319"/>
      <c r="CG120" s="319"/>
      <c r="CH120" s="319"/>
      <c r="CI120" s="319"/>
      <c r="CJ120" s="319"/>
      <c r="CK120" s="319"/>
    </row>
    <row r="121" spans="1:89" ht="13.2" hidden="1">
      <c r="A121" s="12"/>
      <c r="B121" s="329" t="str">
        <f>IF(EET!D96="","",EET!D96)</f>
        <v/>
      </c>
      <c r="C121" s="30">
        <f>IF($R$39=1,EET!X96,IF($R$39=2,EET!AG96,IF($R$39=3,EET!AF96,IF($R$39=4,EET!T96,IF($R$39=5,EET!AB96,EET!T96-EET!AB96)))))*$V$35</f>
        <v>0</v>
      </c>
      <c r="D121" s="30" t="s">
        <v>637</v>
      </c>
      <c r="E121" s="30" t="s">
        <v>637</v>
      </c>
      <c r="F121" s="290">
        <f>EET!E96</f>
        <v>0</v>
      </c>
      <c r="G121" s="30">
        <f>EET!F96</f>
        <v>0</v>
      </c>
      <c r="H121" s="30">
        <f>EET!G96</f>
        <v>0</v>
      </c>
      <c r="I121" s="140" t="str">
        <f t="shared" si="5"/>
        <v>-</v>
      </c>
      <c r="J121" s="1017" t="s">
        <v>4190</v>
      </c>
      <c r="K121" s="9"/>
      <c r="L121" s="12"/>
      <c r="M121" s="393">
        <f>IF($M$38&lt;R121,0,IF(OR(EET!BU96&gt;0,Q121=""),1,0))</f>
        <v>0</v>
      </c>
      <c r="N121" s="319">
        <v>12230</v>
      </c>
      <c r="O121" s="319"/>
      <c r="P121" s="319"/>
      <c r="Q121" s="3" t="b">
        <v>1</v>
      </c>
      <c r="R121" s="319">
        <v>3</v>
      </c>
      <c r="S121" s="319"/>
      <c r="T121" s="319">
        <v>3</v>
      </c>
      <c r="U121" s="319"/>
      <c r="V121" s="309" t="b">
        <v>1</v>
      </c>
      <c r="W121" s="319" t="b">
        <v>1</v>
      </c>
      <c r="X121" s="319"/>
      <c r="Y121" s="319"/>
      <c r="Z121" s="319"/>
      <c r="AA121" s="319"/>
      <c r="AB121" s="319"/>
      <c r="AC121" s="319"/>
      <c r="AD121" s="319"/>
      <c r="AE121" s="319"/>
      <c r="AF121" s="319"/>
      <c r="AG121" s="319"/>
      <c r="AH121" s="319"/>
      <c r="AI121" s="319"/>
      <c r="AJ121" s="319"/>
      <c r="AK121" s="319"/>
      <c r="AL121" s="319"/>
      <c r="AM121" s="319"/>
      <c r="AN121" s="319"/>
      <c r="AO121" s="319"/>
      <c r="AP121" s="319"/>
      <c r="AQ121" s="319"/>
      <c r="AR121" s="319"/>
      <c r="AS121" s="319"/>
      <c r="AT121" s="319"/>
      <c r="AU121" s="319"/>
      <c r="AV121" s="319"/>
      <c r="AW121" s="319"/>
      <c r="AX121" s="319"/>
      <c r="AY121" s="319"/>
      <c r="AZ121" s="319"/>
      <c r="BA121" s="319"/>
      <c r="BB121" s="319"/>
      <c r="BC121" s="319"/>
      <c r="BD121" s="319"/>
      <c r="BE121" s="319"/>
      <c r="BF121" s="319"/>
      <c r="BG121" s="319"/>
      <c r="BH121" s="319"/>
      <c r="BI121" s="319"/>
      <c r="BJ121" s="319"/>
      <c r="BK121" s="319"/>
      <c r="BL121" s="319"/>
      <c r="BM121" s="319"/>
      <c r="BN121" s="319"/>
      <c r="BO121" s="319"/>
      <c r="BP121" s="319"/>
      <c r="BQ121" s="319"/>
      <c r="BR121" s="319"/>
      <c r="BS121" s="319"/>
      <c r="BT121" s="319"/>
      <c r="BU121" s="319"/>
      <c r="BV121" s="319"/>
      <c r="BW121" s="319"/>
      <c r="BX121" s="319"/>
      <c r="BY121" s="319"/>
      <c r="BZ121" s="319"/>
      <c r="CA121" s="319"/>
      <c r="CB121" s="319"/>
      <c r="CC121" s="319"/>
      <c r="CD121" s="319"/>
      <c r="CE121" s="319"/>
      <c r="CF121" s="319"/>
      <c r="CG121" s="319"/>
      <c r="CH121" s="319"/>
      <c r="CI121" s="319"/>
      <c r="CJ121" s="319"/>
      <c r="CK121" s="319"/>
    </row>
    <row r="122" spans="1:89" ht="13.2" hidden="1">
      <c r="A122" s="12"/>
      <c r="B122" s="329" t="str">
        <f>IF(EET!D97="","",EET!D97)</f>
        <v/>
      </c>
      <c r="C122" s="30">
        <f>IF($R$39=1,EET!X97,IF($R$39=2,EET!AG97,IF($R$39=3,EET!AF97,IF($R$39=4,EET!T97,IF($R$39=5,EET!AB97,EET!T97-EET!AB97)))))*$V$35</f>
        <v>0</v>
      </c>
      <c r="D122" s="30" t="s">
        <v>637</v>
      </c>
      <c r="E122" s="30" t="s">
        <v>637</v>
      </c>
      <c r="F122" s="290">
        <f>EET!E97</f>
        <v>0</v>
      </c>
      <c r="G122" s="30">
        <f>EET!F97</f>
        <v>0</v>
      </c>
      <c r="H122" s="30">
        <f>EET!G97</f>
        <v>0</v>
      </c>
      <c r="I122" s="140" t="str">
        <f t="shared" si="5"/>
        <v>-</v>
      </c>
      <c r="J122" s="1017" t="s">
        <v>4190</v>
      </c>
      <c r="K122" s="9"/>
      <c r="L122" s="12"/>
      <c r="M122" s="393">
        <f>IF($M$38&lt;R122,0,IF(OR(EET!BU97&gt;0,Q122=""),1,0))</f>
        <v>0</v>
      </c>
      <c r="N122" s="319">
        <v>12230</v>
      </c>
      <c r="O122" s="319"/>
      <c r="P122" s="319"/>
      <c r="Q122" s="3" t="b">
        <v>1</v>
      </c>
      <c r="R122" s="319">
        <v>3</v>
      </c>
      <c r="S122" s="319"/>
      <c r="T122" s="319">
        <v>3</v>
      </c>
      <c r="U122" s="319"/>
      <c r="V122" s="309" t="b">
        <v>1</v>
      </c>
      <c r="W122" s="319" t="b">
        <v>1</v>
      </c>
      <c r="X122" s="319"/>
      <c r="Y122" s="319"/>
      <c r="Z122" s="319"/>
      <c r="AA122" s="319"/>
      <c r="AB122" s="319"/>
      <c r="AC122" s="319"/>
      <c r="AD122" s="319"/>
      <c r="AE122" s="319"/>
      <c r="AF122" s="319"/>
      <c r="AG122" s="319"/>
      <c r="AH122" s="319"/>
      <c r="AI122" s="319"/>
      <c r="AJ122" s="319"/>
      <c r="AK122" s="319"/>
      <c r="AL122" s="319"/>
      <c r="AM122" s="319"/>
      <c r="AN122" s="319"/>
      <c r="AO122" s="319"/>
      <c r="AP122" s="319"/>
      <c r="AQ122" s="319"/>
      <c r="AR122" s="319"/>
      <c r="AS122" s="319"/>
      <c r="AT122" s="319"/>
      <c r="AU122" s="319"/>
      <c r="AV122" s="319"/>
      <c r="AW122" s="319"/>
      <c r="AX122" s="319"/>
      <c r="AY122" s="319"/>
      <c r="AZ122" s="319"/>
      <c r="BA122" s="319"/>
      <c r="BB122" s="319"/>
      <c r="BC122" s="319"/>
      <c r="BD122" s="319"/>
      <c r="BE122" s="319"/>
      <c r="BF122" s="319"/>
      <c r="BG122" s="319"/>
      <c r="BH122" s="319"/>
      <c r="BI122" s="319"/>
      <c r="BJ122" s="319"/>
      <c r="BK122" s="319"/>
      <c r="BL122" s="319"/>
      <c r="BM122" s="319"/>
      <c r="BN122" s="319"/>
      <c r="BO122" s="319"/>
      <c r="BP122" s="319"/>
      <c r="BQ122" s="319"/>
      <c r="BR122" s="319"/>
      <c r="BS122" s="319"/>
      <c r="BT122" s="319"/>
      <c r="BU122" s="319"/>
      <c r="BV122" s="319"/>
      <c r="BW122" s="319"/>
      <c r="BX122" s="319"/>
      <c r="BY122" s="319"/>
      <c r="BZ122" s="319"/>
      <c r="CA122" s="319"/>
      <c r="CB122" s="319"/>
      <c r="CC122" s="319"/>
      <c r="CD122" s="319"/>
      <c r="CE122" s="319"/>
      <c r="CF122" s="319"/>
      <c r="CG122" s="319"/>
      <c r="CH122" s="319"/>
      <c r="CI122" s="319"/>
      <c r="CJ122" s="319"/>
      <c r="CK122" s="319"/>
    </row>
    <row r="123" spans="1:89" ht="13.2" hidden="1">
      <c r="A123" s="12"/>
      <c r="B123" s="329" t="str">
        <f>IF(EET!D98="","",EET!D98)</f>
        <v/>
      </c>
      <c r="C123" s="30">
        <f>IF($R$39=1,EET!X98,IF($R$39=2,EET!AG98,IF($R$39=3,EET!AF98,IF($R$39=4,EET!T98,IF($R$39=5,EET!AB98,EET!T98-EET!AB98)))))*$V$35</f>
        <v>0</v>
      </c>
      <c r="D123" s="30" t="s">
        <v>637</v>
      </c>
      <c r="E123" s="30" t="s">
        <v>637</v>
      </c>
      <c r="F123" s="290">
        <f>EET!E98</f>
        <v>0</v>
      </c>
      <c r="G123" s="30">
        <f>EET!F98</f>
        <v>0</v>
      </c>
      <c r="H123" s="30">
        <f>EET!G98</f>
        <v>0</v>
      </c>
      <c r="I123" s="140" t="str">
        <f t="shared" si="5"/>
        <v>-</v>
      </c>
      <c r="J123" s="1017" t="s">
        <v>4190</v>
      </c>
      <c r="K123" s="9"/>
      <c r="L123" s="12"/>
      <c r="M123" s="393">
        <f>IF($M$38&lt;R123,0,IF(OR(EET!BU98&gt;0,Q123=""),1,0))</f>
        <v>0</v>
      </c>
      <c r="N123" s="319">
        <v>12230</v>
      </c>
      <c r="O123" s="319"/>
      <c r="P123" s="319"/>
      <c r="Q123" s="3" t="b">
        <v>1</v>
      </c>
      <c r="R123" s="319">
        <v>3</v>
      </c>
      <c r="S123" s="319"/>
      <c r="T123" s="319">
        <v>3</v>
      </c>
      <c r="U123" s="319"/>
      <c r="V123" s="309" t="b">
        <v>1</v>
      </c>
      <c r="W123" s="319" t="b">
        <v>1</v>
      </c>
      <c r="X123" s="319"/>
      <c r="Y123" s="319"/>
      <c r="Z123" s="319"/>
      <c r="AA123" s="319"/>
      <c r="AB123" s="319"/>
      <c r="AC123" s="319"/>
      <c r="AD123" s="319"/>
      <c r="AE123" s="319"/>
      <c r="AF123" s="319"/>
      <c r="AG123" s="319"/>
      <c r="AH123" s="319"/>
      <c r="AI123" s="319"/>
      <c r="AJ123" s="319"/>
      <c r="AK123" s="319"/>
      <c r="AL123" s="319"/>
      <c r="AM123" s="319"/>
      <c r="AN123" s="319"/>
      <c r="AO123" s="319"/>
      <c r="AP123" s="319"/>
      <c r="AQ123" s="319"/>
      <c r="AR123" s="319"/>
      <c r="AS123" s="319"/>
      <c r="AT123" s="319"/>
      <c r="AU123" s="319"/>
      <c r="AV123" s="319"/>
      <c r="AW123" s="319"/>
      <c r="AX123" s="319"/>
      <c r="AY123" s="319"/>
      <c r="AZ123" s="319"/>
      <c r="BA123" s="319"/>
      <c r="BB123" s="319"/>
      <c r="BC123" s="319"/>
      <c r="BD123" s="319"/>
      <c r="BE123" s="319"/>
      <c r="BF123" s="319"/>
      <c r="BG123" s="319"/>
      <c r="BH123" s="319"/>
      <c r="BI123" s="319"/>
      <c r="BJ123" s="319"/>
      <c r="BK123" s="319"/>
      <c r="BL123" s="319"/>
      <c r="BM123" s="319"/>
      <c r="BN123" s="319"/>
      <c r="BO123" s="319"/>
      <c r="BP123" s="319"/>
      <c r="BQ123" s="319"/>
      <c r="BR123" s="319"/>
      <c r="BS123" s="319"/>
      <c r="BT123" s="319"/>
      <c r="BU123" s="319"/>
      <c r="BV123" s="319"/>
      <c r="BW123" s="319"/>
      <c r="BX123" s="319"/>
      <c r="BY123" s="319"/>
      <c r="BZ123" s="319"/>
      <c r="CA123" s="319"/>
      <c r="CB123" s="319"/>
      <c r="CC123" s="319"/>
      <c r="CD123" s="319"/>
      <c r="CE123" s="319"/>
      <c r="CF123" s="319"/>
      <c r="CG123" s="319"/>
      <c r="CH123" s="319"/>
      <c r="CI123" s="319"/>
      <c r="CJ123" s="319"/>
      <c r="CK123" s="319"/>
    </row>
    <row r="124" spans="1:89" ht="13.2">
      <c r="A124" s="12"/>
      <c r="B124" s="543" t="str">
        <f>Language!C2388</f>
        <v>Recuperação de Calor</v>
      </c>
      <c r="C124" s="30"/>
      <c r="D124" s="30"/>
      <c r="E124" s="30"/>
      <c r="F124" s="290"/>
      <c r="G124" s="30"/>
      <c r="H124" s="30"/>
      <c r="I124" s="140"/>
      <c r="J124" s="29"/>
      <c r="K124" s="9"/>
      <c r="L124" s="12"/>
      <c r="M124" s="393">
        <f>IF($M$38&lt;R124,0,IF(OR(EET!BU99&gt;0,Q124=""),1,0))</f>
        <v>1</v>
      </c>
      <c r="N124" s="319">
        <v>12240</v>
      </c>
      <c r="O124" s="319"/>
      <c r="P124" s="319"/>
      <c r="Q124" s="319"/>
      <c r="R124" s="319"/>
      <c r="S124" s="319"/>
      <c r="T124" s="319">
        <v>4</v>
      </c>
      <c r="U124" s="319"/>
      <c r="V124" s="309"/>
      <c r="W124" s="319"/>
      <c r="X124" s="319"/>
      <c r="Y124" s="319"/>
      <c r="Z124" s="319"/>
      <c r="AA124" s="319"/>
      <c r="AB124" s="319"/>
      <c r="AC124" s="319"/>
      <c r="AD124" s="319"/>
      <c r="AE124" s="319"/>
      <c r="AF124" s="319"/>
      <c r="AG124" s="319"/>
      <c r="AH124" s="319"/>
      <c r="AI124" s="319"/>
      <c r="AJ124" s="319"/>
      <c r="AK124" s="319"/>
      <c r="AL124" s="319"/>
      <c r="AM124" s="319"/>
      <c r="AN124" s="319"/>
      <c r="AO124" s="319"/>
      <c r="AP124" s="319"/>
      <c r="AQ124" s="319"/>
      <c r="AR124" s="319"/>
      <c r="AS124" s="319"/>
      <c r="AT124" s="319"/>
      <c r="AU124" s="319"/>
      <c r="AV124" s="319"/>
      <c r="AW124" s="319"/>
      <c r="AX124" s="319"/>
      <c r="AY124" s="319"/>
      <c r="AZ124" s="319"/>
      <c r="BA124" s="319"/>
      <c r="BB124" s="319"/>
      <c r="BC124" s="319"/>
      <c r="BD124" s="319"/>
      <c r="BE124" s="319"/>
      <c r="BF124" s="319"/>
      <c r="BG124" s="319"/>
      <c r="BH124" s="319"/>
      <c r="BI124" s="319"/>
      <c r="BJ124" s="319"/>
      <c r="BK124" s="319"/>
      <c r="BL124" s="319"/>
      <c r="BM124" s="319"/>
      <c r="BN124" s="319"/>
      <c r="BO124" s="319"/>
      <c r="BP124" s="319"/>
      <c r="BQ124" s="319"/>
      <c r="BR124" s="319"/>
      <c r="BS124" s="319"/>
      <c r="BT124" s="319"/>
      <c r="BU124" s="319"/>
      <c r="BV124" s="319"/>
      <c r="BW124" s="319"/>
      <c r="BX124" s="319"/>
      <c r="BY124" s="319"/>
      <c r="BZ124" s="319"/>
      <c r="CA124" s="319"/>
      <c r="CB124" s="319"/>
      <c r="CC124" s="319"/>
      <c r="CD124" s="319"/>
      <c r="CE124" s="319"/>
      <c r="CF124" s="319"/>
      <c r="CG124" s="319"/>
      <c r="CH124" s="319"/>
      <c r="CI124" s="319"/>
      <c r="CJ124" s="319"/>
      <c r="CK124" s="319"/>
    </row>
    <row r="125" spans="1:89" ht="13.2" hidden="1">
      <c r="A125" s="12"/>
      <c r="B125" s="329" t="str">
        <f>IF(EET!D100="","",EET!D100)</f>
        <v/>
      </c>
      <c r="C125" s="30">
        <f>IF($R$39=1,EET!X100,IF($R$39=2,EET!AG100,IF($R$39=3,EET!AF100,IF($R$39=4,EET!T100,IF($R$39=5,EET!AB100,EET!T100-EET!AB100)))))*$V$35</f>
        <v>0</v>
      </c>
      <c r="D125" s="30">
        <f>IF($R$39=1,EET!AS100,IF($R$39=2,EET!BB100,IF($R$39=3,EET!BA100,IF($R$39=4,EET!AO100,IF($R$39=5,EET!AW100,EET!AO100-EET!AW100)))))*$V$35</f>
        <v>0</v>
      </c>
      <c r="E125" s="30" t="s">
        <v>637</v>
      </c>
      <c r="F125" s="290">
        <f>EET!E100</f>
        <v>0</v>
      </c>
      <c r="G125" s="30">
        <f>EET!F100</f>
        <v>0</v>
      </c>
      <c r="H125" s="30">
        <f>EET!G100</f>
        <v>0</v>
      </c>
      <c r="I125" s="140" t="str">
        <f t="shared" si="5"/>
        <v>-</v>
      </c>
      <c r="J125" s="1017" t="s">
        <v>4190</v>
      </c>
      <c r="K125" s="9"/>
      <c r="L125" s="12"/>
      <c r="M125" s="393">
        <f>IF($M$38&lt;R125,0,IF(OR(EET!BU100&gt;0,Q125=""),1,0))</f>
        <v>0</v>
      </c>
      <c r="N125" s="319">
        <v>12240</v>
      </c>
      <c r="O125" s="319"/>
      <c r="P125" s="319"/>
      <c r="Q125" s="311" t="b">
        <v>1</v>
      </c>
      <c r="R125" s="319"/>
      <c r="S125" s="319"/>
      <c r="T125" s="319">
        <v>4</v>
      </c>
      <c r="U125" s="319"/>
      <c r="V125" s="309" t="b">
        <v>1</v>
      </c>
      <c r="W125" s="309" t="b">
        <v>1</v>
      </c>
      <c r="X125" s="319"/>
      <c r="Y125" s="319"/>
      <c r="Z125" s="319"/>
      <c r="AA125" s="319"/>
      <c r="AB125" s="319"/>
      <c r="AC125" s="319"/>
      <c r="AD125" s="319"/>
      <c r="AE125" s="319"/>
      <c r="AF125" s="319"/>
      <c r="AG125" s="319"/>
      <c r="AH125" s="319"/>
      <c r="AI125" s="319"/>
      <c r="AJ125" s="319"/>
      <c r="AK125" s="319"/>
      <c r="AL125" s="319"/>
      <c r="AM125" s="319"/>
      <c r="AN125" s="319"/>
      <c r="AO125" s="319"/>
      <c r="AP125" s="319"/>
      <c r="AQ125" s="319"/>
      <c r="AR125" s="319"/>
      <c r="AS125" s="319"/>
      <c r="AT125" s="319"/>
      <c r="AU125" s="319"/>
      <c r="AV125" s="319"/>
      <c r="AW125" s="319"/>
      <c r="AX125" s="319"/>
      <c r="AY125" s="319"/>
      <c r="AZ125" s="319"/>
      <c r="BA125" s="319"/>
      <c r="BB125" s="319"/>
      <c r="BC125" s="319"/>
      <c r="BD125" s="319"/>
      <c r="BE125" s="319"/>
      <c r="BF125" s="319"/>
      <c r="BG125" s="319"/>
      <c r="BH125" s="319"/>
      <c r="BI125" s="319"/>
      <c r="BJ125" s="319"/>
      <c r="BK125" s="319"/>
      <c r="BL125" s="319"/>
      <c r="BM125" s="319"/>
      <c r="BN125" s="319"/>
      <c r="BO125" s="319"/>
      <c r="BP125" s="319"/>
      <c r="BQ125" s="319"/>
      <c r="BR125" s="319"/>
      <c r="BS125" s="319"/>
      <c r="BT125" s="319"/>
      <c r="BU125" s="319"/>
      <c r="BV125" s="319"/>
      <c r="BW125" s="319"/>
      <c r="BX125" s="319"/>
      <c r="BY125" s="319"/>
      <c r="BZ125" s="319"/>
      <c r="CA125" s="319"/>
      <c r="CB125" s="319"/>
      <c r="CC125" s="319"/>
      <c r="CD125" s="319"/>
      <c r="CE125" s="319"/>
      <c r="CF125" s="319"/>
      <c r="CG125" s="319"/>
      <c r="CH125" s="319"/>
      <c r="CI125" s="319"/>
      <c r="CJ125" s="319"/>
      <c r="CK125" s="319"/>
    </row>
    <row r="126" spans="1:89" ht="13.2" hidden="1">
      <c r="A126" s="12"/>
      <c r="B126" s="329" t="str">
        <f>IF(EET!D101="","",EET!D101)</f>
        <v/>
      </c>
      <c r="C126" s="30">
        <f>IF($R$39=1,EET!X101,IF($R$39=2,EET!AG101,IF($R$39=3,EET!AF101,IF($R$39=4,EET!T101,IF($R$39=5,EET!AB101,EET!T101-EET!AB101)))))*$V$35</f>
        <v>0</v>
      </c>
      <c r="D126" s="30">
        <f>IF($R$39=1,EET!AS101,IF($R$39=2,EET!BB101,IF($R$39=3,EET!BA101,IF($R$39=4,EET!AO101,IF($R$39=5,EET!AW101,EET!AO101-EET!AW101)))))*$V$35</f>
        <v>0</v>
      </c>
      <c r="E126" s="30" t="s">
        <v>637</v>
      </c>
      <c r="F126" s="290">
        <f>EET!E101</f>
        <v>0</v>
      </c>
      <c r="G126" s="30">
        <f>EET!F101</f>
        <v>0</v>
      </c>
      <c r="H126" s="30">
        <f>EET!G101</f>
        <v>0</v>
      </c>
      <c r="I126" s="140" t="str">
        <f t="shared" si="5"/>
        <v>-</v>
      </c>
      <c r="J126" s="1017" t="s">
        <v>4190</v>
      </c>
      <c r="K126" s="9"/>
      <c r="L126" s="12"/>
      <c r="M126" s="393">
        <f>IF($M$38&lt;R126,0,IF(OR(EET!BU101&gt;0,Q126=""),1,0))</f>
        <v>0</v>
      </c>
      <c r="N126" s="319">
        <v>12240</v>
      </c>
      <c r="O126" s="319"/>
      <c r="P126" s="319"/>
      <c r="Q126" s="3" t="b">
        <v>1</v>
      </c>
      <c r="R126" s="319"/>
      <c r="S126" s="319"/>
      <c r="T126" s="319">
        <v>4</v>
      </c>
      <c r="U126" s="319"/>
      <c r="V126" s="309" t="b">
        <v>1</v>
      </c>
      <c r="W126" s="319" t="b">
        <v>1</v>
      </c>
      <c r="X126" s="319"/>
      <c r="Y126" s="319"/>
      <c r="Z126" s="319"/>
      <c r="AA126" s="319"/>
      <c r="AB126" s="319"/>
      <c r="AC126" s="319"/>
      <c r="AD126" s="319"/>
      <c r="AE126" s="319"/>
      <c r="AF126" s="319"/>
      <c r="AG126" s="319"/>
      <c r="AH126" s="319"/>
      <c r="AI126" s="319"/>
      <c r="AJ126" s="319"/>
      <c r="AK126" s="319"/>
      <c r="AL126" s="319"/>
      <c r="AM126" s="319"/>
      <c r="AN126" s="319"/>
      <c r="AO126" s="319"/>
      <c r="AP126" s="319"/>
      <c r="AQ126" s="319"/>
      <c r="AR126" s="319"/>
      <c r="AS126" s="319"/>
      <c r="AT126" s="319"/>
      <c r="AU126" s="319"/>
      <c r="AV126" s="319"/>
      <c r="AW126" s="319"/>
      <c r="AX126" s="319"/>
      <c r="AY126" s="319"/>
      <c r="AZ126" s="319"/>
      <c r="BA126" s="319"/>
      <c r="BB126" s="319"/>
      <c r="BC126" s="319"/>
      <c r="BD126" s="319"/>
      <c r="BE126" s="319"/>
      <c r="BF126" s="319"/>
      <c r="BG126" s="319"/>
      <c r="BH126" s="319"/>
      <c r="BI126" s="319"/>
      <c r="BJ126" s="319"/>
      <c r="BK126" s="319"/>
      <c r="BL126" s="319"/>
      <c r="BM126" s="319"/>
      <c r="BN126" s="319"/>
      <c r="BO126" s="319"/>
      <c r="BP126" s="319"/>
      <c r="BQ126" s="319"/>
      <c r="BR126" s="319"/>
      <c r="BS126" s="319"/>
      <c r="BT126" s="319"/>
      <c r="BU126" s="319"/>
      <c r="BV126" s="319"/>
      <c r="BW126" s="319"/>
      <c r="BX126" s="319"/>
      <c r="BY126" s="319"/>
      <c r="BZ126" s="319"/>
      <c r="CA126" s="319"/>
      <c r="CB126" s="319"/>
      <c r="CC126" s="319"/>
      <c r="CD126" s="319"/>
      <c r="CE126" s="319"/>
      <c r="CF126" s="319"/>
      <c r="CG126" s="319"/>
      <c r="CH126" s="319"/>
      <c r="CI126" s="319"/>
      <c r="CJ126" s="319"/>
      <c r="CK126" s="319"/>
    </row>
    <row r="127" spans="1:89" ht="13.2" hidden="1">
      <c r="A127" s="12"/>
      <c r="B127" s="329" t="str">
        <f>IF(EET!D102="","",EET!D102)</f>
        <v/>
      </c>
      <c r="C127" s="30">
        <f>IF($R$39=1,EET!X102,IF($R$39=2,EET!AG102,IF($R$39=3,EET!AF102,IF($R$39=4,EET!T102,IF($R$39=5,EET!AB102,EET!T102-EET!AB102)))))*$V$35</f>
        <v>0</v>
      </c>
      <c r="D127" s="30">
        <f>IF($R$39=1,EET!AS102,IF($R$39=2,EET!BB102,IF($R$39=3,EET!BA102,IF($R$39=4,EET!AO102,IF($R$39=5,EET!AW102,EET!AO102-EET!AW102)))))*$V$35</f>
        <v>0</v>
      </c>
      <c r="E127" s="30" t="s">
        <v>637</v>
      </c>
      <c r="F127" s="290">
        <f>EET!E102</f>
        <v>0</v>
      </c>
      <c r="G127" s="30">
        <f>EET!F102</f>
        <v>0</v>
      </c>
      <c r="H127" s="30">
        <f>EET!G102</f>
        <v>0</v>
      </c>
      <c r="I127" s="140" t="str">
        <f t="shared" si="5"/>
        <v>-</v>
      </c>
      <c r="J127" s="1017" t="s">
        <v>4190</v>
      </c>
      <c r="K127" s="9"/>
      <c r="L127" s="12"/>
      <c r="M127" s="393">
        <f>IF($M$38&lt;R127,0,IF(OR(EET!BU102&gt;0,Q127=""),1,0))</f>
        <v>0</v>
      </c>
      <c r="N127" s="319">
        <v>12240</v>
      </c>
      <c r="O127" s="319"/>
      <c r="P127" s="319"/>
      <c r="Q127" s="3" t="b">
        <v>1</v>
      </c>
      <c r="R127" s="319"/>
      <c r="S127" s="319"/>
      <c r="T127" s="319">
        <v>4</v>
      </c>
      <c r="U127" s="319"/>
      <c r="V127" s="309" t="b">
        <v>1</v>
      </c>
      <c r="W127" s="319" t="b">
        <v>1</v>
      </c>
      <c r="X127" s="319"/>
      <c r="Y127" s="319"/>
      <c r="Z127" s="319"/>
      <c r="AA127" s="319"/>
      <c r="AB127" s="319"/>
      <c r="AC127" s="319"/>
      <c r="AD127" s="319"/>
      <c r="AE127" s="319"/>
      <c r="AF127" s="319"/>
      <c r="AG127" s="319"/>
      <c r="AH127" s="319"/>
      <c r="AI127" s="319"/>
      <c r="AJ127" s="319"/>
      <c r="AK127" s="319"/>
      <c r="AL127" s="319"/>
      <c r="AM127" s="319"/>
      <c r="AN127" s="319"/>
      <c r="AO127" s="319"/>
      <c r="AP127" s="319"/>
      <c r="AQ127" s="319"/>
      <c r="AR127" s="319"/>
      <c r="AS127" s="319"/>
      <c r="AT127" s="319"/>
      <c r="AU127" s="319"/>
      <c r="AV127" s="319"/>
      <c r="AW127" s="319"/>
      <c r="AX127" s="319"/>
      <c r="AY127" s="319"/>
      <c r="AZ127" s="319"/>
      <c r="BA127" s="319"/>
      <c r="BB127" s="319"/>
      <c r="BC127" s="319"/>
      <c r="BD127" s="319"/>
      <c r="BE127" s="319"/>
      <c r="BF127" s="319"/>
      <c r="BG127" s="319"/>
      <c r="BH127" s="319"/>
      <c r="BI127" s="319"/>
      <c r="BJ127" s="319"/>
      <c r="BK127" s="319"/>
      <c r="BL127" s="319"/>
      <c r="BM127" s="319"/>
      <c r="BN127" s="319"/>
      <c r="BO127" s="319"/>
      <c r="BP127" s="319"/>
      <c r="BQ127" s="319"/>
      <c r="BR127" s="319"/>
      <c r="BS127" s="319"/>
      <c r="BT127" s="319"/>
      <c r="BU127" s="319"/>
      <c r="BV127" s="319"/>
      <c r="BW127" s="319"/>
      <c r="BX127" s="319"/>
      <c r="BY127" s="319"/>
      <c r="BZ127" s="319"/>
      <c r="CA127" s="319"/>
      <c r="CB127" s="319"/>
      <c r="CC127" s="319"/>
      <c r="CD127" s="319"/>
      <c r="CE127" s="319"/>
      <c r="CF127" s="319"/>
      <c r="CG127" s="319"/>
      <c r="CH127" s="319"/>
      <c r="CI127" s="319"/>
      <c r="CJ127" s="319"/>
      <c r="CK127" s="319"/>
    </row>
    <row r="128" spans="1:89" ht="13.2" hidden="1">
      <c r="A128" s="12"/>
      <c r="B128" s="329" t="str">
        <f>IF(EET!D103="","",EET!D103)</f>
        <v/>
      </c>
      <c r="C128" s="30">
        <f>IF($R$39=1,EET!X103,IF($R$39=2,EET!AG103,IF($R$39=3,EET!AF103,IF($R$39=4,EET!T103,IF($R$39=5,EET!AB103,EET!T103-EET!AB103)))))*$V$35</f>
        <v>0</v>
      </c>
      <c r="D128" s="30">
        <f>IF($R$39=1,EET!AS103,IF($R$39=2,EET!BB103,IF($R$39=3,EET!BA103,IF($R$39=4,EET!AO103,IF($R$39=5,EET!AW103,EET!AO103-EET!AW103)))))*$V$35</f>
        <v>0</v>
      </c>
      <c r="E128" s="30" t="s">
        <v>637</v>
      </c>
      <c r="F128" s="290">
        <f>EET!E103</f>
        <v>0</v>
      </c>
      <c r="G128" s="30">
        <f>EET!F103</f>
        <v>0</v>
      </c>
      <c r="H128" s="30">
        <f>EET!G103</f>
        <v>0</v>
      </c>
      <c r="I128" s="140" t="str">
        <f t="shared" si="5"/>
        <v>-</v>
      </c>
      <c r="J128" s="1017" t="s">
        <v>4190</v>
      </c>
      <c r="K128" s="9"/>
      <c r="L128" s="12"/>
      <c r="M128" s="393">
        <f>IF($M$38&lt;R128,0,IF(OR(EET!BU103&gt;0,Q128=""),1,0))</f>
        <v>0</v>
      </c>
      <c r="N128" s="319">
        <v>12240</v>
      </c>
      <c r="O128" s="319"/>
      <c r="P128" s="319"/>
      <c r="Q128" s="3" t="b">
        <v>1</v>
      </c>
      <c r="R128" s="319"/>
      <c r="S128" s="319"/>
      <c r="T128" s="319">
        <v>4</v>
      </c>
      <c r="U128" s="319"/>
      <c r="V128" s="309" t="b">
        <v>1</v>
      </c>
      <c r="W128" s="319" t="b">
        <v>1</v>
      </c>
      <c r="X128" s="319"/>
      <c r="Y128" s="319"/>
      <c r="Z128" s="319"/>
      <c r="AA128" s="319"/>
      <c r="AB128" s="319"/>
      <c r="AC128" s="319"/>
      <c r="AD128" s="319"/>
      <c r="AE128" s="319"/>
      <c r="AF128" s="319"/>
      <c r="AG128" s="319"/>
      <c r="AH128" s="319"/>
      <c r="AI128" s="319"/>
      <c r="AJ128" s="319"/>
      <c r="AK128" s="319"/>
      <c r="AL128" s="319"/>
      <c r="AM128" s="319"/>
      <c r="AN128" s="319"/>
      <c r="AO128" s="319"/>
      <c r="AP128" s="319"/>
      <c r="AQ128" s="319"/>
      <c r="AR128" s="319"/>
      <c r="AS128" s="319"/>
      <c r="AT128" s="319"/>
      <c r="AU128" s="319"/>
      <c r="AV128" s="319"/>
      <c r="AW128" s="319"/>
      <c r="AX128" s="319"/>
      <c r="AY128" s="319"/>
      <c r="AZ128" s="319"/>
      <c r="BA128" s="319"/>
      <c r="BB128" s="319"/>
      <c r="BC128" s="319"/>
      <c r="BD128" s="319"/>
      <c r="BE128" s="319"/>
      <c r="BF128" s="319"/>
      <c r="BG128" s="319"/>
      <c r="BH128" s="319"/>
      <c r="BI128" s="319"/>
      <c r="BJ128" s="319"/>
      <c r="BK128" s="319"/>
      <c r="BL128" s="319"/>
      <c r="BM128" s="319"/>
      <c r="BN128" s="319"/>
      <c r="BO128" s="319"/>
      <c r="BP128" s="319"/>
      <c r="BQ128" s="319"/>
      <c r="BR128" s="319"/>
      <c r="BS128" s="319"/>
      <c r="BT128" s="319"/>
      <c r="BU128" s="319"/>
      <c r="BV128" s="319"/>
      <c r="BW128" s="319"/>
      <c r="BX128" s="319"/>
      <c r="BY128" s="319"/>
      <c r="BZ128" s="319"/>
      <c r="CA128" s="319"/>
      <c r="CB128" s="319"/>
      <c r="CC128" s="319"/>
      <c r="CD128" s="319"/>
      <c r="CE128" s="319"/>
      <c r="CF128" s="319"/>
      <c r="CG128" s="319"/>
      <c r="CH128" s="319"/>
      <c r="CI128" s="319"/>
      <c r="CJ128" s="319"/>
      <c r="CK128" s="319"/>
    </row>
    <row r="129" spans="1:89" ht="13.2" hidden="1">
      <c r="A129" s="12"/>
      <c r="B129" s="329" t="str">
        <f>IF(EET!D104="","",EET!D104)</f>
        <v/>
      </c>
      <c r="C129" s="30">
        <f>IF($R$39=1,EET!X104,IF($R$39=2,EET!AG104,IF($R$39=3,EET!AF104,IF($R$39=4,EET!T104,IF($R$39=5,EET!AB104,EET!T104-EET!AB104)))))*$V$35</f>
        <v>0</v>
      </c>
      <c r="D129" s="30">
        <f>IF($R$39=1,EET!AS104,IF($R$39=2,EET!BB104,IF($R$39=3,EET!BA104,IF($R$39=4,EET!AO104,IF($R$39=5,EET!AW104,EET!AO104-EET!AW104)))))*$V$35</f>
        <v>0</v>
      </c>
      <c r="E129" s="30" t="s">
        <v>637</v>
      </c>
      <c r="F129" s="290">
        <f>EET!E104</f>
        <v>0</v>
      </c>
      <c r="G129" s="30">
        <f>EET!F104</f>
        <v>0</v>
      </c>
      <c r="H129" s="30">
        <f>EET!G104</f>
        <v>0</v>
      </c>
      <c r="I129" s="140" t="str">
        <f t="shared" si="5"/>
        <v>-</v>
      </c>
      <c r="J129" s="1017" t="s">
        <v>4190</v>
      </c>
      <c r="K129" s="9"/>
      <c r="L129" s="12"/>
      <c r="M129" s="393">
        <f>IF($M$38&lt;R129,0,IF(OR(EET!BU104&gt;0,Q129=""),1,0))</f>
        <v>0</v>
      </c>
      <c r="N129" s="319">
        <v>12240</v>
      </c>
      <c r="O129" s="319"/>
      <c r="P129" s="319"/>
      <c r="Q129" s="3" t="b">
        <v>1</v>
      </c>
      <c r="R129" s="319"/>
      <c r="S129" s="319"/>
      <c r="T129" s="319">
        <v>4</v>
      </c>
      <c r="U129" s="319"/>
      <c r="V129" s="309" t="b">
        <v>1</v>
      </c>
      <c r="W129" s="319" t="b">
        <v>1</v>
      </c>
      <c r="X129" s="319"/>
      <c r="Y129" s="319"/>
      <c r="Z129" s="319"/>
      <c r="AA129" s="319"/>
      <c r="AB129" s="319"/>
      <c r="AC129" s="319"/>
      <c r="AD129" s="319"/>
      <c r="AE129" s="319"/>
      <c r="AF129" s="319"/>
      <c r="AG129" s="319"/>
      <c r="AH129" s="319"/>
      <c r="AI129" s="319"/>
      <c r="AJ129" s="319"/>
      <c r="AK129" s="319"/>
      <c r="AL129" s="319"/>
      <c r="AM129" s="319"/>
      <c r="AN129" s="319"/>
      <c r="AO129" s="319"/>
      <c r="AP129" s="319"/>
      <c r="AQ129" s="319"/>
      <c r="AR129" s="319"/>
      <c r="AS129" s="319"/>
      <c r="AT129" s="319"/>
      <c r="AU129" s="319"/>
      <c r="AV129" s="319"/>
      <c r="AW129" s="319"/>
      <c r="AX129" s="319"/>
      <c r="AY129" s="319"/>
      <c r="AZ129" s="319"/>
      <c r="BA129" s="319"/>
      <c r="BB129" s="319"/>
      <c r="BC129" s="319"/>
      <c r="BD129" s="319"/>
      <c r="BE129" s="319"/>
      <c r="BF129" s="319"/>
      <c r="BG129" s="319"/>
      <c r="BH129" s="319"/>
      <c r="BI129" s="319"/>
      <c r="BJ129" s="319"/>
      <c r="BK129" s="319"/>
      <c r="BL129" s="319"/>
      <c r="BM129" s="319"/>
      <c r="BN129" s="319"/>
      <c r="BO129" s="319"/>
      <c r="BP129" s="319"/>
      <c r="BQ129" s="319"/>
      <c r="BR129" s="319"/>
      <c r="BS129" s="319"/>
      <c r="BT129" s="319"/>
      <c r="BU129" s="319"/>
      <c r="BV129" s="319"/>
      <c r="BW129" s="319"/>
      <c r="BX129" s="319"/>
      <c r="BY129" s="319"/>
      <c r="BZ129" s="319"/>
      <c r="CA129" s="319"/>
      <c r="CB129" s="319"/>
      <c r="CC129" s="319"/>
      <c r="CD129" s="319"/>
      <c r="CE129" s="319"/>
      <c r="CF129" s="319"/>
      <c r="CG129" s="319"/>
      <c r="CH129" s="319"/>
      <c r="CI129" s="319"/>
      <c r="CJ129" s="319"/>
      <c r="CK129" s="319"/>
    </row>
    <row r="130" spans="1:89" ht="13.2">
      <c r="A130" s="12"/>
      <c r="B130" s="543" t="str">
        <f>Language!C2335</f>
        <v>Ar comprimido</v>
      </c>
      <c r="C130" s="30"/>
      <c r="D130" s="30"/>
      <c r="E130" s="30"/>
      <c r="F130" s="290"/>
      <c r="G130" s="30"/>
      <c r="H130" s="30"/>
      <c r="I130" s="140"/>
      <c r="J130" s="29"/>
      <c r="K130" s="9"/>
      <c r="L130" s="12"/>
      <c r="M130" s="393">
        <f>IF($M$38&lt;R130,0,IF(OR(EET!BU105&gt;0,Q130=""),1,0))</f>
        <v>1</v>
      </c>
      <c r="N130" s="319">
        <v>12250</v>
      </c>
      <c r="O130" s="319"/>
      <c r="P130" s="319"/>
      <c r="Q130" s="319"/>
      <c r="R130" s="319">
        <v>2</v>
      </c>
      <c r="S130" s="319"/>
      <c r="T130" s="319">
        <v>3</v>
      </c>
      <c r="U130" s="319"/>
      <c r="V130" s="309"/>
      <c r="W130" s="319"/>
      <c r="X130" s="319"/>
      <c r="Y130" s="319"/>
      <c r="Z130" s="319"/>
      <c r="AA130" s="319"/>
      <c r="AB130" s="319"/>
      <c r="AC130" s="319"/>
      <c r="AD130" s="319"/>
      <c r="AE130" s="319"/>
      <c r="AF130" s="319"/>
      <c r="AG130" s="319"/>
      <c r="AH130" s="319"/>
      <c r="AI130" s="319"/>
      <c r="AJ130" s="319"/>
      <c r="AK130" s="319"/>
      <c r="AL130" s="319"/>
      <c r="AM130" s="319"/>
      <c r="AN130" s="319"/>
      <c r="AO130" s="319"/>
      <c r="AP130" s="319"/>
      <c r="AQ130" s="319"/>
      <c r="AR130" s="319"/>
      <c r="AS130" s="319"/>
      <c r="AT130" s="319"/>
      <c r="AU130" s="319"/>
      <c r="AV130" s="319"/>
      <c r="AW130" s="319"/>
      <c r="AX130" s="319"/>
      <c r="AY130" s="319"/>
      <c r="AZ130" s="319"/>
      <c r="BA130" s="319"/>
      <c r="BB130" s="319"/>
      <c r="BC130" s="319"/>
      <c r="BD130" s="319"/>
      <c r="BE130" s="319"/>
      <c r="BF130" s="319"/>
      <c r="BG130" s="319"/>
      <c r="BH130" s="319"/>
      <c r="BI130" s="319"/>
      <c r="BJ130" s="319"/>
      <c r="BK130" s="319"/>
      <c r="BL130" s="319"/>
      <c r="BM130" s="319"/>
      <c r="BN130" s="319"/>
      <c r="BO130" s="319"/>
      <c r="BP130" s="319"/>
      <c r="BQ130" s="319"/>
      <c r="BR130" s="319"/>
      <c r="BS130" s="319"/>
      <c r="BT130" s="319"/>
      <c r="BU130" s="319"/>
      <c r="BV130" s="319"/>
      <c r="BW130" s="319"/>
      <c r="BX130" s="319"/>
      <c r="BY130" s="319"/>
      <c r="BZ130" s="319"/>
      <c r="CA130" s="319"/>
      <c r="CB130" s="319"/>
      <c r="CC130" s="319"/>
      <c r="CD130" s="319"/>
      <c r="CE130" s="319"/>
      <c r="CF130" s="319"/>
      <c r="CG130" s="319"/>
      <c r="CH130" s="319"/>
      <c r="CI130" s="319"/>
      <c r="CJ130" s="319"/>
      <c r="CK130" s="319"/>
    </row>
    <row r="131" spans="1:89" ht="13.2" hidden="1">
      <c r="A131" s="12"/>
      <c r="B131" s="329" t="str">
        <f>IF(EET!D106="","",EET!D106)</f>
        <v/>
      </c>
      <c r="C131" s="30" t="s">
        <v>637</v>
      </c>
      <c r="D131" s="30" t="s">
        <v>637</v>
      </c>
      <c r="E131" s="30">
        <f>IF(OR($R$39=1,$R$39=4),EET!BI106,IF(OR($R$39=6,$R$39=2),EET!BI106-EET!BK106,EET!BK106))*$V$35</f>
        <v>0</v>
      </c>
      <c r="F131" s="290">
        <f>EET!E106</f>
        <v>0</v>
      </c>
      <c r="G131" s="30">
        <f>EET!F106</f>
        <v>0</v>
      </c>
      <c r="H131" s="30">
        <f>EET!G106</f>
        <v>0</v>
      </c>
      <c r="I131" s="140" t="str">
        <f t="shared" si="5"/>
        <v>-</v>
      </c>
      <c r="J131" s="1017" t="s">
        <v>4190</v>
      </c>
      <c r="K131" s="9"/>
      <c r="L131" s="12"/>
      <c r="M131" s="393">
        <f>IF($M$38&lt;R131,0,IF(OR(EET!BU106&gt;0,Q131=""),1,0))</f>
        <v>0</v>
      </c>
      <c r="N131" s="319">
        <v>12250</v>
      </c>
      <c r="O131" s="319"/>
      <c r="P131" s="319"/>
      <c r="Q131" s="311" t="b">
        <v>1</v>
      </c>
      <c r="R131" s="319">
        <v>2</v>
      </c>
      <c r="S131" s="319"/>
      <c r="T131" s="319">
        <v>3</v>
      </c>
      <c r="U131" s="319"/>
      <c r="V131" s="309" t="b">
        <v>1</v>
      </c>
      <c r="W131" s="309" t="b">
        <v>1</v>
      </c>
      <c r="X131" s="319"/>
      <c r="Y131" s="319"/>
      <c r="Z131" s="319"/>
      <c r="AA131" s="319"/>
      <c r="AB131" s="319"/>
      <c r="AC131" s="319"/>
      <c r="AD131" s="319"/>
      <c r="AE131" s="319"/>
      <c r="AF131" s="319"/>
      <c r="AG131" s="319"/>
      <c r="AH131" s="319"/>
      <c r="AI131" s="319"/>
      <c r="AJ131" s="319"/>
      <c r="AK131" s="319"/>
      <c r="AL131" s="319"/>
      <c r="AM131" s="319"/>
      <c r="AN131" s="319"/>
      <c r="AO131" s="319"/>
      <c r="AP131" s="319"/>
      <c r="AQ131" s="319"/>
      <c r="AR131" s="319"/>
      <c r="AS131" s="319"/>
      <c r="AT131" s="319"/>
      <c r="AU131" s="319"/>
      <c r="AV131" s="319"/>
      <c r="AW131" s="319"/>
      <c r="AX131" s="319"/>
      <c r="AY131" s="319"/>
      <c r="AZ131" s="319"/>
      <c r="BA131" s="319"/>
      <c r="BB131" s="319"/>
      <c r="BC131" s="319"/>
      <c r="BD131" s="319"/>
      <c r="BE131" s="319"/>
      <c r="BF131" s="319"/>
      <c r="BG131" s="319"/>
      <c r="BH131" s="319"/>
      <c r="BI131" s="319"/>
      <c r="BJ131" s="319"/>
      <c r="BK131" s="319"/>
      <c r="BL131" s="319"/>
      <c r="BM131" s="319"/>
      <c r="BN131" s="319"/>
      <c r="BO131" s="319"/>
      <c r="BP131" s="319"/>
      <c r="BQ131" s="319"/>
      <c r="BR131" s="319"/>
      <c r="BS131" s="319"/>
      <c r="BT131" s="319"/>
      <c r="BU131" s="319"/>
      <c r="BV131" s="319"/>
      <c r="BW131" s="319"/>
      <c r="BX131" s="319"/>
      <c r="BY131" s="319"/>
      <c r="BZ131" s="319"/>
      <c r="CA131" s="319"/>
      <c r="CB131" s="319"/>
      <c r="CC131" s="319"/>
      <c r="CD131" s="319"/>
      <c r="CE131" s="319"/>
      <c r="CF131" s="319"/>
      <c r="CG131" s="319"/>
      <c r="CH131" s="319"/>
      <c r="CI131" s="319"/>
      <c r="CJ131" s="319"/>
      <c r="CK131" s="319"/>
    </row>
    <row r="132" spans="1:89" ht="13.2" hidden="1">
      <c r="A132" s="12"/>
      <c r="B132" s="329" t="str">
        <f>IF(EET!D107="","",EET!D107)</f>
        <v/>
      </c>
      <c r="C132" s="30" t="s">
        <v>637</v>
      </c>
      <c r="D132" s="30" t="s">
        <v>637</v>
      </c>
      <c r="E132" s="30">
        <f>IF(OR($R$39=1,$R$39=4),EET!BI107,IF(OR($R$39=6,$R$39=2),EET!BI107-EET!BK107,EET!BK107))*$V$35</f>
        <v>0</v>
      </c>
      <c r="F132" s="290">
        <f>EET!E107</f>
        <v>0</v>
      </c>
      <c r="G132" s="30">
        <f>EET!F107</f>
        <v>0</v>
      </c>
      <c r="H132" s="30">
        <f>EET!G107</f>
        <v>0</v>
      </c>
      <c r="I132" s="140" t="str">
        <f t="shared" si="5"/>
        <v>-</v>
      </c>
      <c r="J132" s="1017" t="s">
        <v>4190</v>
      </c>
      <c r="K132" s="9"/>
      <c r="L132" s="12"/>
      <c r="M132" s="393">
        <f>IF($M$38&lt;R132,0,IF(OR(EET!BU107&gt;0,Q132=""),1,0))</f>
        <v>0</v>
      </c>
      <c r="N132" s="319">
        <v>12250</v>
      </c>
      <c r="O132" s="319"/>
      <c r="P132" s="319"/>
      <c r="Q132" s="3" t="b">
        <v>1</v>
      </c>
      <c r="R132" s="319">
        <v>2</v>
      </c>
      <c r="S132" s="319"/>
      <c r="T132" s="319">
        <v>3</v>
      </c>
      <c r="U132" s="319"/>
      <c r="V132" s="309" t="b">
        <v>1</v>
      </c>
      <c r="W132" s="319" t="b">
        <v>1</v>
      </c>
      <c r="X132" s="319"/>
      <c r="Y132" s="319"/>
      <c r="Z132" s="319"/>
      <c r="AA132" s="319"/>
      <c r="AB132" s="319"/>
      <c r="AC132" s="319"/>
      <c r="AD132" s="319"/>
      <c r="AE132" s="319"/>
      <c r="AF132" s="319"/>
      <c r="AG132" s="319"/>
      <c r="AH132" s="319"/>
      <c r="AI132" s="319"/>
      <c r="AJ132" s="319"/>
      <c r="AK132" s="319"/>
      <c r="AL132" s="319"/>
      <c r="AM132" s="319"/>
      <c r="AN132" s="319"/>
      <c r="AO132" s="319"/>
      <c r="AP132" s="319"/>
      <c r="AQ132" s="319"/>
      <c r="AR132" s="319"/>
      <c r="AS132" s="319"/>
      <c r="AT132" s="319"/>
      <c r="AU132" s="319"/>
      <c r="AV132" s="319"/>
      <c r="AW132" s="319"/>
      <c r="AX132" s="319"/>
      <c r="AY132" s="319"/>
      <c r="AZ132" s="319"/>
      <c r="BA132" s="319"/>
      <c r="BB132" s="319"/>
      <c r="BC132" s="319"/>
      <c r="BD132" s="319"/>
      <c r="BE132" s="319"/>
      <c r="BF132" s="319"/>
      <c r="BG132" s="319"/>
      <c r="BH132" s="319"/>
      <c r="BI132" s="319"/>
      <c r="BJ132" s="319"/>
      <c r="BK132" s="319"/>
      <c r="BL132" s="319"/>
      <c r="BM132" s="319"/>
      <c r="BN132" s="319"/>
      <c r="BO132" s="319"/>
      <c r="BP132" s="319"/>
      <c r="BQ132" s="319"/>
      <c r="BR132" s="319"/>
      <c r="BS132" s="319"/>
      <c r="BT132" s="319"/>
      <c r="BU132" s="319"/>
      <c r="BV132" s="319"/>
      <c r="BW132" s="319"/>
      <c r="BX132" s="319"/>
      <c r="BY132" s="319"/>
      <c r="BZ132" s="319"/>
      <c r="CA132" s="319"/>
      <c r="CB132" s="319"/>
      <c r="CC132" s="319"/>
      <c r="CD132" s="319"/>
      <c r="CE132" s="319"/>
      <c r="CF132" s="319"/>
      <c r="CG132" s="319"/>
      <c r="CH132" s="319"/>
      <c r="CI132" s="319"/>
      <c r="CJ132" s="319"/>
      <c r="CK132" s="319"/>
    </row>
    <row r="133" spans="1:89" ht="13.2" hidden="1">
      <c r="A133" s="12"/>
      <c r="B133" s="329" t="str">
        <f>IF(EET!D108="","",EET!D108)</f>
        <v/>
      </c>
      <c r="C133" s="30" t="s">
        <v>637</v>
      </c>
      <c r="D133" s="30" t="s">
        <v>637</v>
      </c>
      <c r="E133" s="30">
        <f>IF(OR($R$39=1,$R$39=4),EET!BI108,IF(OR($R$39=6,$R$39=2),EET!BI108-EET!BK108,EET!BK108))*$V$35</f>
        <v>0</v>
      </c>
      <c r="F133" s="290">
        <f>EET!E108</f>
        <v>0</v>
      </c>
      <c r="G133" s="30">
        <f>EET!F108</f>
        <v>0</v>
      </c>
      <c r="H133" s="30">
        <f>EET!G108</f>
        <v>0</v>
      </c>
      <c r="I133" s="140" t="str">
        <f t="shared" si="5"/>
        <v>-</v>
      </c>
      <c r="J133" s="1017" t="s">
        <v>4190</v>
      </c>
      <c r="K133" s="9"/>
      <c r="L133" s="12"/>
      <c r="M133" s="393">
        <f>IF($M$38&lt;R133,0,IF(OR(EET!BU108&gt;0,Q133=""),1,0))</f>
        <v>0</v>
      </c>
      <c r="N133" s="319">
        <v>12250</v>
      </c>
      <c r="O133" s="319"/>
      <c r="P133" s="319"/>
      <c r="Q133" s="3" t="b">
        <v>1</v>
      </c>
      <c r="R133" s="319">
        <v>2</v>
      </c>
      <c r="S133" s="319"/>
      <c r="T133" s="319">
        <v>3</v>
      </c>
      <c r="U133" s="319"/>
      <c r="V133" s="309" t="b">
        <v>1</v>
      </c>
      <c r="W133" s="319" t="b">
        <v>1</v>
      </c>
      <c r="X133" s="319"/>
      <c r="Y133" s="319"/>
      <c r="Z133" s="319"/>
      <c r="AA133" s="319"/>
      <c r="AB133" s="319"/>
      <c r="AC133" s="319"/>
      <c r="AD133" s="319"/>
      <c r="AE133" s="319"/>
      <c r="AF133" s="319"/>
      <c r="AG133" s="319"/>
      <c r="AH133" s="319"/>
      <c r="AI133" s="319"/>
      <c r="AJ133" s="319"/>
      <c r="AK133" s="319"/>
      <c r="AL133" s="319"/>
      <c r="AM133" s="319"/>
      <c r="AN133" s="319"/>
      <c r="AO133" s="319"/>
      <c r="AP133" s="319"/>
      <c r="AQ133" s="319"/>
      <c r="AR133" s="319"/>
      <c r="AS133" s="319"/>
      <c r="AT133" s="319"/>
      <c r="AU133" s="319"/>
      <c r="AV133" s="319"/>
      <c r="AW133" s="319"/>
      <c r="AX133" s="319"/>
      <c r="AY133" s="319"/>
      <c r="AZ133" s="319"/>
      <c r="BA133" s="319"/>
      <c r="BB133" s="319"/>
      <c r="BC133" s="319"/>
      <c r="BD133" s="319"/>
      <c r="BE133" s="319"/>
      <c r="BF133" s="319"/>
      <c r="BG133" s="319"/>
      <c r="BH133" s="319"/>
      <c r="BI133" s="319"/>
      <c r="BJ133" s="319"/>
      <c r="BK133" s="319"/>
      <c r="BL133" s="319"/>
      <c r="BM133" s="319"/>
      <c r="BN133" s="319"/>
      <c r="BO133" s="319"/>
      <c r="BP133" s="319"/>
      <c r="BQ133" s="319"/>
      <c r="BR133" s="319"/>
      <c r="BS133" s="319"/>
      <c r="BT133" s="319"/>
      <c r="BU133" s="319"/>
      <c r="BV133" s="319"/>
      <c r="BW133" s="319"/>
      <c r="BX133" s="319"/>
      <c r="BY133" s="319"/>
      <c r="BZ133" s="319"/>
      <c r="CA133" s="319"/>
      <c r="CB133" s="319"/>
      <c r="CC133" s="319"/>
      <c r="CD133" s="319"/>
      <c r="CE133" s="319"/>
      <c r="CF133" s="319"/>
      <c r="CG133" s="319"/>
      <c r="CH133" s="319"/>
      <c r="CI133" s="319"/>
      <c r="CJ133" s="319"/>
      <c r="CK133" s="319"/>
    </row>
    <row r="134" spans="1:89" ht="13.2" hidden="1">
      <c r="A134" s="12"/>
      <c r="B134" s="329" t="str">
        <f>IF(EET!D109="","",EET!D109)</f>
        <v/>
      </c>
      <c r="C134" s="30" t="s">
        <v>637</v>
      </c>
      <c r="D134" s="30" t="s">
        <v>637</v>
      </c>
      <c r="E134" s="30">
        <f>IF(OR($R$39=1,$R$39=4),EET!BI109,IF(OR($R$39=6,$R$39=2),EET!BI109-EET!BK109,EET!BK109))*$V$35</f>
        <v>0</v>
      </c>
      <c r="F134" s="290">
        <f>EET!E109</f>
        <v>0</v>
      </c>
      <c r="G134" s="30">
        <f>EET!F109</f>
        <v>0</v>
      </c>
      <c r="H134" s="30">
        <f>EET!G109</f>
        <v>0</v>
      </c>
      <c r="I134" s="140" t="str">
        <f t="shared" si="5"/>
        <v>-</v>
      </c>
      <c r="J134" s="1017" t="s">
        <v>4190</v>
      </c>
      <c r="K134" s="9"/>
      <c r="L134" s="12"/>
      <c r="M134" s="393">
        <f>IF($M$38&lt;R134,0,IF(OR(EET!BU109&gt;0,Q134=""),1,0))</f>
        <v>0</v>
      </c>
      <c r="N134" s="319">
        <v>12250</v>
      </c>
      <c r="O134" s="319"/>
      <c r="P134" s="319"/>
      <c r="Q134" s="3" t="b">
        <v>1</v>
      </c>
      <c r="R134" s="319">
        <v>2</v>
      </c>
      <c r="S134" s="319"/>
      <c r="T134" s="319">
        <v>3</v>
      </c>
      <c r="U134" s="319"/>
      <c r="V134" s="309" t="b">
        <v>1</v>
      </c>
      <c r="W134" s="319" t="b">
        <v>1</v>
      </c>
      <c r="X134" s="319"/>
      <c r="Y134" s="319"/>
      <c r="Z134" s="319"/>
      <c r="AA134" s="319"/>
      <c r="AB134" s="319"/>
      <c r="AC134" s="319"/>
      <c r="AD134" s="319"/>
      <c r="AE134" s="319"/>
      <c r="AF134" s="319"/>
      <c r="AG134" s="319"/>
      <c r="AH134" s="319"/>
      <c r="AI134" s="319"/>
      <c r="AJ134" s="319"/>
      <c r="AK134" s="319"/>
      <c r="AL134" s="319"/>
      <c r="AM134" s="319"/>
      <c r="AN134" s="319"/>
      <c r="AO134" s="319"/>
      <c r="AP134" s="319"/>
      <c r="AQ134" s="319"/>
      <c r="AR134" s="319"/>
      <c r="AS134" s="319"/>
      <c r="AT134" s="319"/>
      <c r="AU134" s="319"/>
      <c r="AV134" s="319"/>
      <c r="AW134" s="319"/>
      <c r="AX134" s="319"/>
      <c r="AY134" s="319"/>
      <c r="AZ134" s="319"/>
      <c r="BA134" s="319"/>
      <c r="BB134" s="319"/>
      <c r="BC134" s="319"/>
      <c r="BD134" s="319"/>
      <c r="BE134" s="319"/>
      <c r="BF134" s="319"/>
      <c r="BG134" s="319"/>
      <c r="BH134" s="319"/>
      <c r="BI134" s="319"/>
      <c r="BJ134" s="319"/>
      <c r="BK134" s="319"/>
      <c r="BL134" s="319"/>
      <c r="BM134" s="319"/>
      <c r="BN134" s="319"/>
      <c r="BO134" s="319"/>
      <c r="BP134" s="319"/>
      <c r="BQ134" s="319"/>
      <c r="BR134" s="319"/>
      <c r="BS134" s="319"/>
      <c r="BT134" s="319"/>
      <c r="BU134" s="319"/>
      <c r="BV134" s="319"/>
      <c r="BW134" s="319"/>
      <c r="BX134" s="319"/>
      <c r="BY134" s="319"/>
      <c r="BZ134" s="319"/>
      <c r="CA134" s="319"/>
      <c r="CB134" s="319"/>
      <c r="CC134" s="319"/>
      <c r="CD134" s="319"/>
      <c r="CE134" s="319"/>
      <c r="CF134" s="319"/>
      <c r="CG134" s="319"/>
      <c r="CH134" s="319"/>
      <c r="CI134" s="319"/>
      <c r="CJ134" s="319"/>
      <c r="CK134" s="319"/>
    </row>
    <row r="135" spans="1:89" ht="13.2" hidden="1">
      <c r="A135" s="12"/>
      <c r="B135" s="329" t="str">
        <f>IF(EET!D110="","",EET!D110)</f>
        <v/>
      </c>
      <c r="C135" s="30" t="s">
        <v>637</v>
      </c>
      <c r="D135" s="30" t="s">
        <v>637</v>
      </c>
      <c r="E135" s="30">
        <f>IF(OR($R$39=1,$R$39=4),EET!BI110,IF(OR($R$39=6,$R$39=2),EET!BI110-EET!BK110,EET!BK110))*$V$35</f>
        <v>0</v>
      </c>
      <c r="F135" s="290">
        <f>EET!E110</f>
        <v>0</v>
      </c>
      <c r="G135" s="30">
        <f>EET!F110</f>
        <v>0</v>
      </c>
      <c r="H135" s="30">
        <f>EET!G110</f>
        <v>0</v>
      </c>
      <c r="I135" s="140" t="str">
        <f t="shared" si="5"/>
        <v>-</v>
      </c>
      <c r="J135" s="1017" t="s">
        <v>4190</v>
      </c>
      <c r="K135" s="9"/>
      <c r="L135" s="12"/>
      <c r="M135" s="393">
        <f>IF($M$38&lt;R135,0,IF(OR(EET!BU110&gt;0,Q135=""),1,0))</f>
        <v>0</v>
      </c>
      <c r="N135" s="319">
        <v>12250</v>
      </c>
      <c r="O135" s="319"/>
      <c r="P135" s="319"/>
      <c r="Q135" s="3" t="b">
        <v>1</v>
      </c>
      <c r="R135" s="319">
        <v>2</v>
      </c>
      <c r="S135" s="319"/>
      <c r="T135" s="319">
        <v>3</v>
      </c>
      <c r="U135" s="319"/>
      <c r="V135" s="309" t="b">
        <v>1</v>
      </c>
      <c r="W135" s="319" t="b">
        <v>1</v>
      </c>
      <c r="X135" s="319"/>
      <c r="Y135" s="319"/>
      <c r="Z135" s="319"/>
      <c r="AA135" s="319"/>
      <c r="AB135" s="319"/>
      <c r="AC135" s="319"/>
      <c r="AD135" s="319"/>
      <c r="AE135" s="319"/>
      <c r="AF135" s="319"/>
      <c r="AG135" s="319"/>
      <c r="AH135" s="319"/>
      <c r="AI135" s="319"/>
      <c r="AJ135" s="319"/>
      <c r="AK135" s="319"/>
      <c r="AL135" s="319"/>
      <c r="AM135" s="319"/>
      <c r="AN135" s="319"/>
      <c r="AO135" s="319"/>
      <c r="AP135" s="319"/>
      <c r="AQ135" s="319"/>
      <c r="AR135" s="319"/>
      <c r="AS135" s="319"/>
      <c r="AT135" s="319"/>
      <c r="AU135" s="319"/>
      <c r="AV135" s="319"/>
      <c r="AW135" s="319"/>
      <c r="AX135" s="319"/>
      <c r="AY135" s="319"/>
      <c r="AZ135" s="319"/>
      <c r="BA135" s="319"/>
      <c r="BB135" s="319"/>
      <c r="BC135" s="319"/>
      <c r="BD135" s="319"/>
      <c r="BE135" s="319"/>
      <c r="BF135" s="319"/>
      <c r="BG135" s="319"/>
      <c r="BH135" s="319"/>
      <c r="BI135" s="319"/>
      <c r="BJ135" s="319"/>
      <c r="BK135" s="319"/>
      <c r="BL135" s="319"/>
      <c r="BM135" s="319"/>
      <c r="BN135" s="319"/>
      <c r="BO135" s="319"/>
      <c r="BP135" s="319"/>
      <c r="BQ135" s="319"/>
      <c r="BR135" s="319"/>
      <c r="BS135" s="319"/>
      <c r="BT135" s="319"/>
      <c r="BU135" s="319"/>
      <c r="BV135" s="319"/>
      <c r="BW135" s="319"/>
      <c r="BX135" s="319"/>
      <c r="BY135" s="319"/>
      <c r="BZ135" s="319"/>
      <c r="CA135" s="319"/>
      <c r="CB135" s="319"/>
      <c r="CC135" s="319"/>
      <c r="CD135" s="319"/>
      <c r="CE135" s="319"/>
      <c r="CF135" s="319"/>
      <c r="CG135" s="319"/>
      <c r="CH135" s="319"/>
      <c r="CI135" s="319"/>
      <c r="CJ135" s="319"/>
      <c r="CK135" s="319"/>
    </row>
    <row r="136" spans="1:89" ht="13.2">
      <c r="A136" s="12"/>
      <c r="B136" s="543" t="str">
        <f>Language!C1933</f>
        <v xml:space="preserve">Refrigeração </v>
      </c>
      <c r="C136" s="30"/>
      <c r="D136" s="30"/>
      <c r="E136" s="30"/>
      <c r="F136" s="290"/>
      <c r="G136" s="30"/>
      <c r="H136" s="30"/>
      <c r="I136" s="140"/>
      <c r="J136" s="29"/>
      <c r="K136" s="9"/>
      <c r="L136" s="12"/>
      <c r="M136" s="393">
        <f>IF($M$38&lt;R136,0,IF(OR(EET!BU111&gt;0,Q136=""),1,0))</f>
        <v>1</v>
      </c>
      <c r="N136" s="319">
        <v>12260</v>
      </c>
      <c r="O136" s="319"/>
      <c r="P136" s="319"/>
      <c r="Q136" s="319"/>
      <c r="R136" s="319">
        <v>2</v>
      </c>
      <c r="S136" s="319"/>
      <c r="T136" s="319">
        <v>2</v>
      </c>
      <c r="U136" s="319"/>
      <c r="V136" s="309"/>
      <c r="W136" s="319"/>
      <c r="X136" s="319"/>
      <c r="Y136" s="319"/>
      <c r="Z136" s="319"/>
      <c r="AA136" s="319"/>
      <c r="AB136" s="319"/>
      <c r="AC136" s="319"/>
      <c r="AD136" s="319"/>
      <c r="AE136" s="319"/>
      <c r="AF136" s="319"/>
      <c r="AG136" s="319"/>
      <c r="AH136" s="319"/>
      <c r="AI136" s="319"/>
      <c r="AJ136" s="319"/>
      <c r="AK136" s="319"/>
      <c r="AL136" s="319"/>
      <c r="AM136" s="319"/>
      <c r="AN136" s="319"/>
      <c r="AO136" s="319"/>
      <c r="AP136" s="319"/>
      <c r="AQ136" s="319"/>
      <c r="AR136" s="319"/>
      <c r="AS136" s="319"/>
      <c r="AT136" s="319"/>
      <c r="AU136" s="319"/>
      <c r="AV136" s="319"/>
      <c r="AW136" s="319"/>
      <c r="AX136" s="319"/>
      <c r="AY136" s="319"/>
      <c r="AZ136" s="319"/>
      <c r="BA136" s="319"/>
      <c r="BB136" s="319"/>
      <c r="BC136" s="319"/>
      <c r="BD136" s="319"/>
      <c r="BE136" s="319"/>
      <c r="BF136" s="319"/>
      <c r="BG136" s="319"/>
      <c r="BH136" s="319"/>
      <c r="BI136" s="319"/>
      <c r="BJ136" s="319"/>
      <c r="BK136" s="319"/>
      <c r="BL136" s="319"/>
      <c r="BM136" s="319"/>
      <c r="BN136" s="319"/>
      <c r="BO136" s="319"/>
      <c r="BP136" s="319"/>
      <c r="BQ136" s="319"/>
      <c r="BR136" s="319"/>
      <c r="BS136" s="319"/>
      <c r="BT136" s="319"/>
      <c r="BU136" s="319"/>
      <c r="BV136" s="319"/>
      <c r="BW136" s="319"/>
      <c r="BX136" s="319"/>
      <c r="BY136" s="319"/>
      <c r="BZ136" s="319"/>
      <c r="CA136" s="319"/>
      <c r="CB136" s="319"/>
      <c r="CC136" s="319"/>
      <c r="CD136" s="319"/>
      <c r="CE136" s="319"/>
      <c r="CF136" s="319"/>
      <c r="CG136" s="319"/>
      <c r="CH136" s="319"/>
      <c r="CI136" s="319"/>
      <c r="CJ136" s="319"/>
      <c r="CK136" s="319"/>
    </row>
    <row r="137" spans="1:89" ht="13.2" hidden="1">
      <c r="A137" s="12"/>
      <c r="B137" s="329" t="str">
        <f>IF(EET!D112="","",EET!D112)</f>
        <v/>
      </c>
      <c r="C137" s="30" t="s">
        <v>637</v>
      </c>
      <c r="D137" s="30">
        <f>IF($R$39=1,EET!AS112,IF($R$39=2,EET!BB112,IF($R$39=3,EET!BA112,IF($R$39=4,EET!AO112,IF($R$39=5,EET!AW112,EET!AO112-EET!AW112)))))*$V$35</f>
        <v>0</v>
      </c>
      <c r="E137" s="30" t="s">
        <v>637</v>
      </c>
      <c r="F137" s="290">
        <f>EET!E112</f>
        <v>0</v>
      </c>
      <c r="G137" s="30">
        <f>EET!F112</f>
        <v>0</v>
      </c>
      <c r="H137" s="30">
        <f>EET!G112</f>
        <v>0</v>
      </c>
      <c r="I137" s="140" t="str">
        <f t="shared" si="5"/>
        <v>-</v>
      </c>
      <c r="J137" s="1017" t="s">
        <v>4190</v>
      </c>
      <c r="K137" s="9"/>
      <c r="L137" s="12"/>
      <c r="M137" s="855">
        <f>IF($M$38&lt;R137,0,IF(OR(EET!BU112&gt;0,Q137=""),1,0))</f>
        <v>0</v>
      </c>
      <c r="N137" s="319">
        <v>12260</v>
      </c>
      <c r="O137" s="319"/>
      <c r="P137" s="319"/>
      <c r="Q137" s="311" t="b">
        <v>1</v>
      </c>
      <c r="R137" s="319">
        <v>2</v>
      </c>
      <c r="S137" s="319"/>
      <c r="T137" s="319">
        <v>2</v>
      </c>
      <c r="U137" s="319"/>
      <c r="V137" s="309" t="b">
        <v>1</v>
      </c>
      <c r="W137" s="309" t="b">
        <v>1</v>
      </c>
      <c r="X137" s="319"/>
      <c r="Y137" s="319"/>
      <c r="Z137" s="319"/>
      <c r="AA137" s="319"/>
      <c r="AB137" s="319"/>
      <c r="AC137" s="319"/>
      <c r="AD137" s="319"/>
      <c r="AE137" s="319"/>
      <c r="AF137" s="319"/>
      <c r="AG137" s="319"/>
      <c r="AH137" s="319"/>
      <c r="AI137" s="319"/>
      <c r="AJ137" s="319"/>
      <c r="AK137" s="319"/>
      <c r="AL137" s="319"/>
      <c r="AM137" s="319"/>
      <c r="AN137" s="319"/>
      <c r="AO137" s="319"/>
      <c r="AP137" s="319"/>
      <c r="AQ137" s="319"/>
      <c r="AR137" s="319"/>
      <c r="AS137" s="319"/>
      <c r="AT137" s="319"/>
      <c r="AU137" s="319"/>
      <c r="AV137" s="319"/>
      <c r="AW137" s="319"/>
      <c r="AX137" s="319"/>
      <c r="AY137" s="319"/>
      <c r="AZ137" s="319"/>
      <c r="BA137" s="319"/>
      <c r="BB137" s="319"/>
      <c r="BC137" s="319"/>
      <c r="BD137" s="319"/>
      <c r="BE137" s="319"/>
      <c r="BF137" s="319"/>
      <c r="BG137" s="319"/>
      <c r="BH137" s="319"/>
      <c r="BI137" s="319"/>
      <c r="BJ137" s="319"/>
      <c r="BK137" s="319"/>
      <c r="BL137" s="319"/>
      <c r="BM137" s="319"/>
      <c r="BN137" s="319"/>
      <c r="BO137" s="319"/>
      <c r="BP137" s="319"/>
      <c r="BQ137" s="319"/>
      <c r="BR137" s="319"/>
      <c r="BS137" s="319"/>
      <c r="BT137" s="319"/>
      <c r="BU137" s="319"/>
      <c r="BV137" s="319"/>
      <c r="BW137" s="319"/>
      <c r="BX137" s="319"/>
      <c r="BY137" s="319"/>
      <c r="BZ137" s="319"/>
      <c r="CA137" s="319"/>
      <c r="CB137" s="319"/>
      <c r="CC137" s="319"/>
      <c r="CD137" s="319"/>
      <c r="CE137" s="319"/>
      <c r="CF137" s="319"/>
      <c r="CG137" s="319"/>
      <c r="CH137" s="319"/>
      <c r="CI137" s="319"/>
      <c r="CJ137" s="319"/>
      <c r="CK137" s="319"/>
    </row>
    <row r="138" spans="1:89" ht="13.2" hidden="1">
      <c r="A138" s="12"/>
      <c r="B138" s="329" t="str">
        <f>IF(EET!D113="","",EET!D113)</f>
        <v/>
      </c>
      <c r="C138" s="30" t="s">
        <v>637</v>
      </c>
      <c r="D138" s="30">
        <f>IF($R$39=1,EET!AS113,IF($R$39=2,EET!BB113,IF($R$39=3,EET!BA113,IF($R$39=4,EET!AO113,IF($R$39=5,EET!AW113,EET!AO113-EET!AW113)))))*$V$35</f>
        <v>0</v>
      </c>
      <c r="E138" s="30" t="s">
        <v>637</v>
      </c>
      <c r="F138" s="290">
        <f>EET!E113</f>
        <v>0</v>
      </c>
      <c r="G138" s="30">
        <f>EET!F113</f>
        <v>0</v>
      </c>
      <c r="H138" s="30">
        <f>EET!G113</f>
        <v>0</v>
      </c>
      <c r="I138" s="140" t="str">
        <f t="shared" si="5"/>
        <v>-</v>
      </c>
      <c r="J138" s="1017" t="s">
        <v>4190</v>
      </c>
      <c r="K138" s="9"/>
      <c r="L138" s="12"/>
      <c r="M138" s="855">
        <f>IF($M$38&lt;R138,0,IF(OR(EET!BU113&gt;0,Q138=""),1,0))</f>
        <v>0</v>
      </c>
      <c r="N138" s="319">
        <v>12260</v>
      </c>
      <c r="O138" s="319"/>
      <c r="P138" s="319"/>
      <c r="Q138" s="3" t="b">
        <v>1</v>
      </c>
      <c r="R138" s="319">
        <v>2</v>
      </c>
      <c r="S138" s="319"/>
      <c r="T138" s="319">
        <v>2</v>
      </c>
      <c r="U138" s="319"/>
      <c r="V138" s="309" t="b">
        <v>1</v>
      </c>
      <c r="W138" s="319" t="b">
        <v>1</v>
      </c>
      <c r="X138" s="319"/>
      <c r="Y138" s="319"/>
      <c r="Z138" s="319"/>
      <c r="AA138" s="319"/>
      <c r="AB138" s="319"/>
      <c r="AC138" s="319"/>
      <c r="AD138" s="319"/>
      <c r="AE138" s="319"/>
      <c r="AF138" s="319"/>
      <c r="AG138" s="319"/>
      <c r="AH138" s="319"/>
      <c r="AI138" s="319"/>
      <c r="AJ138" s="319"/>
      <c r="AK138" s="319"/>
      <c r="AL138" s="319"/>
      <c r="AM138" s="319"/>
      <c r="AN138" s="319"/>
      <c r="AO138" s="319"/>
      <c r="AP138" s="319"/>
      <c r="AQ138" s="319"/>
      <c r="AR138" s="319"/>
      <c r="AS138" s="319"/>
      <c r="AT138" s="319"/>
      <c r="AU138" s="319"/>
      <c r="AV138" s="319"/>
      <c r="AW138" s="319"/>
      <c r="AX138" s="319"/>
      <c r="AY138" s="319"/>
      <c r="AZ138" s="319"/>
      <c r="BA138" s="319"/>
      <c r="BB138" s="319"/>
      <c r="BC138" s="319"/>
      <c r="BD138" s="319"/>
      <c r="BE138" s="319"/>
      <c r="BF138" s="319"/>
      <c r="BG138" s="319"/>
      <c r="BH138" s="319"/>
      <c r="BI138" s="319"/>
      <c r="BJ138" s="319"/>
      <c r="BK138" s="319"/>
      <c r="BL138" s="319"/>
      <c r="BM138" s="319"/>
      <c r="BN138" s="319"/>
      <c r="BO138" s="319"/>
      <c r="BP138" s="319"/>
      <c r="BQ138" s="319"/>
      <c r="BR138" s="319"/>
      <c r="BS138" s="319"/>
      <c r="BT138" s="319"/>
      <c r="BU138" s="319"/>
      <c r="BV138" s="319"/>
      <c r="BW138" s="319"/>
      <c r="BX138" s="319"/>
      <c r="BY138" s="319"/>
      <c r="BZ138" s="319"/>
      <c r="CA138" s="319"/>
      <c r="CB138" s="319"/>
      <c r="CC138" s="319"/>
      <c r="CD138" s="319"/>
      <c r="CE138" s="319"/>
      <c r="CF138" s="319"/>
      <c r="CG138" s="319"/>
      <c r="CH138" s="319"/>
      <c r="CI138" s="319"/>
      <c r="CJ138" s="319"/>
      <c r="CK138" s="319"/>
    </row>
    <row r="139" spans="1:89" ht="13.2" hidden="1">
      <c r="A139" s="12"/>
      <c r="B139" s="329" t="str">
        <f>IF(EET!D114="","",EET!D114)</f>
        <v/>
      </c>
      <c r="C139" s="30" t="s">
        <v>637</v>
      </c>
      <c r="D139" s="30">
        <f>IF($R$39=1,EET!AS114,IF($R$39=2,EET!BB114,IF($R$39=3,EET!BA114,IF($R$39=4,EET!AO114,IF($R$39=5,EET!AW114,EET!AO114-EET!AW114)))))*$V$35</f>
        <v>0</v>
      </c>
      <c r="E139" s="30" t="s">
        <v>637</v>
      </c>
      <c r="F139" s="290">
        <f>EET!E114</f>
        <v>0</v>
      </c>
      <c r="G139" s="30">
        <f>EET!F114</f>
        <v>0</v>
      </c>
      <c r="H139" s="30">
        <f>EET!G114</f>
        <v>0</v>
      </c>
      <c r="I139" s="140" t="str">
        <f t="shared" si="5"/>
        <v>-</v>
      </c>
      <c r="J139" s="1017" t="s">
        <v>4190</v>
      </c>
      <c r="K139" s="9"/>
      <c r="L139" s="12"/>
      <c r="M139" s="855">
        <f>IF($M$38&lt;R139,0,IF(OR(EET!BU114&gt;0,Q139=""),1,0))</f>
        <v>0</v>
      </c>
      <c r="N139" s="319">
        <v>12260</v>
      </c>
      <c r="O139" s="319"/>
      <c r="P139" s="319"/>
      <c r="Q139" s="3" t="b">
        <v>1</v>
      </c>
      <c r="R139" s="319">
        <v>2</v>
      </c>
      <c r="S139" s="319"/>
      <c r="T139" s="319">
        <v>2</v>
      </c>
      <c r="U139" s="319"/>
      <c r="V139" s="309" t="b">
        <v>1</v>
      </c>
      <c r="W139" s="319" t="b">
        <v>1</v>
      </c>
      <c r="X139" s="319"/>
      <c r="Y139" s="319"/>
      <c r="Z139" s="319"/>
      <c r="AA139" s="319"/>
      <c r="AB139" s="319"/>
      <c r="AC139" s="319"/>
      <c r="AD139" s="319"/>
      <c r="AE139" s="319"/>
      <c r="AF139" s="319"/>
      <c r="AG139" s="319"/>
      <c r="AH139" s="319"/>
      <c r="AI139" s="319"/>
      <c r="AJ139" s="319"/>
      <c r="AK139" s="319"/>
      <c r="AL139" s="319"/>
      <c r="AM139" s="319"/>
      <c r="AN139" s="319"/>
      <c r="AO139" s="319"/>
      <c r="AP139" s="319"/>
      <c r="AQ139" s="319"/>
      <c r="AR139" s="319"/>
      <c r="AS139" s="319"/>
      <c r="AT139" s="319"/>
      <c r="AU139" s="319"/>
      <c r="AV139" s="319"/>
      <c r="AW139" s="319"/>
      <c r="AX139" s="319"/>
      <c r="AY139" s="319"/>
      <c r="AZ139" s="319"/>
      <c r="BA139" s="319"/>
      <c r="BB139" s="319"/>
      <c r="BC139" s="319"/>
      <c r="BD139" s="319"/>
      <c r="BE139" s="319"/>
      <c r="BF139" s="319"/>
      <c r="BG139" s="319"/>
      <c r="BH139" s="319"/>
      <c r="BI139" s="319"/>
      <c r="BJ139" s="319"/>
      <c r="BK139" s="319"/>
      <c r="BL139" s="319"/>
      <c r="BM139" s="319"/>
      <c r="BN139" s="319"/>
      <c r="BO139" s="319"/>
      <c r="BP139" s="319"/>
      <c r="BQ139" s="319"/>
      <c r="BR139" s="319"/>
      <c r="BS139" s="319"/>
      <c r="BT139" s="319"/>
      <c r="BU139" s="319"/>
      <c r="BV139" s="319"/>
      <c r="BW139" s="319"/>
      <c r="BX139" s="319"/>
      <c r="BY139" s="319"/>
      <c r="BZ139" s="319"/>
      <c r="CA139" s="319"/>
      <c r="CB139" s="319"/>
      <c r="CC139" s="319"/>
      <c r="CD139" s="319"/>
      <c r="CE139" s="319"/>
      <c r="CF139" s="319"/>
      <c r="CG139" s="319"/>
      <c r="CH139" s="319"/>
      <c r="CI139" s="319"/>
      <c r="CJ139" s="319"/>
      <c r="CK139" s="319"/>
    </row>
    <row r="140" spans="1:89" ht="13.2" hidden="1">
      <c r="A140" s="12"/>
      <c r="B140" s="329" t="str">
        <f>IF(EET!D115="","",EET!D115)</f>
        <v/>
      </c>
      <c r="C140" s="30" t="s">
        <v>637</v>
      </c>
      <c r="D140" s="30">
        <f>IF($R$39=1,EET!AS115,IF($R$39=2,EET!BB115,IF($R$39=3,EET!BA115,IF($R$39=4,EET!AO115,IF($R$39=5,EET!AW115,EET!AO115-EET!AW115)))))*$V$35</f>
        <v>0</v>
      </c>
      <c r="E140" s="30" t="s">
        <v>637</v>
      </c>
      <c r="F140" s="290">
        <f>EET!E115</f>
        <v>0</v>
      </c>
      <c r="G140" s="30">
        <f>EET!F115</f>
        <v>0</v>
      </c>
      <c r="H140" s="30">
        <f>EET!G115</f>
        <v>0</v>
      </c>
      <c r="I140" s="140" t="str">
        <f t="shared" si="5"/>
        <v>-</v>
      </c>
      <c r="J140" s="1017" t="s">
        <v>4190</v>
      </c>
      <c r="K140" s="9"/>
      <c r="L140" s="12"/>
      <c r="M140" s="855">
        <f>IF($M$38&lt;R140,0,IF(OR(EET!BU115&gt;0,Q140=""),1,0))</f>
        <v>0</v>
      </c>
      <c r="N140" s="319">
        <v>12260</v>
      </c>
      <c r="O140" s="319"/>
      <c r="P140" s="319"/>
      <c r="Q140" s="3" t="b">
        <v>1</v>
      </c>
      <c r="R140" s="319">
        <v>2</v>
      </c>
      <c r="S140" s="319"/>
      <c r="T140" s="319">
        <v>2</v>
      </c>
      <c r="U140" s="319"/>
      <c r="V140" s="309" t="b">
        <v>1</v>
      </c>
      <c r="W140" s="319" t="b">
        <v>1</v>
      </c>
      <c r="X140" s="319"/>
      <c r="Y140" s="319"/>
      <c r="Z140" s="319"/>
      <c r="AA140" s="319"/>
      <c r="AB140" s="319"/>
      <c r="AC140" s="319"/>
      <c r="AD140" s="319"/>
      <c r="AE140" s="319"/>
      <c r="AF140" s="319"/>
      <c r="AG140" s="319"/>
      <c r="AH140" s="319"/>
      <c r="AI140" s="319"/>
      <c r="AJ140" s="319"/>
      <c r="AK140" s="319"/>
      <c r="AL140" s="319"/>
      <c r="AM140" s="319"/>
      <c r="AN140" s="319"/>
      <c r="AO140" s="319"/>
      <c r="AP140" s="319"/>
      <c r="AQ140" s="319"/>
      <c r="AR140" s="319"/>
      <c r="AS140" s="319"/>
      <c r="AT140" s="319"/>
      <c r="AU140" s="319"/>
      <c r="AV140" s="319"/>
      <c r="AW140" s="319"/>
      <c r="AX140" s="319"/>
      <c r="AY140" s="319"/>
      <c r="AZ140" s="319"/>
      <c r="BA140" s="319"/>
      <c r="BB140" s="319"/>
      <c r="BC140" s="319"/>
      <c r="BD140" s="319"/>
      <c r="BE140" s="319"/>
      <c r="BF140" s="319"/>
      <c r="BG140" s="319"/>
      <c r="BH140" s="319"/>
      <c r="BI140" s="319"/>
      <c r="BJ140" s="319"/>
      <c r="BK140" s="319"/>
      <c r="BL140" s="319"/>
      <c r="BM140" s="319"/>
      <c r="BN140" s="319"/>
      <c r="BO140" s="319"/>
      <c r="BP140" s="319"/>
      <c r="BQ140" s="319"/>
      <c r="BR140" s="319"/>
      <c r="BS140" s="319"/>
      <c r="BT140" s="319"/>
      <c r="BU140" s="319"/>
      <c r="BV140" s="319"/>
      <c r="BW140" s="319"/>
      <c r="BX140" s="319"/>
      <c r="BY140" s="319"/>
      <c r="BZ140" s="319"/>
      <c r="CA140" s="319"/>
      <c r="CB140" s="319"/>
      <c r="CC140" s="319"/>
      <c r="CD140" s="319"/>
      <c r="CE140" s="319"/>
      <c r="CF140" s="319"/>
      <c r="CG140" s="319"/>
      <c r="CH140" s="319"/>
      <c r="CI140" s="319"/>
      <c r="CJ140" s="319"/>
      <c r="CK140" s="319"/>
    </row>
    <row r="141" spans="1:89" ht="13.2" hidden="1">
      <c r="A141" s="12"/>
      <c r="B141" s="329" t="str">
        <f>IF(EET!D116="","",EET!D116)</f>
        <v/>
      </c>
      <c r="C141" s="30" t="s">
        <v>637</v>
      </c>
      <c r="D141" s="30">
        <f>IF($R$39=1,EET!AS116,IF($R$39=2,EET!BB116,IF($R$39=3,EET!BA116,IF($R$39=4,EET!AO116,IF($R$39=5,EET!AW116,EET!AO116-EET!AW116)))))*$V$35</f>
        <v>0</v>
      </c>
      <c r="E141" s="30" t="s">
        <v>637</v>
      </c>
      <c r="F141" s="290">
        <f>EET!E116</f>
        <v>0</v>
      </c>
      <c r="G141" s="30">
        <f>EET!F116</f>
        <v>0</v>
      </c>
      <c r="H141" s="30">
        <f>EET!G116</f>
        <v>0</v>
      </c>
      <c r="I141" s="140" t="str">
        <f t="shared" si="5"/>
        <v>-</v>
      </c>
      <c r="J141" s="1017" t="s">
        <v>4190</v>
      </c>
      <c r="K141" s="9"/>
      <c r="L141" s="12"/>
      <c r="M141" s="855">
        <f>IF($M$38&lt;R141,0,IF(OR(EET!BU116&gt;0,Q141=""),1,0))</f>
        <v>0</v>
      </c>
      <c r="N141" s="319">
        <v>12260</v>
      </c>
      <c r="O141" s="319"/>
      <c r="P141" s="319"/>
      <c r="Q141" s="3" t="b">
        <v>1</v>
      </c>
      <c r="R141" s="319">
        <v>2</v>
      </c>
      <c r="S141" s="319"/>
      <c r="T141" s="319">
        <v>2</v>
      </c>
      <c r="U141" s="319"/>
      <c r="V141" s="309" t="b">
        <v>1</v>
      </c>
      <c r="W141" s="319" t="b">
        <v>1</v>
      </c>
      <c r="X141" s="319"/>
      <c r="Y141" s="319"/>
      <c r="Z141" s="319"/>
      <c r="AA141" s="319"/>
      <c r="AB141" s="319"/>
      <c r="AC141" s="319"/>
      <c r="AD141" s="319"/>
      <c r="AE141" s="319"/>
      <c r="AF141" s="319"/>
      <c r="AG141" s="319"/>
      <c r="AH141" s="319"/>
      <c r="AI141" s="319"/>
      <c r="AJ141" s="319"/>
      <c r="AK141" s="319"/>
      <c r="AL141" s="319"/>
      <c r="AM141" s="319"/>
      <c r="AN141" s="319"/>
      <c r="AO141" s="319"/>
      <c r="AP141" s="319"/>
      <c r="AQ141" s="319"/>
      <c r="AR141" s="319"/>
      <c r="AS141" s="319"/>
      <c r="AT141" s="319"/>
      <c r="AU141" s="319"/>
      <c r="AV141" s="319"/>
      <c r="AW141" s="319"/>
      <c r="AX141" s="319"/>
      <c r="AY141" s="319"/>
      <c r="AZ141" s="319"/>
      <c r="BA141" s="319"/>
      <c r="BB141" s="319"/>
      <c r="BC141" s="319"/>
      <c r="BD141" s="319"/>
      <c r="BE141" s="319"/>
      <c r="BF141" s="319"/>
      <c r="BG141" s="319"/>
      <c r="BH141" s="319"/>
      <c r="BI141" s="319"/>
      <c r="BJ141" s="319"/>
      <c r="BK141" s="319"/>
      <c r="BL141" s="319"/>
      <c r="BM141" s="319"/>
      <c r="BN141" s="319"/>
      <c r="BO141" s="319"/>
      <c r="BP141" s="319"/>
      <c r="BQ141" s="319"/>
      <c r="BR141" s="319"/>
      <c r="BS141" s="319"/>
      <c r="BT141" s="319"/>
      <c r="BU141" s="319"/>
      <c r="BV141" s="319"/>
      <c r="BW141" s="319"/>
      <c r="BX141" s="319"/>
      <c r="BY141" s="319"/>
      <c r="BZ141" s="319"/>
      <c r="CA141" s="319"/>
      <c r="CB141" s="319"/>
      <c r="CC141" s="319"/>
      <c r="CD141" s="319"/>
      <c r="CE141" s="319"/>
      <c r="CF141" s="319"/>
      <c r="CG141" s="319"/>
      <c r="CH141" s="319"/>
      <c r="CI141" s="319"/>
      <c r="CJ141" s="319"/>
      <c r="CK141" s="319"/>
    </row>
    <row r="142" spans="1:89" ht="13.2">
      <c r="A142" s="12"/>
      <c r="B142" s="543" t="str">
        <f>B1163</f>
        <v>Outro</v>
      </c>
      <c r="C142" s="30"/>
      <c r="D142" s="30"/>
      <c r="E142" s="30"/>
      <c r="F142" s="290"/>
      <c r="G142" s="30"/>
      <c r="H142" s="30"/>
      <c r="I142" s="140"/>
      <c r="J142" s="29"/>
      <c r="K142" s="9"/>
      <c r="L142" s="12"/>
      <c r="M142" s="393">
        <f>IF(OR(EET!BU117&gt;0,Q142=""),1,0)</f>
        <v>1</v>
      </c>
      <c r="N142" s="319">
        <v>12270</v>
      </c>
      <c r="O142" s="319"/>
      <c r="P142" s="319"/>
      <c r="Q142" s="319"/>
      <c r="R142" s="319"/>
      <c r="S142" s="319"/>
      <c r="T142" s="319"/>
      <c r="U142" s="319"/>
      <c r="V142" s="309"/>
      <c r="W142" s="319"/>
      <c r="X142" s="319"/>
      <c r="Y142" s="319"/>
      <c r="Z142" s="319"/>
      <c r="AA142" s="319"/>
      <c r="AB142" s="319"/>
      <c r="AC142" s="319"/>
      <c r="AD142" s="319"/>
      <c r="AE142" s="319"/>
      <c r="AF142" s="319"/>
      <c r="AG142" s="319"/>
      <c r="AH142" s="319"/>
      <c r="AI142" s="319"/>
      <c r="AJ142" s="319"/>
      <c r="AK142" s="319"/>
      <c r="AL142" s="319"/>
      <c r="AM142" s="319"/>
      <c r="AN142" s="319"/>
      <c r="AO142" s="319"/>
      <c r="AP142" s="319"/>
      <c r="AQ142" s="319"/>
      <c r="AR142" s="319"/>
      <c r="AS142" s="319"/>
      <c r="AT142" s="319"/>
      <c r="AU142" s="319"/>
      <c r="AV142" s="319"/>
      <c r="AW142" s="319"/>
      <c r="AX142" s="319"/>
      <c r="AY142" s="319"/>
      <c r="AZ142" s="319"/>
      <c r="BA142" s="319"/>
      <c r="BB142" s="319"/>
      <c r="BC142" s="319"/>
      <c r="BD142" s="319"/>
      <c r="BE142" s="319"/>
      <c r="BF142" s="319"/>
      <c r="BG142" s="319"/>
      <c r="BH142" s="319"/>
      <c r="BI142" s="319"/>
      <c r="BJ142" s="319"/>
      <c r="BK142" s="319"/>
      <c r="BL142" s="319"/>
      <c r="BM142" s="319"/>
      <c r="BN142" s="319"/>
      <c r="BO142" s="319"/>
      <c r="BP142" s="319"/>
      <c r="BQ142" s="319"/>
      <c r="BR142" s="319"/>
      <c r="BS142" s="319"/>
      <c r="BT142" s="319"/>
      <c r="BU142" s="319"/>
      <c r="BV142" s="319"/>
      <c r="BW142" s="319"/>
      <c r="BX142" s="319"/>
      <c r="BY142" s="319"/>
      <c r="BZ142" s="319"/>
      <c r="CA142" s="319"/>
      <c r="CB142" s="319"/>
      <c r="CC142" s="319"/>
      <c r="CD142" s="319"/>
      <c r="CE142" s="319"/>
      <c r="CF142" s="319"/>
      <c r="CG142" s="319"/>
      <c r="CH142" s="319"/>
      <c r="CI142" s="319"/>
      <c r="CJ142" s="319"/>
      <c r="CK142" s="319"/>
    </row>
    <row r="143" spans="1:89" ht="13.2" hidden="1">
      <c r="A143" s="12"/>
      <c r="B143" s="329" t="str">
        <f>IF(EET!D118="","",EET!D118)</f>
        <v/>
      </c>
      <c r="C143" s="30">
        <f>IF($R$39=1,EET!X118,IF($R$39=2,EET!AG118,IF($R$39=3,EET!AF118,IF($R$39=4,EET!T118,IF($R$39=5,EET!AB118,EET!T118-EET!AB118)))))*$V$35</f>
        <v>0</v>
      </c>
      <c r="D143" s="30">
        <f>IF($R$39=1,EET!AS118,IF($R$39=2,EET!BB118,IF($R$39=3,EET!BA118,IF($R$39=4,EET!AO118,IF($R$39=5,EET!AW118,EET!AO118-EET!AW118)))))*$V$35</f>
        <v>0</v>
      </c>
      <c r="E143" s="30">
        <f>IF(OR($R$39=1,$R$39=4),EET!BI118,IF(OR($R$39=6,$R$39=2),EET!BI118-EET!BK118,EET!BK118))*$V$35</f>
        <v>0</v>
      </c>
      <c r="F143" s="290">
        <f>EET!E118</f>
        <v>0</v>
      </c>
      <c r="G143" s="30">
        <f>EET!F118</f>
        <v>0</v>
      </c>
      <c r="H143" s="30">
        <f>EET!G118</f>
        <v>0</v>
      </c>
      <c r="I143" s="140" t="str">
        <f t="shared" si="5"/>
        <v>-</v>
      </c>
      <c r="J143" s="1017" t="s">
        <v>4190</v>
      </c>
      <c r="K143" s="9"/>
      <c r="L143" s="12"/>
      <c r="M143" s="393">
        <f>IF(OR(EET!BU118&gt;0,Q143=""),1,0)</f>
        <v>0</v>
      </c>
      <c r="N143" s="319">
        <v>12270</v>
      </c>
      <c r="O143" s="319"/>
      <c r="P143" s="319"/>
      <c r="Q143" s="311" t="b">
        <v>1</v>
      </c>
      <c r="R143" s="319"/>
      <c r="S143" s="319"/>
      <c r="T143" s="319"/>
      <c r="U143" s="319"/>
      <c r="V143" s="309" t="b">
        <v>1</v>
      </c>
      <c r="W143" s="309" t="b">
        <v>1</v>
      </c>
      <c r="X143" s="319"/>
      <c r="Y143" s="319"/>
      <c r="Z143" s="319"/>
      <c r="AA143" s="319"/>
      <c r="AB143" s="319"/>
      <c r="AC143" s="319"/>
      <c r="AD143" s="319"/>
      <c r="AE143" s="319"/>
      <c r="AF143" s="319"/>
      <c r="AG143" s="319"/>
      <c r="AH143" s="319"/>
      <c r="AI143" s="319"/>
      <c r="AJ143" s="319"/>
      <c r="AK143" s="319"/>
      <c r="AL143" s="319"/>
      <c r="AM143" s="319"/>
      <c r="AN143" s="319"/>
      <c r="AO143" s="319"/>
      <c r="AP143" s="319"/>
      <c r="AQ143" s="319"/>
      <c r="AR143" s="319"/>
      <c r="AS143" s="319"/>
      <c r="AT143" s="319"/>
      <c r="AU143" s="319"/>
      <c r="AV143" s="319"/>
      <c r="AW143" s="319"/>
      <c r="AX143" s="319"/>
      <c r="AY143" s="319"/>
      <c r="AZ143" s="319"/>
      <c r="BA143" s="319"/>
      <c r="BB143" s="319"/>
      <c r="BC143" s="319"/>
      <c r="BD143" s="319"/>
      <c r="BE143" s="319"/>
      <c r="BF143" s="319"/>
      <c r="BG143" s="319"/>
      <c r="BH143" s="319"/>
      <c r="BI143" s="319"/>
      <c r="BJ143" s="319"/>
      <c r="BK143" s="319"/>
      <c r="BL143" s="319"/>
      <c r="BM143" s="319"/>
      <c r="BN143" s="319"/>
      <c r="BO143" s="319"/>
      <c r="BP143" s="319"/>
      <c r="BQ143" s="319"/>
      <c r="BR143" s="319"/>
      <c r="BS143" s="319"/>
      <c r="BT143" s="319"/>
      <c r="BU143" s="319"/>
      <c r="BV143" s="319"/>
      <c r="BW143" s="319"/>
      <c r="BX143" s="319"/>
      <c r="BY143" s="319"/>
      <c r="BZ143" s="319"/>
      <c r="CA143" s="319"/>
      <c r="CB143" s="319"/>
      <c r="CC143" s="319"/>
      <c r="CD143" s="319"/>
      <c r="CE143" s="319"/>
      <c r="CF143" s="319"/>
      <c r="CG143" s="319"/>
      <c r="CH143" s="319"/>
      <c r="CI143" s="319"/>
      <c r="CJ143" s="319"/>
      <c r="CK143" s="319"/>
    </row>
    <row r="144" spans="1:89" ht="13.2" hidden="1">
      <c r="A144" s="12"/>
      <c r="B144" s="329" t="str">
        <f>IF(EET!D119="","",EET!D119)</f>
        <v/>
      </c>
      <c r="C144" s="30">
        <f>IF($R$39=1,EET!X119,IF($R$39=2,EET!AG119,IF($R$39=3,EET!AF119,IF($R$39=4,EET!T119,IF($R$39=5,EET!AB119,EET!T119-EET!AB119)))))*$V$35</f>
        <v>0</v>
      </c>
      <c r="D144" s="30">
        <f>IF($R$39=1,EET!AS119,IF($R$39=2,EET!BB119,IF($R$39=3,EET!BA119,IF($R$39=4,EET!AO119,IF($R$39=5,EET!AW119,EET!AO119-EET!AW119)))))*$V$35</f>
        <v>0</v>
      </c>
      <c r="E144" s="30">
        <f>IF(OR($R$39=1,$R$39=4),EET!BI119,IF(OR($R$39=6,$R$39=2),EET!BI119-EET!BK119,EET!BK119))*$V$35</f>
        <v>0</v>
      </c>
      <c r="F144" s="290">
        <f>EET!E119</f>
        <v>0</v>
      </c>
      <c r="G144" s="30">
        <f>EET!F119</f>
        <v>0</v>
      </c>
      <c r="H144" s="30">
        <f>EET!G119</f>
        <v>0</v>
      </c>
      <c r="I144" s="140" t="str">
        <f t="shared" si="5"/>
        <v>-</v>
      </c>
      <c r="J144" s="1017" t="s">
        <v>4190</v>
      </c>
      <c r="K144" s="9"/>
      <c r="L144" s="12"/>
      <c r="M144" s="393">
        <f>IF(OR(EET!BU119&gt;0,Q144=""),1,0)</f>
        <v>0</v>
      </c>
      <c r="N144" s="319">
        <v>12270</v>
      </c>
      <c r="O144" s="319"/>
      <c r="P144" s="319"/>
      <c r="Q144" s="3" t="b">
        <v>1</v>
      </c>
      <c r="R144" s="319"/>
      <c r="S144" s="319"/>
      <c r="T144" s="319"/>
      <c r="U144" s="319"/>
      <c r="V144" s="309" t="b">
        <v>1</v>
      </c>
      <c r="W144" s="319" t="b">
        <v>1</v>
      </c>
      <c r="X144" s="319"/>
      <c r="Y144" s="319"/>
      <c r="Z144" s="319"/>
      <c r="AA144" s="319"/>
      <c r="AB144" s="319"/>
      <c r="AC144" s="319"/>
      <c r="AD144" s="319"/>
      <c r="AE144" s="319"/>
      <c r="AF144" s="319"/>
      <c r="AG144" s="319"/>
      <c r="AH144" s="319"/>
      <c r="AI144" s="319"/>
      <c r="AJ144" s="319"/>
      <c r="AK144" s="319"/>
      <c r="AL144" s="319"/>
      <c r="AM144" s="319"/>
      <c r="AN144" s="319"/>
      <c r="AO144" s="319"/>
      <c r="AP144" s="319"/>
      <c r="AQ144" s="319"/>
      <c r="AR144" s="319"/>
      <c r="AS144" s="319"/>
      <c r="AT144" s="319"/>
      <c r="AU144" s="319"/>
      <c r="AV144" s="319"/>
      <c r="AW144" s="319"/>
      <c r="AX144" s="319"/>
      <c r="AY144" s="319"/>
      <c r="AZ144" s="319"/>
      <c r="BA144" s="319"/>
      <c r="BB144" s="319"/>
      <c r="BC144" s="319"/>
      <c r="BD144" s="319"/>
      <c r="BE144" s="319"/>
      <c r="BF144" s="319"/>
      <c r="BG144" s="319"/>
      <c r="BH144" s="319"/>
      <c r="BI144" s="319"/>
      <c r="BJ144" s="319"/>
      <c r="BK144" s="319"/>
      <c r="BL144" s="319"/>
      <c r="BM144" s="319"/>
      <c r="BN144" s="319"/>
      <c r="BO144" s="319"/>
      <c r="BP144" s="319"/>
      <c r="BQ144" s="319"/>
      <c r="BR144" s="319"/>
      <c r="BS144" s="319"/>
      <c r="BT144" s="319"/>
      <c r="BU144" s="319"/>
      <c r="BV144" s="319"/>
      <c r="BW144" s="319"/>
      <c r="BX144" s="319"/>
      <c r="BY144" s="319"/>
      <c r="BZ144" s="319"/>
      <c r="CA144" s="319"/>
      <c r="CB144" s="319"/>
      <c r="CC144" s="319"/>
      <c r="CD144" s="319"/>
      <c r="CE144" s="319"/>
      <c r="CF144" s="319"/>
      <c r="CG144" s="319"/>
      <c r="CH144" s="319"/>
      <c r="CI144" s="319"/>
      <c r="CJ144" s="319"/>
      <c r="CK144" s="319"/>
    </row>
    <row r="145" spans="1:89" ht="13.2" hidden="1">
      <c r="A145" s="12"/>
      <c r="B145" s="329" t="str">
        <f>IF(EET!D120="","",EET!D120)</f>
        <v/>
      </c>
      <c r="C145" s="30">
        <f>IF($R$39=1,EET!X120,IF($R$39=2,EET!AG120,IF($R$39=3,EET!AF120,IF($R$39=4,EET!T120,IF($R$39=5,EET!AB120,EET!T120-EET!AB120)))))*$V$35</f>
        <v>0</v>
      </c>
      <c r="D145" s="30">
        <f>IF($R$39=1,EET!AS120,IF($R$39=2,EET!BB120,IF($R$39=3,EET!BA120,IF($R$39=4,EET!AO120,IF($R$39=5,EET!AW120,EET!AO120-EET!AW120)))))*$V$35</f>
        <v>0</v>
      </c>
      <c r="E145" s="30">
        <f>IF(OR($R$39=1,$R$39=4),EET!BI120,IF(OR($R$39=6,$R$39=2),EET!BI120-EET!BK120,EET!BK120))*$V$35</f>
        <v>0</v>
      </c>
      <c r="F145" s="290">
        <f>EET!E120</f>
        <v>0</v>
      </c>
      <c r="G145" s="30">
        <f>EET!F120</f>
        <v>0</v>
      </c>
      <c r="H145" s="30">
        <f>EET!G120</f>
        <v>0</v>
      </c>
      <c r="I145" s="140" t="str">
        <f t="shared" si="5"/>
        <v>-</v>
      </c>
      <c r="J145" s="1017" t="s">
        <v>4190</v>
      </c>
      <c r="K145" s="9"/>
      <c r="L145" s="12"/>
      <c r="M145" s="393">
        <f>IF(OR(EET!BU120&gt;0,Q145=""),1,0)</f>
        <v>0</v>
      </c>
      <c r="N145" s="319">
        <v>12270</v>
      </c>
      <c r="O145" s="319"/>
      <c r="P145" s="319"/>
      <c r="Q145" s="3" t="b">
        <v>1</v>
      </c>
      <c r="R145" s="319"/>
      <c r="S145" s="319"/>
      <c r="T145" s="319"/>
      <c r="U145" s="319"/>
      <c r="V145" s="309" t="b">
        <v>1</v>
      </c>
      <c r="W145" s="319" t="b">
        <v>1</v>
      </c>
      <c r="X145" s="319"/>
      <c r="Y145" s="319"/>
      <c r="Z145" s="319"/>
      <c r="AA145" s="319"/>
      <c r="AB145" s="319"/>
      <c r="AC145" s="319"/>
      <c r="AD145" s="319"/>
      <c r="AE145" s="319"/>
      <c r="AF145" s="319"/>
      <c r="AG145" s="319"/>
      <c r="AH145" s="319"/>
      <c r="AI145" s="319"/>
      <c r="AJ145" s="319"/>
      <c r="AK145" s="319"/>
      <c r="AL145" s="319"/>
      <c r="AM145" s="319"/>
      <c r="AN145" s="319"/>
      <c r="AO145" s="319"/>
      <c r="AP145" s="319"/>
      <c r="AQ145" s="319"/>
      <c r="AR145" s="319"/>
      <c r="AS145" s="319"/>
      <c r="AT145" s="319"/>
      <c r="AU145" s="319"/>
      <c r="AV145" s="319"/>
      <c r="AW145" s="319"/>
      <c r="AX145" s="319"/>
      <c r="AY145" s="319"/>
      <c r="AZ145" s="319"/>
      <c r="BA145" s="319"/>
      <c r="BB145" s="319"/>
      <c r="BC145" s="319"/>
      <c r="BD145" s="319"/>
      <c r="BE145" s="319"/>
      <c r="BF145" s="319"/>
      <c r="BG145" s="319"/>
      <c r="BH145" s="319"/>
      <c r="BI145" s="319"/>
      <c r="BJ145" s="319"/>
      <c r="BK145" s="319"/>
      <c r="BL145" s="319"/>
      <c r="BM145" s="319"/>
      <c r="BN145" s="319"/>
      <c r="BO145" s="319"/>
      <c r="BP145" s="319"/>
      <c r="BQ145" s="319"/>
      <c r="BR145" s="319"/>
      <c r="BS145" s="319"/>
      <c r="BT145" s="319"/>
      <c r="BU145" s="319"/>
      <c r="BV145" s="319"/>
      <c r="BW145" s="319"/>
      <c r="BX145" s="319"/>
      <c r="BY145" s="319"/>
      <c r="BZ145" s="319"/>
      <c r="CA145" s="319"/>
      <c r="CB145" s="319"/>
      <c r="CC145" s="319"/>
      <c r="CD145" s="319"/>
      <c r="CE145" s="319"/>
      <c r="CF145" s="319"/>
      <c r="CG145" s="319"/>
      <c r="CH145" s="319"/>
      <c r="CI145" s="319"/>
      <c r="CJ145" s="319"/>
      <c r="CK145" s="319"/>
    </row>
    <row r="146" spans="1:89" ht="13.2" hidden="1">
      <c r="A146" s="12"/>
      <c r="B146" s="329" t="str">
        <f>IF(EET!D121="","",EET!D121)</f>
        <v/>
      </c>
      <c r="C146" s="30">
        <f>IF($R$39=1,EET!X121,IF($R$39=2,EET!AG121,IF($R$39=3,EET!AF121,IF($R$39=4,EET!T121,IF($R$39=5,EET!AB121,EET!T121-EET!AB121)))))*$V$35</f>
        <v>0</v>
      </c>
      <c r="D146" s="30">
        <f>IF($R$39=1,EET!AS121,IF($R$39=2,EET!BB121,IF($R$39=3,EET!BA121,IF($R$39=4,EET!AO121,IF($R$39=5,EET!AW121,EET!AO121-EET!AW121)))))*$V$35</f>
        <v>0</v>
      </c>
      <c r="E146" s="30">
        <f>IF(OR($R$39=1,$R$39=4),EET!BI121,IF(OR($R$39=6,$R$39=2),EET!BI121-EET!BK121,EET!BK121))*$V$35</f>
        <v>0</v>
      </c>
      <c r="F146" s="290">
        <f>EET!E121</f>
        <v>0</v>
      </c>
      <c r="G146" s="30">
        <f>EET!F121</f>
        <v>0</v>
      </c>
      <c r="H146" s="30">
        <f>EET!G121</f>
        <v>0</v>
      </c>
      <c r="I146" s="140" t="str">
        <f t="shared" si="5"/>
        <v>-</v>
      </c>
      <c r="J146" s="1017" t="s">
        <v>4190</v>
      </c>
      <c r="K146" s="9"/>
      <c r="L146" s="12"/>
      <c r="M146" s="393">
        <f>IF(OR(EET!BU121&gt;0,Q146=""),1,0)</f>
        <v>0</v>
      </c>
      <c r="N146" s="319">
        <v>12270</v>
      </c>
      <c r="O146" s="319"/>
      <c r="P146" s="319"/>
      <c r="Q146" s="3" t="b">
        <v>1</v>
      </c>
      <c r="R146" s="319"/>
      <c r="S146" s="319"/>
      <c r="T146" s="319"/>
      <c r="U146" s="319"/>
      <c r="V146" s="309" t="b">
        <v>1</v>
      </c>
      <c r="W146" s="319" t="b">
        <v>1</v>
      </c>
      <c r="X146" s="319"/>
      <c r="Y146" s="319"/>
      <c r="Z146" s="319"/>
      <c r="AA146" s="319"/>
      <c r="AB146" s="319"/>
      <c r="AC146" s="319"/>
      <c r="AD146" s="319"/>
      <c r="AE146" s="319"/>
      <c r="AF146" s="319"/>
      <c r="AG146" s="319"/>
      <c r="AH146" s="319"/>
      <c r="AI146" s="319"/>
      <c r="AJ146" s="319"/>
      <c r="AK146" s="319"/>
      <c r="AL146" s="319"/>
      <c r="AM146" s="319"/>
      <c r="AN146" s="319"/>
      <c r="AO146" s="319"/>
      <c r="AP146" s="319"/>
      <c r="AQ146" s="319"/>
      <c r="AR146" s="319"/>
      <c r="AS146" s="319"/>
      <c r="AT146" s="319"/>
      <c r="AU146" s="319"/>
      <c r="AV146" s="319"/>
      <c r="AW146" s="319"/>
      <c r="AX146" s="319"/>
      <c r="AY146" s="319"/>
      <c r="AZ146" s="319"/>
      <c r="BA146" s="319"/>
      <c r="BB146" s="319"/>
      <c r="BC146" s="319"/>
      <c r="BD146" s="319"/>
      <c r="BE146" s="319"/>
      <c r="BF146" s="319"/>
      <c r="BG146" s="319"/>
      <c r="BH146" s="319"/>
      <c r="BI146" s="319"/>
      <c r="BJ146" s="319"/>
      <c r="BK146" s="319"/>
      <c r="BL146" s="319"/>
      <c r="BM146" s="319"/>
      <c r="BN146" s="319"/>
      <c r="BO146" s="319"/>
      <c r="BP146" s="319"/>
      <c r="BQ146" s="319"/>
      <c r="BR146" s="319"/>
      <c r="BS146" s="319"/>
      <c r="BT146" s="319"/>
      <c r="BU146" s="319"/>
      <c r="BV146" s="319"/>
      <c r="BW146" s="319"/>
      <c r="BX146" s="319"/>
      <c r="BY146" s="319"/>
      <c r="BZ146" s="319"/>
      <c r="CA146" s="319"/>
      <c r="CB146" s="319"/>
      <c r="CC146" s="319"/>
      <c r="CD146" s="319"/>
      <c r="CE146" s="319"/>
      <c r="CF146" s="319"/>
      <c r="CG146" s="319"/>
      <c r="CH146" s="319"/>
      <c r="CI146" s="319"/>
      <c r="CJ146" s="319"/>
      <c r="CK146" s="319"/>
    </row>
    <row r="147" spans="1:89" ht="13.2" hidden="1">
      <c r="A147" s="12"/>
      <c r="B147" s="329" t="str">
        <f>IF(EET!D122="","",EET!D122)</f>
        <v/>
      </c>
      <c r="C147" s="30">
        <f>IF($R$39=1,EET!X122,IF($R$39=2,EET!AG122,IF($R$39=3,EET!AF122,IF($R$39=4,EET!T122,IF($R$39=5,EET!AB122,EET!T122-EET!AB122)))))*$V$35</f>
        <v>0</v>
      </c>
      <c r="D147" s="30">
        <f>IF($R$39=1,EET!AS122,IF($R$39=2,EET!BB122,IF($R$39=3,EET!BA122,IF($R$39=4,EET!AO122,IF($R$39=5,EET!AW122,EET!AO122-EET!AW122)))))*$V$35</f>
        <v>0</v>
      </c>
      <c r="E147" s="30">
        <f>IF(OR($R$39=1,$R$39=4),EET!BI122,IF(OR($R$39=6,$R$39=2),EET!BI122-EET!BK122,EET!BK122))*$V$35</f>
        <v>0</v>
      </c>
      <c r="F147" s="291">
        <f>EET!E122</f>
        <v>0</v>
      </c>
      <c r="G147" s="88">
        <f>EET!F122</f>
        <v>0</v>
      </c>
      <c r="H147" s="88">
        <f>EET!G122</f>
        <v>0</v>
      </c>
      <c r="I147" s="140" t="str">
        <f t="shared" si="5"/>
        <v>-</v>
      </c>
      <c r="J147" s="1017" t="s">
        <v>4190</v>
      </c>
      <c r="K147" s="9"/>
      <c r="L147" s="12"/>
      <c r="M147" s="393">
        <f>IF(OR(EET!BU122&gt;0,Q147=""),1,0)</f>
        <v>0</v>
      </c>
      <c r="N147" s="319">
        <v>12270</v>
      </c>
      <c r="O147" s="319"/>
      <c r="P147" s="319"/>
      <c r="Q147" s="3" t="b">
        <v>1</v>
      </c>
      <c r="R147" s="319"/>
      <c r="S147" s="319"/>
      <c r="T147" s="319"/>
      <c r="U147" s="319"/>
      <c r="V147" s="309" t="b">
        <v>1</v>
      </c>
      <c r="W147" s="319" t="b">
        <v>1</v>
      </c>
      <c r="X147" s="319"/>
      <c r="Y147" s="319"/>
      <c r="Z147" s="319"/>
      <c r="AA147" s="319"/>
      <c r="AB147" s="319"/>
      <c r="AC147" s="319"/>
      <c r="AD147" s="319"/>
      <c r="AE147" s="319"/>
      <c r="AF147" s="319"/>
      <c r="AG147" s="319"/>
      <c r="AH147" s="319"/>
      <c r="AI147" s="319"/>
      <c r="AJ147" s="319"/>
      <c r="AK147" s="319"/>
      <c r="AL147" s="319"/>
      <c r="AM147" s="319"/>
      <c r="AN147" s="319"/>
      <c r="AO147" s="319"/>
      <c r="AP147" s="319"/>
      <c r="AQ147" s="319"/>
      <c r="AR147" s="319"/>
      <c r="AS147" s="319"/>
      <c r="AT147" s="319"/>
      <c r="AU147" s="319"/>
      <c r="AV147" s="319"/>
      <c r="AW147" s="319"/>
      <c r="AX147" s="319"/>
      <c r="AY147" s="319"/>
      <c r="AZ147" s="319"/>
      <c r="BA147" s="319"/>
      <c r="BB147" s="319"/>
      <c r="BC147" s="319"/>
      <c r="BD147" s="319"/>
      <c r="BE147" s="319"/>
      <c r="BF147" s="319"/>
      <c r="BG147" s="319"/>
      <c r="BH147" s="319"/>
      <c r="BI147" s="319"/>
      <c r="BJ147" s="319"/>
      <c r="BK147" s="319"/>
      <c r="BL147" s="319"/>
      <c r="BM147" s="319"/>
      <c r="BN147" s="319"/>
      <c r="BO147" s="319"/>
      <c r="BP147" s="319"/>
      <c r="BQ147" s="319"/>
      <c r="BR147" s="319"/>
      <c r="BS147" s="319"/>
      <c r="BT147" s="319"/>
      <c r="BU147" s="319"/>
      <c r="BV147" s="319"/>
      <c r="BW147" s="319"/>
      <c r="BX147" s="319"/>
      <c r="BY147" s="319"/>
      <c r="BZ147" s="319"/>
      <c r="CA147" s="319"/>
      <c r="CB147" s="319"/>
      <c r="CC147" s="319"/>
      <c r="CD147" s="319"/>
      <c r="CE147" s="319"/>
      <c r="CF147" s="319"/>
      <c r="CG147" s="319"/>
      <c r="CH147" s="319"/>
      <c r="CI147" s="319"/>
      <c r="CJ147" s="319"/>
      <c r="CK147" s="319"/>
    </row>
    <row r="148" spans="1:89" ht="13.2">
      <c r="A148" s="12"/>
      <c r="B148" s="5" t="str">
        <f>Language!C233</f>
        <v>Total</v>
      </c>
      <c r="C148" s="86">
        <f t="shared" ref="C148:H148" si="6">SUM(C41:C147)</f>
        <v>0</v>
      </c>
      <c r="D148" s="86">
        <f t="shared" si="6"/>
        <v>0</v>
      </c>
      <c r="E148" s="86">
        <f t="shared" si="6"/>
        <v>0</v>
      </c>
      <c r="F148" s="86">
        <f t="shared" si="6"/>
        <v>0</v>
      </c>
      <c r="G148" s="86">
        <f t="shared" si="6"/>
        <v>0</v>
      </c>
      <c r="H148" s="86">
        <f t="shared" si="6"/>
        <v>0</v>
      </c>
      <c r="I148" s="428" t="str">
        <f>IF(ISERROR(F148/(G148+H148)),"",F148/(G148+H148))</f>
        <v/>
      </c>
      <c r="J148" s="5"/>
      <c r="K148" s="9"/>
      <c r="L148" s="12"/>
      <c r="M148" s="393">
        <v>1</v>
      </c>
      <c r="N148" s="319">
        <v>4020000</v>
      </c>
      <c r="O148" s="319"/>
      <c r="P148" s="319"/>
      <c r="Q148" s="319"/>
      <c r="R148" s="319"/>
      <c r="S148" s="319"/>
      <c r="T148" s="319"/>
      <c r="U148" s="319"/>
      <c r="V148" s="319"/>
      <c r="W148" s="319"/>
      <c r="X148" s="319"/>
      <c r="Y148" s="319"/>
      <c r="Z148" s="319"/>
      <c r="AA148" s="319"/>
      <c r="AB148" s="319"/>
      <c r="AC148" s="319"/>
      <c r="AD148" s="319"/>
      <c r="AE148" s="319"/>
      <c r="AF148" s="319"/>
      <c r="AG148" s="319"/>
      <c r="AH148" s="319"/>
      <c r="AI148" s="319"/>
      <c r="AJ148" s="319"/>
      <c r="AK148" s="319"/>
      <c r="AL148" s="319"/>
      <c r="AM148" s="319"/>
      <c r="AN148" s="319"/>
      <c r="AO148" s="319"/>
      <c r="AP148" s="319"/>
      <c r="AQ148" s="319"/>
      <c r="AR148" s="319"/>
      <c r="AS148" s="319"/>
      <c r="AT148" s="319"/>
      <c r="AU148" s="319"/>
      <c r="AV148" s="319"/>
      <c r="AW148" s="319"/>
      <c r="AX148" s="319"/>
      <c r="AY148" s="319"/>
      <c r="AZ148" s="319"/>
      <c r="BA148" s="319"/>
      <c r="BB148" s="319"/>
      <c r="BC148" s="319"/>
      <c r="BD148" s="319"/>
      <c r="BE148" s="319"/>
      <c r="BF148" s="319"/>
      <c r="BG148" s="319"/>
      <c r="BH148" s="319"/>
      <c r="BI148" s="319"/>
      <c r="BJ148" s="319"/>
      <c r="BK148" s="319"/>
      <c r="BL148" s="319"/>
      <c r="BM148" s="319"/>
      <c r="BN148" s="319"/>
      <c r="BO148" s="319"/>
      <c r="BP148" s="319"/>
      <c r="BQ148" s="319"/>
      <c r="BR148" s="319"/>
      <c r="BS148" s="319"/>
      <c r="BT148" s="319"/>
      <c r="BU148" s="319"/>
      <c r="BV148" s="319"/>
      <c r="BW148" s="319"/>
      <c r="BX148" s="319"/>
      <c r="BY148" s="319"/>
      <c r="BZ148" s="319"/>
      <c r="CA148" s="319"/>
      <c r="CB148" s="319"/>
      <c r="CC148" s="319"/>
      <c r="CD148" s="319"/>
      <c r="CE148" s="319"/>
      <c r="CF148" s="319"/>
      <c r="CG148" s="319"/>
      <c r="CH148" s="319"/>
      <c r="CI148" s="319"/>
      <c r="CJ148" s="319"/>
      <c r="CK148" s="319"/>
    </row>
    <row r="149" spans="1:89" ht="13.2">
      <c r="A149" s="14"/>
      <c r="B149" s="15"/>
      <c r="C149" s="15"/>
      <c r="D149" s="15"/>
      <c r="E149" s="15"/>
      <c r="F149" s="41"/>
      <c r="G149" s="41"/>
      <c r="H149" s="41"/>
      <c r="I149" s="15"/>
      <c r="J149" s="15"/>
      <c r="K149" s="11"/>
      <c r="L149" s="12"/>
      <c r="M149" s="393">
        <v>1</v>
      </c>
      <c r="N149" s="319">
        <v>4020000</v>
      </c>
      <c r="O149" s="319"/>
      <c r="P149" s="319"/>
      <c r="Q149" s="463"/>
      <c r="R149" s="319"/>
      <c r="S149" s="319"/>
      <c r="T149" s="319"/>
      <c r="U149" s="319"/>
      <c r="V149" s="319"/>
      <c r="W149" s="319"/>
      <c r="X149" s="319"/>
      <c r="Y149" s="319"/>
      <c r="Z149" s="319"/>
      <c r="AA149" s="319"/>
      <c r="AB149" s="319"/>
      <c r="AC149" s="319"/>
      <c r="AD149" s="319"/>
      <c r="AE149" s="319"/>
      <c r="AF149" s="319"/>
      <c r="AG149" s="319"/>
      <c r="AH149" s="319"/>
      <c r="AI149" s="319"/>
      <c r="AJ149" s="319"/>
      <c r="AK149" s="319"/>
      <c r="AL149" s="319"/>
      <c r="AM149" s="319"/>
      <c r="AN149" s="319"/>
      <c r="AO149" s="319"/>
      <c r="AP149" s="319"/>
      <c r="AQ149" s="319"/>
      <c r="AR149" s="319"/>
      <c r="AS149" s="319"/>
      <c r="AT149" s="319"/>
      <c r="AU149" s="319"/>
      <c r="AV149" s="319"/>
      <c r="AW149" s="319"/>
      <c r="AX149" s="319"/>
      <c r="AY149" s="319"/>
      <c r="AZ149" s="319"/>
      <c r="BA149" s="319"/>
      <c r="BB149" s="319"/>
      <c r="BC149" s="319"/>
      <c r="BD149" s="319"/>
      <c r="BE149" s="319"/>
      <c r="BF149" s="319"/>
      <c r="BG149" s="319"/>
      <c r="BH149" s="319"/>
      <c r="BI149" s="319"/>
      <c r="BJ149" s="319"/>
      <c r="BK149" s="319"/>
      <c r="BL149" s="319"/>
      <c r="BM149" s="319"/>
      <c r="BN149" s="319"/>
      <c r="BO149" s="319"/>
      <c r="BP149" s="319"/>
      <c r="BQ149" s="319"/>
      <c r="BR149" s="319"/>
      <c r="BS149" s="319"/>
      <c r="BT149" s="319"/>
      <c r="BU149" s="319"/>
      <c r="BV149" s="319"/>
      <c r="BW149" s="319"/>
      <c r="BX149" s="319"/>
      <c r="BY149" s="319"/>
      <c r="BZ149" s="319"/>
      <c r="CA149" s="319"/>
      <c r="CB149" s="319"/>
      <c r="CC149" s="319"/>
      <c r="CD149" s="319"/>
      <c r="CE149" s="319"/>
      <c r="CF149" s="319"/>
      <c r="CG149" s="319"/>
      <c r="CH149" s="319"/>
      <c r="CI149" s="319"/>
      <c r="CJ149" s="319"/>
      <c r="CK149" s="319"/>
    </row>
    <row r="150" spans="1:89" ht="13.2">
      <c r="A150" s="15"/>
      <c r="B150" s="15"/>
      <c r="C150" s="15"/>
      <c r="D150" s="15"/>
      <c r="E150" s="15"/>
      <c r="F150" s="41"/>
      <c r="G150" s="41"/>
      <c r="H150" s="41"/>
      <c r="I150" s="15"/>
      <c r="J150" s="15"/>
      <c r="K150" s="15"/>
      <c r="L150" s="8"/>
      <c r="M150" s="856">
        <f>IF(ISERROR(SUM(C148:I148)),0,SUM(C148:I148))</f>
        <v>0</v>
      </c>
      <c r="N150" s="319">
        <v>12000</v>
      </c>
      <c r="O150" s="319"/>
      <c r="P150" s="319"/>
      <c r="Q150" s="463"/>
      <c r="R150" s="319"/>
      <c r="S150" s="319"/>
      <c r="T150" s="319"/>
      <c r="U150" s="319"/>
      <c r="V150" s="319"/>
      <c r="W150" s="319"/>
      <c r="X150" s="319"/>
      <c r="Y150" s="319"/>
      <c r="Z150" s="319"/>
      <c r="AA150" s="319"/>
      <c r="AB150" s="319"/>
      <c r="AC150" s="319"/>
      <c r="AD150" s="319"/>
      <c r="AE150" s="319"/>
      <c r="AF150" s="319"/>
      <c r="AG150" s="319"/>
      <c r="AH150" s="319"/>
      <c r="AI150" s="319"/>
      <c r="AJ150" s="319"/>
      <c r="AK150" s="319"/>
      <c r="AL150" s="319"/>
      <c r="AM150" s="319"/>
      <c r="AN150" s="319"/>
      <c r="AO150" s="319"/>
      <c r="AP150" s="319"/>
      <c r="AQ150" s="319"/>
      <c r="AR150" s="319"/>
      <c r="AS150" s="319"/>
      <c r="AT150" s="319"/>
      <c r="AU150" s="319"/>
      <c r="AV150" s="319"/>
      <c r="AW150" s="319"/>
      <c r="AX150" s="319"/>
      <c r="AY150" s="319"/>
      <c r="AZ150" s="319"/>
      <c r="BA150" s="319"/>
      <c r="BB150" s="319"/>
      <c r="BC150" s="319"/>
      <c r="BD150" s="319"/>
      <c r="BE150" s="319"/>
      <c r="BF150" s="319"/>
      <c r="BG150" s="319"/>
      <c r="BH150" s="319"/>
      <c r="BI150" s="319"/>
      <c r="BJ150" s="319"/>
      <c r="BK150" s="319"/>
      <c r="BL150" s="319"/>
      <c r="BM150" s="319"/>
      <c r="BN150" s="319"/>
      <c r="BO150" s="319"/>
      <c r="BP150" s="319"/>
      <c r="BQ150" s="319"/>
      <c r="BR150" s="319"/>
      <c r="BS150" s="319"/>
      <c r="BT150" s="319"/>
      <c r="BU150" s="319"/>
      <c r="BV150" s="319"/>
      <c r="BW150" s="319"/>
      <c r="BX150" s="319"/>
      <c r="BY150" s="319"/>
      <c r="BZ150" s="319"/>
      <c r="CA150" s="319"/>
      <c r="CB150" s="319"/>
      <c r="CC150" s="319"/>
      <c r="CD150" s="319"/>
      <c r="CE150" s="319"/>
      <c r="CF150" s="319"/>
      <c r="CG150" s="319"/>
      <c r="CH150" s="319"/>
      <c r="CI150" s="319"/>
      <c r="CJ150" s="319"/>
      <c r="CK150" s="319"/>
    </row>
    <row r="151" spans="1:89" ht="13.2">
      <c r="A151" s="1203" t="str">
        <f>B496</f>
        <v>Resumo</v>
      </c>
      <c r="B151" s="1204"/>
      <c r="C151" s="1074" t="s">
        <v>4190</v>
      </c>
      <c r="D151" s="1205" t="str">
        <f>G384</f>
        <v>Mostrar dado</v>
      </c>
      <c r="E151" s="1205"/>
      <c r="F151" s="1205"/>
      <c r="G151" s="1205"/>
      <c r="H151" s="1205"/>
      <c r="I151" s="1205"/>
      <c r="J151" s="1205"/>
      <c r="K151" s="1206"/>
      <c r="L151" s="8"/>
      <c r="M151" s="391" t="b">
        <v>1</v>
      </c>
      <c r="N151" s="319">
        <v>4220000</v>
      </c>
      <c r="O151" s="319"/>
      <c r="P151" s="319"/>
      <c r="Q151" s="463"/>
      <c r="R151" s="319"/>
      <c r="S151" s="319"/>
      <c r="T151" s="319"/>
      <c r="U151" s="319"/>
      <c r="V151" s="319"/>
      <c r="W151" s="319"/>
      <c r="X151" s="319"/>
      <c r="Y151" s="319"/>
      <c r="Z151" s="319"/>
      <c r="AA151" s="319"/>
      <c r="AB151" s="319"/>
      <c r="AC151" s="319"/>
      <c r="AD151" s="319"/>
      <c r="AE151" s="319"/>
      <c r="AF151" s="319"/>
      <c r="AG151" s="319"/>
      <c r="AH151" s="319"/>
      <c r="AI151" s="319"/>
      <c r="AJ151" s="319"/>
      <c r="AK151" s="319"/>
      <c r="AL151" s="319"/>
      <c r="AM151" s="319"/>
      <c r="AN151" s="319"/>
      <c r="AO151" s="319"/>
      <c r="AP151" s="319"/>
      <c r="AQ151" s="319"/>
      <c r="AR151" s="319"/>
      <c r="AS151" s="319"/>
      <c r="AT151" s="319"/>
      <c r="AU151" s="319"/>
      <c r="AV151" s="319"/>
      <c r="AW151" s="319"/>
      <c r="AX151" s="319"/>
      <c r="AY151" s="319"/>
      <c r="AZ151" s="319"/>
      <c r="BA151" s="319"/>
      <c r="BB151" s="319"/>
      <c r="BC151" s="319"/>
      <c r="BD151" s="319"/>
      <c r="BE151" s="319"/>
      <c r="BF151" s="319"/>
      <c r="BG151" s="319"/>
      <c r="BH151" s="319"/>
      <c r="BI151" s="319"/>
      <c r="BJ151" s="319"/>
      <c r="BK151" s="319"/>
      <c r="BL151" s="319"/>
      <c r="BM151" s="319"/>
      <c r="BN151" s="319"/>
      <c r="BO151" s="319"/>
      <c r="BP151" s="319"/>
      <c r="BQ151" s="319"/>
      <c r="BR151" s="319"/>
      <c r="BS151" s="319"/>
      <c r="BT151" s="319"/>
      <c r="BU151" s="319"/>
      <c r="BV151" s="319"/>
      <c r="BW151" s="319"/>
      <c r="BX151" s="319"/>
      <c r="BY151" s="319"/>
      <c r="BZ151" s="319"/>
      <c r="CA151" s="319"/>
      <c r="CB151" s="319"/>
      <c r="CC151" s="319"/>
      <c r="CD151" s="319"/>
      <c r="CE151" s="319"/>
      <c r="CF151" s="319"/>
      <c r="CG151" s="319"/>
      <c r="CH151" s="319"/>
      <c r="CI151" s="319"/>
      <c r="CJ151" s="319"/>
      <c r="CK151" s="319"/>
    </row>
    <row r="152" spans="1:89" ht="13.2">
      <c r="A152" s="12"/>
      <c r="B152" s="8"/>
      <c r="C152" s="8"/>
      <c r="D152" s="8"/>
      <c r="E152" s="8"/>
      <c r="F152" s="125"/>
      <c r="G152" s="125"/>
      <c r="H152" s="125"/>
      <c r="I152" s="8"/>
      <c r="J152" s="8"/>
      <c r="K152" s="9"/>
      <c r="L152" s="8"/>
      <c r="M152" s="851">
        <f>IF(EE1_Show3=TRUE,35,0)</f>
        <v>35</v>
      </c>
      <c r="N152" s="319">
        <v>4220000</v>
      </c>
      <c r="O152" s="319"/>
      <c r="P152" s="319"/>
      <c r="Q152" s="463"/>
      <c r="R152" s="319"/>
      <c r="S152" s="319"/>
      <c r="T152" s="319"/>
      <c r="U152" s="319"/>
      <c r="V152" s="319"/>
      <c r="W152" s="319"/>
      <c r="X152" s="319"/>
      <c r="Y152" s="319"/>
      <c r="Z152" s="319"/>
      <c r="AA152" s="319"/>
      <c r="AB152" s="319"/>
      <c r="AC152" s="319"/>
      <c r="AD152" s="319"/>
      <c r="AE152" s="319"/>
      <c r="AF152" s="319"/>
      <c r="AG152" s="319"/>
      <c r="AH152" s="319"/>
      <c r="AI152" s="319"/>
      <c r="AJ152" s="319"/>
      <c r="AK152" s="319"/>
      <c r="AL152" s="319"/>
      <c r="AM152" s="319"/>
      <c r="AN152" s="319"/>
      <c r="AO152" s="319"/>
      <c r="AP152" s="319"/>
      <c r="AQ152" s="319"/>
      <c r="AR152" s="319"/>
      <c r="AS152" s="319"/>
      <c r="AT152" s="319"/>
      <c r="AU152" s="319"/>
      <c r="AV152" s="319"/>
      <c r="AW152" s="319"/>
      <c r="AX152" s="319"/>
      <c r="AY152" s="319"/>
      <c r="AZ152" s="319"/>
      <c r="BA152" s="319"/>
      <c r="BB152" s="319"/>
      <c r="BC152" s="319"/>
      <c r="BD152" s="319"/>
      <c r="BE152" s="319"/>
      <c r="BF152" s="319"/>
      <c r="BG152" s="319"/>
      <c r="BH152" s="319"/>
      <c r="BI152" s="319"/>
      <c r="BJ152" s="319"/>
      <c r="BK152" s="319"/>
      <c r="BL152" s="319"/>
      <c r="BM152" s="319"/>
      <c r="BN152" s="319"/>
      <c r="BO152" s="319"/>
      <c r="BP152" s="319"/>
      <c r="BQ152" s="319"/>
      <c r="BR152" s="319"/>
      <c r="BS152" s="319"/>
      <c r="BT152" s="319"/>
      <c r="BU152" s="319"/>
      <c r="BV152" s="319"/>
      <c r="BW152" s="319"/>
      <c r="BX152" s="319"/>
      <c r="BY152" s="319"/>
      <c r="BZ152" s="319"/>
      <c r="CA152" s="319"/>
      <c r="CB152" s="319"/>
      <c r="CC152" s="319"/>
      <c r="CD152" s="319"/>
      <c r="CE152" s="319"/>
      <c r="CF152" s="319"/>
      <c r="CG152" s="319"/>
      <c r="CH152" s="319"/>
      <c r="CI152" s="319"/>
      <c r="CJ152" s="319"/>
      <c r="CK152" s="319"/>
    </row>
    <row r="153" spans="1:89" ht="13.2">
      <c r="A153" s="12"/>
      <c r="B153" s="8"/>
      <c r="C153" s="1221" t="str">
        <f>B6</f>
        <v>Combustível</v>
      </c>
      <c r="D153" s="1222"/>
      <c r="E153" s="1221" t="str">
        <f>D221</f>
        <v>Caso de referência</v>
      </c>
      <c r="F153" s="1222"/>
      <c r="G153" s="1221" t="str">
        <f>E221</f>
        <v>Caso proposto</v>
      </c>
      <c r="H153" s="1222"/>
      <c r="I153" s="1223" t="str">
        <f>Language!C2382</f>
        <v>Economia - custo de combustível</v>
      </c>
      <c r="J153" s="1222"/>
      <c r="K153" s="9"/>
      <c r="L153" s="1"/>
      <c r="M153" s="851"/>
      <c r="N153" s="319">
        <v>4220004</v>
      </c>
      <c r="O153" s="319"/>
      <c r="P153" s="319"/>
      <c r="Q153" s="319"/>
      <c r="R153" s="319"/>
      <c r="S153" s="319"/>
      <c r="T153" s="319"/>
      <c r="U153" s="319"/>
      <c r="V153" s="319"/>
      <c r="W153" s="319"/>
      <c r="X153" s="319"/>
      <c r="Y153" s="319"/>
      <c r="Z153" s="319"/>
      <c r="AA153" s="319"/>
      <c r="AB153" s="319"/>
      <c r="AC153" s="319"/>
      <c r="AD153" s="319"/>
      <c r="AE153" s="319"/>
      <c r="AF153" s="319"/>
      <c r="AG153" s="319"/>
      <c r="AH153" s="319"/>
      <c r="AI153" s="319"/>
      <c r="AJ153" s="319"/>
      <c r="AK153" s="319"/>
      <c r="AL153" s="319"/>
      <c r="AM153" s="319"/>
      <c r="AN153" s="319"/>
      <c r="AO153" s="319"/>
      <c r="AP153" s="319"/>
      <c r="AQ153" s="319"/>
      <c r="AR153" s="319"/>
      <c r="AS153" s="319"/>
      <c r="AT153" s="319"/>
      <c r="AU153" s="319"/>
      <c r="AV153" s="319"/>
      <c r="AW153" s="319"/>
      <c r="AX153" s="319"/>
      <c r="AY153" s="319"/>
      <c r="AZ153" s="319"/>
      <c r="BA153" s="319"/>
      <c r="BB153" s="319"/>
      <c r="BC153" s="319"/>
      <c r="BD153" s="319"/>
      <c r="BE153" s="319"/>
      <c r="BF153" s="319"/>
      <c r="BG153" s="319"/>
      <c r="BH153" s="319"/>
      <c r="BI153" s="319"/>
      <c r="BJ153" s="319"/>
      <c r="BK153" s="319"/>
      <c r="BL153" s="319"/>
      <c r="BM153" s="319"/>
      <c r="BN153" s="319"/>
      <c r="BO153" s="319"/>
      <c r="BP153" s="319"/>
      <c r="BQ153" s="319"/>
      <c r="BR153" s="319"/>
      <c r="BS153" s="319"/>
      <c r="BT153" s="319"/>
      <c r="BU153" s="319"/>
      <c r="BV153" s="319"/>
      <c r="BW153" s="319"/>
      <c r="BX153" s="319"/>
      <c r="BY153" s="319"/>
      <c r="BZ153" s="319"/>
      <c r="CA153" s="319"/>
      <c r="CB153" s="319"/>
      <c r="CC153" s="319"/>
      <c r="CD153" s="319"/>
      <c r="CE153" s="319"/>
      <c r="CF153" s="319"/>
      <c r="CG153" s="319"/>
      <c r="CH153" s="319"/>
      <c r="CI153" s="319"/>
      <c r="CJ153" s="319"/>
      <c r="CK153" s="319"/>
    </row>
    <row r="154" spans="1:89" ht="38.25" customHeight="1">
      <c r="A154" s="12"/>
      <c r="B154" s="49" t="str">
        <f>$B$801</f>
        <v>Tipo de Combustível</v>
      </c>
      <c r="C154" s="142" t="str">
        <f>B8</f>
        <v>Consumo de combustível - unitário</v>
      </c>
      <c r="D154" s="142" t="str">
        <f>$B$804</f>
        <v>Preço do combustível</v>
      </c>
      <c r="E154" s="142" t="str">
        <f>Q174</f>
        <v>Consumo de combustível</v>
      </c>
      <c r="F154" s="142" t="str">
        <f>B805</f>
        <v>Custo do combustível</v>
      </c>
      <c r="G154" s="142" t="str">
        <f>$E$154</f>
        <v>Consumo de combustível</v>
      </c>
      <c r="H154" s="142" t="str">
        <f>$F$154</f>
        <v>Custo do combustível</v>
      </c>
      <c r="I154" s="142" t="str">
        <f>S36</f>
        <v>Economia de combustível</v>
      </c>
      <c r="J154" s="142" t="str">
        <f>I153</f>
        <v>Economia - custo de combustível</v>
      </c>
      <c r="K154" s="9"/>
      <c r="L154" s="1"/>
      <c r="M154" s="851"/>
      <c r="N154" s="319">
        <v>4220004</v>
      </c>
      <c r="O154" s="319"/>
      <c r="P154" s="319"/>
      <c r="Q154" s="319"/>
      <c r="R154" s="319"/>
      <c r="S154" s="319"/>
      <c r="T154" s="319"/>
      <c r="U154" s="319"/>
      <c r="V154" s="319"/>
      <c r="W154" s="319"/>
      <c r="X154" s="319"/>
      <c r="Y154" s="319"/>
      <c r="Z154" s="1080"/>
      <c r="AA154" s="319"/>
      <c r="AB154" s="319"/>
      <c r="AC154" s="319"/>
      <c r="AD154" s="319"/>
      <c r="AE154" s="319"/>
      <c r="AF154" s="319"/>
      <c r="AG154" s="319"/>
      <c r="AH154" s="319"/>
      <c r="AI154" s="319"/>
      <c r="AJ154" s="319"/>
      <c r="AK154" s="319"/>
      <c r="AL154" s="319"/>
      <c r="AM154" s="319"/>
      <c r="AN154" s="319"/>
      <c r="AO154" s="319"/>
      <c r="AP154" s="319"/>
      <c r="AQ154" s="319"/>
      <c r="AR154" s="319"/>
      <c r="AS154" s="319"/>
      <c r="AT154" s="319"/>
      <c r="AU154" s="319"/>
      <c r="AV154" s="319"/>
      <c r="AW154" s="319"/>
      <c r="AX154" s="319"/>
      <c r="AY154" s="319"/>
      <c r="AZ154" s="319"/>
      <c r="BA154" s="319"/>
      <c r="BB154" s="319"/>
      <c r="BC154" s="319"/>
      <c r="BD154" s="319"/>
      <c r="BE154" s="319"/>
      <c r="BF154" s="319"/>
      <c r="BG154" s="319"/>
      <c r="BH154" s="319"/>
      <c r="BI154" s="319"/>
      <c r="BJ154" s="319"/>
      <c r="BK154" s="319"/>
      <c r="BL154" s="319"/>
      <c r="BM154" s="319"/>
      <c r="BN154" s="319"/>
      <c r="BO154" s="319"/>
      <c r="BP154" s="319"/>
      <c r="BQ154" s="319"/>
      <c r="BR154" s="319"/>
      <c r="BS154" s="319"/>
      <c r="BT154" s="319"/>
      <c r="BU154" s="319"/>
      <c r="BV154" s="319"/>
      <c r="BW154" s="319"/>
      <c r="BX154" s="319"/>
      <c r="BY154" s="319"/>
      <c r="BZ154" s="319"/>
      <c r="CA154" s="319"/>
      <c r="CB154" s="319"/>
      <c r="CC154" s="319"/>
      <c r="CD154" s="319"/>
      <c r="CE154" s="319"/>
      <c r="CF154" s="319"/>
      <c r="CG154" s="319"/>
      <c r="CH154" s="319"/>
      <c r="CI154" s="319"/>
      <c r="CJ154" s="319"/>
      <c r="CK154" s="319"/>
    </row>
    <row r="155" spans="1:89" ht="13.2" hidden="1">
      <c r="A155" s="12"/>
      <c r="B155" s="527" t="str">
        <f>VLOOKUP(E$7,LN_FuelList,2,FALSE)</f>
        <v>Eletricidade</v>
      </c>
      <c r="C155" s="292" t="str">
        <f>E8</f>
        <v>MWh</v>
      </c>
      <c r="D155" s="1366">
        <f>IF(B155=$F$1098,1000,1)*EET!K3</f>
        <v>0</v>
      </c>
      <c r="E155" s="293">
        <f>IF(ISERROR(EET!U3),0,EET!U3)</f>
        <v>0</v>
      </c>
      <c r="F155" s="1349">
        <f t="shared" ref="F155:F160" si="7">IF(ISERROR(D155*E155),0,D155*E155)</f>
        <v>0</v>
      </c>
      <c r="G155" s="293">
        <f>IF(ISERROR(EET!V3),0,EET!V3)</f>
        <v>0</v>
      </c>
      <c r="H155" s="1349">
        <f t="shared" ref="H155:H160" si="8">IF(ISERROR(D155*G155),0,D155*G155)</f>
        <v>0</v>
      </c>
      <c r="I155" s="293">
        <f t="shared" ref="I155:J160" si="9">E155-G155</f>
        <v>0</v>
      </c>
      <c r="J155" s="1349">
        <f t="shared" si="9"/>
        <v>0</v>
      </c>
      <c r="K155" s="9"/>
      <c r="L155" s="1"/>
      <c r="M155" s="319">
        <f t="shared" ref="M155:M160" si="10">IF(ABS(E155)+ABS(G155)=0,0,1)</f>
        <v>0</v>
      </c>
      <c r="N155" s="319">
        <v>4220004</v>
      </c>
      <c r="O155" s="319"/>
      <c r="P155" s="319"/>
      <c r="Q155" s="556"/>
      <c r="R155" s="319"/>
      <c r="S155" s="319"/>
      <c r="T155" s="319"/>
      <c r="U155" s="319"/>
      <c r="V155" s="319"/>
      <c r="W155" s="319"/>
      <c r="X155" s="319"/>
      <c r="Y155" s="319"/>
      <c r="Z155" s="319"/>
      <c r="AA155" s="319"/>
      <c r="AB155" s="319"/>
      <c r="AC155" s="319"/>
      <c r="AD155" s="319"/>
      <c r="AE155" s="319"/>
      <c r="AF155" s="319"/>
      <c r="AG155" s="319"/>
      <c r="AH155" s="319"/>
      <c r="AI155" s="319"/>
      <c r="AJ155" s="319"/>
      <c r="AK155" s="319"/>
      <c r="AL155" s="319"/>
      <c r="AM155" s="319"/>
      <c r="AN155" s="319"/>
      <c r="AO155" s="319"/>
      <c r="AP155" s="319"/>
      <c r="AQ155" s="319"/>
      <c r="AR155" s="319"/>
      <c r="AS155" s="319"/>
      <c r="AT155" s="319"/>
      <c r="AU155" s="319"/>
      <c r="AV155" s="319"/>
      <c r="AW155" s="319"/>
      <c r="AX155" s="319"/>
      <c r="AY155" s="319"/>
      <c r="AZ155" s="319"/>
      <c r="BA155" s="319"/>
      <c r="BB155" s="319"/>
      <c r="BC155" s="319"/>
      <c r="BD155" s="319"/>
      <c r="BE155" s="319"/>
      <c r="BF155" s="319"/>
      <c r="BG155" s="319"/>
      <c r="BH155" s="319"/>
      <c r="BI155" s="319"/>
      <c r="BJ155" s="319"/>
      <c r="BK155" s="319"/>
      <c r="BL155" s="319"/>
      <c r="BM155" s="319"/>
      <c r="BN155" s="319"/>
      <c r="BO155" s="319"/>
      <c r="BP155" s="319"/>
      <c r="BQ155" s="319"/>
      <c r="BR155" s="319"/>
      <c r="BS155" s="319"/>
      <c r="BT155" s="319"/>
      <c r="BU155" s="319"/>
      <c r="BV155" s="319"/>
      <c r="BW155" s="319"/>
      <c r="BX155" s="319"/>
      <c r="BY155" s="319"/>
      <c r="BZ155" s="319"/>
      <c r="CA155" s="319"/>
      <c r="CB155" s="319"/>
      <c r="CC155" s="319"/>
      <c r="CD155" s="319"/>
      <c r="CE155" s="319"/>
      <c r="CF155" s="319"/>
      <c r="CG155" s="319"/>
      <c r="CH155" s="319"/>
      <c r="CI155" s="319"/>
      <c r="CJ155" s="319"/>
      <c r="CK155" s="319"/>
    </row>
    <row r="156" spans="1:89" ht="13.2" hidden="1">
      <c r="A156" s="12"/>
      <c r="B156" s="527" t="e">
        <f>VLOOKUP(F$7,LN_FuelList,2,FALSE)</f>
        <v>#N/A</v>
      </c>
      <c r="C156" s="292" t="e">
        <f>F8</f>
        <v>#N/A</v>
      </c>
      <c r="D156" s="1366" t="e">
        <f>IF(B156=$F$1098,1000,1)*EET!K4</f>
        <v>#N/A</v>
      </c>
      <c r="E156" s="293">
        <f>IF(ISERROR(EET!U4),0,EET!U4)</f>
        <v>0</v>
      </c>
      <c r="F156" s="1349">
        <f t="shared" si="7"/>
        <v>0</v>
      </c>
      <c r="G156" s="293">
        <f>IF(ISERROR(EET!V4),0,EET!V4)</f>
        <v>0</v>
      </c>
      <c r="H156" s="1349">
        <f t="shared" si="8"/>
        <v>0</v>
      </c>
      <c r="I156" s="293">
        <f t="shared" si="9"/>
        <v>0</v>
      </c>
      <c r="J156" s="1349">
        <f t="shared" si="9"/>
        <v>0</v>
      </c>
      <c r="K156" s="9"/>
      <c r="L156" s="1"/>
      <c r="M156" s="319">
        <f t="shared" si="10"/>
        <v>0</v>
      </c>
      <c r="N156" s="319">
        <v>4220004</v>
      </c>
      <c r="O156" s="319"/>
      <c r="P156" s="319"/>
      <c r="Q156" s="556"/>
      <c r="R156" s="319"/>
      <c r="S156" s="319"/>
      <c r="T156" s="319"/>
      <c r="U156" s="319"/>
      <c r="V156" s="319"/>
      <c r="W156" s="319"/>
      <c r="X156" s="319"/>
      <c r="Y156" s="319"/>
      <c r="Z156" s="319"/>
      <c r="AA156" s="319"/>
      <c r="AB156" s="319"/>
      <c r="AC156" s="319"/>
      <c r="AD156" s="319"/>
      <c r="AE156" s="319"/>
      <c r="AF156" s="319"/>
      <c r="AG156" s="319"/>
      <c r="AH156" s="319"/>
      <c r="AI156" s="319"/>
      <c r="AJ156" s="319"/>
      <c r="AK156" s="319"/>
      <c r="AL156" s="319"/>
      <c r="AM156" s="319"/>
      <c r="AN156" s="319"/>
      <c r="AO156" s="319"/>
      <c r="AP156" s="319"/>
      <c r="AQ156" s="319"/>
      <c r="AR156" s="319"/>
      <c r="AS156" s="319"/>
      <c r="AT156" s="319"/>
      <c r="AU156" s="319"/>
      <c r="AV156" s="319"/>
      <c r="AW156" s="319"/>
      <c r="AX156" s="319"/>
      <c r="AY156" s="319"/>
      <c r="AZ156" s="319"/>
      <c r="BA156" s="319"/>
      <c r="BB156" s="319"/>
      <c r="BC156" s="319"/>
      <c r="BD156" s="319"/>
      <c r="BE156" s="319"/>
      <c r="BF156" s="319"/>
      <c r="BG156" s="319"/>
      <c r="BH156" s="319"/>
      <c r="BI156" s="319"/>
      <c r="BJ156" s="319"/>
      <c r="BK156" s="319"/>
      <c r="BL156" s="319"/>
      <c r="BM156" s="319"/>
      <c r="BN156" s="319"/>
      <c r="BO156" s="319"/>
      <c r="BP156" s="319"/>
      <c r="BQ156" s="319"/>
      <c r="BR156" s="319"/>
      <c r="BS156" s="319"/>
      <c r="BT156" s="319"/>
      <c r="BU156" s="319"/>
      <c r="BV156" s="319"/>
      <c r="BW156" s="319"/>
      <c r="BX156" s="319"/>
      <c r="BY156" s="319"/>
      <c r="BZ156" s="319"/>
      <c r="CA156" s="319"/>
      <c r="CB156" s="319"/>
      <c r="CC156" s="319"/>
      <c r="CD156" s="319"/>
      <c r="CE156" s="319"/>
      <c r="CF156" s="319"/>
      <c r="CG156" s="319"/>
      <c r="CH156" s="319"/>
      <c r="CI156" s="319"/>
      <c r="CJ156" s="319"/>
      <c r="CK156" s="319"/>
    </row>
    <row r="157" spans="1:89" ht="13.2" hidden="1">
      <c r="A157" s="12"/>
      <c r="B157" s="527" t="e">
        <f>VLOOKUP(G$7,LN_FuelList,2,FALSE)</f>
        <v>#N/A</v>
      </c>
      <c r="C157" s="292" t="e">
        <f>G8</f>
        <v>#N/A</v>
      </c>
      <c r="D157" s="1366" t="e">
        <f>IF(B157=$F$1098,1000,1)*EET!K5</f>
        <v>#N/A</v>
      </c>
      <c r="E157" s="293">
        <f>IF(ISERROR(EET!U5),0,EET!U5)</f>
        <v>0</v>
      </c>
      <c r="F157" s="1349">
        <f t="shared" si="7"/>
        <v>0</v>
      </c>
      <c r="G157" s="293">
        <f>IF(ISERROR(EET!V5),0,EET!V5)</f>
        <v>0</v>
      </c>
      <c r="H157" s="1349">
        <f t="shared" si="8"/>
        <v>0</v>
      </c>
      <c r="I157" s="293">
        <f t="shared" si="9"/>
        <v>0</v>
      </c>
      <c r="J157" s="1349">
        <f t="shared" si="9"/>
        <v>0</v>
      </c>
      <c r="K157" s="9"/>
      <c r="L157" s="1"/>
      <c r="M157" s="319">
        <f t="shared" si="10"/>
        <v>0</v>
      </c>
      <c r="N157" s="319">
        <v>4220004</v>
      </c>
      <c r="O157" s="319"/>
      <c r="P157" s="319"/>
      <c r="Q157" s="319"/>
      <c r="R157" s="319"/>
      <c r="S157" s="319"/>
      <c r="T157" s="319"/>
      <c r="U157" s="319"/>
      <c r="V157" s="319"/>
      <c r="W157" s="319"/>
      <c r="X157" s="319"/>
      <c r="Y157" s="319"/>
      <c r="Z157" s="319"/>
      <c r="AA157" s="319"/>
      <c r="AB157" s="319"/>
      <c r="AC157" s="319"/>
      <c r="AD157" s="319"/>
      <c r="AE157" s="319"/>
      <c r="AF157" s="319"/>
      <c r="AG157" s="319"/>
      <c r="AH157" s="319"/>
      <c r="AI157" s="319"/>
      <c r="AJ157" s="319"/>
      <c r="AK157" s="319"/>
      <c r="AL157" s="319"/>
      <c r="AM157" s="319"/>
      <c r="AN157" s="319"/>
      <c r="AO157" s="319"/>
      <c r="AP157" s="319"/>
      <c r="AQ157" s="319"/>
      <c r="AR157" s="319"/>
      <c r="AS157" s="319"/>
      <c r="AT157" s="319"/>
      <c r="AU157" s="319"/>
      <c r="AV157" s="319"/>
      <c r="AW157" s="319"/>
      <c r="AX157" s="319"/>
      <c r="AY157" s="319"/>
      <c r="AZ157" s="319"/>
      <c r="BA157" s="319"/>
      <c r="BB157" s="319"/>
      <c r="BC157" s="319"/>
      <c r="BD157" s="319"/>
      <c r="BE157" s="319"/>
      <c r="BF157" s="319"/>
      <c r="BG157" s="319"/>
      <c r="BH157" s="319"/>
      <c r="BI157" s="319"/>
      <c r="BJ157" s="319"/>
      <c r="BK157" s="319"/>
      <c r="BL157" s="319"/>
      <c r="BM157" s="319"/>
      <c r="BN157" s="319"/>
      <c r="BO157" s="319"/>
      <c r="BP157" s="319"/>
      <c r="BQ157" s="319"/>
      <c r="BR157" s="319"/>
      <c r="BS157" s="319"/>
      <c r="BT157" s="319"/>
      <c r="BU157" s="319"/>
      <c r="BV157" s="319"/>
      <c r="BW157" s="319"/>
      <c r="BX157" s="319"/>
      <c r="BY157" s="319"/>
      <c r="BZ157" s="319"/>
      <c r="CA157" s="319"/>
      <c r="CB157" s="319"/>
      <c r="CC157" s="319"/>
      <c r="CD157" s="319"/>
      <c r="CE157" s="319"/>
      <c r="CF157" s="319"/>
      <c r="CG157" s="319"/>
      <c r="CH157" s="319"/>
      <c r="CI157" s="319"/>
      <c r="CJ157" s="319"/>
      <c r="CK157" s="319"/>
    </row>
    <row r="158" spans="1:89" ht="13.2" hidden="1">
      <c r="A158" s="12"/>
      <c r="B158" s="527" t="e">
        <f>VLOOKUP(H$7,LN_FuelList,2,FALSE)</f>
        <v>#N/A</v>
      </c>
      <c r="C158" s="292" t="e">
        <f>H8</f>
        <v>#N/A</v>
      </c>
      <c r="D158" s="1366" t="e">
        <f>IF(B158=$F$1098,1000,1)*EET!K6</f>
        <v>#N/A</v>
      </c>
      <c r="E158" s="293">
        <f>IF(ISERROR(EET!U6),0,EET!U6)</f>
        <v>0</v>
      </c>
      <c r="F158" s="1349">
        <f t="shared" si="7"/>
        <v>0</v>
      </c>
      <c r="G158" s="293">
        <f>IF(ISERROR(EET!V6),0,EET!V6)</f>
        <v>0</v>
      </c>
      <c r="H158" s="1349">
        <f t="shared" si="8"/>
        <v>0</v>
      </c>
      <c r="I158" s="293">
        <f t="shared" si="9"/>
        <v>0</v>
      </c>
      <c r="J158" s="1349">
        <f t="shared" si="9"/>
        <v>0</v>
      </c>
      <c r="K158" s="9"/>
      <c r="L158" s="1"/>
      <c r="M158" s="319">
        <f t="shared" si="10"/>
        <v>0</v>
      </c>
      <c r="N158" s="319">
        <v>4220004</v>
      </c>
      <c r="O158" s="319"/>
      <c r="P158" s="319"/>
      <c r="Q158" s="319"/>
      <c r="R158" s="319"/>
      <c r="S158" s="319"/>
      <c r="T158" s="319"/>
      <c r="U158" s="319"/>
      <c r="V158" s="319"/>
      <c r="W158" s="319"/>
      <c r="X158" s="319"/>
      <c r="Y158" s="319"/>
      <c r="Z158" s="319"/>
      <c r="AA158" s="319"/>
      <c r="AB158" s="319"/>
      <c r="AC158" s="319"/>
      <c r="AD158" s="319"/>
      <c r="AE158" s="319"/>
      <c r="AF158" s="319"/>
      <c r="AG158" s="319"/>
      <c r="AH158" s="319"/>
      <c r="AI158" s="319"/>
      <c r="AJ158" s="319"/>
      <c r="AK158" s="319"/>
      <c r="AL158" s="319"/>
      <c r="AM158" s="319"/>
      <c r="AN158" s="319"/>
      <c r="AO158" s="319"/>
      <c r="AP158" s="319"/>
      <c r="AQ158" s="319"/>
      <c r="AR158" s="319"/>
      <c r="AS158" s="319"/>
      <c r="AT158" s="319"/>
      <c r="AU158" s="319"/>
      <c r="AV158" s="319"/>
      <c r="AW158" s="319"/>
      <c r="AX158" s="319"/>
      <c r="AY158" s="319"/>
      <c r="AZ158" s="319"/>
      <c r="BA158" s="319"/>
      <c r="BB158" s="319"/>
      <c r="BC158" s="319"/>
      <c r="BD158" s="319"/>
      <c r="BE158" s="319"/>
      <c r="BF158" s="319"/>
      <c r="BG158" s="319"/>
      <c r="BH158" s="319"/>
      <c r="BI158" s="319"/>
      <c r="BJ158" s="319"/>
      <c r="BK158" s="319"/>
      <c r="BL158" s="319"/>
      <c r="BM158" s="319"/>
      <c r="BN158" s="319"/>
      <c r="BO158" s="319"/>
      <c r="BP158" s="319"/>
      <c r="BQ158" s="319"/>
      <c r="BR158" s="319"/>
      <c r="BS158" s="319"/>
      <c r="BT158" s="319"/>
      <c r="BU158" s="319"/>
      <c r="BV158" s="319"/>
      <c r="BW158" s="319"/>
      <c r="BX158" s="319"/>
      <c r="BY158" s="319"/>
      <c r="BZ158" s="319"/>
      <c r="CA158" s="319"/>
      <c r="CB158" s="319"/>
      <c r="CC158" s="319"/>
      <c r="CD158" s="319"/>
      <c r="CE158" s="319"/>
      <c r="CF158" s="319"/>
      <c r="CG158" s="319"/>
      <c r="CH158" s="319"/>
      <c r="CI158" s="319"/>
      <c r="CJ158" s="319"/>
      <c r="CK158" s="319"/>
    </row>
    <row r="159" spans="1:89" ht="13.2" hidden="1">
      <c r="A159" s="12"/>
      <c r="B159" s="527" t="e">
        <f>VLOOKUP(I$7,LN_FuelList,2,FALSE)</f>
        <v>#N/A</v>
      </c>
      <c r="C159" s="292" t="e">
        <f>I8</f>
        <v>#N/A</v>
      </c>
      <c r="D159" s="1366" t="e">
        <f>IF(B159=$F$1098,1000,1)*EET!K7</f>
        <v>#N/A</v>
      </c>
      <c r="E159" s="293">
        <f>IF(ISERROR(EET!U7),0,EET!U7)</f>
        <v>0</v>
      </c>
      <c r="F159" s="1349">
        <f t="shared" si="7"/>
        <v>0</v>
      </c>
      <c r="G159" s="293">
        <f>IF(ISERROR(EET!V7),0,EET!V7)</f>
        <v>0</v>
      </c>
      <c r="H159" s="1349">
        <f t="shared" si="8"/>
        <v>0</v>
      </c>
      <c r="I159" s="293">
        <f t="shared" si="9"/>
        <v>0</v>
      </c>
      <c r="J159" s="1349">
        <f t="shared" si="9"/>
        <v>0</v>
      </c>
      <c r="K159" s="9"/>
      <c r="L159" s="1"/>
      <c r="M159" s="319">
        <f t="shared" si="10"/>
        <v>0</v>
      </c>
      <c r="N159" s="319">
        <v>4220004</v>
      </c>
      <c r="O159" s="319"/>
      <c r="P159" s="319"/>
      <c r="Q159" s="319"/>
      <c r="R159" s="319"/>
      <c r="S159" s="319"/>
      <c r="T159" s="319"/>
      <c r="U159" s="319"/>
      <c r="V159" s="319"/>
      <c r="W159" s="319"/>
      <c r="X159" s="319"/>
      <c r="Y159" s="319"/>
      <c r="Z159" s="319"/>
      <c r="AA159" s="319"/>
      <c r="AB159" s="319"/>
      <c r="AC159" s="319"/>
      <c r="AD159" s="319"/>
      <c r="AE159" s="319"/>
      <c r="AF159" s="319"/>
      <c r="AG159" s="319"/>
      <c r="AH159" s="319"/>
      <c r="AI159" s="319"/>
      <c r="AJ159" s="319"/>
      <c r="AK159" s="319"/>
      <c r="AL159" s="319"/>
      <c r="AM159" s="319"/>
      <c r="AN159" s="319"/>
      <c r="AO159" s="319"/>
      <c r="AP159" s="319"/>
      <c r="AQ159" s="319"/>
      <c r="AR159" s="319"/>
      <c r="AS159" s="319"/>
      <c r="AT159" s="319"/>
      <c r="AU159" s="319"/>
      <c r="AV159" s="319"/>
      <c r="AW159" s="319"/>
      <c r="AX159" s="319"/>
      <c r="AY159" s="319"/>
      <c r="AZ159" s="319"/>
      <c r="BA159" s="319"/>
      <c r="BB159" s="319"/>
      <c r="BC159" s="319"/>
      <c r="BD159" s="319"/>
      <c r="BE159" s="319"/>
      <c r="BF159" s="319"/>
      <c r="BG159" s="319"/>
      <c r="BH159" s="319"/>
      <c r="BI159" s="319"/>
      <c r="BJ159" s="319"/>
      <c r="BK159" s="319"/>
      <c r="BL159" s="319"/>
      <c r="BM159" s="319"/>
      <c r="BN159" s="319"/>
      <c r="BO159" s="319"/>
      <c r="BP159" s="319"/>
      <c r="BQ159" s="319"/>
      <c r="BR159" s="319"/>
      <c r="BS159" s="319"/>
      <c r="BT159" s="319"/>
      <c r="BU159" s="319"/>
      <c r="BV159" s="319"/>
      <c r="BW159" s="319"/>
      <c r="BX159" s="319"/>
      <c r="BY159" s="319"/>
      <c r="BZ159" s="319"/>
      <c r="CA159" s="319"/>
      <c r="CB159" s="319"/>
      <c r="CC159" s="319"/>
      <c r="CD159" s="319"/>
      <c r="CE159" s="319"/>
      <c r="CF159" s="319"/>
      <c r="CG159" s="319"/>
      <c r="CH159" s="319"/>
      <c r="CI159" s="319"/>
      <c r="CJ159" s="319"/>
      <c r="CK159" s="319"/>
    </row>
    <row r="160" spans="1:89" ht="13.2" hidden="1">
      <c r="A160" s="12"/>
      <c r="B160" s="527" t="e">
        <f>VLOOKUP(J$7,LN_FuelList,2,FALSE)</f>
        <v>#N/A</v>
      </c>
      <c r="C160" s="292" t="e">
        <f>J8</f>
        <v>#N/A</v>
      </c>
      <c r="D160" s="1366" t="e">
        <f>IF(B160=$F$1098,1000,1)*EET!K8</f>
        <v>#N/A</v>
      </c>
      <c r="E160" s="293">
        <f>IF(ISERROR(EET!U8),0,EET!U8)</f>
        <v>0</v>
      </c>
      <c r="F160" s="1349">
        <f t="shared" si="7"/>
        <v>0</v>
      </c>
      <c r="G160" s="293">
        <f>IF(ISERROR(EET!V8),0,EET!V8)</f>
        <v>0</v>
      </c>
      <c r="H160" s="1349">
        <f t="shared" si="8"/>
        <v>0</v>
      </c>
      <c r="I160" s="293">
        <f t="shared" si="9"/>
        <v>0</v>
      </c>
      <c r="J160" s="1349">
        <f t="shared" si="9"/>
        <v>0</v>
      </c>
      <c r="K160" s="9"/>
      <c r="L160" s="1"/>
      <c r="M160" s="319">
        <f t="shared" si="10"/>
        <v>0</v>
      </c>
      <c r="N160" s="319">
        <v>4220004</v>
      </c>
      <c r="O160" s="319"/>
      <c r="P160" s="319"/>
      <c r="Q160" s="319"/>
      <c r="R160" s="319"/>
      <c r="S160" s="319"/>
      <c r="T160" s="319"/>
      <c r="U160" s="319"/>
      <c r="V160" s="319"/>
      <c r="W160" s="319"/>
      <c r="X160" s="319"/>
      <c r="Y160" s="319"/>
      <c r="Z160" s="319"/>
      <c r="AA160" s="319"/>
      <c r="AB160" s="319"/>
      <c r="AC160" s="319"/>
      <c r="AD160" s="319"/>
      <c r="AE160" s="319"/>
      <c r="AF160" s="319"/>
      <c r="AG160" s="319"/>
      <c r="AH160" s="319"/>
      <c r="AI160" s="319"/>
      <c r="AJ160" s="319"/>
      <c r="AK160" s="319"/>
      <c r="AL160" s="319"/>
      <c r="AM160" s="319"/>
      <c r="AN160" s="319"/>
      <c r="AO160" s="319"/>
      <c r="AP160" s="319"/>
      <c r="AQ160" s="319"/>
      <c r="AR160" s="319"/>
      <c r="AS160" s="319"/>
      <c r="AT160" s="319"/>
      <c r="AU160" s="319"/>
      <c r="AV160" s="319"/>
      <c r="AW160" s="319"/>
      <c r="AX160" s="319"/>
      <c r="AY160" s="319"/>
      <c r="AZ160" s="319"/>
      <c r="BA160" s="319"/>
      <c r="BB160" s="319"/>
      <c r="BC160" s="319"/>
      <c r="BD160" s="319"/>
      <c r="BE160" s="319"/>
      <c r="BF160" s="319"/>
      <c r="BG160" s="319"/>
      <c r="BH160" s="319"/>
      <c r="BI160" s="319"/>
      <c r="BJ160" s="319"/>
      <c r="BK160" s="319"/>
      <c r="BL160" s="319"/>
      <c r="BM160" s="319"/>
      <c r="BN160" s="319"/>
      <c r="BO160" s="319"/>
      <c r="BP160" s="319"/>
      <c r="BQ160" s="319"/>
      <c r="BR160" s="319"/>
      <c r="BS160" s="319"/>
      <c r="BT160" s="319"/>
      <c r="BU160" s="319"/>
      <c r="BV160" s="319"/>
      <c r="BW160" s="319"/>
      <c r="BX160" s="319"/>
      <c r="BY160" s="319"/>
      <c r="BZ160" s="319"/>
      <c r="CA160" s="319"/>
      <c r="CB160" s="319"/>
      <c r="CC160" s="319"/>
      <c r="CD160" s="319"/>
      <c r="CE160" s="319"/>
      <c r="CF160" s="319"/>
      <c r="CG160" s="319"/>
      <c r="CH160" s="319"/>
      <c r="CI160" s="319"/>
      <c r="CJ160" s="319"/>
      <c r="CK160" s="319"/>
    </row>
    <row r="161" spans="1:89" ht="13.2" hidden="1">
      <c r="A161" s="12"/>
      <c r="B161" s="528" t="str">
        <f>B148</f>
        <v>Total</v>
      </c>
      <c r="C161" s="296"/>
      <c r="D161" s="297"/>
      <c r="E161" s="298"/>
      <c r="F161" s="1365">
        <f>SUM(F155:F160)</f>
        <v>0</v>
      </c>
      <c r="G161" s="298"/>
      <c r="H161" s="1365">
        <f>SUM(H155:H160)</f>
        <v>0</v>
      </c>
      <c r="I161" s="298"/>
      <c r="J161" s="1365">
        <f>SUM(J155:J160)</f>
        <v>0</v>
      </c>
      <c r="K161" s="9"/>
      <c r="L161" s="1"/>
      <c r="M161" s="319">
        <f>IF(SUM(M156:M160)&gt;=1,1,0)</f>
        <v>0</v>
      </c>
      <c r="N161" s="319">
        <v>4220004</v>
      </c>
      <c r="O161" s="319"/>
      <c r="P161" s="319"/>
      <c r="Q161" s="319"/>
      <c r="R161" s="319"/>
      <c r="S161" s="319"/>
      <c r="T161" s="319"/>
      <c r="U161" s="319"/>
      <c r="V161" s="319"/>
      <c r="W161" s="319"/>
      <c r="X161" s="319"/>
      <c r="Y161" s="319"/>
      <c r="Z161" s="319"/>
      <c r="AA161" s="319"/>
      <c r="AB161" s="319"/>
      <c r="AC161" s="319"/>
      <c r="AD161" s="319"/>
      <c r="AE161" s="319"/>
      <c r="AF161" s="319"/>
      <c r="AG161" s="319"/>
      <c r="AH161" s="319"/>
      <c r="AI161" s="319"/>
      <c r="AJ161" s="319"/>
      <c r="AK161" s="319"/>
      <c r="AL161" s="319"/>
      <c r="AM161" s="319"/>
      <c r="AN161" s="319"/>
      <c r="AO161" s="319"/>
      <c r="AP161" s="319"/>
      <c r="AQ161" s="319"/>
      <c r="AR161" s="319"/>
      <c r="AS161" s="319"/>
      <c r="AT161" s="319"/>
      <c r="AU161" s="319"/>
      <c r="AV161" s="319"/>
      <c r="AW161" s="319"/>
      <c r="AX161" s="319"/>
      <c r="AY161" s="319"/>
      <c r="AZ161" s="319"/>
      <c r="BA161" s="319"/>
      <c r="BB161" s="319"/>
      <c r="BC161" s="319"/>
      <c r="BD161" s="319"/>
      <c r="BE161" s="319"/>
      <c r="BF161" s="319"/>
      <c r="BG161" s="319"/>
      <c r="BH161" s="319"/>
      <c r="BI161" s="319"/>
      <c r="BJ161" s="319"/>
      <c r="BK161" s="319"/>
      <c r="BL161" s="319"/>
      <c r="BM161" s="319"/>
      <c r="BN161" s="319"/>
      <c r="BO161" s="319"/>
      <c r="BP161" s="319"/>
      <c r="BQ161" s="319"/>
      <c r="BR161" s="319"/>
      <c r="BS161" s="319"/>
      <c r="BT161" s="319"/>
      <c r="BU161" s="319"/>
      <c r="BV161" s="319"/>
      <c r="BW161" s="319"/>
      <c r="BX161" s="319"/>
      <c r="BY161" s="319"/>
      <c r="BZ161" s="319"/>
      <c r="CA161" s="319"/>
      <c r="CB161" s="319"/>
      <c r="CC161" s="319"/>
      <c r="CD161" s="319"/>
      <c r="CE161" s="319"/>
      <c r="CF161" s="319"/>
      <c r="CG161" s="319"/>
      <c r="CH161" s="319"/>
      <c r="CI161" s="319"/>
      <c r="CJ161" s="319"/>
      <c r="CK161" s="319"/>
    </row>
    <row r="162" spans="1:89" ht="13.2">
      <c r="A162" s="12"/>
      <c r="B162" s="368"/>
      <c r="C162" s="8"/>
      <c r="D162" s="8"/>
      <c r="E162" s="8"/>
      <c r="F162" s="8"/>
      <c r="G162" s="295"/>
      <c r="H162" s="295"/>
      <c r="I162" s="295"/>
      <c r="J162" s="295"/>
      <c r="K162" s="9"/>
      <c r="L162" s="1"/>
      <c r="M162" s="319">
        <v>1</v>
      </c>
      <c r="N162" s="319">
        <v>4220000</v>
      </c>
      <c r="O162" s="319"/>
      <c r="P162" s="319"/>
      <c r="Q162" s="319"/>
      <c r="R162" s="319"/>
      <c r="S162" s="319"/>
      <c r="T162" s="319"/>
      <c r="U162" s="319"/>
      <c r="V162" s="319"/>
      <c r="W162" s="319"/>
      <c r="X162" s="319"/>
      <c r="Y162" s="319"/>
      <c r="Z162" s="319"/>
      <c r="AA162" s="319"/>
      <c r="AB162" s="319"/>
      <c r="AC162" s="319"/>
      <c r="AD162" s="319"/>
      <c r="AE162" s="319"/>
      <c r="AF162" s="319"/>
      <c r="AG162" s="319"/>
      <c r="AH162" s="319"/>
      <c r="AI162" s="319"/>
      <c r="AJ162" s="319"/>
      <c r="AK162" s="319"/>
      <c r="AL162" s="319"/>
      <c r="AM162" s="319"/>
      <c r="AN162" s="319"/>
      <c r="AO162" s="319"/>
      <c r="AP162" s="319"/>
      <c r="AQ162" s="319"/>
      <c r="AR162" s="319"/>
      <c r="AS162" s="319"/>
      <c r="AT162" s="319"/>
      <c r="AU162" s="319"/>
      <c r="AV162" s="319"/>
      <c r="AW162" s="319"/>
      <c r="AX162" s="319"/>
      <c r="AY162" s="319"/>
      <c r="AZ162" s="319"/>
      <c r="BA162" s="319"/>
      <c r="BB162" s="319"/>
      <c r="BC162" s="319"/>
      <c r="BD162" s="319"/>
      <c r="BE162" s="319"/>
      <c r="BF162" s="319"/>
      <c r="BG162" s="319"/>
      <c r="BH162" s="319"/>
      <c r="BI162" s="319"/>
      <c r="BJ162" s="319"/>
      <c r="BK162" s="319"/>
      <c r="BL162" s="319"/>
      <c r="BM162" s="319"/>
      <c r="BN162" s="319"/>
      <c r="BO162" s="319"/>
      <c r="BP162" s="319"/>
      <c r="BQ162" s="319"/>
      <c r="BR162" s="319"/>
      <c r="BS162" s="319"/>
      <c r="BT162" s="319"/>
      <c r="BU162" s="319"/>
      <c r="BV162" s="319"/>
      <c r="BW162" s="319"/>
      <c r="BX162" s="319"/>
      <c r="BY162" s="319"/>
      <c r="BZ162" s="319"/>
      <c r="CA162" s="319"/>
      <c r="CB162" s="319"/>
      <c r="CC162" s="319"/>
      <c r="CD162" s="319"/>
      <c r="CE162" s="319"/>
      <c r="CF162" s="319"/>
      <c r="CG162" s="319"/>
      <c r="CH162" s="319"/>
      <c r="CI162" s="319"/>
      <c r="CJ162" s="319"/>
      <c r="CK162" s="319"/>
    </row>
    <row r="163" spans="1:89" ht="25.5" customHeight="1">
      <c r="A163" s="12"/>
      <c r="B163" s="708" t="str">
        <f>Language!C1913</f>
        <v>Verificação do projeto</v>
      </c>
      <c r="C163" s="1220" t="str">
        <f>C154</f>
        <v>Consumo de combustível - unitário</v>
      </c>
      <c r="D163" s="1224" t="str">
        <f>Language!C1689</f>
        <v>Consumo de combustível - histórico</v>
      </c>
      <c r="E163" s="20" t="str">
        <f>Q174</f>
        <v>Consumo de combustível</v>
      </c>
      <c r="F163" s="1224" t="str">
        <f>Language!C1692</f>
        <v>Consumo de combustível - variância</v>
      </c>
      <c r="G163" s="295"/>
      <c r="H163" s="295"/>
      <c r="I163" s="295"/>
      <c r="J163" s="295"/>
      <c r="K163" s="9"/>
      <c r="L163" s="1"/>
      <c r="M163" s="319">
        <v>1</v>
      </c>
      <c r="N163" s="319">
        <v>4220005</v>
      </c>
      <c r="O163" s="319"/>
      <c r="P163" s="319"/>
      <c r="Q163" s="319"/>
      <c r="R163" s="319"/>
      <c r="S163" s="319"/>
      <c r="T163" s="319"/>
      <c r="U163" s="319"/>
      <c r="V163" s="319"/>
      <c r="W163" s="319"/>
      <c r="X163" s="319"/>
      <c r="Y163" s="319"/>
      <c r="Z163" s="319"/>
      <c r="AA163" s="319"/>
      <c r="AB163" s="319"/>
      <c r="AC163" s="319"/>
      <c r="AD163" s="319"/>
      <c r="AE163" s="319"/>
      <c r="AF163" s="319"/>
      <c r="AG163" s="319"/>
      <c r="AH163" s="319"/>
      <c r="AI163" s="319"/>
      <c r="AJ163" s="319"/>
      <c r="AK163" s="319"/>
      <c r="AL163" s="319"/>
      <c r="AM163" s="319"/>
      <c r="AN163" s="319"/>
      <c r="AO163" s="319"/>
      <c r="AP163" s="319"/>
      <c r="AQ163" s="319"/>
      <c r="AR163" s="319"/>
      <c r="AS163" s="319"/>
      <c r="AT163" s="319"/>
      <c r="AU163" s="319"/>
      <c r="AV163" s="319"/>
      <c r="AW163" s="319"/>
      <c r="AX163" s="319"/>
      <c r="AY163" s="319"/>
      <c r="AZ163" s="319"/>
      <c r="BA163" s="319"/>
      <c r="BB163" s="319"/>
      <c r="BC163" s="319"/>
      <c r="BD163" s="319"/>
      <c r="BE163" s="319"/>
      <c r="BF163" s="319"/>
      <c r="BG163" s="319"/>
      <c r="BH163" s="319"/>
      <c r="BI163" s="319"/>
      <c r="BJ163" s="319"/>
      <c r="BK163" s="319"/>
      <c r="BL163" s="319"/>
      <c r="BM163" s="319"/>
      <c r="BN163" s="319"/>
      <c r="BO163" s="319"/>
      <c r="BP163" s="319"/>
      <c r="BQ163" s="319"/>
      <c r="BR163" s="319"/>
      <c r="BS163" s="319"/>
      <c r="BT163" s="319"/>
      <c r="BU163" s="319"/>
      <c r="BV163" s="319"/>
      <c r="BW163" s="319"/>
      <c r="BX163" s="319"/>
      <c r="BY163" s="319"/>
      <c r="BZ163" s="319"/>
      <c r="CA163" s="319"/>
      <c r="CB163" s="319"/>
      <c r="CC163" s="319"/>
      <c r="CD163" s="319"/>
      <c r="CE163" s="319"/>
      <c r="CF163" s="319"/>
      <c r="CG163" s="319"/>
      <c r="CH163" s="319"/>
      <c r="CI163" s="319"/>
      <c r="CJ163" s="319"/>
      <c r="CK163" s="319"/>
    </row>
    <row r="164" spans="1:89" ht="25.5" customHeight="1">
      <c r="A164" s="12"/>
      <c r="B164" s="706" t="str">
        <f>B801</f>
        <v>Tipo de Combustível</v>
      </c>
      <c r="C164" s="1208"/>
      <c r="D164" s="1225"/>
      <c r="E164" s="897" t="s">
        <v>7274</v>
      </c>
      <c r="F164" s="1225"/>
      <c r="G164" s="8"/>
      <c r="H164" s="295"/>
      <c r="I164" s="295"/>
      <c r="J164" s="295"/>
      <c r="K164" s="9"/>
      <c r="L164" s="1"/>
      <c r="M164" s="319">
        <v>1</v>
      </c>
      <c r="N164" s="319">
        <v>4220005</v>
      </c>
      <c r="O164" s="319"/>
      <c r="P164" s="319"/>
      <c r="Q164" s="319" t="str">
        <f>D221</f>
        <v>Caso de referência</v>
      </c>
      <c r="R164" s="319"/>
      <c r="S164" s="319"/>
      <c r="T164" s="319"/>
      <c r="U164" s="319"/>
      <c r="V164" s="319"/>
      <c r="W164" s="319"/>
      <c r="X164" s="319"/>
      <c r="Y164" s="319"/>
      <c r="Z164" s="319"/>
      <c r="AA164" s="319"/>
      <c r="AB164" s="319"/>
      <c r="AC164" s="319"/>
      <c r="AD164" s="319"/>
      <c r="AE164" s="319"/>
      <c r="AF164" s="319"/>
      <c r="AG164" s="319"/>
      <c r="AH164" s="319"/>
      <c r="AI164" s="319"/>
      <c r="AJ164" s="319"/>
      <c r="AK164" s="319"/>
      <c r="AL164" s="319"/>
      <c r="AM164" s="319"/>
      <c r="AN164" s="319"/>
      <c r="AO164" s="319"/>
      <c r="AP164" s="319"/>
      <c r="AQ164" s="319"/>
      <c r="AR164" s="319"/>
      <c r="AS164" s="319"/>
      <c r="AT164" s="319"/>
      <c r="AU164" s="319"/>
      <c r="AV164" s="319"/>
      <c r="AW164" s="319"/>
      <c r="AX164" s="319"/>
      <c r="AY164" s="319"/>
      <c r="AZ164" s="319"/>
      <c r="BA164" s="319"/>
      <c r="BB164" s="319"/>
      <c r="BC164" s="319"/>
      <c r="BD164" s="319"/>
      <c r="BE164" s="319"/>
      <c r="BF164" s="319"/>
      <c r="BG164" s="319"/>
      <c r="BH164" s="319"/>
      <c r="BI164" s="319"/>
      <c r="BJ164" s="319"/>
      <c r="BK164" s="319"/>
      <c r="BL164" s="319"/>
      <c r="BM164" s="319"/>
      <c r="BN164" s="319"/>
      <c r="BO164" s="319"/>
      <c r="BP164" s="319"/>
      <c r="BQ164" s="319"/>
      <c r="BR164" s="319"/>
      <c r="BS164" s="319"/>
      <c r="BT164" s="319"/>
      <c r="BU164" s="319"/>
      <c r="BV164" s="319"/>
      <c r="BW164" s="319"/>
      <c r="BX164" s="319"/>
      <c r="BY164" s="319"/>
      <c r="BZ164" s="319"/>
      <c r="CA164" s="319"/>
      <c r="CB164" s="319"/>
      <c r="CC164" s="319"/>
      <c r="CD164" s="319"/>
      <c r="CE164" s="319"/>
      <c r="CF164" s="319"/>
      <c r="CG164" s="319"/>
      <c r="CH164" s="319"/>
      <c r="CI164" s="319"/>
      <c r="CJ164" s="319"/>
      <c r="CK164" s="319"/>
    </row>
    <row r="165" spans="1:89" ht="13.2" hidden="1">
      <c r="A165" s="12"/>
      <c r="B165" s="527" t="str">
        <f t="shared" ref="B165:C170" si="11">B155</f>
        <v>Eletricidade</v>
      </c>
      <c r="C165" s="707" t="str">
        <f t="shared" si="11"/>
        <v>MWh</v>
      </c>
      <c r="D165" s="712"/>
      <c r="E165" s="236">
        <f t="shared" ref="E165:E170" si="12">IF($E$164=$Q$164,E155,G155)</f>
        <v>0</v>
      </c>
      <c r="F165" s="705" t="str">
        <f t="shared" ref="F165:F170" si="13">IF(OR(ISERROR(D165/E165),D165=""),"",1-D165/E165)</f>
        <v/>
      </c>
      <c r="G165" s="295"/>
      <c r="H165" s="295"/>
      <c r="I165" s="295"/>
      <c r="J165" s="295"/>
      <c r="K165" s="9"/>
      <c r="L165" s="1"/>
      <c r="M165" s="319">
        <f t="shared" ref="M165:M170" si="14">M155</f>
        <v>0</v>
      </c>
      <c r="N165" s="319">
        <v>4220005</v>
      </c>
      <c r="O165" s="319"/>
      <c r="P165" s="319"/>
      <c r="Q165" s="319" t="str">
        <f>E221</f>
        <v>Caso proposto</v>
      </c>
      <c r="R165" s="319"/>
      <c r="S165" s="319"/>
      <c r="T165" s="319"/>
      <c r="U165" s="319"/>
      <c r="V165" s="319"/>
      <c r="W165" s="319"/>
      <c r="X165" s="319"/>
      <c r="Y165" s="319"/>
      <c r="Z165" s="319"/>
      <c r="AA165" s="319"/>
      <c r="AB165" s="319"/>
      <c r="AC165" s="319"/>
      <c r="AD165" s="319"/>
      <c r="AE165" s="319"/>
      <c r="AF165" s="319"/>
      <c r="AG165" s="319"/>
      <c r="AH165" s="319"/>
      <c r="AI165" s="319"/>
      <c r="AJ165" s="319"/>
      <c r="AK165" s="319"/>
      <c r="AL165" s="319"/>
      <c r="AM165" s="319"/>
      <c r="AN165" s="319"/>
      <c r="AO165" s="319"/>
      <c r="AP165" s="319"/>
      <c r="AQ165" s="319"/>
      <c r="AR165" s="319"/>
      <c r="AS165" s="319"/>
      <c r="AT165" s="319"/>
      <c r="AU165" s="319"/>
      <c r="AV165" s="319"/>
      <c r="AW165" s="319"/>
      <c r="AX165" s="319"/>
      <c r="AY165" s="319"/>
      <c r="AZ165" s="319"/>
      <c r="BA165" s="319"/>
      <c r="BB165" s="319"/>
      <c r="BC165" s="319"/>
      <c r="BD165" s="319"/>
      <c r="BE165" s="319"/>
      <c r="BF165" s="319"/>
      <c r="BG165" s="319"/>
      <c r="BH165" s="319"/>
      <c r="BI165" s="319"/>
      <c r="BJ165" s="319"/>
      <c r="BK165" s="319"/>
      <c r="BL165" s="319"/>
      <c r="BM165" s="319"/>
      <c r="BN165" s="319"/>
      <c r="BO165" s="319"/>
      <c r="BP165" s="319"/>
      <c r="BQ165" s="319"/>
      <c r="BR165" s="319"/>
      <c r="BS165" s="319"/>
      <c r="BT165" s="319"/>
      <c r="BU165" s="319"/>
      <c r="BV165" s="319"/>
      <c r="BW165" s="319"/>
      <c r="BX165" s="319"/>
      <c r="BY165" s="319"/>
      <c r="BZ165" s="319"/>
      <c r="CA165" s="319"/>
      <c r="CB165" s="319"/>
      <c r="CC165" s="319"/>
      <c r="CD165" s="319"/>
      <c r="CE165" s="319"/>
      <c r="CF165" s="319"/>
      <c r="CG165" s="319"/>
      <c r="CH165" s="319"/>
      <c r="CI165" s="319"/>
      <c r="CJ165" s="319"/>
      <c r="CK165" s="319"/>
    </row>
    <row r="166" spans="1:89" ht="13.2" hidden="1">
      <c r="A166" s="12"/>
      <c r="B166" s="527" t="e">
        <f t="shared" si="11"/>
        <v>#N/A</v>
      </c>
      <c r="C166" s="707" t="e">
        <f t="shared" si="11"/>
        <v>#N/A</v>
      </c>
      <c r="D166" s="711"/>
      <c r="E166" s="236">
        <f t="shared" si="12"/>
        <v>0</v>
      </c>
      <c r="F166" s="705" t="str">
        <f t="shared" si="13"/>
        <v/>
      </c>
      <c r="G166" s="295"/>
      <c r="H166" s="295"/>
      <c r="I166" s="295"/>
      <c r="J166" s="295"/>
      <c r="K166" s="9"/>
      <c r="L166" s="1"/>
      <c r="M166" s="319">
        <f t="shared" si="14"/>
        <v>0</v>
      </c>
      <c r="N166" s="319">
        <v>4220005</v>
      </c>
      <c r="O166" s="319"/>
      <c r="P166" s="319"/>
      <c r="Q166" s="319"/>
      <c r="R166" s="319"/>
      <c r="S166" s="319"/>
      <c r="T166" s="319"/>
      <c r="U166" s="319"/>
      <c r="V166" s="319"/>
      <c r="W166" s="319"/>
      <c r="X166" s="319"/>
      <c r="Y166" s="319"/>
      <c r="Z166" s="319"/>
      <c r="AA166" s="319"/>
      <c r="AB166" s="319"/>
      <c r="AC166" s="319"/>
      <c r="AD166" s="319"/>
      <c r="AE166" s="319"/>
      <c r="AF166" s="319"/>
      <c r="AG166" s="319"/>
      <c r="AH166" s="319"/>
      <c r="AI166" s="319"/>
      <c r="AJ166" s="319"/>
      <c r="AK166" s="319"/>
      <c r="AL166" s="319"/>
      <c r="AM166" s="319"/>
      <c r="AN166" s="319"/>
      <c r="AO166" s="319"/>
      <c r="AP166" s="319"/>
      <c r="AQ166" s="319"/>
      <c r="AR166" s="319"/>
      <c r="AS166" s="319"/>
      <c r="AT166" s="319"/>
      <c r="AU166" s="319"/>
      <c r="AV166" s="319"/>
      <c r="AW166" s="319"/>
      <c r="AX166" s="319"/>
      <c r="AY166" s="319"/>
      <c r="AZ166" s="319"/>
      <c r="BA166" s="319"/>
      <c r="BB166" s="319"/>
      <c r="BC166" s="319"/>
      <c r="BD166" s="319"/>
      <c r="BE166" s="319"/>
      <c r="BF166" s="319"/>
      <c r="BG166" s="319"/>
      <c r="BH166" s="319"/>
      <c r="BI166" s="319"/>
      <c r="BJ166" s="319"/>
      <c r="BK166" s="319"/>
      <c r="BL166" s="319"/>
      <c r="BM166" s="319"/>
      <c r="BN166" s="319"/>
      <c r="BO166" s="319"/>
      <c r="BP166" s="319"/>
      <c r="BQ166" s="319"/>
      <c r="BR166" s="319"/>
      <c r="BS166" s="319"/>
      <c r="BT166" s="319"/>
      <c r="BU166" s="319"/>
      <c r="BV166" s="319"/>
      <c r="BW166" s="319"/>
      <c r="BX166" s="319"/>
      <c r="BY166" s="319"/>
      <c r="BZ166" s="319"/>
      <c r="CA166" s="319"/>
      <c r="CB166" s="319"/>
      <c r="CC166" s="319"/>
      <c r="CD166" s="319"/>
      <c r="CE166" s="319"/>
      <c r="CF166" s="319"/>
      <c r="CG166" s="319"/>
      <c r="CH166" s="319"/>
      <c r="CI166" s="319"/>
      <c r="CJ166" s="319"/>
      <c r="CK166" s="319"/>
    </row>
    <row r="167" spans="1:89" ht="13.2" hidden="1">
      <c r="A167" s="12"/>
      <c r="B167" s="527" t="e">
        <f t="shared" si="11"/>
        <v>#N/A</v>
      </c>
      <c r="C167" s="707" t="e">
        <f t="shared" si="11"/>
        <v>#N/A</v>
      </c>
      <c r="D167" s="711"/>
      <c r="E167" s="236">
        <f t="shared" si="12"/>
        <v>0</v>
      </c>
      <c r="F167" s="705" t="str">
        <f t="shared" si="13"/>
        <v/>
      </c>
      <c r="G167" s="295"/>
      <c r="H167" s="295"/>
      <c r="I167" s="295"/>
      <c r="J167" s="295"/>
      <c r="K167" s="9"/>
      <c r="L167" s="1"/>
      <c r="M167" s="319">
        <f t="shared" si="14"/>
        <v>0</v>
      </c>
      <c r="N167" s="319">
        <v>4220005</v>
      </c>
      <c r="O167" s="319"/>
      <c r="P167" s="319"/>
      <c r="Q167" s="319"/>
      <c r="R167" s="319"/>
      <c r="S167" s="319"/>
      <c r="T167" s="319"/>
      <c r="U167" s="319"/>
      <c r="V167" s="319"/>
      <c r="W167" s="319"/>
      <c r="X167" s="319"/>
      <c r="Y167" s="319"/>
      <c r="Z167" s="319"/>
      <c r="AA167" s="319"/>
      <c r="AB167" s="319"/>
      <c r="AC167" s="319"/>
      <c r="AD167" s="319"/>
      <c r="AE167" s="319"/>
      <c r="AF167" s="319"/>
      <c r="AG167" s="319"/>
      <c r="AH167" s="319"/>
      <c r="AI167" s="319"/>
      <c r="AJ167" s="319"/>
      <c r="AK167" s="319"/>
      <c r="AL167" s="319"/>
      <c r="AM167" s="319"/>
      <c r="AN167" s="319"/>
      <c r="AO167" s="319"/>
      <c r="AP167" s="319"/>
      <c r="AQ167" s="319"/>
      <c r="AR167" s="319"/>
      <c r="AS167" s="319"/>
      <c r="AT167" s="319"/>
      <c r="AU167" s="319"/>
      <c r="AV167" s="319"/>
      <c r="AW167" s="319"/>
      <c r="AX167" s="319"/>
      <c r="AY167" s="319"/>
      <c r="AZ167" s="319"/>
      <c r="BA167" s="319"/>
      <c r="BB167" s="319"/>
      <c r="BC167" s="319"/>
      <c r="BD167" s="319"/>
      <c r="BE167" s="319"/>
      <c r="BF167" s="319"/>
      <c r="BG167" s="319"/>
      <c r="BH167" s="319"/>
      <c r="BI167" s="319"/>
      <c r="BJ167" s="319"/>
      <c r="BK167" s="319"/>
      <c r="BL167" s="319"/>
      <c r="BM167" s="319"/>
      <c r="BN167" s="319"/>
      <c r="BO167" s="319"/>
      <c r="BP167" s="319"/>
      <c r="BQ167" s="319"/>
      <c r="BR167" s="319"/>
      <c r="BS167" s="319"/>
      <c r="BT167" s="319"/>
      <c r="BU167" s="319"/>
      <c r="BV167" s="319"/>
      <c r="BW167" s="319"/>
      <c r="BX167" s="319"/>
      <c r="BY167" s="319"/>
      <c r="BZ167" s="319"/>
      <c r="CA167" s="319"/>
      <c r="CB167" s="319"/>
      <c r="CC167" s="319"/>
      <c r="CD167" s="319"/>
      <c r="CE167" s="319"/>
      <c r="CF167" s="319"/>
      <c r="CG167" s="319"/>
      <c r="CH167" s="319"/>
      <c r="CI167" s="319"/>
      <c r="CJ167" s="319"/>
      <c r="CK167" s="319"/>
    </row>
    <row r="168" spans="1:89" ht="13.2" hidden="1">
      <c r="A168" s="12"/>
      <c r="B168" s="527" t="e">
        <f t="shared" si="11"/>
        <v>#N/A</v>
      </c>
      <c r="C168" s="707" t="e">
        <f t="shared" si="11"/>
        <v>#N/A</v>
      </c>
      <c r="D168" s="711"/>
      <c r="E168" s="236">
        <f t="shared" si="12"/>
        <v>0</v>
      </c>
      <c r="F168" s="705" t="str">
        <f t="shared" si="13"/>
        <v/>
      </c>
      <c r="G168" s="295"/>
      <c r="H168" s="295"/>
      <c r="I168" s="295"/>
      <c r="J168" s="295"/>
      <c r="K168" s="9"/>
      <c r="L168" s="1"/>
      <c r="M168" s="319">
        <f t="shared" si="14"/>
        <v>0</v>
      </c>
      <c r="N168" s="319">
        <v>4220005</v>
      </c>
      <c r="O168" s="319"/>
      <c r="P168" s="319"/>
      <c r="Q168" s="319"/>
      <c r="R168" s="319"/>
      <c r="S168" s="319"/>
      <c r="T168" s="319"/>
      <c r="U168" s="319"/>
      <c r="V168" s="319"/>
      <c r="W168" s="319"/>
      <c r="X168" s="319"/>
      <c r="Y168" s="319"/>
      <c r="Z168" s="319"/>
      <c r="AA168" s="319"/>
      <c r="AB168" s="319"/>
      <c r="AC168" s="319"/>
      <c r="AD168" s="319"/>
      <c r="AE168" s="319"/>
      <c r="AF168" s="319"/>
      <c r="AG168" s="319"/>
      <c r="AH168" s="319"/>
      <c r="AI168" s="319"/>
      <c r="AJ168" s="319"/>
      <c r="AK168" s="319"/>
      <c r="AL168" s="319"/>
      <c r="AM168" s="319"/>
      <c r="AN168" s="319"/>
      <c r="AO168" s="319"/>
      <c r="AP168" s="319"/>
      <c r="AQ168" s="319"/>
      <c r="AR168" s="319"/>
      <c r="AS168" s="319"/>
      <c r="AT168" s="319"/>
      <c r="AU168" s="319"/>
      <c r="AV168" s="319"/>
      <c r="AW168" s="319"/>
      <c r="AX168" s="319"/>
      <c r="AY168" s="319"/>
      <c r="AZ168" s="319"/>
      <c r="BA168" s="319"/>
      <c r="BB168" s="319"/>
      <c r="BC168" s="319"/>
      <c r="BD168" s="319"/>
      <c r="BE168" s="319"/>
      <c r="BF168" s="319"/>
      <c r="BG168" s="319"/>
      <c r="BH168" s="319"/>
      <c r="BI168" s="319"/>
      <c r="BJ168" s="319"/>
      <c r="BK168" s="319"/>
      <c r="BL168" s="319"/>
      <c r="BM168" s="319"/>
      <c r="BN168" s="319"/>
      <c r="BO168" s="319"/>
      <c r="BP168" s="319"/>
      <c r="BQ168" s="319"/>
      <c r="BR168" s="319"/>
      <c r="BS168" s="319"/>
      <c r="BT168" s="319"/>
      <c r="BU168" s="319"/>
      <c r="BV168" s="319"/>
      <c r="BW168" s="319"/>
      <c r="BX168" s="319"/>
      <c r="BY168" s="319"/>
      <c r="BZ168" s="319"/>
      <c r="CA168" s="319"/>
      <c r="CB168" s="319"/>
      <c r="CC168" s="319"/>
      <c r="CD168" s="319"/>
      <c r="CE168" s="319"/>
      <c r="CF168" s="319"/>
      <c r="CG168" s="319"/>
      <c r="CH168" s="319"/>
      <c r="CI168" s="319"/>
      <c r="CJ168" s="319"/>
      <c r="CK168" s="319"/>
    </row>
    <row r="169" spans="1:89" ht="12.75" hidden="1" customHeight="1">
      <c r="A169" s="12"/>
      <c r="B169" s="527" t="e">
        <f t="shared" si="11"/>
        <v>#N/A</v>
      </c>
      <c r="C169" s="707" t="e">
        <f t="shared" si="11"/>
        <v>#N/A</v>
      </c>
      <c r="D169" s="711"/>
      <c r="E169" s="236">
        <f t="shared" si="12"/>
        <v>0</v>
      </c>
      <c r="F169" s="705" t="str">
        <f t="shared" si="13"/>
        <v/>
      </c>
      <c r="G169" s="295"/>
      <c r="H169" s="295"/>
      <c r="I169" s="295"/>
      <c r="J169" s="295"/>
      <c r="K169" s="9"/>
      <c r="L169" s="1"/>
      <c r="M169" s="319">
        <f t="shared" si="14"/>
        <v>0</v>
      </c>
      <c r="N169" s="319">
        <v>4220005</v>
      </c>
      <c r="O169" s="319"/>
      <c r="P169" s="319"/>
      <c r="Q169" s="319"/>
      <c r="R169" s="319"/>
      <c r="S169" s="319"/>
      <c r="T169" s="319"/>
      <c r="U169" s="319"/>
      <c r="V169" s="319"/>
      <c r="W169" s="319"/>
      <c r="X169" s="319"/>
      <c r="Y169" s="319"/>
      <c r="Z169" s="319"/>
      <c r="AA169" s="319"/>
      <c r="AB169" s="319"/>
      <c r="AC169" s="319"/>
      <c r="AD169" s="319"/>
      <c r="AE169" s="319"/>
      <c r="AF169" s="319"/>
      <c r="AG169" s="319"/>
      <c r="AH169" s="319"/>
      <c r="AI169" s="319"/>
      <c r="AJ169" s="319"/>
      <c r="AK169" s="319"/>
      <c r="AL169" s="319"/>
      <c r="AM169" s="319"/>
      <c r="AN169" s="319"/>
      <c r="AO169" s="319"/>
      <c r="AP169" s="319"/>
      <c r="AQ169" s="319"/>
      <c r="AR169" s="319"/>
      <c r="AS169" s="319"/>
      <c r="AT169" s="319"/>
      <c r="AU169" s="319"/>
      <c r="AV169" s="319"/>
      <c r="AW169" s="319"/>
      <c r="AX169" s="319"/>
      <c r="AY169" s="319"/>
      <c r="AZ169" s="319"/>
      <c r="BA169" s="319"/>
      <c r="BB169" s="319"/>
      <c r="BC169" s="319"/>
      <c r="BD169" s="319"/>
      <c r="BE169" s="319"/>
      <c r="BF169" s="319"/>
      <c r="BG169" s="319"/>
      <c r="BH169" s="319"/>
      <c r="BI169" s="319"/>
      <c r="BJ169" s="319"/>
      <c r="BK169" s="319"/>
      <c r="BL169" s="319"/>
      <c r="BM169" s="319"/>
      <c r="BN169" s="319"/>
      <c r="BO169" s="319"/>
      <c r="BP169" s="319"/>
      <c r="BQ169" s="319"/>
      <c r="BR169" s="319"/>
      <c r="BS169" s="319"/>
      <c r="BT169" s="319"/>
      <c r="BU169" s="319"/>
      <c r="BV169" s="319"/>
      <c r="BW169" s="319"/>
      <c r="BX169" s="319"/>
      <c r="BY169" s="319"/>
      <c r="BZ169" s="319"/>
      <c r="CA169" s="319"/>
      <c r="CB169" s="319"/>
      <c r="CC169" s="319"/>
      <c r="CD169" s="319"/>
      <c r="CE169" s="319"/>
      <c r="CF169" s="319"/>
      <c r="CG169" s="319"/>
      <c r="CH169" s="319"/>
      <c r="CI169" s="319"/>
      <c r="CJ169" s="319"/>
      <c r="CK169" s="319"/>
    </row>
    <row r="170" spans="1:89" ht="13.2" hidden="1">
      <c r="A170" s="12"/>
      <c r="B170" s="527" t="e">
        <f t="shared" si="11"/>
        <v>#N/A</v>
      </c>
      <c r="C170" s="707" t="e">
        <f t="shared" si="11"/>
        <v>#N/A</v>
      </c>
      <c r="D170" s="711"/>
      <c r="E170" s="236">
        <f t="shared" si="12"/>
        <v>0</v>
      </c>
      <c r="F170" s="705" t="str">
        <f t="shared" si="13"/>
        <v/>
      </c>
      <c r="G170" s="295"/>
      <c r="H170" s="295"/>
      <c r="I170" s="295"/>
      <c r="J170" s="295"/>
      <c r="K170" s="9"/>
      <c r="L170" s="1"/>
      <c r="M170" s="319">
        <f t="shared" si="14"/>
        <v>0</v>
      </c>
      <c r="N170" s="319">
        <v>4220005</v>
      </c>
      <c r="O170" s="319"/>
      <c r="P170" s="319"/>
      <c r="Q170" s="319"/>
      <c r="R170" s="319"/>
      <c r="S170" s="319"/>
      <c r="T170" s="319"/>
      <c r="U170" s="319"/>
      <c r="V170" s="319"/>
      <c r="W170" s="319"/>
      <c r="X170" s="319"/>
      <c r="Y170" s="319"/>
      <c r="Z170" s="319"/>
      <c r="AA170" s="319"/>
      <c r="AB170" s="319"/>
      <c r="AC170" s="319"/>
      <c r="AD170" s="319"/>
      <c r="AE170" s="319"/>
      <c r="AF170" s="319"/>
      <c r="AG170" s="319"/>
      <c r="AH170" s="319"/>
      <c r="AI170" s="319"/>
      <c r="AJ170" s="319"/>
      <c r="AK170" s="319"/>
      <c r="AL170" s="319"/>
      <c r="AM170" s="319"/>
      <c r="AN170" s="319"/>
      <c r="AO170" s="319"/>
      <c r="AP170" s="319"/>
      <c r="AQ170" s="319"/>
      <c r="AR170" s="319"/>
      <c r="AS170" s="319"/>
      <c r="AT170" s="319"/>
      <c r="AU170" s="319"/>
      <c r="AV170" s="319"/>
      <c r="AW170" s="319"/>
      <c r="AX170" s="319"/>
      <c r="AY170" s="319"/>
      <c r="AZ170" s="319"/>
      <c r="BA170" s="319"/>
      <c r="BB170" s="319"/>
      <c r="BC170" s="319"/>
      <c r="BD170" s="319"/>
      <c r="BE170" s="319"/>
      <c r="BF170" s="319"/>
      <c r="BG170" s="319"/>
      <c r="BH170" s="319"/>
      <c r="BI170" s="319"/>
      <c r="BJ170" s="319"/>
      <c r="BK170" s="319"/>
      <c r="BL170" s="319"/>
      <c r="BM170" s="319"/>
      <c r="BN170" s="319"/>
      <c r="BO170" s="319"/>
      <c r="BP170" s="319"/>
      <c r="BQ170" s="319"/>
      <c r="BR170" s="319"/>
      <c r="BS170" s="319"/>
      <c r="BT170" s="319"/>
      <c r="BU170" s="319"/>
      <c r="BV170" s="319"/>
      <c r="BW170" s="319"/>
      <c r="BX170" s="319"/>
      <c r="BY170" s="319"/>
      <c r="BZ170" s="319"/>
      <c r="CA170" s="319"/>
      <c r="CB170" s="319"/>
      <c r="CC170" s="319"/>
      <c r="CD170" s="319"/>
      <c r="CE170" s="319"/>
      <c r="CF170" s="319"/>
      <c r="CG170" s="319"/>
      <c r="CH170" s="319"/>
      <c r="CI170" s="319"/>
      <c r="CJ170" s="319"/>
      <c r="CK170" s="319"/>
    </row>
    <row r="171" spans="1:89" ht="13.2">
      <c r="A171" s="12"/>
      <c r="B171" s="368"/>
      <c r="C171" s="292"/>
      <c r="D171" s="294"/>
      <c r="E171" s="295"/>
      <c r="F171" s="295"/>
      <c r="G171" s="8"/>
      <c r="H171" s="8"/>
      <c r="I171" s="8"/>
      <c r="J171" s="8"/>
      <c r="K171" s="702"/>
      <c r="L171" s="1"/>
      <c r="M171" s="319">
        <v>1</v>
      </c>
      <c r="N171" s="319">
        <v>4220000</v>
      </c>
      <c r="O171" s="319"/>
      <c r="P171" s="319"/>
      <c r="Q171" s="319"/>
      <c r="R171" s="319"/>
      <c r="S171" s="319"/>
      <c r="T171" s="319"/>
      <c r="U171" s="319"/>
      <c r="V171" s="319"/>
      <c r="W171" s="319"/>
      <c r="X171" s="319"/>
      <c r="Y171" s="319"/>
      <c r="Z171" s="319"/>
      <c r="AA171" s="319"/>
      <c r="AB171" s="319"/>
      <c r="AC171" s="319"/>
      <c r="AD171" s="319"/>
      <c r="AE171" s="319"/>
      <c r="AF171" s="319"/>
      <c r="AG171" s="319"/>
      <c r="AH171" s="319"/>
      <c r="AI171" s="319"/>
      <c r="AJ171" s="319"/>
      <c r="AK171" s="319"/>
      <c r="AL171" s="319"/>
      <c r="AM171" s="319"/>
      <c r="AN171" s="319"/>
      <c r="AO171" s="319"/>
      <c r="AP171" s="319"/>
      <c r="AQ171" s="319"/>
      <c r="AR171" s="319"/>
      <c r="AS171" s="319"/>
      <c r="AT171" s="319"/>
      <c r="AU171" s="319"/>
      <c r="AV171" s="319"/>
      <c r="AW171" s="319"/>
      <c r="AX171" s="319"/>
      <c r="AY171" s="319"/>
      <c r="AZ171" s="319"/>
      <c r="BA171" s="319"/>
      <c r="BB171" s="319"/>
      <c r="BC171" s="319"/>
      <c r="BD171" s="319"/>
      <c r="BE171" s="319"/>
      <c r="BF171" s="319"/>
      <c r="BG171" s="319"/>
      <c r="BH171" s="319"/>
      <c r="BI171" s="319"/>
      <c r="BJ171" s="319"/>
      <c r="BK171" s="319"/>
      <c r="BL171" s="319"/>
      <c r="BM171" s="319"/>
      <c r="BN171" s="319"/>
      <c r="BO171" s="319"/>
      <c r="BP171" s="319"/>
      <c r="BQ171" s="319"/>
      <c r="BR171" s="319"/>
      <c r="BS171" s="319"/>
      <c r="BT171" s="319"/>
      <c r="BU171" s="319"/>
      <c r="BV171" s="319"/>
      <c r="BW171" s="319"/>
      <c r="BX171" s="319"/>
      <c r="BY171" s="319"/>
      <c r="BZ171" s="319"/>
      <c r="CA171" s="319"/>
      <c r="CB171" s="319"/>
      <c r="CC171" s="319"/>
      <c r="CD171" s="319"/>
      <c r="CE171" s="319"/>
      <c r="CF171" s="319"/>
      <c r="CG171" s="319"/>
      <c r="CH171" s="319"/>
      <c r="CI171" s="319"/>
      <c r="CJ171" s="319"/>
      <c r="CK171" s="319"/>
    </row>
    <row r="172" spans="1:89" ht="13.2">
      <c r="A172" s="12"/>
      <c r="B172" s="8"/>
      <c r="C172" s="196" t="str">
        <f>Language!C190</f>
        <v>Aquecimento</v>
      </c>
      <c r="D172" s="196" t="str">
        <f>Language!C191</f>
        <v>Refrigeração</v>
      </c>
      <c r="E172" s="196" t="str">
        <f>$F$1098</f>
        <v>Eletricidade</v>
      </c>
      <c r="F172" s="20" t="str">
        <f>$B$148</f>
        <v>Total</v>
      </c>
      <c r="G172" s="8"/>
      <c r="H172" s="8"/>
      <c r="I172" s="8"/>
      <c r="J172" s="8"/>
      <c r="K172" s="702"/>
      <c r="L172" s="1"/>
      <c r="M172" s="319"/>
      <c r="N172" s="319">
        <v>4220006</v>
      </c>
      <c r="O172" s="319"/>
      <c r="P172" s="319"/>
      <c r="Q172" s="319"/>
      <c r="R172" s="319"/>
      <c r="S172" s="319"/>
      <c r="T172" s="319"/>
      <c r="U172" s="319"/>
      <c r="V172" s="319"/>
      <c r="W172" s="319"/>
      <c r="X172" s="319"/>
      <c r="Y172" s="319"/>
      <c r="Z172" s="319"/>
      <c r="AA172" s="319"/>
      <c r="AB172" s="319"/>
      <c r="AC172" s="319"/>
      <c r="AD172" s="319"/>
      <c r="AE172" s="319"/>
      <c r="AF172" s="319"/>
      <c r="AG172" s="319"/>
      <c r="AH172" s="319"/>
      <c r="AI172" s="319"/>
      <c r="AJ172" s="319"/>
      <c r="AK172" s="319"/>
      <c r="AL172" s="319"/>
      <c r="AM172" s="319"/>
      <c r="AN172" s="319"/>
      <c r="AO172" s="319"/>
      <c r="AP172" s="319"/>
      <c r="AQ172" s="319"/>
      <c r="AR172" s="319"/>
      <c r="AS172" s="319"/>
      <c r="AT172" s="319"/>
      <c r="AU172" s="319"/>
      <c r="AV172" s="319"/>
      <c r="AW172" s="319"/>
      <c r="AX172" s="319"/>
      <c r="AY172" s="319"/>
      <c r="AZ172" s="319"/>
      <c r="BA172" s="319"/>
      <c r="BB172" s="319"/>
      <c r="BC172" s="319"/>
      <c r="BD172" s="319"/>
      <c r="BE172" s="319"/>
      <c r="BF172" s="319"/>
      <c r="BG172" s="319"/>
      <c r="BH172" s="319"/>
      <c r="BI172" s="319"/>
      <c r="BJ172" s="319"/>
      <c r="BK172" s="319"/>
      <c r="BL172" s="319"/>
      <c r="BM172" s="319"/>
      <c r="BN172" s="319"/>
      <c r="BO172" s="319"/>
      <c r="BP172" s="319"/>
      <c r="BQ172" s="319"/>
      <c r="BR172" s="319"/>
      <c r="BS172" s="319"/>
      <c r="BT172" s="319"/>
      <c r="BU172" s="319"/>
      <c r="BV172" s="319"/>
      <c r="BW172" s="319"/>
      <c r="BX172" s="319"/>
      <c r="BY172" s="319"/>
      <c r="BZ172" s="319"/>
      <c r="CA172" s="319"/>
      <c r="CB172" s="319"/>
      <c r="CC172" s="319"/>
      <c r="CD172" s="319"/>
      <c r="CE172" s="319"/>
      <c r="CF172" s="319"/>
      <c r="CG172" s="319"/>
      <c r="CH172" s="319"/>
      <c r="CI172" s="319"/>
      <c r="CJ172" s="319"/>
      <c r="CK172" s="319"/>
    </row>
    <row r="173" spans="1:89" ht="13.2">
      <c r="A173" s="12"/>
      <c r="B173" s="906" t="s">
        <v>6405</v>
      </c>
      <c r="C173" s="191" t="str">
        <f>$C$39</f>
        <v>GJ</v>
      </c>
      <c r="D173" s="191" t="str">
        <f>$C$39</f>
        <v>GJ</v>
      </c>
      <c r="E173" s="191" t="str">
        <f>$C$39</f>
        <v>GJ</v>
      </c>
      <c r="F173" s="191" t="str">
        <f>$C$39</f>
        <v>GJ</v>
      </c>
      <c r="G173" s="8"/>
      <c r="H173" s="8"/>
      <c r="I173" s="8"/>
      <c r="J173" s="8"/>
      <c r="K173" s="702"/>
      <c r="L173" s="1"/>
      <c r="M173" s="319"/>
      <c r="N173" s="319">
        <v>4220006</v>
      </c>
      <c r="O173" s="319"/>
      <c r="P173" s="319"/>
      <c r="Q173" s="319"/>
      <c r="R173" s="319"/>
      <c r="S173" s="319"/>
      <c r="T173" s="319"/>
      <c r="U173" s="319" t="s">
        <v>5560</v>
      </c>
      <c r="V173" s="319"/>
      <c r="W173" s="319"/>
      <c r="X173" s="319"/>
      <c r="Y173" s="319"/>
      <c r="Z173" s="319"/>
      <c r="AA173" s="319"/>
      <c r="AB173" s="319"/>
      <c r="AC173" s="319"/>
      <c r="AD173" s="319"/>
      <c r="AE173" s="319"/>
      <c r="AF173" s="319"/>
      <c r="AG173" s="319"/>
      <c r="AH173" s="319"/>
      <c r="AI173" s="319"/>
      <c r="AJ173" s="319"/>
      <c r="AK173" s="319"/>
      <c r="AL173" s="319"/>
      <c r="AM173" s="319"/>
      <c r="AN173" s="319"/>
      <c r="AO173" s="319"/>
      <c r="AP173" s="319"/>
      <c r="AQ173" s="319"/>
      <c r="AR173" s="319"/>
      <c r="AS173" s="319"/>
      <c r="AT173" s="319"/>
      <c r="AU173" s="319"/>
      <c r="AV173" s="319"/>
      <c r="AW173" s="319"/>
      <c r="AX173" s="319"/>
      <c r="AY173" s="319"/>
      <c r="AZ173" s="319"/>
      <c r="BA173" s="319"/>
      <c r="BB173" s="319"/>
      <c r="BC173" s="319"/>
      <c r="BD173" s="319"/>
      <c r="BE173" s="319"/>
      <c r="BF173" s="319"/>
      <c r="BG173" s="319"/>
      <c r="BH173" s="319"/>
      <c r="BI173" s="319"/>
      <c r="BJ173" s="319"/>
      <c r="BK173" s="319"/>
      <c r="BL173" s="319"/>
      <c r="BM173" s="319"/>
      <c r="BN173" s="319"/>
      <c r="BO173" s="319"/>
      <c r="BP173" s="319"/>
      <c r="BQ173" s="319"/>
      <c r="BR173" s="319"/>
      <c r="BS173" s="319"/>
      <c r="BT173" s="319"/>
      <c r="BU173" s="319"/>
      <c r="BV173" s="319"/>
      <c r="BW173" s="319"/>
      <c r="BX173" s="319"/>
      <c r="BY173" s="319"/>
      <c r="BZ173" s="319"/>
      <c r="CA173" s="319"/>
      <c r="CB173" s="319"/>
      <c r="CC173" s="319"/>
      <c r="CD173" s="319"/>
      <c r="CE173" s="319"/>
      <c r="CF173" s="319"/>
      <c r="CG173" s="319"/>
      <c r="CH173" s="319"/>
      <c r="CI173" s="319"/>
      <c r="CJ173" s="319"/>
      <c r="CK173" s="319"/>
    </row>
    <row r="174" spans="1:89" ht="13.2">
      <c r="A174" s="12"/>
      <c r="B174" s="526" t="str">
        <f>IF($P$174=1,S34,S37)</f>
        <v>Consumo de combustível - caso de referência</v>
      </c>
      <c r="C174" s="88">
        <f>IF($P$174=1,SUM(EET!X3:'EET'!X8),EET!T123)*$V$35</f>
        <v>0</v>
      </c>
      <c r="D174" s="88">
        <f>IF($P$174=1,SUM(EET!AS3:'EET'!AS8),EET!AO123)*$V$35</f>
        <v>0</v>
      </c>
      <c r="E174" s="88">
        <f>EET!BI3*$V$35</f>
        <v>0</v>
      </c>
      <c r="F174" s="88">
        <f>SUM(C174:E174)</f>
        <v>0</v>
      </c>
      <c r="G174" s="8"/>
      <c r="H174" s="8"/>
      <c r="I174" s="8"/>
      <c r="J174" s="8"/>
      <c r="K174" s="702"/>
      <c r="L174" s="1"/>
      <c r="M174" s="319"/>
      <c r="N174" s="319">
        <v>4220006</v>
      </c>
      <c r="O174" s="319"/>
      <c r="P174" s="319">
        <f>IF(B173="",1,IF(B173=Q174,1,2))</f>
        <v>1</v>
      </c>
      <c r="Q174" s="319" t="str">
        <f>Language!C413</f>
        <v>Consumo de combustível</v>
      </c>
      <c r="R174" s="319"/>
      <c r="S174" s="319"/>
      <c r="T174" s="319"/>
      <c r="U174" s="468"/>
      <c r="V174" s="469"/>
      <c r="W174" s="469"/>
      <c r="X174" s="469"/>
      <c r="Y174" s="469"/>
      <c r="Z174" s="469"/>
      <c r="AA174" s="469"/>
      <c r="AB174" s="469"/>
      <c r="AC174" s="469"/>
      <c r="AD174" s="469"/>
      <c r="AE174" s="469"/>
      <c r="AF174" s="469"/>
      <c r="AG174" s="469"/>
      <c r="AH174" s="469"/>
      <c r="AI174" s="469"/>
      <c r="AJ174" s="469"/>
      <c r="AK174" s="469"/>
      <c r="AL174" s="469"/>
      <c r="AM174" s="469"/>
      <c r="AN174" s="1091" t="str">
        <f>Language!$C$1374</f>
        <v>m²</v>
      </c>
      <c r="AO174" s="319"/>
      <c r="AP174" s="319"/>
      <c r="AQ174" s="319"/>
      <c r="AR174" s="319"/>
      <c r="AS174" s="319"/>
      <c r="AT174" s="319"/>
      <c r="AU174" s="319"/>
      <c r="AV174" s="319"/>
      <c r="AW174" s="319"/>
      <c r="AX174" s="319"/>
      <c r="AY174" s="319"/>
      <c r="AZ174" s="319"/>
      <c r="BA174" s="319"/>
      <c r="BB174" s="319"/>
      <c r="BC174" s="319"/>
      <c r="BD174" s="319"/>
      <c r="BE174" s="319"/>
      <c r="BF174" s="319"/>
      <c r="BG174" s="319"/>
      <c r="BH174" s="319"/>
      <c r="BI174" s="319"/>
      <c r="BJ174" s="319"/>
      <c r="BK174" s="319"/>
      <c r="BL174" s="319"/>
      <c r="BM174" s="319"/>
      <c r="BN174" s="319"/>
      <c r="BO174" s="319"/>
      <c r="BP174" s="319"/>
      <c r="BQ174" s="319"/>
      <c r="BR174" s="319"/>
      <c r="BS174" s="319"/>
      <c r="BT174" s="319"/>
      <c r="BU174" s="319"/>
      <c r="BV174" s="319"/>
      <c r="BW174" s="319"/>
      <c r="BX174" s="319"/>
      <c r="BY174" s="319"/>
      <c r="BZ174" s="319"/>
      <c r="CA174" s="319"/>
      <c r="CB174" s="319"/>
      <c r="CC174" s="319"/>
      <c r="CD174" s="319"/>
      <c r="CE174" s="319"/>
      <c r="CF174" s="319"/>
      <c r="CG174" s="319"/>
      <c r="CH174" s="319"/>
      <c r="CI174" s="319"/>
      <c r="CJ174" s="319"/>
      <c r="CK174" s="319"/>
    </row>
    <row r="175" spans="1:89" ht="13.2">
      <c r="A175" s="12"/>
      <c r="B175" s="380" t="str">
        <f>IF($P$174=1,S35,S38)</f>
        <v>Consumo de combustível - caso proposto</v>
      </c>
      <c r="C175" s="34">
        <f>IF($P$174=1,EET!AE1,EET!AB123)*$V$35</f>
        <v>0</v>
      </c>
      <c r="D175" s="34">
        <f>IF($P$174=1,EET!AZ1,EET!AW123)*$V$35</f>
        <v>0</v>
      </c>
      <c r="E175" s="34">
        <f>EET!BK3*$V$35</f>
        <v>0</v>
      </c>
      <c r="F175" s="34">
        <f>SUM(C175:E175)</f>
        <v>0</v>
      </c>
      <c r="G175" s="8"/>
      <c r="H175" s="8"/>
      <c r="I175" s="8"/>
      <c r="J175" s="8"/>
      <c r="K175" s="702"/>
      <c r="L175" s="1"/>
      <c r="M175" s="319"/>
      <c r="N175" s="319">
        <v>4220006</v>
      </c>
      <c r="O175" s="319"/>
      <c r="P175" s="319"/>
      <c r="Q175" s="319" t="str">
        <f>Language!C230</f>
        <v>Demanda de energia</v>
      </c>
      <c r="R175" s="319"/>
      <c r="S175" s="319"/>
      <c r="T175" s="319"/>
      <c r="U175" s="1081"/>
      <c r="V175" s="463"/>
      <c r="W175" s="1070">
        <v>341</v>
      </c>
      <c r="X175" s="463"/>
      <c r="Y175" s="463"/>
      <c r="Z175" s="463"/>
      <c r="AA175" s="463"/>
      <c r="AB175" s="22"/>
      <c r="AC175" s="22"/>
      <c r="AD175" s="463"/>
      <c r="AE175" s="463"/>
      <c r="AF175" s="463"/>
      <c r="AG175" s="22"/>
      <c r="AH175" s="463"/>
      <c r="AI175" s="463"/>
      <c r="AJ175" s="463"/>
      <c r="AK175" s="463"/>
      <c r="AL175" s="463"/>
      <c r="AM175" s="463"/>
      <c r="AN175" s="1092" t="str">
        <f>Language!$C$1329</f>
        <v>pe²</v>
      </c>
      <c r="AO175" s="319"/>
      <c r="AP175" s="319"/>
      <c r="AQ175" s="319"/>
      <c r="AR175" s="319"/>
      <c r="AS175" s="319"/>
      <c r="AT175" s="319"/>
      <c r="AU175" s="319"/>
      <c r="AV175" s="319"/>
      <c r="AW175" s="319"/>
      <c r="AX175" s="319"/>
      <c r="AY175" s="319"/>
      <c r="AZ175" s="319"/>
      <c r="BA175" s="319"/>
      <c r="BB175" s="319"/>
      <c r="BC175" s="319"/>
      <c r="BD175" s="319"/>
      <c r="BE175" s="319"/>
      <c r="BF175" s="319"/>
      <c r="BG175" s="319"/>
      <c r="BH175" s="319"/>
      <c r="BI175" s="319"/>
      <c r="BJ175" s="319"/>
      <c r="BK175" s="319"/>
      <c r="BL175" s="319"/>
      <c r="BM175" s="319"/>
      <c r="BN175" s="319"/>
      <c r="BO175" s="319"/>
      <c r="BP175" s="319"/>
      <c r="BQ175" s="319"/>
      <c r="BR175" s="319"/>
      <c r="BS175" s="319"/>
      <c r="BT175" s="319"/>
      <c r="BU175" s="319"/>
      <c r="BV175" s="319"/>
      <c r="BW175" s="319"/>
      <c r="BX175" s="319"/>
      <c r="BY175" s="319"/>
      <c r="BZ175" s="319"/>
      <c r="CA175" s="319"/>
      <c r="CB175" s="319"/>
      <c r="CC175" s="319"/>
      <c r="CD175" s="319"/>
      <c r="CE175" s="319"/>
      <c r="CF175" s="319"/>
      <c r="CG175" s="319"/>
      <c r="CH175" s="319"/>
      <c r="CI175" s="319"/>
      <c r="CJ175" s="319"/>
      <c r="CK175" s="319"/>
    </row>
    <row r="176" spans="1:89" ht="13.2">
      <c r="A176" s="12"/>
      <c r="B176" s="526" t="str">
        <f>IF($P$174=1,S36,S39)</f>
        <v>Economia de combustível</v>
      </c>
      <c r="C176" s="88">
        <f>C174-C175</f>
        <v>0</v>
      </c>
      <c r="D176" s="88">
        <f>D174-D175</f>
        <v>0</v>
      </c>
      <c r="E176" s="88">
        <f>E174-E175</f>
        <v>0</v>
      </c>
      <c r="F176" s="88">
        <f>SUM(C176:E176)</f>
        <v>0</v>
      </c>
      <c r="G176" s="8"/>
      <c r="H176" s="8"/>
      <c r="I176" s="8"/>
      <c r="J176" s="8"/>
      <c r="K176" s="702"/>
      <c r="L176" s="1"/>
      <c r="M176" s="319"/>
      <c r="N176" s="319">
        <v>4220006</v>
      </c>
      <c r="O176" s="319"/>
      <c r="P176" s="319"/>
      <c r="Q176" s="319"/>
      <c r="R176" s="319"/>
      <c r="S176" s="319"/>
      <c r="T176" s="319"/>
      <c r="U176" s="1081"/>
      <c r="V176" s="463" t="s">
        <v>4398</v>
      </c>
      <c r="W176" s="1096">
        <v>1</v>
      </c>
      <c r="X176" s="852" t="s">
        <v>3499</v>
      </c>
      <c r="Y176" s="853" t="str">
        <f>IF(Iniciar!D37=Language!C80,X177,X178)</f>
        <v>m²</v>
      </c>
      <c r="Z176" s="852" t="s">
        <v>3498</v>
      </c>
      <c r="AA176" s="1100" t="str">
        <f>IF(Iniciar!D37=Language!C80,Z177,Z179)</f>
        <v>L</v>
      </c>
      <c r="AB176" s="1087" t="s">
        <v>4400</v>
      </c>
      <c r="AC176" s="1100" t="str">
        <f>IF(Iniciar!D37=Language!C80,AB178,AB179)</f>
        <v>t</v>
      </c>
      <c r="AD176" s="852" t="s">
        <v>3497</v>
      </c>
      <c r="AE176" s="1072" t="str">
        <f>IF(Iniciar!D37=Language!C80,AD177,AD179)</f>
        <v>m</v>
      </c>
      <c r="AF176" s="852" t="s">
        <v>3500</v>
      </c>
      <c r="AG176" s="854"/>
      <c r="AH176" s="463"/>
      <c r="AI176" s="463"/>
      <c r="AJ176" s="463"/>
      <c r="AK176" s="463"/>
      <c r="AL176" s="463"/>
      <c r="AM176" s="463"/>
      <c r="AN176" s="1092" t="str">
        <f>Language!$C$1366</f>
        <v>L</v>
      </c>
      <c r="AO176" s="319"/>
      <c r="AP176" s="319"/>
      <c r="AQ176" s="319"/>
      <c r="AR176" s="319"/>
      <c r="AS176" s="319"/>
      <c r="AT176" s="319"/>
      <c r="AU176" s="319"/>
      <c r="AV176" s="319"/>
      <c r="AW176" s="319"/>
      <c r="AX176" s="319"/>
      <c r="AY176" s="319"/>
      <c r="AZ176" s="319"/>
      <c r="BA176" s="319"/>
      <c r="BB176" s="319"/>
      <c r="BC176" s="319"/>
      <c r="BD176" s="319"/>
      <c r="BE176" s="319"/>
      <c r="BF176" s="319"/>
      <c r="BG176" s="319"/>
      <c r="BH176" s="319"/>
      <c r="BI176" s="319"/>
      <c r="BJ176" s="319"/>
      <c r="BK176" s="319"/>
      <c r="BL176" s="319"/>
      <c r="BM176" s="319"/>
      <c r="BN176" s="319"/>
      <c r="BO176" s="319"/>
      <c r="BP176" s="319"/>
      <c r="BQ176" s="319"/>
      <c r="BR176" s="319"/>
      <c r="BS176" s="319"/>
      <c r="BT176" s="319"/>
      <c r="BU176" s="319"/>
      <c r="BV176" s="319"/>
      <c r="BW176" s="319"/>
      <c r="BX176" s="319"/>
      <c r="BY176" s="319"/>
      <c r="BZ176" s="319"/>
      <c r="CA176" s="319"/>
      <c r="CB176" s="319"/>
      <c r="CC176" s="319"/>
      <c r="CD176" s="319"/>
      <c r="CE176" s="319"/>
      <c r="CF176" s="319"/>
      <c r="CG176" s="319"/>
      <c r="CH176" s="319"/>
      <c r="CI176" s="319"/>
      <c r="CJ176" s="319"/>
      <c r="CK176" s="319"/>
    </row>
    <row r="177" spans="1:89" ht="13.2">
      <c r="A177" s="12"/>
      <c r="B177" s="526" t="str">
        <f>B176&amp;" - %"</f>
        <v>Economia de combustível - %</v>
      </c>
      <c r="C177" s="902" t="str">
        <f>IF(ISERROR(C176/C174),"",C176/C174)</f>
        <v/>
      </c>
      <c r="D177" s="902" t="str">
        <f>IF(ISERROR(D176/D174),"",D176/D174)</f>
        <v/>
      </c>
      <c r="E177" s="902" t="str">
        <f>IF(ISERROR(E176/E174),"",E176/E174)</f>
        <v/>
      </c>
      <c r="F177" s="902" t="str">
        <f>IF(ISERROR(F176/F174),"",F176/F174)</f>
        <v/>
      </c>
      <c r="G177" s="1010" t="s">
        <v>4189</v>
      </c>
      <c r="H177" s="153" t="str">
        <f>Language!C1970</f>
        <v>Mostrar dado</v>
      </c>
      <c r="I177" s="8"/>
      <c r="J177" s="1209" t="str">
        <f>Language!C42721</f>
        <v>Consulte o banco de dados de referência</v>
      </c>
      <c r="K177" s="1251"/>
      <c r="L177" s="1"/>
      <c r="M177" s="319"/>
      <c r="N177" s="319">
        <v>4220006</v>
      </c>
      <c r="O177">
        <v>4220011</v>
      </c>
      <c r="P177" s="319"/>
      <c r="Q177" s="319"/>
      <c r="R177" s="319"/>
      <c r="S177" s="319"/>
      <c r="T177" s="319"/>
      <c r="U177" s="1081"/>
      <c r="V177" s="463" t="s">
        <v>4399</v>
      </c>
      <c r="W177" s="1096" t="str">
        <f>Language!$C$1374</f>
        <v>m²</v>
      </c>
      <c r="X177" s="1069" t="str">
        <f>Language!$C$1374</f>
        <v>m²</v>
      </c>
      <c r="Y177" s="463">
        <v>1</v>
      </c>
      <c r="Z177" s="1069" t="str">
        <f>Language!$C$1366</f>
        <v>L</v>
      </c>
      <c r="AA177" s="74">
        <v>1</v>
      </c>
      <c r="AB177" s="1098" t="str">
        <f>Language!$C$1352</f>
        <v>kg</v>
      </c>
      <c r="AC177" s="74">
        <v>1000</v>
      </c>
      <c r="AD177" s="1069" t="str">
        <f>Language!$C$1372</f>
        <v>m</v>
      </c>
      <c r="AE177" s="22">
        <v>1</v>
      </c>
      <c r="AF177" s="1069" t="str">
        <f>Language!$C$1357</f>
        <v>kJ</v>
      </c>
      <c r="AG177" s="471">
        <v>3600</v>
      </c>
      <c r="AH177" s="463"/>
      <c r="AI177" s="463" t="str">
        <f>Language!C461</f>
        <v>Descrição</v>
      </c>
      <c r="AJ177" s="1095"/>
      <c r="AK177" s="325">
        <v>0</v>
      </c>
      <c r="AL177" s="463">
        <f>AJ177</f>
        <v>0</v>
      </c>
      <c r="AM177" s="463"/>
      <c r="AN177" s="1092" t="str">
        <f>Language!$C$1375</f>
        <v>m³</v>
      </c>
      <c r="AO177" s="319"/>
      <c r="AR177" s="845"/>
      <c r="AS177" s="319"/>
      <c r="AT177" s="319"/>
      <c r="AU177" s="319"/>
      <c r="AV177" s="319"/>
      <c r="AW177" s="319"/>
      <c r="AX177" s="319"/>
      <c r="AY177" s="319"/>
      <c r="AZ177" s="319"/>
      <c r="BA177" s="319"/>
      <c r="BB177" s="319"/>
      <c r="BC177" s="319"/>
      <c r="BD177" s="319"/>
      <c r="BE177" s="319"/>
      <c r="BF177" s="319"/>
      <c r="BG177" s="319"/>
      <c r="BH177" s="319"/>
      <c r="BI177" s="319"/>
      <c r="BJ177" s="319"/>
      <c r="BK177" s="319"/>
      <c r="BL177" s="319"/>
      <c r="BM177" s="319"/>
      <c r="BN177" s="319"/>
      <c r="BO177" s="319"/>
      <c r="BP177" s="319"/>
      <c r="BQ177" s="319"/>
      <c r="BR177" s="319"/>
      <c r="BS177" s="319"/>
      <c r="BT177" s="319"/>
      <c r="BU177" s="319"/>
      <c r="BV177" s="319"/>
      <c r="BW177" s="319"/>
      <c r="BX177" s="319"/>
      <c r="BY177" s="319"/>
      <c r="BZ177" s="319"/>
      <c r="CA177" s="319"/>
      <c r="CB177" s="319"/>
      <c r="CC177" s="319"/>
      <c r="CD177" s="319"/>
      <c r="CE177" s="319"/>
      <c r="CF177" s="319"/>
      <c r="CG177" s="319"/>
      <c r="CH177" s="319"/>
      <c r="CI177" s="319"/>
      <c r="CJ177" s="319"/>
      <c r="CK177" s="319"/>
    </row>
    <row r="178" spans="1:89" ht="13.2">
      <c r="A178" s="12"/>
      <c r="B178" s="526"/>
      <c r="C178" s="320"/>
      <c r="D178" s="320"/>
      <c r="E178" s="320"/>
      <c r="F178" s="320"/>
      <c r="G178" s="8"/>
      <c r="H178" s="8"/>
      <c r="I178" s="8"/>
      <c r="J178" s="8"/>
      <c r="K178" s="702"/>
      <c r="L178" s="1"/>
      <c r="M178" s="319"/>
      <c r="N178" s="319">
        <v>4220000</v>
      </c>
      <c r="O178" s="319">
        <v>4220009</v>
      </c>
      <c r="P178" s="319"/>
      <c r="Q178" s="319"/>
      <c r="R178" s="319"/>
      <c r="S178" s="319"/>
      <c r="T178" s="319"/>
      <c r="U178" s="1081"/>
      <c r="V178" s="463"/>
      <c r="W178" s="463">
        <f>W176</f>
        <v>1</v>
      </c>
      <c r="X178" s="1097" t="str">
        <f>Language!$C$1329</f>
        <v>pe²</v>
      </c>
      <c r="Y178" s="394">
        <v>10.763910416709725</v>
      </c>
      <c r="Z178" s="1069" t="str">
        <f>Language!$C$1375</f>
        <v>m³</v>
      </c>
      <c r="AA178" s="74">
        <v>1E-3</v>
      </c>
      <c r="AB178" s="1098" t="str">
        <f>Language!$C$1407</f>
        <v>t</v>
      </c>
      <c r="AC178" s="74">
        <v>1</v>
      </c>
      <c r="AD178" s="1069" t="str">
        <f>Language!$C$1345</f>
        <v>po</v>
      </c>
      <c r="AE178" s="22">
        <v>39.370078740157481</v>
      </c>
      <c r="AF178" s="1069" t="str">
        <f>Language!$C$1385</f>
        <v>MJ</v>
      </c>
      <c r="AG178" s="471">
        <v>3.6</v>
      </c>
      <c r="AH178" s="463"/>
      <c r="AI178" s="463" t="str">
        <f>Language!$C$41367</f>
        <v>Referência</v>
      </c>
      <c r="AJ178" s="1095"/>
      <c r="AK178" s="325">
        <v>0</v>
      </c>
      <c r="AL178" s="463">
        <f>AJ178</f>
        <v>0</v>
      </c>
      <c r="AM178" s="463"/>
      <c r="AN178" s="1092" t="str">
        <f>Language!$C$1413</f>
        <v>gal US</v>
      </c>
      <c r="AO178" s="319"/>
      <c r="AR178" s="319"/>
      <c r="AS178" s="319"/>
      <c r="AT178" s="319"/>
      <c r="AU178" s="319"/>
      <c r="AV178" s="319"/>
      <c r="AW178" s="319"/>
      <c r="AX178" s="319"/>
      <c r="AY178" s="319"/>
      <c r="AZ178" s="319"/>
      <c r="BA178" s="319"/>
      <c r="BB178" s="319"/>
      <c r="BC178" s="319"/>
      <c r="BD178" s="319"/>
      <c r="BE178" s="319"/>
      <c r="BF178" s="319"/>
      <c r="BG178" s="319"/>
      <c r="BH178" s="319"/>
      <c r="BI178" s="319"/>
      <c r="BJ178" s="319"/>
      <c r="BK178" s="319"/>
      <c r="BL178" s="319"/>
      <c r="BM178" s="319"/>
      <c r="BN178" s="319"/>
      <c r="BO178" s="319"/>
      <c r="BP178" s="319"/>
      <c r="BQ178" s="319"/>
      <c r="BR178" s="319"/>
      <c r="BS178" s="319"/>
      <c r="BT178" s="319"/>
      <c r="BU178" s="319"/>
      <c r="BV178" s="319"/>
      <c r="BW178" s="319"/>
      <c r="BX178" s="319"/>
      <c r="BY178" s="319"/>
      <c r="BZ178" s="319"/>
      <c r="CA178" s="319"/>
      <c r="CB178" s="319"/>
      <c r="CC178" s="319"/>
      <c r="CD178" s="319"/>
      <c r="CE178" s="319"/>
      <c r="CF178" s="319"/>
      <c r="CG178" s="319"/>
      <c r="CH178" s="319"/>
      <c r="CI178" s="319"/>
      <c r="CJ178" s="319"/>
      <c r="CK178" s="319"/>
    </row>
    <row r="179" spans="1:89" ht="13.2">
      <c r="A179" s="1009"/>
      <c r="B179" s="524" t="str">
        <f>Language!C1505</f>
        <v>Indicador de referência</v>
      </c>
      <c r="C179" s="8"/>
      <c r="D179" s="15"/>
      <c r="E179" s="1073"/>
      <c r="F179" s="1073"/>
      <c r="G179" s="1110"/>
      <c r="H179" s="1110" t="str">
        <f>Language!C40351</f>
        <v>Comparação</v>
      </c>
      <c r="I179" s="1113"/>
      <c r="J179" s="1110"/>
      <c r="K179" s="1075"/>
      <c r="L179" s="1"/>
      <c r="M179" s="319"/>
      <c r="N179" s="319">
        <v>4220008</v>
      </c>
      <c r="O179" s="319">
        <v>4220009</v>
      </c>
      <c r="P179" s="319"/>
      <c r="Q179" s="319"/>
      <c r="R179" s="319"/>
      <c r="S179" s="319"/>
      <c r="T179" s="319"/>
      <c r="U179" s="450"/>
      <c r="V179" s="598" t="s">
        <v>4401</v>
      </c>
      <c r="W179" s="22">
        <v>1</v>
      </c>
      <c r="X179" s="1085"/>
      <c r="Y179" s="463"/>
      <c r="Z179" s="1069" t="str">
        <f>Language!$C$1413</f>
        <v>gal US</v>
      </c>
      <c r="AA179" s="74">
        <v>0.264172052358148</v>
      </c>
      <c r="AB179" s="1099" t="str">
        <f>Language!$C$1367</f>
        <v>lb</v>
      </c>
      <c r="AC179" s="77">
        <v>2204.62262184878</v>
      </c>
      <c r="AD179" s="1097" t="str">
        <f>Language!$C$1327</f>
        <v>pe</v>
      </c>
      <c r="AE179" s="76">
        <v>3.2808398950131199</v>
      </c>
      <c r="AF179" s="1069" t="str">
        <f>Language!$C$1335</f>
        <v>GJ</v>
      </c>
      <c r="AG179" s="471">
        <v>3.5999999999999999E-3</v>
      </c>
      <c r="AH179" s="463"/>
      <c r="AI179" s="463" t="str">
        <f>Language!$C$1153</f>
        <v>Fonte</v>
      </c>
      <c r="AJ179" s="1095"/>
      <c r="AK179" s="325">
        <v>0</v>
      </c>
      <c r="AL179" s="463">
        <f>AJ179</f>
        <v>0</v>
      </c>
      <c r="AM179" s="463"/>
      <c r="AN179" s="1092" t="str">
        <f>Language!$C$1331</f>
        <v>pe³</v>
      </c>
      <c r="AO179" s="319"/>
      <c r="AQ179" s="319"/>
      <c r="AR179" s="319"/>
      <c r="AS179" s="319"/>
      <c r="AT179" s="319"/>
      <c r="AU179" s="319"/>
      <c r="AV179" s="319"/>
      <c r="AW179" s="319"/>
      <c r="AX179" s="319"/>
      <c r="AY179" s="319"/>
      <c r="AZ179" s="319"/>
      <c r="BA179" s="319"/>
      <c r="BB179" s="319"/>
      <c r="BC179" s="319"/>
      <c r="BD179" s="319"/>
      <c r="BE179" s="319"/>
      <c r="BF179" s="319"/>
      <c r="BG179" s="319"/>
      <c r="BH179" s="319"/>
      <c r="BI179" s="319"/>
      <c r="BJ179" s="319"/>
      <c r="BK179" s="319"/>
      <c r="BL179" s="319"/>
      <c r="BM179" s="319"/>
      <c r="BN179" s="319"/>
      <c r="BO179" s="319"/>
      <c r="BP179" s="319"/>
      <c r="BQ179" s="319"/>
      <c r="BR179" s="319"/>
      <c r="BS179" s="319"/>
      <c r="BT179" s="319"/>
      <c r="BU179" s="319"/>
      <c r="BV179" s="319"/>
      <c r="BW179" s="319"/>
      <c r="BX179" s="319"/>
      <c r="BY179" s="319"/>
      <c r="BZ179" s="319"/>
      <c r="CA179" s="319"/>
      <c r="CB179" s="319"/>
      <c r="CC179" s="319"/>
      <c r="CD179" s="319"/>
      <c r="CE179" s="319"/>
      <c r="CF179" s="319"/>
      <c r="CG179" s="319"/>
      <c r="CH179" s="319"/>
      <c r="CI179" s="319"/>
      <c r="CJ179" s="319"/>
      <c r="CK179" s="319"/>
    </row>
    <row r="180" spans="1:89" ht="13.2">
      <c r="A180" s="12"/>
      <c r="B180" s="526" t="str">
        <f>Language!C1630</f>
        <v>Unidade de energia</v>
      </c>
      <c r="C180" s="303" t="s">
        <v>5865</v>
      </c>
      <c r="D180" s="8"/>
      <c r="E180" s="295"/>
      <c r="F180" s="295"/>
      <c r="G180" s="1107"/>
      <c r="H180" s="1116" t="str">
        <f>Language!C631</f>
        <v>País - região</v>
      </c>
      <c r="I180" s="1198"/>
      <c r="J180" s="1198"/>
      <c r="K180" s="1075"/>
      <c r="L180" s="1"/>
      <c r="M180" s="319"/>
      <c r="N180" s="319">
        <v>4220008</v>
      </c>
      <c r="O180">
        <v>4220010</v>
      </c>
      <c r="P180" s="319"/>
      <c r="Q180" s="319"/>
      <c r="R180" s="319"/>
      <c r="S180" s="319">
        <f>VLOOKUP(C180,AF177:AG184,2,FALSE)*1000</f>
        <v>3.6</v>
      </c>
      <c r="T180" s="319"/>
      <c r="U180" s="450"/>
      <c r="V180" s="598" t="s">
        <v>4396</v>
      </c>
      <c r="W180" s="1095" t="b">
        <v>0</v>
      </c>
      <c r="X180" s="1085"/>
      <c r="Y180" s="463"/>
      <c r="Z180" s="1069" t="str">
        <f>Language!$C$1331</f>
        <v>pe³</v>
      </c>
      <c r="AA180" s="74">
        <v>3.53146667214886E-2</v>
      </c>
      <c r="AB180" s="22"/>
      <c r="AC180" s="22"/>
      <c r="AD180" s="1085"/>
      <c r="AE180" s="22"/>
      <c r="AF180" s="1069" t="str">
        <f>Language!$C$1321</f>
        <v>Btu</v>
      </c>
      <c r="AG180" s="471">
        <v>3412.1416331279429</v>
      </c>
      <c r="AH180" s="463"/>
      <c r="AI180" s="463" t="str">
        <f>Language!$C$42542</f>
        <v>Notas</v>
      </c>
      <c r="AJ180" s="1095"/>
      <c r="AK180" s="325">
        <v>0</v>
      </c>
      <c r="AL180" s="463">
        <f>AJ180</f>
        <v>0</v>
      </c>
      <c r="AM180" s="463"/>
      <c r="AN180" s="1092" t="str">
        <f>Language!$C$1347</f>
        <v>po³</v>
      </c>
      <c r="AO180" s="319"/>
      <c r="AP180" s="319"/>
      <c r="AQ180" s="319"/>
      <c r="AR180" s="319"/>
      <c r="AS180" s="319"/>
      <c r="AT180" s="319"/>
      <c r="AU180" s="319"/>
      <c r="AV180" s="319"/>
      <c r="AW180" s="319"/>
      <c r="AX180" s="319"/>
      <c r="AY180" s="319"/>
      <c r="AZ180" s="319"/>
      <c r="BA180" s="319"/>
      <c r="BB180" s="319"/>
      <c r="BC180" s="319"/>
      <c r="BD180" s="319"/>
      <c r="BE180" s="319"/>
      <c r="BF180" s="319"/>
      <c r="BG180" s="319"/>
      <c r="BH180" s="319"/>
      <c r="BI180" s="319"/>
      <c r="BJ180" s="319"/>
      <c r="BK180" s="319"/>
      <c r="BL180" s="319"/>
      <c r="BM180" s="319"/>
      <c r="BN180" s="319"/>
      <c r="BO180" s="319"/>
      <c r="BP180" s="319"/>
      <c r="BQ180" s="319"/>
      <c r="BR180" s="319"/>
      <c r="BS180" s="319"/>
      <c r="BT180" s="319"/>
      <c r="BU180" s="319"/>
      <c r="BV180" s="319"/>
      <c r="BW180" s="319"/>
      <c r="BX180" s="319"/>
      <c r="BY180" s="319"/>
      <c r="BZ180" s="319"/>
      <c r="CA180" s="319"/>
      <c r="CB180" s="319"/>
      <c r="CC180" s="319"/>
      <c r="CD180" s="319"/>
      <c r="CE180" s="319"/>
      <c r="CF180" s="319"/>
      <c r="CG180" s="319"/>
      <c r="CH180" s="319"/>
      <c r="CI180" s="319"/>
      <c r="CJ180" s="319"/>
      <c r="CK180" s="319"/>
    </row>
    <row r="181" spans="1:89" ht="13.2">
      <c r="A181" s="12"/>
      <c r="B181" s="526" t="str">
        <f>Language!C1931</f>
        <v>Unidade de referência</v>
      </c>
      <c r="C181" s="419" t="s">
        <v>5430</v>
      </c>
      <c r="D181" s="307"/>
      <c r="E181" s="295"/>
      <c r="F181" s="295"/>
      <c r="G181" s="1107"/>
      <c r="H181" s="1116" t="str">
        <f>Language!C1647</f>
        <v>Tipo de instalação</v>
      </c>
      <c r="I181" s="1198"/>
      <c r="J181" s="1198"/>
      <c r="K181" s="1075"/>
      <c r="L181" s="1"/>
      <c r="M181" s="319"/>
      <c r="N181" s="319">
        <v>4220008</v>
      </c>
      <c r="O181">
        <v>4220012</v>
      </c>
      <c r="P181" s="494">
        <f>IF(C181=J1173,D182,D181)</f>
        <v>0</v>
      </c>
      <c r="Q181" s="319"/>
      <c r="R181" s="481" t="str">
        <f>$C$222</f>
        <v>kWh</v>
      </c>
      <c r="S181" s="319">
        <v>1000</v>
      </c>
      <c r="T181" s="319"/>
      <c r="U181" s="450"/>
      <c r="V181" s="463" t="s">
        <v>4397</v>
      </c>
      <c r="W181" s="325" t="b">
        <v>0</v>
      </c>
      <c r="X181" s="1085"/>
      <c r="Y181" s="463"/>
      <c r="Z181" s="1069" t="str">
        <f>Language!$C$1347</f>
        <v>po³</v>
      </c>
      <c r="AA181" s="74">
        <v>61.023744094732294</v>
      </c>
      <c r="AB181" s="22"/>
      <c r="AC181" s="22"/>
      <c r="AD181" s="1085"/>
      <c r="AE181" s="22"/>
      <c r="AF181" s="1069" t="str">
        <f>Language!$C$1382</f>
        <v>milhão Btu</v>
      </c>
      <c r="AG181" s="471">
        <v>3.4121416331279425E-3</v>
      </c>
      <c r="AH181" s="463"/>
      <c r="AI181" s="463" t="str">
        <f>Language!C42894</f>
        <v>Caso de referência - %</v>
      </c>
      <c r="AJ181" s="463" t="e">
        <f>$AK$181</f>
        <v>#N/A</v>
      </c>
      <c r="AK181" s="1082" t="e">
        <f>IF(ISERR(AJ190),NA(),AJ190)</f>
        <v>#N/A</v>
      </c>
      <c r="AL181" s="463"/>
      <c r="AM181" s="463"/>
      <c r="AN181" s="1092" t="str">
        <f>Language!$C$1344</f>
        <v>gal imp.</v>
      </c>
      <c r="AO181" s="319"/>
      <c r="AP181" s="319"/>
      <c r="AQ181" s="319"/>
      <c r="AR181" s="319"/>
      <c r="AS181" s="319"/>
      <c r="AT181" s="319"/>
      <c r="AU181" s="319"/>
      <c r="AV181" s="319"/>
      <c r="AW181" s="319"/>
      <c r="AX181" s="319"/>
      <c r="AY181" s="319"/>
      <c r="AZ181" s="319"/>
      <c r="BA181" s="319"/>
      <c r="BB181" s="319"/>
      <c r="BC181" s="319"/>
      <c r="BD181" s="319"/>
      <c r="BE181" s="319"/>
      <c r="BF181" s="319"/>
      <c r="BG181" s="319"/>
      <c r="BH181" s="319"/>
      <c r="BI181" s="319"/>
      <c r="BJ181" s="319"/>
      <c r="BK181" s="319"/>
      <c r="BL181" s="319"/>
      <c r="BM181" s="319"/>
      <c r="BN181" s="319"/>
      <c r="BO181" s="319"/>
      <c r="BP181" s="319"/>
      <c r="BQ181" s="319"/>
      <c r="BR181" s="319"/>
      <c r="BS181" s="319"/>
      <c r="BT181" s="319"/>
      <c r="BU181" s="319"/>
      <c r="BV181" s="319"/>
      <c r="BW181" s="319"/>
      <c r="BX181" s="319"/>
      <c r="BY181" s="319"/>
      <c r="BZ181" s="319"/>
      <c r="CA181" s="319"/>
      <c r="CB181" s="319"/>
      <c r="CC181" s="319"/>
      <c r="CD181" s="319"/>
      <c r="CE181" s="319"/>
      <c r="CF181" s="319"/>
      <c r="CG181" s="319"/>
      <c r="CH181" s="319"/>
      <c r="CI181" s="319"/>
      <c r="CJ181" s="319"/>
      <c r="CK181" s="319"/>
    </row>
    <row r="182" spans="1:89" ht="13.2">
      <c r="A182" s="12"/>
      <c r="B182" s="526" t="str">
        <f>G1183</f>
        <v>Definido pelo usuário</v>
      </c>
      <c r="C182" s="419" t="str">
        <f>C181</f>
        <v>m²</v>
      </c>
      <c r="D182" s="307">
        <v>2000</v>
      </c>
      <c r="E182" s="295"/>
      <c r="F182" s="295"/>
      <c r="G182" s="1107"/>
      <c r="H182" s="1116" t="str">
        <f>Language!C200</f>
        <v>Tipo</v>
      </c>
      <c r="I182" s="1198"/>
      <c r="J182" s="1198"/>
      <c r="K182" s="1075"/>
      <c r="L182" s="1"/>
      <c r="M182" s="319"/>
      <c r="N182" s="319">
        <v>4220008</v>
      </c>
      <c r="O182">
        <v>4220014</v>
      </c>
      <c r="P182" s="319"/>
      <c r="Q182" s="319"/>
      <c r="R182" s="481" t="str">
        <f>$J$1184</f>
        <v>MWh</v>
      </c>
      <c r="S182" s="319">
        <v>1</v>
      </c>
      <c r="T182" s="319"/>
      <c r="U182" s="450"/>
      <c r="V182" s="463"/>
      <c r="W182" s="325" t="b">
        <f>W180</f>
        <v>0</v>
      </c>
      <c r="X182" s="1085"/>
      <c r="Y182" s="463"/>
      <c r="Z182" s="1097" t="str">
        <f>Language!$C$1344</f>
        <v>gal imp.</v>
      </c>
      <c r="AA182" s="77">
        <v>0.21996924829908776</v>
      </c>
      <c r="AB182" s="22"/>
      <c r="AC182" s="22"/>
      <c r="AD182" s="22"/>
      <c r="AE182" s="22"/>
      <c r="AF182" s="1069" t="str">
        <f>Language!$C$1365</f>
        <v>kWh</v>
      </c>
      <c r="AG182" s="471">
        <v>1</v>
      </c>
      <c r="AH182" s="463"/>
      <c r="AI182" s="463" t="str">
        <f>Language!C42895</f>
        <v>Caso proposto - %</v>
      </c>
      <c r="AJ182" s="463" t="e">
        <f>$AK$182</f>
        <v>#N/A</v>
      </c>
      <c r="AK182" s="463" t="e">
        <f>IF(ISERR(AJ191),NA(),AJ191)</f>
        <v>#N/A</v>
      </c>
      <c r="AL182" s="463"/>
      <c r="AM182" s="463"/>
      <c r="AN182" s="1093" t="str">
        <f>Language!$C$1352</f>
        <v>kg</v>
      </c>
      <c r="AO182" s="319"/>
      <c r="AP182" s="319"/>
      <c r="AQ182" s="319"/>
      <c r="AR182" s="319"/>
      <c r="AS182" s="319"/>
      <c r="AT182" s="319"/>
      <c r="AU182" s="319"/>
      <c r="AV182" s="319"/>
      <c r="AW182" s="319"/>
      <c r="AX182" s="319"/>
      <c r="AY182" s="319"/>
      <c r="AZ182" s="319"/>
      <c r="BA182" s="319"/>
      <c r="BB182" s="319"/>
      <c r="BC182" s="319"/>
      <c r="BD182" s="319"/>
      <c r="BE182" s="319"/>
      <c r="BF182" s="319"/>
      <c r="BG182" s="319"/>
      <c r="BH182" s="319"/>
      <c r="BI182" s="319"/>
      <c r="BJ182" s="319"/>
      <c r="BK182" s="319"/>
      <c r="BL182" s="319"/>
      <c r="BM182" s="319"/>
      <c r="BN182" s="319"/>
      <c r="BO182" s="319"/>
      <c r="BP182" s="319"/>
      <c r="BQ182" s="319"/>
      <c r="BR182" s="319"/>
      <c r="BS182" s="319"/>
      <c r="BT182" s="319"/>
      <c r="BU182" s="319"/>
      <c r="BV182" s="319"/>
      <c r="BW182" s="319"/>
      <c r="BX182" s="319"/>
      <c r="BY182" s="319"/>
      <c r="BZ182" s="319"/>
      <c r="CA182" s="319"/>
      <c r="CB182" s="319"/>
      <c r="CC182" s="319"/>
      <c r="CD182" s="319"/>
      <c r="CE182" s="319"/>
      <c r="CF182" s="319"/>
      <c r="CG182" s="319"/>
      <c r="CH182" s="319"/>
      <c r="CI182" s="319"/>
      <c r="CJ182" s="319"/>
      <c r="CK182" s="319"/>
    </row>
    <row r="183" spans="1:89" ht="13.2">
      <c r="A183" s="12"/>
      <c r="B183" s="526"/>
      <c r="C183" s="526"/>
      <c r="D183" s="526"/>
      <c r="E183" s="526"/>
      <c r="F183" s="526"/>
      <c r="G183" s="1107"/>
      <c r="H183" s="1117" t="s">
        <v>6452</v>
      </c>
      <c r="I183" s="1201"/>
      <c r="J183" s="1201"/>
      <c r="K183" s="1075"/>
      <c r="L183" s="1"/>
      <c r="M183" s="319"/>
      <c r="N183" s="319">
        <v>4220008</v>
      </c>
      <c r="O183">
        <v>4220016</v>
      </c>
      <c r="P183" s="319"/>
      <c r="Q183" s="319"/>
      <c r="R183" s="481" t="str">
        <f>Language!C1385</f>
        <v>MJ</v>
      </c>
      <c r="S183" s="319">
        <v>3600</v>
      </c>
      <c r="T183" s="319"/>
      <c r="U183" s="450"/>
      <c r="V183" s="463" t="s">
        <v>3213</v>
      </c>
      <c r="W183" s="325" t="b">
        <v>0</v>
      </c>
      <c r="X183" s="463"/>
      <c r="Y183" s="22"/>
      <c r="Z183" s="22"/>
      <c r="AA183" s="22"/>
      <c r="AB183" s="463"/>
      <c r="AC183" s="463"/>
      <c r="AD183" s="22"/>
      <c r="AE183" s="22"/>
      <c r="AF183" s="1069" t="str">
        <f>Language!$C$1396</f>
        <v>MWh</v>
      </c>
      <c r="AG183" s="471">
        <v>1E-3</v>
      </c>
      <c r="AH183" s="463"/>
      <c r="AI183" s="463"/>
      <c r="AJ183" s="463"/>
      <c r="AK183" s="463"/>
      <c r="AL183" s="463"/>
      <c r="AM183" s="463"/>
      <c r="AN183" s="1093" t="str">
        <f>Language!$C$1407</f>
        <v>t</v>
      </c>
      <c r="AO183" s="319"/>
      <c r="AP183" s="319"/>
      <c r="AQ183" s="319"/>
      <c r="AR183" s="319"/>
      <c r="AS183" s="319"/>
      <c r="AT183" s="319"/>
      <c r="AU183" s="319"/>
      <c r="AV183" s="319"/>
      <c r="AW183" s="319"/>
      <c r="AX183" s="319"/>
      <c r="AY183" s="319"/>
      <c r="AZ183" s="319"/>
      <c r="BA183" s="319"/>
      <c r="BB183" s="319"/>
      <c r="BC183" s="319"/>
      <c r="BD183" s="319"/>
      <c r="BE183" s="319"/>
      <c r="BF183" s="319"/>
      <c r="BG183" s="319"/>
      <c r="BH183" s="319"/>
      <c r="BI183" s="319"/>
      <c r="BJ183" s="319"/>
      <c r="BK183" s="319"/>
      <c r="BL183" s="319"/>
      <c r="BM183" s="319"/>
      <c r="BN183" s="319"/>
      <c r="BO183" s="319"/>
      <c r="BP183" s="319"/>
      <c r="BQ183" s="319"/>
      <c r="BR183" s="319"/>
      <c r="BS183" s="319"/>
      <c r="BT183" s="319"/>
      <c r="BU183" s="319"/>
      <c r="BV183" s="319"/>
      <c r="BW183" s="319"/>
      <c r="BX183" s="319"/>
      <c r="BY183" s="319"/>
      <c r="BZ183" s="319"/>
      <c r="CA183" s="319"/>
      <c r="CB183" s="319"/>
      <c r="CC183" s="319"/>
      <c r="CD183" s="319"/>
      <c r="CE183" s="319"/>
      <c r="CF183" s="319"/>
      <c r="CG183" s="319"/>
      <c r="CH183" s="319"/>
      <c r="CI183" s="319"/>
      <c r="CJ183" s="319"/>
      <c r="CK183" s="319"/>
    </row>
    <row r="184" spans="1:89" ht="25.5" customHeight="1">
      <c r="A184" s="449"/>
      <c r="B184" s="1101" t="str">
        <f>B179</f>
        <v>Indicador de referência</v>
      </c>
      <c r="C184" s="1102" t="str">
        <f>$C$172</f>
        <v>Aquecimento</v>
      </c>
      <c r="D184" s="1102" t="str">
        <f>$D$172</f>
        <v>Refrigeração</v>
      </c>
      <c r="E184" s="1102" t="str">
        <f>$E$172</f>
        <v>Eletricidade</v>
      </c>
      <c r="F184" s="1102" t="str">
        <f>$B$148</f>
        <v>Total</v>
      </c>
      <c r="G184" s="1107"/>
      <c r="H184" s="1114" t="str">
        <f>Language!C42720</f>
        <v>Consumo de combustível</v>
      </c>
      <c r="I184" s="1202"/>
      <c r="J184" s="1202"/>
      <c r="K184" s="1108" t="str">
        <f>Language!$C$1365 &amp; IF(W177="","","/"&amp;W177)</f>
        <v>kWh/m²</v>
      </c>
      <c r="L184" s="1"/>
      <c r="M184" s="319"/>
      <c r="N184" s="319">
        <v>4220008</v>
      </c>
      <c r="O184">
        <v>4220018</v>
      </c>
      <c r="P184" s="319"/>
      <c r="Q184" s="319"/>
      <c r="R184" s="481" t="str">
        <f>Language!C1335</f>
        <v>GJ</v>
      </c>
      <c r="S184" s="319">
        <v>3.6</v>
      </c>
      <c r="T184" s="319"/>
      <c r="U184" s="450"/>
      <c r="V184" s="463" t="s">
        <v>3214</v>
      </c>
      <c r="W184" s="325" t="b">
        <v>0</v>
      </c>
      <c r="X184" s="463"/>
      <c r="Y184" s="22"/>
      <c r="Z184" s="1085"/>
      <c r="AA184" s="22"/>
      <c r="AB184" s="463"/>
      <c r="AC184" s="463"/>
      <c r="AD184" s="22"/>
      <c r="AE184" s="22"/>
      <c r="AF184" s="1097" t="str">
        <f>Language!$C$1338</f>
        <v>GWh</v>
      </c>
      <c r="AG184" s="473">
        <v>9.9999999999999995E-7</v>
      </c>
      <c r="AH184" s="463"/>
      <c r="AI184" s="463"/>
      <c r="AJ184" s="463"/>
      <c r="AK184" s="463"/>
      <c r="AL184" s="463"/>
      <c r="AM184" s="22"/>
      <c r="AN184" s="1093" t="str">
        <f>Language!$C$1367</f>
        <v>lb</v>
      </c>
      <c r="AR184" s="319"/>
      <c r="AS184" s="319"/>
      <c r="AT184" s="319"/>
      <c r="AU184" s="319"/>
      <c r="AV184" s="319"/>
      <c r="AW184" s="319"/>
      <c r="AX184" s="319"/>
      <c r="AY184" s="319"/>
      <c r="AZ184" s="319"/>
      <c r="BA184" s="319"/>
      <c r="BB184" s="319"/>
      <c r="BC184" s="319"/>
      <c r="BD184" s="319"/>
      <c r="BE184" s="319"/>
      <c r="BF184" s="319"/>
      <c r="BG184" s="319"/>
      <c r="BH184" s="319"/>
      <c r="BI184" s="319"/>
      <c r="BJ184" s="319"/>
      <c r="BK184" s="319"/>
      <c r="BL184" s="319"/>
      <c r="BM184" s="319"/>
      <c r="BN184" s="319"/>
      <c r="BO184" s="319"/>
      <c r="BP184" s="319"/>
      <c r="BQ184" s="319"/>
      <c r="BR184" s="319"/>
      <c r="BS184" s="319"/>
      <c r="BT184" s="319"/>
      <c r="BU184" s="319"/>
      <c r="BV184" s="319"/>
      <c r="BW184" s="319"/>
      <c r="BX184" s="319"/>
      <c r="BY184" s="319"/>
      <c r="BZ184" s="319"/>
      <c r="CA184" s="319"/>
      <c r="CB184" s="319"/>
      <c r="CC184" s="319"/>
      <c r="CD184" s="319"/>
      <c r="CE184" s="319"/>
      <c r="CF184" s="319"/>
      <c r="CG184" s="319"/>
      <c r="CH184" s="319"/>
      <c r="CI184" s="319"/>
      <c r="CJ184" s="319"/>
      <c r="CK184" s="319"/>
    </row>
    <row r="185" spans="1:89" ht="12.75" customHeight="1">
      <c r="A185" s="449"/>
      <c r="B185" s="1104" t="str">
        <f>B173</f>
        <v>Consumo de combustível</v>
      </c>
      <c r="C185" s="1105" t="str">
        <f>$C$180&amp;"/"&amp;IF($C$181=$J$1173,$C$182,$C$181)</f>
        <v>GJ/m²</v>
      </c>
      <c r="D185" s="1105" t="str">
        <f>$C$180&amp;"/"&amp;IF($C$181=$J$1173,$C$182,$C$181)</f>
        <v>GJ/m²</v>
      </c>
      <c r="E185" s="1105" t="str">
        <f>$C$180&amp;"/"&amp;IF($C$181=$J$1173,$C$182,$C$181)</f>
        <v>GJ/m²</v>
      </c>
      <c r="F185" s="1106" t="str">
        <f>$C$180&amp;"/"&amp;IF($C$181=$J$1173,$C$182,$C$181)</f>
        <v>GJ/m²</v>
      </c>
      <c r="G185" s="1109" t="s">
        <v>4189</v>
      </c>
      <c r="H185" s="1115" t="str">
        <f>Language!C491</f>
        <v>Mostrar outras unidades</v>
      </c>
      <c r="I185" s="1116"/>
      <c r="J185" s="1116"/>
      <c r="K185" s="1075"/>
      <c r="L185" s="1"/>
      <c r="M185" s="319"/>
      <c r="N185" s="319">
        <v>4220008</v>
      </c>
      <c r="O185" s="319">
        <v>4220020</v>
      </c>
      <c r="P185" s="319"/>
      <c r="Q185" s="319"/>
      <c r="R185" s="481" t="str">
        <f>Language!C1321</f>
        <v>Btu</v>
      </c>
      <c r="S185" s="319">
        <v>3412141.6331279399</v>
      </c>
      <c r="T185" s="319"/>
      <c r="U185" s="450"/>
      <c r="V185" s="463"/>
      <c r="W185" s="325" t="b">
        <f>W183</f>
        <v>0</v>
      </c>
      <c r="X185" s="463"/>
      <c r="Y185" s="22"/>
      <c r="Z185" s="22"/>
      <c r="AA185" s="22"/>
      <c r="AB185" s="463"/>
      <c r="AC185" s="463"/>
      <c r="AD185" s="22"/>
      <c r="AE185" s="22"/>
      <c r="AF185" s="22"/>
      <c r="AG185" s="22"/>
      <c r="AH185" s="463"/>
      <c r="AI185" s="463"/>
      <c r="AJ185" s="463"/>
      <c r="AK185" s="463"/>
      <c r="AL185" s="463"/>
      <c r="AM185" s="22"/>
      <c r="AN185" s="1092" t="str">
        <f>Language!$C$1372</f>
        <v>m</v>
      </c>
      <c r="AO185" s="319"/>
      <c r="AP185" s="319"/>
      <c r="AQ185" s="319"/>
      <c r="AR185" s="319"/>
      <c r="AS185" s="319"/>
      <c r="AT185" s="319"/>
      <c r="AU185" s="319"/>
      <c r="AV185" s="319"/>
      <c r="AW185" s="319"/>
      <c r="AX185" s="319"/>
      <c r="AY185" s="319"/>
      <c r="AZ185" s="319"/>
      <c r="BA185" s="319"/>
      <c r="BB185" s="319"/>
      <c r="BC185" s="319"/>
      <c r="BD185" s="319"/>
      <c r="BE185" s="319"/>
      <c r="BF185" s="319"/>
      <c r="BG185" s="319"/>
      <c r="BH185" s="319"/>
      <c r="BI185" s="319"/>
      <c r="BJ185" s="319"/>
      <c r="BK185" s="319"/>
      <c r="BL185" s="319"/>
      <c r="BM185" s="319"/>
      <c r="BN185" s="319"/>
      <c r="BO185" s="319"/>
      <c r="BP185" s="319"/>
      <c r="BQ185" s="319"/>
      <c r="BR185" s="319"/>
      <c r="BS185" s="319"/>
      <c r="BT185" s="319"/>
      <c r="BU185" s="319"/>
      <c r="BV185" s="319"/>
      <c r="BW185" s="319"/>
      <c r="BX185" s="319"/>
      <c r="BY185" s="319"/>
      <c r="BZ185" s="319"/>
      <c r="CA185" s="319"/>
      <c r="CB185" s="319"/>
      <c r="CC185" s="319"/>
      <c r="CD185" s="319"/>
      <c r="CE185" s="319"/>
      <c r="CF185" s="319"/>
      <c r="CG185" s="319"/>
      <c r="CH185" s="319"/>
      <c r="CI185" s="319"/>
      <c r="CJ185" s="319"/>
      <c r="CK185" s="319"/>
    </row>
    <row r="186" spans="1:89" ht="13.2">
      <c r="A186" s="449"/>
      <c r="B186" s="1118" t="str">
        <f>B174</f>
        <v>Consumo de combustível - caso de referência</v>
      </c>
      <c r="C186" s="1119" t="e">
        <f>FIXED(C174*$S$180/$V$35/$P$181,P188)</f>
        <v>#DIV/0!</v>
      </c>
      <c r="D186" s="1119" t="e">
        <f>FIXED(D174*$S$180/$V$35/$P$181,P188)</f>
        <v>#DIV/0!</v>
      </c>
      <c r="E186" s="1119" t="e">
        <f>FIXED(E174*$S$180/$V$35/$P$181,P188)</f>
        <v>#DIV/0!</v>
      </c>
      <c r="F186" s="1119" t="e">
        <f>IF(P181="","",FIXED(C174*$S$180/$V$35/$P$181+D174*$S$180/$V$35/$P$181+E174*$S$180/$V$35/$P$181,P188))</f>
        <v>#DIV/0!</v>
      </c>
      <c r="G186" s="1107"/>
      <c r="H186" s="1116" t="str">
        <f>Language!C1630</f>
        <v>Unidade de energia</v>
      </c>
      <c r="I186" s="1198" t="s">
        <v>3844</v>
      </c>
      <c r="J186" s="1198"/>
      <c r="K186" s="1075"/>
      <c r="L186" s="1"/>
      <c r="M186" s="319"/>
      <c r="N186" s="319">
        <v>4220008</v>
      </c>
      <c r="O186">
        <v>4220022</v>
      </c>
      <c r="P186" s="319"/>
      <c r="Q186" s="319"/>
      <c r="R186" s="319"/>
      <c r="S186" s="319"/>
      <c r="T186" s="319"/>
      <c r="U186" s="450"/>
      <c r="V186" s="463"/>
      <c r="W186" s="1083" t="str">
        <f>H183</f>
        <v>Descrição</v>
      </c>
      <c r="X186" s="463"/>
      <c r="Y186" s="22"/>
      <c r="Z186" s="463"/>
      <c r="AA186" s="22"/>
      <c r="AB186" s="463"/>
      <c r="AC186" s="463"/>
      <c r="AD186" s="22"/>
      <c r="AE186" s="22"/>
      <c r="AF186" s="22"/>
      <c r="AG186" s="22"/>
      <c r="AH186" s="463"/>
      <c r="AI186" s="1084">
        <f>I183</f>
        <v>0</v>
      </c>
      <c r="AJ186" s="463"/>
      <c r="AK186" s="463"/>
      <c r="AL186" s="463"/>
      <c r="AM186" s="22"/>
      <c r="AN186" s="1092" t="str">
        <f>Language!$C$1345</f>
        <v>po</v>
      </c>
      <c r="AO186" s="319"/>
      <c r="AP186" s="319"/>
      <c r="AQ186" s="319"/>
      <c r="AR186" s="319"/>
      <c r="AS186" s="319"/>
      <c r="AT186" s="319"/>
      <c r="AU186" s="319"/>
      <c r="AV186" s="319"/>
      <c r="AW186" s="319"/>
      <c r="AX186" s="319"/>
      <c r="AY186" s="319"/>
      <c r="AZ186" s="319"/>
      <c r="BA186" s="319"/>
      <c r="BB186" s="319"/>
      <c r="BC186" s="319"/>
      <c r="BD186" s="319"/>
      <c r="BE186" s="319"/>
      <c r="BF186" s="319"/>
      <c r="BG186" s="319"/>
      <c r="BH186" s="319"/>
      <c r="BI186" s="319"/>
      <c r="BJ186" s="319"/>
      <c r="BK186" s="319"/>
      <c r="BL186" s="319"/>
      <c r="BM186" s="319"/>
      <c r="BN186" s="319"/>
      <c r="BO186" s="319"/>
      <c r="BP186" s="319"/>
      <c r="BQ186" s="319"/>
      <c r="BR186" s="319"/>
      <c r="BS186" s="319"/>
      <c r="BT186" s="319"/>
      <c r="BU186" s="319"/>
      <c r="BV186" s="319"/>
      <c r="BW186" s="319"/>
      <c r="BX186" s="319"/>
      <c r="BY186" s="319"/>
      <c r="BZ186" s="319"/>
      <c r="CA186" s="319"/>
      <c r="CB186" s="319"/>
      <c r="CC186" s="319"/>
      <c r="CD186" s="319"/>
      <c r="CE186" s="319"/>
      <c r="CF186" s="319"/>
      <c r="CG186" s="319"/>
      <c r="CH186" s="319"/>
      <c r="CI186" s="319"/>
      <c r="CJ186" s="319"/>
      <c r="CK186" s="319"/>
    </row>
    <row r="187" spans="1:89" ht="13.5" customHeight="1">
      <c r="A187" s="449"/>
      <c r="B187" s="1122" t="str">
        <f>B175</f>
        <v>Consumo de combustível - caso proposto</v>
      </c>
      <c r="C187" s="1123" t="e">
        <f>FIXED(C175*$S$180/$V$35/$P$181,P188)</f>
        <v>#DIV/0!</v>
      </c>
      <c r="D187" s="1123" t="e">
        <f>FIXED(D175*$S$180/$V$35/$P$181,P188)</f>
        <v>#DIV/0!</v>
      </c>
      <c r="E187" s="1123" t="e">
        <f>FIXED(E175*$S$180/$V$35/$P$181,P188)</f>
        <v>#DIV/0!</v>
      </c>
      <c r="F187" s="1124" t="e">
        <f>IF(P181="","",FIXED(C175*$S$180/$V$35/$P$181+D175*$S$180/$V$35/$P$181+E175*$S$180/$V$35/$P$181,P188))</f>
        <v>#DIV/0!</v>
      </c>
      <c r="G187" s="1107"/>
      <c r="H187" s="1116" t="str">
        <f>Language!C1931</f>
        <v>Unidade de referência</v>
      </c>
      <c r="I187" s="1199" t="s">
        <v>5430</v>
      </c>
      <c r="J187" s="1200"/>
      <c r="K187" s="1075"/>
      <c r="L187" s="1"/>
      <c r="M187" s="319"/>
      <c r="N187" s="319">
        <v>4220008</v>
      </c>
      <c r="O187">
        <v>4220024</v>
      </c>
      <c r="P187" s="845" t="e">
        <f>C175*$S$180/$V$35/$P$181+D175*$S$180/$V$35/$P$181+E175*$S$180/$V$35/$P$181</f>
        <v>#DIV/0!</v>
      </c>
      <c r="Q187" s="319"/>
      <c r="R187" s="319"/>
      <c r="S187" s="319"/>
      <c r="T187" s="319"/>
      <c r="U187" s="450"/>
      <c r="V187" s="463"/>
      <c r="W187" s="325" t="s">
        <v>6452</v>
      </c>
      <c r="X187" s="463"/>
      <c r="Y187" s="22"/>
      <c r="Z187" s="463"/>
      <c r="AA187" s="22"/>
      <c r="AB187" s="463"/>
      <c r="AC187" s="463"/>
      <c r="AD187" s="22"/>
      <c r="AE187" s="22"/>
      <c r="AF187" s="1085"/>
      <c r="AG187" s="463"/>
      <c r="AH187" s="463"/>
      <c r="AI187" s="463"/>
      <c r="AJ187" s="463"/>
      <c r="AK187" s="463"/>
      <c r="AL187" s="463"/>
      <c r="AM187" s="22"/>
      <c r="AN187" s="1092" t="str">
        <f>Language!$C$1327</f>
        <v>pe</v>
      </c>
      <c r="AO187" s="319"/>
      <c r="AP187" s="319"/>
      <c r="AQ187" s="319"/>
      <c r="AR187" s="319"/>
      <c r="AS187" s="319"/>
      <c r="AT187" s="319"/>
      <c r="AU187" s="319"/>
      <c r="AV187" s="319"/>
      <c r="AW187" s="319"/>
      <c r="AX187" s="319"/>
      <c r="AY187" s="319"/>
      <c r="AZ187" s="319"/>
      <c r="BA187" s="319"/>
      <c r="BB187" s="319"/>
      <c r="BC187" s="319"/>
      <c r="BD187" s="319"/>
      <c r="BE187" s="319"/>
      <c r="BF187" s="319"/>
      <c r="BG187" s="319"/>
      <c r="BH187" s="319"/>
      <c r="BI187" s="319"/>
      <c r="BJ187" s="319"/>
      <c r="BK187" s="319"/>
      <c r="BL187" s="319"/>
      <c r="BM187" s="319"/>
      <c r="BN187" s="319"/>
      <c r="BO187" s="319"/>
      <c r="BP187" s="319"/>
      <c r="BQ187" s="319"/>
      <c r="BR187" s="319"/>
      <c r="BS187" s="319"/>
      <c r="BT187" s="319"/>
      <c r="BU187" s="319"/>
      <c r="BV187" s="319"/>
      <c r="BW187" s="319"/>
      <c r="BX187" s="319"/>
      <c r="BY187" s="319"/>
      <c r="BZ187" s="319"/>
      <c r="CA187" s="319"/>
      <c r="CB187" s="319"/>
      <c r="CC187" s="319"/>
      <c r="CD187" s="319"/>
      <c r="CE187" s="319"/>
      <c r="CF187" s="319"/>
      <c r="CG187" s="319"/>
      <c r="CH187" s="319"/>
      <c r="CI187" s="319"/>
      <c r="CJ187" s="319"/>
      <c r="CK187" s="319"/>
    </row>
    <row r="188" spans="1:89" ht="25.05" customHeight="1">
      <c r="A188" s="449"/>
      <c r="B188" s="1120" t="str">
        <f>B176</f>
        <v>Economia de combustível</v>
      </c>
      <c r="C188" s="1121" t="e">
        <f>FIXED(C176*$S$180/$V$35/$P$181,P188)</f>
        <v>#DIV/0!</v>
      </c>
      <c r="D188" s="1121" t="e">
        <f>FIXED(D176*$S$180/$V$35/$P$181,P188)</f>
        <v>#DIV/0!</v>
      </c>
      <c r="E188" s="1121" t="e">
        <f>FIXED(E176*$S$180/$V$35/$P$181,P188)</f>
        <v>#DIV/0!</v>
      </c>
      <c r="F188" s="1121" t="e">
        <f>IF(P181="","",FIXED(C176*$S$180/$V$35/$P$181+D176*$S$180/$V$35/$P$181+E176*$S$180/$V$35/$P$181,P188))</f>
        <v>#DIV/0!</v>
      </c>
      <c r="G188" s="1111"/>
      <c r="H188" s="1112" t="str">
        <f>Language!C42720</f>
        <v>Consumo de combustível</v>
      </c>
      <c r="I188" s="1250">
        <f>AI189</f>
        <v>0</v>
      </c>
      <c r="J188" s="1250"/>
      <c r="K188" s="1108" t="str">
        <f>IF(I186="","",I186 &amp; IF(I187="","", "/"&amp;I187))</f>
        <v>kWh/m²</v>
      </c>
      <c r="L188" s="1"/>
      <c r="M188" s="319"/>
      <c r="N188" s="319">
        <v>4220008</v>
      </c>
      <c r="O188">
        <v>4220026</v>
      </c>
      <c r="P188" s="319" t="e">
        <f>IF(P187&gt;100,0,IF(P187&gt;10,1,IF(P187&gt;1,2,IF(P187&gt;0.1,3,IF(P187&gt;0.01,4,5)))))</f>
        <v>#DIV/0!</v>
      </c>
      <c r="Q188" s="319"/>
      <c r="R188" s="319"/>
      <c r="S188" s="319"/>
      <c r="T188" s="319"/>
      <c r="U188" s="450"/>
      <c r="V188" s="70" t="s">
        <v>5561</v>
      </c>
      <c r="W188" s="71">
        <f>IF(ISNA(Y188),IF(ISNA(AA188),IF(ISNA(AC188),IF(ISNA(AE188),1,AE188),AC188),AA188),Y188)</f>
        <v>1</v>
      </c>
      <c r="X188" s="71"/>
      <c r="Y188" s="71">
        <f>VLOOKUP(W177,X177:Y178,2,FALSE)</f>
        <v>1</v>
      </c>
      <c r="Z188" s="71"/>
      <c r="AA188" s="71" t="e">
        <f>VLOOKUP(W177,Z177:AA182,2,FALSE)</f>
        <v>#N/A</v>
      </c>
      <c r="AB188" s="71"/>
      <c r="AC188" s="71" t="e">
        <f>VLOOKUP(W177,AB177:AC179,2,FALSE)</f>
        <v>#N/A</v>
      </c>
      <c r="AD188" s="71"/>
      <c r="AE188" s="71" t="e">
        <f>VLOOKUP(W177,AD177:AE179,2,FALSE)</f>
        <v>#N/A</v>
      </c>
      <c r="AF188" s="1094"/>
      <c r="AG188" s="469"/>
      <c r="AH188" s="470">
        <f>I184*W188</f>
        <v>0</v>
      </c>
      <c r="AI188" s="463"/>
      <c r="AJ188" s="463"/>
      <c r="AK188" s="463"/>
      <c r="AL188" s="463"/>
      <c r="AM188" s="22"/>
      <c r="AN188" s="561" t="str">
        <f>Language!$C$1503</f>
        <v>Cama</v>
      </c>
      <c r="AO188" s="319"/>
      <c r="AP188" s="319"/>
      <c r="AQ188" s="319"/>
      <c r="AR188" s="319"/>
      <c r="AS188" s="319"/>
      <c r="AT188" s="319"/>
      <c r="AU188" s="319"/>
      <c r="AV188" s="319"/>
      <c r="AW188" s="319"/>
      <c r="AX188" s="319"/>
      <c r="AY188" s="319"/>
      <c r="AZ188" s="319"/>
      <c r="BA188" s="319"/>
      <c r="BB188" s="319"/>
      <c r="BC188" s="319"/>
      <c r="BD188" s="319"/>
      <c r="BE188" s="319"/>
      <c r="BF188" s="319"/>
      <c r="BG188" s="319"/>
      <c r="BH188" s="319"/>
      <c r="BI188" s="319"/>
      <c r="BJ188" s="319"/>
      <c r="BK188" s="319"/>
      <c r="BL188" s="319"/>
      <c r="BM188" s="319"/>
      <c r="BN188" s="319"/>
      <c r="BO188" s="319"/>
      <c r="BP188" s="319"/>
      <c r="BQ188" s="319"/>
      <c r="BR188" s="319"/>
      <c r="BS188" s="319"/>
      <c r="BT188" s="319"/>
      <c r="BU188" s="319"/>
      <c r="BV188" s="319"/>
      <c r="BW188" s="319"/>
      <c r="BX188" s="319"/>
      <c r="BY188" s="319"/>
      <c r="BZ188" s="319"/>
      <c r="CA188" s="319"/>
      <c r="CB188" s="319"/>
      <c r="CC188" s="319"/>
      <c r="CD188" s="319"/>
      <c r="CE188" s="319"/>
      <c r="CF188" s="319"/>
      <c r="CG188" s="319"/>
      <c r="CH188" s="319"/>
      <c r="CI188" s="319"/>
      <c r="CJ188" s="319"/>
      <c r="CK188" s="319"/>
    </row>
    <row r="189" spans="1:89" ht="12.75" customHeight="1">
      <c r="A189" s="1103"/>
      <c r="B189" s="1067"/>
      <c r="C189" s="1067"/>
      <c r="D189" s="1067"/>
      <c r="E189" s="1067"/>
      <c r="F189" s="1067"/>
      <c r="G189" s="703"/>
      <c r="H189" s="703"/>
      <c r="I189" s="703"/>
      <c r="J189" s="703"/>
      <c r="K189" s="704"/>
      <c r="L189" s="1"/>
      <c r="M189" s="319"/>
      <c r="N189" s="319">
        <v>4220000</v>
      </c>
      <c r="O189" s="319"/>
      <c r="P189" s="319"/>
      <c r="Q189" s="319"/>
      <c r="R189" s="319"/>
      <c r="S189" s="319"/>
      <c r="T189" s="319"/>
      <c r="U189" s="450"/>
      <c r="V189" s="468" t="s">
        <v>4195</v>
      </c>
      <c r="W189" s="1094">
        <f>IF(ISNA(Y189),IF(ISNA(AA189),IF(ISNA(AC189),IF(ISNA(AE189),1,AE189),AC189),AA189),Y189)</f>
        <v>1</v>
      </c>
      <c r="X189" s="71"/>
      <c r="Y189" s="469">
        <f>VLOOKUP(I187,X177:Y178,2,FALSE)</f>
        <v>1</v>
      </c>
      <c r="Z189" s="71"/>
      <c r="AA189" s="469" t="e">
        <f>VLOOKUP(I187,Z177:AA182,2,FALSE)</f>
        <v>#N/A</v>
      </c>
      <c r="AB189" s="71"/>
      <c r="AC189" s="469" t="e">
        <f>VLOOKUP(I187,AB177:AC179,2,FALSE)</f>
        <v>#N/A</v>
      </c>
      <c r="AD189" s="71"/>
      <c r="AE189" s="469" t="e">
        <f>VLOOKUP(I187,AD177:AE179,2,FALSE)</f>
        <v>#N/A</v>
      </c>
      <c r="AF189" s="469"/>
      <c r="AG189" s="469">
        <f>VLOOKUP(I186,AF177:AG184,2,FALSE)</f>
        <v>1</v>
      </c>
      <c r="AH189" s="469">
        <f>(AH188/W189)*AG189</f>
        <v>0</v>
      </c>
      <c r="AI189" s="470">
        <f>IF(ISNA(AH189),"",AH189)</f>
        <v>0</v>
      </c>
      <c r="AJ189" s="463"/>
      <c r="AK189" s="463"/>
      <c r="AL189" s="463"/>
      <c r="AM189" s="22"/>
      <c r="AN189" s="561" t="str">
        <f>Language!$C$1945</f>
        <v>Local</v>
      </c>
      <c r="AO189" s="319"/>
      <c r="AP189" s="319"/>
      <c r="AQ189" s="319"/>
      <c r="AR189" s="319"/>
      <c r="AS189" s="319"/>
      <c r="AT189" s="319"/>
      <c r="AU189" s="319"/>
      <c r="AV189" s="319"/>
      <c r="AW189" s="319"/>
      <c r="AX189" s="319"/>
      <c r="AY189" s="319"/>
      <c r="AZ189" s="319"/>
      <c r="BA189" s="319"/>
      <c r="BB189" s="319"/>
      <c r="BC189" s="319"/>
      <c r="BD189" s="319"/>
      <c r="BE189" s="319"/>
      <c r="BF189" s="319"/>
      <c r="BG189" s="319"/>
      <c r="BH189" s="319"/>
      <c r="BI189" s="319"/>
      <c r="BJ189" s="319"/>
      <c r="BK189" s="319"/>
      <c r="BL189" s="319"/>
      <c r="BM189" s="319"/>
      <c r="BN189" s="319"/>
      <c r="BO189" s="319"/>
      <c r="BP189" s="319"/>
      <c r="BQ189" s="319"/>
      <c r="BR189" s="319"/>
      <c r="BS189" s="319"/>
      <c r="BT189" s="319"/>
      <c r="BU189" s="319"/>
      <c r="BV189" s="319"/>
      <c r="BW189" s="319"/>
      <c r="BX189" s="319"/>
      <c r="BY189" s="319"/>
      <c r="BZ189" s="319"/>
      <c r="CA189" s="319"/>
      <c r="CB189" s="319"/>
      <c r="CC189" s="319"/>
      <c r="CD189" s="319"/>
      <c r="CE189" s="319"/>
      <c r="CF189" s="319"/>
      <c r="CG189" s="319"/>
      <c r="CH189" s="319"/>
      <c r="CI189" s="319"/>
      <c r="CJ189" s="319"/>
      <c r="CK189" s="319"/>
    </row>
    <row r="190" spans="1:89" ht="13.5" hidden="1" customHeight="1">
      <c r="A190" s="451"/>
      <c r="B190" s="46"/>
      <c r="C190" s="46"/>
      <c r="D190" s="46"/>
      <c r="E190" s="46"/>
      <c r="F190" s="46"/>
      <c r="G190" s="46"/>
      <c r="H190" s="46"/>
      <c r="I190" s="46"/>
      <c r="J190" s="46"/>
      <c r="K190" s="133"/>
      <c r="L190" s="1"/>
      <c r="M190" s="319"/>
      <c r="N190" s="319">
        <v>12000</v>
      </c>
      <c r="O190" s="319"/>
      <c r="P190" s="319"/>
      <c r="Q190" s="319"/>
      <c r="R190" s="319"/>
      <c r="S190" s="319"/>
      <c r="T190" s="319"/>
      <c r="U190" s="450"/>
      <c r="V190" s="852" t="s">
        <v>3903</v>
      </c>
      <c r="W190" s="1071">
        <f>IF(OR(ISNA(Y190),ISNA(Y188)),IF(OR(ISNA(AA190),ISNA(AA188)),IF(OR(ISNA(AC190),ISNA(AC188)),IF(ISNA(AE188),NA(),AE190),AC190),AA190),Y190)</f>
        <v>1</v>
      </c>
      <c r="X190" s="1072"/>
      <c r="Y190" s="853">
        <f>VLOOKUP(C181,X177:Y178,2,FALSE)</f>
        <v>1</v>
      </c>
      <c r="Z190" s="1072"/>
      <c r="AA190" s="853" t="e">
        <f>VLOOKUP(C181,Z177:AA182,2,FALSE)</f>
        <v>#N/A</v>
      </c>
      <c r="AB190" s="1072"/>
      <c r="AC190" s="853" t="e">
        <f>VLOOKUP(C181,AB177:AC179,2,FALSE)</f>
        <v>#N/A</v>
      </c>
      <c r="AD190" s="1072"/>
      <c r="AE190" s="853" t="e">
        <f>VLOOKUP(C181,AD177:AE179,2,FALSE)</f>
        <v>#N/A</v>
      </c>
      <c r="AF190" s="1072"/>
      <c r="AG190" s="853">
        <f>VLOOKUP(C180,AF177:AG184,2,FALSE)</f>
        <v>3.5999999999999999E-3</v>
      </c>
      <c r="AH190" s="1072">
        <f>IF(ISNA(W190),IF(Bench_ref=W177,1,NA()),W190)</f>
        <v>1</v>
      </c>
      <c r="AI190" s="853" t="e">
        <f>(F186*AH190)/AG190</f>
        <v>#DIV/0!</v>
      </c>
      <c r="AJ190" s="1089" t="e">
        <f>(AI190-AH188)/AH188</f>
        <v>#DIV/0!</v>
      </c>
      <c r="AK190" s="463"/>
      <c r="AL190" s="463"/>
      <c r="AM190" s="463"/>
      <c r="AN190" s="561" t="str">
        <f>Language!$C$1882</f>
        <v>Pessoa</v>
      </c>
      <c r="AO190" s="319"/>
      <c r="AP190" s="319"/>
      <c r="AQ190" s="319"/>
      <c r="AR190" s="319"/>
      <c r="AS190" s="319"/>
      <c r="AT190" s="319"/>
      <c r="AU190" s="319"/>
      <c r="AV190" s="319"/>
      <c r="AW190" s="319"/>
      <c r="AX190" s="319"/>
      <c r="AY190" s="319"/>
      <c r="AZ190" s="319"/>
      <c r="BA190" s="319"/>
      <c r="BB190" s="319"/>
      <c r="BC190" s="319"/>
      <c r="BD190" s="319"/>
      <c r="BE190" s="319"/>
      <c r="BF190" s="319"/>
      <c r="BG190" s="319"/>
      <c r="BH190" s="319"/>
      <c r="BI190" s="319"/>
      <c r="BJ190" s="319"/>
      <c r="BK190" s="319"/>
      <c r="BL190" s="319"/>
      <c r="BM190" s="319"/>
      <c r="BN190" s="319"/>
      <c r="BO190" s="319"/>
      <c r="BP190" s="319"/>
      <c r="BQ190" s="319"/>
      <c r="BR190" s="319"/>
      <c r="BS190" s="319"/>
      <c r="BT190" s="319"/>
      <c r="BU190" s="319"/>
      <c r="BV190" s="319"/>
      <c r="BW190" s="319"/>
      <c r="BX190" s="319"/>
      <c r="BY190" s="319"/>
      <c r="BZ190" s="319"/>
      <c r="CA190" s="319"/>
      <c r="CB190" s="319"/>
      <c r="CC190" s="319"/>
      <c r="CD190" s="319"/>
      <c r="CE190" s="319"/>
      <c r="CF190" s="319"/>
      <c r="CG190" s="319"/>
      <c r="CH190" s="319"/>
      <c r="CI190" s="319"/>
      <c r="CJ190" s="319"/>
      <c r="CK190" s="319"/>
    </row>
    <row r="191" spans="1:89" ht="13.5" hidden="1" customHeight="1">
      <c r="A191" s="12"/>
      <c r="B191" s="28"/>
      <c r="C191" s="1"/>
      <c r="D191" s="1"/>
      <c r="E191" s="1"/>
      <c r="F191" s="1"/>
      <c r="G191" s="1"/>
      <c r="H191" s="1"/>
      <c r="I191" s="1"/>
      <c r="J191" s="1"/>
      <c r="K191" s="9"/>
      <c r="L191" s="1"/>
      <c r="M191" s="319"/>
      <c r="N191" s="319">
        <v>5011000</v>
      </c>
      <c r="O191" s="319"/>
      <c r="P191" s="319"/>
      <c r="Q191" s="319"/>
      <c r="R191" s="319"/>
      <c r="S191" s="319"/>
      <c r="T191" s="319"/>
      <c r="U191" s="450"/>
      <c r="V191" s="1090" t="s">
        <v>3904</v>
      </c>
      <c r="W191" s="22"/>
      <c r="X191" s="22"/>
      <c r="Y191" s="22"/>
      <c r="Z191" s="22"/>
      <c r="AA191" s="22"/>
      <c r="AB191" s="22"/>
      <c r="AC191" s="22"/>
      <c r="AD191" s="22"/>
      <c r="AE191" s="22"/>
      <c r="AF191" s="22"/>
      <c r="AG191" s="22"/>
      <c r="AH191" s="22"/>
      <c r="AI191" s="852" t="e">
        <f>(F187*AH190)/AG190</f>
        <v>#DIV/0!</v>
      </c>
      <c r="AJ191" s="854" t="e">
        <f>(AI191-AH188)/AH188</f>
        <v>#DIV/0!</v>
      </c>
      <c r="AK191" s="463"/>
      <c r="AL191" s="463"/>
      <c r="AM191" s="463"/>
      <c r="AN191" s="471" t="str">
        <f>Language!$C$40872</f>
        <v>Domésticos</v>
      </c>
      <c r="AO191" s="319"/>
      <c r="AP191" s="319"/>
      <c r="AQ191" s="319"/>
      <c r="AR191" s="319"/>
      <c r="AS191" s="319"/>
      <c r="AT191" s="319"/>
      <c r="AU191" s="319"/>
      <c r="AV191" s="319"/>
      <c r="AW191" s="319"/>
      <c r="AX191" s="319"/>
      <c r="AY191" s="319"/>
      <c r="AZ191" s="319"/>
      <c r="BA191" s="319"/>
      <c r="BB191" s="319"/>
      <c r="BC191" s="319"/>
      <c r="BD191" s="319"/>
      <c r="BE191" s="319"/>
      <c r="BF191" s="319"/>
      <c r="BG191" s="319"/>
      <c r="BH191" s="319"/>
      <c r="BI191" s="319"/>
      <c r="BJ191" s="319"/>
      <c r="BK191" s="319"/>
      <c r="BL191" s="319"/>
      <c r="BM191" s="319"/>
      <c r="BN191" s="319"/>
      <c r="BO191" s="319"/>
      <c r="BP191" s="319"/>
      <c r="BQ191" s="319"/>
      <c r="BR191" s="319"/>
      <c r="BS191" s="319"/>
      <c r="BT191" s="319"/>
      <c r="BU191" s="319"/>
      <c r="BV191" s="319"/>
      <c r="BW191" s="319"/>
      <c r="BX191" s="319"/>
      <c r="BY191" s="319"/>
      <c r="BZ191" s="319"/>
      <c r="CA191" s="319"/>
      <c r="CB191" s="319"/>
      <c r="CC191" s="319"/>
      <c r="CD191" s="319"/>
      <c r="CE191" s="319"/>
      <c r="CF191" s="319"/>
      <c r="CG191" s="319"/>
      <c r="CH191" s="319"/>
      <c r="CI191" s="319"/>
      <c r="CJ191" s="319"/>
      <c r="CK191" s="319"/>
    </row>
    <row r="192" spans="1:89" ht="13.5" hidden="1" customHeight="1">
      <c r="A192" s="12"/>
      <c r="B192" s="153" t="str">
        <f>Language!C367</f>
        <v>Sistema de produção de eletricidade do caso referência</v>
      </c>
      <c r="C192" s="21"/>
      <c r="D192" s="21"/>
      <c r="E192" s="1"/>
      <c r="F192" s="1"/>
      <c r="G192" s="1"/>
      <c r="H192" s="1"/>
      <c r="I192" s="1"/>
      <c r="J192" s="1"/>
      <c r="K192" s="9"/>
      <c r="L192" s="1"/>
      <c r="M192" s="319"/>
      <c r="N192" s="319">
        <v>5011000</v>
      </c>
      <c r="O192" s="319"/>
      <c r="P192" s="319"/>
      <c r="Q192" s="319"/>
      <c r="R192" s="319"/>
      <c r="S192" s="319"/>
      <c r="T192" s="319"/>
      <c r="U192" s="450"/>
      <c r="V192" s="463"/>
      <c r="W192" s="463"/>
      <c r="X192" s="463"/>
      <c r="Y192" s="463"/>
      <c r="Z192" s="463"/>
      <c r="AA192" s="463"/>
      <c r="AB192" s="463"/>
      <c r="AC192" s="463"/>
      <c r="AD192" s="463"/>
      <c r="AE192" s="463"/>
      <c r="AF192" s="463"/>
      <c r="AG192" s="463"/>
      <c r="AH192" s="463"/>
      <c r="AI192" s="463"/>
      <c r="AJ192" s="463"/>
      <c r="AK192" s="463"/>
      <c r="AL192" s="463"/>
      <c r="AM192" s="463"/>
      <c r="AN192" s="471" t="str">
        <f>Language!$C$42551</f>
        <v>Funcionário</v>
      </c>
      <c r="AO192" s="319"/>
      <c r="AP192" s="319"/>
      <c r="AQ192" s="319"/>
      <c r="AR192" s="319"/>
      <c r="AS192" s="319"/>
      <c r="AT192" s="319"/>
      <c r="AU192" s="319"/>
      <c r="AV192" s="319"/>
      <c r="AW192" s="319"/>
      <c r="AX192" s="319"/>
      <c r="AY192" s="319"/>
      <c r="AZ192" s="319"/>
      <c r="BA192" s="319"/>
      <c r="BB192" s="319"/>
      <c r="BC192" s="319"/>
      <c r="BD192" s="319"/>
      <c r="BE192" s="319"/>
      <c r="BF192" s="319"/>
      <c r="BG192" s="319"/>
      <c r="BH192" s="319"/>
      <c r="BI192" s="319"/>
      <c r="BJ192" s="319"/>
      <c r="BK192" s="319"/>
      <c r="BL192" s="319"/>
      <c r="BM192" s="319"/>
      <c r="BN192" s="319"/>
      <c r="BO192" s="319"/>
      <c r="BP192" s="319"/>
      <c r="BQ192" s="319"/>
      <c r="BR192" s="319"/>
      <c r="BS192" s="319"/>
      <c r="BT192" s="319"/>
      <c r="BU192" s="319"/>
      <c r="BV192" s="319"/>
      <c r="BW192" s="319"/>
      <c r="BX192" s="319"/>
      <c r="BY192" s="319"/>
      <c r="BZ192" s="319"/>
      <c r="CA192" s="319"/>
      <c r="CB192" s="319"/>
      <c r="CC192" s="319"/>
      <c r="CD192" s="319"/>
      <c r="CE192" s="319"/>
      <c r="CF192" s="319"/>
      <c r="CG192" s="319"/>
      <c r="CH192" s="319"/>
      <c r="CI192" s="319"/>
      <c r="CJ192" s="319"/>
      <c r="CK192" s="319"/>
    </row>
    <row r="193" spans="1:89" ht="13.5" hidden="1" customHeight="1">
      <c r="A193" s="12"/>
      <c r="B193" s="8" t="str">
        <f>Language!C586</f>
        <v>Tipo de grid</v>
      </c>
      <c r="C193" s="21"/>
      <c r="D193" s="21" t="str">
        <f>Set_GridType</f>
        <v>Rede Central</v>
      </c>
      <c r="E193" s="1"/>
      <c r="F193" s="1"/>
      <c r="G193" s="1"/>
      <c r="H193" s="1"/>
      <c r="I193" s="1"/>
      <c r="J193" s="1"/>
      <c r="K193" s="9"/>
      <c r="L193" s="1"/>
      <c r="M193" s="319">
        <f>Iniciar!N24</f>
        <v>9</v>
      </c>
      <c r="N193" s="319">
        <v>5011002</v>
      </c>
      <c r="O193" s="319"/>
      <c r="P193" s="319"/>
      <c r="Q193" s="556"/>
      <c r="R193" s="319"/>
      <c r="S193" s="319"/>
      <c r="T193" s="319"/>
      <c r="U193" s="472"/>
      <c r="V193" s="394"/>
      <c r="W193" s="394"/>
      <c r="X193" s="394"/>
      <c r="Y193" s="394"/>
      <c r="Z193" s="394"/>
      <c r="AA193" s="394"/>
      <c r="AB193" s="394"/>
      <c r="AC193" s="394"/>
      <c r="AD193" s="394"/>
      <c r="AE193" s="394"/>
      <c r="AF193" s="394"/>
      <c r="AG193" s="394"/>
      <c r="AH193" s="394"/>
      <c r="AI193" s="394"/>
      <c r="AJ193" s="394"/>
      <c r="AK193" s="394"/>
      <c r="AL193" s="394"/>
      <c r="AM193" s="394"/>
      <c r="AN193" s="1086" t="str">
        <f>$G$1183</f>
        <v>Definido pelo usuário</v>
      </c>
      <c r="AO193" s="319"/>
      <c r="AP193" s="319"/>
      <c r="AQ193" s="319"/>
      <c r="AR193" s="319"/>
      <c r="AS193" s="319"/>
      <c r="AT193" s="319"/>
      <c r="AU193" s="319"/>
      <c r="AV193" s="319"/>
      <c r="AW193" s="319"/>
      <c r="AX193" s="319"/>
      <c r="AY193" s="319"/>
      <c r="AZ193" s="319"/>
      <c r="BA193" s="319"/>
      <c r="BB193" s="319"/>
      <c r="BC193" s="319"/>
      <c r="BD193" s="319"/>
      <c r="BE193" s="319"/>
      <c r="BF193" s="319"/>
      <c r="BG193" s="319"/>
      <c r="BH193" s="319"/>
      <c r="BI193" s="319"/>
      <c r="BJ193" s="319"/>
      <c r="BK193" s="319"/>
      <c r="BL193" s="319"/>
      <c r="BM193" s="319"/>
      <c r="BN193" s="319"/>
      <c r="BO193" s="319"/>
      <c r="BP193" s="319"/>
      <c r="BQ193" s="319"/>
      <c r="BR193" s="319"/>
      <c r="BS193" s="319"/>
      <c r="BT193" s="319"/>
      <c r="BU193" s="319"/>
      <c r="BV193" s="319"/>
      <c r="BW193" s="319"/>
      <c r="BX193" s="319"/>
      <c r="BY193" s="319"/>
      <c r="BZ193" s="319"/>
      <c r="CA193" s="319"/>
      <c r="CB193" s="319"/>
      <c r="CC193" s="319"/>
      <c r="CD193" s="319"/>
      <c r="CE193" s="319"/>
      <c r="CF193" s="319"/>
      <c r="CG193" s="319"/>
      <c r="CH193" s="319"/>
      <c r="CI193" s="319"/>
      <c r="CJ193" s="319"/>
      <c r="CK193" s="319"/>
    </row>
    <row r="194" spans="1:89" ht="13.5" hidden="1" customHeight="1">
      <c r="A194" s="12"/>
      <c r="B194" s="8" t="str">
        <f>Language!C2015</f>
        <v>Tecnologia</v>
      </c>
      <c r="C194" s="1133" t="s">
        <v>6144</v>
      </c>
      <c r="D194" s="1134"/>
      <c r="E194" s="1135"/>
      <c r="F194" s="1"/>
      <c r="G194" s="1"/>
      <c r="H194" s="1"/>
      <c r="I194" s="1"/>
      <c r="J194" s="1"/>
      <c r="K194" s="9"/>
      <c r="L194" s="1"/>
      <c r="M194" s="319">
        <f>IF(C194=J1152,100,0)</f>
        <v>0</v>
      </c>
      <c r="N194" s="319">
        <v>31014</v>
      </c>
      <c r="O194" s="319"/>
      <c r="P194" s="319"/>
      <c r="Q194" s="319"/>
      <c r="R194" s="319"/>
      <c r="S194" s="319"/>
      <c r="T194" s="319"/>
      <c r="U194" s="319"/>
      <c r="V194" s="319"/>
      <c r="W194" s="319"/>
      <c r="X194" s="319"/>
      <c r="Y194" s="319"/>
      <c r="Z194" s="319"/>
      <c r="AA194" s="319"/>
      <c r="AB194" s="319"/>
      <c r="AC194" s="319"/>
      <c r="AD194" s="319"/>
      <c r="AE194" s="319"/>
      <c r="AF194" s="319"/>
      <c r="AG194" s="319"/>
      <c r="AH194" s="319"/>
      <c r="AI194" s="319"/>
      <c r="AJ194" s="319"/>
      <c r="AK194" s="319"/>
      <c r="AL194" s="319"/>
      <c r="AM194" s="319"/>
      <c r="AN194" s="319"/>
      <c r="AO194" s="319"/>
      <c r="AP194" s="319"/>
      <c r="AQ194" s="319"/>
      <c r="AR194" s="319"/>
      <c r="AS194" s="319"/>
      <c r="AT194" s="319"/>
      <c r="AU194" s="319"/>
      <c r="AV194" s="319"/>
      <c r="AW194" s="319"/>
      <c r="AX194" s="319"/>
      <c r="AY194" s="319"/>
      <c r="AZ194" s="319"/>
      <c r="BA194" s="319"/>
      <c r="BB194" s="319"/>
      <c r="BC194" s="319"/>
      <c r="BD194" s="319"/>
      <c r="BE194" s="319"/>
      <c r="BF194" s="319"/>
      <c r="BG194" s="319"/>
      <c r="BH194" s="319"/>
      <c r="BI194" s="319"/>
      <c r="BJ194" s="319"/>
      <c r="BK194" s="319"/>
      <c r="BL194" s="319"/>
      <c r="BM194" s="319"/>
      <c r="BN194" s="319"/>
      <c r="BO194" s="319"/>
      <c r="BP194" s="319"/>
      <c r="BQ194" s="319"/>
      <c r="BR194" s="319"/>
      <c r="BS194" s="319"/>
      <c r="BT194" s="319"/>
      <c r="BU194" s="319"/>
      <c r="BV194" s="319"/>
      <c r="BW194" s="319"/>
      <c r="BX194" s="319"/>
      <c r="BY194" s="319"/>
      <c r="BZ194" s="319"/>
      <c r="CA194" s="319"/>
      <c r="CB194" s="319"/>
      <c r="CC194" s="319"/>
      <c r="CD194" s="319"/>
      <c r="CE194" s="319"/>
      <c r="CF194" s="319"/>
      <c r="CG194" s="319"/>
      <c r="CH194" s="319"/>
      <c r="CI194" s="319"/>
      <c r="CJ194" s="319"/>
      <c r="CK194" s="319"/>
    </row>
    <row r="195" spans="1:89" ht="13.2" hidden="1">
      <c r="A195" s="12"/>
      <c r="B195" s="8" t="str">
        <f>B801</f>
        <v>Tipo de Combustível</v>
      </c>
      <c r="C195" s="1133" t="s">
        <v>7046</v>
      </c>
      <c r="D195" s="1134"/>
      <c r="E195" s="1135"/>
      <c r="F195" s="1"/>
      <c r="G195" s="1"/>
      <c r="H195" s="1"/>
      <c r="I195" s="1"/>
      <c r="J195" s="1"/>
      <c r="K195" s="9"/>
      <c r="L195" s="1"/>
      <c r="M195" s="319"/>
      <c r="N195" s="319">
        <v>2010106</v>
      </c>
      <c r="O195" s="319"/>
      <c r="P195" s="319"/>
      <c r="Q195" s="319"/>
      <c r="R195" s="319"/>
      <c r="S195" s="319"/>
      <c r="T195" s="319"/>
      <c r="U195" s="319"/>
      <c r="V195" s="319"/>
      <c r="W195" s="319"/>
      <c r="X195" s="319"/>
      <c r="Y195" s="319"/>
      <c r="Z195" s="319"/>
      <c r="AA195" s="319"/>
      <c r="AB195" s="319"/>
      <c r="AC195" s="319"/>
      <c r="AD195" s="319"/>
      <c r="AE195" s="319"/>
      <c r="AF195" s="319"/>
      <c r="AG195" s="319"/>
      <c r="AH195" s="319"/>
      <c r="AI195" s="319"/>
      <c r="AJ195" s="319"/>
      <c r="AK195" s="319"/>
      <c r="AL195" s="319"/>
      <c r="AM195" s="319"/>
      <c r="AN195" s="319"/>
      <c r="AO195" s="319"/>
      <c r="AP195" s="319"/>
      <c r="AQ195" s="319"/>
      <c r="AR195" s="319"/>
      <c r="AS195" s="319"/>
      <c r="AT195" s="319"/>
      <c r="AU195" s="319"/>
      <c r="AV195" s="319"/>
      <c r="AW195" s="319"/>
      <c r="AX195" s="319"/>
      <c r="AY195" s="319"/>
      <c r="AZ195" s="319"/>
      <c r="BA195" s="319"/>
      <c r="BB195" s="319"/>
      <c r="BC195" s="319"/>
      <c r="BD195" s="319"/>
      <c r="BE195" s="319"/>
      <c r="BF195" s="319"/>
      <c r="BG195" s="319"/>
      <c r="BH195" s="319"/>
      <c r="BI195" s="319"/>
      <c r="BJ195" s="319"/>
      <c r="BK195" s="319"/>
      <c r="BL195" s="319"/>
      <c r="BM195" s="319"/>
      <c r="BN195" s="319"/>
      <c r="BO195" s="319"/>
      <c r="BP195" s="319"/>
      <c r="BQ195" s="319"/>
      <c r="BR195" s="319"/>
      <c r="BS195" s="319"/>
      <c r="BT195" s="319"/>
      <c r="BU195" s="319"/>
      <c r="BV195" s="319"/>
      <c r="BW195" s="319"/>
      <c r="BX195" s="319"/>
      <c r="BY195" s="319"/>
      <c r="BZ195" s="319"/>
      <c r="CA195" s="319"/>
      <c r="CB195" s="319"/>
      <c r="CC195" s="319"/>
      <c r="CD195" s="319"/>
      <c r="CE195" s="319"/>
      <c r="CF195" s="319"/>
      <c r="CG195" s="319"/>
      <c r="CH195" s="319"/>
      <c r="CI195" s="319"/>
      <c r="CJ195" s="319"/>
      <c r="CK195" s="319"/>
    </row>
    <row r="196" spans="1:89" ht="12.75" hidden="1" customHeight="1">
      <c r="A196" s="12"/>
      <c r="B196" s="8" t="str">
        <f>B804</f>
        <v>Preço do combustível</v>
      </c>
      <c r="C196" s="29" t="str">
        <f>VLOOKUP(Q196,LN_FuelList,5,FALSE)</f>
        <v>€/m³</v>
      </c>
      <c r="D196" s="410"/>
      <c r="E196" s="1"/>
      <c r="F196" s="1"/>
      <c r="G196" s="1"/>
      <c r="H196" s="1"/>
      <c r="I196" s="1"/>
      <c r="J196" s="1"/>
      <c r="K196" s="9"/>
      <c r="L196" s="1"/>
      <c r="M196" s="319"/>
      <c r="N196" s="319">
        <v>2010108</v>
      </c>
      <c r="O196" s="319"/>
      <c r="P196" s="319"/>
      <c r="Q196" s="319" t="str">
        <f>IF(M194=0,C195,F1098)</f>
        <v>Gas natural - m³</v>
      </c>
      <c r="R196" s="319">
        <f>D196/VLOOKUP(Q196,LN_FuelList,4,FALSE)*1000/3.6*IF(M194=100,1000,1)</f>
        <v>0</v>
      </c>
      <c r="S196" s="319" t="s">
        <v>1044</v>
      </c>
      <c r="T196" s="319"/>
      <c r="U196" s="319"/>
      <c r="V196" s="319"/>
      <c r="W196" s="319"/>
      <c r="X196" s="319"/>
      <c r="Y196" s="319"/>
      <c r="Z196" s="319"/>
      <c r="AA196" s="319"/>
      <c r="AB196" s="319"/>
      <c r="AC196" s="319"/>
      <c r="AD196" s="319"/>
      <c r="AE196" s="319"/>
      <c r="AF196" s="319"/>
      <c r="AG196" s="319"/>
      <c r="AH196" s="319"/>
      <c r="AI196" s="319"/>
      <c r="AJ196" s="319"/>
      <c r="AK196" s="319"/>
      <c r="AL196" s="319"/>
      <c r="AM196" s="319"/>
      <c r="AN196" s="319"/>
      <c r="AO196" s="319"/>
      <c r="AP196" s="319"/>
      <c r="AQ196" s="319"/>
      <c r="AR196" s="319"/>
      <c r="AS196" s="319"/>
      <c r="AT196" s="319"/>
      <c r="AU196" s="319"/>
      <c r="AV196" s="319"/>
      <c r="AW196" s="319"/>
      <c r="AX196" s="319"/>
      <c r="AY196" s="319"/>
      <c r="AZ196" s="319"/>
      <c r="BA196" s="319"/>
      <c r="BB196" s="319"/>
      <c r="BC196" s="319"/>
      <c r="BD196" s="319"/>
      <c r="BE196" s="319"/>
      <c r="BF196" s="319"/>
      <c r="BG196" s="319"/>
      <c r="BH196" s="319"/>
      <c r="BI196" s="319"/>
      <c r="BJ196" s="319"/>
      <c r="BK196" s="319"/>
      <c r="BL196" s="319"/>
      <c r="BM196" s="319"/>
      <c r="BN196" s="319"/>
      <c r="BO196" s="319"/>
      <c r="BP196" s="319"/>
      <c r="BQ196" s="319"/>
      <c r="BR196" s="319"/>
      <c r="BS196" s="319"/>
      <c r="BT196" s="319"/>
      <c r="BU196" s="319"/>
      <c r="BV196" s="319"/>
      <c r="BW196" s="319"/>
      <c r="BX196" s="319"/>
      <c r="BY196" s="319"/>
      <c r="BZ196" s="319"/>
      <c r="CA196" s="319"/>
      <c r="CB196" s="319"/>
      <c r="CC196" s="319"/>
      <c r="CD196" s="319"/>
      <c r="CE196" s="319"/>
      <c r="CF196" s="319"/>
      <c r="CG196" s="319"/>
      <c r="CH196" s="319"/>
      <c r="CI196" s="319"/>
      <c r="CJ196" s="319"/>
      <c r="CK196" s="319"/>
    </row>
    <row r="197" spans="1:89" ht="13.5" hidden="1" customHeight="1">
      <c r="A197" s="12"/>
      <c r="B197" s="8" t="str">
        <f>B886</f>
        <v>Capacidade</v>
      </c>
      <c r="C197" s="29" t="str">
        <f>F1169</f>
        <v>kW</v>
      </c>
      <c r="D197" s="755"/>
      <c r="E197" s="1"/>
      <c r="F197" s="1"/>
      <c r="G197" s="1"/>
      <c r="H197" s="1"/>
      <c r="I197" s="1"/>
      <c r="J197" s="1"/>
      <c r="K197" s="9"/>
      <c r="L197" s="1"/>
      <c r="M197" s="319"/>
      <c r="N197" s="319">
        <v>5011010</v>
      </c>
      <c r="O197" s="319"/>
      <c r="P197" s="319"/>
      <c r="Q197" s="319"/>
      <c r="R197" s="319"/>
      <c r="S197" s="319"/>
      <c r="T197" s="319"/>
      <c r="U197" s="319"/>
      <c r="V197" s="319"/>
      <c r="W197" s="319"/>
      <c r="X197" s="319"/>
      <c r="Y197" s="319"/>
      <c r="Z197" s="319"/>
      <c r="AA197" s="319"/>
      <c r="AB197" s="319"/>
      <c r="AC197" s="319"/>
      <c r="AD197" s="319"/>
      <c r="AE197" s="319"/>
      <c r="AF197" s="319"/>
      <c r="AG197" s="319"/>
      <c r="AH197" s="319"/>
      <c r="AI197" s="319"/>
      <c r="AJ197" s="319"/>
      <c r="AK197" s="319"/>
      <c r="AL197" s="319"/>
      <c r="AM197" s="319"/>
      <c r="AN197" s="319"/>
      <c r="AO197" s="319"/>
      <c r="AP197" s="319"/>
      <c r="AQ197" s="319"/>
      <c r="AR197" s="319"/>
      <c r="AS197" s="319"/>
      <c r="AT197" s="319"/>
      <c r="AU197" s="319"/>
      <c r="AV197" s="319"/>
      <c r="AW197" s="319"/>
      <c r="AX197" s="319"/>
      <c r="AY197" s="319"/>
      <c r="AZ197" s="319"/>
      <c r="BA197" s="319"/>
      <c r="BB197" s="319"/>
      <c r="BC197" s="319"/>
      <c r="BD197" s="319"/>
      <c r="BE197" s="319"/>
      <c r="BF197" s="319"/>
      <c r="BG197" s="319"/>
      <c r="BH197" s="319"/>
      <c r="BI197" s="319"/>
      <c r="BJ197" s="319"/>
      <c r="BK197" s="319"/>
      <c r="BL197" s="319"/>
      <c r="BM197" s="319"/>
      <c r="BN197" s="319"/>
      <c r="BO197" s="319"/>
      <c r="BP197" s="319"/>
      <c r="BQ197" s="319"/>
      <c r="BR197" s="319"/>
      <c r="BS197" s="319"/>
      <c r="BT197" s="319"/>
      <c r="BU197" s="319"/>
      <c r="BV197" s="319"/>
      <c r="BW197" s="319"/>
      <c r="BX197" s="319"/>
      <c r="BY197" s="319"/>
      <c r="BZ197" s="319"/>
      <c r="CA197" s="319"/>
      <c r="CB197" s="319"/>
      <c r="CC197" s="319"/>
      <c r="CD197" s="319"/>
      <c r="CE197" s="319"/>
      <c r="CF197" s="319"/>
      <c r="CG197" s="319"/>
      <c r="CH197" s="319"/>
      <c r="CI197" s="319"/>
      <c r="CJ197" s="319"/>
      <c r="CK197" s="319"/>
    </row>
    <row r="198" spans="1:89" ht="13.5" hidden="1" customHeight="1">
      <c r="A198" s="12"/>
      <c r="B198" s="8" t="str">
        <f>Language!C216</f>
        <v>Preço do calor</v>
      </c>
      <c r="C198" s="303" t="s">
        <v>4213</v>
      </c>
      <c r="D198" s="307"/>
      <c r="E198" s="1"/>
      <c r="F198" s="1"/>
      <c r="G198" s="1"/>
      <c r="H198" s="1"/>
      <c r="I198" s="1"/>
      <c r="J198" s="1"/>
      <c r="K198" s="9"/>
      <c r="L198" s="1"/>
      <c r="M198" s="319"/>
      <c r="N198" s="319">
        <v>3011044</v>
      </c>
      <c r="O198" s="319"/>
      <c r="P198" s="319"/>
      <c r="Q198" s="319"/>
      <c r="R198" s="319">
        <f>IF(M194=100,3600,IF(C198=$C$1174,D198,$D$1175*D198))</f>
        <v>0</v>
      </c>
      <c r="S198" s="319" t="s">
        <v>568</v>
      </c>
      <c r="T198" s="319"/>
      <c r="U198" s="319"/>
      <c r="V198" s="319"/>
      <c r="W198" s="319"/>
      <c r="X198" s="319"/>
      <c r="Y198" s="319"/>
      <c r="Z198" s="319"/>
      <c r="AA198" s="319"/>
      <c r="AB198" s="319"/>
      <c r="AC198" s="319"/>
      <c r="AD198" s="319"/>
      <c r="AE198" s="319"/>
      <c r="AF198" s="319"/>
      <c r="AG198" s="319"/>
      <c r="AH198" s="319"/>
      <c r="AI198" s="319"/>
      <c r="AJ198" s="319"/>
      <c r="AK198" s="319"/>
      <c r="AL198" s="319"/>
      <c r="AM198" s="319"/>
      <c r="AN198" s="319"/>
      <c r="AO198" s="319"/>
      <c r="AP198" s="319"/>
      <c r="AQ198" s="319"/>
      <c r="AR198" s="319"/>
      <c r="AS198" s="319"/>
      <c r="AT198" s="319"/>
      <c r="AU198" s="319"/>
      <c r="AV198" s="319"/>
      <c r="AW198" s="319"/>
      <c r="AX198" s="319"/>
      <c r="AY198" s="319"/>
      <c r="AZ198" s="319"/>
      <c r="BA198" s="319"/>
      <c r="BB198" s="319"/>
      <c r="BC198" s="319"/>
      <c r="BD198" s="319"/>
      <c r="BE198" s="319"/>
      <c r="BF198" s="319"/>
      <c r="BG198" s="319"/>
      <c r="BH198" s="319"/>
      <c r="BI198" s="319"/>
      <c r="BJ198" s="319"/>
      <c r="BK198" s="319"/>
      <c r="BL198" s="319"/>
      <c r="BM198" s="319"/>
      <c r="BN198" s="319"/>
      <c r="BO198" s="319"/>
      <c r="BP198" s="319"/>
      <c r="BQ198" s="319"/>
      <c r="BR198" s="319"/>
      <c r="BS198" s="319"/>
      <c r="BT198" s="319"/>
      <c r="BU198" s="319"/>
      <c r="BV198" s="319"/>
      <c r="BW198" s="319"/>
      <c r="BX198" s="319"/>
      <c r="BY198" s="319"/>
      <c r="BZ198" s="319"/>
      <c r="CA198" s="319"/>
      <c r="CB198" s="319"/>
      <c r="CC198" s="319"/>
      <c r="CD198" s="319"/>
      <c r="CE198" s="319"/>
      <c r="CF198" s="319"/>
      <c r="CG198" s="319"/>
      <c r="CH198" s="319"/>
      <c r="CI198" s="319"/>
      <c r="CJ198" s="319"/>
      <c r="CK198" s="319"/>
    </row>
    <row r="199" spans="1:89" ht="13.5" hidden="1" customHeight="1">
      <c r="A199" s="12"/>
      <c r="B199" s="8" t="str">
        <f>Language!C370</f>
        <v>Custo anual O&amp;M</v>
      </c>
      <c r="C199" s="29" t="str">
        <f>Currency</f>
        <v>€</v>
      </c>
      <c r="D199" s="307"/>
      <c r="E199" s="1"/>
      <c r="F199" s="1"/>
      <c r="G199" s="1"/>
      <c r="H199" s="1"/>
      <c r="I199" s="1"/>
      <c r="J199" s="1"/>
      <c r="K199" s="9"/>
      <c r="L199" s="1"/>
      <c r="M199" s="319"/>
      <c r="N199" s="319">
        <v>5011014</v>
      </c>
      <c r="O199" s="319"/>
      <c r="P199" s="319"/>
      <c r="Q199" s="319"/>
      <c r="R199" s="319">
        <f>R198*(D245+D246)/3600</f>
        <v>0</v>
      </c>
      <c r="S199" s="319" t="s">
        <v>1445</v>
      </c>
      <c r="T199" s="319"/>
      <c r="U199" s="319"/>
      <c r="V199" s="319"/>
      <c r="W199" s="319"/>
      <c r="X199" s="319"/>
      <c r="Y199" s="319"/>
      <c r="Z199" s="319"/>
      <c r="AA199" s="319"/>
      <c r="AB199" s="319"/>
      <c r="AC199" s="319"/>
      <c r="AD199" s="319"/>
      <c r="AE199" s="319"/>
      <c r="AF199" s="319"/>
      <c r="AG199" s="319"/>
      <c r="AH199" s="319"/>
      <c r="AI199" s="319"/>
      <c r="AJ199" s="319"/>
      <c r="AK199" s="319"/>
      <c r="AL199" s="319"/>
      <c r="AM199" s="319"/>
      <c r="AN199" s="319"/>
      <c r="AO199" s="319"/>
      <c r="AP199" s="319"/>
      <c r="AQ199" s="319"/>
      <c r="AR199" s="319"/>
      <c r="AS199" s="319"/>
      <c r="AT199" s="319"/>
      <c r="AU199" s="319"/>
      <c r="AV199" s="319"/>
      <c r="AW199" s="319"/>
      <c r="AX199" s="319"/>
      <c r="AY199" s="319"/>
      <c r="AZ199" s="319"/>
      <c r="BA199" s="319"/>
      <c r="BB199" s="319"/>
      <c r="BC199" s="319"/>
      <c r="BD199" s="319"/>
      <c r="BE199" s="319"/>
      <c r="BF199" s="319"/>
      <c r="BG199" s="319"/>
      <c r="BH199" s="319"/>
      <c r="BI199" s="319"/>
      <c r="BJ199" s="319"/>
      <c r="BK199" s="319"/>
      <c r="BL199" s="319"/>
      <c r="BM199" s="319"/>
      <c r="BN199" s="319"/>
      <c r="BO199" s="319"/>
      <c r="BP199" s="319"/>
      <c r="BQ199" s="319"/>
      <c r="BR199" s="319"/>
      <c r="BS199" s="319"/>
      <c r="BT199" s="319"/>
      <c r="BU199" s="319"/>
      <c r="BV199" s="319"/>
      <c r="BW199" s="319"/>
      <c r="BX199" s="319"/>
      <c r="BY199" s="319"/>
      <c r="BZ199" s="319"/>
      <c r="CA199" s="319"/>
      <c r="CB199" s="319"/>
      <c r="CC199" s="319"/>
      <c r="CD199" s="319"/>
      <c r="CE199" s="319"/>
      <c r="CF199" s="319"/>
      <c r="CG199" s="319"/>
      <c r="CH199" s="319"/>
      <c r="CI199" s="319"/>
      <c r="CJ199" s="319"/>
      <c r="CK199" s="319"/>
    </row>
    <row r="200" spans="1:89" ht="13.5" hidden="1" customHeight="1">
      <c r="A200" s="12"/>
      <c r="B200" s="8" t="str">
        <f>B847</f>
        <v>Preço da eletricidade - caso de referência</v>
      </c>
      <c r="C200" s="29" t="str">
        <f>Currency&amp;Language!C1297</f>
        <v>€/kWh</v>
      </c>
      <c r="D200" s="59">
        <f>IF(D245+D246=0,0,D201/(D245+D246)/1000)</f>
        <v>0</v>
      </c>
      <c r="E200" s="1"/>
      <c r="F200" s="1"/>
      <c r="G200" s="1"/>
      <c r="H200" s="1"/>
      <c r="I200" s="1"/>
      <c r="J200" s="1"/>
      <c r="K200" s="9"/>
      <c r="L200" s="1"/>
      <c r="M200" s="319"/>
      <c r="N200" s="319">
        <v>5011016</v>
      </c>
      <c r="O200" s="319"/>
      <c r="P200" s="319"/>
      <c r="Q200" s="319"/>
      <c r="R200" s="319"/>
      <c r="S200" s="319"/>
      <c r="T200" s="319"/>
      <c r="U200" s="319"/>
      <c r="V200" s="319"/>
      <c r="W200" s="319"/>
      <c r="X200" s="319"/>
      <c r="Y200" s="319"/>
      <c r="Z200" s="319"/>
      <c r="AA200" s="319"/>
      <c r="AB200" s="319"/>
      <c r="AC200" s="319"/>
      <c r="AD200" s="319"/>
      <c r="AE200" s="319"/>
      <c r="AF200" s="319"/>
      <c r="AG200" s="319"/>
      <c r="AH200" s="319"/>
      <c r="AI200" s="319"/>
      <c r="AJ200" s="319"/>
      <c r="AK200" s="319"/>
      <c r="AL200" s="319"/>
      <c r="AM200" s="319"/>
      <c r="AN200" s="319"/>
      <c r="AO200" s="319"/>
      <c r="AP200" s="319"/>
      <c r="AQ200" s="319"/>
      <c r="AR200" s="319"/>
      <c r="AS200" s="319"/>
      <c r="AT200" s="319"/>
      <c r="AU200" s="319"/>
      <c r="AV200" s="319"/>
      <c r="AW200" s="319"/>
      <c r="AX200" s="319"/>
      <c r="AY200" s="319"/>
      <c r="AZ200" s="319"/>
      <c r="BA200" s="319"/>
      <c r="BB200" s="319"/>
      <c r="BC200" s="319"/>
      <c r="BD200" s="319"/>
      <c r="BE200" s="319"/>
      <c r="BF200" s="319"/>
      <c r="BG200" s="319"/>
      <c r="BH200" s="319"/>
      <c r="BI200" s="319"/>
      <c r="BJ200" s="319"/>
      <c r="BK200" s="319"/>
      <c r="BL200" s="319"/>
      <c r="BM200" s="319"/>
      <c r="BN200" s="319"/>
      <c r="BO200" s="319"/>
      <c r="BP200" s="319"/>
      <c r="BQ200" s="319"/>
      <c r="BR200" s="319"/>
      <c r="BS200" s="319"/>
      <c r="BT200" s="319"/>
      <c r="BU200" s="319"/>
      <c r="BV200" s="319"/>
      <c r="BW200" s="319"/>
      <c r="BX200" s="319"/>
      <c r="BY200" s="319"/>
      <c r="BZ200" s="319"/>
      <c r="CA200" s="319"/>
      <c r="CB200" s="319"/>
      <c r="CC200" s="319"/>
      <c r="CD200" s="319"/>
      <c r="CE200" s="319"/>
      <c r="CF200" s="319"/>
      <c r="CG200" s="319"/>
      <c r="CH200" s="319"/>
      <c r="CI200" s="319"/>
      <c r="CJ200" s="319"/>
      <c r="CK200" s="319"/>
    </row>
    <row r="201" spans="1:89" ht="13.5" hidden="1" customHeight="1">
      <c r="A201" s="12"/>
      <c r="B201" s="8" t="str">
        <f>B848</f>
        <v>Custo total de eletricidade</v>
      </c>
      <c r="C201" s="29" t="str">
        <f>Currency</f>
        <v>€</v>
      </c>
      <c r="D201" s="30">
        <f>R196*(R199)*3.6+D199</f>
        <v>0</v>
      </c>
      <c r="E201" s="1"/>
      <c r="F201" s="1"/>
      <c r="G201" s="1"/>
      <c r="H201" s="1"/>
      <c r="I201" s="1"/>
      <c r="J201" s="1"/>
      <c r="K201" s="9"/>
      <c r="L201" s="1"/>
      <c r="M201" s="319"/>
      <c r="N201" s="319">
        <v>5011018</v>
      </c>
      <c r="O201" s="319"/>
      <c r="P201" s="319"/>
      <c r="Q201" s="319"/>
      <c r="R201" s="319"/>
      <c r="S201" s="319"/>
      <c r="T201" s="319"/>
      <c r="U201" s="319"/>
      <c r="V201" s="319"/>
      <c r="W201" s="319"/>
      <c r="X201" s="319"/>
      <c r="Y201" s="319"/>
      <c r="Z201" s="319"/>
      <c r="AA201" s="319"/>
      <c r="AB201" s="319"/>
      <c r="AC201" s="319"/>
      <c r="AD201" s="319"/>
      <c r="AE201" s="319"/>
      <c r="AF201" s="319"/>
      <c r="AG201" s="319"/>
      <c r="AH201" s="319"/>
      <c r="AI201" s="319"/>
      <c r="AJ201" s="319"/>
      <c r="AK201" s="319"/>
      <c r="AL201" s="319"/>
      <c r="AM201" s="319"/>
      <c r="AN201" s="319"/>
      <c r="AO201" s="319"/>
      <c r="AP201" s="319"/>
      <c r="AQ201" s="319"/>
      <c r="AR201" s="319"/>
      <c r="AS201" s="319"/>
      <c r="AT201" s="319"/>
      <c r="AU201" s="319"/>
      <c r="AV201" s="319"/>
      <c r="AW201" s="319"/>
      <c r="AX201" s="319"/>
      <c r="AY201" s="319"/>
      <c r="AZ201" s="319"/>
      <c r="BA201" s="319"/>
      <c r="BB201" s="319"/>
      <c r="BC201" s="319"/>
      <c r="BD201" s="319"/>
      <c r="BE201" s="319"/>
      <c r="BF201" s="319"/>
      <c r="BG201" s="319"/>
      <c r="BH201" s="319"/>
      <c r="BI201" s="319"/>
      <c r="BJ201" s="319"/>
      <c r="BK201" s="319"/>
      <c r="BL201" s="319"/>
      <c r="BM201" s="319"/>
      <c r="BN201" s="319"/>
      <c r="BO201" s="319"/>
      <c r="BP201" s="319"/>
      <c r="BQ201" s="319"/>
      <c r="BR201" s="319"/>
      <c r="BS201" s="319"/>
      <c r="BT201" s="319"/>
      <c r="BU201" s="319"/>
      <c r="BV201" s="319"/>
      <c r="BW201" s="319"/>
      <c r="BX201" s="319"/>
      <c r="BY201" s="319"/>
      <c r="BZ201" s="319"/>
      <c r="CA201" s="319"/>
      <c r="CB201" s="319"/>
      <c r="CC201" s="319"/>
      <c r="CD201" s="319"/>
      <c r="CE201" s="319"/>
      <c r="CF201" s="319"/>
      <c r="CG201" s="319"/>
      <c r="CH201" s="319"/>
      <c r="CI201" s="319"/>
      <c r="CJ201" s="319"/>
      <c r="CK201" s="319"/>
    </row>
    <row r="202" spans="1:89" ht="13.5" hidden="1" customHeight="1">
      <c r="A202" s="12"/>
      <c r="B202" s="1"/>
      <c r="C202" s="1"/>
      <c r="D202" s="1"/>
      <c r="E202" s="1"/>
      <c r="F202" s="1"/>
      <c r="G202" s="1"/>
      <c r="H202" s="1"/>
      <c r="I202" s="1"/>
      <c r="J202" s="1"/>
      <c r="K202" s="9"/>
      <c r="L202" s="1"/>
      <c r="M202" s="319"/>
      <c r="N202" s="319">
        <v>5011000</v>
      </c>
      <c r="O202" s="319"/>
      <c r="P202" s="319"/>
      <c r="Q202" s="319"/>
      <c r="R202" s="319"/>
      <c r="S202" s="319"/>
      <c r="T202" s="319"/>
      <c r="U202" s="319"/>
      <c r="V202" s="319"/>
      <c r="W202" s="319"/>
      <c r="X202" s="319"/>
      <c r="Y202" s="319"/>
      <c r="Z202" s="319"/>
      <c r="AA202" s="319"/>
      <c r="AB202" s="319"/>
      <c r="AC202" s="319"/>
      <c r="AD202" s="319"/>
      <c r="AE202" s="319"/>
      <c r="AF202" s="319"/>
      <c r="AG202" s="319"/>
      <c r="AH202" s="319"/>
      <c r="AI202" s="319"/>
      <c r="AJ202" s="319"/>
      <c r="AK202" s="319"/>
      <c r="AL202" s="319"/>
      <c r="AM202" s="319"/>
      <c r="AN202" s="319"/>
      <c r="AO202" s="319"/>
      <c r="AP202" s="319"/>
      <c r="AQ202" s="319"/>
      <c r="AR202" s="319"/>
      <c r="AS202" s="319"/>
      <c r="AT202" s="319"/>
      <c r="AU202" s="319"/>
      <c r="AV202" s="319"/>
      <c r="AW202" s="319"/>
      <c r="AX202" s="319"/>
      <c r="AY202" s="319"/>
      <c r="AZ202" s="319"/>
      <c r="BA202" s="319"/>
      <c r="BB202" s="319"/>
      <c r="BC202" s="319"/>
      <c r="BD202" s="319"/>
      <c r="BE202" s="319"/>
      <c r="BF202" s="319"/>
      <c r="BG202" s="319"/>
      <c r="BH202" s="319"/>
      <c r="BI202" s="319"/>
      <c r="BJ202" s="319"/>
      <c r="BK202" s="319"/>
      <c r="BL202" s="319"/>
      <c r="BM202" s="319"/>
      <c r="BN202" s="319"/>
      <c r="BO202" s="319"/>
      <c r="BP202" s="319"/>
      <c r="BQ202" s="319"/>
      <c r="BR202" s="319"/>
      <c r="BS202" s="319"/>
      <c r="BT202" s="319"/>
      <c r="BU202" s="319"/>
      <c r="BV202" s="319"/>
      <c r="BW202" s="319"/>
      <c r="BX202" s="319"/>
      <c r="BY202" s="319"/>
      <c r="BZ202" s="319"/>
      <c r="CA202" s="319"/>
      <c r="CB202" s="319"/>
      <c r="CC202" s="319"/>
      <c r="CD202" s="319"/>
      <c r="CE202" s="319"/>
      <c r="CF202" s="319"/>
      <c r="CG202" s="319"/>
      <c r="CH202" s="319"/>
      <c r="CI202" s="319"/>
      <c r="CJ202" s="319"/>
      <c r="CK202" s="319"/>
    </row>
    <row r="203" spans="1:89" ht="13.5" hidden="1" customHeight="1">
      <c r="A203" s="12"/>
      <c r="B203" s="28" t="str">
        <f>Language!C1785</f>
        <v>Características da carga</v>
      </c>
      <c r="C203" s="1"/>
      <c r="D203" s="1"/>
      <c r="E203" s="1"/>
      <c r="F203" s="1"/>
      <c r="G203" s="1"/>
      <c r="H203" s="1"/>
      <c r="I203" s="1"/>
      <c r="J203" s="1"/>
      <c r="K203" s="9"/>
      <c r="L203" s="1"/>
      <c r="M203" s="319"/>
      <c r="N203" s="319">
        <v>5012000</v>
      </c>
      <c r="O203" s="319"/>
      <c r="P203" s="319"/>
      <c r="Q203" s="319"/>
      <c r="R203" s="319"/>
      <c r="S203" s="319"/>
      <c r="T203" s="319"/>
      <c r="U203" s="319"/>
      <c r="V203" s="319"/>
      <c r="W203" s="319"/>
      <c r="X203" s="319"/>
      <c r="Y203" s="319"/>
      <c r="Z203" s="319"/>
      <c r="AA203" s="319"/>
      <c r="AB203" s="319"/>
      <c r="AC203" s="319"/>
      <c r="AD203" s="319"/>
      <c r="AE203" s="319"/>
      <c r="AF203" s="319"/>
      <c r="AG203" s="319"/>
      <c r="AH203" s="319"/>
      <c r="AI203" s="319"/>
      <c r="AJ203" s="319"/>
      <c r="AK203" s="319"/>
      <c r="AL203" s="319"/>
      <c r="AM203" s="319"/>
      <c r="AN203" s="319"/>
      <c r="AO203" s="319"/>
      <c r="AP203" s="319"/>
      <c r="AQ203" s="319"/>
      <c r="AR203" s="319"/>
      <c r="AS203" s="319"/>
      <c r="AT203" s="319"/>
      <c r="AU203" s="319"/>
      <c r="AV203" s="319"/>
      <c r="AW203" s="319"/>
      <c r="AX203" s="319"/>
      <c r="AY203" s="319"/>
      <c r="AZ203" s="319"/>
      <c r="BA203" s="319"/>
      <c r="BB203" s="319"/>
      <c r="BC203" s="319"/>
      <c r="BD203" s="319"/>
      <c r="BE203" s="319"/>
      <c r="BF203" s="319"/>
      <c r="BG203" s="319"/>
      <c r="BH203" s="319"/>
      <c r="BI203" s="319"/>
      <c r="BJ203" s="319"/>
      <c r="BK203" s="319"/>
      <c r="BL203" s="319"/>
      <c r="BM203" s="319"/>
      <c r="BN203" s="319"/>
      <c r="BO203" s="319"/>
      <c r="BP203" s="319"/>
      <c r="BQ203" s="319"/>
      <c r="BR203" s="319"/>
      <c r="BS203" s="319"/>
      <c r="BT203" s="319"/>
      <c r="BU203" s="319"/>
      <c r="BV203" s="319"/>
      <c r="BW203" s="319"/>
      <c r="BX203" s="319"/>
      <c r="BY203" s="319"/>
      <c r="BZ203" s="319"/>
      <c r="CA203" s="319"/>
      <c r="CB203" s="319"/>
      <c r="CC203" s="319"/>
      <c r="CD203" s="319"/>
      <c r="CE203" s="319"/>
      <c r="CF203" s="319"/>
      <c r="CG203" s="319"/>
      <c r="CH203" s="319"/>
      <c r="CI203" s="319"/>
      <c r="CJ203" s="319"/>
      <c r="CK203" s="319"/>
    </row>
    <row r="204" spans="1:89" ht="24.75" hidden="1" customHeight="1">
      <c r="A204" s="12"/>
      <c r="B204" s="56"/>
      <c r="C204" s="1031" t="s">
        <v>2057</v>
      </c>
      <c r="D204" s="970" t="str">
        <f>T205&amp;CHAR(10)&amp;T221</f>
        <v xml:space="preserve">Método 1 
Método 2 </v>
      </c>
      <c r="E204" s="1028"/>
      <c r="F204" s="1"/>
      <c r="G204" s="1"/>
      <c r="H204" s="1"/>
      <c r="I204" s="1"/>
      <c r="J204" s="1"/>
      <c r="K204" s="9"/>
      <c r="L204" s="1"/>
      <c r="M204" s="319">
        <f>IF(Q204=TRUE,1,200)</f>
        <v>1</v>
      </c>
      <c r="N204" s="319">
        <v>5012001</v>
      </c>
      <c r="O204" s="319"/>
      <c r="P204" s="319"/>
      <c r="Q204" s="3" t="b">
        <v>1</v>
      </c>
      <c r="R204" s="319"/>
      <c r="S204" s="319"/>
      <c r="T204" s="319"/>
      <c r="U204" s="319"/>
      <c r="V204" s="319"/>
      <c r="W204" s="319"/>
      <c r="X204" s="319"/>
      <c r="Y204" s="319"/>
      <c r="Z204" s="319"/>
      <c r="AA204" s="319"/>
      <c r="AB204" s="319"/>
      <c r="AC204" s="319"/>
      <c r="AD204" s="319"/>
      <c r="AE204" s="319"/>
      <c r="AF204" s="319"/>
      <c r="AG204" s="319"/>
      <c r="AH204" s="319"/>
      <c r="AI204" s="319"/>
      <c r="AJ204" s="319"/>
      <c r="AK204" s="319"/>
      <c r="AL204" s="319"/>
      <c r="AM204" s="319"/>
      <c r="AN204" s="319"/>
      <c r="AO204" s="319"/>
      <c r="AP204" s="319"/>
      <c r="AQ204" s="319"/>
      <c r="AR204" s="319"/>
      <c r="AS204" s="319"/>
      <c r="AT204" s="319"/>
      <c r="AU204" s="319"/>
      <c r="AV204" s="319"/>
      <c r="AW204" s="319"/>
      <c r="AX204" s="319"/>
      <c r="AY204" s="319"/>
      <c r="AZ204" s="319"/>
      <c r="BA204" s="319"/>
      <c r="BB204" s="319"/>
      <c r="BC204" s="319"/>
      <c r="BD204" s="319"/>
      <c r="BE204" s="319"/>
      <c r="BF204" s="319"/>
      <c r="BG204" s="319"/>
      <c r="BH204" s="319"/>
      <c r="BI204" s="319"/>
      <c r="BJ204" s="319"/>
      <c r="BK204" s="319"/>
      <c r="BL204" s="319"/>
      <c r="BM204" s="319"/>
      <c r="BN204" s="319"/>
      <c r="BO204" s="319"/>
      <c r="BP204" s="319"/>
      <c r="BQ204" s="319"/>
      <c r="BR204" s="319"/>
      <c r="BS204" s="319"/>
      <c r="BT204" s="319"/>
      <c r="BU204" s="319"/>
      <c r="BV204" s="319"/>
      <c r="BW204" s="319"/>
      <c r="BX204" s="319"/>
      <c r="BY204" s="319"/>
      <c r="BZ204" s="319"/>
      <c r="CA204" s="319"/>
      <c r="CB204" s="319"/>
      <c r="CC204" s="319"/>
      <c r="CD204" s="319"/>
      <c r="CE204" s="319"/>
      <c r="CF204" s="319"/>
      <c r="CG204" s="319"/>
      <c r="CH204" s="319"/>
      <c r="CI204" s="319"/>
      <c r="CJ204" s="319"/>
      <c r="CK204" s="319"/>
    </row>
    <row r="205" spans="1:89" ht="13.5" hidden="1" customHeight="1">
      <c r="A205" s="12"/>
      <c r="B205" s="39"/>
      <c r="C205" s="1"/>
      <c r="D205" s="1"/>
      <c r="E205" s="1"/>
      <c r="F205" s="1"/>
      <c r="G205" s="1"/>
      <c r="H205" s="1"/>
      <c r="I205" s="1"/>
      <c r="J205" s="1"/>
      <c r="K205" s="9"/>
      <c r="L205" s="1"/>
      <c r="M205" s="319"/>
      <c r="N205" s="319">
        <v>5012003</v>
      </c>
      <c r="O205" s="319"/>
      <c r="P205" s="319"/>
      <c r="Q205" s="3" t="b">
        <v>0</v>
      </c>
      <c r="R205" s="319"/>
      <c r="S205" s="319"/>
      <c r="T205" s="319" t="str">
        <f>Language!C1811</f>
        <v xml:space="preserve">Método 1 </v>
      </c>
      <c r="U205" s="319"/>
      <c r="V205" s="319"/>
      <c r="W205" s="319"/>
      <c r="X205" s="319"/>
      <c r="Y205" s="319"/>
      <c r="Z205" s="319"/>
      <c r="AA205" s="319"/>
      <c r="AB205" s="319"/>
      <c r="AC205" s="319"/>
      <c r="AD205" s="319"/>
      <c r="AE205" s="319"/>
      <c r="AF205" s="319"/>
      <c r="AG205" s="319"/>
      <c r="AH205" s="319"/>
      <c r="AI205" s="319"/>
      <c r="AJ205" s="319"/>
      <c r="AK205" s="319"/>
      <c r="AL205" s="319"/>
      <c r="AM205" s="319"/>
      <c r="AN205" s="319"/>
      <c r="AO205" s="319"/>
      <c r="AP205" s="319"/>
      <c r="AQ205" s="319"/>
      <c r="AR205" s="319"/>
      <c r="AS205" s="319"/>
      <c r="AT205" s="319"/>
      <c r="AU205" s="319"/>
      <c r="AV205" s="319"/>
      <c r="AW205" s="319"/>
      <c r="AX205" s="319"/>
      <c r="AY205" s="319"/>
      <c r="AZ205" s="319"/>
      <c r="BA205" s="319"/>
      <c r="BB205" s="319"/>
      <c r="BC205" s="319"/>
      <c r="BD205" s="319"/>
      <c r="BE205" s="319"/>
      <c r="BF205" s="319"/>
      <c r="BG205" s="319"/>
      <c r="BH205" s="319"/>
      <c r="BI205" s="319"/>
      <c r="BJ205" s="319"/>
      <c r="BK205" s="319"/>
      <c r="BL205" s="319"/>
      <c r="BM205" s="319"/>
      <c r="BN205" s="319"/>
      <c r="BO205" s="319"/>
      <c r="BP205" s="319"/>
      <c r="BQ205" s="319"/>
      <c r="BR205" s="319"/>
      <c r="BS205" s="319"/>
      <c r="BT205" s="319"/>
      <c r="BU205" s="319"/>
      <c r="BV205" s="319"/>
      <c r="BW205" s="319"/>
      <c r="BX205" s="319"/>
      <c r="BY205" s="319"/>
      <c r="BZ205" s="319"/>
      <c r="CA205" s="319"/>
      <c r="CB205" s="319"/>
      <c r="CC205" s="319"/>
      <c r="CD205" s="319"/>
      <c r="CE205" s="319"/>
      <c r="CF205" s="319"/>
      <c r="CG205" s="319"/>
      <c r="CH205" s="319"/>
      <c r="CI205" s="319"/>
      <c r="CJ205" s="319"/>
      <c r="CK205" s="319"/>
    </row>
    <row r="206" spans="1:89" ht="51" hidden="1" customHeight="1">
      <c r="A206" s="12"/>
      <c r="B206" s="1171" t="str">
        <f>Language!C461</f>
        <v>Descrição</v>
      </c>
      <c r="C206" s="1220" t="str">
        <f>Language!C1460</f>
        <v>CA/CC</v>
      </c>
      <c r="D206" s="1220" t="str">
        <f>Language!C1760</f>
        <v>Recurso intermitente - correlação de carga</v>
      </c>
      <c r="E206" s="20" t="str">
        <f>Language!C1499</f>
        <v>Carga do caso de referência</v>
      </c>
      <c r="F206" s="20" t="str">
        <f>Language!C1736</f>
        <v>Horas de uso por dia</v>
      </c>
      <c r="G206" s="20" t="str">
        <f>Language!C1583</f>
        <v>Dias de uso por semana</v>
      </c>
      <c r="H206" s="20" t="str">
        <f>Language!C1917</f>
        <v>Redução de carga do caso proposto</v>
      </c>
      <c r="I206" s="20" t="str">
        <f>Language!C1918</f>
        <v>Redução do tempo de utilização do caso proposto</v>
      </c>
      <c r="J206" s="329"/>
      <c r="K206" s="9"/>
      <c r="L206" s="1"/>
      <c r="M206" s="319"/>
      <c r="N206" s="319">
        <v>5012003</v>
      </c>
      <c r="O206" s="319"/>
      <c r="P206" s="319"/>
      <c r="Q206" s="319"/>
      <c r="R206" s="319"/>
      <c r="S206" s="556"/>
      <c r="T206" s="556"/>
      <c r="U206" s="556"/>
      <c r="V206" s="556"/>
      <c r="W206" s="556"/>
      <c r="X206" s="556"/>
      <c r="Y206" s="556"/>
      <c r="Z206" s="319"/>
      <c r="AA206" s="319"/>
      <c r="AB206" s="319"/>
      <c r="AC206" s="319"/>
      <c r="AD206" s="319"/>
      <c r="AE206" s="319"/>
      <c r="AF206" s="319"/>
      <c r="AG206" s="319"/>
      <c r="AH206" s="319"/>
      <c r="AI206" s="319"/>
      <c r="AJ206" s="319"/>
      <c r="AK206" s="319"/>
      <c r="AL206" s="319"/>
      <c r="AM206" s="319"/>
      <c r="AN206" s="319"/>
      <c r="AO206" s="319"/>
      <c r="AP206" s="319"/>
      <c r="AQ206" s="319"/>
      <c r="AR206" s="319"/>
      <c r="AS206" s="319"/>
      <c r="AT206" s="319"/>
      <c r="AU206" s="319"/>
      <c r="AV206" s="319"/>
      <c r="AW206" s="319"/>
      <c r="AX206" s="319"/>
      <c r="AY206" s="319"/>
      <c r="AZ206" s="319"/>
      <c r="BA206" s="319"/>
      <c r="BB206" s="319"/>
      <c r="BC206" s="319"/>
      <c r="BD206" s="319"/>
      <c r="BE206" s="319"/>
      <c r="BF206" s="319"/>
      <c r="BG206" s="319"/>
      <c r="BH206" s="319"/>
      <c r="BI206" s="319"/>
      <c r="BJ206" s="319"/>
      <c r="BK206" s="319"/>
      <c r="BL206" s="319"/>
      <c r="BM206" s="319"/>
      <c r="BN206" s="319"/>
      <c r="BO206" s="319"/>
      <c r="BP206" s="319"/>
      <c r="BQ206" s="319"/>
      <c r="BR206" s="319"/>
      <c r="BS206" s="319"/>
      <c r="BT206" s="319"/>
      <c r="BU206" s="319"/>
      <c r="BV206" s="319"/>
      <c r="BW206" s="319"/>
      <c r="BX206" s="319"/>
      <c r="BY206" s="319"/>
      <c r="BZ206" s="319"/>
      <c r="CA206" s="319"/>
      <c r="CB206" s="319"/>
      <c r="CC206" s="319"/>
      <c r="CD206" s="319"/>
      <c r="CE206" s="319"/>
      <c r="CF206" s="319"/>
      <c r="CG206" s="319"/>
      <c r="CH206" s="319"/>
      <c r="CI206" s="319"/>
      <c r="CJ206" s="319"/>
      <c r="CK206" s="319"/>
    </row>
    <row r="207" spans="1:89" ht="13.2" hidden="1">
      <c r="A207" s="12"/>
      <c r="B207" s="1171"/>
      <c r="C207" s="1208"/>
      <c r="D207" s="1208"/>
      <c r="E207" s="308" t="s">
        <v>4455</v>
      </c>
      <c r="F207" s="196" t="str">
        <f>Language!C2208</f>
        <v>h/d</v>
      </c>
      <c r="G207" s="196" t="str">
        <f>Language!C2199</f>
        <v>d/sem</v>
      </c>
      <c r="H207" s="196" t="str">
        <f>C254</f>
        <v>%</v>
      </c>
      <c r="I207" s="196" t="str">
        <f>C254</f>
        <v>%</v>
      </c>
      <c r="J207" s="329"/>
      <c r="K207" s="136"/>
      <c r="L207" s="1"/>
      <c r="M207" s="319"/>
      <c r="N207" s="319">
        <v>5012003</v>
      </c>
      <c r="O207" s="319"/>
      <c r="P207" s="319"/>
      <c r="Q207" s="319"/>
      <c r="R207" s="319">
        <f>IF($E$207=$F$1168,0.001,1)</f>
        <v>1E-3</v>
      </c>
      <c r="S207" s="319" t="s">
        <v>5162</v>
      </c>
      <c r="T207" s="319" t="s">
        <v>2055</v>
      </c>
      <c r="U207" s="319"/>
      <c r="V207" s="319"/>
      <c r="W207" s="319"/>
      <c r="X207" s="319"/>
      <c r="Y207" s="319" t="s">
        <v>452</v>
      </c>
      <c r="Z207" s="319" t="s">
        <v>2876</v>
      </c>
      <c r="AA207" s="319" t="s">
        <v>2938</v>
      </c>
      <c r="AB207" s="319" t="s">
        <v>2808</v>
      </c>
      <c r="AC207" s="319"/>
      <c r="AD207" s="319"/>
      <c r="AE207" s="319"/>
      <c r="AF207" s="319"/>
      <c r="AG207" s="319"/>
      <c r="AH207" s="319"/>
      <c r="AI207" s="319"/>
      <c r="AJ207" s="319"/>
      <c r="AK207" s="319"/>
      <c r="AL207" s="319"/>
      <c r="AM207" s="319"/>
      <c r="AN207" s="319"/>
      <c r="AO207" s="319"/>
      <c r="AP207" s="319"/>
      <c r="AQ207" s="319"/>
      <c r="AR207" s="319"/>
      <c r="AS207" s="319"/>
      <c r="AT207" s="319"/>
      <c r="AU207" s="319"/>
      <c r="AV207" s="319"/>
      <c r="AW207" s="319"/>
      <c r="AX207" s="319"/>
      <c r="AY207" s="319"/>
      <c r="AZ207" s="319"/>
      <c r="BA207" s="319"/>
      <c r="BB207" s="319"/>
      <c r="BC207" s="319"/>
      <c r="BD207" s="319"/>
      <c r="BE207" s="319"/>
      <c r="BF207" s="319"/>
      <c r="BG207" s="319"/>
      <c r="BH207" s="319"/>
      <c r="BI207" s="319"/>
      <c r="BJ207" s="319"/>
      <c r="BK207" s="319"/>
      <c r="BL207" s="319"/>
      <c r="BM207" s="319"/>
      <c r="BN207" s="319"/>
      <c r="BO207" s="319"/>
      <c r="BP207" s="319"/>
      <c r="BQ207" s="319"/>
      <c r="BR207" s="319"/>
      <c r="BS207" s="319"/>
      <c r="BT207" s="319"/>
      <c r="BU207" s="319"/>
      <c r="BV207" s="319"/>
      <c r="BW207" s="319"/>
      <c r="BX207" s="319"/>
      <c r="BY207" s="319"/>
      <c r="BZ207" s="319"/>
      <c r="CA207" s="319"/>
      <c r="CB207" s="319"/>
      <c r="CC207" s="319"/>
      <c r="CD207" s="319"/>
      <c r="CE207" s="319"/>
      <c r="CF207" s="319"/>
      <c r="CG207" s="319"/>
      <c r="CH207" s="319"/>
      <c r="CI207" s="319"/>
      <c r="CJ207" s="319"/>
      <c r="CK207" s="319"/>
    </row>
    <row r="208" spans="1:89" ht="13.5" hidden="1" customHeight="1">
      <c r="A208" s="12"/>
      <c r="B208" s="334"/>
      <c r="C208" s="303"/>
      <c r="D208" s="306"/>
      <c r="E208" s="367"/>
      <c r="F208" s="367"/>
      <c r="G208" s="303"/>
      <c r="H208" s="159"/>
      <c r="I208" s="159"/>
      <c r="J208" s="329"/>
      <c r="K208" s="9"/>
      <c r="L208" s="1"/>
      <c r="M208" s="319"/>
      <c r="N208" s="319">
        <v>5012003</v>
      </c>
      <c r="O208" s="319"/>
      <c r="P208" s="319"/>
      <c r="Q208" s="319"/>
      <c r="R208" s="319"/>
      <c r="S208" s="319">
        <f>IF(C208=$D$1168,E208*F208*G208/7,0)*$R$207*IF(D208="",0,1)</f>
        <v>0</v>
      </c>
      <c r="T208" s="319">
        <f>IF(C208=$D$1169,E208*F208*G208/7,0)*$R$207*IF(D208="",0,1)</f>
        <v>0</v>
      </c>
      <c r="U208" s="319">
        <f>S208*(1-I208)*(1-H208)</f>
        <v>0</v>
      </c>
      <c r="V208" s="319">
        <f>T208*(1-H208)*(1-I208)</f>
        <v>0</v>
      </c>
      <c r="W208" s="319"/>
      <c r="X208" s="319"/>
      <c r="Y208" s="319">
        <f>U208+IF(OR($P$254=0,$P$254=""),0,V208/($P$254*(1-$P$255)))</f>
        <v>0</v>
      </c>
      <c r="Z208" s="319"/>
      <c r="AA208" s="319"/>
      <c r="AB208" s="319"/>
      <c r="AC208" s="319"/>
      <c r="AD208" s="319"/>
      <c r="AE208" s="319"/>
      <c r="AF208" s="319"/>
      <c r="AG208" s="319"/>
      <c r="AH208" s="319"/>
      <c r="AI208" s="319"/>
      <c r="AJ208" s="319"/>
      <c r="AK208" s="319"/>
      <c r="AL208" s="319"/>
      <c r="AM208" s="319"/>
      <c r="AN208" s="319"/>
      <c r="AO208" s="319"/>
      <c r="AP208" s="319"/>
      <c r="AQ208" s="319"/>
      <c r="AR208" s="319"/>
      <c r="AS208" s="319"/>
      <c r="AT208" s="319"/>
      <c r="AU208" s="319"/>
      <c r="AV208" s="319"/>
      <c r="AW208" s="319"/>
      <c r="AX208" s="319"/>
      <c r="AY208" s="319"/>
      <c r="AZ208" s="319"/>
      <c r="BA208" s="319"/>
      <c r="BB208" s="319"/>
      <c r="BC208" s="319"/>
      <c r="BD208" s="319"/>
      <c r="BE208" s="319"/>
      <c r="BF208" s="319"/>
      <c r="BG208" s="319"/>
      <c r="BH208" s="319"/>
      <c r="BI208" s="319"/>
      <c r="BJ208" s="319"/>
      <c r="BK208" s="319"/>
      <c r="BL208" s="319"/>
      <c r="BM208" s="319"/>
      <c r="BN208" s="319"/>
      <c r="BO208" s="319"/>
      <c r="BP208" s="319"/>
      <c r="BQ208" s="319"/>
      <c r="BR208" s="319"/>
      <c r="BS208" s="319"/>
      <c r="BT208" s="319"/>
      <c r="BU208" s="319"/>
      <c r="BV208" s="319"/>
      <c r="BW208" s="319"/>
      <c r="BX208" s="319"/>
      <c r="BY208" s="319"/>
      <c r="BZ208" s="319"/>
      <c r="CA208" s="319"/>
      <c r="CB208" s="319"/>
      <c r="CC208" s="319"/>
      <c r="CD208" s="319"/>
      <c r="CE208" s="319"/>
      <c r="CF208" s="319"/>
      <c r="CG208" s="319"/>
      <c r="CH208" s="319"/>
      <c r="CI208" s="319"/>
      <c r="CJ208" s="319"/>
      <c r="CK208" s="319"/>
    </row>
    <row r="209" spans="1:89" ht="13.5" hidden="1" customHeight="1">
      <c r="A209" s="12"/>
      <c r="B209" s="334"/>
      <c r="C209" s="303"/>
      <c r="D209" s="303"/>
      <c r="E209" s="367"/>
      <c r="F209" s="367"/>
      <c r="G209" s="303"/>
      <c r="H209" s="159"/>
      <c r="I209" s="159"/>
      <c r="J209" s="329"/>
      <c r="K209" s="9"/>
      <c r="L209" s="1"/>
      <c r="M209" s="319"/>
      <c r="N209" s="319">
        <v>5012003</v>
      </c>
      <c r="O209" s="319"/>
      <c r="P209" s="319"/>
      <c r="Q209" s="319"/>
      <c r="R209" s="319"/>
      <c r="S209" s="319">
        <f t="shared" ref="S209:S219" si="15">IF(C209=$D$1168,E209*F209*G209/7,0)*$R$207*IF(D209="",0,1)</f>
        <v>0</v>
      </c>
      <c r="T209" s="319">
        <f t="shared" ref="T209:T219" si="16">IF(C209=$D$1169,E209*F209*G209/7,0)*$R$207*IF(D209="",0,1)</f>
        <v>0</v>
      </c>
      <c r="U209" s="319">
        <f t="shared" ref="U209:U219" si="17">S209*(1-I209)*(1-H209)</f>
        <v>0</v>
      </c>
      <c r="V209" s="319">
        <f t="shared" ref="V209:V219" si="18">T209*(1-H209)*(1-I209)</f>
        <v>0</v>
      </c>
      <c r="W209" s="319"/>
      <c r="X209" s="319"/>
      <c r="Y209" s="319">
        <f t="shared" ref="Y209:Y219" si="19">U209+IF(OR($P$254=0,$P$254=""),0,V209/($P$254*(1-$P$255)))</f>
        <v>0</v>
      </c>
      <c r="Z209" s="319"/>
      <c r="AA209" s="319"/>
      <c r="AB209" s="319"/>
      <c r="AC209" s="319"/>
      <c r="AD209" s="319" t="s">
        <v>3534</v>
      </c>
      <c r="AE209" s="319"/>
      <c r="AF209" s="319"/>
      <c r="AG209" s="319"/>
      <c r="AH209" s="319"/>
      <c r="AI209" s="319"/>
      <c r="AJ209" s="319"/>
      <c r="AK209" s="319"/>
      <c r="AL209" s="319"/>
      <c r="AM209" s="319"/>
      <c r="AN209" s="319"/>
      <c r="AO209" s="319"/>
      <c r="AP209" s="319"/>
      <c r="AQ209" s="319"/>
      <c r="AR209" s="319"/>
      <c r="AS209" s="319"/>
      <c r="AT209" s="319"/>
      <c r="AU209" s="319"/>
      <c r="AV209" s="319"/>
      <c r="AW209" s="319"/>
      <c r="AX209" s="319"/>
      <c r="AY209" s="319"/>
      <c r="AZ209" s="319"/>
      <c r="BA209" s="319"/>
      <c r="BB209" s="319"/>
      <c r="BC209" s="319"/>
      <c r="BD209" s="319"/>
      <c r="BE209" s="319"/>
      <c r="BF209" s="319"/>
      <c r="BG209" s="319"/>
      <c r="BH209" s="319"/>
      <c r="BI209" s="319"/>
      <c r="BJ209" s="319"/>
      <c r="BK209" s="319"/>
      <c r="BL209" s="319"/>
      <c r="BM209" s="319"/>
      <c r="BN209" s="319"/>
      <c r="BO209" s="319"/>
      <c r="BP209" s="319"/>
      <c r="BQ209" s="319"/>
      <c r="BR209" s="319"/>
      <c r="BS209" s="319"/>
      <c r="BT209" s="319"/>
      <c r="BU209" s="319"/>
      <c r="BV209" s="319"/>
      <c r="BW209" s="319"/>
      <c r="BX209" s="319"/>
      <c r="BY209" s="319"/>
      <c r="BZ209" s="319"/>
      <c r="CA209" s="319"/>
      <c r="CB209" s="319"/>
      <c r="CC209" s="319"/>
      <c r="CD209" s="319"/>
      <c r="CE209" s="319"/>
      <c r="CF209" s="319"/>
      <c r="CG209" s="319"/>
      <c r="CH209" s="319"/>
      <c r="CI209" s="319"/>
      <c r="CJ209" s="319"/>
      <c r="CK209" s="319"/>
    </row>
    <row r="210" spans="1:89" ht="13.5" hidden="1" customHeight="1">
      <c r="A210" s="12"/>
      <c r="B210" s="334"/>
      <c r="C210" s="303"/>
      <c r="D210" s="303"/>
      <c r="E210" s="367"/>
      <c r="F210" s="367"/>
      <c r="G210" s="303"/>
      <c r="H210" s="159"/>
      <c r="I210" s="159"/>
      <c r="J210" s="329"/>
      <c r="K210" s="9"/>
      <c r="L210" s="1"/>
      <c r="M210" s="319"/>
      <c r="N210" s="319">
        <v>5012003</v>
      </c>
      <c r="O210" s="319"/>
      <c r="P210" s="319"/>
      <c r="Q210" s="319"/>
      <c r="R210" s="319"/>
      <c r="S210" s="319">
        <f t="shared" si="15"/>
        <v>0</v>
      </c>
      <c r="T210" s="319">
        <f t="shared" si="16"/>
        <v>0</v>
      </c>
      <c r="U210" s="319">
        <f t="shared" si="17"/>
        <v>0</v>
      </c>
      <c r="V210" s="319">
        <f t="shared" si="18"/>
        <v>0</v>
      </c>
      <c r="W210" s="319"/>
      <c r="X210" s="319"/>
      <c r="Y210" s="319">
        <f t="shared" si="19"/>
        <v>0</v>
      </c>
      <c r="Z210" s="319"/>
      <c r="AA210" s="319"/>
      <c r="AB210" s="319"/>
      <c r="AC210" s="319"/>
      <c r="AD210" s="319" t="s">
        <v>135</v>
      </c>
      <c r="AE210" s="319"/>
      <c r="AF210" s="319"/>
      <c r="AG210" s="319"/>
      <c r="AH210" s="319">
        <f>V224+IF($P$254=0,0,IF(V225&gt;0,V225/($P$254*(1-$P$255)),0))</f>
        <v>0</v>
      </c>
      <c r="AI210" s="319"/>
      <c r="AJ210" s="319"/>
      <c r="AK210" s="319"/>
      <c r="AL210" s="319"/>
      <c r="AM210" s="319"/>
      <c r="AN210" s="319"/>
      <c r="AO210" s="319"/>
      <c r="AP210" s="319"/>
      <c r="AQ210" s="319"/>
      <c r="AR210" s="319"/>
      <c r="AS210" s="319"/>
      <c r="AT210" s="319"/>
      <c r="AU210" s="319"/>
      <c r="AV210" s="319"/>
      <c r="AW210" s="319"/>
      <c r="AX210" s="319"/>
      <c r="AY210" s="319"/>
      <c r="AZ210" s="319"/>
      <c r="BA210" s="319"/>
      <c r="BB210" s="319"/>
      <c r="BC210" s="319"/>
      <c r="BD210" s="319"/>
      <c r="BE210" s="319"/>
      <c r="BF210" s="319"/>
      <c r="BG210" s="319"/>
      <c r="BH210" s="319"/>
      <c r="BI210" s="319"/>
      <c r="BJ210" s="319"/>
      <c r="BK210" s="319"/>
      <c r="BL210" s="319"/>
      <c r="BM210" s="319"/>
      <c r="BN210" s="319"/>
      <c r="BO210" s="319"/>
      <c r="BP210" s="319"/>
      <c r="BQ210" s="319"/>
      <c r="BR210" s="319"/>
      <c r="BS210" s="319"/>
      <c r="BT210" s="319"/>
      <c r="BU210" s="319"/>
      <c r="BV210" s="319"/>
      <c r="BW210" s="319"/>
      <c r="BX210" s="319"/>
      <c r="BY210" s="319"/>
      <c r="BZ210" s="319"/>
      <c r="CA210" s="319"/>
      <c r="CB210" s="319"/>
      <c r="CC210" s="319"/>
      <c r="CD210" s="319"/>
      <c r="CE210" s="319"/>
      <c r="CF210" s="319"/>
      <c r="CG210" s="319"/>
      <c r="CH210" s="319"/>
      <c r="CI210" s="319"/>
      <c r="CJ210" s="319"/>
      <c r="CK210" s="319"/>
    </row>
    <row r="211" spans="1:89" ht="13.5" hidden="1" customHeight="1">
      <c r="A211" s="12"/>
      <c r="B211" s="334"/>
      <c r="C211" s="303"/>
      <c r="D211" s="303"/>
      <c r="E211" s="367"/>
      <c r="F211" s="367"/>
      <c r="G211" s="303"/>
      <c r="H211" s="159"/>
      <c r="I211" s="159"/>
      <c r="J211" s="329"/>
      <c r="K211" s="9"/>
      <c r="L211" s="1"/>
      <c r="M211" s="319"/>
      <c r="N211" s="319">
        <v>5012003</v>
      </c>
      <c r="O211" s="319"/>
      <c r="P211" s="319"/>
      <c r="Q211" s="319"/>
      <c r="R211" s="319"/>
      <c r="S211" s="319">
        <f t="shared" si="15"/>
        <v>0</v>
      </c>
      <c r="T211" s="319">
        <f t="shared" si="16"/>
        <v>0</v>
      </c>
      <c r="U211" s="319">
        <f t="shared" si="17"/>
        <v>0</v>
      </c>
      <c r="V211" s="319">
        <f t="shared" si="18"/>
        <v>0</v>
      </c>
      <c r="W211" s="319"/>
      <c r="X211" s="319"/>
      <c r="Y211" s="319">
        <f t="shared" si="19"/>
        <v>0</v>
      </c>
      <c r="Z211" s="319"/>
      <c r="AA211" s="319"/>
      <c r="AB211" s="319"/>
      <c r="AC211" s="319"/>
      <c r="AD211" s="319" t="s">
        <v>136</v>
      </c>
      <c r="AE211" s="319"/>
      <c r="AF211" s="319"/>
      <c r="AG211" s="319"/>
      <c r="AH211" s="319">
        <f>IF(Q204=FALSE,Z220,IF(E226=E1168,AH210,0))</f>
        <v>0</v>
      </c>
      <c r="AI211" s="319"/>
      <c r="AJ211" s="319"/>
      <c r="AK211" s="319"/>
      <c r="AL211" s="319"/>
      <c r="AM211" s="319"/>
      <c r="AN211" s="319"/>
      <c r="AO211" s="319"/>
      <c r="AP211" s="319"/>
      <c r="AQ211" s="319"/>
      <c r="AR211" s="319"/>
      <c r="AS211" s="319"/>
      <c r="AT211" s="319"/>
      <c r="AU211" s="319"/>
      <c r="AV211" s="319"/>
      <c r="AW211" s="319"/>
      <c r="AX211" s="319"/>
      <c r="AY211" s="319"/>
      <c r="AZ211" s="319"/>
      <c r="BA211" s="319"/>
      <c r="BB211" s="319"/>
      <c r="BC211" s="319"/>
      <c r="BD211" s="319"/>
      <c r="BE211" s="319"/>
      <c r="BF211" s="319"/>
      <c r="BG211" s="319"/>
      <c r="BH211" s="319"/>
      <c r="BI211" s="319"/>
      <c r="BJ211" s="319"/>
      <c r="BK211" s="319"/>
      <c r="BL211" s="319"/>
      <c r="BM211" s="319"/>
      <c r="BN211" s="319"/>
      <c r="BO211" s="319"/>
      <c r="BP211" s="319"/>
      <c r="BQ211" s="319"/>
      <c r="BR211" s="319"/>
      <c r="BS211" s="319"/>
      <c r="BT211" s="319"/>
      <c r="BU211" s="319"/>
      <c r="BV211" s="319"/>
      <c r="BW211" s="319"/>
      <c r="BX211" s="319"/>
      <c r="BY211" s="319"/>
      <c r="BZ211" s="319"/>
      <c r="CA211" s="319"/>
      <c r="CB211" s="319"/>
      <c r="CC211" s="319"/>
      <c r="CD211" s="319"/>
      <c r="CE211" s="319"/>
      <c r="CF211" s="319"/>
      <c r="CG211" s="319"/>
      <c r="CH211" s="319"/>
      <c r="CI211" s="319"/>
      <c r="CJ211" s="319"/>
      <c r="CK211" s="319"/>
    </row>
    <row r="212" spans="1:89" ht="13.5" hidden="1" customHeight="1">
      <c r="A212" s="12"/>
      <c r="B212" s="334"/>
      <c r="C212" s="303"/>
      <c r="D212" s="303"/>
      <c r="E212" s="367"/>
      <c r="F212" s="367"/>
      <c r="G212" s="303"/>
      <c r="H212" s="159"/>
      <c r="I212" s="159"/>
      <c r="J212" s="329"/>
      <c r="K212" s="9"/>
      <c r="L212" s="1"/>
      <c r="M212" s="319"/>
      <c r="N212" s="319">
        <v>5012003</v>
      </c>
      <c r="O212" s="319"/>
      <c r="P212" s="319"/>
      <c r="Q212" s="319"/>
      <c r="R212" s="319"/>
      <c r="S212" s="319">
        <f t="shared" si="15"/>
        <v>0</v>
      </c>
      <c r="T212" s="319">
        <f t="shared" si="16"/>
        <v>0</v>
      </c>
      <c r="U212" s="319">
        <f t="shared" si="17"/>
        <v>0</v>
      </c>
      <c r="V212" s="319">
        <f t="shared" si="18"/>
        <v>0</v>
      </c>
      <c r="W212" s="319"/>
      <c r="X212" s="319"/>
      <c r="Y212" s="319">
        <f t="shared" si="19"/>
        <v>0</v>
      </c>
      <c r="Z212" s="319"/>
      <c r="AA212" s="319"/>
      <c r="AB212" s="319"/>
      <c r="AC212" s="319"/>
      <c r="AD212" s="319" t="s">
        <v>1984</v>
      </c>
      <c r="AE212" s="319"/>
      <c r="AF212" s="319"/>
      <c r="AG212" s="319"/>
      <c r="AH212" s="319">
        <f>IF(Q204=FALSE,AA220,IF(E226=E1169,AH210,0))</f>
        <v>0</v>
      </c>
      <c r="AI212" s="319"/>
      <c r="AJ212" s="319"/>
      <c r="AK212" s="319"/>
      <c r="AL212" s="319"/>
      <c r="AM212" s="319"/>
      <c r="AN212" s="319"/>
      <c r="AO212" s="319"/>
      <c r="AP212" s="319"/>
      <c r="AQ212" s="319"/>
      <c r="AR212" s="319"/>
      <c r="AS212" s="319"/>
      <c r="AT212" s="319"/>
      <c r="AU212" s="319"/>
      <c r="AV212" s="319"/>
      <c r="AW212" s="319"/>
      <c r="AX212" s="319"/>
      <c r="AY212" s="319"/>
      <c r="AZ212" s="319"/>
      <c r="BA212" s="319"/>
      <c r="BB212" s="319"/>
      <c r="BC212" s="319"/>
      <c r="BD212" s="319"/>
      <c r="BE212" s="319"/>
      <c r="BF212" s="319"/>
      <c r="BG212" s="319"/>
      <c r="BH212" s="319"/>
      <c r="BI212" s="319"/>
      <c r="BJ212" s="319"/>
      <c r="BK212" s="319"/>
      <c r="BL212" s="319"/>
      <c r="BM212" s="319"/>
      <c r="BN212" s="319"/>
      <c r="BO212" s="319"/>
      <c r="BP212" s="319"/>
      <c r="BQ212" s="319"/>
      <c r="BR212" s="319"/>
      <c r="BS212" s="319"/>
      <c r="BT212" s="319"/>
      <c r="BU212" s="319"/>
      <c r="BV212" s="319"/>
      <c r="BW212" s="319"/>
      <c r="BX212" s="319"/>
      <c r="BY212" s="319"/>
      <c r="BZ212" s="319"/>
      <c r="CA212" s="319"/>
      <c r="CB212" s="319"/>
      <c r="CC212" s="319"/>
      <c r="CD212" s="319"/>
      <c r="CE212" s="319"/>
      <c r="CF212" s="319"/>
      <c r="CG212" s="319"/>
      <c r="CH212" s="319"/>
      <c r="CI212" s="319"/>
      <c r="CJ212" s="319"/>
      <c r="CK212" s="319"/>
    </row>
    <row r="213" spans="1:89" ht="13.5" hidden="1" customHeight="1">
      <c r="A213" s="12"/>
      <c r="B213" s="334"/>
      <c r="C213" s="303"/>
      <c r="D213" s="303"/>
      <c r="E213" s="367"/>
      <c r="F213" s="367"/>
      <c r="G213" s="303"/>
      <c r="H213" s="159"/>
      <c r="I213" s="159"/>
      <c r="J213" s="329"/>
      <c r="K213" s="9"/>
      <c r="L213" s="1"/>
      <c r="M213" s="319"/>
      <c r="N213" s="319">
        <v>5012003</v>
      </c>
      <c r="O213" s="319"/>
      <c r="P213" s="319"/>
      <c r="Q213" s="319"/>
      <c r="R213" s="556"/>
      <c r="S213" s="319">
        <f t="shared" si="15"/>
        <v>0</v>
      </c>
      <c r="T213" s="319">
        <f t="shared" si="16"/>
        <v>0</v>
      </c>
      <c r="U213" s="319">
        <f t="shared" si="17"/>
        <v>0</v>
      </c>
      <c r="V213" s="319">
        <f t="shared" si="18"/>
        <v>0</v>
      </c>
      <c r="W213" s="319"/>
      <c r="X213" s="319"/>
      <c r="Y213" s="319">
        <f t="shared" si="19"/>
        <v>0</v>
      </c>
      <c r="Z213" s="319"/>
      <c r="AA213" s="319"/>
      <c r="AB213" s="319"/>
      <c r="AC213" s="319"/>
      <c r="AD213" s="319" t="s">
        <v>3688</v>
      </c>
      <c r="AE213" s="319"/>
      <c r="AF213" s="319"/>
      <c r="AG213" s="319"/>
      <c r="AH213" s="319">
        <f>IF(Q204=FALSE,AB220,IF(E226=E1170,AH210,0))</f>
        <v>0</v>
      </c>
      <c r="AI213" s="319"/>
      <c r="AJ213" s="319"/>
      <c r="AK213" s="319"/>
      <c r="AL213" s="319"/>
      <c r="AM213" s="319"/>
      <c r="AN213" s="319"/>
      <c r="AO213" s="319"/>
      <c r="AP213" s="319"/>
      <c r="AQ213" s="319"/>
      <c r="AR213" s="319"/>
      <c r="AS213" s="319"/>
      <c r="AT213" s="319"/>
      <c r="AU213" s="319"/>
      <c r="AV213" s="319"/>
      <c r="AW213" s="319"/>
      <c r="AX213" s="319"/>
      <c r="AY213" s="319"/>
      <c r="AZ213" s="319"/>
      <c r="BA213" s="319"/>
      <c r="BB213" s="319"/>
      <c r="BC213" s="319"/>
      <c r="BD213" s="319"/>
      <c r="BE213" s="319"/>
      <c r="BF213" s="319"/>
      <c r="BG213" s="319"/>
      <c r="BH213" s="319"/>
      <c r="BI213" s="319"/>
      <c r="BJ213" s="319"/>
      <c r="BK213" s="319"/>
      <c r="BL213" s="319"/>
      <c r="BM213" s="319"/>
      <c r="BN213" s="319"/>
      <c r="BO213" s="319"/>
      <c r="BP213" s="319"/>
      <c r="BQ213" s="319"/>
      <c r="BR213" s="319"/>
      <c r="BS213" s="319"/>
      <c r="BT213" s="319"/>
      <c r="BU213" s="319"/>
      <c r="BV213" s="319"/>
      <c r="BW213" s="319"/>
      <c r="BX213" s="319"/>
      <c r="BY213" s="319"/>
      <c r="BZ213" s="319"/>
      <c r="CA213" s="319"/>
      <c r="CB213" s="319"/>
      <c r="CC213" s="319"/>
      <c r="CD213" s="319"/>
      <c r="CE213" s="319"/>
      <c r="CF213" s="319"/>
      <c r="CG213" s="319"/>
      <c r="CH213" s="319"/>
      <c r="CI213" s="319"/>
      <c r="CJ213" s="319"/>
      <c r="CK213" s="319"/>
    </row>
    <row r="214" spans="1:89" ht="13.5" hidden="1" customHeight="1">
      <c r="A214" s="12"/>
      <c r="B214" s="334"/>
      <c r="C214" s="303"/>
      <c r="D214" s="303"/>
      <c r="E214" s="367"/>
      <c r="F214" s="367"/>
      <c r="G214" s="303"/>
      <c r="H214" s="159"/>
      <c r="I214" s="159"/>
      <c r="J214" s="329"/>
      <c r="K214" s="9"/>
      <c r="L214" s="1"/>
      <c r="M214" s="319"/>
      <c r="N214" s="319">
        <v>5012003</v>
      </c>
      <c r="O214" s="319"/>
      <c r="P214" s="319"/>
      <c r="Q214" s="319"/>
      <c r="R214" s="556"/>
      <c r="S214" s="319">
        <f t="shared" si="15"/>
        <v>0</v>
      </c>
      <c r="T214" s="319">
        <f t="shared" si="16"/>
        <v>0</v>
      </c>
      <c r="U214" s="319">
        <f t="shared" si="17"/>
        <v>0</v>
      </c>
      <c r="V214" s="319">
        <f t="shared" si="18"/>
        <v>0</v>
      </c>
      <c r="W214" s="319"/>
      <c r="X214" s="319"/>
      <c r="Y214" s="319">
        <f t="shared" si="19"/>
        <v>0</v>
      </c>
      <c r="Z214" s="319"/>
      <c r="AA214" s="319"/>
      <c r="AB214" s="319"/>
      <c r="AC214" s="319"/>
      <c r="AD214" s="319" t="s">
        <v>1113</v>
      </c>
      <c r="AE214" s="319"/>
      <c r="AF214" s="319"/>
      <c r="AG214" s="319"/>
      <c r="AH214" s="319">
        <f>AH212/24*1000</f>
        <v>0</v>
      </c>
      <c r="AI214" s="319"/>
      <c r="AJ214" s="319"/>
      <c r="AK214" s="319"/>
      <c r="AL214" s="319"/>
      <c r="AM214" s="319"/>
      <c r="AN214" s="319"/>
      <c r="AO214" s="319"/>
      <c r="AP214" s="319"/>
      <c r="AQ214" s="319"/>
      <c r="AR214" s="319"/>
      <c r="AS214" s="319"/>
      <c r="AT214" s="319"/>
      <c r="AU214" s="319"/>
      <c r="AV214" s="319"/>
      <c r="AW214" s="319"/>
      <c r="AX214" s="319"/>
      <c r="AY214" s="319"/>
      <c r="AZ214" s="319"/>
      <c r="BA214" s="319"/>
      <c r="BB214" s="319"/>
      <c r="BC214" s="319"/>
      <c r="BD214" s="319"/>
      <c r="BE214" s="319"/>
      <c r="BF214" s="319"/>
      <c r="BG214" s="319"/>
      <c r="BH214" s="319"/>
      <c r="BI214" s="319"/>
      <c r="BJ214" s="319"/>
      <c r="BK214" s="319"/>
      <c r="BL214" s="319"/>
      <c r="BM214" s="319"/>
      <c r="BN214" s="319"/>
      <c r="BO214" s="319"/>
      <c r="BP214" s="319"/>
      <c r="BQ214" s="319"/>
      <c r="BR214" s="319"/>
      <c r="BS214" s="319"/>
      <c r="BT214" s="319"/>
      <c r="BU214" s="319"/>
      <c r="BV214" s="319"/>
      <c r="BW214" s="319"/>
      <c r="BX214" s="319"/>
      <c r="BY214" s="319"/>
      <c r="BZ214" s="319"/>
      <c r="CA214" s="319"/>
      <c r="CB214" s="319"/>
      <c r="CC214" s="319"/>
      <c r="CD214" s="319"/>
      <c r="CE214" s="319"/>
      <c r="CF214" s="319"/>
      <c r="CG214" s="319"/>
      <c r="CH214" s="319"/>
      <c r="CI214" s="319"/>
      <c r="CJ214" s="319"/>
      <c r="CK214" s="319"/>
    </row>
    <row r="215" spans="1:89" ht="13.5" hidden="1" customHeight="1">
      <c r="A215" s="12"/>
      <c r="B215" s="334"/>
      <c r="C215" s="303"/>
      <c r="D215" s="303"/>
      <c r="E215" s="367"/>
      <c r="F215" s="367"/>
      <c r="G215" s="303"/>
      <c r="H215" s="159"/>
      <c r="I215" s="159"/>
      <c r="J215" s="329"/>
      <c r="K215" s="9"/>
      <c r="L215" s="1"/>
      <c r="M215" s="319"/>
      <c r="N215" s="319">
        <v>5012003</v>
      </c>
      <c r="O215" s="319"/>
      <c r="P215" s="319"/>
      <c r="Q215" s="319"/>
      <c r="R215" s="556"/>
      <c r="S215" s="319">
        <f t="shared" si="15"/>
        <v>0</v>
      </c>
      <c r="T215" s="319">
        <f t="shared" si="16"/>
        <v>0</v>
      </c>
      <c r="U215" s="319">
        <f t="shared" si="17"/>
        <v>0</v>
      </c>
      <c r="V215" s="319">
        <f t="shared" si="18"/>
        <v>0</v>
      </c>
      <c r="W215" s="319"/>
      <c r="X215" s="319"/>
      <c r="Y215" s="319">
        <f t="shared" si="19"/>
        <v>0</v>
      </c>
      <c r="Z215" s="319"/>
      <c r="AA215" s="319"/>
      <c r="AB215" s="319"/>
      <c r="AC215" s="319"/>
      <c r="AD215" s="319"/>
      <c r="AE215" s="319"/>
      <c r="AF215" s="319"/>
      <c r="AG215" s="319"/>
      <c r="AH215" s="319"/>
      <c r="AI215" s="319"/>
      <c r="AJ215" s="319"/>
      <c r="AK215" s="319"/>
      <c r="AL215" s="319"/>
      <c r="AM215" s="319"/>
      <c r="AN215" s="319"/>
      <c r="AO215" s="319"/>
      <c r="AP215" s="319"/>
      <c r="AQ215" s="319"/>
      <c r="AR215" s="319"/>
      <c r="AS215" s="319"/>
      <c r="AT215" s="319"/>
      <c r="AU215" s="319"/>
      <c r="AV215" s="319"/>
      <c r="AW215" s="319"/>
      <c r="AX215" s="319"/>
      <c r="AY215" s="319"/>
      <c r="AZ215" s="319"/>
      <c r="BA215" s="319"/>
      <c r="BB215" s="319"/>
      <c r="BC215" s="319"/>
      <c r="BD215" s="319"/>
      <c r="BE215" s="319"/>
      <c r="BF215" s="319"/>
      <c r="BG215" s="319"/>
      <c r="BH215" s="319"/>
      <c r="BI215" s="319"/>
      <c r="BJ215" s="319"/>
      <c r="BK215" s="319"/>
      <c r="BL215" s="319"/>
      <c r="BM215" s="319"/>
      <c r="BN215" s="319"/>
      <c r="BO215" s="319"/>
      <c r="BP215" s="319"/>
      <c r="BQ215" s="319"/>
      <c r="BR215" s="319"/>
      <c r="BS215" s="319"/>
      <c r="BT215" s="319"/>
      <c r="BU215" s="319"/>
      <c r="BV215" s="319"/>
      <c r="BW215" s="319"/>
      <c r="BX215" s="319"/>
      <c r="BY215" s="319"/>
      <c r="BZ215" s="319"/>
      <c r="CA215" s="319"/>
      <c r="CB215" s="319"/>
      <c r="CC215" s="319"/>
      <c r="CD215" s="319"/>
      <c r="CE215" s="319"/>
      <c r="CF215" s="319"/>
      <c r="CG215" s="319"/>
      <c r="CH215" s="319"/>
      <c r="CI215" s="319"/>
      <c r="CJ215" s="319"/>
      <c r="CK215" s="319"/>
    </row>
    <row r="216" spans="1:89" ht="13.5" hidden="1" customHeight="1">
      <c r="A216" s="12"/>
      <c r="B216" s="334"/>
      <c r="C216" s="303"/>
      <c r="D216" s="303"/>
      <c r="E216" s="367"/>
      <c r="F216" s="367"/>
      <c r="G216" s="303"/>
      <c r="H216" s="159"/>
      <c r="I216" s="159"/>
      <c r="J216" s="329"/>
      <c r="K216" s="9"/>
      <c r="L216" s="1"/>
      <c r="M216" s="319"/>
      <c r="N216" s="319">
        <v>5012003</v>
      </c>
      <c r="O216" s="319"/>
      <c r="P216" s="319"/>
      <c r="Q216" s="319"/>
      <c r="R216" s="556"/>
      <c r="S216" s="319">
        <f t="shared" si="15"/>
        <v>0</v>
      </c>
      <c r="T216" s="319">
        <f t="shared" si="16"/>
        <v>0</v>
      </c>
      <c r="U216" s="319">
        <f t="shared" si="17"/>
        <v>0</v>
      </c>
      <c r="V216" s="319">
        <f t="shared" si="18"/>
        <v>0</v>
      </c>
      <c r="W216" s="319"/>
      <c r="X216" s="319"/>
      <c r="Y216" s="319">
        <f t="shared" si="19"/>
        <v>0</v>
      </c>
      <c r="Z216" s="319"/>
      <c r="AA216" s="319"/>
      <c r="AB216" s="319"/>
      <c r="AC216" s="319"/>
      <c r="AD216" s="319"/>
      <c r="AE216" s="319"/>
      <c r="AF216" s="319"/>
      <c r="AG216" s="319"/>
      <c r="AH216" s="319"/>
      <c r="AI216" s="319"/>
      <c r="AJ216" s="319"/>
      <c r="AK216" s="319"/>
      <c r="AL216" s="319"/>
      <c r="AM216" s="319"/>
      <c r="AN216" s="319"/>
      <c r="AO216" s="319"/>
      <c r="AP216" s="319"/>
      <c r="AQ216" s="319"/>
      <c r="AR216" s="319"/>
      <c r="AS216" s="319"/>
      <c r="AT216" s="319"/>
      <c r="AU216" s="319"/>
      <c r="AV216" s="319"/>
      <c r="AW216" s="319"/>
      <c r="AX216" s="319"/>
      <c r="AY216" s="319"/>
      <c r="AZ216" s="319"/>
      <c r="BA216" s="319"/>
      <c r="BB216" s="319"/>
      <c r="BC216" s="319"/>
      <c r="BD216" s="319"/>
      <c r="BE216" s="319"/>
      <c r="BF216" s="319"/>
      <c r="BG216" s="319"/>
      <c r="BH216" s="319"/>
      <c r="BI216" s="319"/>
      <c r="BJ216" s="319"/>
      <c r="BK216" s="319"/>
      <c r="BL216" s="319"/>
      <c r="BM216" s="319"/>
      <c r="BN216" s="319"/>
      <c r="BO216" s="319"/>
      <c r="BP216" s="319"/>
      <c r="BQ216" s="319"/>
      <c r="BR216" s="319"/>
      <c r="BS216" s="319"/>
      <c r="BT216" s="319"/>
      <c r="BU216" s="319"/>
      <c r="BV216" s="319"/>
      <c r="BW216" s="319"/>
      <c r="BX216" s="319"/>
      <c r="BY216" s="319"/>
      <c r="BZ216" s="319"/>
      <c r="CA216" s="319"/>
      <c r="CB216" s="319"/>
      <c r="CC216" s="319"/>
      <c r="CD216" s="319"/>
      <c r="CE216" s="319"/>
      <c r="CF216" s="319"/>
      <c r="CG216" s="319"/>
      <c r="CH216" s="319"/>
      <c r="CI216" s="319"/>
      <c r="CJ216" s="319"/>
      <c r="CK216" s="319"/>
    </row>
    <row r="217" spans="1:89" ht="13.5" hidden="1" customHeight="1">
      <c r="A217" s="12"/>
      <c r="B217" s="334"/>
      <c r="C217" s="303"/>
      <c r="D217" s="303"/>
      <c r="E217" s="367"/>
      <c r="F217" s="367"/>
      <c r="G217" s="303"/>
      <c r="H217" s="159"/>
      <c r="I217" s="159"/>
      <c r="J217" s="329"/>
      <c r="K217" s="9"/>
      <c r="L217" s="1"/>
      <c r="M217" s="319"/>
      <c r="N217" s="319">
        <v>5012003</v>
      </c>
      <c r="O217" s="319"/>
      <c r="P217" s="319"/>
      <c r="Q217" s="319"/>
      <c r="R217" s="319"/>
      <c r="S217" s="319">
        <f t="shared" si="15"/>
        <v>0</v>
      </c>
      <c r="T217" s="319">
        <f t="shared" si="16"/>
        <v>0</v>
      </c>
      <c r="U217" s="319">
        <f t="shared" si="17"/>
        <v>0</v>
      </c>
      <c r="V217" s="319">
        <f t="shared" si="18"/>
        <v>0</v>
      </c>
      <c r="W217" s="319"/>
      <c r="X217" s="319"/>
      <c r="Y217" s="319">
        <f t="shared" si="19"/>
        <v>0</v>
      </c>
      <c r="Z217" s="319"/>
      <c r="AA217" s="319"/>
      <c r="AB217" s="319"/>
      <c r="AC217" s="319"/>
      <c r="AD217" s="319"/>
      <c r="AE217" s="319"/>
      <c r="AF217" s="319"/>
      <c r="AG217" s="319"/>
      <c r="AH217" s="319"/>
      <c r="AI217" s="319"/>
      <c r="AJ217" s="319"/>
      <c r="AK217" s="319"/>
      <c r="AL217" s="319"/>
      <c r="AM217" s="319"/>
      <c r="AN217" s="319"/>
      <c r="AO217" s="319"/>
      <c r="AP217" s="319"/>
      <c r="AQ217" s="319"/>
      <c r="AR217" s="319"/>
      <c r="AS217" s="319"/>
      <c r="AT217" s="319"/>
      <c r="AU217" s="319"/>
      <c r="AV217" s="319"/>
      <c r="AW217" s="319"/>
      <c r="AX217" s="319"/>
      <c r="AY217" s="319"/>
      <c r="AZ217" s="319"/>
      <c r="BA217" s="319"/>
      <c r="BB217" s="319"/>
      <c r="BC217" s="319"/>
      <c r="BD217" s="319"/>
      <c r="BE217" s="319"/>
      <c r="BF217" s="319"/>
      <c r="BG217" s="319"/>
      <c r="BH217" s="319"/>
      <c r="BI217" s="319"/>
      <c r="BJ217" s="319"/>
      <c r="BK217" s="319"/>
      <c r="BL217" s="319"/>
      <c r="BM217" s="319"/>
      <c r="BN217" s="319"/>
      <c r="BO217" s="319"/>
      <c r="BP217" s="319"/>
      <c r="BQ217" s="319"/>
      <c r="BR217" s="319"/>
      <c r="BS217" s="319"/>
      <c r="BT217" s="319"/>
      <c r="BU217" s="319"/>
      <c r="BV217" s="319"/>
      <c r="BW217" s="319"/>
      <c r="BX217" s="319"/>
      <c r="BY217" s="319"/>
      <c r="BZ217" s="319"/>
      <c r="CA217" s="319"/>
      <c r="CB217" s="319"/>
      <c r="CC217" s="319"/>
      <c r="CD217" s="319"/>
      <c r="CE217" s="319"/>
      <c r="CF217" s="319"/>
      <c r="CG217" s="319"/>
      <c r="CH217" s="319"/>
      <c r="CI217" s="319"/>
      <c r="CJ217" s="319"/>
      <c r="CK217" s="319"/>
    </row>
    <row r="218" spans="1:89" ht="13.5" hidden="1" customHeight="1">
      <c r="A218" s="12"/>
      <c r="B218" s="334"/>
      <c r="C218" s="303"/>
      <c r="D218" s="303"/>
      <c r="E218" s="367"/>
      <c r="F218" s="367"/>
      <c r="G218" s="303"/>
      <c r="H218" s="159"/>
      <c r="I218" s="159"/>
      <c r="J218" s="329"/>
      <c r="K218" s="9"/>
      <c r="L218" s="1"/>
      <c r="M218" s="319"/>
      <c r="N218" s="319">
        <v>5012003</v>
      </c>
      <c r="O218" s="319"/>
      <c r="P218" s="319"/>
      <c r="Q218" s="319"/>
      <c r="R218" s="319"/>
      <c r="S218" s="319">
        <f t="shared" si="15"/>
        <v>0</v>
      </c>
      <c r="T218" s="319">
        <f t="shared" si="16"/>
        <v>0</v>
      </c>
      <c r="U218" s="319">
        <f t="shared" si="17"/>
        <v>0</v>
      </c>
      <c r="V218" s="319">
        <f t="shared" si="18"/>
        <v>0</v>
      </c>
      <c r="W218" s="319"/>
      <c r="X218" s="319"/>
      <c r="Y218" s="319">
        <f t="shared" si="19"/>
        <v>0</v>
      </c>
      <c r="Z218" s="319"/>
      <c r="AA218" s="319"/>
      <c r="AB218" s="319"/>
      <c r="AC218" s="319"/>
      <c r="AD218" s="319"/>
      <c r="AE218" s="319"/>
      <c r="AF218" s="319"/>
      <c r="AG218" s="319"/>
      <c r="AH218" s="319"/>
      <c r="AI218" s="319"/>
      <c r="AJ218" s="319"/>
      <c r="AK218" s="319"/>
      <c r="AL218" s="319"/>
      <c r="AM218" s="319"/>
      <c r="AN218" s="319"/>
      <c r="AO218" s="319"/>
      <c r="AP218" s="319"/>
      <c r="AQ218" s="319"/>
      <c r="AR218" s="319"/>
      <c r="AS218" s="319"/>
      <c r="AT218" s="319"/>
      <c r="AU218" s="319"/>
      <c r="AV218" s="319"/>
      <c r="AW218" s="319"/>
      <c r="AX218" s="319"/>
      <c r="AY218" s="319"/>
      <c r="AZ218" s="319"/>
      <c r="BA218" s="319"/>
      <c r="BB218" s="319"/>
      <c r="BC218" s="319"/>
      <c r="BD218" s="319"/>
      <c r="BE218" s="319"/>
      <c r="BF218" s="319"/>
      <c r="BG218" s="319"/>
      <c r="BH218" s="319"/>
      <c r="BI218" s="319"/>
      <c r="BJ218" s="319"/>
      <c r="BK218" s="319"/>
      <c r="BL218" s="319"/>
      <c r="BM218" s="319"/>
      <c r="BN218" s="319"/>
      <c r="BO218" s="319"/>
      <c r="BP218" s="319"/>
      <c r="BQ218" s="319"/>
      <c r="BR218" s="319"/>
      <c r="BS218" s="319"/>
      <c r="BT218" s="319"/>
      <c r="BU218" s="319"/>
      <c r="BV218" s="319"/>
      <c r="BW218" s="319"/>
      <c r="BX218" s="319"/>
      <c r="BY218" s="319"/>
      <c r="BZ218" s="319"/>
      <c r="CA218" s="319"/>
      <c r="CB218" s="319"/>
      <c r="CC218" s="319"/>
      <c r="CD218" s="319"/>
      <c r="CE218" s="319"/>
      <c r="CF218" s="319"/>
      <c r="CG218" s="319"/>
      <c r="CH218" s="319"/>
      <c r="CI218" s="319"/>
      <c r="CJ218" s="319"/>
      <c r="CK218" s="319"/>
    </row>
    <row r="219" spans="1:89" ht="13.5" hidden="1" customHeight="1">
      <c r="A219" s="12"/>
      <c r="B219" s="334"/>
      <c r="C219" s="303"/>
      <c r="D219" s="303"/>
      <c r="E219" s="367"/>
      <c r="F219" s="367"/>
      <c r="G219" s="303"/>
      <c r="H219" s="159"/>
      <c r="I219" s="159"/>
      <c r="J219" s="329"/>
      <c r="K219" s="9"/>
      <c r="L219" s="1"/>
      <c r="M219" s="319"/>
      <c r="N219" s="319">
        <v>5012003</v>
      </c>
      <c r="O219" s="319"/>
      <c r="P219" s="319"/>
      <c r="Q219" s="319"/>
      <c r="R219" s="319"/>
      <c r="S219" s="319">
        <f t="shared" si="15"/>
        <v>0</v>
      </c>
      <c r="T219" s="319">
        <f t="shared" si="16"/>
        <v>0</v>
      </c>
      <c r="U219" s="319">
        <f t="shared" si="17"/>
        <v>0</v>
      </c>
      <c r="V219" s="319">
        <f t="shared" si="18"/>
        <v>0</v>
      </c>
      <c r="W219" s="319"/>
      <c r="X219" s="319"/>
      <c r="Y219" s="319">
        <f t="shared" si="19"/>
        <v>0</v>
      </c>
      <c r="Z219" s="319"/>
      <c r="AA219" s="319"/>
      <c r="AB219" s="319"/>
      <c r="AC219" s="319"/>
      <c r="AD219" s="319"/>
      <c r="AE219" s="319"/>
      <c r="AF219" s="319"/>
      <c r="AG219" s="319"/>
      <c r="AH219" s="319"/>
      <c r="AI219" s="319"/>
      <c r="AJ219" s="319"/>
      <c r="AK219" s="319"/>
      <c r="AL219" s="319"/>
      <c r="AM219" s="319"/>
      <c r="AN219" s="319"/>
      <c r="AO219" s="319"/>
      <c r="AP219" s="319"/>
      <c r="AQ219" s="319"/>
      <c r="AR219" s="319"/>
      <c r="AS219" s="319"/>
      <c r="AT219" s="319"/>
      <c r="AU219" s="319"/>
      <c r="AV219" s="319"/>
      <c r="AW219" s="319"/>
      <c r="AX219" s="319"/>
      <c r="AY219" s="319"/>
      <c r="AZ219" s="319"/>
      <c r="BA219" s="319"/>
      <c r="BB219" s="319"/>
      <c r="BC219" s="319"/>
      <c r="BD219" s="319"/>
      <c r="BE219" s="319"/>
      <c r="BF219" s="319"/>
      <c r="BG219" s="319"/>
      <c r="BH219" s="319"/>
      <c r="BI219" s="319"/>
      <c r="BJ219" s="319"/>
      <c r="BK219" s="319"/>
      <c r="BL219" s="319"/>
      <c r="BM219" s="319"/>
      <c r="BN219" s="319"/>
      <c r="BO219" s="319"/>
      <c r="BP219" s="319"/>
      <c r="BQ219" s="319"/>
      <c r="BR219" s="319"/>
      <c r="BS219" s="319"/>
      <c r="BT219" s="319"/>
      <c r="BU219" s="319"/>
      <c r="BV219" s="319"/>
      <c r="BW219" s="319"/>
      <c r="BX219" s="319"/>
      <c r="BY219" s="319"/>
      <c r="BZ219" s="319"/>
      <c r="CA219" s="319"/>
      <c r="CB219" s="319"/>
      <c r="CC219" s="319"/>
      <c r="CD219" s="319"/>
      <c r="CE219" s="319"/>
      <c r="CF219" s="319"/>
      <c r="CG219" s="319"/>
      <c r="CH219" s="319"/>
      <c r="CI219" s="319"/>
      <c r="CJ219" s="319"/>
      <c r="CK219" s="319"/>
    </row>
    <row r="220" spans="1:89" ht="13.5" hidden="1" customHeight="1">
      <c r="A220" s="12"/>
      <c r="B220" s="1"/>
      <c r="C220" s="1"/>
      <c r="D220" s="1"/>
      <c r="E220" s="1"/>
      <c r="F220" s="1"/>
      <c r="G220" s="1"/>
      <c r="H220" s="1"/>
      <c r="I220" s="1"/>
      <c r="J220" s="1"/>
      <c r="K220" s="9"/>
      <c r="L220" s="1"/>
      <c r="M220" s="319"/>
      <c r="N220" s="319">
        <v>5011000</v>
      </c>
      <c r="O220" s="319"/>
      <c r="P220" s="319"/>
      <c r="Q220" s="319"/>
      <c r="R220" s="319"/>
      <c r="S220" s="319"/>
      <c r="T220" s="319"/>
      <c r="U220" s="319"/>
      <c r="V220" s="319"/>
      <c r="W220" s="319"/>
      <c r="X220" s="319"/>
      <c r="Y220" s="556"/>
      <c r="Z220" s="319">
        <f>SUMIF($D$208:$D$219,E1168,$Y$208:$Y$219)</f>
        <v>0</v>
      </c>
      <c r="AA220" s="319">
        <f>SUMIF($D$208:$D$219,E1169,$Y$208:$Y$219)</f>
        <v>0</v>
      </c>
      <c r="AB220" s="319">
        <f>SUMIF($D$208:$D$219,E1170,$Y$208:$Y$219)</f>
        <v>0</v>
      </c>
      <c r="AC220" s="319"/>
      <c r="AD220" s="319"/>
      <c r="AE220" s="319"/>
      <c r="AF220" s="319"/>
      <c r="AG220" s="319"/>
      <c r="AH220" s="319"/>
      <c r="AI220" s="319"/>
      <c r="AJ220" s="319"/>
      <c r="AK220" s="319"/>
      <c r="AL220" s="319"/>
      <c r="AM220" s="319"/>
      <c r="AN220" s="319"/>
      <c r="AO220" s="319"/>
      <c r="AP220" s="319"/>
      <c r="AQ220" s="319"/>
      <c r="AR220" s="319"/>
      <c r="AS220" s="319"/>
      <c r="AT220" s="319"/>
      <c r="AU220" s="319"/>
      <c r="AV220" s="319"/>
      <c r="AW220" s="319"/>
      <c r="AX220" s="319"/>
      <c r="AY220" s="319"/>
      <c r="AZ220" s="319"/>
      <c r="BA220" s="319"/>
      <c r="BB220" s="319"/>
      <c r="BC220" s="319"/>
      <c r="BD220" s="319"/>
      <c r="BE220" s="319"/>
      <c r="BF220" s="319"/>
      <c r="BG220" s="319"/>
      <c r="BH220" s="319"/>
      <c r="BI220" s="319"/>
      <c r="BJ220" s="319"/>
      <c r="BK220" s="319"/>
      <c r="BL220" s="319"/>
      <c r="BM220" s="319"/>
      <c r="BN220" s="319"/>
      <c r="BO220" s="319"/>
      <c r="BP220" s="319"/>
      <c r="BQ220" s="319"/>
      <c r="BR220" s="319"/>
      <c r="BS220" s="319"/>
      <c r="BT220" s="319"/>
      <c r="BU220" s="319"/>
      <c r="BV220" s="319"/>
      <c r="BW220" s="319"/>
      <c r="BX220" s="319"/>
      <c r="BY220" s="319"/>
      <c r="BZ220" s="319"/>
      <c r="CA220" s="319"/>
      <c r="CB220" s="319"/>
      <c r="CC220" s="319"/>
      <c r="CD220" s="319"/>
      <c r="CE220" s="319"/>
      <c r="CF220" s="319"/>
      <c r="CG220" s="319"/>
      <c r="CH220" s="319"/>
      <c r="CI220" s="319"/>
      <c r="CJ220" s="319"/>
      <c r="CK220" s="319"/>
    </row>
    <row r="221" spans="1:89" ht="25.5" hidden="1" customHeight="1">
      <c r="A221" s="12"/>
      <c r="B221" s="1"/>
      <c r="C221" s="45" t="str">
        <f>Language!C180</f>
        <v>Unidade</v>
      </c>
      <c r="D221" s="82" t="str">
        <f>Language!C1498</f>
        <v>Caso de referência</v>
      </c>
      <c r="E221" s="82" t="str">
        <f>Language!C1916</f>
        <v>Caso proposto</v>
      </c>
      <c r="F221" s="1"/>
      <c r="G221" s="329"/>
      <c r="H221" s="1"/>
      <c r="I221" s="1"/>
      <c r="J221" s="1"/>
      <c r="K221" s="9"/>
      <c r="L221" s="1"/>
      <c r="M221" s="319"/>
      <c r="N221" s="319">
        <v>5011000</v>
      </c>
      <c r="O221" s="319"/>
      <c r="P221" s="319"/>
      <c r="Q221" s="319"/>
      <c r="R221" s="319"/>
      <c r="S221" s="319"/>
      <c r="T221" s="319" t="str">
        <f>Language!C1812</f>
        <v xml:space="preserve">Método 2 </v>
      </c>
      <c r="U221" s="319"/>
      <c r="V221" s="319"/>
      <c r="W221" s="319"/>
      <c r="X221" s="319"/>
      <c r="Y221" s="319"/>
      <c r="Z221" s="319"/>
      <c r="AA221" s="319"/>
      <c r="AB221" s="319"/>
      <c r="AC221" s="319"/>
      <c r="AD221" s="319"/>
      <c r="AE221" s="319"/>
      <c r="AF221" s="319"/>
      <c r="AG221" s="319"/>
      <c r="AH221" s="319"/>
      <c r="AI221" s="319"/>
      <c r="AJ221" s="319"/>
      <c r="AK221" s="319"/>
      <c r="AL221" s="319"/>
      <c r="AM221" s="319"/>
      <c r="AN221" s="319"/>
      <c r="AO221" s="319"/>
      <c r="AP221" s="319"/>
      <c r="AQ221" s="319"/>
      <c r="AR221" s="319"/>
      <c r="AS221" s="319"/>
      <c r="AT221" s="319"/>
      <c r="AU221" s="319"/>
      <c r="AV221" s="319"/>
      <c r="AW221" s="319"/>
      <c r="AX221" s="319"/>
      <c r="AY221" s="319"/>
      <c r="AZ221" s="319"/>
      <c r="BA221" s="319"/>
      <c r="BB221" s="319"/>
      <c r="BC221" s="319"/>
      <c r="BD221" s="319"/>
      <c r="BE221" s="319"/>
      <c r="BF221" s="319"/>
      <c r="BG221" s="319"/>
      <c r="BH221" s="319"/>
      <c r="BI221" s="319"/>
      <c r="BJ221" s="319"/>
      <c r="BK221" s="319"/>
      <c r="BL221" s="319"/>
      <c r="BM221" s="319"/>
      <c r="BN221" s="319"/>
      <c r="BO221" s="319"/>
      <c r="BP221" s="319"/>
      <c r="BQ221" s="319"/>
      <c r="BR221" s="319"/>
      <c r="BS221" s="319"/>
      <c r="BT221" s="319"/>
      <c r="BU221" s="319"/>
      <c r="BV221" s="319"/>
      <c r="BW221" s="319"/>
      <c r="BX221" s="319"/>
      <c r="BY221" s="319"/>
      <c r="BZ221" s="319"/>
      <c r="CA221" s="319"/>
      <c r="CB221" s="319"/>
      <c r="CC221" s="319"/>
      <c r="CD221" s="319"/>
      <c r="CE221" s="319"/>
      <c r="CF221" s="319"/>
      <c r="CG221" s="319"/>
      <c r="CH221" s="319"/>
      <c r="CI221" s="319"/>
      <c r="CJ221" s="319"/>
      <c r="CK221" s="319"/>
    </row>
    <row r="222" spans="1:89" ht="13.5" hidden="1" customHeight="1">
      <c r="A222" s="12"/>
      <c r="B222" s="8" t="str">
        <f>Language!C1628</f>
        <v>Demanda de eletricidade - diária - CC</v>
      </c>
      <c r="C222" s="29" t="str">
        <f>Language!C1365</f>
        <v>kWh</v>
      </c>
      <c r="D222" s="284">
        <f>SUM(S208:S219)</f>
        <v>0</v>
      </c>
      <c r="E222" s="284">
        <f>SUM(U208:U219)</f>
        <v>0</v>
      </c>
      <c r="F222" s="1"/>
      <c r="G222" s="1"/>
      <c r="H222" s="1"/>
      <c r="I222" s="1"/>
      <c r="J222" s="1"/>
      <c r="K222" s="9"/>
      <c r="L222" s="1"/>
      <c r="M222" s="319"/>
      <c r="N222" s="319">
        <v>5012022</v>
      </c>
      <c r="O222" s="319"/>
      <c r="P222" s="319"/>
      <c r="Q222" s="319"/>
      <c r="R222" s="319"/>
      <c r="S222" s="319"/>
      <c r="T222" s="319"/>
      <c r="U222" s="319"/>
      <c r="V222" s="556"/>
      <c r="W222" s="319"/>
      <c r="X222" s="319"/>
      <c r="Y222" s="319"/>
      <c r="Z222" s="319"/>
      <c r="AA222" s="319"/>
      <c r="AB222" s="319"/>
      <c r="AC222" s="319"/>
      <c r="AD222" s="319"/>
      <c r="AE222" s="319"/>
      <c r="AF222" s="319"/>
      <c r="AG222" s="319"/>
      <c r="AH222" s="319"/>
      <c r="AI222" s="319"/>
      <c r="AJ222" s="319"/>
      <c r="AK222" s="319"/>
      <c r="AL222" s="319"/>
      <c r="AM222" s="319"/>
      <c r="AN222" s="319"/>
      <c r="AO222" s="319"/>
      <c r="AP222" s="319"/>
      <c r="AQ222" s="319"/>
      <c r="AR222" s="319"/>
      <c r="AS222" s="319"/>
      <c r="AT222" s="319"/>
      <c r="AU222" s="319"/>
      <c r="AV222" s="319"/>
      <c r="AW222" s="319"/>
      <c r="AX222" s="319"/>
      <c r="AY222" s="319"/>
      <c r="AZ222" s="319"/>
      <c r="BA222" s="319"/>
      <c r="BB222" s="319"/>
      <c r="BC222" s="319"/>
      <c r="BD222" s="319"/>
      <c r="BE222" s="319"/>
      <c r="BF222" s="319"/>
      <c r="BG222" s="319"/>
      <c r="BH222" s="319"/>
      <c r="BI222" s="319"/>
      <c r="BJ222" s="319"/>
      <c r="BK222" s="319"/>
      <c r="BL222" s="319"/>
      <c r="BM222" s="319"/>
      <c r="BN222" s="319"/>
      <c r="BO222" s="319"/>
      <c r="BP222" s="319"/>
      <c r="BQ222" s="319"/>
      <c r="BR222" s="319"/>
      <c r="BS222" s="319"/>
      <c r="BT222" s="319"/>
      <c r="BU222" s="319"/>
      <c r="BV222" s="319"/>
      <c r="BW222" s="319"/>
      <c r="BX222" s="319"/>
      <c r="BY222" s="319"/>
      <c r="BZ222" s="319"/>
      <c r="CA222" s="319"/>
      <c r="CB222" s="319"/>
      <c r="CC222" s="319"/>
      <c r="CD222" s="319"/>
      <c r="CE222" s="319"/>
      <c r="CF222" s="319"/>
      <c r="CG222" s="319"/>
      <c r="CH222" s="319"/>
      <c r="CI222" s="319"/>
      <c r="CJ222" s="319"/>
      <c r="CK222" s="319"/>
    </row>
    <row r="223" spans="1:89" ht="13.5" hidden="1" customHeight="1">
      <c r="A223" s="12"/>
      <c r="B223" s="8" t="str">
        <f>Language!C1627</f>
        <v>Demanda de eletricidade - diária - CA</v>
      </c>
      <c r="C223" s="29" t="str">
        <f>$C$222</f>
        <v>kWh</v>
      </c>
      <c r="D223" s="284">
        <f>SUM(T208:T219)</f>
        <v>0</v>
      </c>
      <c r="E223" s="284">
        <f>SUM(V208:V219)</f>
        <v>0</v>
      </c>
      <c r="F223" s="1"/>
      <c r="G223" s="1"/>
      <c r="H223" s="1"/>
      <c r="I223" s="1"/>
      <c r="J223" s="1"/>
      <c r="K223" s="9"/>
      <c r="L223" s="1"/>
      <c r="M223" s="319"/>
      <c r="N223" s="319">
        <v>5012024</v>
      </c>
      <c r="O223" s="319"/>
      <c r="P223" s="319"/>
      <c r="Q223" s="319"/>
      <c r="R223" s="319"/>
      <c r="S223" s="319"/>
      <c r="T223" s="319"/>
      <c r="U223" s="556"/>
      <c r="V223" s="556"/>
      <c r="W223" s="319"/>
      <c r="X223" s="319"/>
      <c r="Y223" s="319"/>
      <c r="Z223" s="319"/>
      <c r="AA223" s="319"/>
      <c r="AB223" s="319"/>
      <c r="AC223" s="319"/>
      <c r="AD223" s="319"/>
      <c r="AE223" s="319"/>
      <c r="AF223" s="319"/>
      <c r="AG223" s="319"/>
      <c r="AH223" s="319"/>
      <c r="AI223" s="319"/>
      <c r="AJ223" s="319"/>
      <c r="AK223" s="319"/>
      <c r="AL223" s="319"/>
      <c r="AM223" s="319"/>
      <c r="AN223" s="319"/>
      <c r="AO223" s="319"/>
      <c r="AP223" s="319"/>
      <c r="AQ223" s="319"/>
      <c r="AR223" s="319"/>
      <c r="AS223" s="319"/>
      <c r="AT223" s="319"/>
      <c r="AU223" s="319"/>
      <c r="AV223" s="319"/>
      <c r="AW223" s="319"/>
      <c r="AX223" s="319"/>
      <c r="AY223" s="319"/>
      <c r="AZ223" s="319"/>
      <c r="BA223" s="319"/>
      <c r="BB223" s="319"/>
      <c r="BC223" s="319"/>
      <c r="BD223" s="319"/>
      <c r="BE223" s="319"/>
      <c r="BF223" s="319"/>
      <c r="BG223" s="319"/>
      <c r="BH223" s="319"/>
      <c r="BI223" s="319"/>
      <c r="BJ223" s="319"/>
      <c r="BK223" s="319"/>
      <c r="BL223" s="319"/>
      <c r="BM223" s="319"/>
      <c r="BN223" s="319"/>
      <c r="BO223" s="319"/>
      <c r="BP223" s="319"/>
      <c r="BQ223" s="319"/>
      <c r="BR223" s="319"/>
      <c r="BS223" s="319"/>
      <c r="BT223" s="319"/>
      <c r="BU223" s="319"/>
      <c r="BV223" s="319"/>
      <c r="BW223" s="319"/>
      <c r="BX223" s="319"/>
      <c r="BY223" s="319"/>
      <c r="BZ223" s="319"/>
      <c r="CA223" s="319"/>
      <c r="CB223" s="319"/>
      <c r="CC223" s="319"/>
      <c r="CD223" s="319"/>
      <c r="CE223" s="319"/>
      <c r="CF223" s="319"/>
      <c r="CG223" s="319"/>
      <c r="CH223" s="319"/>
      <c r="CI223" s="319"/>
      <c r="CJ223" s="319"/>
      <c r="CK223" s="319"/>
    </row>
    <row r="224" spans="1:89" ht="13.5" hidden="1" customHeight="1">
      <c r="A224" s="12"/>
      <c r="B224" s="8" t="str">
        <f>Language!C1628</f>
        <v>Demanda de eletricidade - diária - CC</v>
      </c>
      <c r="C224" s="29" t="str">
        <f>$C$222</f>
        <v>kWh</v>
      </c>
      <c r="D224" s="312"/>
      <c r="E224" s="312"/>
      <c r="F224" s="1"/>
      <c r="G224" s="1"/>
      <c r="H224" s="1"/>
      <c r="I224" s="1"/>
      <c r="J224" s="1"/>
      <c r="K224" s="9"/>
      <c r="L224" s="1"/>
      <c r="M224" s="319"/>
      <c r="N224" s="319">
        <v>5012022</v>
      </c>
      <c r="O224" s="319"/>
      <c r="P224" s="319"/>
      <c r="Q224" s="319"/>
      <c r="R224" s="319"/>
      <c r="S224" s="319"/>
      <c r="T224" s="319" t="s">
        <v>5890</v>
      </c>
      <c r="U224" s="319"/>
      <c r="V224" s="494">
        <f>IF($Q$204=TRUE,E224,E222)</f>
        <v>0</v>
      </c>
      <c r="W224" s="319"/>
      <c r="X224" s="319"/>
      <c r="Y224" s="319"/>
      <c r="Z224" s="319"/>
      <c r="AA224" s="319"/>
      <c r="AB224" s="319"/>
      <c r="AC224" s="319"/>
      <c r="AD224" s="319"/>
      <c r="AE224" s="319"/>
      <c r="AF224" s="319"/>
      <c r="AG224" s="319"/>
      <c r="AH224" s="319"/>
      <c r="AI224" s="319"/>
      <c r="AJ224" s="319"/>
      <c r="AK224" s="319"/>
      <c r="AL224" s="319"/>
      <c r="AM224" s="319"/>
      <c r="AN224" s="319"/>
      <c r="AO224" s="319"/>
      <c r="AP224" s="319"/>
      <c r="AQ224" s="319"/>
      <c r="AR224" s="319"/>
      <c r="AS224" s="319"/>
      <c r="AT224" s="319"/>
      <c r="AU224" s="319"/>
      <c r="AV224" s="319"/>
      <c r="AW224" s="319"/>
      <c r="AX224" s="319"/>
      <c r="AY224" s="319"/>
      <c r="AZ224" s="319"/>
      <c r="BA224" s="319"/>
      <c r="BB224" s="319"/>
      <c r="BC224" s="319"/>
      <c r="BD224" s="319"/>
      <c r="BE224" s="319"/>
      <c r="BF224" s="319"/>
      <c r="BG224" s="319"/>
      <c r="BH224" s="319"/>
      <c r="BI224" s="319"/>
      <c r="BJ224" s="319"/>
      <c r="BK224" s="319"/>
      <c r="BL224" s="319"/>
      <c r="BM224" s="319"/>
      <c r="BN224" s="319"/>
      <c r="BO224" s="319"/>
      <c r="BP224" s="319"/>
      <c r="BQ224" s="319"/>
      <c r="BR224" s="319"/>
      <c r="BS224" s="319"/>
      <c r="BT224" s="319"/>
      <c r="BU224" s="319"/>
      <c r="BV224" s="319"/>
      <c r="BW224" s="319"/>
      <c r="BX224" s="319"/>
      <c r="BY224" s="319"/>
      <c r="BZ224" s="319"/>
      <c r="CA224" s="319"/>
      <c r="CB224" s="319"/>
      <c r="CC224" s="319"/>
      <c r="CD224" s="319"/>
      <c r="CE224" s="319"/>
      <c r="CF224" s="319"/>
      <c r="CG224" s="319"/>
      <c r="CH224" s="319"/>
      <c r="CI224" s="319"/>
      <c r="CJ224" s="319"/>
      <c r="CK224" s="319"/>
    </row>
    <row r="225" spans="1:89" ht="13.5" hidden="1" customHeight="1">
      <c r="A225" s="12"/>
      <c r="B225" s="8" t="str">
        <f>Language!C1627</f>
        <v>Demanda de eletricidade - diária - CA</v>
      </c>
      <c r="C225" s="29" t="str">
        <f>$C$222</f>
        <v>kWh</v>
      </c>
      <c r="D225" s="312"/>
      <c r="E225" s="312"/>
      <c r="F225" s="1"/>
      <c r="G225" s="1"/>
      <c r="H225" s="1"/>
      <c r="I225" s="1"/>
      <c r="J225" s="1"/>
      <c r="K225" s="9"/>
      <c r="L225" s="1"/>
      <c r="M225" s="319"/>
      <c r="N225" s="319">
        <v>5012024</v>
      </c>
      <c r="O225" s="319"/>
      <c r="P225" s="319"/>
      <c r="Q225" s="319"/>
      <c r="R225" s="319"/>
      <c r="S225" s="319"/>
      <c r="T225" s="319" t="s">
        <v>3429</v>
      </c>
      <c r="U225" s="319"/>
      <c r="V225" s="494">
        <f>IF(Q204=TRUE,E225,E223)</f>
        <v>0</v>
      </c>
      <c r="W225" s="319"/>
      <c r="X225" s="319"/>
      <c r="Y225" s="319"/>
      <c r="Z225" s="319"/>
      <c r="AA225" s="319"/>
      <c r="AB225" s="319"/>
      <c r="AC225" s="319"/>
      <c r="AD225" s="319"/>
      <c r="AE225" s="319"/>
      <c r="AF225" s="319"/>
      <c r="AG225" s="319"/>
      <c r="AH225" s="319"/>
      <c r="AI225" s="319"/>
      <c r="AJ225" s="319"/>
      <c r="AK225" s="319"/>
      <c r="AL225" s="319"/>
      <c r="AM225" s="319"/>
      <c r="AN225" s="319"/>
      <c r="AO225" s="319"/>
      <c r="AP225" s="319"/>
      <c r="AQ225" s="319"/>
      <c r="AR225" s="319"/>
      <c r="AS225" s="319"/>
      <c r="AT225" s="319"/>
      <c r="AU225" s="319"/>
      <c r="AV225" s="319"/>
      <c r="AW225" s="319"/>
      <c r="AX225" s="319"/>
      <c r="AY225" s="319"/>
      <c r="AZ225" s="319"/>
      <c r="BA225" s="319"/>
      <c r="BB225" s="319"/>
      <c r="BC225" s="319"/>
      <c r="BD225" s="319"/>
      <c r="BE225" s="319"/>
      <c r="BF225" s="319"/>
      <c r="BG225" s="319"/>
      <c r="BH225" s="319"/>
      <c r="BI225" s="319"/>
      <c r="BJ225" s="319"/>
      <c r="BK225" s="319"/>
      <c r="BL225" s="319"/>
      <c r="BM225" s="319"/>
      <c r="BN225" s="319"/>
      <c r="BO225" s="319"/>
      <c r="BP225" s="319"/>
      <c r="BQ225" s="319"/>
      <c r="BR225" s="319"/>
      <c r="BS225" s="319"/>
      <c r="BT225" s="319"/>
      <c r="BU225" s="319"/>
      <c r="BV225" s="319"/>
      <c r="BW225" s="319"/>
      <c r="BX225" s="319"/>
      <c r="BY225" s="319"/>
      <c r="BZ225" s="319"/>
      <c r="CA225" s="319"/>
      <c r="CB225" s="319"/>
      <c r="CC225" s="319"/>
      <c r="CD225" s="319"/>
      <c r="CE225" s="319"/>
      <c r="CF225" s="319"/>
      <c r="CG225" s="319"/>
      <c r="CH225" s="319"/>
      <c r="CI225" s="319"/>
      <c r="CJ225" s="319"/>
      <c r="CK225" s="319"/>
    </row>
    <row r="226" spans="1:89" ht="13.5" hidden="1" customHeight="1">
      <c r="A226" s="12"/>
      <c r="B226" s="8" t="str">
        <f>D206</f>
        <v>Recurso intermitente - correlação de carga</v>
      </c>
      <c r="C226" s="29"/>
      <c r="D226" s="30"/>
      <c r="E226" s="303" t="s">
        <v>7596</v>
      </c>
      <c r="F226" s="96"/>
      <c r="G226" s="1"/>
      <c r="H226" s="1"/>
      <c r="I226" s="1"/>
      <c r="J226" s="1"/>
      <c r="K226" s="9"/>
      <c r="L226" s="1"/>
      <c r="M226" s="319"/>
      <c r="N226" s="319">
        <v>5012010</v>
      </c>
      <c r="O226" s="319"/>
      <c r="P226" s="319"/>
      <c r="Q226" s="319"/>
      <c r="R226" s="556"/>
      <c r="S226" s="556"/>
      <c r="T226" s="556"/>
      <c r="U226" s="319"/>
      <c r="V226" s="319"/>
      <c r="W226" s="319"/>
      <c r="X226" s="319"/>
      <c r="Y226" s="319"/>
      <c r="Z226" s="319"/>
      <c r="AA226" s="319"/>
      <c r="AB226" s="319"/>
      <c r="AC226" s="319"/>
      <c r="AD226" s="319"/>
      <c r="AE226" s="319"/>
      <c r="AF226" s="319"/>
      <c r="AG226" s="319"/>
      <c r="AH226" s="319"/>
      <c r="AI226" s="319"/>
      <c r="AJ226" s="319"/>
      <c r="AK226" s="319"/>
      <c r="AL226" s="319"/>
      <c r="AM226" s="319"/>
      <c r="AN226" s="319"/>
      <c r="AO226" s="319"/>
      <c r="AP226" s="319"/>
      <c r="AQ226" s="319"/>
      <c r="AR226" s="319"/>
      <c r="AS226" s="319"/>
      <c r="AT226" s="319"/>
      <c r="AU226" s="319"/>
      <c r="AV226" s="319"/>
      <c r="AW226" s="319"/>
      <c r="AX226" s="319"/>
      <c r="AY226" s="319"/>
      <c r="AZ226" s="319"/>
      <c r="BA226" s="319"/>
      <c r="BB226" s="319"/>
      <c r="BC226" s="319"/>
      <c r="BD226" s="319"/>
      <c r="BE226" s="319"/>
      <c r="BF226" s="319"/>
      <c r="BG226" s="319"/>
      <c r="BH226" s="319"/>
      <c r="BI226" s="319"/>
      <c r="BJ226" s="319"/>
      <c r="BK226" s="319"/>
      <c r="BL226" s="319"/>
      <c r="BM226" s="319"/>
      <c r="BN226" s="319"/>
      <c r="BO226" s="319"/>
      <c r="BP226" s="319"/>
      <c r="BQ226" s="319"/>
      <c r="BR226" s="319"/>
      <c r="BS226" s="319"/>
      <c r="BT226" s="319"/>
      <c r="BU226" s="319"/>
      <c r="BV226" s="319"/>
      <c r="BW226" s="319"/>
      <c r="BX226" s="319"/>
      <c r="BY226" s="319"/>
      <c r="BZ226" s="319"/>
      <c r="CA226" s="319"/>
      <c r="CB226" s="319"/>
      <c r="CC226" s="319"/>
      <c r="CD226" s="319"/>
      <c r="CE226" s="319"/>
      <c r="CF226" s="319"/>
      <c r="CG226" s="319"/>
      <c r="CH226" s="319"/>
      <c r="CI226" s="319"/>
      <c r="CJ226" s="319"/>
      <c r="CK226" s="319"/>
    </row>
    <row r="227" spans="1:89" ht="13.2" hidden="1">
      <c r="A227" s="12"/>
      <c r="B227" s="1"/>
      <c r="C227" s="1"/>
      <c r="D227" s="1"/>
      <c r="E227" s="1"/>
      <c r="F227" s="1"/>
      <c r="G227" s="1"/>
      <c r="H227" s="1"/>
      <c r="I227" s="1"/>
      <c r="J227" s="1"/>
      <c r="K227" s="9"/>
      <c r="L227" s="1"/>
      <c r="M227" s="319"/>
      <c r="N227" s="319">
        <v>5011000</v>
      </c>
      <c r="O227" s="319"/>
      <c r="P227" s="319"/>
      <c r="Q227" s="319"/>
      <c r="R227" s="319"/>
      <c r="S227" s="319"/>
      <c r="T227" s="319"/>
      <c r="U227" s="319" t="s">
        <v>5247</v>
      </c>
      <c r="V227" s="319"/>
      <c r="W227" s="319"/>
      <c r="X227" s="319"/>
      <c r="Y227" s="319" t="s">
        <v>1907</v>
      </c>
      <c r="Z227" s="319"/>
      <c r="AA227" s="319"/>
      <c r="AB227" s="319"/>
      <c r="AC227" s="319"/>
      <c r="AD227" s="319"/>
      <c r="AE227" s="319"/>
      <c r="AF227" s="319"/>
      <c r="AG227" s="319"/>
      <c r="AH227" s="319"/>
      <c r="AI227" s="319"/>
      <c r="AJ227" s="319"/>
      <c r="AK227" s="319"/>
      <c r="AL227" s="319" t="s">
        <v>4515</v>
      </c>
      <c r="AM227" s="319"/>
      <c r="AN227" s="319"/>
      <c r="AO227" s="319"/>
      <c r="AP227" s="319"/>
      <c r="AQ227" s="319"/>
      <c r="AR227" s="319"/>
      <c r="AS227" s="319"/>
      <c r="AT227" s="319"/>
      <c r="AU227" s="319"/>
      <c r="AV227" s="319"/>
      <c r="AW227" s="319"/>
      <c r="AX227" s="319"/>
      <c r="AY227" s="319"/>
      <c r="AZ227" s="319"/>
      <c r="BA227" s="319"/>
      <c r="BB227" s="319"/>
      <c r="BC227" s="319"/>
      <c r="BD227" s="319"/>
      <c r="BE227" s="319"/>
      <c r="BF227" s="319"/>
      <c r="BG227" s="319"/>
      <c r="BH227" s="319"/>
      <c r="BI227" s="319"/>
      <c r="BJ227" s="319"/>
      <c r="BK227" s="319"/>
      <c r="BL227" s="319"/>
      <c r="BM227" s="319"/>
      <c r="BN227" s="319"/>
      <c r="BO227" s="319"/>
      <c r="BP227" s="319"/>
      <c r="BQ227" s="319"/>
      <c r="BR227" s="319"/>
      <c r="BS227" s="319"/>
      <c r="BT227" s="319"/>
      <c r="BU227" s="319"/>
      <c r="BV227" s="319"/>
      <c r="BW227" s="319"/>
      <c r="BX227" s="319"/>
      <c r="BY227" s="319"/>
      <c r="BZ227" s="319"/>
      <c r="CA227" s="319"/>
      <c r="CB227" s="319"/>
      <c r="CC227" s="319"/>
      <c r="CD227" s="319"/>
      <c r="CE227" s="319"/>
      <c r="CF227" s="319"/>
      <c r="CG227" s="319"/>
      <c r="CH227" s="319"/>
      <c r="CI227" s="319"/>
      <c r="CJ227" s="319"/>
      <c r="CK227" s="319"/>
    </row>
    <row r="228" spans="1:89" ht="13.5" hidden="1" customHeight="1">
      <c r="A228" s="12"/>
      <c r="B228" s="1"/>
      <c r="C228" s="1"/>
      <c r="D228" s="1"/>
      <c r="E228" s="1"/>
      <c r="F228" s="1"/>
      <c r="G228" s="1"/>
      <c r="H228" s="1"/>
      <c r="I228" s="1"/>
      <c r="J228" s="1"/>
      <c r="K228" s="9"/>
      <c r="L228" s="1"/>
      <c r="M228" s="319"/>
      <c r="N228" s="319">
        <v>5011000</v>
      </c>
      <c r="O228" s="319"/>
      <c r="P228" s="319"/>
      <c r="Q228" s="3" t="b">
        <v>0</v>
      </c>
      <c r="R228" s="319" t="b">
        <v>0</v>
      </c>
      <c r="S228" s="319"/>
      <c r="T228" s="319"/>
      <c r="U228" s="319" t="s">
        <v>3935</v>
      </c>
      <c r="V228" s="319" t="s">
        <v>3045</v>
      </c>
      <c r="W228" s="319" t="s">
        <v>81</v>
      </c>
      <c r="X228" s="481"/>
      <c r="Y228" s="319" t="s">
        <v>2146</v>
      </c>
      <c r="Z228" s="319" t="s">
        <v>4435</v>
      </c>
      <c r="AA228" s="319" t="s">
        <v>2324</v>
      </c>
      <c r="AB228" s="319" t="s">
        <v>3437</v>
      </c>
      <c r="AC228" s="319" t="s">
        <v>1081</v>
      </c>
      <c r="AD228" s="319" t="s">
        <v>4878</v>
      </c>
      <c r="AE228" s="319" t="s">
        <v>5115</v>
      </c>
      <c r="AF228" s="319" t="s">
        <v>2325</v>
      </c>
      <c r="AG228" s="319" t="s">
        <v>3425</v>
      </c>
      <c r="AH228" s="319" t="s">
        <v>1370</v>
      </c>
      <c r="AI228" s="319" t="s">
        <v>5413</v>
      </c>
      <c r="AJ228" s="319" t="s">
        <v>2924</v>
      </c>
      <c r="AK228" s="319" t="s">
        <v>2584</v>
      </c>
      <c r="AL228" s="319" t="s">
        <v>5249</v>
      </c>
      <c r="AM228" s="319" t="s">
        <v>713</v>
      </c>
      <c r="AN228" s="319" t="s">
        <v>2834</v>
      </c>
      <c r="AO228" s="319"/>
      <c r="AP228" s="319"/>
      <c r="AQ228" s="319"/>
      <c r="AR228" s="319"/>
      <c r="AS228" s="319"/>
      <c r="AT228" s="319"/>
      <c r="AU228" s="319"/>
      <c r="AV228" s="319"/>
      <c r="AW228" s="319"/>
      <c r="AX228" s="319"/>
      <c r="AY228" s="319"/>
      <c r="AZ228" s="319"/>
      <c r="BA228" s="319"/>
      <c r="BB228" s="319"/>
      <c r="BC228" s="319"/>
      <c r="BD228" s="319"/>
      <c r="BE228" s="319"/>
      <c r="BF228" s="319"/>
      <c r="BG228" s="319"/>
      <c r="BH228" s="319"/>
      <c r="BI228" s="319"/>
      <c r="BJ228" s="319"/>
      <c r="BK228" s="319"/>
      <c r="BL228" s="319"/>
      <c r="BM228" s="319"/>
      <c r="BN228" s="319"/>
      <c r="BO228" s="319"/>
      <c r="BP228" s="319"/>
      <c r="BQ228" s="319"/>
      <c r="BR228" s="319"/>
      <c r="BS228" s="319"/>
      <c r="BT228" s="319"/>
      <c r="BU228" s="319"/>
      <c r="BV228" s="319"/>
      <c r="BW228" s="319"/>
      <c r="BX228" s="319"/>
      <c r="BY228" s="319"/>
      <c r="BZ228" s="319"/>
      <c r="CA228" s="319"/>
      <c r="CB228" s="319"/>
      <c r="CC228" s="319"/>
      <c r="CD228" s="319"/>
      <c r="CE228" s="319"/>
      <c r="CF228" s="319"/>
      <c r="CG228" s="319"/>
      <c r="CH228" s="319"/>
      <c r="CI228" s="319"/>
      <c r="CJ228" s="319"/>
      <c r="CK228" s="319"/>
    </row>
    <row r="229" spans="1:89" ht="12.75" hidden="1" customHeight="1">
      <c r="A229" s="1009" t="s">
        <v>4189</v>
      </c>
      <c r="B229" s="134" t="str">
        <f>Language!C1876</f>
        <v>Percentual de utilização do mês</v>
      </c>
      <c r="C229" s="1"/>
      <c r="D229" s="1"/>
      <c r="E229" s="1"/>
      <c r="F229" s="1"/>
      <c r="G229" s="1"/>
      <c r="H229" s="1"/>
      <c r="I229" s="1"/>
      <c r="J229" s="1"/>
      <c r="K229" s="9"/>
      <c r="L229" s="1"/>
      <c r="M229" s="319"/>
      <c r="N229" s="319">
        <v>5012026</v>
      </c>
      <c r="O229" s="319"/>
      <c r="P229" s="319"/>
      <c r="Q229" s="319"/>
      <c r="R229" s="319"/>
      <c r="S229" s="319"/>
      <c r="T229" s="319"/>
      <c r="U229" s="319"/>
      <c r="V229" s="319"/>
      <c r="W229" s="319"/>
      <c r="X229" s="481"/>
      <c r="Y229" s="319"/>
      <c r="Z229" s="319"/>
      <c r="AA229" s="319"/>
      <c r="AB229" s="319"/>
      <c r="AC229" s="319"/>
      <c r="AD229" s="319"/>
      <c r="AE229" s="319"/>
      <c r="AF229" s="319"/>
      <c r="AG229" s="319"/>
      <c r="AH229" s="319"/>
      <c r="AI229" s="319"/>
      <c r="AJ229" s="319"/>
      <c r="AK229" s="319"/>
      <c r="AL229" s="319"/>
      <c r="AM229" s="319"/>
      <c r="AN229" s="319"/>
      <c r="AO229" s="319"/>
      <c r="AP229" s="319"/>
      <c r="AQ229" s="319"/>
      <c r="AR229" s="319"/>
      <c r="AS229" s="319"/>
      <c r="AT229" s="319"/>
      <c r="AU229" s="319"/>
      <c r="AV229" s="319"/>
      <c r="AW229" s="319"/>
      <c r="AX229" s="319"/>
      <c r="AY229" s="319"/>
      <c r="AZ229" s="319"/>
      <c r="BA229" s="319"/>
      <c r="BB229" s="319"/>
      <c r="BC229" s="319"/>
      <c r="BD229" s="319"/>
      <c r="BE229" s="319"/>
      <c r="BF229" s="319"/>
      <c r="BG229" s="319"/>
      <c r="BH229" s="319"/>
      <c r="BI229" s="319"/>
      <c r="BJ229" s="319"/>
      <c r="BK229" s="319"/>
      <c r="BL229" s="319"/>
      <c r="BM229" s="319"/>
      <c r="BN229" s="319"/>
      <c r="BO229" s="319"/>
      <c r="BP229" s="319"/>
      <c r="BQ229" s="319"/>
      <c r="BR229" s="319"/>
      <c r="BS229" s="319"/>
      <c r="BT229" s="319"/>
      <c r="BU229" s="319"/>
      <c r="BV229" s="319"/>
      <c r="BW229" s="319"/>
      <c r="BX229" s="319"/>
      <c r="BY229" s="319"/>
      <c r="BZ229" s="319"/>
      <c r="CA229" s="319"/>
      <c r="CB229" s="319"/>
      <c r="CC229" s="319"/>
      <c r="CD229" s="319"/>
      <c r="CE229" s="319"/>
      <c r="CF229" s="319"/>
      <c r="CG229" s="319"/>
      <c r="CH229" s="319"/>
      <c r="CI229" s="319"/>
      <c r="CJ229" s="319"/>
      <c r="CK229" s="319"/>
    </row>
    <row r="230" spans="1:89" ht="13.5" hidden="1" customHeight="1">
      <c r="A230" s="12"/>
      <c r="B230" s="1"/>
      <c r="C230" s="333" t="str">
        <f t="shared" ref="C230:C242" si="20">C740</f>
        <v>Mês</v>
      </c>
      <c r="D230" s="1"/>
      <c r="E230" s="1"/>
      <c r="F230" s="1"/>
      <c r="G230" s="1"/>
      <c r="H230" s="1"/>
      <c r="I230" s="1"/>
      <c r="J230" s="1"/>
      <c r="K230" s="9"/>
      <c r="L230" s="1"/>
      <c r="M230" s="319"/>
      <c r="N230" s="319">
        <v>5012026</v>
      </c>
      <c r="O230" s="319"/>
      <c r="P230" s="319"/>
      <c r="Q230" s="319">
        <v>744</v>
      </c>
      <c r="R230" s="319">
        <f t="shared" ref="R230:R241" si="21">IF(EE_13_M=TRUE,E231,1)</f>
        <v>1</v>
      </c>
      <c r="S230" s="319"/>
      <c r="T230" s="319"/>
      <c r="U230" s="476">
        <f>$AH$210/E280/'Modelo Energético'!AI456</f>
        <v>0</v>
      </c>
      <c r="V230" s="476">
        <f>IF(AND('Modelo Energético'!O456&gt;0,Q678&gt;0),1.2*U230,0)</f>
        <v>0</v>
      </c>
      <c r="W230" s="476">
        <f>IF(AND('Modelo Energético'!O456&gt;0,Q678&gt;0),U230,"")</f>
        <v>0</v>
      </c>
      <c r="X230" s="849"/>
      <c r="Y230" s="476">
        <f>getcoszenithangle(Iniciar!Y58,0,$U$4)</f>
        <v>0.48302317837768161</v>
      </c>
      <c r="Z230" s="476">
        <f>IF(W678,'Modelo Energético'!AD456/Y230,1)</f>
        <v>1.8589080491796803</v>
      </c>
      <c r="AA230" s="476">
        <f>GetHourlyToDailyTotalRadRatio(0,Iniciar!Z58)</f>
        <v>0.17466564177701077</v>
      </c>
      <c r="AB230" s="476">
        <f>GetHourlyToDailyDiffuseRadRatio(0,Iniciar!Z58)</f>
        <v>0.16252230962577596</v>
      </c>
      <c r="AC230" s="476">
        <f>(1-AB230/AA230*'Modelo Energético'!AB456)*Z230+AB230/AA230*'Modelo Energético'!AB456*(1+COS('Modelo Energético'!AC456))/2+Iniciar!AE58*(1-COS('Modelo Energético'!AC456))/2</f>
        <v>1.3000732573663007</v>
      </c>
      <c r="AD230" s="476">
        <f>$AH$214/'Modelo Energético'!$D$483/'Modelo Energético'!AI456</f>
        <v>0</v>
      </c>
      <c r="AE230" s="476">
        <f>IF('Modelo Energético'!E456&gt;0,AD230/AA230/AC230/'Modelo Energético'!E456/1000,0)</f>
        <v>0</v>
      </c>
      <c r="AF230" s="476">
        <f>IF(Iniciar!AB58&gt;0,'Modelo Energético'!AA456/Iniciar!AB58,1)</f>
        <v>1.6200352595999781</v>
      </c>
      <c r="AG230" s="476"/>
      <c r="AH230" s="476"/>
      <c r="AI230" s="476"/>
      <c r="AJ230" s="476"/>
      <c r="AK230" s="476">
        <f>MIN(EXP((Iniciar!AF58+Iniciar!AG58*AC230/AF230)*AE230*(1+AE230*Iniciar!AH58)),1)</f>
        <v>1</v>
      </c>
      <c r="AL230" s="476">
        <f>MIN('Modelo Energético'!AJ456*(1-AK230),$AH$212)</f>
        <v>0</v>
      </c>
      <c r="AM230" s="476">
        <f>MIN('Modelo Energético'!AJ456-AL230,$AH$213)</f>
        <v>0</v>
      </c>
      <c r="AN230" s="476">
        <f>'Modelo Energético'!AJ456-AL230-AM230</f>
        <v>10.23951488382569</v>
      </c>
      <c r="AO230" s="319"/>
      <c r="AP230" s="319"/>
      <c r="AQ230" s="319"/>
      <c r="AR230" s="319"/>
      <c r="AS230" s="319"/>
      <c r="AT230" s="319"/>
      <c r="AU230" s="319"/>
      <c r="AV230" s="319"/>
      <c r="AW230" s="319"/>
      <c r="AX230" s="319"/>
      <c r="AY230" s="319"/>
      <c r="AZ230" s="319"/>
      <c r="BA230" s="319"/>
      <c r="BB230" s="319"/>
      <c r="BC230" s="319"/>
      <c r="BD230" s="319"/>
      <c r="BE230" s="319"/>
      <c r="BF230" s="319"/>
      <c r="BG230" s="319"/>
      <c r="BH230" s="319"/>
      <c r="BI230" s="319"/>
      <c r="BJ230" s="319"/>
      <c r="BK230" s="319"/>
      <c r="BL230" s="319"/>
      <c r="BM230" s="319"/>
      <c r="BN230" s="319"/>
      <c r="BO230" s="319"/>
      <c r="BP230" s="319"/>
      <c r="BQ230" s="319"/>
      <c r="BR230" s="319"/>
      <c r="BS230" s="319"/>
      <c r="BT230" s="319"/>
      <c r="BU230" s="319"/>
      <c r="BV230" s="319"/>
      <c r="BW230" s="319"/>
      <c r="BX230" s="319"/>
      <c r="BY230" s="319"/>
      <c r="BZ230" s="319"/>
      <c r="CA230" s="319"/>
      <c r="CB230" s="319"/>
      <c r="CC230" s="319"/>
      <c r="CD230" s="319"/>
      <c r="CE230" s="319"/>
      <c r="CF230" s="319"/>
      <c r="CG230" s="319"/>
      <c r="CH230" s="319"/>
      <c r="CI230" s="319"/>
      <c r="CJ230" s="319"/>
      <c r="CK230" s="319"/>
    </row>
    <row r="231" spans="1:89" ht="13.5" hidden="1" customHeight="1">
      <c r="A231" s="12"/>
      <c r="B231" s="1"/>
      <c r="C231" s="83" t="str">
        <f t="shared" si="20"/>
        <v>Janeiro</v>
      </c>
      <c r="D231" s="339"/>
      <c r="E231" s="339"/>
      <c r="F231" s="1"/>
      <c r="G231" s="1"/>
      <c r="H231" s="1"/>
      <c r="I231" s="1"/>
      <c r="J231" s="1"/>
      <c r="K231" s="9"/>
      <c r="L231" s="1"/>
      <c r="M231" s="319"/>
      <c r="N231" s="319">
        <v>5012026</v>
      </c>
      <c r="O231" s="319"/>
      <c r="P231" s="319"/>
      <c r="Q231" s="319">
        <v>672</v>
      </c>
      <c r="R231" s="319">
        <f t="shared" si="21"/>
        <v>1</v>
      </c>
      <c r="S231" s="319"/>
      <c r="T231" s="319"/>
      <c r="U231" s="476">
        <f>$AH$210/'Modelo Energético'!E457/'Modelo Energético'!AI457</f>
        <v>0</v>
      </c>
      <c r="V231" s="476">
        <f>IF(AND('Modelo Energético'!O457&gt;0,Q679&gt;0),1.2*U231,0)</f>
        <v>0</v>
      </c>
      <c r="W231" s="476">
        <f>IF(AND('Modelo Energético'!O457&gt;0,Q679&gt;0),U231,"")</f>
        <v>0</v>
      </c>
      <c r="X231" s="849"/>
      <c r="Y231" s="476">
        <f>getcoszenithangle(Iniciar!Y59,0,$U$4)</f>
        <v>0.59965778045716744</v>
      </c>
      <c r="Z231" s="476">
        <f>IF(W679,'Modelo Energético'!AD457/Y231,1)</f>
        <v>1.5846005563385506</v>
      </c>
      <c r="AA231" s="476">
        <f>GetHourlyToDailyTotalRadRatio(0,Iniciar!Z59)</f>
        <v>0.15929102892786084</v>
      </c>
      <c r="AB231" s="476">
        <f>GetHourlyToDailyDiffuseRadRatio(0,Iniciar!Z59)</f>
        <v>0.14777620736381059</v>
      </c>
      <c r="AC231" s="476">
        <f>(1-AB231/AA231*'Modelo Energético'!AB457)*Z231+AB231/AA231*'Modelo Energético'!AB457*(1+COS('Modelo Energético'!AC457))/2+Iniciar!AE59*(1-COS('Modelo Energético'!AC457))/2</f>
        <v>1.238490486914839</v>
      </c>
      <c r="AD231" s="476">
        <f>$AH$214/'Modelo Energético'!$D$483/'Modelo Energético'!AI457</f>
        <v>0</v>
      </c>
      <c r="AE231" s="476">
        <f>IF('Modelo Energético'!E457&gt;0,AD231/AA231/AC231/'Modelo Energético'!E457/1000,0)</f>
        <v>0</v>
      </c>
      <c r="AF231" s="476">
        <f>IF(Iniciar!AB59&gt;0,'Modelo Energético'!AA457/Iniciar!AB59,1)</f>
        <v>1.4097766393868751</v>
      </c>
      <c r="AG231" s="476"/>
      <c r="AH231" s="476"/>
      <c r="AI231" s="476"/>
      <c r="AJ231" s="476"/>
      <c r="AK231" s="476">
        <f>MIN(EXP((Iniciar!AF59+Iniciar!AG59*AC231/AF231)*AE231*(1+AE231*Iniciar!AH59)),1)</f>
        <v>1</v>
      </c>
      <c r="AL231" s="476">
        <f>MIN('Modelo Energético'!AJ457*(1-AK231),$AH$212)</f>
        <v>0</v>
      </c>
      <c r="AM231" s="476">
        <f>MIN('Modelo Energético'!AJ457-AL231,$AH$213)</f>
        <v>0</v>
      </c>
      <c r="AN231" s="476">
        <f>'Modelo Energético'!AJ457-AL231-AM231</f>
        <v>12.905391879686833</v>
      </c>
      <c r="AO231" s="319"/>
      <c r="AP231" s="319"/>
      <c r="AQ231" s="319"/>
      <c r="AR231" s="319"/>
      <c r="AS231" s="319"/>
      <c r="AT231" s="319"/>
      <c r="AU231" s="319"/>
      <c r="AV231" s="319"/>
      <c r="AW231" s="319"/>
      <c r="AX231" s="319"/>
      <c r="AY231" s="319"/>
      <c r="AZ231" s="319"/>
      <c r="BA231" s="319"/>
      <c r="BB231" s="319"/>
      <c r="BC231" s="319"/>
      <c r="BD231" s="319"/>
      <c r="BE231" s="319"/>
      <c r="BF231" s="319"/>
      <c r="BG231" s="319"/>
      <c r="BH231" s="319"/>
      <c r="BI231" s="319"/>
      <c r="BJ231" s="319"/>
      <c r="BK231" s="319"/>
      <c r="BL231" s="319"/>
      <c r="BM231" s="319"/>
      <c r="BN231" s="319"/>
      <c r="BO231" s="319"/>
      <c r="BP231" s="319"/>
      <c r="BQ231" s="319"/>
      <c r="BR231" s="319"/>
      <c r="BS231" s="319"/>
      <c r="BT231" s="319"/>
      <c r="BU231" s="319"/>
      <c r="BV231" s="319"/>
      <c r="BW231" s="319"/>
      <c r="BX231" s="319"/>
      <c r="BY231" s="319"/>
      <c r="BZ231" s="319"/>
      <c r="CA231" s="319"/>
      <c r="CB231" s="319"/>
      <c r="CC231" s="319"/>
      <c r="CD231" s="319"/>
      <c r="CE231" s="319"/>
      <c r="CF231" s="319"/>
      <c r="CG231" s="319"/>
      <c r="CH231" s="319"/>
      <c r="CI231" s="319"/>
      <c r="CJ231" s="319"/>
      <c r="CK231" s="319"/>
    </row>
    <row r="232" spans="1:89" ht="13.5" hidden="1" customHeight="1">
      <c r="A232" s="12"/>
      <c r="B232" s="1"/>
      <c r="C232" s="83" t="str">
        <f t="shared" si="20"/>
        <v>Fevereiro</v>
      </c>
      <c r="D232" s="339"/>
      <c r="E232" s="339"/>
      <c r="F232" s="1"/>
      <c r="G232" s="1"/>
      <c r="H232" s="1"/>
      <c r="I232" s="1"/>
      <c r="J232" s="1"/>
      <c r="K232" s="9"/>
      <c r="L232" s="1"/>
      <c r="M232" s="319"/>
      <c r="N232" s="319">
        <v>5012026</v>
      </c>
      <c r="O232" s="319"/>
      <c r="P232" s="319"/>
      <c r="Q232" s="319">
        <v>744</v>
      </c>
      <c r="R232" s="319">
        <f t="shared" si="21"/>
        <v>1</v>
      </c>
      <c r="S232" s="319"/>
      <c r="T232" s="319"/>
      <c r="U232" s="476">
        <f>$AH$210/'Modelo Energético'!E458/'Modelo Energético'!AI458</f>
        <v>0</v>
      </c>
      <c r="V232" s="476">
        <f>IF(AND('Modelo Energético'!O458&gt;0,Q680&gt;0),1.2*U232,0)</f>
        <v>0</v>
      </c>
      <c r="W232" s="476">
        <f>IF(AND('Modelo Energético'!O458&gt;0,Q680&gt;0),U232,"")</f>
        <v>0</v>
      </c>
      <c r="X232" s="849"/>
      <c r="Y232" s="476">
        <f>getcoszenithangle(Iniciar!Y60,0,$U$4)</f>
        <v>0.73588753793963158</v>
      </c>
      <c r="Z232" s="476">
        <f>IF(W680,'Modelo Energético'!AD458/Y232,1)</f>
        <v>1.3469097074077772</v>
      </c>
      <c r="AA232" s="476">
        <f>GetHourlyToDailyTotalRadRatio(0,Iniciar!Z60)</f>
        <v>0.14453438610776567</v>
      </c>
      <c r="AB232" s="476">
        <f>GetHourlyToDailyDiffuseRadRatio(0,Iniciar!Z60)</f>
        <v>0.13363353371666939</v>
      </c>
      <c r="AC232" s="476">
        <f>(1-AB232/AA232*'Modelo Energético'!AB458)*Z232+AB232/AA232*'Modelo Energético'!AB458*(1+COS('Modelo Energético'!AC458))/2+Iniciar!AE60*(1-COS('Modelo Energético'!AC458))/2</f>
        <v>1.1810104785116367</v>
      </c>
      <c r="AD232" s="476">
        <f>$AH$214/'Modelo Energético'!$D$483/'Modelo Energético'!AI458</f>
        <v>0</v>
      </c>
      <c r="AE232" s="476">
        <f>IF('Modelo Energético'!E458&gt;0,AD232/AA232/AC232/'Modelo Energético'!E458/1000,0)</f>
        <v>0</v>
      </c>
      <c r="AF232" s="476">
        <f>IF(Iniciar!AB60&gt;0,'Modelo Energético'!AA458/Iniciar!AB60,1)</f>
        <v>1.219979023360978</v>
      </c>
      <c r="AG232" s="476"/>
      <c r="AH232" s="476"/>
      <c r="AI232" s="476"/>
      <c r="AJ232" s="476"/>
      <c r="AK232" s="476">
        <f>MIN(EXP((Iniciar!AF60+Iniciar!AG60*AC232/AF232)*AE232*(1+AE232*Iniciar!AH60)),1)</f>
        <v>1</v>
      </c>
      <c r="AL232" s="476">
        <f>MIN('Modelo Energético'!AJ458*(1-AK232),$AH$212)</f>
        <v>0</v>
      </c>
      <c r="AM232" s="476">
        <f>MIN('Modelo Energético'!AJ458-AL232,$AH$213)</f>
        <v>0</v>
      </c>
      <c r="AN232" s="476">
        <f>'Modelo Energético'!AJ458-AL232-AM232</f>
        <v>16.603403182245302</v>
      </c>
      <c r="AO232" s="319"/>
      <c r="AP232" s="319"/>
      <c r="AQ232" s="319"/>
      <c r="AR232" s="319"/>
      <c r="AS232" s="319"/>
      <c r="AT232" s="319"/>
      <c r="AU232" s="319"/>
      <c r="AV232" s="319"/>
      <c r="AW232" s="319"/>
      <c r="AX232" s="319"/>
      <c r="AY232" s="319"/>
      <c r="AZ232" s="319"/>
      <c r="BA232" s="319"/>
      <c r="BB232" s="319"/>
      <c r="BC232" s="319"/>
      <c r="BD232" s="319"/>
      <c r="BE232" s="319"/>
      <c r="BF232" s="319"/>
      <c r="BG232" s="319"/>
      <c r="BH232" s="319"/>
      <c r="BI232" s="319"/>
      <c r="BJ232" s="319"/>
      <c r="BK232" s="319"/>
      <c r="BL232" s="319"/>
      <c r="BM232" s="319"/>
      <c r="BN232" s="319"/>
      <c r="BO232" s="319"/>
      <c r="BP232" s="319"/>
      <c r="BQ232" s="319"/>
      <c r="BR232" s="319"/>
      <c r="BS232" s="319"/>
      <c r="BT232" s="319"/>
      <c r="BU232" s="319"/>
      <c r="BV232" s="319"/>
      <c r="BW232" s="319"/>
      <c r="BX232" s="319"/>
      <c r="BY232" s="319"/>
      <c r="BZ232" s="319"/>
      <c r="CA232" s="319"/>
      <c r="CB232" s="319"/>
      <c r="CC232" s="319"/>
      <c r="CD232" s="319"/>
      <c r="CE232" s="319"/>
      <c r="CF232" s="319"/>
      <c r="CG232" s="319"/>
      <c r="CH232" s="319"/>
      <c r="CI232" s="319"/>
      <c r="CJ232" s="319"/>
      <c r="CK232" s="319"/>
    </row>
    <row r="233" spans="1:89" ht="13.5" hidden="1" customHeight="1">
      <c r="A233" s="12"/>
      <c r="B233" s="1"/>
      <c r="C233" s="83" t="str">
        <f t="shared" si="20"/>
        <v>Março</v>
      </c>
      <c r="D233" s="339"/>
      <c r="E233" s="339"/>
      <c r="F233" s="1"/>
      <c r="G233" s="1"/>
      <c r="H233" s="1"/>
      <c r="I233" s="1"/>
      <c r="J233" s="1"/>
      <c r="K233" s="9"/>
      <c r="L233" s="1"/>
      <c r="M233" s="319"/>
      <c r="N233" s="319">
        <v>5012026</v>
      </c>
      <c r="O233" s="319"/>
      <c r="P233" s="319"/>
      <c r="Q233" s="319">
        <v>720</v>
      </c>
      <c r="R233" s="319">
        <f t="shared" si="21"/>
        <v>1</v>
      </c>
      <c r="S233" s="319"/>
      <c r="T233" s="319"/>
      <c r="U233" s="476">
        <f>$AH$210/'Modelo Energético'!E459/'Modelo Energético'!AI459</f>
        <v>0</v>
      </c>
      <c r="V233" s="476">
        <f>IF(AND('Modelo Energético'!O459&gt;0,Q681&gt;0),1.2*U233,0)</f>
        <v>0</v>
      </c>
      <c r="W233" s="476">
        <f>IF(AND('Modelo Energético'!O459&gt;0,Q681&gt;0),U233,"")</f>
        <v>0</v>
      </c>
      <c r="X233" s="849"/>
      <c r="Y233" s="476">
        <f>getcoszenithangle(Iniciar!Y61,0,$U$4)</f>
        <v>0.85909296727760154</v>
      </c>
      <c r="Z233" s="476">
        <f>IF(W681,'Modelo Energético'!AD459/Y233,1)</f>
        <v>1.1608704925966602</v>
      </c>
      <c r="AA233" s="476">
        <f>GetHourlyToDailyTotalRadRatio(0,Iniciar!Z61)</f>
        <v>0.13168463423272597</v>
      </c>
      <c r="AB233" s="476">
        <f>GetHourlyToDailyDiffuseRadRatio(0,Iniciar!Z61)</f>
        <v>0.12134049021689937</v>
      </c>
      <c r="AC233" s="476">
        <f>(1-AB233/AA233*'Modelo Energético'!AB459)*Z233+AB233/AA233*'Modelo Energético'!AB459*(1+COS('Modelo Energético'!AC459))/2+Iniciar!AE61*(1-COS('Modelo Energético'!AC459))/2</f>
        <v>1.0695298796307979</v>
      </c>
      <c r="AD233" s="476">
        <f>$AH$214/'Modelo Energético'!$D$483/'Modelo Energético'!AI459</f>
        <v>0</v>
      </c>
      <c r="AE233" s="476">
        <f>IF('Modelo Energético'!E459&gt;0,AD233/AA233/AC233/'Modelo Energético'!E459/1000,0)</f>
        <v>0</v>
      </c>
      <c r="AF233" s="476">
        <f>IF(Iniciar!AB61&gt;0,'Modelo Energético'!AA459/Iniciar!AB61,1)</f>
        <v>1.0531755960498235</v>
      </c>
      <c r="AG233" s="476"/>
      <c r="AH233" s="476"/>
      <c r="AI233" s="476"/>
      <c r="AJ233" s="476"/>
      <c r="AK233" s="476">
        <f>MIN(EXP((Iniciar!AF61+Iniciar!AG61*AC233/AF233)*AE233*(1+AE233*Iniciar!AH61)),1)</f>
        <v>1</v>
      </c>
      <c r="AL233" s="476">
        <f>MIN('Modelo Energético'!AJ459*(1-AK233),$AH$212)</f>
        <v>0</v>
      </c>
      <c r="AM233" s="476">
        <f>MIN('Modelo Energético'!AJ459-AL233,$AH$213)</f>
        <v>0</v>
      </c>
      <c r="AN233" s="476">
        <f>'Modelo Energético'!AJ459-AL233-AM233</f>
        <v>17.733550493490565</v>
      </c>
      <c r="AO233" s="319"/>
      <c r="AP233" s="319"/>
      <c r="AQ233" s="319"/>
      <c r="AR233" s="319"/>
      <c r="AS233" s="319"/>
      <c r="AT233" s="319"/>
      <c r="AU233" s="319"/>
      <c r="AV233" s="319"/>
      <c r="AW233" s="319"/>
      <c r="AX233" s="319"/>
      <c r="AY233" s="319"/>
      <c r="AZ233" s="319"/>
      <c r="BA233" s="319"/>
      <c r="BB233" s="319"/>
      <c r="BC233" s="319"/>
      <c r="BD233" s="319"/>
      <c r="BE233" s="319"/>
      <c r="BF233" s="319"/>
      <c r="BG233" s="319"/>
      <c r="BH233" s="319"/>
      <c r="BI233" s="319"/>
      <c r="BJ233" s="319"/>
      <c r="BK233" s="319"/>
      <c r="BL233" s="319"/>
      <c r="BM233" s="319"/>
      <c r="BN233" s="319"/>
      <c r="BO233" s="319"/>
      <c r="BP233" s="319"/>
      <c r="BQ233" s="319"/>
      <c r="BR233" s="319"/>
      <c r="BS233" s="319"/>
      <c r="BT233" s="319"/>
      <c r="BU233" s="319"/>
      <c r="BV233" s="319"/>
      <c r="BW233" s="319"/>
      <c r="BX233" s="319"/>
      <c r="BY233" s="319"/>
      <c r="BZ233" s="319"/>
      <c r="CA233" s="319"/>
      <c r="CB233" s="319"/>
      <c r="CC233" s="319"/>
      <c r="CD233" s="319"/>
      <c r="CE233" s="319"/>
      <c r="CF233" s="319"/>
      <c r="CG233" s="319"/>
      <c r="CH233" s="319"/>
      <c r="CI233" s="319"/>
      <c r="CJ233" s="319"/>
      <c r="CK233" s="319"/>
    </row>
    <row r="234" spans="1:89" ht="13.5" hidden="1" customHeight="1">
      <c r="A234" s="12"/>
      <c r="B234" s="1"/>
      <c r="C234" s="83" t="str">
        <f t="shared" si="20"/>
        <v>Abril</v>
      </c>
      <c r="D234" s="339"/>
      <c r="E234" s="339"/>
      <c r="F234" s="1"/>
      <c r="G234" s="1"/>
      <c r="H234" s="1"/>
      <c r="I234" s="1"/>
      <c r="J234" s="1"/>
      <c r="K234" s="9"/>
      <c r="L234" s="1"/>
      <c r="M234" s="319"/>
      <c r="N234" s="319">
        <v>5012026</v>
      </c>
      <c r="O234" s="319"/>
      <c r="P234" s="319"/>
      <c r="Q234" s="319">
        <v>744</v>
      </c>
      <c r="R234" s="319">
        <f t="shared" si="21"/>
        <v>1</v>
      </c>
      <c r="S234" s="319"/>
      <c r="T234" s="319"/>
      <c r="U234" s="476">
        <f>$AH$210/'Modelo Energético'!E460/'Modelo Energético'!AI460</f>
        <v>0</v>
      </c>
      <c r="V234" s="476">
        <f>IF(AND('Modelo Energético'!O460&gt;0,Q682&gt;0),1.2*U234,0)</f>
        <v>0</v>
      </c>
      <c r="W234" s="476">
        <f>IF(AND('Modelo Energético'!O460&gt;0,Q682&gt;0),U234,"")</f>
        <v>0</v>
      </c>
      <c r="X234" s="849"/>
      <c r="Y234" s="476">
        <f>getcoszenithangle(Iniciar!Y62,0,$U$4)</f>
        <v>0.93100433491676715</v>
      </c>
      <c r="Z234" s="476">
        <f>IF(W682,'Modelo Energético'!AD460/Y234,1)</f>
        <v>1.0440284628211489</v>
      </c>
      <c r="AA234" s="476">
        <f>GetHourlyToDailyTotalRadRatio(0,Iniciar!Z62)</f>
        <v>0.12279725813799949</v>
      </c>
      <c r="AB234" s="476">
        <f>GetHourlyToDailyDiffuseRadRatio(0,Iniciar!Z62)</f>
        <v>0.11286253406131146</v>
      </c>
      <c r="AC234" s="476">
        <f>(1-AB234/AA234*'Modelo Energético'!AB460)*Z234+AB234/AA234*'Modelo Energético'!AB460*(1+COS('Modelo Energético'!AC460))/2+Iniciar!AE62*(1-COS('Modelo Energético'!AC460))/2</f>
        <v>0.99968696583582872</v>
      </c>
      <c r="AD234" s="476">
        <f>$AH$214/'Modelo Energético'!$D$483/'Modelo Energético'!AI460</f>
        <v>0</v>
      </c>
      <c r="AE234" s="476">
        <f>IF('Modelo Energético'!E460&gt;0,AD234/AA234/AC234/'Modelo Energético'!E460/1000,0)</f>
        <v>0</v>
      </c>
      <c r="AF234" s="476">
        <f>IF(Iniciar!AB62&gt;0,'Modelo Energético'!AA460/Iniciar!AB62,1)</f>
        <v>0.94994859648048635</v>
      </c>
      <c r="AG234" s="476"/>
      <c r="AH234" s="476"/>
      <c r="AI234" s="476"/>
      <c r="AJ234" s="476"/>
      <c r="AK234" s="476">
        <f>MIN(EXP((Iniciar!AF62+Iniciar!AG62*AC234/AF234)*AE234*(1+AE234*Iniciar!AH62)),1)</f>
        <v>1</v>
      </c>
      <c r="AL234" s="476">
        <f>MIN('Modelo Energético'!AJ460*(1-AK234),$AH$212)</f>
        <v>0</v>
      </c>
      <c r="AM234" s="476">
        <f>MIN('Modelo Energético'!AJ460-AL234,$AH$213)</f>
        <v>0</v>
      </c>
      <c r="AN234" s="476">
        <f>'Modelo Energético'!AJ460-AL234-AM234</f>
        <v>17.699646203094723</v>
      </c>
      <c r="AO234" s="319"/>
      <c r="AP234" s="319"/>
      <c r="AQ234" s="319"/>
      <c r="AR234" s="319"/>
      <c r="AS234" s="319"/>
      <c r="AT234" s="319"/>
      <c r="AU234" s="319"/>
      <c r="AV234" s="319"/>
      <c r="AW234" s="319"/>
      <c r="AX234" s="319"/>
      <c r="AY234" s="319"/>
      <c r="AZ234" s="319"/>
      <c r="BA234" s="319"/>
      <c r="BB234" s="319"/>
      <c r="BC234" s="319"/>
      <c r="BD234" s="319"/>
      <c r="BE234" s="319"/>
      <c r="BF234" s="319"/>
      <c r="BG234" s="319"/>
      <c r="BH234" s="319"/>
      <c r="BI234" s="319"/>
      <c r="BJ234" s="319"/>
      <c r="BK234" s="319"/>
      <c r="BL234" s="319"/>
      <c r="BM234" s="319"/>
      <c r="BN234" s="319"/>
      <c r="BO234" s="319"/>
      <c r="BP234" s="319"/>
      <c r="BQ234" s="319"/>
      <c r="BR234" s="319"/>
      <c r="BS234" s="319"/>
      <c r="BT234" s="319"/>
      <c r="BU234" s="319"/>
      <c r="BV234" s="319"/>
      <c r="BW234" s="319"/>
      <c r="BX234" s="319"/>
      <c r="BY234" s="319"/>
      <c r="BZ234" s="319"/>
      <c r="CA234" s="319"/>
      <c r="CB234" s="319"/>
      <c r="CC234" s="319"/>
      <c r="CD234" s="319"/>
      <c r="CE234" s="319"/>
      <c r="CF234" s="319"/>
      <c r="CG234" s="319"/>
      <c r="CH234" s="319"/>
      <c r="CI234" s="319"/>
      <c r="CJ234" s="319"/>
      <c r="CK234" s="319"/>
    </row>
    <row r="235" spans="1:89" ht="13.5" hidden="1" customHeight="1">
      <c r="A235" s="12"/>
      <c r="B235" s="1"/>
      <c r="C235" s="83" t="str">
        <f t="shared" si="20"/>
        <v>Maio</v>
      </c>
      <c r="D235" s="339"/>
      <c r="E235" s="339"/>
      <c r="F235" s="1"/>
      <c r="G235" s="1"/>
      <c r="H235" s="1"/>
      <c r="I235" s="1"/>
      <c r="J235" s="1"/>
      <c r="K235" s="9"/>
      <c r="L235" s="1"/>
      <c r="M235" s="319"/>
      <c r="N235" s="319">
        <v>5012026</v>
      </c>
      <c r="O235" s="319"/>
      <c r="P235" s="319"/>
      <c r="Q235" s="319">
        <v>720</v>
      </c>
      <c r="R235" s="319">
        <f t="shared" si="21"/>
        <v>1</v>
      </c>
      <c r="S235" s="319"/>
      <c r="T235" s="319"/>
      <c r="U235" s="476">
        <f>$AH$210/'Modelo Energético'!E461/'Modelo Energético'!AI461</f>
        <v>0</v>
      </c>
      <c r="V235" s="476">
        <f>IF(AND('Modelo Energético'!O461&gt;0,Q683&gt;0),1.2*U235,0)</f>
        <v>0</v>
      </c>
      <c r="W235" s="476">
        <f>IF(AND('Modelo Energético'!O461&gt;0,Q683&gt;0),U235,"")</f>
        <v>0</v>
      </c>
      <c r="X235" s="849"/>
      <c r="Y235" s="476">
        <f>getcoszenithangle(Iniciar!Y63,0,$U$4)</f>
        <v>0.95572068156608481</v>
      </c>
      <c r="Z235" s="476">
        <f>IF(W683,'Modelo Energético'!AD461/Y235,1)</f>
        <v>0.99576277921683198</v>
      </c>
      <c r="AA235" s="476">
        <f>GetHourlyToDailyTotalRadRatio(0,Iniciar!Z63)</f>
        <v>0.11888267994249042</v>
      </c>
      <c r="AB235" s="476">
        <f>GetHourlyToDailyDiffuseRadRatio(0,Iniciar!Z63)</f>
        <v>0.10913858939931698</v>
      </c>
      <c r="AC235" s="476">
        <f>(1-AB235/AA235*'Modelo Energético'!AB461)*Z235+AB235/AA235*'Modelo Energético'!AB461*(1+COS('Modelo Energético'!AC461))/2+Iniciar!AE63*(1-COS('Modelo Energético'!AC461))/2</f>
        <v>0.97429658566897159</v>
      </c>
      <c r="AD235" s="476">
        <f>$AH$214/'Modelo Energético'!$D$483/'Modelo Energético'!AI461</f>
        <v>0</v>
      </c>
      <c r="AE235" s="476">
        <f>IF('Modelo Energético'!E461&gt;0,AD235/AA235/AC235/'Modelo Energético'!E461/1000,0)</f>
        <v>0</v>
      </c>
      <c r="AF235" s="476">
        <f>IF(Iniciar!AB63&gt;0,'Modelo Energético'!AA461/Iniciar!AB63,1)</f>
        <v>0.91031738325889455</v>
      </c>
      <c r="AG235" s="476"/>
      <c r="AH235" s="476"/>
      <c r="AI235" s="476"/>
      <c r="AJ235" s="476"/>
      <c r="AK235" s="476">
        <f>MIN(EXP((Iniciar!AF63+Iniciar!AG63*AC235/AF235)*AE235*(1+AE235*Iniciar!AH63)),1)</f>
        <v>1</v>
      </c>
      <c r="AL235" s="476">
        <f>MIN('Modelo Energético'!AJ461*(1-AK235),$AH$212)</f>
        <v>0</v>
      </c>
      <c r="AM235" s="476">
        <f>MIN('Modelo Energético'!AJ461-AL235,$AH$213)</f>
        <v>0</v>
      </c>
      <c r="AN235" s="476">
        <f>'Modelo Energético'!AJ461-AL235-AM235</f>
        <v>17.71801430741835</v>
      </c>
      <c r="AO235" s="319"/>
      <c r="AP235" s="319"/>
      <c r="AQ235" s="319"/>
      <c r="AR235" s="319"/>
      <c r="AS235" s="319"/>
      <c r="AT235" s="319"/>
      <c r="AU235" s="319"/>
      <c r="AV235" s="319"/>
      <c r="AW235" s="319"/>
      <c r="AX235" s="319"/>
      <c r="AY235" s="319"/>
      <c r="AZ235" s="319"/>
      <c r="BA235" s="319"/>
      <c r="BB235" s="319"/>
      <c r="BC235" s="319"/>
      <c r="BD235" s="319"/>
      <c r="BE235" s="319"/>
      <c r="BF235" s="319"/>
      <c r="BG235" s="319"/>
      <c r="BH235" s="319"/>
      <c r="BI235" s="319"/>
      <c r="BJ235" s="319"/>
      <c r="BK235" s="319"/>
      <c r="BL235" s="319"/>
      <c r="BM235" s="319"/>
      <c r="BN235" s="319"/>
      <c r="BO235" s="319"/>
      <c r="BP235" s="319"/>
      <c r="BQ235" s="319"/>
      <c r="BR235" s="319"/>
      <c r="BS235" s="319"/>
      <c r="BT235" s="319"/>
      <c r="BU235" s="319"/>
      <c r="BV235" s="319"/>
      <c r="BW235" s="319"/>
      <c r="BX235" s="319"/>
      <c r="BY235" s="319"/>
      <c r="BZ235" s="319"/>
      <c r="CA235" s="319"/>
      <c r="CB235" s="319"/>
      <c r="CC235" s="319"/>
      <c r="CD235" s="319"/>
      <c r="CE235" s="319"/>
      <c r="CF235" s="319"/>
      <c r="CG235" s="319"/>
      <c r="CH235" s="319"/>
      <c r="CI235" s="319"/>
      <c r="CJ235" s="319"/>
      <c r="CK235" s="319"/>
    </row>
    <row r="236" spans="1:89" ht="13.5" hidden="1" customHeight="1">
      <c r="A236" s="12"/>
      <c r="B236" s="1"/>
      <c r="C236" s="83" t="str">
        <f t="shared" si="20"/>
        <v>Junho</v>
      </c>
      <c r="D236" s="339"/>
      <c r="E236" s="339"/>
      <c r="F236" s="1"/>
      <c r="G236" s="1"/>
      <c r="H236" s="1"/>
      <c r="I236" s="1"/>
      <c r="J236" s="1"/>
      <c r="K236" s="9"/>
      <c r="L236" s="1"/>
      <c r="M236" s="319"/>
      <c r="N236" s="319">
        <v>5012026</v>
      </c>
      <c r="O236" s="319"/>
      <c r="P236" s="319"/>
      <c r="Q236" s="319">
        <v>744</v>
      </c>
      <c r="R236" s="319">
        <f t="shared" si="21"/>
        <v>1</v>
      </c>
      <c r="S236" s="319"/>
      <c r="T236" s="319"/>
      <c r="U236" s="476">
        <f>$AH$210/'Modelo Energético'!E462/'Modelo Energético'!AI462</f>
        <v>0</v>
      </c>
      <c r="V236" s="476">
        <f>IF(AND('Modelo Energético'!O462&gt;0,Q684&gt;0),1.2*U236,0)</f>
        <v>0</v>
      </c>
      <c r="W236" s="476">
        <f>IF(AND('Modelo Energético'!O462&gt;0,Q684&gt;0),U236,"")</f>
        <v>0</v>
      </c>
      <c r="X236" s="849"/>
      <c r="Y236" s="476">
        <f>getcoszenithangle(Iniciar!Y64,0,$U$4)</f>
        <v>0.94542588028953722</v>
      </c>
      <c r="Z236" s="476">
        <f>IF(W684,'Modelo Energético'!AD462/Y236,1)</f>
        <v>1.0168339318550403</v>
      </c>
      <c r="AA236" s="476">
        <f>GetHourlyToDailyTotalRadRatio(0,Iniciar!Z64)</f>
        <v>0.12061169839402625</v>
      </c>
      <c r="AB236" s="476">
        <f>GetHourlyToDailyDiffuseRadRatio(0,Iniciar!Z64)</f>
        <v>0.11078244574680648</v>
      </c>
      <c r="AC236" s="476">
        <f>(1-AB236/AA236*'Modelo Energético'!AB462)*Z236+AB236/AA236*'Modelo Energético'!AB462*(1+COS('Modelo Energético'!AC462))/2+Iniciar!AE64*(1-COS('Modelo Energético'!AC462))/2</f>
        <v>0.99500312775751065</v>
      </c>
      <c r="AD236" s="476">
        <f>$AH$214/'Modelo Energético'!$D$483/'Modelo Energético'!AI462</f>
        <v>0</v>
      </c>
      <c r="AE236" s="476">
        <f>IF('Modelo Energético'!E462&gt;0,AD236/AA236/AC236/'Modelo Energético'!E462/1000,0)</f>
        <v>0</v>
      </c>
      <c r="AF236" s="476">
        <f>IF(Iniciar!AB64&gt;0,'Modelo Energético'!AA462/Iniciar!AB64,1)</f>
        <v>0.92615268077311685</v>
      </c>
      <c r="AG236" s="476"/>
      <c r="AH236" s="476"/>
      <c r="AI236" s="476"/>
      <c r="AJ236" s="476"/>
      <c r="AK236" s="476">
        <f>MIN(EXP((Iniciar!AF64+Iniciar!AG64*AC236/AF236)*AE236*(1+AE236*Iniciar!AH64)),1)</f>
        <v>1</v>
      </c>
      <c r="AL236" s="476">
        <f>MIN('Modelo Energético'!AJ462*(1-AK236),$AH$212)</f>
        <v>0</v>
      </c>
      <c r="AM236" s="476">
        <f>MIN('Modelo Energético'!AJ462-AL236,$AH$213)</f>
        <v>0</v>
      </c>
      <c r="AN236" s="476">
        <f>'Modelo Energético'!AJ462-AL236-AM236</f>
        <v>18.827627038594272</v>
      </c>
      <c r="AO236" s="319"/>
      <c r="AP236" s="319"/>
      <c r="AQ236" s="319"/>
      <c r="AR236" s="319"/>
      <c r="AS236" s="319"/>
      <c r="AT236" s="319"/>
      <c r="AU236" s="319"/>
      <c r="AV236" s="319"/>
      <c r="AW236" s="319"/>
      <c r="AX236" s="319"/>
      <c r="AY236" s="319"/>
      <c r="AZ236" s="319"/>
      <c r="BA236" s="319"/>
      <c r="BB236" s="319"/>
      <c r="BC236" s="319"/>
      <c r="BD236" s="319"/>
      <c r="BE236" s="319"/>
      <c r="BF236" s="319"/>
      <c r="BG236" s="319"/>
      <c r="BH236" s="319"/>
      <c r="BI236" s="319"/>
      <c r="BJ236" s="319"/>
      <c r="BK236" s="319"/>
      <c r="BL236" s="319"/>
      <c r="BM236" s="319"/>
      <c r="BN236" s="319"/>
      <c r="BO236" s="319"/>
      <c r="BP236" s="319"/>
      <c r="BQ236" s="319"/>
      <c r="BR236" s="319"/>
      <c r="BS236" s="319"/>
      <c r="BT236" s="319"/>
      <c r="BU236" s="319"/>
      <c r="BV236" s="319"/>
      <c r="BW236" s="319"/>
      <c r="BX236" s="319"/>
      <c r="BY236" s="319"/>
      <c r="BZ236" s="319"/>
      <c r="CA236" s="319"/>
      <c r="CB236" s="319"/>
      <c r="CC236" s="319"/>
      <c r="CD236" s="319"/>
      <c r="CE236" s="319"/>
      <c r="CF236" s="319"/>
      <c r="CG236" s="319"/>
      <c r="CH236" s="319"/>
      <c r="CI236" s="319"/>
      <c r="CJ236" s="319"/>
      <c r="CK236" s="319"/>
    </row>
    <row r="237" spans="1:89" ht="12.75" hidden="1" customHeight="1">
      <c r="A237" s="12"/>
      <c r="B237" s="1"/>
      <c r="C237" s="83" t="str">
        <f t="shared" si="20"/>
        <v>Julho</v>
      </c>
      <c r="D237" s="339"/>
      <c r="E237" s="339"/>
      <c r="F237" s="1"/>
      <c r="G237" s="1"/>
      <c r="H237" s="1"/>
      <c r="I237" s="1"/>
      <c r="J237" s="1"/>
      <c r="K237" s="9"/>
      <c r="L237" s="1"/>
      <c r="M237" s="319"/>
      <c r="N237" s="319">
        <v>5012026</v>
      </c>
      <c r="O237" s="319"/>
      <c r="P237" s="319"/>
      <c r="Q237" s="319">
        <v>744</v>
      </c>
      <c r="R237" s="319">
        <f t="shared" si="21"/>
        <v>1</v>
      </c>
      <c r="S237" s="319"/>
      <c r="T237" s="319"/>
      <c r="U237" s="476">
        <f>$AH$210/'Modelo Energético'!E463/'Modelo Energético'!AI463</f>
        <v>0</v>
      </c>
      <c r="V237" s="476">
        <f>IF(AND('Modelo Energético'!O463&gt;0,Q685&gt;0),1.2*U237,0)</f>
        <v>0</v>
      </c>
      <c r="W237" s="476">
        <f>IF(AND('Modelo Energético'!O463&gt;0,Q685&gt;0),U237,"")</f>
        <v>0</v>
      </c>
      <c r="X237" s="849"/>
      <c r="Y237" s="476">
        <f>getcoszenithangle(Iniciar!Y65,0,$U$4)</f>
        <v>0.89301790184087859</v>
      </c>
      <c r="Z237" s="476">
        <f>IF(W685,'Modelo Energético'!AD463/Y237,1)</f>
        <v>1.1081966972178559</v>
      </c>
      <c r="AA237" s="476">
        <f>GetHourlyToDailyTotalRadRatio(0,Iniciar!Z65)</f>
        <v>0.12777094924806054</v>
      </c>
      <c r="AB237" s="476">
        <f>GetHourlyToDailyDiffuseRadRatio(0,Iniciar!Z65)</f>
        <v>0.11760377715400139</v>
      </c>
      <c r="AC237" s="476">
        <f>(1-AB237/AA237*'Modelo Energético'!AB463)*Z237+AB237/AA237*'Modelo Energético'!AB463*(1+COS('Modelo Energético'!AC463))/2+Iniciar!AE65*(1-COS('Modelo Energético'!AC463))/2</f>
        <v>1.0560930950093905</v>
      </c>
      <c r="AD237" s="476">
        <f>$AH$214/'Modelo Energético'!$D$483/'Modelo Energético'!AI463</f>
        <v>0</v>
      </c>
      <c r="AE237" s="476">
        <f>IF('Modelo Energético'!E463&gt;0,AD237/AA237/AC237/'Modelo Energético'!E463/1000,0)</f>
        <v>0</v>
      </c>
      <c r="AF237" s="476">
        <f>IF(Iniciar!AB65&gt;0,'Modelo Energético'!AA463/Iniciar!AB65,1)</f>
        <v>1.0099675902743623</v>
      </c>
      <c r="AG237" s="476"/>
      <c r="AH237" s="476"/>
      <c r="AI237" s="476"/>
      <c r="AJ237" s="476"/>
      <c r="AK237" s="476">
        <f>MIN(EXP((Iniciar!AF65+Iniciar!AG65*AC237/AF237)*AE237*(1+AE237*Iniciar!AH65)),1)</f>
        <v>1</v>
      </c>
      <c r="AL237" s="476">
        <f>MIN('Modelo Energético'!AJ463*(1-AK237),$AH$212)</f>
        <v>0</v>
      </c>
      <c r="AM237" s="476">
        <f>MIN('Modelo Energético'!AJ463-AL237,$AH$213)</f>
        <v>0</v>
      </c>
      <c r="AN237" s="476">
        <f>'Modelo Energético'!AJ463-AL237-AM237</f>
        <v>18.718451828128028</v>
      </c>
      <c r="AO237" s="319"/>
      <c r="AP237" s="319"/>
      <c r="AQ237" s="319"/>
      <c r="AR237" s="319"/>
      <c r="AS237" s="319"/>
      <c r="AT237" s="319"/>
      <c r="AU237" s="319"/>
      <c r="AV237" s="319"/>
      <c r="AW237" s="319"/>
      <c r="AX237" s="319"/>
      <c r="AY237" s="319"/>
      <c r="AZ237" s="319"/>
      <c r="BA237" s="319"/>
      <c r="BB237" s="319"/>
      <c r="BC237" s="319"/>
      <c r="BD237" s="319"/>
      <c r="BE237" s="319"/>
      <c r="BF237" s="319"/>
      <c r="BG237" s="319"/>
      <c r="BH237" s="319"/>
      <c r="BI237" s="319"/>
      <c r="BJ237" s="319"/>
      <c r="BK237" s="319"/>
      <c r="BL237" s="319"/>
      <c r="BM237" s="319"/>
      <c r="BN237" s="319"/>
      <c r="BO237" s="319"/>
      <c r="BP237" s="319"/>
      <c r="BQ237" s="319"/>
      <c r="BR237" s="319"/>
      <c r="BS237" s="319"/>
      <c r="BT237" s="319"/>
      <c r="BU237" s="319"/>
      <c r="BV237" s="319"/>
      <c r="BW237" s="319"/>
      <c r="BX237" s="319"/>
      <c r="BY237" s="319"/>
      <c r="BZ237" s="319"/>
      <c r="CA237" s="319"/>
      <c r="CB237" s="319"/>
      <c r="CC237" s="319"/>
      <c r="CD237" s="319"/>
      <c r="CE237" s="319"/>
      <c r="CF237" s="319"/>
      <c r="CG237" s="319"/>
      <c r="CH237" s="319"/>
      <c r="CI237" s="319"/>
      <c r="CJ237" s="319"/>
      <c r="CK237" s="319"/>
    </row>
    <row r="238" spans="1:89" ht="13.5" hidden="1" customHeight="1">
      <c r="A238" s="12"/>
      <c r="B238" s="1"/>
      <c r="C238" s="83" t="str">
        <f t="shared" si="20"/>
        <v>Agosto</v>
      </c>
      <c r="D238" s="339"/>
      <c r="E238" s="339"/>
      <c r="F238" s="1"/>
      <c r="G238" s="1"/>
      <c r="H238" s="1"/>
      <c r="I238" s="1"/>
      <c r="J238" s="1"/>
      <c r="K238" s="9"/>
      <c r="L238" s="1"/>
      <c r="M238" s="319"/>
      <c r="N238" s="319">
        <v>5012026</v>
      </c>
      <c r="O238" s="319"/>
      <c r="P238" s="319"/>
      <c r="Q238" s="319">
        <v>720</v>
      </c>
      <c r="R238" s="319">
        <f t="shared" si="21"/>
        <v>1</v>
      </c>
      <c r="S238" s="319"/>
      <c r="T238" s="319"/>
      <c r="U238" s="476">
        <f>$AH$210/'Modelo Energético'!E464/'Modelo Energético'!AI464</f>
        <v>0</v>
      </c>
      <c r="V238" s="476">
        <f>IF(AND('Modelo Energético'!O464&gt;0,Q686&gt;0),1.2*U238,0)</f>
        <v>0</v>
      </c>
      <c r="W238" s="476">
        <f>IF(AND('Modelo Energético'!O464&gt;0,Q686&gt;0),U238,"")</f>
        <v>0</v>
      </c>
      <c r="X238" s="849"/>
      <c r="Y238" s="476">
        <f>getcoszenithangle(Iniciar!Y66,0,$U$4)</f>
        <v>0.78819217326476243</v>
      </c>
      <c r="Z238" s="476">
        <f>IF(W686,'Modelo Energético'!AD464/Y238,1)</f>
        <v>1.2670066502346276</v>
      </c>
      <c r="AA238" s="476">
        <f>GetHourlyToDailyTotalRadRatio(0,Iniciar!Z66)</f>
        <v>0.13918176621483758</v>
      </c>
      <c r="AB238" s="476">
        <f>GetHourlyToDailyDiffuseRadRatio(0,Iniciar!Z66)</f>
        <v>0.12850922294332312</v>
      </c>
      <c r="AC238" s="476">
        <f>(1-AB238/AA238*'Modelo Energético'!AB464)*Z238+AB238/AA238*'Modelo Energético'!AB464*(1+COS('Modelo Energético'!AC464))/2+Iniciar!AE66*(1-COS('Modelo Energético'!AC464))/2</f>
        <v>1.1278981993501578</v>
      </c>
      <c r="AD238" s="476">
        <f>$AH$214/'Modelo Energético'!$D$483/'Modelo Energético'!AI464</f>
        <v>0</v>
      </c>
      <c r="AE238" s="476">
        <f>IF('Modelo Energético'!E464&gt;0,AD238/AA238/AC238/'Modelo Energético'!E464/1000,0)</f>
        <v>0</v>
      </c>
      <c r="AF238" s="476">
        <f>IF(Iniciar!AB66&gt;0,'Modelo Energético'!AA464/Iniciar!AB66,1)</f>
        <v>1.1440295056820191</v>
      </c>
      <c r="AG238" s="476"/>
      <c r="AH238" s="476"/>
      <c r="AI238" s="476"/>
      <c r="AJ238" s="476"/>
      <c r="AK238" s="476">
        <f>MIN(EXP((Iniciar!AF66+Iniciar!AG66*AC238/AF238)*AE238*(1+AE238*Iniciar!AH66)),1)</f>
        <v>1</v>
      </c>
      <c r="AL238" s="476">
        <f>MIN('Modelo Energético'!AJ464*(1-AK238),$AH$212)</f>
        <v>0</v>
      </c>
      <c r="AM238" s="476">
        <f>MIN('Modelo Energético'!AJ464-AL238,$AH$213)</f>
        <v>0</v>
      </c>
      <c r="AN238" s="476">
        <f>'Modelo Energético'!AJ464-AL238-AM238</f>
        <v>16.142593164549119</v>
      </c>
      <c r="AO238" s="319"/>
      <c r="AP238" s="319"/>
      <c r="AQ238" s="319"/>
      <c r="AR238" s="319"/>
      <c r="AS238" s="319"/>
      <c r="AT238" s="319"/>
      <c r="AU238" s="319"/>
      <c r="AV238" s="319"/>
      <c r="AW238" s="319"/>
      <c r="AX238" s="319"/>
      <c r="AY238" s="319"/>
      <c r="AZ238" s="319"/>
      <c r="BA238" s="319"/>
      <c r="BB238" s="319"/>
      <c r="BC238" s="319"/>
      <c r="BD238" s="319"/>
      <c r="BE238" s="319"/>
      <c r="BF238" s="319"/>
      <c r="BG238" s="319"/>
      <c r="BH238" s="319"/>
      <c r="BI238" s="319"/>
      <c r="BJ238" s="319"/>
      <c r="BK238" s="319"/>
      <c r="BL238" s="319"/>
      <c r="BM238" s="319"/>
      <c r="BN238" s="319"/>
      <c r="BO238" s="319"/>
      <c r="BP238" s="319"/>
      <c r="BQ238" s="319"/>
      <c r="BR238" s="319"/>
      <c r="BS238" s="319"/>
      <c r="BT238" s="319"/>
      <c r="BU238" s="319"/>
      <c r="BV238" s="319"/>
      <c r="BW238" s="319"/>
      <c r="BX238" s="319"/>
      <c r="BY238" s="319"/>
      <c r="BZ238" s="319"/>
      <c r="CA238" s="319"/>
      <c r="CB238" s="319"/>
      <c r="CC238" s="319"/>
      <c r="CD238" s="319"/>
      <c r="CE238" s="319"/>
      <c r="CF238" s="319"/>
      <c r="CG238" s="319"/>
      <c r="CH238" s="319"/>
      <c r="CI238" s="319"/>
      <c r="CJ238" s="319"/>
      <c r="CK238" s="319"/>
    </row>
    <row r="239" spans="1:89" ht="13.5" hidden="1" customHeight="1">
      <c r="A239" s="12"/>
      <c r="B239" s="1"/>
      <c r="C239" s="83" t="str">
        <f t="shared" si="20"/>
        <v>Setembro</v>
      </c>
      <c r="D239" s="339"/>
      <c r="E239" s="339"/>
      <c r="F239" s="1"/>
      <c r="G239" s="1"/>
      <c r="H239" s="1"/>
      <c r="I239" s="1"/>
      <c r="J239" s="1"/>
      <c r="K239" s="9"/>
      <c r="L239" s="1"/>
      <c r="M239" s="319"/>
      <c r="N239" s="319">
        <v>5012026</v>
      </c>
      <c r="O239" s="319"/>
      <c r="P239" s="319"/>
      <c r="Q239" s="319">
        <v>744</v>
      </c>
      <c r="R239" s="319">
        <f t="shared" si="21"/>
        <v>1</v>
      </c>
      <c r="S239" s="319"/>
      <c r="T239" s="319"/>
      <c r="U239" s="476">
        <f>$AH$210/'Modelo Energético'!E465/'Modelo Energético'!AI465</f>
        <v>0</v>
      </c>
      <c r="V239" s="476">
        <f>IF(AND('Modelo Energético'!O465&gt;0,Q687&gt;0),1.2*U239,0)</f>
        <v>0</v>
      </c>
      <c r="W239" s="476">
        <f>IF(AND('Modelo Energético'!O465&gt;0,Q687&gt;0),U239,"")</f>
        <v>0</v>
      </c>
      <c r="X239" s="849"/>
      <c r="Y239" s="476">
        <f>getcoszenithangle(Iniciar!Y67,0,$U$4)</f>
        <v>0.64546572301119987</v>
      </c>
      <c r="Z239" s="476">
        <f>IF(W687,'Modelo Energético'!AD465/Y239,1)</f>
        <v>1.4978721613895163</v>
      </c>
      <c r="AA239" s="476">
        <f>GetHourlyToDailyTotalRadRatio(0,Iniciar!Z67)</f>
        <v>0.15408596403297189</v>
      </c>
      <c r="AB239" s="476">
        <f>GetHourlyToDailyDiffuseRadRatio(0,Iniciar!Z67)</f>
        <v>0.1427858524204175</v>
      </c>
      <c r="AC239" s="476">
        <f>(1-AB239/AA239*'Modelo Energético'!AB465)*Z239+AB239/AA239*'Modelo Energético'!AB465*(1+COS('Modelo Energético'!AC465))/2+Iniciar!AE67*(1-COS('Modelo Energético'!AC465))/2</f>
        <v>1.2608746932568955</v>
      </c>
      <c r="AD239" s="476">
        <f>$AH$214/'Modelo Energético'!$D$483/'Modelo Energético'!AI465</f>
        <v>0</v>
      </c>
      <c r="AE239" s="476">
        <f>IF('Modelo Energético'!E465&gt;0,AD239/AA239/AC239/'Modelo Energético'!E465/1000,0)</f>
        <v>0</v>
      </c>
      <c r="AF239" s="476">
        <f>IF(Iniciar!AB67&gt;0,'Modelo Energético'!AA465/Iniciar!AB67,1)</f>
        <v>1.3439227415592438</v>
      </c>
      <c r="AG239" s="476"/>
      <c r="AH239" s="476"/>
      <c r="AI239" s="476"/>
      <c r="AJ239" s="476"/>
      <c r="AK239" s="476">
        <f>MIN(EXP((Iniciar!AF67+Iniciar!AG67*AC239/AF239)*AE239*(1+AE239*Iniciar!AH67)),1)</f>
        <v>1</v>
      </c>
      <c r="AL239" s="476">
        <f>MIN('Modelo Energético'!AJ465*(1-AK239),$AH$212)</f>
        <v>0</v>
      </c>
      <c r="AM239" s="476">
        <f>MIN('Modelo Energético'!AJ465-AL239,$AH$213)</f>
        <v>0</v>
      </c>
      <c r="AN239" s="476">
        <f>'Modelo Energético'!AJ465-AL239-AM239</f>
        <v>14.558374471187635</v>
      </c>
      <c r="AO239" s="319"/>
      <c r="AP239" s="319"/>
      <c r="AQ239" s="319"/>
      <c r="AR239" s="319"/>
      <c r="AS239" s="319"/>
      <c r="AT239" s="319"/>
      <c r="AU239" s="319"/>
      <c r="AV239" s="319"/>
      <c r="AW239" s="319"/>
      <c r="AX239" s="319"/>
      <c r="AY239" s="319"/>
      <c r="AZ239" s="319"/>
      <c r="BA239" s="319"/>
      <c r="BB239" s="319"/>
      <c r="BC239" s="319"/>
      <c r="BD239" s="319"/>
      <c r="BE239" s="319"/>
      <c r="BF239" s="319"/>
      <c r="BG239" s="319"/>
      <c r="BH239" s="319"/>
      <c r="BI239" s="319"/>
      <c r="BJ239" s="319"/>
      <c r="BK239" s="319"/>
      <c r="BL239" s="319"/>
      <c r="BM239" s="319"/>
      <c r="BN239" s="319"/>
      <c r="BO239" s="319"/>
      <c r="BP239" s="319"/>
      <c r="BQ239" s="319"/>
      <c r="BR239" s="319"/>
      <c r="BS239" s="319"/>
      <c r="BT239" s="319"/>
      <c r="BU239" s="319"/>
      <c r="BV239" s="319"/>
      <c r="BW239" s="319"/>
      <c r="BX239" s="319"/>
      <c r="BY239" s="319"/>
      <c r="BZ239" s="319"/>
      <c r="CA239" s="319"/>
      <c r="CB239" s="319"/>
      <c r="CC239" s="319"/>
      <c r="CD239" s="319"/>
      <c r="CE239" s="319"/>
      <c r="CF239" s="319"/>
      <c r="CG239" s="319"/>
      <c r="CH239" s="319"/>
      <c r="CI239" s="319"/>
      <c r="CJ239" s="319"/>
      <c r="CK239" s="319"/>
    </row>
    <row r="240" spans="1:89" ht="13.5" hidden="1" customHeight="1">
      <c r="A240" s="12"/>
      <c r="B240" s="1"/>
      <c r="C240" s="83" t="str">
        <f t="shared" si="20"/>
        <v>Outubro</v>
      </c>
      <c r="D240" s="339"/>
      <c r="E240" s="339"/>
      <c r="F240" s="1"/>
      <c r="G240" s="1"/>
      <c r="H240" s="1"/>
      <c r="I240" s="1"/>
      <c r="J240" s="1"/>
      <c r="K240" s="9"/>
      <c r="L240" s="1"/>
      <c r="M240" s="319"/>
      <c r="N240" s="319">
        <v>5012026</v>
      </c>
      <c r="O240" s="319"/>
      <c r="P240" s="319"/>
      <c r="Q240" s="319">
        <v>720</v>
      </c>
      <c r="R240" s="319">
        <f t="shared" si="21"/>
        <v>1</v>
      </c>
      <c r="S240" s="319"/>
      <c r="T240" s="319"/>
      <c r="U240" s="476">
        <f>$AH$210/'Modelo Energético'!E466/'Modelo Energético'!AI466</f>
        <v>0</v>
      </c>
      <c r="V240" s="476">
        <f>IF(AND('Modelo Energético'!O466&gt;0,Q688&gt;0),1.2*U240,0)</f>
        <v>0</v>
      </c>
      <c r="W240" s="476">
        <f>IF(AND('Modelo Energético'!O466&gt;0,Q688&gt;0),U240,"")</f>
        <v>0</v>
      </c>
      <c r="X240" s="849"/>
      <c r="Y240" s="476">
        <f>getcoszenithangle(Iniciar!Y68,0,$U$4)</f>
        <v>0.51336220598529336</v>
      </c>
      <c r="Z240" s="476">
        <f>IF(W688,'Modelo Energético'!AD466/Y240,1)</f>
        <v>1.7779794619650502</v>
      </c>
      <c r="AA240" s="476">
        <f>GetHourlyToDailyTotalRadRatio(0,Iniciar!Z68)</f>
        <v>0.17028350398489495</v>
      </c>
      <c r="AB240" s="476">
        <f>GetHourlyToDailyDiffuseRadRatio(0,Iniciar!Z68)</f>
        <v>0.15831880288264658</v>
      </c>
      <c r="AC240" s="476">
        <f>(1-AB240/AA240*'Modelo Energético'!AB466)*Z240+AB240/AA240*'Modelo Energético'!AB466*(1+COS('Modelo Energético'!AC466))/2+Iniciar!AE68*(1-COS('Modelo Energético'!AC466))/2</f>
        <v>1.375470627704636</v>
      </c>
      <c r="AD240" s="476">
        <f>$AH$214/'Modelo Energético'!$D$483/'Modelo Energético'!AI466</f>
        <v>0</v>
      </c>
      <c r="AE240" s="476">
        <f>IF('Modelo Energético'!E466&gt;0,AD240/AA240/AC240/'Modelo Energético'!E466/1000,0)</f>
        <v>0</v>
      </c>
      <c r="AF240" s="476">
        <f>IF(Iniciar!AB68&gt;0,'Modelo Energético'!AA466/Iniciar!AB68,1)</f>
        <v>1.6233231661266754</v>
      </c>
      <c r="AG240" s="476"/>
      <c r="AH240" s="476"/>
      <c r="AI240" s="476"/>
      <c r="AJ240" s="476"/>
      <c r="AK240" s="476">
        <f>MIN(EXP((Iniciar!AF68+Iniciar!AG68*AC240/AF240)*AE240*(1+AE240*Iniciar!AH68)),1)</f>
        <v>1</v>
      </c>
      <c r="AL240" s="476">
        <f>MIN('Modelo Energético'!AJ466*(1-AK240),$AH$212)</f>
        <v>0</v>
      </c>
      <c r="AM240" s="476">
        <f>MIN('Modelo Energético'!AJ466-AL240,$AH$213)</f>
        <v>0</v>
      </c>
      <c r="AN240" s="476">
        <f>'Modelo Energético'!AJ466-AL240-AM240</f>
        <v>12.493805633770972</v>
      </c>
      <c r="AO240" s="319"/>
      <c r="AP240" s="319"/>
      <c r="AQ240" s="319"/>
      <c r="AR240" s="319"/>
      <c r="AS240" s="319"/>
      <c r="AT240" s="319"/>
      <c r="AU240" s="319"/>
      <c r="AV240" s="319"/>
      <c r="AW240" s="319"/>
      <c r="AX240" s="319"/>
      <c r="AY240" s="319"/>
      <c r="AZ240" s="319"/>
      <c r="BA240" s="319"/>
      <c r="BB240" s="319"/>
      <c r="BC240" s="319"/>
      <c r="BD240" s="319"/>
      <c r="BE240" s="319"/>
      <c r="BF240" s="319"/>
      <c r="BG240" s="319"/>
      <c r="BH240" s="319"/>
      <c r="BI240" s="319"/>
      <c r="BJ240" s="319"/>
      <c r="BK240" s="319"/>
      <c r="BL240" s="319"/>
      <c r="BM240" s="319"/>
      <c r="BN240" s="319"/>
      <c r="BO240" s="319"/>
      <c r="BP240" s="319"/>
      <c r="BQ240" s="319"/>
      <c r="BR240" s="319"/>
      <c r="BS240" s="319"/>
      <c r="BT240" s="319"/>
      <c r="BU240" s="319"/>
      <c r="BV240" s="319"/>
      <c r="BW240" s="319"/>
      <c r="BX240" s="319"/>
      <c r="BY240" s="319"/>
      <c r="BZ240" s="319"/>
      <c r="CA240" s="319"/>
      <c r="CB240" s="319"/>
      <c r="CC240" s="319"/>
      <c r="CD240" s="319"/>
      <c r="CE240" s="319"/>
      <c r="CF240" s="319"/>
      <c r="CG240" s="319"/>
      <c r="CH240" s="319"/>
      <c r="CI240" s="319"/>
      <c r="CJ240" s="319"/>
      <c r="CK240" s="319"/>
    </row>
    <row r="241" spans="1:89" ht="13.5" hidden="1" customHeight="1">
      <c r="A241" s="12"/>
      <c r="B241" s="1"/>
      <c r="C241" s="83" t="str">
        <f t="shared" si="20"/>
        <v>Novembro</v>
      </c>
      <c r="D241" s="339"/>
      <c r="E241" s="339"/>
      <c r="F241" s="1"/>
      <c r="G241" s="1"/>
      <c r="H241" s="1"/>
      <c r="I241" s="1"/>
      <c r="J241" s="1"/>
      <c r="K241" s="9"/>
      <c r="L241" s="1"/>
      <c r="M241" s="319"/>
      <c r="N241" s="319">
        <v>5012026</v>
      </c>
      <c r="O241" s="319"/>
      <c r="P241" s="319"/>
      <c r="Q241" s="319">
        <v>744</v>
      </c>
      <c r="R241" s="319">
        <f t="shared" si="21"/>
        <v>1</v>
      </c>
      <c r="S241" s="319"/>
      <c r="T241" s="319"/>
      <c r="U241" s="476">
        <f>$AH$210/'Modelo Energético'!E467/'Modelo Energético'!AI467</f>
        <v>0</v>
      </c>
      <c r="V241" s="476">
        <f>IF(AND('Modelo Energético'!O467&gt;0,Q689&gt;0),1.2*U241,0)</f>
        <v>0</v>
      </c>
      <c r="W241" s="476">
        <f>IF(AND('Modelo Energético'!O467&gt;0,Q689&gt;0),U241,"")</f>
        <v>0</v>
      </c>
      <c r="X241" s="849"/>
      <c r="Y241" s="476">
        <f>getcoszenithangle(Iniciar!Y69,0,$U$4)</f>
        <v>0.45010424435460045</v>
      </c>
      <c r="Z241" s="476">
        <f>IF(W689,'Modelo Energético'!AD467/Y241,1)</f>
        <v>1.9570845791361464</v>
      </c>
      <c r="AA241" s="476">
        <f>GetHourlyToDailyTotalRadRatio(0,Iniciar!Z69)</f>
        <v>0.17983051070521411</v>
      </c>
      <c r="AB241" s="476">
        <f>GetHourlyToDailyDiffuseRadRatio(0,Iniciar!Z69)</f>
        <v>0.16747682593171556</v>
      </c>
      <c r="AC241" s="476">
        <f>(1-AB241/AA241*'Modelo Energético'!AB467)*Z241+AB241/AA241*'Modelo Energético'!AB467*(1+COS('Modelo Energético'!AC467))/2+Iniciar!AE69*(1-COS('Modelo Energético'!AC467))/2</f>
        <v>1.5244662103758992</v>
      </c>
      <c r="AD241" s="476">
        <f>$AH$214/'Modelo Energético'!$D$483/'Modelo Energético'!AI467</f>
        <v>0</v>
      </c>
      <c r="AE241" s="476">
        <f>IF('Modelo Energético'!E467&gt;0,AD241/AA241/AC241/'Modelo Energético'!E467/1000,0)</f>
        <v>0</v>
      </c>
      <c r="AF241" s="476">
        <f>IF(Iniciar!AB69&gt;0,'Modelo Energético'!AA467/Iniciar!AB69,1)</f>
        <v>1.8535328717957655</v>
      </c>
      <c r="AG241" s="476"/>
      <c r="AH241" s="476"/>
      <c r="AI241" s="476"/>
      <c r="AJ241" s="476"/>
      <c r="AK241" s="476">
        <f>MIN(EXP((Iniciar!AF69+Iniciar!AG69*AC241/AF241)*AE241*(1+AE241*Iniciar!AH69)),1)</f>
        <v>1</v>
      </c>
      <c r="AL241" s="476">
        <f>MIN('Modelo Energético'!AJ467*(1-AK241),$AH$212)</f>
        <v>0</v>
      </c>
      <c r="AM241" s="476">
        <f>MIN('Modelo Energético'!AJ467-AL241,$AH$213)</f>
        <v>0</v>
      </c>
      <c r="AN241" s="476">
        <f>'Modelo Energético'!AJ467-AL241-AM241</f>
        <v>12.709253252590647</v>
      </c>
      <c r="AO241" s="319"/>
      <c r="AP241" s="319"/>
      <c r="AQ241" s="319"/>
      <c r="AR241" s="319"/>
      <c r="AS241" s="319"/>
      <c r="AT241" s="319"/>
      <c r="AU241" s="319"/>
      <c r="AV241" s="319"/>
      <c r="AW241" s="319"/>
      <c r="AX241" s="319"/>
      <c r="AY241" s="319"/>
      <c r="AZ241" s="319"/>
      <c r="BA241" s="319"/>
      <c r="BB241" s="319"/>
      <c r="BC241" s="319"/>
      <c r="BD241" s="319"/>
      <c r="BE241" s="319"/>
      <c r="BF241" s="319"/>
      <c r="BG241" s="319"/>
      <c r="BH241" s="319"/>
      <c r="BI241" s="319"/>
      <c r="BJ241" s="319"/>
      <c r="BK241" s="319"/>
      <c r="BL241" s="319"/>
      <c r="BM241" s="319"/>
      <c r="BN241" s="319"/>
      <c r="BO241" s="319"/>
      <c r="BP241" s="319"/>
      <c r="BQ241" s="319"/>
      <c r="BR241" s="319"/>
      <c r="BS241" s="319"/>
      <c r="BT241" s="319"/>
      <c r="BU241" s="319"/>
      <c r="BV241" s="319"/>
      <c r="BW241" s="319"/>
      <c r="BX241" s="319"/>
      <c r="BY241" s="319"/>
      <c r="BZ241" s="319"/>
      <c r="CA241" s="319"/>
      <c r="CB241" s="319"/>
      <c r="CC241" s="319"/>
      <c r="CD241" s="319"/>
      <c r="CE241" s="319"/>
      <c r="CF241" s="319"/>
      <c r="CG241" s="319"/>
      <c r="CH241" s="319"/>
      <c r="CI241" s="319"/>
      <c r="CJ241" s="319"/>
      <c r="CK241" s="319"/>
    </row>
    <row r="242" spans="1:89" ht="13.5" hidden="1" customHeight="1">
      <c r="A242" s="12"/>
      <c r="B242" s="1"/>
      <c r="C242" s="83" t="str">
        <f t="shared" si="20"/>
        <v>Dezembro</v>
      </c>
      <c r="D242" s="339"/>
      <c r="E242" s="339"/>
      <c r="F242" s="1"/>
      <c r="G242" s="1"/>
      <c r="H242" s="1"/>
      <c r="I242" s="1"/>
      <c r="J242" s="1"/>
      <c r="K242" s="9"/>
      <c r="L242" s="1"/>
      <c r="M242" s="319"/>
      <c r="N242" s="319">
        <v>5012026</v>
      </c>
      <c r="O242" s="319"/>
      <c r="P242" s="319"/>
      <c r="Q242" s="319"/>
      <c r="R242" s="319">
        <f>SUM(R230:R241)</f>
        <v>12</v>
      </c>
      <c r="S242" s="319"/>
      <c r="T242" s="319"/>
      <c r="U242" s="476"/>
      <c r="V242" s="476">
        <f>MAX(V230:V241)</f>
        <v>0</v>
      </c>
      <c r="W242" s="476">
        <f>MIN(0.25*V242,0.75*MIN(W230:W241))</f>
        <v>0</v>
      </c>
      <c r="X242" s="849"/>
      <c r="Y242" s="476"/>
      <c r="Z242" s="476"/>
      <c r="AA242" s="476"/>
      <c r="AB242" s="476"/>
      <c r="AC242" s="476"/>
      <c r="AD242" s="476"/>
      <c r="AE242" s="476"/>
      <c r="AF242" s="476"/>
      <c r="AG242" s="476"/>
      <c r="AH242" s="476"/>
      <c r="AI242" s="476"/>
      <c r="AJ242" s="476"/>
      <c r="AK242" s="476"/>
      <c r="AL242" s="476"/>
      <c r="AM242" s="476"/>
      <c r="AN242" s="476"/>
      <c r="AO242" s="319"/>
      <c r="AP242" s="319"/>
      <c r="AQ242" s="319"/>
      <c r="AR242" s="319"/>
      <c r="AS242" s="319"/>
      <c r="AT242" s="319"/>
      <c r="AU242" s="319"/>
      <c r="AV242" s="319"/>
      <c r="AW242" s="319"/>
      <c r="AX242" s="319"/>
      <c r="AY242" s="319"/>
      <c r="AZ242" s="319"/>
      <c r="BA242" s="319"/>
      <c r="BB242" s="319"/>
      <c r="BC242" s="319"/>
      <c r="BD242" s="319"/>
      <c r="BE242" s="319"/>
      <c r="BF242" s="319"/>
      <c r="BG242" s="319"/>
      <c r="BH242" s="319"/>
      <c r="BI242" s="319"/>
      <c r="BJ242" s="319"/>
      <c r="BK242" s="319"/>
      <c r="BL242" s="319"/>
      <c r="BM242" s="319"/>
      <c r="BN242" s="319"/>
      <c r="BO242" s="319"/>
      <c r="BP242" s="319"/>
      <c r="BQ242" s="319"/>
      <c r="BR242" s="319"/>
      <c r="BS242" s="319"/>
      <c r="BT242" s="319"/>
      <c r="BU242" s="319"/>
      <c r="BV242" s="319"/>
      <c r="BW242" s="319"/>
      <c r="BX242" s="319"/>
      <c r="BY242" s="319"/>
      <c r="BZ242" s="319"/>
      <c r="CA242" s="319"/>
      <c r="CB242" s="319"/>
      <c r="CC242" s="319"/>
      <c r="CD242" s="319"/>
      <c r="CE242" s="319"/>
      <c r="CF242" s="319"/>
      <c r="CG242" s="319"/>
      <c r="CH242" s="319"/>
      <c r="CI242" s="319"/>
      <c r="CJ242" s="319"/>
      <c r="CK242" s="319"/>
    </row>
    <row r="243" spans="1:89" ht="13.5" hidden="1" customHeight="1">
      <c r="A243" s="12"/>
      <c r="B243" s="1"/>
      <c r="C243" s="1"/>
      <c r="D243" s="1"/>
      <c r="E243" s="1"/>
      <c r="F243" s="1"/>
      <c r="G243" s="1"/>
      <c r="H243" s="1"/>
      <c r="I243" s="1"/>
      <c r="J243" s="1"/>
      <c r="K243" s="9"/>
      <c r="L243" s="1"/>
      <c r="M243" s="319"/>
      <c r="N243" s="319">
        <v>5011000</v>
      </c>
      <c r="O243" s="319"/>
      <c r="P243" s="319"/>
      <c r="Q243" s="319"/>
      <c r="R243" s="319"/>
      <c r="S243" s="319"/>
      <c r="T243" s="319"/>
      <c r="U243" s="556"/>
      <c r="V243" s="556"/>
      <c r="W243" s="556"/>
      <c r="X243" s="556"/>
      <c r="Y243" s="556"/>
      <c r="Z243" s="556"/>
      <c r="AA243" s="556"/>
      <c r="AB243" s="556"/>
      <c r="AC243" s="556"/>
      <c r="AD243" s="556"/>
      <c r="AE243" s="556"/>
      <c r="AF243" s="556"/>
      <c r="AG243" s="556"/>
      <c r="AH243" s="556"/>
      <c r="AI243" s="556"/>
      <c r="AJ243" s="556"/>
      <c r="AK243" s="556"/>
      <c r="AL243" s="319"/>
      <c r="AM243" s="319"/>
      <c r="AN243" s="319"/>
      <c r="AO243" s="319"/>
      <c r="AP243" s="319"/>
      <c r="AQ243" s="319"/>
      <c r="AR243" s="319"/>
      <c r="AS243" s="319"/>
      <c r="AT243" s="319"/>
      <c r="AU243" s="319"/>
      <c r="AV243" s="319"/>
      <c r="AW243" s="319"/>
      <c r="AX243" s="319"/>
      <c r="AY243" s="319"/>
      <c r="AZ243" s="319"/>
      <c r="BA243" s="319"/>
      <c r="BB243" s="319"/>
      <c r="BC243" s="319"/>
      <c r="BD243" s="319"/>
      <c r="BE243" s="319"/>
      <c r="BF243" s="319"/>
      <c r="BG243" s="319"/>
      <c r="BH243" s="319"/>
      <c r="BI243" s="319"/>
      <c r="BJ243" s="319"/>
      <c r="BK243" s="319"/>
      <c r="BL243" s="319"/>
      <c r="BM243" s="319"/>
      <c r="BN243" s="319"/>
      <c r="BO243" s="319"/>
      <c r="BP243" s="319"/>
      <c r="BQ243" s="319"/>
      <c r="BR243" s="319"/>
      <c r="BS243" s="319"/>
      <c r="BT243" s="319"/>
      <c r="BU243" s="319"/>
      <c r="BV243" s="319"/>
      <c r="BW243" s="319"/>
      <c r="BX243" s="319"/>
      <c r="BY243" s="319"/>
      <c r="BZ243" s="319"/>
      <c r="CA243" s="319"/>
      <c r="CB243" s="319"/>
      <c r="CC243" s="319"/>
      <c r="CD243" s="319"/>
      <c r="CE243" s="319"/>
      <c r="CF243" s="319"/>
      <c r="CG243" s="319"/>
      <c r="CH243" s="319"/>
      <c r="CI243" s="319"/>
      <c r="CJ243" s="319"/>
      <c r="CK243" s="319"/>
    </row>
    <row r="244" spans="1:89" ht="25.5" hidden="1" customHeight="1">
      <c r="A244" s="12"/>
      <c r="B244" s="1"/>
      <c r="C244" s="82"/>
      <c r="D244" s="82" t="str">
        <f>D221</f>
        <v>Caso de referência</v>
      </c>
      <c r="E244" s="82" t="str">
        <f>E221</f>
        <v>Caso proposto</v>
      </c>
      <c r="F244" s="82" t="str">
        <f>F576</f>
        <v>Economia de energia</v>
      </c>
      <c r="G244" s="82" t="str">
        <f>Language!C1746</f>
        <v>Custo inicial incremental</v>
      </c>
      <c r="H244" s="1"/>
      <c r="I244" s="1"/>
      <c r="J244" s="1"/>
      <c r="K244" s="9"/>
      <c r="L244" s="1"/>
      <c r="M244" s="319"/>
      <c r="N244" s="319">
        <v>5011000</v>
      </c>
      <c r="O244" s="319"/>
      <c r="P244" s="319"/>
      <c r="Q244" s="319"/>
      <c r="R244" s="319"/>
      <c r="S244" s="319"/>
      <c r="T244" s="319"/>
      <c r="U244" s="556"/>
      <c r="V244" s="556"/>
      <c r="W244" s="556"/>
      <c r="X244" s="556"/>
      <c r="Y244" s="556"/>
      <c r="Z244" s="556"/>
      <c r="AA244" s="556"/>
      <c r="AB244" s="556"/>
      <c r="AC244" s="556"/>
      <c r="AD244" s="556"/>
      <c r="AE244" s="556"/>
      <c r="AF244" s="556"/>
      <c r="AG244" s="556"/>
      <c r="AH244" s="556"/>
      <c r="AI244" s="556"/>
      <c r="AJ244" s="556"/>
      <c r="AK244" s="556"/>
      <c r="AL244" s="319"/>
      <c r="AM244" s="319"/>
      <c r="AN244" s="319"/>
      <c r="AO244" s="319"/>
      <c r="AP244" s="319"/>
      <c r="AQ244" s="319"/>
      <c r="AR244" s="319"/>
      <c r="AS244" s="319"/>
      <c r="AT244" s="319"/>
      <c r="AU244" s="319"/>
      <c r="AV244" s="319"/>
      <c r="AW244" s="319"/>
      <c r="AX244" s="319"/>
      <c r="AY244" s="319"/>
      <c r="AZ244" s="319"/>
      <c r="BA244" s="319"/>
      <c r="BB244" s="319"/>
      <c r="BC244" s="319"/>
      <c r="BD244" s="319"/>
      <c r="BE244" s="319"/>
      <c r="BF244" s="319"/>
      <c r="BG244" s="319"/>
      <c r="BH244" s="319"/>
      <c r="BI244" s="319"/>
      <c r="BJ244" s="319"/>
      <c r="BK244" s="319"/>
      <c r="BL244" s="319"/>
      <c r="BM244" s="319"/>
      <c r="BN244" s="319"/>
      <c r="BO244" s="319"/>
      <c r="BP244" s="319"/>
      <c r="BQ244" s="319"/>
      <c r="BR244" s="319"/>
      <c r="BS244" s="319"/>
      <c r="BT244" s="319"/>
      <c r="BU244" s="319"/>
      <c r="BV244" s="319"/>
      <c r="BW244" s="319"/>
      <c r="BX244" s="319"/>
      <c r="BY244" s="319"/>
      <c r="BZ244" s="319"/>
      <c r="CA244" s="319"/>
      <c r="CB244" s="319"/>
      <c r="CC244" s="319"/>
      <c r="CD244" s="319"/>
      <c r="CE244" s="319"/>
      <c r="CF244" s="319"/>
      <c r="CG244" s="319"/>
      <c r="CH244" s="319"/>
      <c r="CI244" s="319"/>
      <c r="CJ244" s="319"/>
      <c r="CK244" s="319"/>
    </row>
    <row r="245" spans="1:89" ht="13.5" hidden="1" customHeight="1">
      <c r="A245" s="12"/>
      <c r="B245" s="8" t="str">
        <f>Language!C1625</f>
        <v>Demanda de eletricidade - anual - CC</v>
      </c>
      <c r="C245" s="29" t="str">
        <f>$J$1184</f>
        <v>MWh</v>
      </c>
      <c r="D245" s="97">
        <f>IF($Q$228=FALSE,8760,SUMPRODUCT(D231:D242,$Q$230:$Q$241))*IF($Q$204=TRUE,D224,D222)/1000/24</f>
        <v>0</v>
      </c>
      <c r="E245" s="97">
        <f>IF($Q$228=FALSE,8760,SUMPRODUCT(E231:E242,$Q$230:$Q$241))*IF($Q$204=TRUE,E224,E222)/1000/24</f>
        <v>0</v>
      </c>
      <c r="F245" s="356" t="str">
        <f>IF(ISERROR(1-E245/D245),"",(1-E245/D245))</f>
        <v/>
      </c>
      <c r="G245" s="1346"/>
      <c r="H245" s="1"/>
      <c r="I245" s="1"/>
      <c r="J245" s="1"/>
      <c r="K245" s="9"/>
      <c r="L245" s="1"/>
      <c r="M245" s="319"/>
      <c r="N245" s="319">
        <v>5012028</v>
      </c>
      <c r="O245" s="319"/>
      <c r="P245" s="319"/>
      <c r="Q245" s="319"/>
      <c r="R245" s="319"/>
      <c r="S245" s="319"/>
      <c r="T245" s="319"/>
      <c r="U245" s="556"/>
      <c r="V245" s="556"/>
      <c r="W245" s="556"/>
      <c r="X245" s="556"/>
      <c r="Y245" s="556"/>
      <c r="Z245" s="556"/>
      <c r="AA245" s="556"/>
      <c r="AB245" s="556"/>
      <c r="AC245" s="556"/>
      <c r="AD245" s="556"/>
      <c r="AE245" s="556"/>
      <c r="AF245" s="556"/>
      <c r="AG245" s="556"/>
      <c r="AH245" s="556"/>
      <c r="AI245" s="556"/>
      <c r="AJ245" s="556"/>
      <c r="AK245" s="556"/>
      <c r="AL245" s="319"/>
      <c r="AM245" s="319"/>
      <c r="AN245" s="319"/>
      <c r="AO245" s="319"/>
      <c r="AP245" s="319"/>
      <c r="AQ245" s="319"/>
      <c r="AR245" s="319"/>
      <c r="AS245" s="319"/>
      <c r="AT245" s="319"/>
      <c r="AU245" s="319"/>
      <c r="AV245" s="319"/>
      <c r="AW245" s="319"/>
      <c r="AX245" s="319"/>
      <c r="AY245" s="319"/>
      <c r="AZ245" s="319"/>
      <c r="BA245" s="319"/>
      <c r="BB245" s="319"/>
      <c r="BC245" s="319"/>
      <c r="BD245" s="319"/>
      <c r="BE245" s="319"/>
      <c r="BF245" s="319"/>
      <c r="BG245" s="319"/>
      <c r="BH245" s="319"/>
      <c r="BI245" s="319"/>
      <c r="BJ245" s="319"/>
      <c r="BK245" s="319"/>
      <c r="BL245" s="319"/>
      <c r="BM245" s="319"/>
      <c r="BN245" s="319"/>
      <c r="BO245" s="319"/>
      <c r="BP245" s="319"/>
      <c r="BQ245" s="319"/>
      <c r="BR245" s="319"/>
      <c r="BS245" s="319"/>
      <c r="BT245" s="319"/>
      <c r="BU245" s="319"/>
      <c r="BV245" s="319"/>
      <c r="BW245" s="319"/>
      <c r="BX245" s="319"/>
      <c r="BY245" s="319"/>
      <c r="BZ245" s="319"/>
      <c r="CA245" s="319"/>
      <c r="CB245" s="319"/>
      <c r="CC245" s="319"/>
      <c r="CD245" s="319"/>
      <c r="CE245" s="319"/>
      <c r="CF245" s="319"/>
      <c r="CG245" s="319"/>
      <c r="CH245" s="319"/>
      <c r="CI245" s="319"/>
      <c r="CJ245" s="319"/>
      <c r="CK245" s="319"/>
    </row>
    <row r="246" spans="1:89" ht="13.5" hidden="1" customHeight="1">
      <c r="A246" s="12"/>
      <c r="B246" s="8" t="str">
        <f>Language!C1624</f>
        <v>Demanda de eletricidade - anual - CA</v>
      </c>
      <c r="C246" s="29" t="str">
        <f>$J$1184</f>
        <v>MWh</v>
      </c>
      <c r="D246" s="97">
        <f>IF($Q$228=FALSE,8760,SUMPRODUCT(D231:D242,$Q$230:$Q$241))*IF($Q$204=TRUE,D225,D223)/1000/24</f>
        <v>0</v>
      </c>
      <c r="E246" s="97">
        <f>IF($Q$228=FALSE,8760,SUMPRODUCT(E231:E242,$Q$230:$Q$241))*IF($Q$204=TRUE,E225,E223)/1000/24</f>
        <v>0</v>
      </c>
      <c r="F246" s="356" t="str">
        <f>IF(ISERROR(1-E246/D246),"",(1-E246/D246))</f>
        <v/>
      </c>
      <c r="G246" s="1346"/>
      <c r="H246" s="1"/>
      <c r="I246" s="1"/>
      <c r="J246" s="1"/>
      <c r="K246" s="9"/>
      <c r="L246" s="1"/>
      <c r="M246" s="319"/>
      <c r="N246" s="319">
        <v>5012030</v>
      </c>
      <c r="O246" s="319"/>
      <c r="P246" s="319"/>
      <c r="Q246" s="319"/>
      <c r="R246" s="319"/>
      <c r="S246" s="319"/>
      <c r="T246" s="319"/>
      <c r="U246" s="556"/>
      <c r="V246" s="556"/>
      <c r="W246" s="556"/>
      <c r="X246" s="556"/>
      <c r="Y246" s="556"/>
      <c r="Z246" s="556"/>
      <c r="AA246" s="556"/>
      <c r="AB246" s="556"/>
      <c r="AC246" s="556"/>
      <c r="AD246" s="556"/>
      <c r="AE246" s="556"/>
      <c r="AF246" s="556"/>
      <c r="AG246" s="556"/>
      <c r="AH246" s="556"/>
      <c r="AI246" s="556"/>
      <c r="AJ246" s="556"/>
      <c r="AK246" s="556"/>
      <c r="AL246" s="319"/>
      <c r="AM246" s="319"/>
      <c r="AN246" s="319"/>
      <c r="AO246" s="319"/>
      <c r="AP246" s="319"/>
      <c r="AQ246" s="319"/>
      <c r="AR246" s="319"/>
      <c r="AS246" s="319"/>
      <c r="AT246" s="319"/>
      <c r="AU246" s="319"/>
      <c r="AV246" s="319"/>
      <c r="AW246" s="319"/>
      <c r="AX246" s="319"/>
      <c r="AY246" s="319"/>
      <c r="AZ246" s="319"/>
      <c r="BA246" s="319"/>
      <c r="BB246" s="319"/>
      <c r="BC246" s="319"/>
      <c r="BD246" s="319"/>
      <c r="BE246" s="319"/>
      <c r="BF246" s="319"/>
      <c r="BG246" s="319"/>
      <c r="BH246" s="319"/>
      <c r="BI246" s="319"/>
      <c r="BJ246" s="319"/>
      <c r="BK246" s="319"/>
      <c r="BL246" s="319"/>
      <c r="BM246" s="319"/>
      <c r="BN246" s="319"/>
      <c r="BO246" s="319"/>
      <c r="BP246" s="319"/>
      <c r="BQ246" s="319"/>
      <c r="BR246" s="319"/>
      <c r="BS246" s="319"/>
      <c r="BT246" s="319"/>
      <c r="BU246" s="319"/>
      <c r="BV246" s="319"/>
      <c r="BW246" s="319"/>
      <c r="BX246" s="319"/>
      <c r="BY246" s="319"/>
      <c r="BZ246" s="319"/>
      <c r="CA246" s="319"/>
      <c r="CB246" s="319"/>
      <c r="CC246" s="319"/>
      <c r="CD246" s="319"/>
      <c r="CE246" s="319"/>
      <c r="CF246" s="319"/>
      <c r="CG246" s="319"/>
      <c r="CH246" s="319"/>
      <c r="CI246" s="319"/>
      <c r="CJ246" s="319"/>
      <c r="CK246" s="319"/>
    </row>
    <row r="247" spans="1:89" ht="13.5" hidden="1" customHeight="1">
      <c r="A247" s="12"/>
      <c r="B247" s="8" t="str">
        <f>B843</f>
        <v>Carga de pico - anual</v>
      </c>
      <c r="C247" s="29" t="str">
        <f>$F$1169</f>
        <v>kW</v>
      </c>
      <c r="D247" s="238"/>
      <c r="E247" s="367"/>
      <c r="F247" s="96"/>
      <c r="G247" s="1"/>
      <c r="H247" s="1"/>
      <c r="I247" s="1"/>
      <c r="J247" s="1"/>
      <c r="K247" s="9"/>
      <c r="L247" s="1"/>
      <c r="M247" s="319"/>
      <c r="N247" s="319">
        <v>5012032</v>
      </c>
      <c r="O247" s="319"/>
      <c r="P247" s="319"/>
      <c r="Q247" s="319"/>
      <c r="R247" s="319"/>
      <c r="S247" s="319"/>
      <c r="T247" s="319"/>
      <c r="U247" s="556"/>
      <c r="V247" s="556"/>
      <c r="W247" s="556"/>
      <c r="X247" s="556"/>
      <c r="Y247" s="556"/>
      <c r="Z247" s="556"/>
      <c r="AA247" s="556"/>
      <c r="AB247" s="556"/>
      <c r="AC247" s="556"/>
      <c r="AD247" s="556"/>
      <c r="AE247" s="556"/>
      <c r="AF247" s="556"/>
      <c r="AG247" s="556"/>
      <c r="AH247" s="556"/>
      <c r="AI247" s="556"/>
      <c r="AJ247" s="556"/>
      <c r="AK247" s="556"/>
      <c r="AL247" s="319"/>
      <c r="AM247" s="319"/>
      <c r="AN247" s="319"/>
      <c r="AO247" s="319"/>
      <c r="AP247" s="319"/>
      <c r="AQ247" s="319"/>
      <c r="AR247" s="319"/>
      <c r="AS247" s="319"/>
      <c r="AT247" s="319"/>
      <c r="AU247" s="319"/>
      <c r="AV247" s="319"/>
      <c r="AW247" s="319"/>
      <c r="AX247" s="319"/>
      <c r="AY247" s="319"/>
      <c r="AZ247" s="319"/>
      <c r="BA247" s="319"/>
      <c r="BB247" s="319"/>
      <c r="BC247" s="319"/>
      <c r="BD247" s="319"/>
      <c r="BE247" s="319"/>
      <c r="BF247" s="319"/>
      <c r="BG247" s="319"/>
      <c r="BH247" s="319"/>
      <c r="BI247" s="319"/>
      <c r="BJ247" s="319"/>
      <c r="BK247" s="319"/>
      <c r="BL247" s="319"/>
      <c r="BM247" s="319"/>
      <c r="BN247" s="319"/>
      <c r="BO247" s="319"/>
      <c r="BP247" s="319"/>
      <c r="BQ247" s="319"/>
      <c r="BR247" s="319"/>
      <c r="BS247" s="319"/>
      <c r="BT247" s="319"/>
      <c r="BU247" s="319"/>
      <c r="BV247" s="319"/>
      <c r="BW247" s="319"/>
      <c r="BX247" s="319"/>
      <c r="BY247" s="319"/>
      <c r="BZ247" s="319"/>
      <c r="CA247" s="319"/>
      <c r="CB247" s="319"/>
      <c r="CC247" s="319"/>
      <c r="CD247" s="319"/>
      <c r="CE247" s="319"/>
      <c r="CF247" s="319"/>
      <c r="CG247" s="319"/>
      <c r="CH247" s="319"/>
      <c r="CI247" s="319"/>
      <c r="CJ247" s="319"/>
      <c r="CK247" s="319"/>
    </row>
    <row r="248" spans="1:89" ht="13.5" hidden="1" customHeight="1">
      <c r="A248" s="12"/>
      <c r="B248" s="1"/>
      <c r="C248" s="1"/>
      <c r="D248" s="1"/>
      <c r="E248" s="1"/>
      <c r="F248" s="1"/>
      <c r="G248" s="1"/>
      <c r="H248" s="1"/>
      <c r="I248" s="1"/>
      <c r="J248" s="1"/>
      <c r="K248" s="9"/>
      <c r="L248" s="1"/>
      <c r="M248" s="319"/>
      <c r="N248" s="319">
        <v>5011000</v>
      </c>
      <c r="O248" s="319"/>
      <c r="P248" s="319"/>
      <c r="Q248" s="319"/>
      <c r="R248" s="319"/>
      <c r="S248" s="319"/>
      <c r="T248" s="319"/>
      <c r="U248" s="468" t="s">
        <v>4531</v>
      </c>
      <c r="V248" s="469"/>
      <c r="W248" s="469"/>
      <c r="X248" s="469" t="s">
        <v>614</v>
      </c>
      <c r="Y248" s="469"/>
      <c r="Z248" s="469"/>
      <c r="AA248" s="469"/>
      <c r="AB248" s="469"/>
      <c r="AC248" s="857" t="s">
        <v>1396</v>
      </c>
      <c r="AD248" s="469"/>
      <c r="AE248" s="469"/>
      <c r="AF248" s="469"/>
      <c r="AG248" s="556"/>
      <c r="AH248" s="556"/>
      <c r="AI248" s="556"/>
      <c r="AJ248" s="556"/>
      <c r="AK248" s="556"/>
      <c r="AL248" s="319"/>
      <c r="AM248" s="319"/>
      <c r="AN248" s="319"/>
      <c r="AO248" s="319"/>
      <c r="AP248" s="319"/>
      <c r="AQ248" s="319"/>
      <c r="AR248" s="319"/>
      <c r="AS248" s="319"/>
      <c r="AT248" s="319"/>
      <c r="AU248" s="319"/>
      <c r="AV248" s="319"/>
      <c r="AW248" s="319"/>
      <c r="AX248" s="319"/>
      <c r="AY248" s="319"/>
      <c r="AZ248" s="319"/>
      <c r="BA248" s="319"/>
      <c r="BB248" s="319"/>
      <c r="BC248" s="319"/>
      <c r="BD248" s="319"/>
      <c r="BE248" s="319"/>
      <c r="BF248" s="319"/>
      <c r="BG248" s="319"/>
      <c r="BH248" s="319"/>
      <c r="BI248" s="319"/>
      <c r="BJ248" s="319"/>
      <c r="BK248" s="319"/>
      <c r="BL248" s="319"/>
      <c r="BM248" s="319"/>
      <c r="BN248" s="319"/>
      <c r="BO248" s="319"/>
      <c r="BP248" s="319"/>
      <c r="BQ248" s="319"/>
      <c r="BR248" s="319"/>
      <c r="BS248" s="319"/>
      <c r="BT248" s="319"/>
      <c r="BU248" s="319"/>
      <c r="BV248" s="319"/>
      <c r="BW248" s="319"/>
      <c r="BX248" s="319"/>
      <c r="BY248" s="319"/>
      <c r="BZ248" s="319"/>
      <c r="CA248" s="319"/>
      <c r="CB248" s="319"/>
      <c r="CC248" s="319"/>
      <c r="CD248" s="319"/>
      <c r="CE248" s="319"/>
      <c r="CF248" s="319"/>
      <c r="CG248" s="319"/>
      <c r="CH248" s="319"/>
      <c r="CI248" s="319"/>
      <c r="CJ248" s="319"/>
      <c r="CK248" s="319"/>
    </row>
    <row r="249" spans="1:89" ht="12.75" hidden="1" customHeight="1">
      <c r="A249" s="46"/>
      <c r="B249" s="834"/>
      <c r="C249" s="834"/>
      <c r="D249" s="834"/>
      <c r="E249" s="834"/>
      <c r="F249" s="46"/>
      <c r="G249" s="46"/>
      <c r="H249" s="46"/>
      <c r="I249" s="46"/>
      <c r="J249" s="46"/>
      <c r="K249" s="46"/>
      <c r="L249" s="1"/>
      <c r="M249" s="319"/>
      <c r="N249" s="319">
        <v>2000000</v>
      </c>
      <c r="O249" s="319"/>
      <c r="P249" s="319"/>
      <c r="Q249" s="319"/>
      <c r="R249" s="319"/>
      <c r="S249" s="319"/>
      <c r="T249" s="319"/>
      <c r="U249" s="450" t="s">
        <v>1854</v>
      </c>
      <c r="V249" s="463" t="s">
        <v>430</v>
      </c>
      <c r="W249" s="463" t="s">
        <v>5631</v>
      </c>
      <c r="X249" s="463" t="s">
        <v>3044</v>
      </c>
      <c r="Y249" s="463" t="s">
        <v>5441</v>
      </c>
      <c r="Z249" s="463" t="s">
        <v>3502</v>
      </c>
      <c r="AA249" s="463"/>
      <c r="AB249" s="463"/>
      <c r="AC249" s="463" t="s">
        <v>5274</v>
      </c>
      <c r="AD249" s="463" t="s">
        <v>2498</v>
      </c>
      <c r="AE249" s="463" t="s">
        <v>5439</v>
      </c>
      <c r="AF249" s="463" t="s">
        <v>5604</v>
      </c>
      <c r="AG249" s="556"/>
      <c r="AH249" s="556"/>
      <c r="AI249" s="319"/>
      <c r="AJ249" s="319"/>
      <c r="AK249" s="319"/>
      <c r="AL249" s="319"/>
      <c r="AM249" s="319"/>
      <c r="AN249" s="319"/>
      <c r="AO249" s="319"/>
      <c r="AP249" s="319"/>
      <c r="AQ249" s="319"/>
      <c r="AR249" s="319"/>
      <c r="AS249" s="319"/>
      <c r="AT249" s="319"/>
      <c r="AU249" s="319"/>
      <c r="AV249" s="319"/>
      <c r="AW249" s="319"/>
      <c r="AX249" s="319"/>
      <c r="AY249" s="319"/>
      <c r="AZ249" s="319"/>
      <c r="BA249" s="319"/>
      <c r="BB249" s="319"/>
      <c r="BC249" s="319"/>
      <c r="BD249" s="319"/>
      <c r="BE249" s="319"/>
      <c r="BF249" s="319"/>
      <c r="BG249" s="319"/>
      <c r="BH249" s="319"/>
      <c r="BI249" s="319"/>
      <c r="BJ249" s="319"/>
      <c r="BK249" s="319"/>
      <c r="BL249" s="319"/>
      <c r="BM249" s="319"/>
      <c r="BN249" s="319"/>
      <c r="BO249" s="319"/>
      <c r="BP249" s="319"/>
      <c r="BQ249" s="319"/>
      <c r="BR249" s="319"/>
      <c r="BS249" s="319"/>
      <c r="BT249" s="319"/>
      <c r="BU249" s="319"/>
      <c r="BV249" s="319"/>
      <c r="BW249" s="319"/>
      <c r="BX249" s="319"/>
      <c r="BY249" s="319"/>
      <c r="BZ249" s="319"/>
      <c r="CA249" s="319"/>
      <c r="CB249" s="319"/>
      <c r="CC249" s="319"/>
      <c r="CD249" s="319"/>
      <c r="CE249" s="319"/>
      <c r="CF249" s="319"/>
      <c r="CG249" s="319"/>
      <c r="CH249" s="319"/>
      <c r="CI249" s="319"/>
      <c r="CJ249" s="319"/>
      <c r="CK249" s="319"/>
    </row>
    <row r="250" spans="1:89" ht="13.5" hidden="1" customHeight="1">
      <c r="A250" s="1203" t="str">
        <f>Language!C409</f>
        <v>Sistema de eletricidade do caso proposto</v>
      </c>
      <c r="B250" s="1204"/>
      <c r="C250" s="964"/>
      <c r="D250" s="964"/>
      <c r="E250" s="964"/>
      <c r="F250" s="964"/>
      <c r="G250" s="964"/>
      <c r="H250" s="964"/>
      <c r="I250" s="964"/>
      <c r="J250" s="964"/>
      <c r="K250" s="966"/>
      <c r="L250" s="1"/>
      <c r="M250" s="319"/>
      <c r="N250" s="319">
        <v>5020000</v>
      </c>
      <c r="O250" s="319"/>
      <c r="P250" s="319"/>
      <c r="Q250" s="556"/>
      <c r="R250" s="319"/>
      <c r="S250" s="319"/>
      <c r="T250" s="319"/>
      <c r="U250" s="858">
        <f t="shared" ref="U250:U261" si="22">AL230+AM230+AE265</f>
        <v>0</v>
      </c>
      <c r="V250" s="353">
        <f>U250*'Modelo Energético'!Q456*'Modelo Energético'!O456</f>
        <v>0</v>
      </c>
      <c r="W250" s="352" t="e">
        <f t="shared" ref="W250:W261" si="23">U250/$AH$210</f>
        <v>#DIV/0!</v>
      </c>
      <c r="X250" s="353">
        <f t="shared" ref="X250:X261" si="24">$AH$210-U250</f>
        <v>0</v>
      </c>
      <c r="Y250" s="353">
        <f t="shared" ref="Y250:Y261" si="25">IF($Q$251=1,MIN(X250,$S$253*$S$254*24),0)</f>
        <v>0</v>
      </c>
      <c r="Z250" s="353">
        <f>Y250*'Modelo Energético'!O456*'Modelo Energético'!Q456</f>
        <v>0</v>
      </c>
      <c r="AA250" s="352"/>
      <c r="AB250" s="352"/>
      <c r="AC250" s="353">
        <f t="shared" ref="AC250:AC261" si="26">Z250+U250</f>
        <v>0</v>
      </c>
      <c r="AD250" s="353">
        <f>AC250*'Modelo Energético'!Q456*'Modelo Energético'!O456</f>
        <v>0</v>
      </c>
      <c r="AE250" s="353">
        <f t="shared" ref="AE250:AE261" si="27">$AH$210-AC250</f>
        <v>0</v>
      </c>
      <c r="AF250" s="353">
        <f>AE250*'Modelo Energético'!Q456*'Modelo Energético'!O456</f>
        <v>0</v>
      </c>
      <c r="AG250" s="556"/>
      <c r="AH250" s="556"/>
      <c r="AI250" s="319"/>
      <c r="AJ250" s="319"/>
      <c r="AK250" s="319"/>
      <c r="AL250" s="319"/>
      <c r="AM250" s="319"/>
      <c r="AN250" s="319"/>
      <c r="AO250" s="319"/>
      <c r="AP250" s="319"/>
      <c r="AQ250" s="319"/>
      <c r="AR250" s="319"/>
      <c r="AS250" s="319"/>
      <c r="AT250" s="319"/>
      <c r="AU250" s="319"/>
      <c r="AV250" s="319"/>
      <c r="AW250" s="319"/>
      <c r="AX250" s="319"/>
      <c r="AY250" s="319"/>
      <c r="AZ250" s="319"/>
      <c r="BA250" s="319"/>
      <c r="BB250" s="319"/>
      <c r="BC250" s="319"/>
      <c r="BD250" s="319"/>
      <c r="BE250" s="319"/>
      <c r="BF250" s="319"/>
      <c r="BG250" s="319"/>
      <c r="BH250" s="319"/>
      <c r="BI250" s="319"/>
      <c r="BJ250" s="319"/>
      <c r="BK250" s="319"/>
      <c r="BL250" s="319"/>
      <c r="BM250" s="319"/>
      <c r="BN250" s="319"/>
      <c r="BO250" s="319"/>
      <c r="BP250" s="319"/>
      <c r="BQ250" s="319"/>
      <c r="BR250" s="319"/>
      <c r="BS250" s="319"/>
      <c r="BT250" s="319"/>
      <c r="BU250" s="319"/>
      <c r="BV250" s="319"/>
      <c r="BW250" s="319"/>
      <c r="BX250" s="319"/>
      <c r="BY250" s="319"/>
      <c r="BZ250" s="319"/>
      <c r="CA250" s="319"/>
      <c r="CB250" s="319"/>
      <c r="CC250" s="319"/>
      <c r="CD250" s="319"/>
      <c r="CE250" s="319"/>
      <c r="CF250" s="319"/>
      <c r="CG250" s="319"/>
      <c r="CH250" s="319"/>
      <c r="CI250" s="319"/>
      <c r="CJ250" s="319"/>
      <c r="CK250" s="319"/>
    </row>
    <row r="251" spans="1:89" ht="13.5" hidden="1" customHeight="1">
      <c r="A251" s="12"/>
      <c r="B251" s="329"/>
      <c r="C251" s="329"/>
      <c r="D251" s="329"/>
      <c r="E251" s="329"/>
      <c r="F251" s="1"/>
      <c r="G251" s="1"/>
      <c r="H251" s="1"/>
      <c r="I251" s="1"/>
      <c r="J251" s="1"/>
      <c r="K251" s="9"/>
      <c r="L251" s="1"/>
      <c r="M251" s="319"/>
      <c r="N251" s="319">
        <v>5020000</v>
      </c>
      <c r="O251" s="319"/>
      <c r="P251" s="319"/>
      <c r="Q251" s="319">
        <f>IF(Q297=TRUE,0,1)</f>
        <v>1</v>
      </c>
      <c r="R251" s="319" t="s">
        <v>3405</v>
      </c>
      <c r="S251" s="319"/>
      <c r="T251" s="319"/>
      <c r="U251" s="858">
        <f t="shared" si="22"/>
        <v>0</v>
      </c>
      <c r="V251" s="353">
        <f>U251*'Modelo Energético'!Q457*'Modelo Energético'!O457</f>
        <v>0</v>
      </c>
      <c r="W251" s="352" t="e">
        <f t="shared" si="23"/>
        <v>#DIV/0!</v>
      </c>
      <c r="X251" s="353">
        <f t="shared" si="24"/>
        <v>0</v>
      </c>
      <c r="Y251" s="353">
        <f t="shared" si="25"/>
        <v>0</v>
      </c>
      <c r="Z251" s="353">
        <f>Y251*'Modelo Energético'!O457*'Modelo Energético'!Q457</f>
        <v>0</v>
      </c>
      <c r="AA251" s="352"/>
      <c r="AB251" s="352"/>
      <c r="AC251" s="353">
        <f t="shared" si="26"/>
        <v>0</v>
      </c>
      <c r="AD251" s="353">
        <f>AC251*'Modelo Energético'!Q457*'Modelo Energético'!O457</f>
        <v>0</v>
      </c>
      <c r="AE251" s="353">
        <f t="shared" si="27"/>
        <v>0</v>
      </c>
      <c r="AF251" s="353">
        <f>AE251*'Modelo Energético'!Q457*'Modelo Energético'!O457</f>
        <v>0</v>
      </c>
      <c r="AG251" s="556"/>
      <c r="AH251" s="556"/>
      <c r="AI251" s="319"/>
      <c r="AJ251" s="319"/>
      <c r="AK251" s="319"/>
      <c r="AL251" s="319"/>
      <c r="AM251" s="319"/>
      <c r="AN251" s="319"/>
      <c r="AO251" s="319"/>
      <c r="AP251" s="319"/>
      <c r="AQ251" s="319"/>
      <c r="AR251" s="319"/>
      <c r="AS251" s="319"/>
      <c r="AT251" s="319"/>
      <c r="AU251" s="319"/>
      <c r="AV251" s="319"/>
      <c r="AW251" s="319"/>
      <c r="AX251" s="319"/>
      <c r="AY251" s="319"/>
      <c r="AZ251" s="319"/>
      <c r="BA251" s="319"/>
      <c r="BB251" s="319"/>
      <c r="BC251" s="319"/>
      <c r="BD251" s="319"/>
      <c r="BE251" s="319"/>
      <c r="BF251" s="319"/>
      <c r="BG251" s="319"/>
      <c r="BH251" s="319"/>
      <c r="BI251" s="319"/>
      <c r="BJ251" s="319"/>
      <c r="BK251" s="319"/>
      <c r="BL251" s="319"/>
      <c r="BM251" s="319"/>
      <c r="BN251" s="319"/>
      <c r="BO251" s="319"/>
      <c r="BP251" s="319"/>
      <c r="BQ251" s="319"/>
      <c r="BR251" s="319"/>
      <c r="BS251" s="319"/>
      <c r="BT251" s="319"/>
      <c r="BU251" s="319"/>
      <c r="BV251" s="319"/>
      <c r="BW251" s="319"/>
      <c r="BX251" s="319"/>
      <c r="BY251" s="319"/>
      <c r="BZ251" s="319"/>
      <c r="CA251" s="319"/>
      <c r="CB251" s="319"/>
      <c r="CC251" s="319"/>
      <c r="CD251" s="319"/>
      <c r="CE251" s="319"/>
      <c r="CF251" s="319"/>
      <c r="CG251" s="319"/>
      <c r="CH251" s="319"/>
      <c r="CI251" s="319"/>
      <c r="CJ251" s="319"/>
      <c r="CK251" s="319"/>
    </row>
    <row r="252" spans="1:89" ht="26.4" hidden="1">
      <c r="A252" s="12"/>
      <c r="B252" s="28" t="str">
        <f>Language!C1761</f>
        <v>Inversor</v>
      </c>
      <c r="C252" s="1"/>
      <c r="D252" s="1"/>
      <c r="E252" s="1"/>
      <c r="F252" s="1"/>
      <c r="G252" s="82" t="str">
        <f>G244</f>
        <v>Custo inicial incremental</v>
      </c>
      <c r="H252" s="1"/>
      <c r="I252" s="1"/>
      <c r="J252" s="1"/>
      <c r="K252" s="9"/>
      <c r="L252" s="1"/>
      <c r="M252" s="319"/>
      <c r="N252" s="319">
        <v>5021000</v>
      </c>
      <c r="O252" s="319"/>
      <c r="P252" s="319"/>
      <c r="Q252" s="481"/>
      <c r="R252" s="481"/>
      <c r="S252" s="319"/>
      <c r="T252" s="481"/>
      <c r="U252" s="858">
        <f t="shared" si="22"/>
        <v>0</v>
      </c>
      <c r="V252" s="353">
        <f>U252*'Modelo Energético'!Q458*'Modelo Energético'!O458</f>
        <v>0</v>
      </c>
      <c r="W252" s="352" t="e">
        <f t="shared" si="23"/>
        <v>#DIV/0!</v>
      </c>
      <c r="X252" s="353">
        <f t="shared" si="24"/>
        <v>0</v>
      </c>
      <c r="Y252" s="353">
        <f t="shared" si="25"/>
        <v>0</v>
      </c>
      <c r="Z252" s="353">
        <f>Y252*'Modelo Energético'!O458*'Modelo Energético'!Q458</f>
        <v>0</v>
      </c>
      <c r="AA252" s="352"/>
      <c r="AB252" s="352"/>
      <c r="AC252" s="353">
        <f t="shared" si="26"/>
        <v>0</v>
      </c>
      <c r="AD252" s="353">
        <f>AC252*'Modelo Energético'!Q458*'Modelo Energético'!O458</f>
        <v>0</v>
      </c>
      <c r="AE252" s="353">
        <f t="shared" si="27"/>
        <v>0</v>
      </c>
      <c r="AF252" s="353">
        <f>AE252*'Modelo Energético'!Q458*'Modelo Energético'!O458</f>
        <v>0</v>
      </c>
      <c r="AG252" s="556"/>
      <c r="AH252" s="556"/>
      <c r="AI252" s="319"/>
      <c r="AJ252" s="319"/>
      <c r="AK252" s="319"/>
      <c r="AL252" s="319"/>
      <c r="AM252" s="319"/>
      <c r="AN252" s="319"/>
      <c r="AO252" s="319"/>
      <c r="AP252" s="319"/>
      <c r="AQ252" s="319"/>
      <c r="AR252" s="319"/>
      <c r="AS252" s="319"/>
      <c r="AT252" s="319"/>
      <c r="AU252" s="319"/>
      <c r="AV252" s="319"/>
      <c r="AW252" s="319"/>
      <c r="AX252" s="319"/>
      <c r="AY252" s="319"/>
      <c r="AZ252" s="319"/>
      <c r="BA252" s="319"/>
      <c r="BB252" s="319"/>
      <c r="BC252" s="319"/>
      <c r="BD252" s="319"/>
      <c r="BE252" s="319"/>
      <c r="BF252" s="319"/>
      <c r="BG252" s="319"/>
      <c r="BH252" s="319"/>
      <c r="BI252" s="319"/>
      <c r="BJ252" s="319"/>
      <c r="BK252" s="319"/>
      <c r="BL252" s="319"/>
      <c r="BM252" s="319"/>
      <c r="BN252" s="319"/>
      <c r="BO252" s="319"/>
      <c r="BP252" s="319"/>
      <c r="BQ252" s="319"/>
      <c r="BR252" s="319"/>
      <c r="BS252" s="319"/>
      <c r="BT252" s="319"/>
      <c r="BU252" s="319"/>
      <c r="BV252" s="319"/>
      <c r="BW252" s="319"/>
      <c r="BX252" s="319"/>
      <c r="BY252" s="319"/>
      <c r="BZ252" s="319"/>
      <c r="CA252" s="319"/>
      <c r="CB252" s="319"/>
      <c r="CC252" s="319"/>
      <c r="CD252" s="319"/>
      <c r="CE252" s="319"/>
      <c r="CF252" s="319"/>
      <c r="CG252" s="319"/>
      <c r="CH252" s="319"/>
      <c r="CI252" s="319"/>
      <c r="CJ252" s="319"/>
      <c r="CK252" s="319"/>
    </row>
    <row r="253" spans="1:89" ht="13.5" hidden="1" customHeight="1">
      <c r="A253" s="12"/>
      <c r="B253" s="1" t="str">
        <f>B886</f>
        <v>Capacidade</v>
      </c>
      <c r="C253" s="29" t="str">
        <f>$F$1169</f>
        <v>kW</v>
      </c>
      <c r="D253" s="395"/>
      <c r="E253" s="813" t="str">
        <f>Language!C1869</f>
        <v>Carga de ponta - anual - CA</v>
      </c>
      <c r="F253" s="1"/>
      <c r="G253" s="1346"/>
      <c r="H253" s="1"/>
      <c r="I253" s="1"/>
      <c r="J253" s="1"/>
      <c r="K253" s="9"/>
      <c r="L253" s="1"/>
      <c r="M253" s="319">
        <f>IF(OR(D253=0,D253=""),0,53)</f>
        <v>0</v>
      </c>
      <c r="N253" s="319">
        <v>5021002</v>
      </c>
      <c r="O253" s="319"/>
      <c r="P253" s="319"/>
      <c r="Q253" s="481" t="s">
        <v>1943</v>
      </c>
      <c r="R253" s="371" t="str">
        <f>$C$254</f>
        <v>%</v>
      </c>
      <c r="S253" s="339">
        <v>0.95</v>
      </c>
      <c r="T253" s="481"/>
      <c r="U253" s="858">
        <f t="shared" si="22"/>
        <v>0</v>
      </c>
      <c r="V253" s="353">
        <f>U253*'Modelo Energético'!Q459*'Modelo Energético'!O459</f>
        <v>0</v>
      </c>
      <c r="W253" s="352" t="e">
        <f t="shared" si="23"/>
        <v>#DIV/0!</v>
      </c>
      <c r="X253" s="353">
        <f t="shared" si="24"/>
        <v>0</v>
      </c>
      <c r="Y253" s="353">
        <f t="shared" si="25"/>
        <v>0</v>
      </c>
      <c r="Z253" s="353">
        <f>Y253*'Modelo Energético'!O459*'Modelo Energético'!Q459</f>
        <v>0</v>
      </c>
      <c r="AA253" s="352"/>
      <c r="AB253" s="352"/>
      <c r="AC253" s="353">
        <f t="shared" si="26"/>
        <v>0</v>
      </c>
      <c r="AD253" s="353">
        <f>AC253*'Modelo Energético'!Q459*'Modelo Energético'!O459</f>
        <v>0</v>
      </c>
      <c r="AE253" s="353">
        <f t="shared" si="27"/>
        <v>0</v>
      </c>
      <c r="AF253" s="353">
        <f>AE253*'Modelo Energético'!Q459*'Modelo Energético'!O459</f>
        <v>0</v>
      </c>
      <c r="AG253" s="556"/>
      <c r="AH253" s="556"/>
      <c r="AI253" s="319"/>
      <c r="AJ253" s="319"/>
      <c r="AK253" s="319"/>
      <c r="AL253" s="319"/>
      <c r="AM253" s="319"/>
      <c r="AN253" s="319"/>
      <c r="AO253" s="319"/>
      <c r="AP253" s="319"/>
      <c r="AQ253" s="319"/>
      <c r="AR253" s="319"/>
      <c r="AS253" s="319"/>
      <c r="AT253" s="319"/>
      <c r="AU253" s="319"/>
      <c r="AV253" s="319"/>
      <c r="AW253" s="319"/>
      <c r="AX253" s="319"/>
      <c r="AY253" s="319"/>
      <c r="AZ253" s="319"/>
      <c r="BA253" s="319"/>
      <c r="BB253" s="319"/>
      <c r="BC253" s="319"/>
      <c r="BD253" s="319"/>
      <c r="BE253" s="319"/>
      <c r="BF253" s="319"/>
      <c r="BG253" s="319"/>
      <c r="BH253" s="319"/>
      <c r="BI253" s="319"/>
      <c r="BJ253" s="319"/>
      <c r="BK253" s="319"/>
      <c r="BL253" s="319"/>
      <c r="BM253" s="319"/>
      <c r="BN253" s="319"/>
      <c r="BO253" s="319"/>
      <c r="BP253" s="319"/>
      <c r="BQ253" s="319"/>
      <c r="BR253" s="319"/>
      <c r="BS253" s="319"/>
      <c r="BT253" s="319"/>
      <c r="BU253" s="319"/>
      <c r="BV253" s="319"/>
      <c r="BW253" s="319"/>
      <c r="BX253" s="319"/>
      <c r="BY253" s="319"/>
      <c r="BZ253" s="319"/>
      <c r="CA253" s="319"/>
      <c r="CB253" s="319"/>
      <c r="CC253" s="319"/>
      <c r="CD253" s="319"/>
      <c r="CE253" s="319"/>
      <c r="CF253" s="319"/>
      <c r="CG253" s="319"/>
      <c r="CH253" s="319"/>
      <c r="CI253" s="319"/>
      <c r="CJ253" s="319"/>
      <c r="CK253" s="319"/>
    </row>
    <row r="254" spans="1:89" ht="13.5" hidden="1" customHeight="1">
      <c r="A254" s="12"/>
      <c r="B254" s="1" t="str">
        <f>Language!C476</f>
        <v>Eficiência</v>
      </c>
      <c r="C254" s="29" t="str">
        <f>$C$650</f>
        <v>%</v>
      </c>
      <c r="D254" s="339"/>
      <c r="E254" s="1"/>
      <c r="F254" s="1"/>
      <c r="G254" s="1"/>
      <c r="H254" s="1"/>
      <c r="I254" s="1"/>
      <c r="J254" s="1"/>
      <c r="K254" s="9"/>
      <c r="L254" s="1"/>
      <c r="M254" s="319"/>
      <c r="N254" s="319">
        <v>2124002</v>
      </c>
      <c r="O254" s="319"/>
      <c r="P254" s="742">
        <f>IF(OR($D$253="",$D$253=0),1,D254)</f>
        <v>1</v>
      </c>
      <c r="Q254" s="481"/>
      <c r="R254" s="371" t="str">
        <f>$F$1169</f>
        <v>kW</v>
      </c>
      <c r="S254" s="438">
        <v>7.5</v>
      </c>
      <c r="T254" s="482">
        <f>D267*D259/8/1000/S253/0.85</f>
        <v>0</v>
      </c>
      <c r="U254" s="858">
        <f t="shared" si="22"/>
        <v>0</v>
      </c>
      <c r="V254" s="353">
        <f>U254*'Modelo Energético'!Q460*'Modelo Energético'!O460</f>
        <v>0</v>
      </c>
      <c r="W254" s="352" t="e">
        <f t="shared" si="23"/>
        <v>#DIV/0!</v>
      </c>
      <c r="X254" s="353">
        <f t="shared" si="24"/>
        <v>0</v>
      </c>
      <c r="Y254" s="353">
        <f t="shared" si="25"/>
        <v>0</v>
      </c>
      <c r="Z254" s="353">
        <f>Y254*'Modelo Energético'!O460*'Modelo Energético'!Q460</f>
        <v>0</v>
      </c>
      <c r="AA254" s="352"/>
      <c r="AB254" s="352"/>
      <c r="AC254" s="353">
        <f t="shared" si="26"/>
        <v>0</v>
      </c>
      <c r="AD254" s="353">
        <f>AC254*'Modelo Energético'!Q460*'Modelo Energético'!O460</f>
        <v>0</v>
      </c>
      <c r="AE254" s="353">
        <f t="shared" si="27"/>
        <v>0</v>
      </c>
      <c r="AF254" s="353">
        <f>AE254*'Modelo Energético'!Q460*'Modelo Energético'!O460</f>
        <v>0</v>
      </c>
      <c r="AG254" s="556"/>
      <c r="AH254" s="556"/>
      <c r="AI254" s="319"/>
      <c r="AJ254" s="319"/>
      <c r="AK254" s="319"/>
      <c r="AL254" s="319"/>
      <c r="AM254" s="319"/>
      <c r="AN254" s="319"/>
      <c r="AO254" s="319"/>
      <c r="AP254" s="319"/>
      <c r="AQ254" s="319"/>
      <c r="AR254" s="319"/>
      <c r="AS254" s="319"/>
      <c r="AT254" s="319"/>
      <c r="AU254" s="319"/>
      <c r="AV254" s="319"/>
      <c r="AW254" s="319"/>
      <c r="AX254" s="319"/>
      <c r="AY254" s="319"/>
      <c r="AZ254" s="319"/>
      <c r="BA254" s="319"/>
      <c r="BB254" s="319"/>
      <c r="BC254" s="319"/>
      <c r="BD254" s="319"/>
      <c r="BE254" s="319"/>
      <c r="BF254" s="319"/>
      <c r="BG254" s="319"/>
      <c r="BH254" s="319"/>
      <c r="BI254" s="319"/>
      <c r="BJ254" s="319"/>
      <c r="BK254" s="319"/>
      <c r="BL254" s="319"/>
      <c r="BM254" s="319"/>
      <c r="BN254" s="319"/>
      <c r="BO254" s="319"/>
      <c r="BP254" s="319"/>
      <c r="BQ254" s="319"/>
      <c r="BR254" s="319"/>
      <c r="BS254" s="319"/>
      <c r="BT254" s="319"/>
      <c r="BU254" s="319"/>
      <c r="BV254" s="319"/>
      <c r="BW254" s="319"/>
      <c r="BX254" s="319"/>
      <c r="BY254" s="319"/>
      <c r="BZ254" s="319"/>
      <c r="CA254" s="319"/>
      <c r="CB254" s="319"/>
      <c r="CC254" s="319"/>
      <c r="CD254" s="319"/>
      <c r="CE254" s="319"/>
      <c r="CF254" s="319"/>
      <c r="CG254" s="319"/>
      <c r="CH254" s="319"/>
      <c r="CI254" s="319"/>
      <c r="CJ254" s="319"/>
      <c r="CK254" s="319"/>
    </row>
    <row r="255" spans="1:89" ht="13.2" hidden="1">
      <c r="A255" s="12"/>
      <c r="B255" s="1" t="str">
        <f>Language!C1820</f>
        <v>Perdas diversas</v>
      </c>
      <c r="C255" s="29" t="str">
        <f>$C$254</f>
        <v>%</v>
      </c>
      <c r="D255" s="339"/>
      <c r="E255" s="1"/>
      <c r="F255" s="1"/>
      <c r="G255" s="1"/>
      <c r="H255" s="1"/>
      <c r="I255" s="1"/>
      <c r="J255" s="1"/>
      <c r="K255" s="9"/>
      <c r="L255" s="1"/>
      <c r="M255" s="319"/>
      <c r="N255" s="319">
        <v>2124006</v>
      </c>
      <c r="O255" s="319"/>
      <c r="P255" s="742">
        <f>IF(OR($D$253="",$D$253=0),0,D255)</f>
        <v>0</v>
      </c>
      <c r="Q255" s="481"/>
      <c r="R255" s="481"/>
      <c r="S255" s="319"/>
      <c r="T255" s="481"/>
      <c r="U255" s="858">
        <f t="shared" si="22"/>
        <v>0</v>
      </c>
      <c r="V255" s="353">
        <f>U255*'Modelo Energético'!Q461*'Modelo Energético'!O461</f>
        <v>0</v>
      </c>
      <c r="W255" s="352" t="e">
        <f t="shared" si="23"/>
        <v>#DIV/0!</v>
      </c>
      <c r="X255" s="353">
        <f t="shared" si="24"/>
        <v>0</v>
      </c>
      <c r="Y255" s="353">
        <f t="shared" si="25"/>
        <v>0</v>
      </c>
      <c r="Z255" s="353">
        <f>Y255*'Modelo Energético'!O461*'Modelo Energético'!Q461</f>
        <v>0</v>
      </c>
      <c r="AA255" s="352"/>
      <c r="AB255" s="352"/>
      <c r="AC255" s="353">
        <f t="shared" si="26"/>
        <v>0</v>
      </c>
      <c r="AD255" s="353">
        <f>AC255*'Modelo Energético'!Q461*'Modelo Energético'!O461</f>
        <v>0</v>
      </c>
      <c r="AE255" s="353">
        <f t="shared" si="27"/>
        <v>0</v>
      </c>
      <c r="AF255" s="353">
        <f>AE255*'Modelo Energético'!Q461*'Modelo Energético'!O461</f>
        <v>0</v>
      </c>
      <c r="AG255" s="556"/>
      <c r="AH255" s="556"/>
      <c r="AI255" s="319"/>
      <c r="AJ255" s="319"/>
      <c r="AK255" s="319"/>
      <c r="AL255" s="319"/>
      <c r="AM255" s="319"/>
      <c r="AN255" s="319"/>
      <c r="AO255" s="319"/>
      <c r="AP255" s="319"/>
      <c r="AQ255" s="319"/>
      <c r="AR255" s="319"/>
      <c r="AS255" s="319"/>
      <c r="AT255" s="319"/>
      <c r="AU255" s="319"/>
      <c r="AV255" s="319"/>
      <c r="AW255" s="319"/>
      <c r="AX255" s="319"/>
      <c r="AY255" s="319"/>
      <c r="AZ255" s="319"/>
      <c r="BA255" s="319"/>
      <c r="BB255" s="319"/>
      <c r="BC255" s="319"/>
      <c r="BD255" s="319"/>
      <c r="BE255" s="319"/>
      <c r="BF255" s="319"/>
      <c r="BG255" s="319"/>
      <c r="BH255" s="319"/>
      <c r="BI255" s="319"/>
      <c r="BJ255" s="319"/>
      <c r="BK255" s="319"/>
      <c r="BL255" s="319"/>
      <c r="BM255" s="319"/>
      <c r="BN255" s="319"/>
      <c r="BO255" s="319"/>
      <c r="BP255" s="319"/>
      <c r="BQ255" s="319"/>
      <c r="BR255" s="319"/>
      <c r="BS255" s="319"/>
      <c r="BT255" s="319"/>
      <c r="BU255" s="319"/>
      <c r="BV255" s="319"/>
      <c r="BW255" s="319"/>
      <c r="BX255" s="319"/>
      <c r="BY255" s="319"/>
      <c r="BZ255" s="319"/>
      <c r="CA255" s="319"/>
      <c r="CB255" s="319"/>
      <c r="CC255" s="319"/>
      <c r="CD255" s="319"/>
      <c r="CE255" s="319"/>
      <c r="CF255" s="319"/>
      <c r="CG255" s="319"/>
      <c r="CH255" s="319"/>
      <c r="CI255" s="319"/>
      <c r="CJ255" s="319"/>
      <c r="CK255" s="319"/>
    </row>
    <row r="256" spans="1:89" ht="13.5" hidden="1" customHeight="1">
      <c r="A256" s="12"/>
      <c r="B256" s="1"/>
      <c r="C256" s="1"/>
      <c r="D256" s="1"/>
      <c r="E256" s="1"/>
      <c r="F256" s="1"/>
      <c r="G256" s="1"/>
      <c r="H256" s="1"/>
      <c r="I256" s="1"/>
      <c r="J256" s="1"/>
      <c r="K256" s="9"/>
      <c r="L256" s="1"/>
      <c r="M256" s="319"/>
      <c r="N256" s="319">
        <v>5020000</v>
      </c>
      <c r="O256" s="319"/>
      <c r="P256" s="319"/>
      <c r="Q256" s="319"/>
      <c r="R256" s="319"/>
      <c r="S256" s="319"/>
      <c r="T256" s="481"/>
      <c r="U256" s="858">
        <f t="shared" si="22"/>
        <v>0</v>
      </c>
      <c r="V256" s="353">
        <f>U256*'Modelo Energético'!Q462*'Modelo Energético'!O462</f>
        <v>0</v>
      </c>
      <c r="W256" s="352" t="e">
        <f t="shared" si="23"/>
        <v>#DIV/0!</v>
      </c>
      <c r="X256" s="353">
        <f t="shared" si="24"/>
        <v>0</v>
      </c>
      <c r="Y256" s="353">
        <f t="shared" si="25"/>
        <v>0</v>
      </c>
      <c r="Z256" s="353">
        <f>Y256*'Modelo Energético'!O462*'Modelo Energético'!Q462</f>
        <v>0</v>
      </c>
      <c r="AA256" s="352"/>
      <c r="AB256" s="352"/>
      <c r="AC256" s="353">
        <f t="shared" si="26"/>
        <v>0</v>
      </c>
      <c r="AD256" s="353">
        <f>AC256*'Modelo Energético'!Q462*'Modelo Energético'!O462</f>
        <v>0</v>
      </c>
      <c r="AE256" s="353">
        <f t="shared" si="27"/>
        <v>0</v>
      </c>
      <c r="AF256" s="353">
        <f>AE256*'Modelo Energético'!Q462*'Modelo Energético'!O462</f>
        <v>0</v>
      </c>
      <c r="AG256" s="556"/>
      <c r="AH256" s="556"/>
      <c r="AI256" s="319"/>
      <c r="AJ256" s="319"/>
      <c r="AK256" s="319"/>
      <c r="AL256" s="319"/>
      <c r="AM256" s="319"/>
      <c r="AN256" s="319"/>
      <c r="AO256" s="319"/>
      <c r="AP256" s="319"/>
      <c r="AQ256" s="319"/>
      <c r="AR256" s="319"/>
      <c r="AS256" s="319"/>
      <c r="AT256" s="319"/>
      <c r="AU256" s="319"/>
      <c r="AV256" s="319"/>
      <c r="AW256" s="319"/>
      <c r="AX256" s="319"/>
      <c r="AY256" s="319"/>
      <c r="AZ256" s="319"/>
      <c r="BA256" s="319"/>
      <c r="BB256" s="319"/>
      <c r="BC256" s="319"/>
      <c r="BD256" s="319"/>
      <c r="BE256" s="319"/>
      <c r="BF256" s="319"/>
      <c r="BG256" s="319"/>
      <c r="BH256" s="319"/>
      <c r="BI256" s="319"/>
      <c r="BJ256" s="319"/>
      <c r="BK256" s="319"/>
      <c r="BL256" s="319"/>
      <c r="BM256" s="319"/>
      <c r="BN256" s="319"/>
      <c r="BO256" s="319"/>
      <c r="BP256" s="319"/>
      <c r="BQ256" s="319"/>
      <c r="BR256" s="319"/>
      <c r="BS256" s="319"/>
      <c r="BT256" s="319"/>
      <c r="BU256" s="319"/>
      <c r="BV256" s="319"/>
      <c r="BW256" s="319"/>
      <c r="BX256" s="319"/>
      <c r="BY256" s="319"/>
      <c r="BZ256" s="319"/>
      <c r="CA256" s="319"/>
      <c r="CB256" s="319"/>
      <c r="CC256" s="319"/>
      <c r="CD256" s="319"/>
      <c r="CE256" s="319"/>
      <c r="CF256" s="319"/>
      <c r="CG256" s="319"/>
      <c r="CH256" s="319"/>
      <c r="CI256" s="319"/>
      <c r="CJ256" s="319"/>
      <c r="CK256" s="319"/>
    </row>
    <row r="257" spans="1:89" ht="12.75" hidden="1" customHeight="1">
      <c r="A257" s="12"/>
      <c r="B257" s="28" t="str">
        <f>Language!C1501</f>
        <v>Bateria</v>
      </c>
      <c r="C257" s="1"/>
      <c r="D257" s="1"/>
      <c r="E257" s="1"/>
      <c r="F257" s="1"/>
      <c r="G257" s="1"/>
      <c r="H257" s="1"/>
      <c r="I257" s="1"/>
      <c r="J257" s="1"/>
      <c r="K257" s="9"/>
      <c r="L257" s="1"/>
      <c r="M257" s="319"/>
      <c r="N257" s="319">
        <v>5022000</v>
      </c>
      <c r="O257" s="319"/>
      <c r="P257" s="319" t="str">
        <f>+R265</f>
        <v>Constante</v>
      </c>
      <c r="Q257" s="319"/>
      <c r="R257" s="319"/>
      <c r="S257" s="319"/>
      <c r="T257" s="481"/>
      <c r="U257" s="858">
        <f t="shared" si="22"/>
        <v>0</v>
      </c>
      <c r="V257" s="353">
        <f>U257*'Modelo Energético'!Q463*'Modelo Energético'!O463</f>
        <v>0</v>
      </c>
      <c r="W257" s="352" t="e">
        <f t="shared" si="23"/>
        <v>#DIV/0!</v>
      </c>
      <c r="X257" s="353">
        <f t="shared" si="24"/>
        <v>0</v>
      </c>
      <c r="Y257" s="353">
        <f t="shared" si="25"/>
        <v>0</v>
      </c>
      <c r="Z257" s="353">
        <f>Y257*'Modelo Energético'!O463*'Modelo Energético'!Q463</f>
        <v>0</v>
      </c>
      <c r="AA257" s="352"/>
      <c r="AB257" s="352"/>
      <c r="AC257" s="353">
        <f t="shared" si="26"/>
        <v>0</v>
      </c>
      <c r="AD257" s="353">
        <f>AC257*'Modelo Energético'!Q463*'Modelo Energético'!O463</f>
        <v>0</v>
      </c>
      <c r="AE257" s="353">
        <f t="shared" si="27"/>
        <v>0</v>
      </c>
      <c r="AF257" s="353">
        <f>AE257*'Modelo Energético'!Q463*'Modelo Energético'!O463</f>
        <v>0</v>
      </c>
      <c r="AG257" s="556"/>
      <c r="AH257" s="556"/>
      <c r="AI257" s="319"/>
      <c r="AJ257" s="319"/>
      <c r="AK257" s="319"/>
      <c r="AL257" s="319"/>
      <c r="AM257" s="319"/>
      <c r="AN257" s="319"/>
      <c r="AO257" s="319"/>
      <c r="AP257" s="319"/>
      <c r="AQ257" s="319"/>
      <c r="AR257" s="319"/>
      <c r="AS257" s="319"/>
      <c r="AT257" s="319"/>
      <c r="AU257" s="319"/>
      <c r="AV257" s="319"/>
      <c r="AW257" s="319"/>
      <c r="AX257" s="319"/>
      <c r="AY257" s="319"/>
      <c r="AZ257" s="319"/>
      <c r="BA257" s="319"/>
      <c r="BB257" s="319"/>
      <c r="BC257" s="319"/>
      <c r="BD257" s="319"/>
      <c r="BE257" s="319"/>
      <c r="BF257" s="319"/>
      <c r="BG257" s="319"/>
      <c r="BH257" s="319"/>
      <c r="BI257" s="319"/>
      <c r="BJ257" s="319"/>
      <c r="BK257" s="319"/>
      <c r="BL257" s="319"/>
      <c r="BM257" s="319"/>
      <c r="BN257" s="319"/>
      <c r="BO257" s="319"/>
      <c r="BP257" s="319"/>
      <c r="BQ257" s="319"/>
      <c r="BR257" s="319"/>
      <c r="BS257" s="319"/>
      <c r="BT257" s="319"/>
      <c r="BU257" s="319"/>
      <c r="BV257" s="319"/>
      <c r="BW257" s="319"/>
      <c r="BX257" s="319"/>
      <c r="BY257" s="319"/>
      <c r="BZ257" s="319"/>
      <c r="CA257" s="319"/>
      <c r="CB257" s="319"/>
      <c r="CC257" s="319"/>
      <c r="CD257" s="319"/>
      <c r="CE257" s="319"/>
      <c r="CF257" s="319"/>
      <c r="CG257" s="319"/>
      <c r="CH257" s="319"/>
      <c r="CI257" s="319"/>
      <c r="CJ257" s="319"/>
      <c r="CK257" s="319"/>
    </row>
    <row r="258" spans="1:89" ht="13.5" hidden="1" customHeight="1">
      <c r="A258" s="12"/>
      <c r="B258" s="1" t="str">
        <f>Language!C1582</f>
        <v>Número de dias de autonomia</v>
      </c>
      <c r="C258" s="29" t="str">
        <f>Language!C2197</f>
        <v>d</v>
      </c>
      <c r="D258" s="382"/>
      <c r="E258" s="1"/>
      <c r="F258" s="1"/>
      <c r="G258" s="1"/>
      <c r="H258" s="1"/>
      <c r="I258" s="1"/>
      <c r="J258" s="1"/>
      <c r="K258" s="784"/>
      <c r="L258" s="1"/>
      <c r="M258" s="319">
        <f>IF(OR(D258=0,D258=""),0,103)</f>
        <v>0</v>
      </c>
      <c r="N258" s="319">
        <v>5022002</v>
      </c>
      <c r="O258" s="319"/>
      <c r="P258" s="319" t="str">
        <f>+R266</f>
        <v>Mínimo</v>
      </c>
      <c r="Q258" s="319"/>
      <c r="R258" s="319"/>
      <c r="S258" s="319"/>
      <c r="T258" s="319"/>
      <c r="U258" s="858">
        <f t="shared" si="22"/>
        <v>0</v>
      </c>
      <c r="V258" s="353">
        <f>U258*'Modelo Energético'!Q464*'Modelo Energético'!O464</f>
        <v>0</v>
      </c>
      <c r="W258" s="352" t="e">
        <f t="shared" si="23"/>
        <v>#DIV/0!</v>
      </c>
      <c r="X258" s="353">
        <f t="shared" si="24"/>
        <v>0</v>
      </c>
      <c r="Y258" s="353">
        <f t="shared" si="25"/>
        <v>0</v>
      </c>
      <c r="Z258" s="353">
        <f>Y258*'Modelo Energético'!O464*'Modelo Energético'!Q464</f>
        <v>0</v>
      </c>
      <c r="AA258" s="352"/>
      <c r="AB258" s="352"/>
      <c r="AC258" s="353">
        <f t="shared" si="26"/>
        <v>0</v>
      </c>
      <c r="AD258" s="353">
        <f>AC258*'Modelo Energético'!Q464*'Modelo Energético'!O464</f>
        <v>0</v>
      </c>
      <c r="AE258" s="353">
        <f t="shared" si="27"/>
        <v>0</v>
      </c>
      <c r="AF258" s="353">
        <f>AE258*'Modelo Energético'!Q464*'Modelo Energético'!O464</f>
        <v>0</v>
      </c>
      <c r="AG258" s="556"/>
      <c r="AH258" s="556"/>
      <c r="AI258" s="319"/>
      <c r="AJ258" s="319"/>
      <c r="AK258" s="319"/>
      <c r="AL258" s="319"/>
      <c r="AM258" s="319"/>
      <c r="AN258" s="319"/>
      <c r="AO258" s="319"/>
      <c r="AP258" s="319"/>
      <c r="AQ258" s="319"/>
      <c r="AR258" s="319"/>
      <c r="AS258" s="319"/>
      <c r="AT258" s="319"/>
      <c r="AU258" s="319"/>
      <c r="AV258" s="319"/>
      <c r="AW258" s="319"/>
      <c r="AX258" s="319"/>
      <c r="AY258" s="319"/>
      <c r="AZ258" s="319"/>
      <c r="BA258" s="319"/>
      <c r="BB258" s="319"/>
      <c r="BC258" s="319"/>
      <c r="BD258" s="319"/>
      <c r="BE258" s="319"/>
      <c r="BF258" s="319"/>
      <c r="BG258" s="319"/>
      <c r="BH258" s="319"/>
      <c r="BI258" s="319"/>
      <c r="BJ258" s="319"/>
      <c r="BK258" s="319"/>
      <c r="BL258" s="319"/>
      <c r="BM258" s="319"/>
      <c r="BN258" s="319"/>
      <c r="BO258" s="319"/>
      <c r="BP258" s="319"/>
      <c r="BQ258" s="319"/>
      <c r="BR258" s="319"/>
      <c r="BS258" s="319"/>
      <c r="BT258" s="319"/>
      <c r="BU258" s="319"/>
      <c r="BV258" s="319"/>
      <c r="BW258" s="319"/>
      <c r="BX258" s="319"/>
      <c r="BY258" s="319"/>
      <c r="BZ258" s="319"/>
      <c r="CA258" s="319"/>
      <c r="CB258" s="319"/>
      <c r="CC258" s="319"/>
      <c r="CD258" s="319"/>
      <c r="CE258" s="319"/>
      <c r="CF258" s="319"/>
      <c r="CG258" s="319"/>
      <c r="CH258" s="319"/>
      <c r="CI258" s="319"/>
      <c r="CJ258" s="319"/>
      <c r="CK258" s="319"/>
    </row>
    <row r="259" spans="1:89" ht="13.5" hidden="1" customHeight="1">
      <c r="A259" s="12"/>
      <c r="B259" s="1" t="str">
        <f>Language!C1829</f>
        <v>Voltagem</v>
      </c>
      <c r="C259" s="29" t="str">
        <f>Language!C2257</f>
        <v>V</v>
      </c>
      <c r="D259" s="382"/>
      <c r="E259" s="1"/>
      <c r="F259" s="1"/>
      <c r="G259" s="1"/>
      <c r="H259" s="1"/>
      <c r="I259" s="1"/>
      <c r="J259" s="1"/>
      <c r="K259" s="9"/>
      <c r="L259" s="1"/>
      <c r="M259" s="319"/>
      <c r="N259" s="319">
        <v>5022004</v>
      </c>
      <c r="O259" s="319"/>
      <c r="P259" s="319"/>
      <c r="Q259" s="319"/>
      <c r="R259" s="319"/>
      <c r="S259" s="319"/>
      <c r="T259" s="319"/>
      <c r="U259" s="858">
        <f t="shared" si="22"/>
        <v>0</v>
      </c>
      <c r="V259" s="353">
        <f>U259*'Modelo Energético'!Q465*'Modelo Energético'!O465</f>
        <v>0</v>
      </c>
      <c r="W259" s="352" t="e">
        <f t="shared" si="23"/>
        <v>#DIV/0!</v>
      </c>
      <c r="X259" s="353">
        <f t="shared" si="24"/>
        <v>0</v>
      </c>
      <c r="Y259" s="353">
        <f t="shared" si="25"/>
        <v>0</v>
      </c>
      <c r="Z259" s="353">
        <f>Y259*'Modelo Energético'!O465*'Modelo Energético'!Q465</f>
        <v>0</v>
      </c>
      <c r="AA259" s="352"/>
      <c r="AB259" s="352"/>
      <c r="AC259" s="353">
        <f t="shared" si="26"/>
        <v>0</v>
      </c>
      <c r="AD259" s="353">
        <f>AC259*'Modelo Energético'!Q465*'Modelo Energético'!O465</f>
        <v>0</v>
      </c>
      <c r="AE259" s="353">
        <f t="shared" si="27"/>
        <v>0</v>
      </c>
      <c r="AF259" s="353">
        <f>AE259*'Modelo Energético'!Q465*'Modelo Energético'!O465</f>
        <v>0</v>
      </c>
      <c r="AG259" s="556"/>
      <c r="AH259" s="556"/>
      <c r="AI259" s="319"/>
      <c r="AJ259" s="319"/>
      <c r="AK259" s="319"/>
      <c r="AL259" s="319"/>
      <c r="AM259" s="319"/>
      <c r="AN259" s="319"/>
      <c r="AO259" s="319"/>
      <c r="AP259" s="319"/>
      <c r="AQ259" s="319"/>
      <c r="AR259" s="319"/>
      <c r="AS259" s="319"/>
      <c r="AT259" s="319"/>
      <c r="AU259" s="319"/>
      <c r="AV259" s="319"/>
      <c r="AW259" s="319"/>
      <c r="AX259" s="319"/>
      <c r="AY259" s="319"/>
      <c r="AZ259" s="319"/>
      <c r="BA259" s="319"/>
      <c r="BB259" s="319"/>
      <c r="BC259" s="319"/>
      <c r="BD259" s="319"/>
      <c r="BE259" s="319"/>
      <c r="BF259" s="319"/>
      <c r="BG259" s="319"/>
      <c r="BH259" s="319"/>
      <c r="BI259" s="319"/>
      <c r="BJ259" s="319"/>
      <c r="BK259" s="319"/>
      <c r="BL259" s="319"/>
      <c r="BM259" s="319"/>
      <c r="BN259" s="319"/>
      <c r="BO259" s="319"/>
      <c r="BP259" s="319"/>
      <c r="BQ259" s="319"/>
      <c r="BR259" s="319"/>
      <c r="BS259" s="319"/>
      <c r="BT259" s="319"/>
      <c r="BU259" s="319"/>
      <c r="BV259" s="319"/>
      <c r="BW259" s="319"/>
      <c r="BX259" s="319"/>
      <c r="BY259" s="319"/>
      <c r="BZ259" s="319"/>
      <c r="CA259" s="319"/>
      <c r="CB259" s="319"/>
      <c r="CC259" s="319"/>
      <c r="CD259" s="319"/>
      <c r="CE259" s="319"/>
      <c r="CF259" s="319"/>
      <c r="CG259" s="319"/>
      <c r="CH259" s="319"/>
      <c r="CI259" s="319"/>
      <c r="CJ259" s="319"/>
      <c r="CK259" s="319"/>
    </row>
    <row r="260" spans="1:89" ht="13.5" hidden="1" customHeight="1">
      <c r="A260" s="12"/>
      <c r="B260" s="1" t="str">
        <f>B254</f>
        <v>Eficiência</v>
      </c>
      <c r="C260" s="29" t="str">
        <f>$C$254</f>
        <v>%</v>
      </c>
      <c r="D260" s="339"/>
      <c r="E260" s="1"/>
      <c r="F260" s="1"/>
      <c r="G260" s="1"/>
      <c r="H260" s="1"/>
      <c r="I260" s="1"/>
      <c r="J260" s="1"/>
      <c r="K260" s="9"/>
      <c r="L260" s="1"/>
      <c r="M260" s="319"/>
      <c r="N260" s="319">
        <v>5022006</v>
      </c>
      <c r="O260" s="319"/>
      <c r="P260" s="742">
        <f>IF(OR($D$258="",$D$258=0),1,D260)</f>
        <v>1</v>
      </c>
      <c r="Q260" s="319"/>
      <c r="R260" s="319"/>
      <c r="S260" s="319"/>
      <c r="T260" s="319"/>
      <c r="U260" s="858">
        <f t="shared" si="22"/>
        <v>0</v>
      </c>
      <c r="V260" s="353">
        <f>U260*'Modelo Energético'!Q466*'Modelo Energético'!O466</f>
        <v>0</v>
      </c>
      <c r="W260" s="352" t="e">
        <f t="shared" si="23"/>
        <v>#DIV/0!</v>
      </c>
      <c r="X260" s="353">
        <f t="shared" si="24"/>
        <v>0</v>
      </c>
      <c r="Y260" s="353">
        <f t="shared" si="25"/>
        <v>0</v>
      </c>
      <c r="Z260" s="353">
        <f>Y260*'Modelo Energético'!O466*'Modelo Energético'!Q466</f>
        <v>0</v>
      </c>
      <c r="AA260" s="352"/>
      <c r="AB260" s="352"/>
      <c r="AC260" s="353">
        <f t="shared" si="26"/>
        <v>0</v>
      </c>
      <c r="AD260" s="353">
        <f>AC260*'Modelo Energético'!Q466*'Modelo Energético'!O466</f>
        <v>0</v>
      </c>
      <c r="AE260" s="353">
        <f t="shared" si="27"/>
        <v>0</v>
      </c>
      <c r="AF260" s="353">
        <f>AE260*'Modelo Energético'!Q466*'Modelo Energético'!O466</f>
        <v>0</v>
      </c>
      <c r="AG260" s="556"/>
      <c r="AH260" s="556"/>
      <c r="AI260" s="319"/>
      <c r="AJ260" s="319"/>
      <c r="AK260" s="319"/>
      <c r="AL260" s="319"/>
      <c r="AM260" s="319"/>
      <c r="AN260" s="319"/>
      <c r="AO260" s="319"/>
      <c r="AP260" s="319"/>
      <c r="AQ260" s="319"/>
      <c r="AR260" s="319"/>
      <c r="AS260" s="319"/>
      <c r="AT260" s="319"/>
      <c r="AU260" s="319"/>
      <c r="AV260" s="319"/>
      <c r="AW260" s="319"/>
      <c r="AX260" s="319"/>
      <c r="AY260" s="319"/>
      <c r="AZ260" s="319"/>
      <c r="BA260" s="319"/>
      <c r="BB260" s="319"/>
      <c r="BC260" s="319"/>
      <c r="BD260" s="319"/>
      <c r="BE260" s="319"/>
      <c r="BF260" s="319"/>
      <c r="BG260" s="319"/>
      <c r="BH260" s="319"/>
      <c r="BI260" s="319"/>
      <c r="BJ260" s="319"/>
      <c r="BK260" s="319"/>
      <c r="BL260" s="319"/>
      <c r="BM260" s="319"/>
      <c r="BN260" s="319"/>
      <c r="BO260" s="319"/>
      <c r="BP260" s="319"/>
      <c r="BQ260" s="319"/>
      <c r="BR260" s="319"/>
      <c r="BS260" s="319"/>
      <c r="BT260" s="319"/>
      <c r="BU260" s="319"/>
      <c r="BV260" s="319"/>
      <c r="BW260" s="319"/>
      <c r="BX260" s="319"/>
      <c r="BY260" s="319"/>
      <c r="BZ260" s="319"/>
      <c r="CA260" s="319"/>
      <c r="CB260" s="319"/>
      <c r="CC260" s="319"/>
      <c r="CD260" s="319"/>
      <c r="CE260" s="319"/>
      <c r="CF260" s="319"/>
      <c r="CG260" s="319"/>
      <c r="CH260" s="319"/>
      <c r="CI260" s="319"/>
      <c r="CJ260" s="319"/>
      <c r="CK260" s="319"/>
    </row>
    <row r="261" spans="1:89" ht="13.5" hidden="1" customHeight="1">
      <c r="A261" s="12"/>
      <c r="B261" s="1" t="str">
        <f>Language!C1798</f>
        <v>Profundidade máxima de descarga</v>
      </c>
      <c r="C261" s="29" t="str">
        <f>$C$254</f>
        <v>%</v>
      </c>
      <c r="D261" s="339"/>
      <c r="E261" s="1"/>
      <c r="F261" s="1"/>
      <c r="G261" s="1"/>
      <c r="H261" s="1"/>
      <c r="I261" s="1"/>
      <c r="J261" s="1"/>
      <c r="K261" s="9"/>
      <c r="L261" s="1"/>
      <c r="M261" s="319"/>
      <c r="N261" s="319">
        <v>5022008</v>
      </c>
      <c r="O261" s="319"/>
      <c r="P261" s="319"/>
      <c r="Q261" s="319"/>
      <c r="R261" s="319"/>
      <c r="S261" s="319"/>
      <c r="T261" s="319"/>
      <c r="U261" s="858">
        <f t="shared" si="22"/>
        <v>0</v>
      </c>
      <c r="V261" s="353">
        <f>U261*'Modelo Energético'!Q467*'Modelo Energético'!O467</f>
        <v>0</v>
      </c>
      <c r="W261" s="352" t="e">
        <f t="shared" si="23"/>
        <v>#DIV/0!</v>
      </c>
      <c r="X261" s="353">
        <f t="shared" si="24"/>
        <v>0</v>
      </c>
      <c r="Y261" s="353">
        <f t="shared" si="25"/>
        <v>0</v>
      </c>
      <c r="Z261" s="353">
        <f>Y261*'Modelo Energético'!O467*'Modelo Energético'!Q467</f>
        <v>0</v>
      </c>
      <c r="AA261" s="352"/>
      <c r="AB261" s="352"/>
      <c r="AC261" s="353">
        <f t="shared" si="26"/>
        <v>0</v>
      </c>
      <c r="AD261" s="353">
        <f>AC261*'Modelo Energético'!Q467*'Modelo Energético'!O467</f>
        <v>0</v>
      </c>
      <c r="AE261" s="353">
        <f t="shared" si="27"/>
        <v>0</v>
      </c>
      <c r="AF261" s="353">
        <f>AE261*'Modelo Energético'!Q467*'Modelo Energético'!O467</f>
        <v>0</v>
      </c>
      <c r="AG261" s="556"/>
      <c r="AH261" s="556"/>
      <c r="AI261" s="319"/>
      <c r="AJ261" s="319"/>
      <c r="AK261" s="319"/>
      <c r="AL261" s="319"/>
      <c r="AM261" s="319"/>
      <c r="AN261" s="319"/>
      <c r="AO261" s="319"/>
      <c r="AP261" s="319"/>
      <c r="AQ261" s="319"/>
      <c r="AR261" s="319"/>
      <c r="AS261" s="319"/>
      <c r="AT261" s="319"/>
      <c r="AU261" s="319"/>
      <c r="AV261" s="319"/>
      <c r="AW261" s="319"/>
      <c r="AX261" s="319"/>
      <c r="AY261" s="319"/>
      <c r="AZ261" s="319"/>
      <c r="BA261" s="319"/>
      <c r="BB261" s="319"/>
      <c r="BC261" s="319"/>
      <c r="BD261" s="319"/>
      <c r="BE261" s="319"/>
      <c r="BF261" s="319"/>
      <c r="BG261" s="319"/>
      <c r="BH261" s="319"/>
      <c r="BI261" s="319"/>
      <c r="BJ261" s="319"/>
      <c r="BK261" s="319"/>
      <c r="BL261" s="319"/>
      <c r="BM261" s="319"/>
      <c r="BN261" s="319"/>
      <c r="BO261" s="319"/>
      <c r="BP261" s="319"/>
      <c r="BQ261" s="319"/>
      <c r="BR261" s="319"/>
      <c r="BS261" s="319"/>
      <c r="BT261" s="319"/>
      <c r="BU261" s="319"/>
      <c r="BV261" s="319"/>
      <c r="BW261" s="319"/>
      <c r="BX261" s="319"/>
      <c r="BY261" s="319"/>
      <c r="BZ261" s="319"/>
      <c r="CA261" s="319"/>
      <c r="CB261" s="319"/>
      <c r="CC261" s="319"/>
      <c r="CD261" s="319"/>
      <c r="CE261" s="319"/>
      <c r="CF261" s="319"/>
      <c r="CG261" s="319"/>
      <c r="CH261" s="319"/>
      <c r="CI261" s="319"/>
      <c r="CJ261" s="319"/>
      <c r="CK261" s="319"/>
    </row>
    <row r="262" spans="1:89" ht="13.5" hidden="1" customHeight="1">
      <c r="A262" s="12"/>
      <c r="B262" s="1" t="str">
        <f>Language!C1525</f>
        <v>Eficiência do regulador de carga</v>
      </c>
      <c r="C262" s="29" t="str">
        <f>$C$254</f>
        <v>%</v>
      </c>
      <c r="D262" s="339"/>
      <c r="E262" s="1"/>
      <c r="F262" s="1"/>
      <c r="G262" s="1"/>
      <c r="H262" s="1"/>
      <c r="I262" s="1"/>
      <c r="J262" s="1"/>
      <c r="K262" s="9"/>
      <c r="L262" s="1"/>
      <c r="M262" s="319"/>
      <c r="N262" s="319">
        <v>5022010</v>
      </c>
      <c r="O262" s="319"/>
      <c r="P262" s="742">
        <f>IF(OR($D$258="",$D$258=0),1,D262)</f>
        <v>1</v>
      </c>
      <c r="Q262" s="319"/>
      <c r="R262" s="319"/>
      <c r="S262" s="319"/>
      <c r="T262" s="319"/>
      <c r="U262" s="859"/>
      <c r="V262" s="860">
        <f>IF(ISERROR(SUM(V250:V261)),0,SUM(V250:V261))</f>
        <v>0</v>
      </c>
      <c r="W262" s="861"/>
      <c r="X262" s="861"/>
      <c r="Y262" s="861"/>
      <c r="Z262" s="860">
        <f>SUM(Z250:Z261)</f>
        <v>0</v>
      </c>
      <c r="AA262" s="861"/>
      <c r="AB262" s="861"/>
      <c r="AC262" s="860"/>
      <c r="AD262" s="860">
        <f>SUM(AD250:AD261)</f>
        <v>0</v>
      </c>
      <c r="AE262" s="860"/>
      <c r="AF262" s="860">
        <f>SUM(AF250:AF261)</f>
        <v>0</v>
      </c>
      <c r="AG262" s="556"/>
      <c r="AH262" s="556"/>
      <c r="AI262" s="319"/>
      <c r="AJ262" s="319"/>
      <c r="AK262" s="319"/>
      <c r="AL262" s="319"/>
      <c r="AM262" s="319"/>
      <c r="AN262" s="319"/>
      <c r="AO262" s="319"/>
      <c r="AP262" s="319"/>
      <c r="AQ262" s="319"/>
      <c r="AR262" s="319"/>
      <c r="AS262" s="319"/>
      <c r="AT262" s="319"/>
      <c r="AU262" s="319"/>
      <c r="AV262" s="319"/>
      <c r="AW262" s="319"/>
      <c r="AX262" s="319"/>
      <c r="AY262" s="319"/>
      <c r="AZ262" s="319"/>
      <c r="BA262" s="319"/>
      <c r="BB262" s="319"/>
      <c r="BC262" s="319"/>
      <c r="BD262" s="319"/>
      <c r="BE262" s="319"/>
      <c r="BF262" s="319"/>
      <c r="BG262" s="319"/>
      <c r="BH262" s="319"/>
      <c r="BI262" s="319"/>
      <c r="BJ262" s="319"/>
      <c r="BK262" s="319"/>
      <c r="BL262" s="319"/>
      <c r="BM262" s="319"/>
      <c r="BN262" s="319"/>
      <c r="BO262" s="319"/>
      <c r="BP262" s="319"/>
      <c r="BQ262" s="319"/>
      <c r="BR262" s="319"/>
      <c r="BS262" s="319"/>
      <c r="BT262" s="319"/>
      <c r="BU262" s="319"/>
      <c r="BV262" s="319"/>
      <c r="BW262" s="319"/>
      <c r="BX262" s="319"/>
      <c r="BY262" s="319"/>
      <c r="BZ262" s="319"/>
      <c r="CA262" s="319"/>
      <c r="CB262" s="319"/>
      <c r="CC262" s="319"/>
      <c r="CD262" s="319"/>
      <c r="CE262" s="319"/>
      <c r="CF262" s="319"/>
      <c r="CG262" s="319"/>
      <c r="CH262" s="319"/>
      <c r="CI262" s="319"/>
      <c r="CJ262" s="319"/>
      <c r="CK262" s="319"/>
    </row>
    <row r="263" spans="1:89" ht="13.5" hidden="1" customHeight="1">
      <c r="A263" s="12"/>
      <c r="B263" s="1" t="str">
        <f>Language!C1502</f>
        <v>Método de controle de temperatura</v>
      </c>
      <c r="C263" s="1"/>
      <c r="D263" s="303" t="s">
        <v>7251</v>
      </c>
      <c r="E263" s="1"/>
      <c r="F263" s="1"/>
      <c r="G263" s="1"/>
      <c r="H263" s="1"/>
      <c r="I263" s="1"/>
      <c r="J263" s="1"/>
      <c r="K263" s="9"/>
      <c r="L263" s="1"/>
      <c r="M263" s="319"/>
      <c r="N263" s="319">
        <v>5022012</v>
      </c>
      <c r="O263" s="319"/>
      <c r="P263" s="319"/>
      <c r="Q263" s="319" t="s">
        <v>144</v>
      </c>
      <c r="R263" s="319"/>
      <c r="S263" s="319"/>
      <c r="T263" s="319"/>
      <c r="U263" s="319" t="s">
        <v>1066</v>
      </c>
      <c r="V263" s="319"/>
      <c r="W263" s="319"/>
      <c r="X263" s="319"/>
      <c r="Y263" s="319" t="s">
        <v>2047</v>
      </c>
      <c r="Z263" s="319"/>
      <c r="AA263" s="319"/>
      <c r="AB263" s="319"/>
      <c r="AC263" s="319"/>
      <c r="AD263" s="319"/>
      <c r="AE263" s="319"/>
      <c r="AF263" s="319"/>
      <c r="AG263" s="319"/>
      <c r="AH263" s="319"/>
      <c r="AI263" s="319"/>
      <c r="AJ263" s="319"/>
      <c r="AK263" s="319"/>
      <c r="AL263" s="319"/>
      <c r="AM263" s="319"/>
      <c r="AN263" s="319"/>
      <c r="AO263" s="319"/>
      <c r="AP263" s="319"/>
      <c r="AQ263" s="319"/>
      <c r="AR263" s="319"/>
      <c r="AS263" s="319"/>
      <c r="AT263" s="319"/>
      <c r="AU263" s="319"/>
      <c r="AV263" s="319"/>
      <c r="AW263" s="319"/>
      <c r="AX263" s="319"/>
      <c r="AY263" s="319"/>
      <c r="AZ263" s="319"/>
      <c r="BA263" s="319"/>
      <c r="BB263" s="319"/>
      <c r="BC263" s="319"/>
      <c r="BD263" s="319"/>
      <c r="BE263" s="319"/>
      <c r="BF263" s="319"/>
      <c r="BG263" s="319"/>
      <c r="BH263" s="319"/>
      <c r="BI263" s="319"/>
      <c r="BJ263" s="319"/>
      <c r="BK263" s="319"/>
      <c r="BL263" s="319"/>
      <c r="BM263" s="319"/>
      <c r="BN263" s="319"/>
      <c r="BO263" s="319"/>
      <c r="BP263" s="319"/>
      <c r="BQ263" s="319"/>
      <c r="BR263" s="319"/>
      <c r="BS263" s="319"/>
      <c r="BT263" s="319"/>
      <c r="BU263" s="319"/>
      <c r="BV263" s="319"/>
      <c r="BW263" s="319"/>
      <c r="BX263" s="319"/>
      <c r="BY263" s="319"/>
      <c r="BZ263" s="319"/>
      <c r="CA263" s="319"/>
      <c r="CB263" s="319"/>
      <c r="CC263" s="319"/>
      <c r="CD263" s="319"/>
      <c r="CE263" s="319"/>
      <c r="CF263" s="319"/>
      <c r="CG263" s="319"/>
      <c r="CH263" s="319"/>
      <c r="CI263" s="319"/>
      <c r="CJ263" s="319"/>
      <c r="CK263" s="319"/>
    </row>
    <row r="264" spans="1:89" ht="13.5" hidden="1" customHeight="1">
      <c r="A264" s="12"/>
      <c r="B264" s="335" t="str">
        <f>IF(M264&lt;&gt;2,Language!C1562,Language!C2585)</f>
        <v>Temperatura da bateria</v>
      </c>
      <c r="C264" s="303" t="s">
        <v>5568</v>
      </c>
      <c r="D264" s="382"/>
      <c r="E264" s="1"/>
      <c r="F264" s="1"/>
      <c r="G264" s="1"/>
      <c r="H264" s="1"/>
      <c r="I264" s="1"/>
      <c r="J264" s="1"/>
      <c r="K264" s="9"/>
      <c r="L264" s="1"/>
      <c r="M264" s="319">
        <f>IF(D263=R264,0,IF(D263=R265,1,2))</f>
        <v>0</v>
      </c>
      <c r="N264" s="319">
        <v>5022014</v>
      </c>
      <c r="O264" s="319"/>
      <c r="P264" s="319" t="s">
        <v>454</v>
      </c>
      <c r="Q264" s="319">
        <f>IF(C264=$C$1178,D264,(D264-32)/1.8)</f>
        <v>0</v>
      </c>
      <c r="R264" s="319" t="str">
        <f>Language!C1475</f>
        <v>Ambiente</v>
      </c>
      <c r="S264" s="319"/>
      <c r="T264" s="319"/>
      <c r="U264" s="319" t="s">
        <v>152</v>
      </c>
      <c r="V264" s="319" t="s">
        <v>1479</v>
      </c>
      <c r="W264" s="319" t="s">
        <v>3431</v>
      </c>
      <c r="X264" s="319" t="s">
        <v>4220</v>
      </c>
      <c r="Y264" s="319" t="s">
        <v>2816</v>
      </c>
      <c r="Z264" s="319" t="s">
        <v>4138</v>
      </c>
      <c r="AA264" s="319" t="s">
        <v>1542</v>
      </c>
      <c r="AB264" s="319" t="s">
        <v>5028</v>
      </c>
      <c r="AC264" s="319" t="s">
        <v>4476</v>
      </c>
      <c r="AD264" s="319" t="s">
        <v>3687</v>
      </c>
      <c r="AE264" s="319" t="s">
        <v>4848</v>
      </c>
      <c r="AF264" s="319"/>
      <c r="AG264" s="319"/>
      <c r="AH264" s="319"/>
      <c r="AI264" s="319"/>
      <c r="AJ264" s="319"/>
      <c r="AK264" s="319"/>
      <c r="AL264" s="319"/>
      <c r="AM264" s="319"/>
      <c r="AN264" s="319"/>
      <c r="AO264" s="319"/>
      <c r="AP264" s="319"/>
      <c r="AQ264" s="319"/>
      <c r="AR264" s="319"/>
      <c r="AS264" s="319"/>
      <c r="AT264" s="319"/>
      <c r="AU264" s="319"/>
      <c r="AV264" s="319"/>
      <c r="AW264" s="319"/>
      <c r="AX264" s="319"/>
      <c r="AY264" s="319"/>
      <c r="AZ264" s="319"/>
      <c r="BA264" s="319"/>
      <c r="BB264" s="319"/>
      <c r="BC264" s="319"/>
      <c r="BD264" s="319"/>
      <c r="BE264" s="319"/>
      <c r="BF264" s="319"/>
      <c r="BG264" s="319"/>
      <c r="BH264" s="319"/>
      <c r="BI264" s="319"/>
      <c r="BJ264" s="319"/>
      <c r="BK264" s="319"/>
      <c r="BL264" s="319"/>
      <c r="BM264" s="319"/>
      <c r="BN264" s="319"/>
      <c r="BO264" s="319"/>
      <c r="BP264" s="319"/>
      <c r="BQ264" s="319"/>
      <c r="BR264" s="319"/>
      <c r="BS264" s="319"/>
      <c r="BT264" s="319"/>
      <c r="BU264" s="319"/>
      <c r="BV264" s="319"/>
      <c r="BW264" s="319"/>
      <c r="BX264" s="319"/>
      <c r="BY264" s="319"/>
      <c r="BZ264" s="319"/>
      <c r="CA264" s="319"/>
      <c r="CB264" s="319"/>
      <c r="CC264" s="319"/>
      <c r="CD264" s="319"/>
      <c r="CE264" s="319"/>
      <c r="CF264" s="319"/>
      <c r="CG264" s="319"/>
      <c r="CH264" s="319"/>
      <c r="CI264" s="319"/>
      <c r="CJ264" s="319"/>
      <c r="CK264" s="319"/>
    </row>
    <row r="265" spans="1:89" ht="13.2" hidden="1">
      <c r="A265" s="12"/>
      <c r="B265" s="357" t="str">
        <f>Language!C2586</f>
        <v>Redução média de temperatura da bateria</v>
      </c>
      <c r="C265" s="29" t="str">
        <f>C262</f>
        <v>%</v>
      </c>
      <c r="D265" s="227">
        <f>W278</f>
        <v>1</v>
      </c>
      <c r="E265" s="1"/>
      <c r="F265" s="1"/>
      <c r="G265" s="1"/>
      <c r="H265" s="1"/>
      <c r="I265" s="1"/>
      <c r="J265" s="1"/>
      <c r="K265" s="9"/>
      <c r="L265" s="1"/>
      <c r="M265" s="319"/>
      <c r="N265" s="319">
        <v>5022016</v>
      </c>
      <c r="O265" s="319"/>
      <c r="P265" s="319"/>
      <c r="Q265" s="319"/>
      <c r="R265" s="319" t="str">
        <f>Language!C1559</f>
        <v>Constante</v>
      </c>
      <c r="S265" s="319"/>
      <c r="T265" s="319"/>
      <c r="U265" s="319">
        <f t="shared" ref="U265:U276" si="28">IF($M$264=0,R678,0)+IF($M$264=1,$Q$264,0)+IF($M$264=2,MAX($Q$264,R678),0)</f>
        <v>10</v>
      </c>
      <c r="V265" s="476">
        <f t="shared" ref="V265:V276" si="29">IF(OR($D$258=0,$D$258=""),0,MAX(bilinearinterp(LOG10(24*$D$258),U265,fBat)/100,0))</f>
        <v>0</v>
      </c>
      <c r="W265" s="476">
        <f t="shared" ref="W265:W276" si="30">(1-V265)*R230</f>
        <v>1</v>
      </c>
      <c r="X265" s="494">
        <f>IF(OR($D$258=0,$D$258=""),0,IF(R230&lt;&gt;0,1000*$AH$210*$D$258/$D$261/V265,0))</f>
        <v>0</v>
      </c>
      <c r="Y265" s="494">
        <f t="shared" ref="Y265:Y276" si="31">AN230*$P$260*$P$262</f>
        <v>10.23951488382569</v>
      </c>
      <c r="Z265" s="494">
        <f t="shared" ref="Z265:Z276" si="32">$AH$210-AL230-AM230</f>
        <v>0</v>
      </c>
      <c r="AA265" s="476">
        <f t="shared" ref="AA265:AA276" si="33">IF(Z265&gt;0,Y265/Z265,1)</f>
        <v>1</v>
      </c>
      <c r="AB265" s="476">
        <f t="shared" ref="AB265:AB276" si="34">$D$267*$D$259/1000*V265*$D$261</f>
        <v>0</v>
      </c>
      <c r="AC265" s="476">
        <f t="shared" ref="AC265:AC276" si="35">IF(Z265&gt;0,AB265/Z265,1)</f>
        <v>1</v>
      </c>
      <c r="AD265" s="476">
        <f t="shared" ref="AD265:AD276" si="36">MIN(MAX(bilinearinterp(AA265,AC265,fPV),0),1)</f>
        <v>0.86233333300000004</v>
      </c>
      <c r="AE265" s="494">
        <f>Z265*AD265*IF(AC265=0,0,1)</f>
        <v>0</v>
      </c>
      <c r="AF265" s="319"/>
      <c r="AG265" s="319"/>
      <c r="AH265" s="319"/>
      <c r="AI265" s="319"/>
      <c r="AJ265" s="319"/>
      <c r="AK265" s="319"/>
      <c r="AL265" s="319"/>
      <c r="AM265" s="319"/>
      <c r="AN265" s="319"/>
      <c r="AO265" s="319"/>
      <c r="AP265" s="319"/>
      <c r="AQ265" s="319"/>
      <c r="AR265" s="319"/>
      <c r="AS265" s="319"/>
      <c r="AT265" s="319"/>
      <c r="AU265" s="319"/>
      <c r="AV265" s="319"/>
      <c r="AW265" s="319"/>
      <c r="AX265" s="319"/>
      <c r="AY265" s="319"/>
      <c r="AZ265" s="319"/>
      <c r="BA265" s="319"/>
      <c r="BB265" s="319"/>
      <c r="BC265" s="319"/>
      <c r="BD265" s="319"/>
      <c r="BE265" s="319"/>
      <c r="BF265" s="319"/>
      <c r="BG265" s="319"/>
      <c r="BH265" s="319"/>
      <c r="BI265" s="319"/>
      <c r="BJ265" s="319"/>
      <c r="BK265" s="319"/>
      <c r="BL265" s="319"/>
      <c r="BM265" s="319"/>
      <c r="BN265" s="319"/>
      <c r="BO265" s="319"/>
      <c r="BP265" s="319"/>
      <c r="BQ265" s="319"/>
      <c r="BR265" s="319"/>
      <c r="BS265" s="319"/>
      <c r="BT265" s="319"/>
      <c r="BU265" s="319"/>
      <c r="BV265" s="319"/>
      <c r="BW265" s="319"/>
      <c r="BX265" s="319"/>
      <c r="BY265" s="319"/>
      <c r="BZ265" s="319"/>
      <c r="CA265" s="319"/>
      <c r="CB265" s="319"/>
      <c r="CC265" s="319"/>
      <c r="CD265" s="319"/>
      <c r="CE265" s="319"/>
      <c r="CF265" s="319"/>
      <c r="CG265" s="319"/>
      <c r="CH265" s="319"/>
      <c r="CI265" s="319"/>
      <c r="CJ265" s="319"/>
      <c r="CK265" s="319"/>
    </row>
    <row r="266" spans="1:89" ht="12.75" hidden="1" customHeight="1">
      <c r="A266" s="12"/>
      <c r="B266" s="357" t="str">
        <f>Language!C2587</f>
        <v>Fator de disparidade bateria/carga/recurso</v>
      </c>
      <c r="C266" s="29" t="str">
        <f>C262</f>
        <v>%</v>
      </c>
      <c r="D266" s="339"/>
      <c r="E266" s="1"/>
      <c r="F266" s="1"/>
      <c r="G266" s="1"/>
      <c r="H266" s="1"/>
      <c r="I266" s="1"/>
      <c r="J266" s="1"/>
      <c r="K266" s="9"/>
      <c r="L266" s="1"/>
      <c r="M266" s="319"/>
      <c r="N266" s="319">
        <v>5022017</v>
      </c>
      <c r="O266" s="319"/>
      <c r="P266" s="319"/>
      <c r="Q266" s="319"/>
      <c r="R266" s="319" t="str">
        <f>Language!C733</f>
        <v>Mínimo</v>
      </c>
      <c r="S266" s="319"/>
      <c r="T266" s="319"/>
      <c r="U266" s="319">
        <f t="shared" si="28"/>
        <v>11</v>
      </c>
      <c r="V266" s="476">
        <f t="shared" si="29"/>
        <v>0</v>
      </c>
      <c r="W266" s="476">
        <f t="shared" si="30"/>
        <v>1</v>
      </c>
      <c r="X266" s="494">
        <f t="shared" ref="X266:X276" si="37">IF(OR($D$258=0,$D$258=""),0,IF(R231&lt;&gt;0,1000*$AH$210*$D$258/$D$261/V266,0))</f>
        <v>0</v>
      </c>
      <c r="Y266" s="494">
        <f t="shared" si="31"/>
        <v>12.905391879686833</v>
      </c>
      <c r="Z266" s="494">
        <f t="shared" si="32"/>
        <v>0</v>
      </c>
      <c r="AA266" s="476">
        <f t="shared" si="33"/>
        <v>1</v>
      </c>
      <c r="AB266" s="476">
        <f t="shared" si="34"/>
        <v>0</v>
      </c>
      <c r="AC266" s="476">
        <f t="shared" si="35"/>
        <v>1</v>
      </c>
      <c r="AD266" s="476">
        <f t="shared" si="36"/>
        <v>0.86233333300000004</v>
      </c>
      <c r="AE266" s="494">
        <f t="shared" ref="AE266:AE276" si="38">Z266*AD266*IF(AC266=0,0,1)</f>
        <v>0</v>
      </c>
      <c r="AF266" s="319"/>
      <c r="AG266" s="319"/>
      <c r="AH266" s="319"/>
      <c r="AI266" s="319"/>
      <c r="AJ266" s="319"/>
      <c r="AK266" s="319"/>
      <c r="AL266" s="319"/>
      <c r="AM266" s="319"/>
      <c r="AN266" s="319"/>
      <c r="AO266" s="319"/>
      <c r="AP266" s="319"/>
      <c r="AQ266" s="319"/>
      <c r="AR266" s="319"/>
      <c r="AS266" s="319"/>
      <c r="AT266" s="319"/>
      <c r="AU266" s="319"/>
      <c r="AV266" s="319"/>
      <c r="AW266" s="319"/>
      <c r="AX266" s="319"/>
      <c r="AY266" s="319"/>
      <c r="AZ266" s="319"/>
      <c r="BA266" s="319"/>
      <c r="BB266" s="319"/>
      <c r="BC266" s="319"/>
      <c r="BD266" s="319"/>
      <c r="BE266" s="319"/>
      <c r="BF266" s="319"/>
      <c r="BG266" s="319"/>
      <c r="BH266" s="319"/>
      <c r="BI266" s="319"/>
      <c r="BJ266" s="319"/>
      <c r="BK266" s="319"/>
      <c r="BL266" s="319"/>
      <c r="BM266" s="319"/>
      <c r="BN266" s="319"/>
      <c r="BO266" s="319"/>
      <c r="BP266" s="319"/>
      <c r="BQ266" s="319"/>
      <c r="BR266" s="319"/>
      <c r="BS266" s="319"/>
      <c r="BT266" s="319"/>
      <c r="BU266" s="319"/>
      <c r="BV266" s="319"/>
      <c r="BW266" s="319"/>
      <c r="BX266" s="319"/>
      <c r="BY266" s="319"/>
      <c r="BZ266" s="319"/>
      <c r="CA266" s="319"/>
      <c r="CB266" s="319"/>
      <c r="CC266" s="319"/>
      <c r="CD266" s="319"/>
      <c r="CE266" s="319"/>
      <c r="CF266" s="319"/>
      <c r="CG266" s="319"/>
      <c r="CH266" s="319"/>
      <c r="CI266" s="319"/>
      <c r="CJ266" s="319"/>
      <c r="CK266" s="319"/>
    </row>
    <row r="267" spans="1:89" ht="13.5" hidden="1" customHeight="1">
      <c r="A267" s="12"/>
      <c r="B267" s="1" t="str">
        <f>B886</f>
        <v>Capacidade</v>
      </c>
      <c r="C267" s="29" t="str">
        <f>Language!C2192</f>
        <v>Ah</v>
      </c>
      <c r="D267" s="307"/>
      <c r="E267" s="30" t="e">
        <f>MAX(X265:X276)/D259</f>
        <v>#DIV/0!</v>
      </c>
      <c r="F267" s="1"/>
      <c r="G267" s="1"/>
      <c r="H267" s="1"/>
      <c r="I267" s="1"/>
      <c r="J267" s="1"/>
      <c r="K267" s="9"/>
      <c r="L267" s="1"/>
      <c r="M267" s="319"/>
      <c r="N267" s="319">
        <v>5022018</v>
      </c>
      <c r="O267" s="319"/>
      <c r="P267" s="319"/>
      <c r="Q267" s="319"/>
      <c r="R267" s="319"/>
      <c r="S267" s="319"/>
      <c r="T267" s="319"/>
      <c r="U267" s="319">
        <f t="shared" si="28"/>
        <v>12.5</v>
      </c>
      <c r="V267" s="476">
        <f t="shared" si="29"/>
        <v>0</v>
      </c>
      <c r="W267" s="476">
        <f t="shared" si="30"/>
        <v>1</v>
      </c>
      <c r="X267" s="494">
        <f t="shared" si="37"/>
        <v>0</v>
      </c>
      <c r="Y267" s="494">
        <f t="shared" si="31"/>
        <v>16.603403182245302</v>
      </c>
      <c r="Z267" s="494">
        <f t="shared" si="32"/>
        <v>0</v>
      </c>
      <c r="AA267" s="476">
        <f t="shared" si="33"/>
        <v>1</v>
      </c>
      <c r="AB267" s="476">
        <f t="shared" si="34"/>
        <v>0</v>
      </c>
      <c r="AC267" s="476">
        <f t="shared" si="35"/>
        <v>1</v>
      </c>
      <c r="AD267" s="476">
        <f t="shared" si="36"/>
        <v>0.86233333300000004</v>
      </c>
      <c r="AE267" s="494">
        <f t="shared" si="38"/>
        <v>0</v>
      </c>
      <c r="AF267" s="319"/>
      <c r="AG267" s="319"/>
      <c r="AH267" s="319"/>
      <c r="AI267" s="319"/>
      <c r="AJ267" s="319"/>
      <c r="AK267" s="319"/>
      <c r="AL267" s="319"/>
      <c r="AM267" s="319"/>
      <c r="AN267" s="319"/>
      <c r="AO267" s="319"/>
      <c r="AP267" s="319"/>
      <c r="AQ267" s="319"/>
      <c r="AR267" s="319"/>
      <c r="AS267" s="319"/>
      <c r="AT267" s="319"/>
      <c r="AU267" s="319"/>
      <c r="AV267" s="319"/>
      <c r="AW267" s="319"/>
      <c r="AX267" s="319"/>
      <c r="AY267" s="319"/>
      <c r="AZ267" s="319"/>
      <c r="BA267" s="319"/>
      <c r="BB267" s="319"/>
      <c r="BC267" s="319"/>
      <c r="BD267" s="319"/>
      <c r="BE267" s="319"/>
      <c r="BF267" s="319"/>
      <c r="BG267" s="319"/>
      <c r="BH267" s="319"/>
      <c r="BI267" s="319"/>
      <c r="BJ267" s="319"/>
      <c r="BK267" s="319"/>
      <c r="BL267" s="319"/>
      <c r="BM267" s="319"/>
      <c r="BN267" s="319"/>
      <c r="BO267" s="319"/>
      <c r="BP267" s="319"/>
      <c r="BQ267" s="319"/>
      <c r="BR267" s="319"/>
      <c r="BS267" s="319"/>
      <c r="BT267" s="319"/>
      <c r="BU267" s="319"/>
      <c r="BV267" s="319"/>
      <c r="BW267" s="319"/>
      <c r="BX267" s="319"/>
      <c r="BY267" s="319"/>
      <c r="BZ267" s="319"/>
      <c r="CA267" s="319"/>
      <c r="CB267" s="319"/>
      <c r="CC267" s="319"/>
      <c r="CD267" s="319"/>
      <c r="CE267" s="319"/>
      <c r="CF267" s="319"/>
      <c r="CG267" s="319"/>
      <c r="CH267" s="319"/>
      <c r="CI267" s="319"/>
      <c r="CJ267" s="319"/>
      <c r="CK267" s="319"/>
    </row>
    <row r="268" spans="1:89" ht="13.5" hidden="1" customHeight="1">
      <c r="A268" s="12"/>
      <c r="B268" s="329" t="str">
        <f>B257</f>
        <v>Bateria</v>
      </c>
      <c r="C268" s="29" t="str">
        <f>$C$222</f>
        <v>kWh</v>
      </c>
      <c r="D268" s="30">
        <f>D267*D259/1000</f>
        <v>0</v>
      </c>
      <c r="E268" s="329"/>
      <c r="F268" s="1"/>
      <c r="G268" s="1346"/>
      <c r="H268" s="1"/>
      <c r="I268" s="1"/>
      <c r="J268" s="1"/>
      <c r="K268" s="9"/>
      <c r="L268" s="1"/>
      <c r="M268" s="319"/>
      <c r="N268" s="319">
        <v>5022019</v>
      </c>
      <c r="O268" s="319"/>
      <c r="P268" s="319"/>
      <c r="Q268" s="319"/>
      <c r="R268" s="319"/>
      <c r="S268" s="319"/>
      <c r="T268" s="319"/>
      <c r="U268" s="319">
        <f t="shared" si="28"/>
        <v>14</v>
      </c>
      <c r="V268" s="476">
        <f t="shared" si="29"/>
        <v>0</v>
      </c>
      <c r="W268" s="476">
        <f t="shared" si="30"/>
        <v>1</v>
      </c>
      <c r="X268" s="494">
        <f t="shared" si="37"/>
        <v>0</v>
      </c>
      <c r="Y268" s="494">
        <f t="shared" si="31"/>
        <v>17.733550493490565</v>
      </c>
      <c r="Z268" s="494">
        <f t="shared" si="32"/>
        <v>0</v>
      </c>
      <c r="AA268" s="476">
        <f t="shared" si="33"/>
        <v>1</v>
      </c>
      <c r="AB268" s="476">
        <f t="shared" si="34"/>
        <v>0</v>
      </c>
      <c r="AC268" s="476">
        <f t="shared" si="35"/>
        <v>1</v>
      </c>
      <c r="AD268" s="476">
        <f t="shared" si="36"/>
        <v>0.86233333300000004</v>
      </c>
      <c r="AE268" s="494">
        <f t="shared" si="38"/>
        <v>0</v>
      </c>
      <c r="AF268" s="319"/>
      <c r="AG268" s="319"/>
      <c r="AH268" s="319"/>
      <c r="AI268" s="319"/>
      <c r="AJ268" s="319"/>
      <c r="AK268" s="319"/>
      <c r="AL268" s="319"/>
      <c r="AM268" s="319"/>
      <c r="AN268" s="319"/>
      <c r="AO268" s="319"/>
      <c r="AP268" s="319"/>
      <c r="AQ268" s="319"/>
      <c r="AR268" s="319"/>
      <c r="AS268" s="319"/>
      <c r="AT268" s="319"/>
      <c r="AU268" s="319"/>
      <c r="AV268" s="319"/>
      <c r="AW268" s="319"/>
      <c r="AX268" s="319"/>
      <c r="AY268" s="319"/>
      <c r="AZ268" s="319"/>
      <c r="BA268" s="319"/>
      <c r="BB268" s="319"/>
      <c r="BC268" s="319"/>
      <c r="BD268" s="319"/>
      <c r="BE268" s="319"/>
      <c r="BF268" s="319"/>
      <c r="BG268" s="319"/>
      <c r="BH268" s="319"/>
      <c r="BI268" s="319"/>
      <c r="BJ268" s="319"/>
      <c r="BK268" s="319"/>
      <c r="BL268" s="319"/>
      <c r="BM268" s="319"/>
      <c r="BN268" s="319"/>
      <c r="BO268" s="319"/>
      <c r="BP268" s="319"/>
      <c r="BQ268" s="319"/>
      <c r="BR268" s="319"/>
      <c r="BS268" s="319"/>
      <c r="BT268" s="319"/>
      <c r="BU268" s="319"/>
      <c r="BV268" s="319"/>
      <c r="BW268" s="319"/>
      <c r="BX268" s="319"/>
      <c r="BY268" s="319"/>
      <c r="BZ268" s="319"/>
      <c r="CA268" s="319"/>
      <c r="CB268" s="319"/>
      <c r="CC268" s="319"/>
      <c r="CD268" s="319"/>
      <c r="CE268" s="319"/>
      <c r="CF268" s="319"/>
      <c r="CG268" s="319"/>
      <c r="CH268" s="319"/>
      <c r="CI268" s="319"/>
      <c r="CJ268" s="319"/>
      <c r="CK268" s="319"/>
    </row>
    <row r="269" spans="1:89" ht="13.5" hidden="1" customHeight="1">
      <c r="A269" s="12"/>
      <c r="B269" s="329"/>
      <c r="C269" s="29"/>
      <c r="D269" s="30"/>
      <c r="E269" s="329"/>
      <c r="F269" s="1"/>
      <c r="G269" s="52"/>
      <c r="H269" s="1"/>
      <c r="I269" s="1"/>
      <c r="J269" s="1"/>
      <c r="K269" s="9"/>
      <c r="L269" s="1"/>
      <c r="M269" s="319"/>
      <c r="N269" s="319">
        <v>5022000</v>
      </c>
      <c r="O269" s="319"/>
      <c r="P269" s="319"/>
      <c r="Q269" s="319"/>
      <c r="R269" s="319"/>
      <c r="S269" s="319"/>
      <c r="T269" s="319"/>
      <c r="U269" s="319">
        <f t="shared" si="28"/>
        <v>16.399999999999999</v>
      </c>
      <c r="V269" s="476">
        <f t="shared" si="29"/>
        <v>0</v>
      </c>
      <c r="W269" s="476">
        <f t="shared" si="30"/>
        <v>1</v>
      </c>
      <c r="X269" s="494">
        <f t="shared" si="37"/>
        <v>0</v>
      </c>
      <c r="Y269" s="494">
        <f t="shared" si="31"/>
        <v>17.699646203094723</v>
      </c>
      <c r="Z269" s="494">
        <f t="shared" si="32"/>
        <v>0</v>
      </c>
      <c r="AA269" s="476">
        <f t="shared" si="33"/>
        <v>1</v>
      </c>
      <c r="AB269" s="476">
        <f t="shared" si="34"/>
        <v>0</v>
      </c>
      <c r="AC269" s="476">
        <f t="shared" si="35"/>
        <v>1</v>
      </c>
      <c r="AD269" s="476">
        <f t="shared" si="36"/>
        <v>0.86233333300000004</v>
      </c>
      <c r="AE269" s="494">
        <f t="shared" si="38"/>
        <v>0</v>
      </c>
      <c r="AF269" s="319"/>
      <c r="AG269" s="319"/>
      <c r="AH269" s="319"/>
      <c r="AI269" s="319"/>
      <c r="AJ269" s="319"/>
      <c r="AK269" s="319"/>
      <c r="AL269" s="319"/>
      <c r="AM269" s="319"/>
      <c r="AN269" s="319"/>
      <c r="AO269" s="319"/>
      <c r="AP269" s="319"/>
      <c r="AQ269" s="319"/>
      <c r="AR269" s="319"/>
      <c r="AS269" s="319"/>
      <c r="AT269" s="319"/>
      <c r="AU269" s="319"/>
      <c r="AV269" s="319"/>
      <c r="AW269" s="319"/>
      <c r="AX269" s="319"/>
      <c r="AY269" s="319"/>
      <c r="AZ269" s="319"/>
      <c r="BA269" s="319"/>
      <c r="BB269" s="319"/>
      <c r="BC269" s="319"/>
      <c r="BD269" s="319"/>
      <c r="BE269" s="319"/>
      <c r="BF269" s="319"/>
      <c r="BG269" s="319"/>
      <c r="BH269" s="319"/>
      <c r="BI269" s="319"/>
      <c r="BJ269" s="319"/>
      <c r="BK269" s="319"/>
      <c r="BL269" s="319"/>
      <c r="BM269" s="319"/>
      <c r="BN269" s="319"/>
      <c r="BO269" s="319"/>
      <c r="BP269" s="319"/>
      <c r="BQ269" s="319"/>
      <c r="BR269" s="319"/>
      <c r="BS269" s="319"/>
      <c r="BT269" s="319"/>
      <c r="BU269" s="319"/>
      <c r="BV269" s="319"/>
      <c r="BW269" s="319"/>
      <c r="BX269" s="319"/>
      <c r="BY269" s="319"/>
      <c r="BZ269" s="319"/>
      <c r="CA269" s="319"/>
      <c r="CB269" s="319"/>
      <c r="CC269" s="319"/>
      <c r="CD269" s="319"/>
      <c r="CE269" s="319"/>
      <c r="CF269" s="319"/>
      <c r="CG269" s="319"/>
      <c r="CH269" s="319"/>
      <c r="CI269" s="319"/>
      <c r="CJ269" s="319"/>
      <c r="CK269" s="319"/>
    </row>
    <row r="270" spans="1:89" ht="13.5" hidden="1" customHeight="1">
      <c r="A270" s="12"/>
      <c r="B270" s="791" t="str">
        <f>B194</f>
        <v>Tecnologia</v>
      </c>
      <c r="C270" s="329"/>
      <c r="D270" s="798" t="str">
        <f>Set_T2</f>
        <v>Fotovoltaica</v>
      </c>
      <c r="E270" s="329"/>
      <c r="F270" s="1"/>
      <c r="G270" s="1"/>
      <c r="H270" s="1"/>
      <c r="I270" s="1"/>
      <c r="J270" s="1"/>
      <c r="K270" s="9"/>
      <c r="L270" s="1"/>
      <c r="M270" s="319"/>
      <c r="N270" s="319">
        <v>5022020</v>
      </c>
      <c r="O270" s="319"/>
      <c r="P270" s="319"/>
      <c r="Q270" s="319"/>
      <c r="R270" s="319"/>
      <c r="S270" s="319"/>
      <c r="T270" s="319"/>
      <c r="U270" s="319">
        <f t="shared" si="28"/>
        <v>19.600000000000001</v>
      </c>
      <c r="V270" s="476">
        <f t="shared" si="29"/>
        <v>0</v>
      </c>
      <c r="W270" s="476">
        <f t="shared" si="30"/>
        <v>1</v>
      </c>
      <c r="X270" s="494">
        <f t="shared" si="37"/>
        <v>0</v>
      </c>
      <c r="Y270" s="494">
        <f t="shared" si="31"/>
        <v>17.71801430741835</v>
      </c>
      <c r="Z270" s="494">
        <f t="shared" si="32"/>
        <v>0</v>
      </c>
      <c r="AA270" s="476">
        <f t="shared" si="33"/>
        <v>1</v>
      </c>
      <c r="AB270" s="476">
        <f t="shared" si="34"/>
        <v>0</v>
      </c>
      <c r="AC270" s="476">
        <f t="shared" si="35"/>
        <v>1</v>
      </c>
      <c r="AD270" s="476">
        <f t="shared" si="36"/>
        <v>0.86233333300000004</v>
      </c>
      <c r="AE270" s="494">
        <f t="shared" si="38"/>
        <v>0</v>
      </c>
      <c r="AF270" s="319"/>
      <c r="AG270" s="319"/>
      <c r="AH270" s="319"/>
      <c r="AI270" s="319"/>
      <c r="AJ270" s="319"/>
      <c r="AK270" s="319"/>
      <c r="AL270" s="319"/>
      <c r="AM270" s="319"/>
      <c r="AN270" s="319"/>
      <c r="AO270" s="319"/>
      <c r="AP270" s="319"/>
      <c r="AQ270" s="319"/>
      <c r="AR270" s="319"/>
      <c r="AS270" s="319"/>
      <c r="AT270" s="319"/>
      <c r="AU270" s="319"/>
      <c r="AV270" s="319"/>
      <c r="AW270" s="319"/>
      <c r="AX270" s="319"/>
      <c r="AY270" s="319"/>
      <c r="AZ270" s="319"/>
      <c r="BA270" s="319"/>
      <c r="BB270" s="319"/>
      <c r="BC270" s="319"/>
      <c r="BD270" s="319"/>
      <c r="BE270" s="319"/>
      <c r="BF270" s="319"/>
      <c r="BG270" s="319"/>
      <c r="BH270" s="319"/>
      <c r="BI270" s="319"/>
      <c r="BJ270" s="319"/>
      <c r="BK270" s="319"/>
      <c r="BL270" s="319"/>
      <c r="BM270" s="319"/>
      <c r="BN270" s="319"/>
      <c r="BO270" s="319"/>
      <c r="BP270" s="319"/>
      <c r="BQ270" s="319"/>
      <c r="BR270" s="319"/>
      <c r="BS270" s="319"/>
      <c r="BT270" s="319"/>
      <c r="BU270" s="319"/>
      <c r="BV270" s="319"/>
      <c r="BW270" s="319"/>
      <c r="BX270" s="319"/>
      <c r="BY270" s="319"/>
      <c r="BZ270" s="319"/>
      <c r="CA270" s="319"/>
      <c r="CB270" s="319"/>
      <c r="CC270" s="319"/>
      <c r="CD270" s="319"/>
      <c r="CE270" s="319"/>
      <c r="CF270" s="319"/>
      <c r="CG270" s="319"/>
      <c r="CH270" s="319"/>
      <c r="CI270" s="319"/>
      <c r="CJ270" s="319"/>
      <c r="CK270" s="319"/>
    </row>
    <row r="271" spans="1:89" ht="13.5" hidden="1" customHeight="1">
      <c r="A271" s="12"/>
      <c r="B271" s="329"/>
      <c r="C271" s="329"/>
      <c r="D271" s="329"/>
      <c r="E271" s="329"/>
      <c r="F271" s="1"/>
      <c r="G271" s="1"/>
      <c r="H271" s="1"/>
      <c r="I271" s="1"/>
      <c r="J271" s="1"/>
      <c r="K271" s="9"/>
      <c r="L271" s="1"/>
      <c r="M271" s="3" t="b">
        <v>1</v>
      </c>
      <c r="N271" s="319">
        <v>5020000</v>
      </c>
      <c r="O271" s="319"/>
      <c r="P271" s="319"/>
      <c r="Q271" s="319"/>
      <c r="R271" s="319"/>
      <c r="S271" s="319"/>
      <c r="T271" s="319"/>
      <c r="U271" s="319">
        <f t="shared" si="28"/>
        <v>21.799999999999997</v>
      </c>
      <c r="V271" s="476">
        <f t="shared" si="29"/>
        <v>0</v>
      </c>
      <c r="W271" s="476">
        <f t="shared" si="30"/>
        <v>1</v>
      </c>
      <c r="X271" s="494">
        <f t="shared" si="37"/>
        <v>0</v>
      </c>
      <c r="Y271" s="494">
        <f t="shared" si="31"/>
        <v>18.827627038594272</v>
      </c>
      <c r="Z271" s="494">
        <f t="shared" si="32"/>
        <v>0</v>
      </c>
      <c r="AA271" s="476">
        <f t="shared" si="33"/>
        <v>1</v>
      </c>
      <c r="AB271" s="476">
        <f t="shared" si="34"/>
        <v>0</v>
      </c>
      <c r="AC271" s="476">
        <f t="shared" si="35"/>
        <v>1</v>
      </c>
      <c r="AD271" s="476">
        <f t="shared" si="36"/>
        <v>0.86233333300000004</v>
      </c>
      <c r="AE271" s="494">
        <f t="shared" si="38"/>
        <v>0</v>
      </c>
      <c r="AF271" s="319"/>
      <c r="AG271" s="319"/>
      <c r="AH271" s="319"/>
      <c r="AI271" s="319"/>
      <c r="AJ271" s="319"/>
      <c r="AK271" s="319"/>
      <c r="AL271" s="319"/>
      <c r="AM271" s="319"/>
      <c r="AN271" s="319"/>
      <c r="AO271" s="319"/>
      <c r="AP271" s="319"/>
      <c r="AQ271" s="319"/>
      <c r="AR271" s="319"/>
      <c r="AS271" s="319"/>
      <c r="AT271" s="319"/>
      <c r="AU271" s="319"/>
      <c r="AV271" s="319"/>
      <c r="AW271" s="319"/>
      <c r="AX271" s="319"/>
      <c r="AY271" s="319"/>
      <c r="AZ271" s="319"/>
      <c r="BA271" s="319"/>
      <c r="BB271" s="319"/>
      <c r="BC271" s="319"/>
      <c r="BD271" s="319"/>
      <c r="BE271" s="319"/>
      <c r="BF271" s="319"/>
      <c r="BG271" s="319"/>
      <c r="BH271" s="319"/>
      <c r="BI271" s="319"/>
      <c r="BJ271" s="319"/>
      <c r="BK271" s="319"/>
      <c r="BL271" s="319"/>
      <c r="BM271" s="319"/>
      <c r="BN271" s="319"/>
      <c r="BO271" s="319"/>
      <c r="BP271" s="319"/>
      <c r="BQ271" s="319"/>
      <c r="BR271" s="319"/>
      <c r="BS271" s="319"/>
      <c r="BT271" s="319"/>
      <c r="BU271" s="319"/>
      <c r="BV271" s="319"/>
      <c r="BW271" s="319"/>
      <c r="BX271" s="319"/>
      <c r="BY271" s="319"/>
      <c r="BZ271" s="319"/>
      <c r="CA271" s="319"/>
      <c r="CB271" s="319"/>
      <c r="CC271" s="319"/>
      <c r="CD271" s="319"/>
      <c r="CE271" s="319"/>
      <c r="CF271" s="319"/>
      <c r="CG271" s="319"/>
      <c r="CH271" s="319"/>
      <c r="CI271" s="319"/>
      <c r="CJ271" s="319"/>
      <c r="CK271" s="319"/>
    </row>
    <row r="272" spans="1:89" ht="13.5" hidden="1" customHeight="1">
      <c r="A272" s="12"/>
      <c r="B272" s="791" t="str">
        <f>Language!C510</f>
        <v>Avaliação de recursos</v>
      </c>
      <c r="C272" s="329"/>
      <c r="D272" s="329"/>
      <c r="E272" s="329"/>
      <c r="F272" s="1"/>
      <c r="G272" s="1"/>
      <c r="H272" s="1"/>
      <c r="I272" s="1"/>
      <c r="J272" s="1"/>
      <c r="K272" s="9"/>
      <c r="L272" s="1"/>
      <c r="M272" s="319"/>
      <c r="N272" s="319">
        <v>5030002</v>
      </c>
      <c r="O272" s="319"/>
      <c r="P272" s="319"/>
      <c r="Q272" s="319"/>
      <c r="R272" s="319"/>
      <c r="S272" s="319"/>
      <c r="T272" s="319"/>
      <c r="U272" s="319">
        <f t="shared" si="28"/>
        <v>21.799999999999997</v>
      </c>
      <c r="V272" s="476">
        <f t="shared" si="29"/>
        <v>0</v>
      </c>
      <c r="W272" s="476">
        <f t="shared" si="30"/>
        <v>1</v>
      </c>
      <c r="X272" s="494">
        <f t="shared" si="37"/>
        <v>0</v>
      </c>
      <c r="Y272" s="494">
        <f t="shared" si="31"/>
        <v>18.718451828128028</v>
      </c>
      <c r="Z272" s="494">
        <f t="shared" si="32"/>
        <v>0</v>
      </c>
      <c r="AA272" s="476">
        <f t="shared" si="33"/>
        <v>1</v>
      </c>
      <c r="AB272" s="476">
        <f t="shared" si="34"/>
        <v>0</v>
      </c>
      <c r="AC272" s="476">
        <f t="shared" si="35"/>
        <v>1</v>
      </c>
      <c r="AD272" s="476">
        <f t="shared" si="36"/>
        <v>0.86233333300000004</v>
      </c>
      <c r="AE272" s="494">
        <f t="shared" si="38"/>
        <v>0</v>
      </c>
      <c r="AF272" s="319"/>
      <c r="AG272" s="319"/>
      <c r="AH272" s="319"/>
      <c r="AI272" s="319"/>
      <c r="AJ272" s="319"/>
      <c r="AK272" s="319"/>
      <c r="AL272" s="319"/>
      <c r="AM272" s="319"/>
      <c r="AN272" s="319"/>
      <c r="AO272" s="319"/>
      <c r="AP272" s="319"/>
      <c r="AQ272" s="319"/>
      <c r="AR272" s="319"/>
      <c r="AS272" s="319"/>
      <c r="AT272" s="319"/>
      <c r="AU272" s="319"/>
      <c r="AV272" s="319"/>
      <c r="AW272" s="319"/>
      <c r="AX272" s="319"/>
      <c r="AY272" s="319"/>
      <c r="AZ272" s="319"/>
      <c r="BA272" s="319"/>
      <c r="BB272" s="319"/>
      <c r="BC272" s="319"/>
      <c r="BD272" s="319"/>
      <c r="BE272" s="319"/>
      <c r="BF272" s="319"/>
      <c r="BG272" s="319"/>
      <c r="BH272" s="319"/>
      <c r="BI272" s="319"/>
      <c r="BJ272" s="319"/>
      <c r="BK272" s="319"/>
      <c r="BL272" s="319"/>
      <c r="BM272" s="319"/>
      <c r="BN272" s="319"/>
      <c r="BO272" s="319"/>
      <c r="BP272" s="319"/>
      <c r="BQ272" s="319"/>
      <c r="BR272" s="319"/>
      <c r="BS272" s="319"/>
      <c r="BT272" s="319"/>
      <c r="BU272" s="319"/>
      <c r="BV272" s="319"/>
      <c r="BW272" s="319"/>
      <c r="BX272" s="319"/>
      <c r="BY272" s="319"/>
      <c r="BZ272" s="319"/>
      <c r="CA272" s="319"/>
      <c r="CB272" s="319"/>
      <c r="CC272" s="319"/>
      <c r="CD272" s="319"/>
      <c r="CE272" s="319"/>
      <c r="CF272" s="319"/>
      <c r="CG272" s="319"/>
      <c r="CH272" s="319"/>
      <c r="CI272" s="319"/>
      <c r="CJ272" s="319"/>
      <c r="CK272" s="319"/>
    </row>
    <row r="273" spans="1:89" ht="13.5" hidden="1" customHeight="1">
      <c r="A273" s="12"/>
      <c r="B273" s="1" t="str">
        <f>Language!C2037</f>
        <v>Sistema de posicionamento solar</v>
      </c>
      <c r="C273" s="29"/>
      <c r="D273" s="303" t="s">
        <v>7361</v>
      </c>
      <c r="E273" s="329"/>
      <c r="F273" s="1"/>
      <c r="G273" s="1"/>
      <c r="H273" s="1"/>
      <c r="I273" s="1"/>
      <c r="J273" s="1"/>
      <c r="K273" s="9"/>
      <c r="L273" s="1"/>
      <c r="M273" s="319">
        <f>EM_PV_track</f>
        <v>0</v>
      </c>
      <c r="N273" s="319">
        <v>2121002</v>
      </c>
      <c r="O273" s="319"/>
      <c r="P273" s="319"/>
      <c r="Q273" s="319"/>
      <c r="R273" s="319"/>
      <c r="S273" s="319"/>
      <c r="T273" s="319"/>
      <c r="U273" s="319">
        <f t="shared" si="28"/>
        <v>20.799999999999997</v>
      </c>
      <c r="V273" s="476">
        <f t="shared" si="29"/>
        <v>0</v>
      </c>
      <c r="W273" s="476">
        <f t="shared" si="30"/>
        <v>1</v>
      </c>
      <c r="X273" s="494">
        <f t="shared" si="37"/>
        <v>0</v>
      </c>
      <c r="Y273" s="494">
        <f t="shared" si="31"/>
        <v>16.142593164549119</v>
      </c>
      <c r="Z273" s="494">
        <f t="shared" si="32"/>
        <v>0</v>
      </c>
      <c r="AA273" s="476">
        <f t="shared" si="33"/>
        <v>1</v>
      </c>
      <c r="AB273" s="476">
        <f t="shared" si="34"/>
        <v>0</v>
      </c>
      <c r="AC273" s="476">
        <f t="shared" si="35"/>
        <v>1</v>
      </c>
      <c r="AD273" s="476">
        <f t="shared" si="36"/>
        <v>0.86233333300000004</v>
      </c>
      <c r="AE273" s="494">
        <f t="shared" si="38"/>
        <v>0</v>
      </c>
      <c r="AF273" s="319"/>
      <c r="AG273" s="319"/>
      <c r="AH273" s="319"/>
      <c r="AI273" s="319"/>
      <c r="AJ273" s="319"/>
      <c r="AK273" s="319"/>
      <c r="AL273" s="319"/>
      <c r="AM273" s="319"/>
      <c r="AN273" s="319"/>
      <c r="AO273" s="319"/>
      <c r="AP273" s="319"/>
      <c r="AQ273" s="319"/>
      <c r="AR273" s="319"/>
      <c r="AS273" s="319"/>
      <c r="AT273" s="319"/>
      <c r="AU273" s="319"/>
      <c r="AV273" s="319"/>
      <c r="AW273" s="319"/>
      <c r="AX273" s="319"/>
      <c r="AY273" s="319"/>
      <c r="AZ273" s="319"/>
      <c r="BA273" s="319"/>
      <c r="BB273" s="319"/>
      <c r="BC273" s="319"/>
      <c r="BD273" s="319"/>
      <c r="BE273" s="319"/>
      <c r="BF273" s="319"/>
      <c r="BG273" s="319"/>
      <c r="BH273" s="319"/>
      <c r="BI273" s="319"/>
      <c r="BJ273" s="319"/>
      <c r="BK273" s="319"/>
      <c r="BL273" s="319"/>
      <c r="BM273" s="319"/>
      <c r="BN273" s="319"/>
      <c r="BO273" s="319"/>
      <c r="BP273" s="319"/>
      <c r="BQ273" s="319"/>
      <c r="BR273" s="319"/>
      <c r="BS273" s="319"/>
      <c r="BT273" s="319"/>
      <c r="BU273" s="319"/>
      <c r="BV273" s="319"/>
      <c r="BW273" s="319"/>
      <c r="BX273" s="319"/>
      <c r="BY273" s="319"/>
      <c r="BZ273" s="319"/>
      <c r="CA273" s="319"/>
      <c r="CB273" s="319"/>
      <c r="CC273" s="319"/>
      <c r="CD273" s="319"/>
      <c r="CE273" s="319"/>
      <c r="CF273" s="319"/>
      <c r="CG273" s="319"/>
      <c r="CH273" s="319"/>
      <c r="CI273" s="319"/>
      <c r="CJ273" s="319"/>
      <c r="CK273" s="319"/>
    </row>
    <row r="274" spans="1:89" ht="13.5" hidden="1" customHeight="1">
      <c r="A274" s="12"/>
      <c r="B274" s="1" t="str">
        <f>Language!C1976</f>
        <v>Inclinação</v>
      </c>
      <c r="C274" s="29" t="str">
        <f>Language!C2171</f>
        <v>˚</v>
      </c>
      <c r="D274" s="382"/>
      <c r="E274" s="329"/>
      <c r="F274" s="1"/>
      <c r="G274" s="1"/>
      <c r="H274" s="1"/>
      <c r="I274" s="1"/>
      <c r="J274" s="1"/>
      <c r="K274" s="9"/>
      <c r="L274" s="1"/>
      <c r="M274" s="319"/>
      <c r="N274" s="319">
        <v>2121004</v>
      </c>
      <c r="O274" s="319"/>
      <c r="P274" s="319"/>
      <c r="Q274" s="319"/>
      <c r="R274" s="319"/>
      <c r="S274" s="319"/>
      <c r="T274" s="319"/>
      <c r="U274" s="319">
        <f t="shared" si="28"/>
        <v>17.399999999999999</v>
      </c>
      <c r="V274" s="476">
        <f t="shared" si="29"/>
        <v>0</v>
      </c>
      <c r="W274" s="476">
        <f t="shared" si="30"/>
        <v>1</v>
      </c>
      <c r="X274" s="494">
        <f t="shared" si="37"/>
        <v>0</v>
      </c>
      <c r="Y274" s="494">
        <f t="shared" si="31"/>
        <v>14.558374471187635</v>
      </c>
      <c r="Z274" s="494">
        <f t="shared" si="32"/>
        <v>0</v>
      </c>
      <c r="AA274" s="476">
        <f t="shared" si="33"/>
        <v>1</v>
      </c>
      <c r="AB274" s="476">
        <f t="shared" si="34"/>
        <v>0</v>
      </c>
      <c r="AC274" s="476">
        <f t="shared" si="35"/>
        <v>1</v>
      </c>
      <c r="AD274" s="476">
        <f t="shared" si="36"/>
        <v>0.86233333300000004</v>
      </c>
      <c r="AE274" s="494">
        <f t="shared" si="38"/>
        <v>0</v>
      </c>
      <c r="AF274" s="319"/>
      <c r="AG274" s="319"/>
      <c r="AH274" s="319"/>
      <c r="AI274" s="319"/>
      <c r="AJ274" s="319"/>
      <c r="AK274" s="319"/>
      <c r="AL274" s="319"/>
      <c r="AM274" s="319"/>
      <c r="AN274" s="319"/>
      <c r="AO274" s="319"/>
      <c r="AP274" s="319"/>
      <c r="AQ274" s="319"/>
      <c r="AR274" s="319"/>
      <c r="AS274" s="319"/>
      <c r="AT274" s="319"/>
      <c r="AU274" s="319"/>
      <c r="AV274" s="319"/>
      <c r="AW274" s="319"/>
      <c r="AX274" s="319"/>
      <c r="AY274" s="319"/>
      <c r="AZ274" s="319"/>
      <c r="BA274" s="319"/>
      <c r="BB274" s="319"/>
      <c r="BC274" s="319"/>
      <c r="BD274" s="319"/>
      <c r="BE274" s="319"/>
      <c r="BF274" s="319"/>
      <c r="BG274" s="319"/>
      <c r="BH274" s="319"/>
      <c r="BI274" s="319"/>
      <c r="BJ274" s="319"/>
      <c r="BK274" s="319"/>
      <c r="BL274" s="319"/>
      <c r="BM274" s="319"/>
      <c r="BN274" s="319"/>
      <c r="BO274" s="319"/>
      <c r="BP274" s="319"/>
      <c r="BQ274" s="319"/>
      <c r="BR274" s="319"/>
      <c r="BS274" s="319"/>
      <c r="BT274" s="319"/>
      <c r="BU274" s="319"/>
      <c r="BV274" s="319"/>
      <c r="BW274" s="319"/>
      <c r="BX274" s="319"/>
      <c r="BY274" s="319"/>
      <c r="BZ274" s="319"/>
      <c r="CA274" s="319"/>
      <c r="CB274" s="319"/>
      <c r="CC274" s="319"/>
      <c r="CD274" s="319"/>
      <c r="CE274" s="319"/>
      <c r="CF274" s="319"/>
      <c r="CG274" s="319"/>
      <c r="CH274" s="319"/>
      <c r="CI274" s="319"/>
      <c r="CJ274" s="319"/>
      <c r="CK274" s="319"/>
    </row>
    <row r="275" spans="1:89" ht="13.5" hidden="1" customHeight="1">
      <c r="A275" s="12"/>
      <c r="B275" s="1" t="str">
        <f>Language!C1496</f>
        <v>Azimut</v>
      </c>
      <c r="C275" s="29" t="str">
        <f>C274</f>
        <v>˚</v>
      </c>
      <c r="D275" s="382"/>
      <c r="E275" s="1"/>
      <c r="F275" s="1"/>
      <c r="G275" s="1"/>
      <c r="H275" s="1"/>
      <c r="I275" s="1"/>
      <c r="J275" s="1"/>
      <c r="K275" s="9"/>
      <c r="L275" s="1"/>
      <c r="M275" s="319"/>
      <c r="N275" s="319">
        <v>2121006</v>
      </c>
      <c r="O275" s="319"/>
      <c r="P275" s="319"/>
      <c r="Q275" s="319"/>
      <c r="R275" s="319"/>
      <c r="S275" s="319"/>
      <c r="T275" s="319"/>
      <c r="U275" s="319">
        <f t="shared" si="28"/>
        <v>13</v>
      </c>
      <c r="V275" s="476">
        <f t="shared" si="29"/>
        <v>0</v>
      </c>
      <c r="W275" s="476">
        <f t="shared" si="30"/>
        <v>1</v>
      </c>
      <c r="X275" s="494">
        <f t="shared" si="37"/>
        <v>0</v>
      </c>
      <c r="Y275" s="494">
        <f t="shared" si="31"/>
        <v>12.493805633770972</v>
      </c>
      <c r="Z275" s="494">
        <f t="shared" si="32"/>
        <v>0</v>
      </c>
      <c r="AA275" s="476">
        <f t="shared" si="33"/>
        <v>1</v>
      </c>
      <c r="AB275" s="476">
        <f t="shared" si="34"/>
        <v>0</v>
      </c>
      <c r="AC275" s="476">
        <f t="shared" si="35"/>
        <v>1</v>
      </c>
      <c r="AD275" s="476">
        <f t="shared" si="36"/>
        <v>0.86233333300000004</v>
      </c>
      <c r="AE275" s="494">
        <f t="shared" si="38"/>
        <v>0</v>
      </c>
      <c r="AF275" s="319"/>
      <c r="AG275" s="319"/>
      <c r="AH275" s="319"/>
      <c r="AI275" s="319"/>
      <c r="AJ275" s="319"/>
      <c r="AK275" s="319"/>
      <c r="AL275" s="319"/>
      <c r="AM275" s="319"/>
      <c r="AN275" s="319"/>
      <c r="AO275" s="319"/>
      <c r="AP275" s="319"/>
      <c r="AQ275" s="319"/>
      <c r="AR275" s="319"/>
      <c r="AS275" s="319"/>
      <c r="AT275" s="319"/>
      <c r="AU275" s="319"/>
      <c r="AV275" s="319"/>
      <c r="AW275" s="319"/>
      <c r="AX275" s="319"/>
      <c r="AY275" s="319"/>
      <c r="AZ275" s="319"/>
      <c r="BA275" s="319"/>
      <c r="BB275" s="319"/>
      <c r="BC275" s="319"/>
      <c r="BD275" s="319"/>
      <c r="BE275" s="319"/>
      <c r="BF275" s="319"/>
      <c r="BG275" s="319"/>
      <c r="BH275" s="319"/>
      <c r="BI275" s="319"/>
      <c r="BJ275" s="319"/>
      <c r="BK275" s="319"/>
      <c r="BL275" s="319"/>
      <c r="BM275" s="319"/>
      <c r="BN275" s="319"/>
      <c r="BO275" s="319"/>
      <c r="BP275" s="319"/>
      <c r="BQ275" s="319"/>
      <c r="BR275" s="319"/>
      <c r="BS275" s="319"/>
      <c r="BT275" s="319"/>
      <c r="BU275" s="319"/>
      <c r="BV275" s="319"/>
      <c r="BW275" s="319"/>
      <c r="BX275" s="319"/>
      <c r="BY275" s="319"/>
      <c r="BZ275" s="319"/>
      <c r="CA275" s="319"/>
      <c r="CB275" s="319"/>
      <c r="CC275" s="319"/>
      <c r="CD275" s="319"/>
      <c r="CE275" s="319"/>
      <c r="CF275" s="319"/>
      <c r="CG275" s="319"/>
      <c r="CH275" s="319"/>
      <c r="CI275" s="319"/>
      <c r="CJ275" s="319"/>
      <c r="CK275" s="319"/>
    </row>
    <row r="276" spans="1:89" ht="13.5" hidden="1" customHeight="1">
      <c r="A276" s="12"/>
      <c r="B276" s="329"/>
      <c r="C276" s="329"/>
      <c r="D276" s="329"/>
      <c r="E276" s="1"/>
      <c r="F276" s="1"/>
      <c r="G276" s="1"/>
      <c r="H276" s="1"/>
      <c r="I276" s="1"/>
      <c r="J276" s="1"/>
      <c r="K276" s="9"/>
      <c r="L276" s="1"/>
      <c r="M276" s="319"/>
      <c r="N276" s="319">
        <v>5030000</v>
      </c>
      <c r="O276" s="319"/>
      <c r="P276" s="319"/>
      <c r="Q276" s="319"/>
      <c r="R276" s="319"/>
      <c r="S276" s="319"/>
      <c r="T276" s="319"/>
      <c r="U276" s="319">
        <f t="shared" si="28"/>
        <v>10.399999999999999</v>
      </c>
      <c r="V276" s="476">
        <f t="shared" si="29"/>
        <v>0</v>
      </c>
      <c r="W276" s="476">
        <f t="shared" si="30"/>
        <v>1</v>
      </c>
      <c r="X276" s="494">
        <f t="shared" si="37"/>
        <v>0</v>
      </c>
      <c r="Y276" s="494">
        <f t="shared" si="31"/>
        <v>12.709253252590647</v>
      </c>
      <c r="Z276" s="494">
        <f t="shared" si="32"/>
        <v>0</v>
      </c>
      <c r="AA276" s="476">
        <f t="shared" si="33"/>
        <v>1</v>
      </c>
      <c r="AB276" s="476">
        <f t="shared" si="34"/>
        <v>0</v>
      </c>
      <c r="AC276" s="476">
        <f t="shared" si="35"/>
        <v>1</v>
      </c>
      <c r="AD276" s="476">
        <f t="shared" si="36"/>
        <v>0.86233333300000004</v>
      </c>
      <c r="AE276" s="494">
        <f t="shared" si="38"/>
        <v>0</v>
      </c>
      <c r="AF276" s="319"/>
      <c r="AG276" s="319"/>
      <c r="AH276" s="319"/>
      <c r="AI276" s="319"/>
      <c r="AJ276" s="319"/>
      <c r="AK276" s="319"/>
      <c r="AL276" s="319"/>
      <c r="AM276" s="319"/>
      <c r="AN276" s="319"/>
      <c r="AO276" s="319"/>
      <c r="AP276" s="319"/>
      <c r="AQ276" s="319"/>
      <c r="AR276" s="319"/>
      <c r="AS276" s="319"/>
      <c r="AT276" s="319"/>
      <c r="AU276" s="319"/>
      <c r="AV276" s="319"/>
      <c r="AW276" s="319"/>
      <c r="AX276" s="319"/>
      <c r="AY276" s="319"/>
      <c r="AZ276" s="319"/>
      <c r="BA276" s="319"/>
      <c r="BB276" s="319"/>
      <c r="BC276" s="319"/>
      <c r="BD276" s="319"/>
      <c r="BE276" s="319"/>
      <c r="BF276" s="319"/>
      <c r="BG276" s="319"/>
      <c r="BH276" s="319"/>
      <c r="BI276" s="319"/>
      <c r="BJ276" s="319"/>
      <c r="BK276" s="319"/>
      <c r="BL276" s="319"/>
      <c r="BM276" s="319"/>
      <c r="BN276" s="319"/>
      <c r="BO276" s="319"/>
      <c r="BP276" s="319"/>
      <c r="BQ276" s="319"/>
      <c r="BR276" s="319"/>
      <c r="BS276" s="319"/>
      <c r="BT276" s="319"/>
      <c r="BU276" s="319"/>
      <c r="BV276" s="319"/>
      <c r="BW276" s="319"/>
      <c r="BX276" s="319"/>
      <c r="BY276" s="319"/>
      <c r="BZ276" s="319"/>
      <c r="CA276" s="319"/>
      <c r="CB276" s="319"/>
      <c r="CC276" s="319"/>
      <c r="CD276" s="319"/>
      <c r="CE276" s="319"/>
      <c r="CF276" s="319"/>
      <c r="CG276" s="319"/>
      <c r="CH276" s="319"/>
      <c r="CI276" s="319"/>
      <c r="CJ276" s="319"/>
      <c r="CK276" s="319"/>
    </row>
    <row r="277" spans="1:89" ht="12.75" hidden="1" customHeight="1">
      <c r="A277" s="1009" t="s">
        <v>4190</v>
      </c>
      <c r="B277" s="265" t="str">
        <f>$G$384</f>
        <v>Mostrar dado</v>
      </c>
      <c r="C277" s="1"/>
      <c r="D277" s="1"/>
      <c r="E277" s="1"/>
      <c r="F277" s="329"/>
      <c r="G277" s="329"/>
      <c r="H277" s="329"/>
      <c r="I277" s="329"/>
      <c r="J277" s="1"/>
      <c r="K277" s="9"/>
      <c r="L277" s="1"/>
      <c r="M277" s="3" t="b">
        <v>1</v>
      </c>
      <c r="N277" s="319" t="b">
        <v>1</v>
      </c>
      <c r="O277" s="319"/>
      <c r="P277" s="319"/>
      <c r="Q277" s="319"/>
      <c r="R277" s="319"/>
      <c r="S277" s="319"/>
      <c r="T277" s="319"/>
      <c r="U277" s="319"/>
      <c r="V277" s="319"/>
      <c r="W277" s="319"/>
      <c r="X277" s="319"/>
      <c r="Y277" s="319"/>
      <c r="Z277" s="319"/>
      <c r="AA277" s="319"/>
      <c r="AB277" s="319"/>
      <c r="AC277" s="319"/>
      <c r="AD277" s="319"/>
      <c r="AE277" s="319"/>
      <c r="AF277" s="319"/>
      <c r="AG277" s="319"/>
      <c r="AH277" s="319"/>
      <c r="AI277" s="319"/>
      <c r="AJ277" s="319"/>
      <c r="AK277" s="319"/>
      <c r="AL277" s="319"/>
      <c r="AM277" s="319"/>
      <c r="AN277" s="319"/>
      <c r="AO277" s="319"/>
      <c r="AP277" s="319"/>
      <c r="AQ277" s="319"/>
      <c r="AR277" s="319"/>
      <c r="AS277" s="319"/>
      <c r="AT277" s="319"/>
      <c r="AU277" s="319"/>
      <c r="AV277" s="319"/>
      <c r="AW277" s="319"/>
      <c r="AX277" s="319"/>
      <c r="AY277" s="319"/>
      <c r="AZ277" s="319"/>
      <c r="BA277" s="319"/>
      <c r="BB277" s="319"/>
      <c r="BC277" s="319"/>
      <c r="BD277" s="319"/>
      <c r="BE277" s="319"/>
      <c r="BF277" s="319"/>
      <c r="BG277" s="319"/>
      <c r="BH277" s="319"/>
      <c r="BI277" s="319"/>
      <c r="BJ277" s="319"/>
      <c r="BK277" s="319"/>
      <c r="BL277" s="319"/>
      <c r="BM277" s="319"/>
      <c r="BN277" s="319"/>
      <c r="BO277" s="319"/>
      <c r="BP277" s="319"/>
      <c r="BQ277" s="319"/>
      <c r="BR277" s="319"/>
      <c r="BS277" s="319"/>
      <c r="BT277" s="319"/>
      <c r="BU277" s="319"/>
      <c r="BV277" s="319"/>
      <c r="BW277" s="319"/>
      <c r="BX277" s="319"/>
      <c r="BY277" s="319"/>
      <c r="BZ277" s="319"/>
      <c r="CA277" s="319"/>
      <c r="CB277" s="319"/>
      <c r="CC277" s="319"/>
      <c r="CD277" s="319"/>
      <c r="CE277" s="319"/>
      <c r="CF277" s="319"/>
      <c r="CG277" s="319"/>
      <c r="CH277" s="319"/>
      <c r="CI277" s="319"/>
      <c r="CJ277" s="319"/>
      <c r="CK277" s="319"/>
    </row>
    <row r="278" spans="1:89" ht="38.25" hidden="1" customHeight="1">
      <c r="A278" s="12"/>
      <c r="B278" s="329"/>
      <c r="C278" s="333"/>
      <c r="D278" s="82" t="str">
        <f>Language!C1146</f>
        <v>Radiação solar diária - horizontal</v>
      </c>
      <c r="E278" s="82" t="str">
        <f>Language!C1578</f>
        <v>Radiação solar diária - inclinada</v>
      </c>
      <c r="F278" s="82" t="str">
        <f>B500</f>
        <v>Eletricidade fornecida à carga</v>
      </c>
      <c r="G278" s="329"/>
      <c r="H278" s="329"/>
      <c r="I278" s="329"/>
      <c r="J278" s="1"/>
      <c r="K278" s="9"/>
      <c r="L278" s="1"/>
      <c r="M278" s="319"/>
      <c r="N278" s="319">
        <v>5030010</v>
      </c>
      <c r="O278" s="319"/>
      <c r="P278" s="319"/>
      <c r="Q278" s="319"/>
      <c r="R278" s="319"/>
      <c r="S278" s="319"/>
      <c r="T278" s="319"/>
      <c r="U278" s="319"/>
      <c r="V278" s="319"/>
      <c r="W278" s="476">
        <f>SUM(W265:W276)/R242</f>
        <v>1</v>
      </c>
      <c r="X278" s="319"/>
      <c r="Y278" s="319"/>
      <c r="Z278" s="319"/>
      <c r="AA278" s="319"/>
      <c r="AB278" s="319"/>
      <c r="AC278" s="319"/>
      <c r="AD278" s="319"/>
      <c r="AE278" s="319"/>
      <c r="AF278" s="319"/>
      <c r="AG278" s="319"/>
      <c r="AH278" s="319"/>
      <c r="AI278" s="319"/>
      <c r="AJ278" s="319"/>
      <c r="AK278" s="319"/>
      <c r="AL278" s="319"/>
      <c r="AM278" s="319"/>
      <c r="AN278" s="319"/>
      <c r="AO278" s="319"/>
      <c r="AP278" s="319"/>
      <c r="AQ278" s="319"/>
      <c r="AR278" s="319"/>
      <c r="AS278" s="319"/>
      <c r="AT278" s="319"/>
      <c r="AU278" s="319"/>
      <c r="AV278" s="319"/>
      <c r="AW278" s="319"/>
      <c r="AX278" s="319"/>
      <c r="AY278" s="319"/>
      <c r="AZ278" s="319"/>
      <c r="BA278" s="319"/>
      <c r="BB278" s="319"/>
      <c r="BC278" s="319"/>
      <c r="BD278" s="319"/>
      <c r="BE278" s="319"/>
      <c r="BF278" s="319"/>
      <c r="BG278" s="319"/>
      <c r="BH278" s="319"/>
      <c r="BI278" s="319"/>
      <c r="BJ278" s="319"/>
      <c r="BK278" s="319"/>
      <c r="BL278" s="319"/>
      <c r="BM278" s="319"/>
      <c r="BN278" s="319"/>
      <c r="BO278" s="319"/>
      <c r="BP278" s="319"/>
      <c r="BQ278" s="319"/>
      <c r="BR278" s="319"/>
      <c r="BS278" s="319"/>
      <c r="BT278" s="319"/>
      <c r="BU278" s="319"/>
      <c r="BV278" s="319"/>
      <c r="BW278" s="319"/>
      <c r="BX278" s="319"/>
      <c r="BY278" s="319"/>
      <c r="BZ278" s="319"/>
      <c r="CA278" s="319"/>
      <c r="CB278" s="319"/>
      <c r="CC278" s="319"/>
      <c r="CD278" s="319"/>
      <c r="CE278" s="319"/>
      <c r="CF278" s="319"/>
      <c r="CG278" s="319"/>
      <c r="CH278" s="319"/>
      <c r="CI278" s="319"/>
      <c r="CJ278" s="319"/>
      <c r="CK278" s="319"/>
    </row>
    <row r="279" spans="1:89" ht="13.5" hidden="1" customHeight="1">
      <c r="A279" s="12"/>
      <c r="B279" s="329"/>
      <c r="C279" s="105" t="str">
        <f t="shared" ref="C279:C291" si="39">C740</f>
        <v>Mês</v>
      </c>
      <c r="D279" s="82" t="str">
        <f>Language!C2221</f>
        <v>kWh/m²/d</v>
      </c>
      <c r="E279" s="82" t="str">
        <f>D279</f>
        <v>kWh/m²/d</v>
      </c>
      <c r="F279" s="82" t="str">
        <f>J1184</f>
        <v>MWh</v>
      </c>
      <c r="G279" s="329"/>
      <c r="H279" s="329"/>
      <c r="I279" s="329"/>
      <c r="J279" s="1"/>
      <c r="K279" s="9"/>
      <c r="L279" s="1"/>
      <c r="M279" s="319"/>
      <c r="N279" s="319">
        <v>5030010</v>
      </c>
      <c r="O279" s="319"/>
      <c r="P279" s="319"/>
      <c r="Q279" s="319"/>
      <c r="R279" s="319"/>
      <c r="S279" s="319"/>
      <c r="T279" s="319"/>
      <c r="U279" s="319" t="s">
        <v>4580</v>
      </c>
      <c r="V279" s="319"/>
      <c r="W279" s="319"/>
      <c r="X279" s="319"/>
      <c r="Y279" s="319"/>
      <c r="Z279" s="319"/>
      <c r="AA279" s="319"/>
      <c r="AB279" s="319"/>
      <c r="AC279" s="319"/>
      <c r="AD279" s="319"/>
      <c r="AE279" s="319"/>
      <c r="AF279" s="319"/>
      <c r="AG279" s="319"/>
      <c r="AH279" s="319"/>
      <c r="AI279" s="319"/>
      <c r="AJ279" s="319"/>
      <c r="AK279" s="319"/>
      <c r="AL279" s="319"/>
      <c r="AM279" s="319"/>
      <c r="AN279" s="319"/>
      <c r="AO279" s="319"/>
      <c r="AP279" s="319"/>
      <c r="AQ279" s="319"/>
      <c r="AR279" s="319"/>
      <c r="AS279" s="319"/>
      <c r="AT279" s="319"/>
      <c r="AU279" s="319"/>
      <c r="AV279" s="319"/>
      <c r="AW279" s="319"/>
      <c r="AX279" s="319"/>
      <c r="AY279" s="319"/>
      <c r="AZ279" s="319"/>
      <c r="BA279" s="319"/>
      <c r="BB279" s="319"/>
      <c r="BC279" s="319"/>
      <c r="BD279" s="319"/>
      <c r="BE279" s="319"/>
      <c r="BF279" s="319"/>
      <c r="BG279" s="319"/>
      <c r="BH279" s="319"/>
      <c r="BI279" s="319"/>
      <c r="BJ279" s="319"/>
      <c r="BK279" s="319"/>
      <c r="BL279" s="319"/>
      <c r="BM279" s="319"/>
      <c r="BN279" s="319"/>
      <c r="BO279" s="319"/>
      <c r="BP279" s="319"/>
      <c r="BQ279" s="319"/>
      <c r="BR279" s="319"/>
      <c r="BS279" s="319"/>
      <c r="BT279" s="319"/>
      <c r="BU279" s="319"/>
      <c r="BV279" s="319"/>
      <c r="BW279" s="319"/>
      <c r="BX279" s="319"/>
      <c r="BY279" s="319"/>
      <c r="BZ279" s="319"/>
      <c r="CA279" s="319"/>
      <c r="CB279" s="319"/>
      <c r="CC279" s="319"/>
      <c r="CD279" s="319"/>
      <c r="CE279" s="319"/>
      <c r="CF279" s="319"/>
      <c r="CG279" s="319"/>
      <c r="CH279" s="319"/>
      <c r="CI279" s="319"/>
      <c r="CJ279" s="319"/>
      <c r="CK279" s="319"/>
    </row>
    <row r="280" spans="1:89" ht="13.5" hidden="1" customHeight="1">
      <c r="A280" s="12"/>
      <c r="B280" s="329"/>
      <c r="C280" s="79" t="str">
        <f t="shared" si="39"/>
        <v>Janeiro</v>
      </c>
      <c r="D280" s="100">
        <f>'Modelo Energético'!D456</f>
        <v>1.98</v>
      </c>
      <c r="E280" s="100">
        <f>'Modelo Energético'!E456</f>
        <v>3.2076698140079567</v>
      </c>
      <c r="F280" s="100">
        <f>V250/1000</f>
        <v>0</v>
      </c>
      <c r="G280" s="329"/>
      <c r="H280" s="329"/>
      <c r="I280" s="329"/>
      <c r="J280" s="1"/>
      <c r="K280" s="9"/>
      <c r="L280" s="1"/>
      <c r="M280" s="319"/>
      <c r="N280" s="319">
        <v>5030010</v>
      </c>
      <c r="O280" s="319"/>
      <c r="P280" s="319"/>
      <c r="Q280" s="319"/>
      <c r="R280" s="319"/>
      <c r="S280" s="319"/>
      <c r="T280" s="319"/>
      <c r="U280" s="319" t="s">
        <v>5630</v>
      </c>
      <c r="V280" s="319"/>
      <c r="W280" s="319"/>
      <c r="X280" s="319"/>
      <c r="Y280" s="319"/>
      <c r="Z280" s="319"/>
      <c r="AA280" s="319"/>
      <c r="AB280" s="319"/>
      <c r="AC280" s="319"/>
      <c r="AD280" s="319"/>
      <c r="AE280" s="319"/>
      <c r="AF280" s="319"/>
      <c r="AG280" s="319"/>
      <c r="AH280" s="319"/>
      <c r="AI280" s="319"/>
      <c r="AJ280" s="319"/>
      <c r="AK280" s="319"/>
      <c r="AL280" s="319"/>
      <c r="AM280" s="319"/>
      <c r="AN280" s="319"/>
      <c r="AO280" s="319"/>
      <c r="AP280" s="319"/>
      <c r="AQ280" s="319"/>
      <c r="AR280" s="319"/>
      <c r="AS280" s="319"/>
      <c r="AT280" s="319"/>
      <c r="AU280" s="319"/>
      <c r="AV280" s="319"/>
      <c r="AW280" s="319"/>
      <c r="AX280" s="319"/>
      <c r="AY280" s="319"/>
      <c r="AZ280" s="319"/>
      <c r="BA280" s="319"/>
      <c r="BB280" s="319"/>
      <c r="BC280" s="319"/>
      <c r="BD280" s="319"/>
      <c r="BE280" s="319"/>
      <c r="BF280" s="319"/>
      <c r="BG280" s="319"/>
      <c r="BH280" s="319"/>
      <c r="BI280" s="319"/>
      <c r="BJ280" s="319"/>
      <c r="BK280" s="319"/>
      <c r="BL280" s="319"/>
      <c r="BM280" s="319"/>
      <c r="BN280" s="319"/>
      <c r="BO280" s="319"/>
      <c r="BP280" s="319"/>
      <c r="BQ280" s="319"/>
      <c r="BR280" s="319"/>
      <c r="BS280" s="319"/>
      <c r="BT280" s="319"/>
      <c r="BU280" s="319"/>
      <c r="BV280" s="319"/>
      <c r="BW280" s="319"/>
      <c r="BX280" s="319"/>
      <c r="BY280" s="319"/>
      <c r="BZ280" s="319"/>
      <c r="CA280" s="319"/>
      <c r="CB280" s="319"/>
      <c r="CC280" s="319"/>
      <c r="CD280" s="319"/>
      <c r="CE280" s="319"/>
      <c r="CF280" s="319"/>
      <c r="CG280" s="319"/>
      <c r="CH280" s="319"/>
      <c r="CI280" s="319"/>
      <c r="CJ280" s="319"/>
      <c r="CK280" s="319"/>
    </row>
    <row r="281" spans="1:89" ht="13.5" hidden="1" customHeight="1">
      <c r="A281" s="12"/>
      <c r="B281" s="329"/>
      <c r="C281" s="79" t="str">
        <f t="shared" si="39"/>
        <v>Fevereiro</v>
      </c>
      <c r="D281" s="100">
        <f>'Modelo Energético'!D457</f>
        <v>2.9</v>
      </c>
      <c r="E281" s="100">
        <f>'Modelo Energético'!E457</f>
        <v>4.0883522542219382</v>
      </c>
      <c r="F281" s="100">
        <f t="shared" ref="F281:F291" si="40">V251/1000</f>
        <v>0</v>
      </c>
      <c r="G281" s="329"/>
      <c r="H281" s="329"/>
      <c r="I281" s="329"/>
      <c r="J281" s="1"/>
      <c r="K281" s="9"/>
      <c r="L281" s="1"/>
      <c r="M281" s="319"/>
      <c r="N281" s="319">
        <v>5030010</v>
      </c>
      <c r="O281" s="319"/>
      <c r="P281" s="319"/>
      <c r="Q281" s="319"/>
      <c r="R281" s="319"/>
      <c r="S281" s="319"/>
      <c r="T281" s="319"/>
      <c r="U281" s="319"/>
      <c r="V281" s="319"/>
      <c r="W281" s="319"/>
      <c r="X281" s="319"/>
      <c r="Y281" s="319"/>
      <c r="Z281" s="319"/>
      <c r="AA281" s="319"/>
      <c r="AB281" s="319"/>
      <c r="AC281" s="319"/>
      <c r="AD281" s="319"/>
      <c r="AE281" s="319"/>
      <c r="AF281" s="319"/>
      <c r="AG281" s="319"/>
      <c r="AH281" s="319"/>
      <c r="AI281" s="319"/>
      <c r="AJ281" s="319"/>
      <c r="AK281" s="319"/>
      <c r="AL281" s="319"/>
      <c r="AM281" s="319"/>
      <c r="AN281" s="319"/>
      <c r="AO281" s="319"/>
      <c r="AP281" s="319"/>
      <c r="AQ281" s="319"/>
      <c r="AR281" s="319"/>
      <c r="AS281" s="319"/>
      <c r="AT281" s="319"/>
      <c r="AU281" s="319"/>
      <c r="AV281" s="319"/>
      <c r="AW281" s="319"/>
      <c r="AX281" s="319"/>
      <c r="AY281" s="319"/>
      <c r="AZ281" s="319"/>
      <c r="BA281" s="319"/>
      <c r="BB281" s="319"/>
      <c r="BC281" s="319"/>
      <c r="BD281" s="319"/>
      <c r="BE281" s="319"/>
      <c r="BF281" s="319"/>
      <c r="BG281" s="319"/>
      <c r="BH281" s="319"/>
      <c r="BI281" s="319"/>
      <c r="BJ281" s="319"/>
      <c r="BK281" s="319"/>
      <c r="BL281" s="319"/>
      <c r="BM281" s="319"/>
      <c r="BN281" s="319"/>
      <c r="BO281" s="319"/>
      <c r="BP281" s="319"/>
      <c r="BQ281" s="319"/>
      <c r="BR281" s="319"/>
      <c r="BS281" s="319"/>
      <c r="BT281" s="319"/>
      <c r="BU281" s="319"/>
      <c r="BV281" s="319"/>
      <c r="BW281" s="319"/>
      <c r="BX281" s="319"/>
      <c r="BY281" s="319"/>
      <c r="BZ281" s="319"/>
      <c r="CA281" s="319"/>
      <c r="CB281" s="319"/>
      <c r="CC281" s="319"/>
      <c r="CD281" s="319"/>
      <c r="CE281" s="319"/>
      <c r="CF281" s="319"/>
      <c r="CG281" s="319"/>
      <c r="CH281" s="319"/>
      <c r="CI281" s="319"/>
      <c r="CJ281" s="319"/>
      <c r="CK281" s="319"/>
    </row>
    <row r="282" spans="1:89" ht="13.5" hidden="1" customHeight="1">
      <c r="A282" s="12"/>
      <c r="B282" s="329"/>
      <c r="C282" s="79" t="str">
        <f t="shared" si="39"/>
        <v>Março</v>
      </c>
      <c r="D282" s="100">
        <f>'Modelo Energético'!D458</f>
        <v>4.38</v>
      </c>
      <c r="E282" s="100">
        <f>'Modelo Energético'!E458</f>
        <v>5.3435081223210839</v>
      </c>
      <c r="F282" s="100">
        <f t="shared" si="40"/>
        <v>0</v>
      </c>
      <c r="G282" s="329"/>
      <c r="H282" s="329"/>
      <c r="I282" s="329"/>
      <c r="J282" s="1"/>
      <c r="K282" s="9"/>
      <c r="L282" s="1"/>
      <c r="M282" s="319"/>
      <c r="N282" s="319">
        <v>5030010</v>
      </c>
      <c r="O282" s="319"/>
      <c r="P282" s="319"/>
      <c r="Q282" s="319"/>
      <c r="R282" s="319"/>
      <c r="S282" s="319"/>
      <c r="T282" s="319" t="s">
        <v>5569</v>
      </c>
      <c r="U282" s="319"/>
      <c r="V282" s="319"/>
      <c r="W282" s="319" t="s">
        <v>4849</v>
      </c>
      <c r="X282" s="319"/>
      <c r="Y282" s="319"/>
      <c r="Z282" s="319"/>
      <c r="AA282" s="319"/>
      <c r="AB282" s="319"/>
      <c r="AC282" s="319"/>
      <c r="AD282" s="319"/>
      <c r="AE282" s="319"/>
      <c r="AF282" s="319"/>
      <c r="AG282" s="319"/>
      <c r="AH282" s="319"/>
      <c r="AI282" s="319"/>
      <c r="AJ282" s="319"/>
      <c r="AK282" s="319"/>
      <c r="AL282" s="319"/>
      <c r="AM282" s="319"/>
      <c r="AN282" s="319"/>
      <c r="AO282" s="319"/>
      <c r="AP282" s="319"/>
      <c r="AQ282" s="319"/>
      <c r="AR282" s="319"/>
      <c r="AS282" s="319"/>
      <c r="AT282" s="319"/>
      <c r="AU282" s="319"/>
      <c r="AV282" s="319"/>
      <c r="AW282" s="319"/>
      <c r="AX282" s="319"/>
      <c r="AY282" s="319"/>
      <c r="AZ282" s="319"/>
      <c r="BA282" s="319"/>
      <c r="BB282" s="319"/>
      <c r="BC282" s="319"/>
      <c r="BD282" s="319"/>
      <c r="BE282" s="319"/>
      <c r="BF282" s="319"/>
      <c r="BG282" s="319"/>
      <c r="BH282" s="319"/>
      <c r="BI282" s="319"/>
      <c r="BJ282" s="319"/>
      <c r="BK282" s="319"/>
      <c r="BL282" s="319"/>
      <c r="BM282" s="319"/>
      <c r="BN282" s="319"/>
      <c r="BO282" s="319"/>
      <c r="BP282" s="319"/>
      <c r="BQ282" s="319"/>
      <c r="BR282" s="319"/>
      <c r="BS282" s="319"/>
      <c r="BT282" s="319"/>
      <c r="BU282" s="319"/>
      <c r="BV282" s="319"/>
      <c r="BW282" s="319"/>
      <c r="BX282" s="319"/>
      <c r="BY282" s="319"/>
      <c r="BZ282" s="319"/>
      <c r="CA282" s="319"/>
      <c r="CB282" s="319"/>
      <c r="CC282" s="319"/>
      <c r="CD282" s="319"/>
      <c r="CE282" s="319"/>
      <c r="CF282" s="319"/>
      <c r="CG282" s="319"/>
      <c r="CH282" s="319"/>
      <c r="CI282" s="319"/>
      <c r="CJ282" s="319"/>
      <c r="CK282" s="319"/>
    </row>
    <row r="283" spans="1:89" ht="13.5" hidden="1" customHeight="1">
      <c r="A283" s="12"/>
      <c r="B283" s="329"/>
      <c r="C283" s="79" t="str">
        <f t="shared" si="39"/>
        <v>Abril</v>
      </c>
      <c r="D283" s="100">
        <f>'Modelo Energético'!D459</f>
        <v>5.45</v>
      </c>
      <c r="E283" s="100">
        <f>'Modelo Energético'!E459</f>
        <v>5.739806998471539</v>
      </c>
      <c r="F283" s="100">
        <f t="shared" si="40"/>
        <v>0</v>
      </c>
      <c r="G283" s="329"/>
      <c r="H283" s="329"/>
      <c r="I283" s="329"/>
      <c r="J283" s="1"/>
      <c r="K283" s="9"/>
      <c r="L283" s="1"/>
      <c r="M283" s="319"/>
      <c r="N283" s="319">
        <v>5030010</v>
      </c>
      <c r="O283" s="319"/>
      <c r="P283" s="319"/>
      <c r="Q283" s="319"/>
      <c r="R283" s="319"/>
      <c r="S283" s="319"/>
      <c r="T283" s="319"/>
      <c r="U283" s="319"/>
      <c r="V283" s="319"/>
      <c r="W283" s="476">
        <v>1</v>
      </c>
      <c r="X283" s="476">
        <v>1.25</v>
      </c>
      <c r="Y283" s="476">
        <v>1.5</v>
      </c>
      <c r="Z283" s="476">
        <v>1.75</v>
      </c>
      <c r="AA283" s="476">
        <v>2</v>
      </c>
      <c r="AB283" s="476">
        <v>3</v>
      </c>
      <c r="AC283" s="476">
        <v>4</v>
      </c>
      <c r="AD283" s="476">
        <v>5</v>
      </c>
      <c r="AE283" s="476">
        <v>6</v>
      </c>
      <c r="AF283" s="319"/>
      <c r="AG283" s="319"/>
      <c r="AH283" s="319"/>
      <c r="AI283" s="319"/>
      <c r="AJ283" s="319"/>
      <c r="AK283" s="319"/>
      <c r="AL283" s="319"/>
      <c r="AM283" s="319"/>
      <c r="AN283" s="319"/>
      <c r="AO283" s="319"/>
      <c r="AP283" s="319"/>
      <c r="AQ283" s="319"/>
      <c r="AR283" s="319"/>
      <c r="AS283" s="319"/>
      <c r="AT283" s="319"/>
      <c r="AU283" s="319"/>
      <c r="AV283" s="319"/>
      <c r="AW283" s="319"/>
      <c r="AX283" s="319"/>
      <c r="AY283" s="319"/>
      <c r="AZ283" s="319"/>
      <c r="BA283" s="319"/>
      <c r="BB283" s="319"/>
      <c r="BC283" s="319"/>
      <c r="BD283" s="319"/>
      <c r="BE283" s="319"/>
      <c r="BF283" s="319"/>
      <c r="BG283" s="319"/>
      <c r="BH283" s="319"/>
      <c r="BI283" s="319"/>
      <c r="BJ283" s="319"/>
      <c r="BK283" s="319"/>
      <c r="BL283" s="319"/>
      <c r="BM283" s="319"/>
      <c r="BN283" s="319"/>
      <c r="BO283" s="319"/>
      <c r="BP283" s="319"/>
      <c r="BQ283" s="319"/>
      <c r="BR283" s="319"/>
      <c r="BS283" s="319"/>
      <c r="BT283" s="319"/>
      <c r="BU283" s="319"/>
      <c r="BV283" s="319"/>
      <c r="BW283" s="319"/>
      <c r="BX283" s="319"/>
      <c r="BY283" s="319"/>
      <c r="BZ283" s="319"/>
      <c r="CA283" s="319"/>
      <c r="CB283" s="319"/>
      <c r="CC283" s="319"/>
      <c r="CD283" s="319"/>
      <c r="CE283" s="319"/>
      <c r="CF283" s="319"/>
      <c r="CG283" s="319"/>
      <c r="CH283" s="319"/>
      <c r="CI283" s="319"/>
      <c r="CJ283" s="319"/>
      <c r="CK283" s="319"/>
    </row>
    <row r="284" spans="1:89" ht="13.5" hidden="1" customHeight="1">
      <c r="A284" s="12"/>
      <c r="B284" s="329"/>
      <c r="C284" s="79" t="str">
        <f t="shared" si="39"/>
        <v>Maio</v>
      </c>
      <c r="D284" s="100">
        <f>'Modelo Energético'!D460</f>
        <v>6.07</v>
      </c>
      <c r="E284" s="100">
        <f>'Modelo Energético'!E460</f>
        <v>5.7661879806365519</v>
      </c>
      <c r="F284" s="100">
        <f t="shared" si="40"/>
        <v>0</v>
      </c>
      <c r="G284" s="329"/>
      <c r="H284" s="329"/>
      <c r="I284" s="329"/>
      <c r="J284" s="1"/>
      <c r="K284" s="9"/>
      <c r="L284" s="1"/>
      <c r="M284" s="319"/>
      <c r="N284" s="319">
        <v>5030010</v>
      </c>
      <c r="O284" s="319"/>
      <c r="P284" s="319"/>
      <c r="Q284" s="319"/>
      <c r="R284" s="319"/>
      <c r="S284" s="319"/>
      <c r="T284" s="319"/>
      <c r="U284" s="319" t="s">
        <v>4703</v>
      </c>
      <c r="V284" s="319">
        <v>0</v>
      </c>
      <c r="W284" s="476">
        <v>0</v>
      </c>
      <c r="X284" s="476">
        <v>0</v>
      </c>
      <c r="Y284" s="476">
        <v>0</v>
      </c>
      <c r="Z284" s="476">
        <v>0</v>
      </c>
      <c r="AA284" s="476">
        <v>0</v>
      </c>
      <c r="AB284" s="476">
        <v>0</v>
      </c>
      <c r="AC284" s="476">
        <v>0</v>
      </c>
      <c r="AD284" s="476">
        <v>0</v>
      </c>
      <c r="AE284" s="476">
        <v>0</v>
      </c>
      <c r="AF284" s="319"/>
      <c r="AG284" s="319"/>
      <c r="AH284" s="319"/>
      <c r="AI284" s="319"/>
      <c r="AJ284" s="319"/>
      <c r="AK284" s="319"/>
      <c r="AL284" s="319"/>
      <c r="AM284" s="319"/>
      <c r="AN284" s="319"/>
      <c r="AO284" s="319"/>
      <c r="AP284" s="319"/>
      <c r="AQ284" s="319"/>
      <c r="AR284" s="319"/>
      <c r="AS284" s="319"/>
      <c r="AT284" s="319"/>
      <c r="AU284" s="319"/>
      <c r="AV284" s="319"/>
      <c r="AW284" s="319"/>
      <c r="AX284" s="319"/>
      <c r="AY284" s="319"/>
      <c r="AZ284" s="319"/>
      <c r="BA284" s="319"/>
      <c r="BB284" s="319"/>
      <c r="BC284" s="319"/>
      <c r="BD284" s="319"/>
      <c r="BE284" s="319"/>
      <c r="BF284" s="319"/>
      <c r="BG284" s="319"/>
      <c r="BH284" s="319"/>
      <c r="BI284" s="319"/>
      <c r="BJ284" s="319"/>
      <c r="BK284" s="319"/>
      <c r="BL284" s="319"/>
      <c r="BM284" s="319"/>
      <c r="BN284" s="319"/>
      <c r="BO284" s="319"/>
      <c r="BP284" s="319"/>
      <c r="BQ284" s="319"/>
      <c r="BR284" s="319"/>
      <c r="BS284" s="319"/>
      <c r="BT284" s="319"/>
      <c r="BU284" s="319"/>
      <c r="BV284" s="319"/>
      <c r="BW284" s="319"/>
      <c r="BX284" s="319"/>
      <c r="BY284" s="319"/>
      <c r="BZ284" s="319"/>
      <c r="CA284" s="319"/>
      <c r="CB284" s="319"/>
      <c r="CC284" s="319"/>
      <c r="CD284" s="319"/>
      <c r="CE284" s="319"/>
      <c r="CF284" s="319"/>
      <c r="CG284" s="319"/>
      <c r="CH284" s="319"/>
      <c r="CI284" s="319"/>
      <c r="CJ284" s="319"/>
      <c r="CK284" s="319"/>
    </row>
    <row r="285" spans="1:89" ht="13.5" hidden="1" customHeight="1">
      <c r="A285" s="12"/>
      <c r="B285" s="329"/>
      <c r="C285" s="79" t="str">
        <f t="shared" si="39"/>
        <v>Junho</v>
      </c>
      <c r="D285" s="100">
        <f>'Modelo Energético'!D461</f>
        <v>6.42</v>
      </c>
      <c r="E285" s="100">
        <f>'Modelo Energético'!E461</f>
        <v>5.8442376005221037</v>
      </c>
      <c r="F285" s="100">
        <f t="shared" si="40"/>
        <v>0</v>
      </c>
      <c r="G285" s="329"/>
      <c r="H285" s="329"/>
      <c r="I285" s="329"/>
      <c r="J285" s="1"/>
      <c r="K285" s="9"/>
      <c r="L285" s="1"/>
      <c r="M285" s="319"/>
      <c r="N285" s="319">
        <v>5030010</v>
      </c>
      <c r="O285" s="319"/>
      <c r="P285" s="319"/>
      <c r="Q285" s="319"/>
      <c r="R285" s="319"/>
      <c r="S285" s="319"/>
      <c r="T285" s="319"/>
      <c r="U285" s="319"/>
      <c r="V285" s="476">
        <v>8.5000000000000006E-2</v>
      </c>
      <c r="W285" s="476">
        <v>8.4045454500000005E-2</v>
      </c>
      <c r="X285" s="476">
        <v>8.4770000000000012E-2</v>
      </c>
      <c r="Y285" s="476">
        <v>8.5370000000000001E-2</v>
      </c>
      <c r="Z285" s="476">
        <v>8.5900000000000004E-2</v>
      </c>
      <c r="AA285" s="476">
        <v>8.6400000000000005E-2</v>
      </c>
      <c r="AB285" s="476">
        <v>8.8090000000000002E-2</v>
      </c>
      <c r="AC285" s="476">
        <v>8.9550000000000005E-2</v>
      </c>
      <c r="AD285" s="476">
        <v>9.0800000000000006E-2</v>
      </c>
      <c r="AE285" s="476">
        <v>9.183571430000001E-2</v>
      </c>
      <c r="AF285" s="319"/>
      <c r="AG285" s="319"/>
      <c r="AH285" s="319"/>
      <c r="AI285" s="319"/>
      <c r="AJ285" s="319"/>
      <c r="AK285" s="319"/>
      <c r="AL285" s="319"/>
      <c r="AM285" s="319"/>
      <c r="AN285" s="319"/>
      <c r="AO285" s="319"/>
      <c r="AP285" s="319"/>
      <c r="AQ285" s="319"/>
      <c r="AR285" s="319"/>
      <c r="AS285" s="319"/>
      <c r="AT285" s="319"/>
      <c r="AU285" s="319"/>
      <c r="AV285" s="319"/>
      <c r="AW285" s="319"/>
      <c r="AX285" s="319"/>
      <c r="AY285" s="319"/>
      <c r="AZ285" s="319"/>
      <c r="BA285" s="319"/>
      <c r="BB285" s="319"/>
      <c r="BC285" s="319"/>
      <c r="BD285" s="319"/>
      <c r="BE285" s="319"/>
      <c r="BF285" s="319"/>
      <c r="BG285" s="319"/>
      <c r="BH285" s="319"/>
      <c r="BI285" s="319"/>
      <c r="BJ285" s="319"/>
      <c r="BK285" s="319"/>
      <c r="BL285" s="319"/>
      <c r="BM285" s="319"/>
      <c r="BN285" s="319"/>
      <c r="BO285" s="319"/>
      <c r="BP285" s="319"/>
      <c r="BQ285" s="319"/>
      <c r="BR285" s="319"/>
      <c r="BS285" s="319"/>
      <c r="BT285" s="319"/>
      <c r="BU285" s="319"/>
      <c r="BV285" s="319"/>
      <c r="BW285" s="319"/>
      <c r="BX285" s="319"/>
      <c r="BY285" s="319"/>
      <c r="BZ285" s="319"/>
      <c r="CA285" s="319"/>
      <c r="CB285" s="319"/>
      <c r="CC285" s="319"/>
      <c r="CD285" s="319"/>
      <c r="CE285" s="319"/>
      <c r="CF285" s="319"/>
      <c r="CG285" s="319"/>
      <c r="CH285" s="319"/>
      <c r="CI285" s="319"/>
      <c r="CJ285" s="319"/>
      <c r="CK285" s="319"/>
    </row>
    <row r="286" spans="1:89" ht="13.5" hidden="1" customHeight="1">
      <c r="A286" s="12"/>
      <c r="B286" s="329"/>
      <c r="C286" s="79" t="str">
        <f t="shared" si="39"/>
        <v>Julho</v>
      </c>
      <c r="D286" s="100">
        <f>'Modelo Energético'!D462</f>
        <v>6.81</v>
      </c>
      <c r="E286" s="100">
        <f>'Modelo Energético'!E462</f>
        <v>6.3070997560649245</v>
      </c>
      <c r="F286" s="100">
        <f t="shared" si="40"/>
        <v>0</v>
      </c>
      <c r="G286" s="329"/>
      <c r="H286" s="329"/>
      <c r="I286" s="329"/>
      <c r="J286" s="1"/>
      <c r="K286" s="9"/>
      <c r="L286" s="1"/>
      <c r="M286" s="319"/>
      <c r="N286" s="319">
        <v>5030010</v>
      </c>
      <c r="O286" s="319"/>
      <c r="P286" s="319"/>
      <c r="Q286" s="319"/>
      <c r="R286" s="319"/>
      <c r="S286" s="319"/>
      <c r="T286" s="319"/>
      <c r="U286" s="319"/>
      <c r="V286" s="476">
        <v>0.17</v>
      </c>
      <c r="W286" s="476">
        <v>0.16809090900000001</v>
      </c>
      <c r="X286" s="476">
        <v>0.16954000000000002</v>
      </c>
      <c r="Y286" s="476">
        <v>0.17074</v>
      </c>
      <c r="Z286" s="476">
        <v>0.17180000000000001</v>
      </c>
      <c r="AA286" s="476">
        <v>0.17280000000000001</v>
      </c>
      <c r="AB286" s="476">
        <v>0.17618</v>
      </c>
      <c r="AC286" s="476">
        <v>0.17910000000000001</v>
      </c>
      <c r="AD286" s="476">
        <v>0.18160000000000001</v>
      </c>
      <c r="AE286" s="476">
        <v>0.18367142860000002</v>
      </c>
      <c r="AF286" s="319"/>
      <c r="AG286" s="319"/>
      <c r="AH286" s="319"/>
      <c r="AI286" s="319"/>
      <c r="AJ286" s="319"/>
      <c r="AK286" s="319"/>
      <c r="AL286" s="319"/>
      <c r="AM286" s="319"/>
      <c r="AN286" s="319"/>
      <c r="AO286" s="319"/>
      <c r="AP286" s="319"/>
      <c r="AQ286" s="319"/>
      <c r="AR286" s="319"/>
      <c r="AS286" s="319"/>
      <c r="AT286" s="319"/>
      <c r="AU286" s="319"/>
      <c r="AV286" s="319"/>
      <c r="AW286" s="319"/>
      <c r="AX286" s="319"/>
      <c r="AY286" s="319"/>
      <c r="AZ286" s="319"/>
      <c r="BA286" s="319"/>
      <c r="BB286" s="319"/>
      <c r="BC286" s="319"/>
      <c r="BD286" s="319"/>
      <c r="BE286" s="319"/>
      <c r="BF286" s="319"/>
      <c r="BG286" s="319"/>
      <c r="BH286" s="319"/>
      <c r="BI286" s="319"/>
      <c r="BJ286" s="319"/>
      <c r="BK286" s="319"/>
      <c r="BL286" s="319"/>
      <c r="BM286" s="319"/>
      <c r="BN286" s="319"/>
      <c r="BO286" s="319"/>
      <c r="BP286" s="319"/>
      <c r="BQ286" s="319"/>
      <c r="BR286" s="319"/>
      <c r="BS286" s="319"/>
      <c r="BT286" s="319"/>
      <c r="BU286" s="319"/>
      <c r="BV286" s="319"/>
      <c r="BW286" s="319"/>
      <c r="BX286" s="319"/>
      <c r="BY286" s="319"/>
      <c r="BZ286" s="319"/>
      <c r="CA286" s="319"/>
      <c r="CB286" s="319"/>
      <c r="CC286" s="319"/>
      <c r="CD286" s="319"/>
      <c r="CE286" s="319"/>
      <c r="CF286" s="319"/>
      <c r="CG286" s="319"/>
      <c r="CH286" s="319"/>
      <c r="CI286" s="319"/>
      <c r="CJ286" s="319"/>
      <c r="CK286" s="319"/>
    </row>
    <row r="287" spans="1:89" ht="13.5" hidden="1" customHeight="1">
      <c r="A287" s="12"/>
      <c r="B287" s="329"/>
      <c r="C287" s="79" t="str">
        <f t="shared" si="39"/>
        <v>Agosto</v>
      </c>
      <c r="D287" s="100">
        <f>'Modelo Energético'!D463</f>
        <v>6.23</v>
      </c>
      <c r="E287" s="100">
        <f>'Modelo Energético'!E463</f>
        <v>6.2920980874092782</v>
      </c>
      <c r="F287" s="100">
        <f t="shared" si="40"/>
        <v>0</v>
      </c>
      <c r="G287" s="329"/>
      <c r="H287" s="329"/>
      <c r="I287" s="329"/>
      <c r="J287" s="1"/>
      <c r="K287" s="9"/>
      <c r="L287" s="1"/>
      <c r="M287" s="319"/>
      <c r="N287" s="319">
        <v>5030010</v>
      </c>
      <c r="O287" s="319"/>
      <c r="P287" s="319"/>
      <c r="Q287" s="319"/>
      <c r="R287" s="319"/>
      <c r="S287" s="319"/>
      <c r="T287" s="319"/>
      <c r="U287" s="319"/>
      <c r="V287" s="476">
        <v>0.255</v>
      </c>
      <c r="W287" s="476">
        <v>0.25213636350000002</v>
      </c>
      <c r="X287" s="476">
        <v>0.25430999999999998</v>
      </c>
      <c r="Y287" s="476">
        <v>0.25611</v>
      </c>
      <c r="Z287" s="476">
        <v>0.25769999999999998</v>
      </c>
      <c r="AA287" s="476">
        <v>0.25919999999999999</v>
      </c>
      <c r="AB287" s="476">
        <v>0.26427</v>
      </c>
      <c r="AC287" s="476">
        <v>0.26865</v>
      </c>
      <c r="AD287" s="476">
        <v>0.27239999999999998</v>
      </c>
      <c r="AE287" s="476">
        <v>0.2755071429</v>
      </c>
      <c r="AF287" s="319"/>
      <c r="AG287" s="319"/>
      <c r="AH287" s="319"/>
      <c r="AI287" s="319"/>
      <c r="AJ287" s="319"/>
      <c r="AK287" s="319"/>
      <c r="AL287" s="319"/>
      <c r="AM287" s="319"/>
      <c r="AN287" s="319"/>
      <c r="AO287" s="319"/>
      <c r="AP287" s="319"/>
      <c r="AQ287" s="319"/>
      <c r="AR287" s="319"/>
      <c r="AS287" s="319"/>
      <c r="AT287" s="319"/>
      <c r="AU287" s="319"/>
      <c r="AV287" s="319"/>
      <c r="AW287" s="319"/>
      <c r="AX287" s="319"/>
      <c r="AY287" s="319"/>
      <c r="AZ287" s="319"/>
      <c r="BA287" s="319"/>
      <c r="BB287" s="319"/>
      <c r="BC287" s="319"/>
      <c r="BD287" s="319"/>
      <c r="BE287" s="319"/>
      <c r="BF287" s="319"/>
      <c r="BG287" s="319"/>
      <c r="BH287" s="319"/>
      <c r="BI287" s="319"/>
      <c r="BJ287" s="319"/>
      <c r="BK287" s="319"/>
      <c r="BL287" s="319"/>
      <c r="BM287" s="319"/>
      <c r="BN287" s="319"/>
      <c r="BO287" s="319"/>
      <c r="BP287" s="319"/>
      <c r="BQ287" s="319"/>
      <c r="BR287" s="319"/>
      <c r="BS287" s="319"/>
      <c r="BT287" s="319"/>
      <c r="BU287" s="319"/>
      <c r="BV287" s="319"/>
      <c r="BW287" s="319"/>
      <c r="BX287" s="319"/>
      <c r="BY287" s="319"/>
      <c r="BZ287" s="319"/>
      <c r="CA287" s="319"/>
      <c r="CB287" s="319"/>
      <c r="CC287" s="319"/>
      <c r="CD287" s="319"/>
      <c r="CE287" s="319"/>
      <c r="CF287" s="319"/>
      <c r="CG287" s="319"/>
      <c r="CH287" s="319"/>
      <c r="CI287" s="319"/>
      <c r="CJ287" s="319"/>
      <c r="CK287" s="319"/>
    </row>
    <row r="288" spans="1:89" ht="13.5" hidden="1" customHeight="1">
      <c r="A288" s="12"/>
      <c r="B288" s="329"/>
      <c r="C288" s="79" t="str">
        <f t="shared" si="39"/>
        <v>Setembro</v>
      </c>
      <c r="D288" s="100">
        <f>'Modelo Energético'!D464</f>
        <v>4.7</v>
      </c>
      <c r="E288" s="100">
        <f>'Modelo Energético'!E464</f>
        <v>5.3769386767054899</v>
      </c>
      <c r="F288" s="100">
        <f t="shared" si="40"/>
        <v>0</v>
      </c>
      <c r="G288" s="329"/>
      <c r="H288" s="329"/>
      <c r="I288" s="329"/>
      <c r="J288" s="1"/>
      <c r="K288" s="9"/>
      <c r="L288" s="1"/>
      <c r="M288" s="319"/>
      <c r="N288" s="319">
        <v>5030010</v>
      </c>
      <c r="O288" s="319"/>
      <c r="P288" s="319"/>
      <c r="Q288" s="319"/>
      <c r="R288" s="319" t="str">
        <f>Language!C1825</f>
        <v>Otimização do ponto de potência máxima</v>
      </c>
      <c r="S288" s="319">
        <f>IF(C308=R288,0,1)</f>
        <v>0</v>
      </c>
      <c r="T288" s="319"/>
      <c r="U288" s="319"/>
      <c r="V288" s="476">
        <v>0.34</v>
      </c>
      <c r="W288" s="476">
        <v>0.33618181800000002</v>
      </c>
      <c r="X288" s="476">
        <v>0.33908000000000005</v>
      </c>
      <c r="Y288" s="476">
        <v>0.34148000000000001</v>
      </c>
      <c r="Z288" s="476">
        <v>0.34360000000000002</v>
      </c>
      <c r="AA288" s="476">
        <v>0.34560000000000002</v>
      </c>
      <c r="AB288" s="476">
        <v>0.35236000000000001</v>
      </c>
      <c r="AC288" s="476">
        <v>0.35820000000000002</v>
      </c>
      <c r="AD288" s="476">
        <v>0.36320000000000002</v>
      </c>
      <c r="AE288" s="476">
        <v>0.36734285720000004</v>
      </c>
      <c r="AF288" s="319"/>
      <c r="AG288" s="319"/>
      <c r="AH288" s="319"/>
      <c r="AI288" s="319"/>
      <c r="AJ288" s="319"/>
      <c r="AK288" s="319"/>
      <c r="AL288" s="319"/>
      <c r="AM288" s="319"/>
      <c r="AN288" s="319"/>
      <c r="AO288" s="319"/>
      <c r="AP288" s="319"/>
      <c r="AQ288" s="319"/>
      <c r="AR288" s="319"/>
      <c r="AS288" s="319"/>
      <c r="AT288" s="319"/>
      <c r="AU288" s="319"/>
      <c r="AV288" s="319"/>
      <c r="AW288" s="319"/>
      <c r="AX288" s="319"/>
      <c r="AY288" s="319"/>
      <c r="AZ288" s="319"/>
      <c r="BA288" s="319"/>
      <c r="BB288" s="319"/>
      <c r="BC288" s="319"/>
      <c r="BD288" s="319"/>
      <c r="BE288" s="319"/>
      <c r="BF288" s="319"/>
      <c r="BG288" s="319"/>
      <c r="BH288" s="319"/>
      <c r="BI288" s="319"/>
      <c r="BJ288" s="319"/>
      <c r="BK288" s="319"/>
      <c r="BL288" s="319"/>
      <c r="BM288" s="319"/>
      <c r="BN288" s="319"/>
      <c r="BO288" s="319"/>
      <c r="BP288" s="319"/>
      <c r="BQ288" s="319"/>
      <c r="BR288" s="319"/>
      <c r="BS288" s="319"/>
      <c r="BT288" s="319"/>
      <c r="BU288" s="319"/>
      <c r="BV288" s="319"/>
      <c r="BW288" s="319"/>
      <c r="BX288" s="319"/>
      <c r="BY288" s="319"/>
      <c r="BZ288" s="319"/>
      <c r="CA288" s="319"/>
      <c r="CB288" s="319"/>
      <c r="CC288" s="319"/>
      <c r="CD288" s="319"/>
      <c r="CE288" s="319"/>
      <c r="CF288" s="319"/>
      <c r="CG288" s="319"/>
      <c r="CH288" s="319"/>
      <c r="CI288" s="319"/>
      <c r="CJ288" s="319"/>
      <c r="CK288" s="319"/>
    </row>
    <row r="289" spans="1:89" ht="13.5" hidden="1" customHeight="1">
      <c r="A289" s="12"/>
      <c r="B289" s="329"/>
      <c r="C289" s="79" t="str">
        <f t="shared" si="39"/>
        <v>Outubro</v>
      </c>
      <c r="D289" s="100">
        <f>'Modelo Energético'!D465</f>
        <v>3.55</v>
      </c>
      <c r="E289" s="100">
        <f>'Modelo Energético'!E465</f>
        <v>4.7709257325353152</v>
      </c>
      <c r="F289" s="100">
        <f t="shared" si="40"/>
        <v>0</v>
      </c>
      <c r="G289" s="329"/>
      <c r="H289" s="329"/>
      <c r="I289" s="329"/>
      <c r="J289" s="1"/>
      <c r="K289" s="9"/>
      <c r="L289" s="1"/>
      <c r="M289" s="319"/>
      <c r="N289" s="319">
        <v>5030010</v>
      </c>
      <c r="O289" s="319"/>
      <c r="P289" s="319"/>
      <c r="Q289" s="319"/>
      <c r="R289" s="319" t="str">
        <f>Language!C1534</f>
        <v>Fixado</v>
      </c>
      <c r="S289" s="319"/>
      <c r="T289" s="319"/>
      <c r="U289" s="319"/>
      <c r="V289" s="476">
        <v>0.42499999999999999</v>
      </c>
      <c r="W289" s="476">
        <v>0.42022727250000003</v>
      </c>
      <c r="X289" s="476">
        <v>0.42385</v>
      </c>
      <c r="Y289" s="476">
        <v>0.42685000000000001</v>
      </c>
      <c r="Z289" s="476">
        <v>0.42949999999999999</v>
      </c>
      <c r="AA289" s="476">
        <v>0.432</v>
      </c>
      <c r="AB289" s="476">
        <v>0.44045000000000001</v>
      </c>
      <c r="AC289" s="476">
        <v>0.44774999999999998</v>
      </c>
      <c r="AD289" s="476">
        <v>0.45400000000000001</v>
      </c>
      <c r="AE289" s="476">
        <v>0.45917857150000002</v>
      </c>
      <c r="AF289" s="319"/>
      <c r="AG289" s="319"/>
      <c r="AH289" s="319"/>
      <c r="AI289" s="319"/>
      <c r="AJ289" s="319"/>
      <c r="AK289" s="319"/>
      <c r="AL289" s="319"/>
      <c r="AM289" s="319"/>
      <c r="AN289" s="319"/>
      <c r="AO289" s="319"/>
      <c r="AP289" s="319"/>
      <c r="AQ289" s="319"/>
      <c r="AR289" s="319"/>
      <c r="AS289" s="319"/>
      <c r="AT289" s="319"/>
      <c r="AU289" s="319"/>
      <c r="AV289" s="319"/>
      <c r="AW289" s="319"/>
      <c r="AX289" s="319"/>
      <c r="AY289" s="319"/>
      <c r="AZ289" s="319"/>
      <c r="BA289" s="319"/>
      <c r="BB289" s="319"/>
      <c r="BC289" s="319"/>
      <c r="BD289" s="319"/>
      <c r="BE289" s="319"/>
      <c r="BF289" s="319"/>
      <c r="BG289" s="319"/>
      <c r="BH289" s="319"/>
      <c r="BI289" s="319"/>
      <c r="BJ289" s="319"/>
      <c r="BK289" s="319"/>
      <c r="BL289" s="319"/>
      <c r="BM289" s="319"/>
      <c r="BN289" s="319"/>
      <c r="BO289" s="319"/>
      <c r="BP289" s="319"/>
      <c r="BQ289" s="319"/>
      <c r="BR289" s="319"/>
      <c r="BS289" s="319"/>
      <c r="BT289" s="319"/>
      <c r="BU289" s="319"/>
      <c r="BV289" s="319"/>
      <c r="BW289" s="319"/>
      <c r="BX289" s="319"/>
      <c r="BY289" s="319"/>
      <c r="BZ289" s="319"/>
      <c r="CA289" s="319"/>
      <c r="CB289" s="319"/>
      <c r="CC289" s="319"/>
      <c r="CD289" s="319"/>
      <c r="CE289" s="319"/>
      <c r="CF289" s="319"/>
      <c r="CG289" s="319"/>
      <c r="CH289" s="319"/>
      <c r="CI289" s="319"/>
      <c r="CJ289" s="319"/>
      <c r="CK289" s="319"/>
    </row>
    <row r="290" spans="1:89" ht="13.5" hidden="1" customHeight="1">
      <c r="A290" s="12"/>
      <c r="B290" s="329"/>
      <c r="C290" s="79" t="str">
        <f t="shared" si="39"/>
        <v>Novembro</v>
      </c>
      <c r="D290" s="100">
        <f>'Modelo Energético'!D466</f>
        <v>2.46</v>
      </c>
      <c r="E290" s="100">
        <f>'Modelo Energético'!E466</f>
        <v>3.9933749886716212</v>
      </c>
      <c r="F290" s="100">
        <f t="shared" si="40"/>
        <v>0</v>
      </c>
      <c r="G290" s="329"/>
      <c r="H290" s="329"/>
      <c r="I290" s="329"/>
      <c r="J290" s="1"/>
      <c r="K290" s="9"/>
      <c r="L290" s="1"/>
      <c r="M290" s="319"/>
      <c r="N290" s="319">
        <v>5030010</v>
      </c>
      <c r="O290" s="319"/>
      <c r="P290" s="319"/>
      <c r="Q290" s="319"/>
      <c r="R290" s="319"/>
      <c r="S290" s="319"/>
      <c r="T290" s="319"/>
      <c r="U290" s="319"/>
      <c r="V290" s="476">
        <v>0.51</v>
      </c>
      <c r="W290" s="476">
        <v>0.50427272700000003</v>
      </c>
      <c r="X290" s="476">
        <v>0.50861999999999996</v>
      </c>
      <c r="Y290" s="476">
        <v>0.51222000000000001</v>
      </c>
      <c r="Z290" s="476">
        <v>0.51539999999999997</v>
      </c>
      <c r="AA290" s="476">
        <v>0.51839999999999997</v>
      </c>
      <c r="AB290" s="476">
        <v>0.52854000000000001</v>
      </c>
      <c r="AC290" s="476">
        <v>0.5373</v>
      </c>
      <c r="AD290" s="476">
        <v>0.54479999999999995</v>
      </c>
      <c r="AE290" s="476">
        <v>0.5510142858</v>
      </c>
      <c r="AF290" s="319"/>
      <c r="AG290" s="319"/>
      <c r="AH290" s="319"/>
      <c r="AI290" s="319"/>
      <c r="AJ290" s="319"/>
      <c r="AK290" s="319"/>
      <c r="AL290" s="319"/>
      <c r="AM290" s="319"/>
      <c r="AN290" s="319"/>
      <c r="AO290" s="319"/>
      <c r="AP290" s="319"/>
      <c r="AQ290" s="319"/>
      <c r="AR290" s="319"/>
      <c r="AS290" s="319"/>
      <c r="AT290" s="319"/>
      <c r="AU290" s="319"/>
      <c r="AV290" s="319"/>
      <c r="AW290" s="319"/>
      <c r="AX290" s="319"/>
      <c r="AY290" s="319"/>
      <c r="AZ290" s="319"/>
      <c r="BA290" s="319"/>
      <c r="BB290" s="319"/>
      <c r="BC290" s="319"/>
      <c r="BD290" s="319"/>
      <c r="BE290" s="319"/>
      <c r="BF290" s="319"/>
      <c r="BG290" s="319"/>
      <c r="BH290" s="319"/>
      <c r="BI290" s="319"/>
      <c r="BJ290" s="319"/>
      <c r="BK290" s="319"/>
      <c r="BL290" s="319"/>
      <c r="BM290" s="319"/>
      <c r="BN290" s="319"/>
      <c r="BO290" s="319"/>
      <c r="BP290" s="319"/>
      <c r="BQ290" s="319"/>
      <c r="BR290" s="319"/>
      <c r="BS290" s="319"/>
      <c r="BT290" s="319"/>
      <c r="BU290" s="319"/>
      <c r="BV290" s="319"/>
      <c r="BW290" s="319"/>
      <c r="BX290" s="319"/>
      <c r="BY290" s="319"/>
      <c r="BZ290" s="319"/>
      <c r="CA290" s="319"/>
      <c r="CB290" s="319"/>
      <c r="CC290" s="319"/>
      <c r="CD290" s="319"/>
      <c r="CE290" s="319"/>
      <c r="CF290" s="319"/>
      <c r="CG290" s="319"/>
      <c r="CH290" s="319"/>
      <c r="CI290" s="319"/>
      <c r="CJ290" s="319"/>
      <c r="CK290" s="319"/>
    </row>
    <row r="291" spans="1:89" ht="13.5" hidden="1" customHeight="1">
      <c r="A291" s="12"/>
      <c r="B291" s="329"/>
      <c r="C291" s="79" t="str">
        <f t="shared" si="39"/>
        <v>Dezembro</v>
      </c>
      <c r="D291" s="100">
        <f>'Modelo Energético'!D467</f>
        <v>2.17</v>
      </c>
      <c r="E291" s="100">
        <f>'Modelo Energético'!E467</f>
        <v>4.0221663317968108</v>
      </c>
      <c r="F291" s="100">
        <f t="shared" si="40"/>
        <v>0</v>
      </c>
      <c r="G291" s="329"/>
      <c r="H291" s="329"/>
      <c r="I291" s="329"/>
      <c r="J291" s="1"/>
      <c r="K291" s="9"/>
      <c r="L291" s="1"/>
      <c r="M291" s="319"/>
      <c r="N291" s="319">
        <v>5030010</v>
      </c>
      <c r="O291" s="319"/>
      <c r="P291" s="319"/>
      <c r="Q291" s="319"/>
      <c r="R291" s="319"/>
      <c r="S291" s="319"/>
      <c r="T291" s="319"/>
      <c r="U291" s="319"/>
      <c r="V291" s="476">
        <v>0.59499999999999997</v>
      </c>
      <c r="W291" s="476">
        <v>0.58831818150000004</v>
      </c>
      <c r="X291" s="476">
        <v>0.59338999999999997</v>
      </c>
      <c r="Y291" s="476">
        <v>0.59758999999999995</v>
      </c>
      <c r="Z291" s="476">
        <v>0.60129999999999995</v>
      </c>
      <c r="AA291" s="476">
        <v>0.6048</v>
      </c>
      <c r="AB291" s="476">
        <v>0.61663000000000001</v>
      </c>
      <c r="AC291" s="476">
        <v>0.62684999999999991</v>
      </c>
      <c r="AD291" s="476">
        <v>0.63559999999999994</v>
      </c>
      <c r="AE291" s="476">
        <v>0.64285000010000004</v>
      </c>
      <c r="AF291" s="319"/>
      <c r="AG291" s="319"/>
      <c r="AH291" s="319"/>
      <c r="AI291" s="319"/>
      <c r="AJ291" s="319"/>
      <c r="AK291" s="319"/>
      <c r="AL291" s="319"/>
      <c r="AM291" s="319"/>
      <c r="AN291" s="319"/>
      <c r="AO291" s="319"/>
      <c r="AP291" s="319"/>
      <c r="AQ291" s="319"/>
      <c r="AR291" s="319"/>
      <c r="AS291" s="319"/>
      <c r="AT291" s="319"/>
      <c r="AU291" s="319"/>
      <c r="AV291" s="319"/>
      <c r="AW291" s="319"/>
      <c r="AX291" s="319"/>
      <c r="AY291" s="319"/>
      <c r="AZ291" s="319"/>
      <c r="BA291" s="319"/>
      <c r="BB291" s="319"/>
      <c r="BC291" s="319"/>
      <c r="BD291" s="319"/>
      <c r="BE291" s="319"/>
      <c r="BF291" s="319"/>
      <c r="BG291" s="319"/>
      <c r="BH291" s="319"/>
      <c r="BI291" s="319"/>
      <c r="BJ291" s="319"/>
      <c r="BK291" s="319"/>
      <c r="BL291" s="319"/>
      <c r="BM291" s="319"/>
      <c r="BN291" s="319"/>
      <c r="BO291" s="319"/>
      <c r="BP291" s="319"/>
      <c r="BQ291" s="319"/>
      <c r="BR291" s="319"/>
      <c r="BS291" s="319"/>
      <c r="BT291" s="319"/>
      <c r="BU291" s="319"/>
      <c r="BV291" s="319"/>
      <c r="BW291" s="319"/>
      <c r="BX291" s="319"/>
      <c r="BY291" s="319"/>
      <c r="BZ291" s="319"/>
      <c r="CA291" s="319"/>
      <c r="CB291" s="319"/>
      <c r="CC291" s="319"/>
      <c r="CD291" s="319"/>
      <c r="CE291" s="319"/>
      <c r="CF291" s="319"/>
      <c r="CG291" s="319"/>
      <c r="CH291" s="319"/>
      <c r="CI291" s="319"/>
      <c r="CJ291" s="319"/>
      <c r="CK291" s="319"/>
    </row>
    <row r="292" spans="1:89" ht="13.5" hidden="1" customHeight="1">
      <c r="A292" s="12"/>
      <c r="B292" s="329"/>
      <c r="C292" s="105" t="str">
        <f>B331</f>
        <v>Anual</v>
      </c>
      <c r="D292" s="806">
        <f>'Modelo Energético'!D468</f>
        <v>4.4355890410958905</v>
      </c>
      <c r="E292" s="806">
        <f>'Modelo Energético'!E468</f>
        <v>5.068777922239085</v>
      </c>
      <c r="F292" s="806">
        <f>D313</f>
        <v>0</v>
      </c>
      <c r="G292" s="329"/>
      <c r="H292" s="329"/>
      <c r="I292" s="329"/>
      <c r="J292" s="1"/>
      <c r="K292" s="9"/>
      <c r="L292" s="1"/>
      <c r="M292" s="319"/>
      <c r="N292" s="319">
        <v>5030010</v>
      </c>
      <c r="O292" s="319"/>
      <c r="P292" s="319"/>
      <c r="Q292" s="319"/>
      <c r="R292" s="319"/>
      <c r="S292" s="319"/>
      <c r="T292" s="319"/>
      <c r="U292" s="319"/>
      <c r="V292" s="476">
        <v>0.68</v>
      </c>
      <c r="W292" s="476">
        <v>0.67236363600000004</v>
      </c>
      <c r="X292" s="476">
        <v>0.6781600000000001</v>
      </c>
      <c r="Y292" s="476">
        <v>0.68296000000000001</v>
      </c>
      <c r="Z292" s="476">
        <v>0.68720000000000003</v>
      </c>
      <c r="AA292" s="476">
        <v>0.69120000000000004</v>
      </c>
      <c r="AB292" s="476">
        <v>0.70472000000000001</v>
      </c>
      <c r="AC292" s="476">
        <v>0.71640000000000004</v>
      </c>
      <c r="AD292" s="476">
        <v>0.72640000000000005</v>
      </c>
      <c r="AE292" s="476">
        <v>0.73468571440000008</v>
      </c>
      <c r="AF292" s="319"/>
      <c r="AG292" s="319"/>
      <c r="AH292" s="319"/>
      <c r="AI292" s="319"/>
      <c r="AJ292" s="319"/>
      <c r="AK292" s="319"/>
      <c r="AL292" s="319"/>
      <c r="AM292" s="319"/>
      <c r="AN292" s="319"/>
      <c r="AO292" s="319"/>
      <c r="AP292" s="319"/>
      <c r="AQ292" s="319"/>
      <c r="AR292" s="319"/>
      <c r="AS292" s="319"/>
      <c r="AT292" s="319"/>
      <c r="AU292" s="319"/>
      <c r="AV292" s="319"/>
      <c r="AW292" s="319"/>
      <c r="AX292" s="319"/>
      <c r="AY292" s="319"/>
      <c r="AZ292" s="319"/>
      <c r="BA292" s="319"/>
      <c r="BB292" s="319"/>
      <c r="BC292" s="319"/>
      <c r="BD292" s="319"/>
      <c r="BE292" s="319"/>
      <c r="BF292" s="319"/>
      <c r="BG292" s="319"/>
      <c r="BH292" s="319"/>
      <c r="BI292" s="319"/>
      <c r="BJ292" s="319"/>
      <c r="BK292" s="319"/>
      <c r="BL292" s="319"/>
      <c r="BM292" s="319"/>
      <c r="BN292" s="319"/>
      <c r="BO292" s="319"/>
      <c r="BP292" s="319"/>
      <c r="BQ292" s="319"/>
      <c r="BR292" s="319"/>
      <c r="BS292" s="319"/>
      <c r="BT292" s="319"/>
      <c r="BU292" s="319"/>
      <c r="BV292" s="319"/>
      <c r="BW292" s="319"/>
      <c r="BX292" s="319"/>
      <c r="BY292" s="319"/>
      <c r="BZ292" s="319"/>
      <c r="CA292" s="319"/>
      <c r="CB292" s="319"/>
      <c r="CC292" s="319"/>
      <c r="CD292" s="319"/>
      <c r="CE292" s="319"/>
      <c r="CF292" s="319"/>
      <c r="CG292" s="319"/>
      <c r="CH292" s="319"/>
      <c r="CI292" s="319"/>
      <c r="CJ292" s="319"/>
      <c r="CK292" s="319"/>
    </row>
    <row r="293" spans="1:89" ht="13.5" hidden="1" customHeight="1">
      <c r="A293" s="12"/>
      <c r="B293" s="329"/>
      <c r="C293" s="105"/>
      <c r="D293" s="100"/>
      <c r="E293" s="100"/>
      <c r="F293" s="100"/>
      <c r="G293" s="329"/>
      <c r="H293" s="329"/>
      <c r="I293" s="329"/>
      <c r="J293" s="1"/>
      <c r="K293" s="9"/>
      <c r="L293" s="1"/>
      <c r="M293" s="319"/>
      <c r="N293" s="319">
        <v>5030010</v>
      </c>
      <c r="O293" s="319"/>
      <c r="P293" s="319"/>
      <c r="Q293" s="319"/>
      <c r="R293" s="319"/>
      <c r="S293" s="319"/>
      <c r="T293" s="319"/>
      <c r="U293" s="319"/>
      <c r="V293" s="476">
        <v>0.76500000000000001</v>
      </c>
      <c r="W293" s="476">
        <v>0.75640909050000005</v>
      </c>
      <c r="X293" s="476">
        <v>0.76293</v>
      </c>
      <c r="Y293" s="476">
        <v>0.76833000000000007</v>
      </c>
      <c r="Z293" s="476">
        <v>0.77310000000000001</v>
      </c>
      <c r="AA293" s="476">
        <v>0.77759999999999996</v>
      </c>
      <c r="AB293" s="476">
        <v>0.79281000000000001</v>
      </c>
      <c r="AC293" s="476">
        <v>0.80594999999999994</v>
      </c>
      <c r="AD293" s="476">
        <v>0.81720000000000004</v>
      </c>
      <c r="AE293" s="476">
        <v>0.8265214287</v>
      </c>
      <c r="AF293" s="319"/>
      <c r="AG293" s="319"/>
      <c r="AH293" s="319"/>
      <c r="AI293" s="319"/>
      <c r="AJ293" s="319"/>
      <c r="AK293" s="319"/>
      <c r="AL293" s="319"/>
      <c r="AM293" s="319"/>
      <c r="AN293" s="319"/>
      <c r="AO293" s="319"/>
      <c r="AP293" s="319"/>
      <c r="AQ293" s="319"/>
      <c r="AR293" s="319"/>
      <c r="AS293" s="319"/>
      <c r="AT293" s="319"/>
      <c r="AU293" s="319"/>
      <c r="AV293" s="319"/>
      <c r="AW293" s="319"/>
      <c r="AX293" s="319"/>
      <c r="AY293" s="319"/>
      <c r="AZ293" s="319"/>
      <c r="BA293" s="319"/>
      <c r="BB293" s="319"/>
      <c r="BC293" s="319"/>
      <c r="BD293" s="319"/>
      <c r="BE293" s="319"/>
      <c r="BF293" s="319"/>
      <c r="BG293" s="319"/>
      <c r="BH293" s="319"/>
      <c r="BI293" s="319"/>
      <c r="BJ293" s="319"/>
      <c r="BK293" s="319"/>
      <c r="BL293" s="319"/>
      <c r="BM293" s="319"/>
      <c r="BN293" s="319"/>
      <c r="BO293" s="319"/>
      <c r="BP293" s="319"/>
      <c r="BQ293" s="319"/>
      <c r="BR293" s="319"/>
      <c r="BS293" s="319"/>
      <c r="BT293" s="319"/>
      <c r="BU293" s="319"/>
      <c r="BV293" s="319"/>
      <c r="BW293" s="319"/>
      <c r="BX293" s="319"/>
      <c r="BY293" s="319"/>
      <c r="BZ293" s="319"/>
      <c r="CA293" s="319"/>
      <c r="CB293" s="319"/>
      <c r="CC293" s="319"/>
      <c r="CD293" s="319"/>
      <c r="CE293" s="319"/>
      <c r="CF293" s="319"/>
      <c r="CG293" s="319"/>
      <c r="CH293" s="319"/>
      <c r="CI293" s="319"/>
      <c r="CJ293" s="319"/>
      <c r="CK293" s="319"/>
    </row>
    <row r="294" spans="1:89" ht="13.5" hidden="1" customHeight="1">
      <c r="A294" s="12"/>
      <c r="B294" s="1" t="str">
        <f>Language!C1479</f>
        <v>Radiação Solar anual - horizontal</v>
      </c>
      <c r="C294" s="29" t="str">
        <f>Language!C2245</f>
        <v>MWh/m²</v>
      </c>
      <c r="D294" s="217">
        <f>'Modelo Energético'!D470</f>
        <v>1.6189900000000002</v>
      </c>
      <c r="E294" s="329"/>
      <c r="F294" s="329"/>
      <c r="G294" s="329"/>
      <c r="H294" s="329"/>
      <c r="I294" s="329"/>
      <c r="J294" s="1"/>
      <c r="K294" s="9"/>
      <c r="L294" s="1"/>
      <c r="M294" s="319"/>
      <c r="N294" s="319">
        <v>2122014</v>
      </c>
      <c r="O294" s="319"/>
      <c r="P294" s="319"/>
      <c r="Q294" s="319"/>
      <c r="R294" s="319"/>
      <c r="S294" s="319"/>
      <c r="T294" s="319"/>
      <c r="U294" s="319"/>
      <c r="V294" s="476">
        <v>0.85</v>
      </c>
      <c r="W294" s="476">
        <v>0.84045454500000005</v>
      </c>
      <c r="X294" s="476">
        <v>0.84770000000000001</v>
      </c>
      <c r="Y294" s="476">
        <v>0.85370000000000001</v>
      </c>
      <c r="Z294" s="476">
        <v>0.85899999999999999</v>
      </c>
      <c r="AA294" s="476">
        <v>0.86399999999999999</v>
      </c>
      <c r="AB294" s="476">
        <v>0.88090000000000002</v>
      </c>
      <c r="AC294" s="476">
        <v>0.89549999999999996</v>
      </c>
      <c r="AD294" s="476">
        <v>0.90800000000000003</v>
      </c>
      <c r="AE294" s="476">
        <v>0.91835714300000004</v>
      </c>
      <c r="AF294" s="319"/>
      <c r="AG294" s="319"/>
      <c r="AH294" s="319"/>
      <c r="AI294" s="319"/>
      <c r="AJ294" s="319"/>
      <c r="AK294" s="319"/>
      <c r="AL294" s="319"/>
      <c r="AM294" s="319"/>
      <c r="AN294" s="319"/>
      <c r="AO294" s="319"/>
      <c r="AP294" s="319"/>
      <c r="AQ294" s="319"/>
      <c r="AR294" s="319"/>
      <c r="AS294" s="319"/>
      <c r="AT294" s="319"/>
      <c r="AU294" s="319"/>
      <c r="AV294" s="319"/>
      <c r="AW294" s="319"/>
      <c r="AX294" s="319"/>
      <c r="AY294" s="319"/>
      <c r="AZ294" s="319"/>
      <c r="BA294" s="319"/>
      <c r="BB294" s="319"/>
      <c r="BC294" s="319"/>
      <c r="BD294" s="319"/>
      <c r="BE294" s="319"/>
      <c r="BF294" s="319"/>
      <c r="BG294" s="319"/>
      <c r="BH294" s="319"/>
      <c r="BI294" s="319"/>
      <c r="BJ294" s="319"/>
      <c r="BK294" s="319"/>
      <c r="BL294" s="319"/>
      <c r="BM294" s="319"/>
      <c r="BN294" s="319"/>
      <c r="BO294" s="319"/>
      <c r="BP294" s="319"/>
      <c r="BQ294" s="319"/>
      <c r="BR294" s="319"/>
      <c r="BS294" s="319"/>
      <c r="BT294" s="319"/>
      <c r="BU294" s="319"/>
      <c r="BV294" s="319"/>
      <c r="BW294" s="319"/>
      <c r="BX294" s="319"/>
      <c r="BY294" s="319"/>
      <c r="BZ294" s="319"/>
      <c r="CA294" s="319"/>
      <c r="CB294" s="319"/>
      <c r="CC294" s="319"/>
      <c r="CD294" s="319"/>
      <c r="CE294" s="319"/>
      <c r="CF294" s="319"/>
      <c r="CG294" s="319"/>
      <c r="CH294" s="319"/>
      <c r="CI294" s="319"/>
      <c r="CJ294" s="319"/>
      <c r="CK294" s="319"/>
    </row>
    <row r="295" spans="1:89" ht="13.5" hidden="1" customHeight="1">
      <c r="A295" s="12"/>
      <c r="B295" s="1" t="str">
        <f>B756</f>
        <v>Radiação Solar anual - inclinado</v>
      </c>
      <c r="C295" s="29" t="str">
        <f>C294</f>
        <v>MWh/m²</v>
      </c>
      <c r="D295" s="217">
        <f>'Modelo Energético'!D471</f>
        <v>1.8501039416172664</v>
      </c>
      <c r="E295" s="329"/>
      <c r="F295" s="329"/>
      <c r="G295" s="329"/>
      <c r="H295" s="329"/>
      <c r="I295" s="329"/>
      <c r="J295" s="1"/>
      <c r="K295" s="9"/>
      <c r="L295" s="1"/>
      <c r="M295" s="319"/>
      <c r="N295" s="319">
        <v>2122016</v>
      </c>
      <c r="O295" s="319"/>
      <c r="P295" s="319"/>
      <c r="Q295" s="319"/>
      <c r="R295" s="319"/>
      <c r="S295" s="319"/>
      <c r="T295" s="319"/>
      <c r="U295" s="319"/>
      <c r="V295" s="476">
        <v>0.93500000000000005</v>
      </c>
      <c r="W295" s="476">
        <v>0.86233333300000004</v>
      </c>
      <c r="X295" s="476">
        <v>0.90900000000000003</v>
      </c>
      <c r="Y295" s="476">
        <v>0.91500000000000004</v>
      </c>
      <c r="Z295" s="476">
        <v>0.92100000000000004</v>
      </c>
      <c r="AA295" s="476">
        <v>0.92600000000000005</v>
      </c>
      <c r="AB295" s="476">
        <v>0.94199999999999995</v>
      </c>
      <c r="AC295" s="476">
        <v>0.95399999999999996</v>
      </c>
      <c r="AD295" s="476">
        <v>0.96199999999999997</v>
      </c>
      <c r="AE295" s="476">
        <v>0.97</v>
      </c>
      <c r="AF295" s="319"/>
      <c r="AG295" s="319"/>
      <c r="AH295" s="319"/>
      <c r="AI295" s="319"/>
      <c r="AJ295" s="319"/>
      <c r="AK295" s="319"/>
      <c r="AL295" s="319"/>
      <c r="AM295" s="319"/>
      <c r="AN295" s="319"/>
      <c r="AO295" s="319"/>
      <c r="AP295" s="319"/>
      <c r="AQ295" s="319"/>
      <c r="AR295" s="319"/>
      <c r="AS295" s="319"/>
      <c r="AT295" s="319"/>
      <c r="AU295" s="319"/>
      <c r="AV295" s="319"/>
      <c r="AW295" s="319"/>
      <c r="AX295" s="319"/>
      <c r="AY295" s="319"/>
      <c r="AZ295" s="319"/>
      <c r="BA295" s="319"/>
      <c r="BB295" s="319"/>
      <c r="BC295" s="319"/>
      <c r="BD295" s="319"/>
      <c r="BE295" s="319"/>
      <c r="BF295" s="319"/>
      <c r="BG295" s="319"/>
      <c r="BH295" s="319"/>
      <c r="BI295" s="319"/>
      <c r="BJ295" s="319"/>
      <c r="BK295" s="319"/>
      <c r="BL295" s="319"/>
      <c r="BM295" s="319"/>
      <c r="BN295" s="319"/>
      <c r="BO295" s="319"/>
      <c r="BP295" s="319"/>
      <c r="BQ295" s="319"/>
      <c r="BR295" s="319"/>
      <c r="BS295" s="319"/>
      <c r="BT295" s="319"/>
      <c r="BU295" s="319"/>
      <c r="BV295" s="319"/>
      <c r="BW295" s="319"/>
      <c r="BX295" s="319"/>
      <c r="BY295" s="319"/>
      <c r="BZ295" s="319"/>
      <c r="CA295" s="319"/>
      <c r="CB295" s="319"/>
      <c r="CC295" s="319"/>
      <c r="CD295" s="319"/>
      <c r="CE295" s="319"/>
      <c r="CF295" s="319"/>
      <c r="CG295" s="319"/>
      <c r="CH295" s="319"/>
      <c r="CI295" s="319"/>
      <c r="CJ295" s="319"/>
      <c r="CK295" s="319"/>
    </row>
    <row r="296" spans="1:89" ht="12.75" hidden="1" customHeight="1">
      <c r="A296" s="12"/>
      <c r="B296" s="329"/>
      <c r="C296" s="329"/>
      <c r="D296" s="329"/>
      <c r="E296" s="329"/>
      <c r="F296" s="329"/>
      <c r="G296" s="329"/>
      <c r="H296" s="329"/>
      <c r="I296" s="329"/>
      <c r="J296" s="1"/>
      <c r="K296" s="9"/>
      <c r="L296" s="1"/>
      <c r="M296" s="319"/>
      <c r="N296" s="319">
        <v>5030000</v>
      </c>
      <c r="O296" s="319"/>
      <c r="P296" s="319"/>
      <c r="Q296" s="319"/>
      <c r="R296" s="319"/>
      <c r="S296" s="319"/>
      <c r="T296" s="319"/>
      <c r="U296" s="319"/>
      <c r="V296" s="476">
        <v>1.02</v>
      </c>
      <c r="W296" s="476">
        <v>0.86233333300000004</v>
      </c>
      <c r="X296" s="476">
        <v>0.94330000000000003</v>
      </c>
      <c r="Y296" s="476">
        <v>0.95299999999999996</v>
      </c>
      <c r="Z296" s="476">
        <v>0.95799999999999996</v>
      </c>
      <c r="AA296" s="476">
        <v>0.96199999999999997</v>
      </c>
      <c r="AB296" s="476">
        <v>0.97</v>
      </c>
      <c r="AC296" s="476">
        <v>0.97599999999999998</v>
      </c>
      <c r="AD296" s="476">
        <v>0.98</v>
      </c>
      <c r="AE296" s="476">
        <v>0.98560000000000003</v>
      </c>
      <c r="AF296" s="319"/>
      <c r="AG296" s="319"/>
      <c r="AH296" s="319"/>
      <c r="AI296" s="319"/>
      <c r="AJ296" s="319"/>
      <c r="AK296" s="319"/>
      <c r="AL296" s="319"/>
      <c r="AM296" s="319"/>
      <c r="AN296" s="319"/>
      <c r="AO296" s="319"/>
      <c r="AP296" s="319"/>
      <c r="AQ296" s="319"/>
      <c r="AR296" s="319"/>
      <c r="AS296" s="319"/>
      <c r="AT296" s="319"/>
      <c r="AU296" s="319"/>
      <c r="AV296" s="319"/>
      <c r="AW296" s="319"/>
      <c r="AX296" s="319"/>
      <c r="AY296" s="319"/>
      <c r="AZ296" s="319"/>
      <c r="BA296" s="319"/>
      <c r="BB296" s="319"/>
      <c r="BC296" s="319"/>
      <c r="BD296" s="319"/>
      <c r="BE296" s="319"/>
      <c r="BF296" s="319"/>
      <c r="BG296" s="319"/>
      <c r="BH296" s="319"/>
      <c r="BI296" s="319"/>
      <c r="BJ296" s="319"/>
      <c r="BK296" s="319"/>
      <c r="BL296" s="319"/>
      <c r="BM296" s="319"/>
      <c r="BN296" s="319"/>
      <c r="BO296" s="319"/>
      <c r="BP296" s="319"/>
      <c r="BQ296" s="319"/>
      <c r="BR296" s="319"/>
      <c r="BS296" s="319"/>
      <c r="BT296" s="319"/>
      <c r="BU296" s="319"/>
      <c r="BV296" s="319"/>
      <c r="BW296" s="319"/>
      <c r="BX296" s="319"/>
      <c r="BY296" s="319"/>
      <c r="BZ296" s="319"/>
      <c r="CA296" s="319"/>
      <c r="CB296" s="319"/>
      <c r="CC296" s="319"/>
      <c r="CD296" s="319"/>
      <c r="CE296" s="319"/>
      <c r="CF296" s="319"/>
      <c r="CG296" s="319"/>
      <c r="CH296" s="319"/>
      <c r="CI296" s="319"/>
      <c r="CJ296" s="319"/>
      <c r="CK296" s="319"/>
    </row>
    <row r="297" spans="1:89" ht="12.75" hidden="1" customHeight="1">
      <c r="A297" s="12"/>
      <c r="B297" s="28" t="str">
        <f>Lang_ES_Photov</f>
        <v>Fotovoltaica</v>
      </c>
      <c r="C297" s="329"/>
      <c r="D297" s="329"/>
      <c r="E297" s="1"/>
      <c r="F297" s="1"/>
      <c r="G297" s="82"/>
      <c r="H297" s="1"/>
      <c r="I297" s="1"/>
      <c r="J297" s="1"/>
      <c r="K297" s="9"/>
      <c r="L297" s="1"/>
      <c r="M297" s="319"/>
      <c r="N297" s="319">
        <v>5030020</v>
      </c>
      <c r="O297" s="319"/>
      <c r="P297" s="319"/>
      <c r="Q297" s="319"/>
      <c r="R297" s="319"/>
      <c r="S297" s="319"/>
      <c r="T297" s="319"/>
      <c r="U297" s="319"/>
      <c r="V297" s="476">
        <v>1.105</v>
      </c>
      <c r="W297" s="476">
        <v>0.86233333300000004</v>
      </c>
      <c r="X297" s="476">
        <v>0.9607</v>
      </c>
      <c r="Y297" s="476">
        <v>0.97399999999999998</v>
      </c>
      <c r="Z297" s="476">
        <v>0.97599999999999998</v>
      </c>
      <c r="AA297" s="476">
        <v>0.97799999999999998</v>
      </c>
      <c r="AB297" s="476">
        <v>0.98199999999999998</v>
      </c>
      <c r="AC297" s="476">
        <v>0.98399999999999999</v>
      </c>
      <c r="AD297" s="476">
        <v>0.98699999999999999</v>
      </c>
      <c r="AE297" s="476">
        <v>0.99099999999999999</v>
      </c>
      <c r="AF297" s="319"/>
      <c r="AG297" s="319"/>
      <c r="AH297" s="319"/>
      <c r="AI297" s="319"/>
      <c r="AJ297" s="319"/>
      <c r="AK297" s="319"/>
      <c r="AL297" s="319"/>
      <c r="AM297" s="319"/>
      <c r="AN297" s="319"/>
      <c r="AO297" s="319"/>
      <c r="AP297" s="319"/>
      <c r="AQ297" s="319"/>
      <c r="AR297" s="319"/>
      <c r="AS297" s="319"/>
      <c r="AT297" s="319"/>
      <c r="AU297" s="319"/>
      <c r="AV297" s="319"/>
      <c r="AW297" s="319"/>
      <c r="AX297" s="319"/>
      <c r="AY297" s="319"/>
      <c r="AZ297" s="319"/>
      <c r="BA297" s="319"/>
      <c r="BB297" s="319"/>
      <c r="BC297" s="319"/>
      <c r="BD297" s="319"/>
      <c r="BE297" s="319"/>
      <c r="BF297" s="319"/>
      <c r="BG297" s="319"/>
      <c r="BH297" s="319"/>
      <c r="BI297" s="319"/>
      <c r="BJ297" s="319"/>
      <c r="BK297" s="319"/>
      <c r="BL297" s="319"/>
      <c r="BM297" s="319"/>
      <c r="BN297" s="319"/>
      <c r="BO297" s="319"/>
      <c r="BP297" s="319"/>
      <c r="BQ297" s="319"/>
      <c r="BR297" s="319"/>
      <c r="BS297" s="319"/>
      <c r="BT297" s="319"/>
      <c r="BU297" s="319"/>
      <c r="BV297" s="319"/>
      <c r="BW297" s="319"/>
      <c r="BX297" s="319"/>
      <c r="BY297" s="319"/>
      <c r="BZ297" s="319"/>
      <c r="CA297" s="319"/>
      <c r="CB297" s="319"/>
      <c r="CC297" s="319"/>
      <c r="CD297" s="319"/>
      <c r="CE297" s="319"/>
      <c r="CF297" s="319"/>
      <c r="CG297" s="319"/>
      <c r="CH297" s="319"/>
      <c r="CI297" s="319"/>
      <c r="CJ297" s="319"/>
      <c r="CK297" s="319"/>
    </row>
    <row r="298" spans="1:89" ht="13.2" hidden="1">
      <c r="A298" s="12"/>
      <c r="B298" s="1" t="str">
        <f>B759</f>
        <v>Tipo</v>
      </c>
      <c r="C298" s="29"/>
      <c r="D298" s="419" t="s">
        <v>3280</v>
      </c>
      <c r="E298" s="1"/>
      <c r="F298" s="1"/>
      <c r="G298" s="1"/>
      <c r="H298" s="1"/>
      <c r="I298" s="1"/>
      <c r="J298" s="1"/>
      <c r="K298" s="9"/>
      <c r="L298" s="1"/>
      <c r="M298" s="319">
        <f>'Modelo Energético'!M485</f>
        <v>1</v>
      </c>
      <c r="N298" s="319">
        <v>2123002</v>
      </c>
      <c r="O298" s="319"/>
      <c r="P298" s="319"/>
      <c r="Q298" s="319"/>
      <c r="R298" s="319"/>
      <c r="S298" s="319"/>
      <c r="T298" s="319"/>
      <c r="U298" s="319"/>
      <c r="V298" s="476">
        <v>1.19</v>
      </c>
      <c r="W298" s="476">
        <v>0.86233333300000004</v>
      </c>
      <c r="X298" s="476">
        <v>0.96850000000000003</v>
      </c>
      <c r="Y298" s="476">
        <v>0.98399999999999999</v>
      </c>
      <c r="Z298" s="476">
        <v>0.98499999999999999</v>
      </c>
      <c r="AA298" s="476">
        <v>0.98599999999999999</v>
      </c>
      <c r="AB298" s="476">
        <v>0.98899999999999999</v>
      </c>
      <c r="AC298" s="476">
        <v>0.99</v>
      </c>
      <c r="AD298" s="476">
        <v>0.99199999999999999</v>
      </c>
      <c r="AE298" s="476">
        <v>0.99399999999999999</v>
      </c>
      <c r="AF298" s="319"/>
      <c r="AG298" s="319"/>
      <c r="AH298" s="319"/>
      <c r="AI298" s="319"/>
      <c r="AJ298" s="319"/>
      <c r="AK298" s="319"/>
      <c r="AL298" s="319"/>
      <c r="AM298" s="319"/>
      <c r="AN298" s="319"/>
      <c r="AO298" s="319"/>
      <c r="AP298" s="319"/>
      <c r="AQ298" s="319"/>
      <c r="AR298" s="319"/>
      <c r="AS298" s="319"/>
      <c r="AT298" s="319"/>
      <c r="AU298" s="319"/>
      <c r="AV298" s="319"/>
      <c r="AW298" s="319"/>
      <c r="AX298" s="319"/>
      <c r="AY298" s="319"/>
      <c r="AZ298" s="319"/>
      <c r="BA298" s="319"/>
      <c r="BB298" s="319"/>
      <c r="BC298" s="319"/>
      <c r="BD298" s="319"/>
      <c r="BE298" s="319"/>
      <c r="BF298" s="319"/>
      <c r="BG298" s="319"/>
      <c r="BH298" s="319"/>
      <c r="BI298" s="319"/>
      <c r="BJ298" s="319"/>
      <c r="BK298" s="319"/>
      <c r="BL298" s="319"/>
      <c r="BM298" s="319"/>
      <c r="BN298" s="319"/>
      <c r="BO298" s="319"/>
      <c r="BP298" s="319"/>
      <c r="BQ298" s="319"/>
      <c r="BR298" s="319"/>
      <c r="BS298" s="319"/>
      <c r="BT298" s="319"/>
      <c r="BU298" s="319"/>
      <c r="BV298" s="319"/>
      <c r="BW298" s="319"/>
      <c r="BX298" s="319"/>
      <c r="BY298" s="319"/>
      <c r="BZ298" s="319"/>
      <c r="CA298" s="319"/>
      <c r="CB298" s="319"/>
      <c r="CC298" s="319"/>
      <c r="CD298" s="319"/>
      <c r="CE298" s="319"/>
      <c r="CF298" s="319"/>
      <c r="CG298" s="319"/>
      <c r="CH298" s="319"/>
      <c r="CI298" s="319"/>
      <c r="CJ298" s="319"/>
      <c r="CK298" s="319"/>
    </row>
    <row r="299" spans="1:89" ht="13.5" hidden="1" customHeight="1">
      <c r="A299" s="12"/>
      <c r="B299" s="1" t="str">
        <f>$B$853</f>
        <v>Potência elétrica</v>
      </c>
      <c r="C299" s="29" t="str">
        <f>F1169</f>
        <v>kW</v>
      </c>
      <c r="D299" s="522"/>
      <c r="E299" s="55" t="str">
        <f>IF(OR(E247=0,E247=""),"",EEM_Capa_PV/E247)</f>
        <v/>
      </c>
      <c r="F299" s="1"/>
      <c r="G299" s="1346"/>
      <c r="H299" s="1"/>
      <c r="I299" s="1209" t="str">
        <f>Language!C61</f>
        <v>Ver banco de dados de produtos</v>
      </c>
      <c r="J299" s="1191"/>
      <c r="K299" s="1210"/>
      <c r="L299" s="1"/>
      <c r="M299" s="319"/>
      <c r="N299" s="319">
        <v>5030024</v>
      </c>
      <c r="O299" s="319"/>
      <c r="P299" s="319"/>
      <c r="Q299" s="319"/>
      <c r="R299" s="319"/>
      <c r="S299" s="319"/>
      <c r="T299" s="319"/>
      <c r="U299" s="319"/>
      <c r="V299" s="476">
        <v>1.2749999999999999</v>
      </c>
      <c r="W299" s="476">
        <v>0.86233333300000004</v>
      </c>
      <c r="X299" s="476">
        <v>0.96850000000000003</v>
      </c>
      <c r="Y299" s="476">
        <v>0.98899999999999999</v>
      </c>
      <c r="Z299" s="476">
        <v>0.99099999999999999</v>
      </c>
      <c r="AA299" s="476">
        <v>0.99199999999999999</v>
      </c>
      <c r="AB299" s="476">
        <v>0.99399999999999999</v>
      </c>
      <c r="AC299" s="476">
        <v>0.995</v>
      </c>
      <c r="AD299" s="476">
        <v>0.997</v>
      </c>
      <c r="AE299" s="476">
        <v>0.998</v>
      </c>
      <c r="AF299" s="319"/>
      <c r="AG299" s="319"/>
      <c r="AH299" s="319"/>
      <c r="AI299" s="319"/>
      <c r="AJ299" s="319"/>
      <c r="AK299" s="319"/>
      <c r="AL299" s="319"/>
      <c r="AM299" s="319"/>
      <c r="AN299" s="319"/>
      <c r="AO299" s="319"/>
      <c r="AP299" s="319"/>
      <c r="AQ299" s="319"/>
      <c r="AR299" s="319"/>
      <c r="AS299" s="319"/>
      <c r="AT299" s="319"/>
      <c r="AU299" s="319"/>
      <c r="AV299" s="319"/>
      <c r="AW299" s="319"/>
      <c r="AX299" s="319"/>
      <c r="AY299" s="319"/>
      <c r="AZ299" s="319"/>
      <c r="BA299" s="319"/>
      <c r="BB299" s="319"/>
      <c r="BC299" s="319"/>
      <c r="BD299" s="319"/>
      <c r="BE299" s="319"/>
      <c r="BF299" s="319"/>
      <c r="BG299" s="319"/>
      <c r="BH299" s="319"/>
      <c r="BI299" s="319"/>
      <c r="BJ299" s="319"/>
      <c r="BK299" s="319"/>
      <c r="BL299" s="319"/>
      <c r="BM299" s="319"/>
      <c r="BN299" s="319"/>
      <c r="BO299" s="319"/>
      <c r="BP299" s="319"/>
      <c r="BQ299" s="319"/>
      <c r="BR299" s="319"/>
      <c r="BS299" s="319"/>
      <c r="BT299" s="319"/>
      <c r="BU299" s="319"/>
      <c r="BV299" s="319"/>
      <c r="BW299" s="319"/>
      <c r="BX299" s="319"/>
      <c r="BY299" s="319"/>
      <c r="BZ299" s="319"/>
      <c r="CA299" s="319"/>
      <c r="CB299" s="319"/>
      <c r="CC299" s="319"/>
      <c r="CD299" s="319"/>
      <c r="CE299" s="319"/>
      <c r="CF299" s="319"/>
      <c r="CG299" s="319"/>
      <c r="CH299" s="319"/>
      <c r="CI299" s="319"/>
      <c r="CJ299" s="319"/>
      <c r="CK299" s="319"/>
    </row>
    <row r="300" spans="1:89" ht="13.5" hidden="1" customHeight="1">
      <c r="A300" s="12"/>
      <c r="B300" s="1" t="str">
        <f>B760</f>
        <v>Fabricante</v>
      </c>
      <c r="C300" s="1152"/>
      <c r="D300" s="1153"/>
      <c r="E300" s="1154"/>
      <c r="F300" s="1"/>
      <c r="G300" s="1"/>
      <c r="H300" s="1"/>
      <c r="I300" s="1"/>
      <c r="J300" s="1"/>
      <c r="K300" s="9"/>
      <c r="L300" s="1"/>
      <c r="M300" s="319"/>
      <c r="N300" s="319">
        <v>2050012</v>
      </c>
      <c r="O300" s="319"/>
      <c r="P300" s="319"/>
      <c r="Q300" s="319"/>
      <c r="R300" s="319"/>
      <c r="S300" s="319"/>
      <c r="T300" s="319"/>
      <c r="U300" s="319"/>
      <c r="V300" s="476">
        <v>1.36</v>
      </c>
      <c r="W300" s="476">
        <v>0.86233333300000004</v>
      </c>
      <c r="X300" s="476">
        <v>0.96850000000000003</v>
      </c>
      <c r="Y300" s="476">
        <v>0.99399999999999999</v>
      </c>
      <c r="Z300" s="476">
        <v>0.995</v>
      </c>
      <c r="AA300" s="476">
        <v>0.996</v>
      </c>
      <c r="AB300" s="476">
        <v>0.997</v>
      </c>
      <c r="AC300" s="476">
        <v>0.998</v>
      </c>
      <c r="AD300" s="476">
        <v>0.999</v>
      </c>
      <c r="AE300" s="476">
        <v>1</v>
      </c>
      <c r="AF300" s="319"/>
      <c r="AG300" s="319"/>
      <c r="AH300" s="319"/>
      <c r="AI300" s="319"/>
      <c r="AJ300" s="319"/>
      <c r="AK300" s="319"/>
      <c r="AL300" s="319"/>
      <c r="AM300" s="319"/>
      <c r="AN300" s="319"/>
      <c r="AO300" s="319"/>
      <c r="AP300" s="319"/>
      <c r="AQ300" s="319"/>
      <c r="AR300" s="319"/>
      <c r="AS300" s="319"/>
      <c r="AT300" s="319"/>
      <c r="AU300" s="319"/>
      <c r="AV300" s="319"/>
      <c r="AW300" s="319"/>
      <c r="AX300" s="319"/>
      <c r="AY300" s="319"/>
      <c r="AZ300" s="319"/>
      <c r="BA300" s="319"/>
      <c r="BB300" s="319"/>
      <c r="BC300" s="319"/>
      <c r="BD300" s="319"/>
      <c r="BE300" s="319"/>
      <c r="BF300" s="319"/>
      <c r="BG300" s="319"/>
      <c r="BH300" s="319"/>
      <c r="BI300" s="319"/>
      <c r="BJ300" s="319"/>
      <c r="BK300" s="319"/>
      <c r="BL300" s="319"/>
      <c r="BM300" s="319"/>
      <c r="BN300" s="319"/>
      <c r="BO300" s="319"/>
      <c r="BP300" s="319"/>
      <c r="BQ300" s="319"/>
      <c r="BR300" s="319"/>
      <c r="BS300" s="319"/>
      <c r="BT300" s="319"/>
      <c r="BU300" s="319"/>
      <c r="BV300" s="319"/>
      <c r="BW300" s="319"/>
      <c r="BX300" s="319"/>
      <c r="BY300" s="319"/>
      <c r="BZ300" s="319"/>
      <c r="CA300" s="319"/>
      <c r="CB300" s="319"/>
      <c r="CC300" s="319"/>
      <c r="CD300" s="319"/>
      <c r="CE300" s="319"/>
      <c r="CF300" s="319"/>
      <c r="CG300" s="319"/>
      <c r="CH300" s="319"/>
      <c r="CI300" s="319"/>
      <c r="CJ300" s="319"/>
      <c r="CK300" s="319"/>
    </row>
    <row r="301" spans="1:89" ht="13.5" hidden="1" customHeight="1">
      <c r="A301" s="12"/>
      <c r="B301" s="1" t="str">
        <f>B761</f>
        <v>Modelo</v>
      </c>
      <c r="C301" s="1152"/>
      <c r="D301" s="1153"/>
      <c r="E301" s="1154"/>
      <c r="F301" s="1" t="str">
        <f>EEM_NbUnits &amp; Lang_Unit</f>
        <v>10 unidade(s)</v>
      </c>
      <c r="G301" s="1"/>
      <c r="H301" s="1"/>
      <c r="I301" s="1"/>
      <c r="J301" s="1"/>
      <c r="K301" s="9"/>
      <c r="L301" s="1"/>
      <c r="M301" s="319"/>
      <c r="N301" s="319">
        <v>2050014</v>
      </c>
      <c r="O301" s="319"/>
      <c r="P301" s="319"/>
      <c r="Q301" s="319"/>
      <c r="R301" s="319"/>
      <c r="S301" s="319"/>
      <c r="T301" s="319"/>
      <c r="U301" s="319"/>
      <c r="V301" s="476">
        <v>1.4450000000000001</v>
      </c>
      <c r="W301" s="476">
        <v>0.86233333300000004</v>
      </c>
      <c r="X301" s="476">
        <v>0.96850000000000003</v>
      </c>
      <c r="Y301" s="476">
        <v>0.99485714300000005</v>
      </c>
      <c r="Z301" s="476">
        <v>0.996</v>
      </c>
      <c r="AA301" s="476">
        <v>0.997</v>
      </c>
      <c r="AB301" s="476">
        <v>0.998</v>
      </c>
      <c r="AC301" s="476">
        <v>0.999</v>
      </c>
      <c r="AD301" s="476">
        <v>1</v>
      </c>
      <c r="AE301" s="476">
        <v>1</v>
      </c>
      <c r="AF301" s="319"/>
      <c r="AG301" s="319"/>
      <c r="AH301" s="319"/>
      <c r="AI301" s="319"/>
      <c r="AJ301" s="319"/>
      <c r="AK301" s="319"/>
      <c r="AL301" s="319"/>
      <c r="AM301" s="319"/>
      <c r="AN301" s="319"/>
      <c r="AO301" s="319"/>
      <c r="AP301" s="319"/>
      <c r="AQ301" s="319"/>
      <c r="AR301" s="319"/>
      <c r="AS301" s="319"/>
      <c r="AT301" s="319"/>
      <c r="AU301" s="319"/>
      <c r="AV301" s="319"/>
      <c r="AW301" s="319"/>
      <c r="AX301" s="319"/>
      <c r="AY301" s="319"/>
      <c r="AZ301" s="319"/>
      <c r="BA301" s="319"/>
      <c r="BB301" s="319"/>
      <c r="BC301" s="319"/>
      <c r="BD301" s="319"/>
      <c r="BE301" s="319"/>
      <c r="BF301" s="319"/>
      <c r="BG301" s="319"/>
      <c r="BH301" s="319"/>
      <c r="BI301" s="319"/>
      <c r="BJ301" s="319"/>
      <c r="BK301" s="319"/>
      <c r="BL301" s="319"/>
      <c r="BM301" s="319"/>
      <c r="BN301" s="319"/>
      <c r="BO301" s="319"/>
      <c r="BP301" s="319"/>
      <c r="BQ301" s="319"/>
      <c r="BR301" s="319"/>
      <c r="BS301" s="319"/>
      <c r="BT301" s="319"/>
      <c r="BU301" s="319"/>
      <c r="BV301" s="319"/>
      <c r="BW301" s="319"/>
      <c r="BX301" s="319"/>
      <c r="BY301" s="319"/>
      <c r="BZ301" s="319"/>
      <c r="CA301" s="319"/>
      <c r="CB301" s="319"/>
      <c r="CC301" s="319"/>
      <c r="CD301" s="319"/>
      <c r="CE301" s="319"/>
      <c r="CF301" s="319"/>
      <c r="CG301" s="319"/>
      <c r="CH301" s="319"/>
      <c r="CI301" s="319"/>
      <c r="CJ301" s="319"/>
      <c r="CK301" s="319"/>
    </row>
    <row r="302" spans="1:89" ht="13.5" hidden="1" customHeight="1">
      <c r="A302" s="12"/>
      <c r="B302" s="1" t="str">
        <f>B254</f>
        <v>Eficiência</v>
      </c>
      <c r="C302" s="29" t="str">
        <f>$C$254</f>
        <v>%</v>
      </c>
      <c r="D302" s="411"/>
      <c r="E302" s="1"/>
      <c r="F302" s="1"/>
      <c r="G302" s="1"/>
      <c r="H302" s="1"/>
      <c r="I302" s="1"/>
      <c r="J302" s="1"/>
      <c r="K302" s="9"/>
      <c r="L302" s="1"/>
      <c r="M302" s="319"/>
      <c r="N302" s="319">
        <v>2123010</v>
      </c>
      <c r="O302" s="319"/>
      <c r="P302" s="319"/>
      <c r="Q302" s="319"/>
      <c r="R302" s="319"/>
      <c r="S302" s="319"/>
      <c r="T302" s="319"/>
      <c r="U302" s="319"/>
      <c r="V302" s="476">
        <v>1.53</v>
      </c>
      <c r="W302" s="476">
        <v>0.86233333300000004</v>
      </c>
      <c r="X302" s="476">
        <v>0.96850000000000003</v>
      </c>
      <c r="Y302" s="476">
        <v>0.99485714300000005</v>
      </c>
      <c r="Z302" s="476">
        <v>0.997</v>
      </c>
      <c r="AA302" s="476">
        <v>0.998</v>
      </c>
      <c r="AB302" s="476">
        <v>0.999</v>
      </c>
      <c r="AC302" s="476">
        <v>1</v>
      </c>
      <c r="AD302" s="476">
        <v>1</v>
      </c>
      <c r="AE302" s="476">
        <v>1</v>
      </c>
      <c r="AF302" s="319"/>
      <c r="AG302" s="319"/>
      <c r="AH302" s="319"/>
      <c r="AI302" s="319"/>
      <c r="AJ302" s="319"/>
      <c r="AK302" s="319"/>
      <c r="AL302" s="319"/>
      <c r="AM302" s="319"/>
      <c r="AN302" s="319"/>
      <c r="AO302" s="319"/>
      <c r="AP302" s="319"/>
      <c r="AQ302" s="319"/>
      <c r="AR302" s="319"/>
      <c r="AS302" s="319"/>
      <c r="AT302" s="319"/>
      <c r="AU302" s="319"/>
      <c r="AV302" s="319"/>
      <c r="AW302" s="319"/>
      <c r="AX302" s="319"/>
      <c r="AY302" s="319"/>
      <c r="AZ302" s="319"/>
      <c r="BA302" s="319"/>
      <c r="BB302" s="319"/>
      <c r="BC302" s="319"/>
      <c r="BD302" s="319"/>
      <c r="BE302" s="319"/>
      <c r="BF302" s="319"/>
      <c r="BG302" s="319"/>
      <c r="BH302" s="319"/>
      <c r="BI302" s="319"/>
      <c r="BJ302" s="319"/>
      <c r="BK302" s="319"/>
      <c r="BL302" s="319"/>
      <c r="BM302" s="319"/>
      <c r="BN302" s="319"/>
      <c r="BO302" s="319"/>
      <c r="BP302" s="319"/>
      <c r="BQ302" s="319"/>
      <c r="BR302" s="319"/>
      <c r="BS302" s="319"/>
      <c r="BT302" s="319"/>
      <c r="BU302" s="319"/>
      <c r="BV302" s="319"/>
      <c r="BW302" s="319"/>
      <c r="BX302" s="319"/>
      <c r="BY302" s="319"/>
      <c r="BZ302" s="319"/>
      <c r="CA302" s="319"/>
      <c r="CB302" s="319"/>
      <c r="CC302" s="319"/>
      <c r="CD302" s="319"/>
      <c r="CE302" s="319"/>
      <c r="CF302" s="319"/>
      <c r="CG302" s="319"/>
      <c r="CH302" s="319"/>
      <c r="CI302" s="319"/>
      <c r="CJ302" s="319"/>
      <c r="CK302" s="319"/>
    </row>
    <row r="303" spans="1:89" ht="13.5" hidden="1" customHeight="1">
      <c r="A303" s="12"/>
      <c r="B303" s="1" t="str">
        <f>B305</f>
        <v>Temperatura de operação normal da célula</v>
      </c>
      <c r="C303" s="29" t="str">
        <f>C305</f>
        <v>°C</v>
      </c>
      <c r="D303" s="519"/>
      <c r="E303" s="1"/>
      <c r="F303" s="1"/>
      <c r="G303" s="1"/>
      <c r="H303" s="1"/>
      <c r="I303" s="1"/>
      <c r="J303" s="1"/>
      <c r="K303" s="9"/>
      <c r="L303" s="1"/>
      <c r="M303" s="319"/>
      <c r="N303" s="319">
        <v>2123012</v>
      </c>
      <c r="O303" s="319"/>
      <c r="P303" s="319"/>
      <c r="Q303" s="319"/>
      <c r="R303" s="319"/>
      <c r="S303" s="319"/>
      <c r="T303" s="319"/>
      <c r="U303" s="319"/>
      <c r="V303" s="476">
        <v>1.615</v>
      </c>
      <c r="W303" s="476">
        <v>0.86233333300000004</v>
      </c>
      <c r="X303" s="476">
        <v>0.96850000000000003</v>
      </c>
      <c r="Y303" s="476">
        <v>0.99485714300000005</v>
      </c>
      <c r="Z303" s="476">
        <v>0.998</v>
      </c>
      <c r="AA303" s="476">
        <v>0.999</v>
      </c>
      <c r="AB303" s="476">
        <v>1</v>
      </c>
      <c r="AC303" s="476">
        <v>1</v>
      </c>
      <c r="AD303" s="476">
        <v>1</v>
      </c>
      <c r="AE303" s="476">
        <v>1</v>
      </c>
      <c r="AF303" s="319"/>
      <c r="AG303" s="319"/>
      <c r="AH303" s="319"/>
      <c r="AI303" s="319"/>
      <c r="AJ303" s="319"/>
      <c r="AK303" s="319"/>
      <c r="AL303" s="319"/>
      <c r="AM303" s="319"/>
      <c r="AN303" s="319"/>
      <c r="AO303" s="319"/>
      <c r="AP303" s="319"/>
      <c r="AQ303" s="319"/>
      <c r="AR303" s="319"/>
      <c r="AS303" s="319"/>
      <c r="AT303" s="319"/>
      <c r="AU303" s="319"/>
      <c r="AV303" s="319"/>
      <c r="AW303" s="319"/>
      <c r="AX303" s="319"/>
      <c r="AY303" s="319"/>
      <c r="AZ303" s="319"/>
      <c r="BA303" s="319"/>
      <c r="BB303" s="319"/>
      <c r="BC303" s="319"/>
      <c r="BD303" s="319"/>
      <c r="BE303" s="319"/>
      <c r="BF303" s="319"/>
      <c r="BG303" s="319"/>
      <c r="BH303" s="319"/>
      <c r="BI303" s="319"/>
      <c r="BJ303" s="319"/>
      <c r="BK303" s="319"/>
      <c r="BL303" s="319"/>
      <c r="BM303" s="319"/>
      <c r="BN303" s="319"/>
      <c r="BO303" s="319"/>
      <c r="BP303" s="319"/>
      <c r="BQ303" s="319"/>
      <c r="BR303" s="319"/>
      <c r="BS303" s="319"/>
      <c r="BT303" s="319"/>
      <c r="BU303" s="319"/>
      <c r="BV303" s="319"/>
      <c r="BW303" s="319"/>
      <c r="BX303" s="319"/>
      <c r="BY303" s="319"/>
      <c r="BZ303" s="319"/>
      <c r="CA303" s="319"/>
      <c r="CB303" s="319"/>
      <c r="CC303" s="319"/>
      <c r="CD303" s="319"/>
      <c r="CE303" s="319"/>
      <c r="CF303" s="319"/>
      <c r="CG303" s="319"/>
      <c r="CH303" s="319"/>
      <c r="CI303" s="319"/>
      <c r="CJ303" s="319"/>
      <c r="CK303" s="319"/>
    </row>
    <row r="304" spans="1:89" ht="13.5" hidden="1" customHeight="1">
      <c r="A304" s="12"/>
      <c r="B304" s="1" t="str">
        <f>B306</f>
        <v>Coeficiente de Temperatura</v>
      </c>
      <c r="C304" s="29" t="str">
        <f>C306</f>
        <v>% / °C</v>
      </c>
      <c r="D304" s="804"/>
      <c r="E304" s="1"/>
      <c r="F304" s="1"/>
      <c r="G304" s="1"/>
      <c r="H304" s="1"/>
      <c r="I304" s="1"/>
      <c r="J304" s="1"/>
      <c r="K304" s="9"/>
      <c r="L304" s="1"/>
      <c r="M304" s="319"/>
      <c r="N304" s="319">
        <v>2123014</v>
      </c>
      <c r="O304" s="319"/>
      <c r="P304" s="319"/>
      <c r="Q304" s="319"/>
      <c r="R304" s="319"/>
      <c r="S304" s="319"/>
      <c r="T304" s="319"/>
      <c r="U304" s="319"/>
      <c r="V304" s="476">
        <v>1.7</v>
      </c>
      <c r="W304" s="476">
        <v>0.86233333300000004</v>
      </c>
      <c r="X304" s="476">
        <v>0.96850000000000003</v>
      </c>
      <c r="Y304" s="476">
        <v>0.99485714300000005</v>
      </c>
      <c r="Z304" s="476">
        <v>0.999</v>
      </c>
      <c r="AA304" s="476">
        <v>1</v>
      </c>
      <c r="AB304" s="476">
        <v>1</v>
      </c>
      <c r="AC304" s="476">
        <v>1</v>
      </c>
      <c r="AD304" s="476">
        <v>1</v>
      </c>
      <c r="AE304" s="476">
        <v>1</v>
      </c>
      <c r="AF304" s="319"/>
      <c r="AG304" s="319"/>
      <c r="AH304" s="319"/>
      <c r="AI304" s="319"/>
      <c r="AJ304" s="319"/>
      <c r="AK304" s="319"/>
      <c r="AL304" s="319"/>
      <c r="AM304" s="319"/>
      <c r="AN304" s="319"/>
      <c r="AO304" s="319"/>
      <c r="AP304" s="319"/>
      <c r="AQ304" s="319"/>
      <c r="AR304" s="319"/>
      <c r="AS304" s="319"/>
      <c r="AT304" s="319"/>
      <c r="AU304" s="319"/>
      <c r="AV304" s="319"/>
      <c r="AW304" s="319"/>
      <c r="AX304" s="319"/>
      <c r="AY304" s="319"/>
      <c r="AZ304" s="319"/>
      <c r="BA304" s="319"/>
      <c r="BB304" s="319"/>
      <c r="BC304" s="319"/>
      <c r="BD304" s="319"/>
      <c r="BE304" s="319"/>
      <c r="BF304" s="319"/>
      <c r="BG304" s="319"/>
      <c r="BH304" s="319"/>
      <c r="BI304" s="319"/>
      <c r="BJ304" s="319"/>
      <c r="BK304" s="319"/>
      <c r="BL304" s="319"/>
      <c r="BM304" s="319"/>
      <c r="BN304" s="319"/>
      <c r="BO304" s="319"/>
      <c r="BP304" s="319"/>
      <c r="BQ304" s="319"/>
      <c r="BR304" s="319"/>
      <c r="BS304" s="319"/>
      <c r="BT304" s="319"/>
      <c r="BU304" s="319"/>
      <c r="BV304" s="319"/>
      <c r="BW304" s="319"/>
      <c r="BX304" s="319"/>
      <c r="BY304" s="319"/>
      <c r="BZ304" s="319"/>
      <c r="CA304" s="319"/>
      <c r="CB304" s="319"/>
      <c r="CC304" s="319"/>
      <c r="CD304" s="319"/>
      <c r="CE304" s="319"/>
      <c r="CF304" s="319"/>
      <c r="CG304" s="319"/>
      <c r="CH304" s="319"/>
      <c r="CI304" s="319"/>
      <c r="CJ304" s="319"/>
      <c r="CK304" s="319"/>
    </row>
    <row r="305" spans="1:89" ht="13.5" hidden="1" customHeight="1">
      <c r="A305" s="12"/>
      <c r="B305" s="1" t="str">
        <f>Language!C1519</f>
        <v>Temperatura de operação normal da célula</v>
      </c>
      <c r="C305" s="29" t="str">
        <f>C1178</f>
        <v>°C</v>
      </c>
      <c r="D305" s="365">
        <f>ModNOCT</f>
        <v>45</v>
      </c>
      <c r="E305" s="1"/>
      <c r="F305" s="1"/>
      <c r="G305" s="1"/>
      <c r="H305" s="1"/>
      <c r="I305" s="1"/>
      <c r="J305" s="1"/>
      <c r="K305" s="9"/>
      <c r="L305" s="1"/>
      <c r="M305" s="319"/>
      <c r="N305" s="319">
        <v>2123012</v>
      </c>
      <c r="O305" s="319"/>
      <c r="P305" s="319"/>
      <c r="Q305" s="319"/>
      <c r="R305" s="319"/>
      <c r="S305" s="319"/>
      <c r="T305" s="319"/>
      <c r="U305" s="319"/>
      <c r="V305" s="476">
        <v>1.7849999999999999</v>
      </c>
      <c r="W305" s="476">
        <v>0.86233333300000004</v>
      </c>
      <c r="X305" s="476">
        <v>0.96850000000000003</v>
      </c>
      <c r="Y305" s="476">
        <v>0.99485714300000005</v>
      </c>
      <c r="Z305" s="476">
        <v>1</v>
      </c>
      <c r="AA305" s="476">
        <v>1</v>
      </c>
      <c r="AB305" s="476">
        <v>1</v>
      </c>
      <c r="AC305" s="476">
        <v>1</v>
      </c>
      <c r="AD305" s="476">
        <v>1</v>
      </c>
      <c r="AE305" s="476">
        <v>1</v>
      </c>
      <c r="AF305" s="319"/>
      <c r="AG305" s="319"/>
      <c r="AH305" s="319"/>
      <c r="AI305" s="319"/>
      <c r="AJ305" s="319"/>
      <c r="AK305" s="319"/>
      <c r="AL305" s="319"/>
      <c r="AM305" s="319"/>
      <c r="AN305" s="319"/>
      <c r="AO305" s="319"/>
      <c r="AP305" s="319"/>
      <c r="AQ305" s="319"/>
      <c r="AR305" s="319"/>
      <c r="AS305" s="319"/>
      <c r="AT305" s="319"/>
      <c r="AU305" s="319"/>
      <c r="AV305" s="319"/>
      <c r="AW305" s="319"/>
      <c r="AX305" s="319"/>
      <c r="AY305" s="319"/>
      <c r="AZ305" s="319"/>
      <c r="BA305" s="319"/>
      <c r="BB305" s="319"/>
      <c r="BC305" s="319"/>
      <c r="BD305" s="319"/>
      <c r="BE305" s="319"/>
      <c r="BF305" s="319"/>
      <c r="BG305" s="319"/>
      <c r="BH305" s="319"/>
      <c r="BI305" s="319"/>
      <c r="BJ305" s="319"/>
      <c r="BK305" s="319"/>
      <c r="BL305" s="319"/>
      <c r="BM305" s="319"/>
      <c r="BN305" s="319"/>
      <c r="BO305" s="319"/>
      <c r="BP305" s="319"/>
      <c r="BQ305" s="319"/>
      <c r="BR305" s="319"/>
      <c r="BS305" s="319"/>
      <c r="BT305" s="319"/>
      <c r="BU305" s="319"/>
      <c r="BV305" s="319"/>
      <c r="BW305" s="319"/>
      <c r="BX305" s="319"/>
      <c r="BY305" s="319"/>
      <c r="BZ305" s="319"/>
      <c r="CA305" s="319"/>
      <c r="CB305" s="319"/>
      <c r="CC305" s="319"/>
      <c r="CD305" s="319"/>
      <c r="CE305" s="319"/>
      <c r="CF305" s="319"/>
      <c r="CG305" s="319"/>
      <c r="CH305" s="319"/>
      <c r="CI305" s="319"/>
      <c r="CJ305" s="319"/>
      <c r="CK305" s="319"/>
    </row>
    <row r="306" spans="1:89" ht="13.5" hidden="1" customHeight="1">
      <c r="A306" s="12"/>
      <c r="B306" s="1" t="str">
        <f>Language!C2016</f>
        <v>Coeficiente de Temperatura</v>
      </c>
      <c r="C306" s="29" t="str">
        <f>Language!C2176</f>
        <v>% / °C</v>
      </c>
      <c r="D306" s="796">
        <f>ModTempCoef</f>
        <v>4.0000000000000001E-3</v>
      </c>
      <c r="E306" s="1"/>
      <c r="F306" s="329"/>
      <c r="G306" s="1"/>
      <c r="H306" s="1"/>
      <c r="I306" s="1"/>
      <c r="J306" s="1"/>
      <c r="K306" s="9"/>
      <c r="L306" s="1"/>
      <c r="M306" s="319"/>
      <c r="N306" s="319">
        <v>2123014</v>
      </c>
      <c r="O306" s="319"/>
      <c r="P306" s="319"/>
      <c r="Q306" s="319"/>
      <c r="R306" s="319"/>
      <c r="S306" s="319"/>
      <c r="T306" s="319"/>
      <c r="U306" s="319"/>
      <c r="V306" s="476">
        <v>1.87</v>
      </c>
      <c r="W306" s="476">
        <v>0.86233333300000004</v>
      </c>
      <c r="X306" s="476">
        <v>0.96850000000000003</v>
      </c>
      <c r="Y306" s="476">
        <v>0.99485714300000005</v>
      </c>
      <c r="Z306" s="476">
        <v>1</v>
      </c>
      <c r="AA306" s="476">
        <v>1</v>
      </c>
      <c r="AB306" s="476">
        <v>1</v>
      </c>
      <c r="AC306" s="476">
        <v>1</v>
      </c>
      <c r="AD306" s="476">
        <v>1</v>
      </c>
      <c r="AE306" s="476">
        <v>1</v>
      </c>
      <c r="AF306" s="319"/>
      <c r="AG306" s="319"/>
      <c r="AH306" s="319"/>
      <c r="AI306" s="319"/>
      <c r="AJ306" s="319"/>
      <c r="AK306" s="319"/>
      <c r="AL306" s="319"/>
      <c r="AM306" s="319"/>
      <c r="AN306" s="319"/>
      <c r="AO306" s="319"/>
      <c r="AP306" s="319"/>
      <c r="AQ306" s="319"/>
      <c r="AR306" s="319"/>
      <c r="AS306" s="319"/>
      <c r="AT306" s="319"/>
      <c r="AU306" s="319"/>
      <c r="AV306" s="319"/>
      <c r="AW306" s="319"/>
      <c r="AX306" s="319"/>
      <c r="AY306" s="319"/>
      <c r="AZ306" s="319"/>
      <c r="BA306" s="319"/>
      <c r="BB306" s="319"/>
      <c r="BC306" s="319"/>
      <c r="BD306" s="319"/>
      <c r="BE306" s="319"/>
      <c r="BF306" s="319"/>
      <c r="BG306" s="319"/>
      <c r="BH306" s="319"/>
      <c r="BI306" s="319"/>
      <c r="BJ306" s="319"/>
      <c r="BK306" s="319"/>
      <c r="BL306" s="319"/>
      <c r="BM306" s="319"/>
      <c r="BN306" s="319"/>
      <c r="BO306" s="319"/>
      <c r="BP306" s="319"/>
      <c r="BQ306" s="319"/>
      <c r="BR306" s="319"/>
      <c r="BS306" s="319"/>
      <c r="BT306" s="319"/>
      <c r="BU306" s="319"/>
      <c r="BV306" s="319"/>
      <c r="BW306" s="319"/>
      <c r="BX306" s="319"/>
      <c r="BY306" s="319"/>
      <c r="BZ306" s="319"/>
      <c r="CA306" s="319"/>
      <c r="CB306" s="319"/>
      <c r="CC306" s="319"/>
      <c r="CD306" s="319"/>
      <c r="CE306" s="319"/>
      <c r="CF306" s="319"/>
      <c r="CG306" s="319"/>
      <c r="CH306" s="319"/>
      <c r="CI306" s="319"/>
      <c r="CJ306" s="319"/>
      <c r="CK306" s="319"/>
    </row>
    <row r="307" spans="1:89" ht="13.5" hidden="1" customHeight="1">
      <c r="A307" s="12"/>
      <c r="B307" s="1" t="str">
        <f>B649</f>
        <v>Àrea do coletor solar</v>
      </c>
      <c r="C307" s="29" t="str">
        <f>Language!C1374</f>
        <v>m²</v>
      </c>
      <c r="D307" s="140">
        <f>'Modelo Energético'!D483</f>
        <v>18.974999999999998</v>
      </c>
      <c r="E307" s="1"/>
      <c r="F307" s="1"/>
      <c r="G307" s="1"/>
      <c r="H307" s="1"/>
      <c r="I307" s="1"/>
      <c r="J307" s="1"/>
      <c r="K307" s="9"/>
      <c r="L307" s="1"/>
      <c r="M307" s="319"/>
      <c r="N307" s="319">
        <v>2123016</v>
      </c>
      <c r="O307" s="319"/>
      <c r="P307" s="319"/>
      <c r="Q307" s="319"/>
      <c r="R307" s="319"/>
      <c r="S307" s="319"/>
      <c r="T307" s="319"/>
      <c r="U307" s="319"/>
      <c r="V307" s="476">
        <v>1.9550000000000001</v>
      </c>
      <c r="W307" s="476">
        <v>0.86233333300000004</v>
      </c>
      <c r="X307" s="476">
        <v>0.96850000000000003</v>
      </c>
      <c r="Y307" s="476">
        <v>0.99485714300000005</v>
      </c>
      <c r="Z307" s="476">
        <v>1</v>
      </c>
      <c r="AA307" s="476">
        <v>1</v>
      </c>
      <c r="AB307" s="476">
        <v>1</v>
      </c>
      <c r="AC307" s="476">
        <v>1</v>
      </c>
      <c r="AD307" s="476">
        <v>1</v>
      </c>
      <c r="AE307" s="476">
        <v>1</v>
      </c>
      <c r="AF307" s="319"/>
      <c r="AG307" s="319"/>
      <c r="AH307" s="319"/>
      <c r="AI307" s="319"/>
      <c r="AJ307" s="319"/>
      <c r="AK307" s="319"/>
      <c r="AL307" s="319"/>
      <c r="AM307" s="319"/>
      <c r="AN307" s="319"/>
      <c r="AO307" s="319"/>
      <c r="AP307" s="319"/>
      <c r="AQ307" s="319"/>
      <c r="AR307" s="319"/>
      <c r="AS307" s="319"/>
      <c r="AT307" s="319"/>
      <c r="AU307" s="319"/>
      <c r="AV307" s="319"/>
      <c r="AW307" s="319"/>
      <c r="AX307" s="319"/>
      <c r="AY307" s="319"/>
      <c r="AZ307" s="319"/>
      <c r="BA307" s="319"/>
      <c r="BB307" s="319"/>
      <c r="BC307" s="319"/>
      <c r="BD307" s="319"/>
      <c r="BE307" s="319"/>
      <c r="BF307" s="319"/>
      <c r="BG307" s="319"/>
      <c r="BH307" s="319"/>
      <c r="BI307" s="319"/>
      <c r="BJ307" s="319"/>
      <c r="BK307" s="319"/>
      <c r="BL307" s="319"/>
      <c r="BM307" s="319"/>
      <c r="BN307" s="319"/>
      <c r="BO307" s="319"/>
      <c r="BP307" s="319"/>
      <c r="BQ307" s="319"/>
      <c r="BR307" s="319"/>
      <c r="BS307" s="319"/>
      <c r="BT307" s="319"/>
      <c r="BU307" s="319"/>
      <c r="BV307" s="319"/>
      <c r="BW307" s="319"/>
      <c r="BX307" s="319"/>
      <c r="BY307" s="319"/>
      <c r="BZ307" s="319"/>
      <c r="CA307" s="319"/>
      <c r="CB307" s="319"/>
      <c r="CC307" s="319"/>
      <c r="CD307" s="319"/>
      <c r="CE307" s="319"/>
      <c r="CF307" s="319"/>
      <c r="CG307" s="319"/>
      <c r="CH307" s="319"/>
      <c r="CI307" s="319"/>
      <c r="CJ307" s="319"/>
      <c r="CK307" s="319"/>
    </row>
    <row r="308" spans="1:89" ht="13.5" hidden="1" customHeight="1">
      <c r="A308" s="12"/>
      <c r="B308" s="1" t="str">
        <f>Language!C1560</f>
        <v>Método de Controle</v>
      </c>
      <c r="C308" s="1133" t="s">
        <v>7593</v>
      </c>
      <c r="D308" s="1134"/>
      <c r="E308" s="1135"/>
      <c r="F308" s="1"/>
      <c r="G308" s="1"/>
      <c r="H308" s="1"/>
      <c r="I308" s="1"/>
      <c r="J308" s="1"/>
      <c r="K308" s="9"/>
      <c r="L308" s="1"/>
      <c r="M308" s="319"/>
      <c r="N308" s="319">
        <v>5030038</v>
      </c>
      <c r="O308" s="319"/>
      <c r="P308" s="319"/>
      <c r="Q308" s="319"/>
      <c r="R308" s="319"/>
      <c r="S308" s="319"/>
      <c r="T308" s="319"/>
      <c r="U308" s="319"/>
      <c r="V308" s="476">
        <v>2.04</v>
      </c>
      <c r="W308" s="476">
        <v>0.86233333300000004</v>
      </c>
      <c r="X308" s="476">
        <v>0.96850000000000003</v>
      </c>
      <c r="Y308" s="476">
        <v>0.99485714300000005</v>
      </c>
      <c r="Z308" s="476">
        <v>1</v>
      </c>
      <c r="AA308" s="476">
        <v>1</v>
      </c>
      <c r="AB308" s="476">
        <v>1</v>
      </c>
      <c r="AC308" s="476">
        <v>1</v>
      </c>
      <c r="AD308" s="476">
        <v>1</v>
      </c>
      <c r="AE308" s="476">
        <v>1</v>
      </c>
      <c r="AF308" s="319"/>
      <c r="AG308" s="319"/>
      <c r="AH308" s="319"/>
      <c r="AI308" s="319"/>
      <c r="AJ308" s="319"/>
      <c r="AK308" s="319"/>
      <c r="AL308" s="319"/>
      <c r="AM308" s="319"/>
      <c r="AN308" s="319"/>
      <c r="AO308" s="319"/>
      <c r="AP308" s="319"/>
      <c r="AQ308" s="319"/>
      <c r="AR308" s="319"/>
      <c r="AS308" s="319"/>
      <c r="AT308" s="319"/>
      <c r="AU308" s="319"/>
      <c r="AV308" s="319"/>
      <c r="AW308" s="319"/>
      <c r="AX308" s="319"/>
      <c r="AY308" s="319"/>
      <c r="AZ308" s="319"/>
      <c r="BA308" s="319"/>
      <c r="BB308" s="319"/>
      <c r="BC308" s="319"/>
      <c r="BD308" s="319"/>
      <c r="BE308" s="319"/>
      <c r="BF308" s="319"/>
      <c r="BG308" s="319"/>
      <c r="BH308" s="319"/>
      <c r="BI308" s="319"/>
      <c r="BJ308" s="319"/>
      <c r="BK308" s="319"/>
      <c r="BL308" s="319"/>
      <c r="BM308" s="319"/>
      <c r="BN308" s="319"/>
      <c r="BO308" s="319"/>
      <c r="BP308" s="319"/>
      <c r="BQ308" s="319"/>
      <c r="BR308" s="319"/>
      <c r="BS308" s="319"/>
      <c r="BT308" s="319"/>
      <c r="BU308" s="319"/>
      <c r="BV308" s="319"/>
      <c r="BW308" s="319"/>
      <c r="BX308" s="319"/>
      <c r="BY308" s="319"/>
      <c r="BZ308" s="319"/>
      <c r="CA308" s="319"/>
      <c r="CB308" s="319"/>
      <c r="CC308" s="319"/>
      <c r="CD308" s="319"/>
      <c r="CE308" s="319"/>
      <c r="CF308" s="319"/>
      <c r="CG308" s="319"/>
      <c r="CH308" s="319"/>
      <c r="CI308" s="319"/>
      <c r="CJ308" s="319"/>
      <c r="CK308" s="319"/>
    </row>
    <row r="309" spans="1:89" ht="13.5" hidden="1" customHeight="1">
      <c r="A309" s="12"/>
      <c r="B309" s="1" t="str">
        <f>$B$255</f>
        <v>Perdas diversas</v>
      </c>
      <c r="C309" s="29" t="str">
        <f>$C$254</f>
        <v>%</v>
      </c>
      <c r="D309" s="402"/>
      <c r="E309" s="1"/>
      <c r="F309" s="1"/>
      <c r="G309" s="1"/>
      <c r="H309" s="1"/>
      <c r="I309" s="1"/>
      <c r="J309" s="1"/>
      <c r="K309" s="9"/>
      <c r="L309" s="1"/>
      <c r="M309" s="319"/>
      <c r="N309" s="319">
        <v>2123020</v>
      </c>
      <c r="O309" s="319"/>
      <c r="P309" s="319"/>
      <c r="Q309" s="319"/>
      <c r="R309" s="319"/>
      <c r="S309" s="319"/>
      <c r="T309" s="319"/>
      <c r="U309" s="319"/>
      <c r="V309" s="476">
        <v>2.125</v>
      </c>
      <c r="W309" s="476">
        <v>0.86233333300000004</v>
      </c>
      <c r="X309" s="476">
        <v>0.96850000000000003</v>
      </c>
      <c r="Y309" s="476">
        <v>0.99485714300000005</v>
      </c>
      <c r="Z309" s="476">
        <v>1</v>
      </c>
      <c r="AA309" s="476">
        <v>1</v>
      </c>
      <c r="AB309" s="476">
        <v>1</v>
      </c>
      <c r="AC309" s="476">
        <v>1</v>
      </c>
      <c r="AD309" s="476">
        <v>1</v>
      </c>
      <c r="AE309" s="476">
        <v>1</v>
      </c>
      <c r="AF309" s="319"/>
      <c r="AG309" s="319"/>
      <c r="AH309" s="319"/>
      <c r="AI309" s="319"/>
      <c r="AJ309" s="319"/>
      <c r="AK309" s="319"/>
      <c r="AL309" s="319"/>
      <c r="AM309" s="319"/>
      <c r="AN309" s="319"/>
      <c r="AO309" s="319"/>
      <c r="AP309" s="319"/>
      <c r="AQ309" s="319"/>
      <c r="AR309" s="319"/>
      <c r="AS309" s="319"/>
      <c r="AT309" s="319"/>
      <c r="AU309" s="319"/>
      <c r="AV309" s="319"/>
      <c r="AW309" s="319"/>
      <c r="AX309" s="319"/>
      <c r="AY309" s="319"/>
      <c r="AZ309" s="319"/>
      <c r="BA309" s="319"/>
      <c r="BB309" s="319"/>
      <c r="BC309" s="319"/>
      <c r="BD309" s="319"/>
      <c r="BE309" s="319"/>
      <c r="BF309" s="319"/>
      <c r="BG309" s="319"/>
      <c r="BH309" s="319"/>
      <c r="BI309" s="319"/>
      <c r="BJ309" s="319"/>
      <c r="BK309" s="319"/>
      <c r="BL309" s="319"/>
      <c r="BM309" s="319"/>
      <c r="BN309" s="319"/>
      <c r="BO309" s="319"/>
      <c r="BP309" s="319"/>
      <c r="BQ309" s="319"/>
      <c r="BR309" s="319"/>
      <c r="BS309" s="319"/>
      <c r="BT309" s="319"/>
      <c r="BU309" s="319"/>
      <c r="BV309" s="319"/>
      <c r="BW309" s="319"/>
      <c r="BX309" s="319"/>
      <c r="BY309" s="319"/>
      <c r="BZ309" s="319"/>
      <c r="CA309" s="319"/>
      <c r="CB309" s="319"/>
      <c r="CC309" s="319"/>
      <c r="CD309" s="319"/>
      <c r="CE309" s="319"/>
      <c r="CF309" s="319"/>
      <c r="CG309" s="319"/>
      <c r="CH309" s="319"/>
      <c r="CI309" s="319"/>
      <c r="CJ309" s="319"/>
      <c r="CK309" s="319"/>
    </row>
    <row r="310" spans="1:89" ht="13.5" hidden="1" customHeight="1">
      <c r="A310" s="12"/>
      <c r="B310" s="1"/>
      <c r="C310" s="29"/>
      <c r="D310" s="1"/>
      <c r="E310" s="1"/>
      <c r="F310" s="1"/>
      <c r="G310" s="1"/>
      <c r="H310" s="1"/>
      <c r="I310" s="1"/>
      <c r="J310" s="1"/>
      <c r="K310" s="9"/>
      <c r="L310" s="1"/>
      <c r="M310" s="319"/>
      <c r="N310" s="319">
        <v>5030020</v>
      </c>
      <c r="O310" s="319"/>
      <c r="P310" s="319"/>
      <c r="Q310" s="319"/>
      <c r="R310" s="319"/>
      <c r="S310" s="319"/>
      <c r="T310" s="319"/>
      <c r="U310" s="319"/>
      <c r="V310" s="476">
        <v>2.21</v>
      </c>
      <c r="W310" s="476">
        <v>0.86233333300000004</v>
      </c>
      <c r="X310" s="476">
        <v>0.96850000000000003</v>
      </c>
      <c r="Y310" s="476">
        <v>0.99485714300000005</v>
      </c>
      <c r="Z310" s="476">
        <v>1</v>
      </c>
      <c r="AA310" s="476">
        <v>1</v>
      </c>
      <c r="AB310" s="476">
        <v>1</v>
      </c>
      <c r="AC310" s="476">
        <v>1</v>
      </c>
      <c r="AD310" s="476">
        <v>1</v>
      </c>
      <c r="AE310" s="476">
        <v>1</v>
      </c>
      <c r="AF310" s="319"/>
      <c r="AG310" s="319"/>
      <c r="AH310" s="319"/>
      <c r="AI310" s="319"/>
      <c r="AJ310" s="319"/>
      <c r="AK310" s="319"/>
      <c r="AL310" s="319"/>
      <c r="AM310" s="319"/>
      <c r="AN310" s="319"/>
      <c r="AO310" s="319"/>
      <c r="AP310" s="319"/>
      <c r="AQ310" s="319"/>
      <c r="AR310" s="319"/>
      <c r="AS310" s="319"/>
      <c r="AT310" s="319"/>
      <c r="AU310" s="319"/>
      <c r="AV310" s="319"/>
      <c r="AW310" s="319"/>
      <c r="AX310" s="319"/>
      <c r="AY310" s="319"/>
      <c r="AZ310" s="319"/>
      <c r="BA310" s="319"/>
      <c r="BB310" s="319"/>
      <c r="BC310" s="319"/>
      <c r="BD310" s="319"/>
      <c r="BE310" s="319"/>
      <c r="BF310" s="319"/>
      <c r="BG310" s="319"/>
      <c r="BH310" s="319"/>
      <c r="BI310" s="319"/>
      <c r="BJ310" s="319"/>
      <c r="BK310" s="319"/>
      <c r="BL310" s="319"/>
      <c r="BM310" s="319"/>
      <c r="BN310" s="319"/>
      <c r="BO310" s="319"/>
      <c r="BP310" s="319"/>
      <c r="BQ310" s="319"/>
      <c r="BR310" s="319"/>
      <c r="BS310" s="319"/>
      <c r="BT310" s="319"/>
      <c r="BU310" s="319"/>
      <c r="BV310" s="319"/>
      <c r="BW310" s="319"/>
      <c r="BX310" s="319"/>
      <c r="BY310" s="319"/>
      <c r="BZ310" s="319"/>
      <c r="CA310" s="319"/>
      <c r="CB310" s="319"/>
      <c r="CC310" s="319"/>
      <c r="CD310" s="319"/>
      <c r="CE310" s="319"/>
      <c r="CF310" s="319"/>
      <c r="CG310" s="319"/>
      <c r="CH310" s="319"/>
      <c r="CI310" s="319"/>
      <c r="CJ310" s="319"/>
      <c r="CK310" s="319"/>
    </row>
    <row r="311" spans="1:89" ht="13.5" hidden="1" customHeight="1">
      <c r="A311" s="12"/>
      <c r="B311" s="28" t="str">
        <f>B496</f>
        <v>Resumo</v>
      </c>
      <c r="C311" s="29"/>
      <c r="D311" s="1"/>
      <c r="E311" s="1"/>
      <c r="F311" s="1"/>
      <c r="G311" s="1"/>
      <c r="H311" s="1"/>
      <c r="I311" s="1"/>
      <c r="J311" s="1"/>
      <c r="K311" s="9"/>
      <c r="L311" s="1"/>
      <c r="M311" s="319"/>
      <c r="N311" s="319">
        <v>5030042</v>
      </c>
      <c r="O311" s="319"/>
      <c r="P311" s="319"/>
      <c r="Q311" s="319"/>
      <c r="R311" s="319"/>
      <c r="S311" s="319"/>
      <c r="T311" s="319"/>
      <c r="U311" s="319"/>
      <c r="V311" s="476">
        <v>2.2949999999999999</v>
      </c>
      <c r="W311" s="476">
        <v>0.86233333300000004</v>
      </c>
      <c r="X311" s="476">
        <v>0.96850000000000003</v>
      </c>
      <c r="Y311" s="476">
        <v>0.99485714300000005</v>
      </c>
      <c r="Z311" s="476">
        <v>1</v>
      </c>
      <c r="AA311" s="476">
        <v>1</v>
      </c>
      <c r="AB311" s="476">
        <v>1</v>
      </c>
      <c r="AC311" s="476">
        <v>1</v>
      </c>
      <c r="AD311" s="476">
        <v>1</v>
      </c>
      <c r="AE311" s="476">
        <v>1</v>
      </c>
      <c r="AF311" s="319"/>
      <c r="AG311" s="319"/>
      <c r="AH311" s="319"/>
      <c r="AI311" s="319"/>
      <c r="AJ311" s="319"/>
      <c r="AK311" s="319"/>
      <c r="AL311" s="319"/>
      <c r="AM311" s="319"/>
      <c r="AN311" s="319"/>
      <c r="AO311" s="319"/>
      <c r="AP311" s="319"/>
      <c r="AQ311" s="319"/>
      <c r="AR311" s="319"/>
      <c r="AS311" s="319"/>
      <c r="AT311" s="319"/>
      <c r="AU311" s="319"/>
      <c r="AV311" s="319"/>
      <c r="AW311" s="319"/>
      <c r="AX311" s="319"/>
      <c r="AY311" s="319"/>
      <c r="AZ311" s="319"/>
      <c r="BA311" s="319"/>
      <c r="BB311" s="319"/>
      <c r="BC311" s="319"/>
      <c r="BD311" s="319"/>
      <c r="BE311" s="319"/>
      <c r="BF311" s="319"/>
      <c r="BG311" s="319"/>
      <c r="BH311" s="319"/>
      <c r="BI311" s="319"/>
      <c r="BJ311" s="319"/>
      <c r="BK311" s="319"/>
      <c r="BL311" s="319"/>
      <c r="BM311" s="319"/>
      <c r="BN311" s="319"/>
      <c r="BO311" s="319"/>
      <c r="BP311" s="319"/>
      <c r="BQ311" s="319"/>
      <c r="BR311" s="319"/>
      <c r="BS311" s="319"/>
      <c r="BT311" s="319"/>
      <c r="BU311" s="319"/>
      <c r="BV311" s="319"/>
      <c r="BW311" s="319"/>
      <c r="BX311" s="319"/>
      <c r="BY311" s="319"/>
      <c r="BZ311" s="319"/>
      <c r="CA311" s="319"/>
      <c r="CB311" s="319"/>
      <c r="CC311" s="319"/>
      <c r="CD311" s="319"/>
      <c r="CE311" s="319"/>
      <c r="CF311" s="319"/>
      <c r="CG311" s="319"/>
      <c r="CH311" s="319"/>
      <c r="CI311" s="319"/>
      <c r="CJ311" s="319"/>
      <c r="CK311" s="319"/>
    </row>
    <row r="312" spans="1:89" ht="13.5" hidden="1" customHeight="1">
      <c r="A312" s="12"/>
      <c r="B312" s="1" t="str">
        <f>B856</f>
        <v>Fator de Utilização</v>
      </c>
      <c r="C312" s="29" t="str">
        <f>$C$254</f>
        <v>%</v>
      </c>
      <c r="D312" s="55">
        <f>'Modelo Energético'!D493</f>
        <v>0.16214354875120679</v>
      </c>
      <c r="E312" s="1"/>
      <c r="F312" s="1"/>
      <c r="G312" s="1"/>
      <c r="H312" s="1"/>
      <c r="I312" s="1"/>
      <c r="J312" s="1"/>
      <c r="K312" s="9"/>
      <c r="L312" s="1"/>
      <c r="M312" s="319"/>
      <c r="N312" s="319">
        <v>2125002</v>
      </c>
      <c r="O312" s="319"/>
      <c r="P312" s="319"/>
      <c r="Q312" s="319"/>
      <c r="R312" s="319"/>
      <c r="S312" s="319"/>
      <c r="T312" s="319"/>
      <c r="U312" s="319"/>
      <c r="V312" s="476">
        <v>2.38</v>
      </c>
      <c r="W312" s="476">
        <v>0.86233333300000004</v>
      </c>
      <c r="X312" s="476">
        <v>0.96850000000000003</v>
      </c>
      <c r="Y312" s="476">
        <v>0.99485714300000005</v>
      </c>
      <c r="Z312" s="476">
        <v>1</v>
      </c>
      <c r="AA312" s="476">
        <v>1</v>
      </c>
      <c r="AB312" s="476">
        <v>1</v>
      </c>
      <c r="AC312" s="476">
        <v>1</v>
      </c>
      <c r="AD312" s="476">
        <v>1</v>
      </c>
      <c r="AE312" s="476">
        <v>1</v>
      </c>
      <c r="AF312" s="319"/>
      <c r="AG312" s="319"/>
      <c r="AH312" s="319"/>
      <c r="AI312" s="319"/>
      <c r="AJ312" s="319"/>
      <c r="AK312" s="319"/>
      <c r="AL312" s="319"/>
      <c r="AM312" s="319"/>
      <c r="AN312" s="319"/>
      <c r="AO312" s="319"/>
      <c r="AP312" s="319"/>
      <c r="AQ312" s="319"/>
      <c r="AR312" s="319"/>
      <c r="AS312" s="319"/>
      <c r="AT312" s="319"/>
      <c r="AU312" s="319"/>
      <c r="AV312" s="319"/>
      <c r="AW312" s="319"/>
      <c r="AX312" s="319"/>
      <c r="AY312" s="319"/>
      <c r="AZ312" s="319"/>
      <c r="BA312" s="319"/>
      <c r="BB312" s="319"/>
      <c r="BC312" s="319"/>
      <c r="BD312" s="319"/>
      <c r="BE312" s="319"/>
      <c r="BF312" s="319"/>
      <c r="BG312" s="319"/>
      <c r="BH312" s="319"/>
      <c r="BI312" s="319"/>
      <c r="BJ312" s="319"/>
      <c r="BK312" s="319"/>
      <c r="BL312" s="319"/>
      <c r="BM312" s="319"/>
      <c r="BN312" s="319"/>
      <c r="BO312" s="319"/>
      <c r="BP312" s="319"/>
      <c r="BQ312" s="319"/>
      <c r="BR312" s="319"/>
      <c r="BS312" s="319"/>
      <c r="BT312" s="319"/>
      <c r="BU312" s="319"/>
      <c r="BV312" s="319"/>
      <c r="BW312" s="319"/>
      <c r="BX312" s="319"/>
      <c r="BY312" s="319"/>
      <c r="BZ312" s="319"/>
      <c r="CA312" s="319"/>
      <c r="CB312" s="319"/>
      <c r="CC312" s="319"/>
      <c r="CD312" s="319"/>
      <c r="CE312" s="319"/>
      <c r="CF312" s="319"/>
      <c r="CG312" s="319"/>
      <c r="CH312" s="319"/>
      <c r="CI312" s="319"/>
      <c r="CJ312" s="319"/>
      <c r="CK312" s="319"/>
    </row>
    <row r="313" spans="1:89" ht="13.5" hidden="1" customHeight="1">
      <c r="A313" s="12"/>
      <c r="B313" s="1" t="str">
        <f>B500</f>
        <v>Eletricidade fornecida à carga</v>
      </c>
      <c r="C313" s="29" t="str">
        <f>$J$1184</f>
        <v>MWh</v>
      </c>
      <c r="D313" s="284">
        <f>'Modelo Energético'!O494</f>
        <v>0</v>
      </c>
      <c r="E313" s="55" t="e">
        <f>D313/(E245+E246)</f>
        <v>#DIV/0!</v>
      </c>
      <c r="F313" s="1"/>
      <c r="G313" s="1"/>
      <c r="H313" s="1"/>
      <c r="I313" s="1"/>
      <c r="J313" s="1"/>
      <c r="K313" s="9"/>
      <c r="L313" s="1"/>
      <c r="M313" s="319"/>
      <c r="N313" s="319">
        <v>5030044</v>
      </c>
      <c r="O313" s="319"/>
      <c r="P313" s="319"/>
      <c r="Q313" s="319"/>
      <c r="R313" s="319"/>
      <c r="S313" s="319"/>
      <c r="T313" s="319"/>
      <c r="U313" s="319"/>
      <c r="V313" s="476">
        <v>2.4649999999999999</v>
      </c>
      <c r="W313" s="476">
        <v>0.86233333300000004</v>
      </c>
      <c r="X313" s="476">
        <v>0.96850000000000003</v>
      </c>
      <c r="Y313" s="476">
        <v>0.99485714300000005</v>
      </c>
      <c r="Z313" s="476">
        <v>1</v>
      </c>
      <c r="AA313" s="476">
        <v>1</v>
      </c>
      <c r="AB313" s="476">
        <v>1</v>
      </c>
      <c r="AC313" s="476">
        <v>1</v>
      </c>
      <c r="AD313" s="476">
        <v>1</v>
      </c>
      <c r="AE313" s="476">
        <v>1</v>
      </c>
      <c r="AF313" s="319"/>
      <c r="AG313" s="319"/>
      <c r="AH313" s="319"/>
      <c r="AI313" s="319"/>
      <c r="AJ313" s="319"/>
      <c r="AK313" s="319"/>
      <c r="AL313" s="319"/>
      <c r="AM313" s="319"/>
      <c r="AN313" s="319"/>
      <c r="AO313" s="319"/>
      <c r="AP313" s="319"/>
      <c r="AQ313" s="319"/>
      <c r="AR313" s="319"/>
      <c r="AS313" s="319"/>
      <c r="AT313" s="319"/>
      <c r="AU313" s="319"/>
      <c r="AV313" s="319"/>
      <c r="AW313" s="319"/>
      <c r="AX313" s="319"/>
      <c r="AY313" s="319"/>
      <c r="AZ313" s="319"/>
      <c r="BA313" s="319"/>
      <c r="BB313" s="319"/>
      <c r="BC313" s="319"/>
      <c r="BD313" s="319"/>
      <c r="BE313" s="319"/>
      <c r="BF313" s="319"/>
      <c r="BG313" s="319"/>
      <c r="BH313" s="319"/>
      <c r="BI313" s="319"/>
      <c r="BJ313" s="319"/>
      <c r="BK313" s="319"/>
      <c r="BL313" s="319"/>
      <c r="BM313" s="319"/>
      <c r="BN313" s="319"/>
      <c r="BO313" s="319"/>
      <c r="BP313" s="319"/>
      <c r="BQ313" s="319"/>
      <c r="BR313" s="319"/>
      <c r="BS313" s="319"/>
      <c r="BT313" s="319"/>
      <c r="BU313" s="319"/>
      <c r="BV313" s="319"/>
      <c r="BW313" s="319"/>
      <c r="BX313" s="319"/>
      <c r="BY313" s="319"/>
      <c r="BZ313" s="319"/>
      <c r="CA313" s="319"/>
      <c r="CB313" s="319"/>
      <c r="CC313" s="319"/>
      <c r="CD313" s="319"/>
      <c r="CE313" s="319"/>
      <c r="CF313" s="319"/>
      <c r="CG313" s="319"/>
      <c r="CH313" s="319"/>
      <c r="CI313" s="319"/>
      <c r="CJ313" s="319"/>
      <c r="CK313" s="319"/>
    </row>
    <row r="314" spans="1:89" ht="13.2" hidden="1">
      <c r="A314" s="12"/>
      <c r="B314" s="378"/>
      <c r="C314" s="1"/>
      <c r="D314" s="1"/>
      <c r="E314" s="1"/>
      <c r="F314" s="1"/>
      <c r="G314" s="1"/>
      <c r="H314" s="1"/>
      <c r="I314" s="1"/>
      <c r="J314" s="1"/>
      <c r="K314" s="9"/>
      <c r="L314" s="1"/>
      <c r="M314" s="319"/>
      <c r="N314" s="319">
        <v>5030000</v>
      </c>
      <c r="O314" s="319"/>
      <c r="P314" s="319"/>
      <c r="Q314" s="319"/>
      <c r="R314" s="319"/>
      <c r="S314" s="319"/>
      <c r="T314" s="319"/>
      <c r="U314" s="319"/>
      <c r="V314" s="476">
        <v>2.5499999999999998</v>
      </c>
      <c r="W314" s="476">
        <v>0.86233333300000004</v>
      </c>
      <c r="X314" s="476">
        <v>0.96850000000000003</v>
      </c>
      <c r="Y314" s="476">
        <v>0.99485714300000005</v>
      </c>
      <c r="Z314" s="476">
        <v>1</v>
      </c>
      <c r="AA314" s="476">
        <v>1</v>
      </c>
      <c r="AB314" s="476">
        <v>1</v>
      </c>
      <c r="AC314" s="476">
        <v>1</v>
      </c>
      <c r="AD314" s="476">
        <v>1</v>
      </c>
      <c r="AE314" s="476">
        <v>1</v>
      </c>
      <c r="AF314" s="319"/>
      <c r="AG314" s="319"/>
      <c r="AH314" s="319"/>
      <c r="AI314" s="319"/>
      <c r="AJ314" s="319"/>
      <c r="AK314" s="319"/>
      <c r="AL314" s="319"/>
      <c r="AM314" s="319"/>
      <c r="AN314" s="319"/>
      <c r="AO314" s="319"/>
      <c r="AP314" s="319"/>
      <c r="AQ314" s="319"/>
      <c r="AR314" s="319"/>
      <c r="AS314" s="319"/>
      <c r="AT314" s="319"/>
      <c r="AU314" s="319"/>
      <c r="AV314" s="319"/>
      <c r="AW314" s="319"/>
      <c r="AX314" s="319"/>
      <c r="AY314" s="319"/>
      <c r="AZ314" s="319"/>
      <c r="BA314" s="319"/>
      <c r="BB314" s="319"/>
      <c r="BC314" s="319"/>
      <c r="BD314" s="319"/>
      <c r="BE314" s="319"/>
      <c r="BF314" s="319"/>
      <c r="BG314" s="319"/>
      <c r="BH314" s="319"/>
      <c r="BI314" s="319"/>
      <c r="BJ314" s="319"/>
      <c r="BK314" s="319"/>
      <c r="BL314" s="319"/>
      <c r="BM314" s="319"/>
      <c r="BN314" s="319"/>
      <c r="BO314" s="319"/>
      <c r="BP314" s="319"/>
      <c r="BQ314" s="319"/>
      <c r="BR314" s="319"/>
      <c r="BS314" s="319"/>
      <c r="BT314" s="319"/>
      <c r="BU314" s="319"/>
      <c r="BV314" s="319"/>
      <c r="BW314" s="319"/>
      <c r="BX314" s="319"/>
      <c r="BY314" s="319"/>
      <c r="BZ314" s="319"/>
      <c r="CA314" s="319"/>
      <c r="CB314" s="319"/>
      <c r="CC314" s="319"/>
      <c r="CD314" s="319"/>
      <c r="CE314" s="319"/>
      <c r="CF314" s="319"/>
      <c r="CG314" s="319"/>
      <c r="CH314" s="319"/>
      <c r="CI314" s="319"/>
      <c r="CJ314" s="319"/>
      <c r="CK314" s="319"/>
    </row>
    <row r="315" spans="1:89" ht="13.5" hidden="1" customHeight="1">
      <c r="A315" s="12"/>
      <c r="B315" s="28" t="str">
        <f>B272</f>
        <v>Avaliação de recursos</v>
      </c>
      <c r="C315" s="1"/>
      <c r="D315" s="1"/>
      <c r="E315" s="1"/>
      <c r="F315" s="1"/>
      <c r="G315" s="1"/>
      <c r="H315" s="1"/>
      <c r="I315" s="1"/>
      <c r="J315" s="1"/>
      <c r="K315" s="9"/>
      <c r="L315" s="1"/>
      <c r="M315" s="319"/>
      <c r="N315" s="319">
        <v>5040002</v>
      </c>
      <c r="O315" s="319"/>
      <c r="P315" s="319"/>
      <c r="Q315" s="319"/>
      <c r="R315" s="319"/>
      <c r="S315" s="319"/>
      <c r="T315" s="319"/>
      <c r="U315" s="319"/>
      <c r="V315" s="476">
        <v>2.6349999999999998</v>
      </c>
      <c r="W315" s="476">
        <v>0.86233333300000004</v>
      </c>
      <c r="X315" s="476">
        <v>0.96850000000000003</v>
      </c>
      <c r="Y315" s="476">
        <v>0.99485714300000005</v>
      </c>
      <c r="Z315" s="476">
        <v>1</v>
      </c>
      <c r="AA315" s="476">
        <v>1</v>
      </c>
      <c r="AB315" s="476">
        <v>1</v>
      </c>
      <c r="AC315" s="476">
        <v>1</v>
      </c>
      <c r="AD315" s="476">
        <v>1</v>
      </c>
      <c r="AE315" s="476">
        <v>1</v>
      </c>
      <c r="AF315" s="319"/>
      <c r="AG315" s="319"/>
      <c r="AH315" s="319"/>
      <c r="AI315" s="319"/>
      <c r="AJ315" s="319"/>
      <c r="AK315" s="319"/>
      <c r="AL315" s="319"/>
      <c r="AM315" s="319"/>
      <c r="AN315" s="319"/>
      <c r="AO315" s="319"/>
      <c r="AP315" s="319"/>
      <c r="AQ315" s="319"/>
      <c r="AR315" s="319"/>
      <c r="AS315" s="319"/>
      <c r="AT315" s="319"/>
      <c r="AU315" s="319"/>
      <c r="AV315" s="319"/>
      <c r="AW315" s="319"/>
      <c r="AX315" s="319"/>
      <c r="AY315" s="319"/>
      <c r="AZ315" s="319"/>
      <c r="BA315" s="319"/>
      <c r="BB315" s="319"/>
      <c r="BC315" s="319"/>
      <c r="BD315" s="319"/>
      <c r="BE315" s="319"/>
      <c r="BF315" s="319"/>
      <c r="BG315" s="319"/>
      <c r="BH315" s="319"/>
      <c r="BI315" s="319"/>
      <c r="BJ315" s="319"/>
      <c r="BK315" s="319"/>
      <c r="BL315" s="319"/>
      <c r="BM315" s="319"/>
      <c r="BN315" s="319"/>
      <c r="BO315" s="319"/>
      <c r="BP315" s="319"/>
      <c r="BQ315" s="319"/>
      <c r="BR315" s="319"/>
      <c r="BS315" s="319"/>
      <c r="BT315" s="319"/>
      <c r="BU315" s="319"/>
      <c r="BV315" s="319"/>
      <c r="BW315" s="319"/>
      <c r="BX315" s="319"/>
      <c r="BY315" s="319"/>
      <c r="BZ315" s="319"/>
      <c r="CA315" s="319"/>
      <c r="CB315" s="319"/>
      <c r="CC315" s="319"/>
      <c r="CD315" s="319"/>
      <c r="CE315" s="319"/>
      <c r="CF315" s="319"/>
      <c r="CG315" s="319"/>
      <c r="CH315" s="319"/>
      <c r="CI315" s="319"/>
      <c r="CJ315" s="319"/>
      <c r="CK315" s="319"/>
    </row>
    <row r="316" spans="1:89" ht="12.75" hidden="1" customHeight="1">
      <c r="A316" s="12"/>
      <c r="B316" s="1"/>
      <c r="C316" s="1"/>
      <c r="D316" s="1011" t="s">
        <v>4190</v>
      </c>
      <c r="E316" s="134" t="str">
        <f>G384</f>
        <v>Mostrar dado</v>
      </c>
      <c r="F316" s="1"/>
      <c r="G316" s="1"/>
      <c r="H316" s="1"/>
      <c r="I316" s="1"/>
      <c r="J316" s="1"/>
      <c r="K316" s="784" t="str">
        <f>K404</f>
        <v>Veja mapas</v>
      </c>
      <c r="L316" s="1"/>
      <c r="M316" s="319">
        <f>IF(D317=J1150,1,0)</f>
        <v>1</v>
      </c>
      <c r="N316" s="319">
        <v>5040002</v>
      </c>
      <c r="O316" s="319"/>
      <c r="P316" s="319"/>
      <c r="Q316" s="319"/>
      <c r="R316" s="319"/>
      <c r="S316" s="319"/>
      <c r="T316" s="319"/>
      <c r="U316" s="319"/>
      <c r="V316" s="476">
        <v>2.72</v>
      </c>
      <c r="W316" s="476">
        <v>0.86233333300000004</v>
      </c>
      <c r="X316" s="476">
        <v>0.96850000000000003</v>
      </c>
      <c r="Y316" s="476">
        <v>0.99485714300000005</v>
      </c>
      <c r="Z316" s="476">
        <v>1</v>
      </c>
      <c r="AA316" s="476">
        <v>1</v>
      </c>
      <c r="AB316" s="476">
        <v>1</v>
      </c>
      <c r="AC316" s="476">
        <v>1</v>
      </c>
      <c r="AD316" s="476">
        <v>1</v>
      </c>
      <c r="AE316" s="476">
        <v>1</v>
      </c>
      <c r="AF316" s="319"/>
      <c r="AG316" s="319"/>
      <c r="AH316" s="319"/>
      <c r="AI316" s="319"/>
      <c r="AJ316" s="319"/>
      <c r="AK316" s="319"/>
      <c r="AL316" s="319"/>
      <c r="AM316" s="319"/>
      <c r="AN316" s="319"/>
      <c r="AO316" s="319"/>
      <c r="AP316" s="319"/>
      <c r="AQ316" s="319"/>
      <c r="AR316" s="319"/>
      <c r="AS316" s="319"/>
      <c r="AT316" s="319"/>
      <c r="AU316" s="319"/>
      <c r="AV316" s="319"/>
      <c r="AW316" s="319"/>
      <c r="AX316" s="319"/>
      <c r="AY316" s="319"/>
      <c r="AZ316" s="319"/>
      <c r="BA316" s="319"/>
      <c r="BB316" s="319"/>
      <c r="BC316" s="319"/>
      <c r="BD316" s="319"/>
      <c r="BE316" s="319"/>
      <c r="BF316" s="319"/>
      <c r="BG316" s="319"/>
      <c r="BH316" s="319"/>
      <c r="BI316" s="319"/>
      <c r="BJ316" s="319"/>
      <c r="BK316" s="319"/>
      <c r="BL316" s="319"/>
      <c r="BM316" s="319"/>
      <c r="BN316" s="319"/>
      <c r="BO316" s="319"/>
      <c r="BP316" s="319"/>
      <c r="BQ316" s="319"/>
      <c r="BR316" s="319"/>
      <c r="BS316" s="319"/>
      <c r="BT316" s="319"/>
      <c r="BU316" s="319"/>
      <c r="BV316" s="319"/>
      <c r="BW316" s="319"/>
      <c r="BX316" s="319"/>
      <c r="BY316" s="319"/>
      <c r="BZ316" s="319"/>
      <c r="CA316" s="319"/>
      <c r="CB316" s="319"/>
      <c r="CC316" s="319"/>
      <c r="CD316" s="319"/>
      <c r="CE316" s="319"/>
      <c r="CF316" s="319"/>
      <c r="CG316" s="319"/>
      <c r="CH316" s="319"/>
      <c r="CI316" s="319"/>
      <c r="CJ316" s="319"/>
      <c r="CK316" s="319"/>
    </row>
    <row r="317" spans="1:89" ht="38.25" hidden="1" customHeight="1">
      <c r="A317" s="12"/>
      <c r="B317" s="1" t="str">
        <f>Language!C1939</f>
        <v>Método de avaliação dos recursos</v>
      </c>
      <c r="C317" s="1"/>
      <c r="D317" s="82" t="str">
        <f>IF(D318=C1195,J1151,J1150)</f>
        <v>Velocidade do Vento</v>
      </c>
      <c r="E317" s="82" t="str">
        <f>Iniciar!D42</f>
        <v>Coimbra</v>
      </c>
      <c r="F317" s="82" t="str">
        <f>B500</f>
        <v>Eletricidade fornecida à carga</v>
      </c>
      <c r="G317" s="1"/>
      <c r="H317" s="1"/>
      <c r="I317" s="1"/>
      <c r="J317" s="1"/>
      <c r="K317" s="9"/>
      <c r="L317" s="1"/>
      <c r="M317" s="319"/>
      <c r="N317" s="319">
        <v>5040002</v>
      </c>
      <c r="O317" s="319"/>
      <c r="P317" s="319"/>
      <c r="Q317" s="319"/>
      <c r="R317" s="319"/>
      <c r="S317" s="319"/>
      <c r="T317" s="319"/>
      <c r="U317" s="319"/>
      <c r="V317" s="476">
        <v>2.8050000000000002</v>
      </c>
      <c r="W317" s="476">
        <v>0.86233333300000004</v>
      </c>
      <c r="X317" s="476">
        <v>0.96850000000000003</v>
      </c>
      <c r="Y317" s="476">
        <v>0.99485714300000005</v>
      </c>
      <c r="Z317" s="476">
        <v>1</v>
      </c>
      <c r="AA317" s="476">
        <v>1</v>
      </c>
      <c r="AB317" s="476">
        <v>1</v>
      </c>
      <c r="AC317" s="476">
        <v>1</v>
      </c>
      <c r="AD317" s="476">
        <v>1</v>
      </c>
      <c r="AE317" s="476">
        <v>1</v>
      </c>
      <c r="AF317" s="319"/>
      <c r="AG317" s="319"/>
      <c r="AH317" s="319"/>
      <c r="AI317" s="319"/>
      <c r="AJ317" s="319"/>
      <c r="AK317" s="319"/>
      <c r="AL317" s="319"/>
      <c r="AM317" s="319"/>
      <c r="AN317" s="319"/>
      <c r="AO317" s="319"/>
      <c r="AP317" s="319"/>
      <c r="AQ317" s="319"/>
      <c r="AR317" s="319"/>
      <c r="AS317" s="319"/>
      <c r="AT317" s="319"/>
      <c r="AU317" s="319"/>
      <c r="AV317" s="319"/>
      <c r="AW317" s="319"/>
      <c r="AX317" s="319"/>
      <c r="AY317" s="319"/>
      <c r="AZ317" s="319"/>
      <c r="BA317" s="319"/>
      <c r="BB317" s="319"/>
      <c r="BC317" s="319"/>
      <c r="BD317" s="319"/>
      <c r="BE317" s="319"/>
      <c r="BF317" s="319"/>
      <c r="BG317" s="319"/>
      <c r="BH317" s="319"/>
      <c r="BI317" s="319"/>
      <c r="BJ317" s="319"/>
      <c r="BK317" s="319"/>
      <c r="BL317" s="319"/>
      <c r="BM317" s="319"/>
      <c r="BN317" s="319"/>
      <c r="BO317" s="319"/>
      <c r="BP317" s="319"/>
      <c r="BQ317" s="319"/>
      <c r="BR317" s="319"/>
      <c r="BS317" s="319"/>
      <c r="BT317" s="319"/>
      <c r="BU317" s="319"/>
      <c r="BV317" s="319"/>
      <c r="BW317" s="319"/>
      <c r="BX317" s="319"/>
      <c r="BY317" s="319"/>
      <c r="BZ317" s="319"/>
      <c r="CA317" s="319"/>
      <c r="CB317" s="319"/>
      <c r="CC317" s="319"/>
      <c r="CD317" s="319"/>
      <c r="CE317" s="319"/>
      <c r="CF317" s="319"/>
      <c r="CG317" s="319"/>
      <c r="CH317" s="319"/>
      <c r="CI317" s="319"/>
      <c r="CJ317" s="319"/>
      <c r="CK317" s="319"/>
    </row>
    <row r="318" spans="1:89" ht="13.5" hidden="1" customHeight="1">
      <c r="A318" s="12"/>
      <c r="B318" s="105" t="str">
        <f t="shared" ref="B318:B330" si="41">C740</f>
        <v>Mês</v>
      </c>
      <c r="C318" s="1"/>
      <c r="D318" s="308" t="s">
        <v>743</v>
      </c>
      <c r="E318" s="45" t="str">
        <f>D318</f>
        <v>m/s</v>
      </c>
      <c r="F318" s="45" t="str">
        <f>$J$1184</f>
        <v>MWh</v>
      </c>
      <c r="G318" s="1"/>
      <c r="H318" s="1"/>
      <c r="I318" s="1"/>
      <c r="J318" s="1"/>
      <c r="K318" s="9"/>
      <c r="L318" s="1"/>
      <c r="M318" s="319">
        <f>IF(D318=C1195,0,1)</f>
        <v>1</v>
      </c>
      <c r="N318" s="319">
        <v>5040006</v>
      </c>
      <c r="O318" s="319"/>
      <c r="P318" s="319">
        <f>IF(D318=C1194,D1194,1)</f>
        <v>1</v>
      </c>
      <c r="Q318" s="319"/>
      <c r="R318" s="319"/>
      <c r="S318" s="319"/>
      <c r="T318" s="319"/>
      <c r="U318" s="319"/>
      <c r="V318" s="476">
        <v>2.9750000000000001</v>
      </c>
      <c r="W318" s="476">
        <v>0.86233333300000004</v>
      </c>
      <c r="X318" s="476">
        <v>0.96850000000000003</v>
      </c>
      <c r="Y318" s="476">
        <v>0.99485714300000005</v>
      </c>
      <c r="Z318" s="476">
        <v>1</v>
      </c>
      <c r="AA318" s="476">
        <v>1</v>
      </c>
      <c r="AB318" s="476">
        <v>1</v>
      </c>
      <c r="AC318" s="476">
        <v>1</v>
      </c>
      <c r="AD318" s="476">
        <v>1</v>
      </c>
      <c r="AE318" s="476">
        <v>1</v>
      </c>
      <c r="AF318" s="319"/>
      <c r="AG318" s="319"/>
      <c r="AH318" s="319"/>
      <c r="AI318" s="319"/>
      <c r="AJ318" s="319"/>
      <c r="AK318" s="319"/>
      <c r="AL318" s="319"/>
      <c r="AM318" s="319"/>
      <c r="AN318" s="319"/>
      <c r="AO318" s="319"/>
      <c r="AP318" s="319"/>
      <c r="AQ318" s="319"/>
      <c r="AR318" s="319"/>
      <c r="AS318" s="319"/>
      <c r="AT318" s="319"/>
      <c r="AU318" s="319"/>
      <c r="AV318" s="319"/>
      <c r="AW318" s="319"/>
      <c r="AX318" s="319"/>
      <c r="AY318" s="319"/>
      <c r="AZ318" s="319"/>
      <c r="BA318" s="319"/>
      <c r="BB318" s="319"/>
      <c r="BC318" s="319"/>
      <c r="BD318" s="319"/>
      <c r="BE318" s="319"/>
      <c r="BF318" s="319"/>
      <c r="BG318" s="319"/>
      <c r="BH318" s="319"/>
      <c r="BI318" s="319"/>
      <c r="BJ318" s="319"/>
      <c r="BK318" s="319"/>
      <c r="BL318" s="319"/>
      <c r="BM318" s="319"/>
      <c r="BN318" s="319"/>
      <c r="BO318" s="319"/>
      <c r="BP318" s="319"/>
      <c r="BQ318" s="319"/>
      <c r="BR318" s="319"/>
      <c r="BS318" s="319"/>
      <c r="BT318" s="319"/>
      <c r="BU318" s="319"/>
      <c r="BV318" s="319"/>
      <c r="BW318" s="319"/>
      <c r="BX318" s="319"/>
      <c r="BY318" s="319"/>
      <c r="BZ318" s="319"/>
      <c r="CA318" s="319"/>
      <c r="CB318" s="319"/>
      <c r="CC318" s="319"/>
      <c r="CD318" s="319"/>
      <c r="CE318" s="319"/>
      <c r="CF318" s="319"/>
      <c r="CG318" s="319"/>
      <c r="CH318" s="319"/>
      <c r="CI318" s="319"/>
      <c r="CJ318" s="319"/>
      <c r="CK318" s="319"/>
    </row>
    <row r="319" spans="1:89" ht="13.5" hidden="1" customHeight="1">
      <c r="A319" s="12"/>
      <c r="B319" s="79" t="str">
        <f t="shared" si="41"/>
        <v>Janeiro</v>
      </c>
      <c r="C319" s="1"/>
      <c r="D319" s="395"/>
      <c r="E319" s="140">
        <f>T678/$P$318</f>
        <v>3</v>
      </c>
      <c r="F319" s="284">
        <f>MIN('Modelo Energético'!V231,$AH$210*R230*Q230/24/1000)</f>
        <v>0</v>
      </c>
      <c r="G319" s="1"/>
      <c r="H319" s="1"/>
      <c r="I319" s="1"/>
      <c r="J319" s="1"/>
      <c r="K319" s="9"/>
      <c r="L319" s="1"/>
      <c r="M319" s="319"/>
      <c r="N319" s="319">
        <v>5040006</v>
      </c>
      <c r="O319" s="319"/>
      <c r="P319" s="845">
        <f>D319*$P$318</f>
        <v>0</v>
      </c>
      <c r="Q319" s="476"/>
      <c r="R319" s="319"/>
      <c r="S319" s="319"/>
      <c r="T319" s="319"/>
      <c r="U319" s="319"/>
      <c r="V319" s="319"/>
      <c r="W319" s="319"/>
      <c r="X319" s="319"/>
      <c r="Y319" s="319"/>
      <c r="Z319" s="319"/>
      <c r="AA319" s="319"/>
      <c r="AB319" s="319"/>
      <c r="AC319" s="319"/>
      <c r="AD319" s="319"/>
      <c r="AE319" s="319"/>
      <c r="AF319" s="319"/>
      <c r="AG319" s="319"/>
      <c r="AH319" s="319"/>
      <c r="AI319" s="319"/>
      <c r="AJ319" s="319"/>
      <c r="AK319" s="319"/>
      <c r="AL319" s="319"/>
      <c r="AM319" s="319"/>
      <c r="AN319" s="319"/>
      <c r="AO319" s="319"/>
      <c r="AP319" s="319"/>
      <c r="AQ319" s="319"/>
      <c r="AR319" s="319"/>
      <c r="AS319" s="319"/>
      <c r="AT319" s="319"/>
      <c r="AU319" s="319"/>
      <c r="AV319" s="319"/>
      <c r="AW319" s="319"/>
      <c r="AX319" s="319"/>
      <c r="AY319" s="319"/>
      <c r="AZ319" s="319"/>
      <c r="BA319" s="319"/>
      <c r="BB319" s="319"/>
      <c r="BC319" s="319"/>
      <c r="BD319" s="319"/>
      <c r="BE319" s="319"/>
      <c r="BF319" s="319"/>
      <c r="BG319" s="319"/>
      <c r="BH319" s="319"/>
      <c r="BI319" s="319"/>
      <c r="BJ319" s="319"/>
      <c r="BK319" s="319"/>
      <c r="BL319" s="319"/>
      <c r="BM319" s="319"/>
      <c r="BN319" s="319"/>
      <c r="BO319" s="319"/>
      <c r="BP319" s="319"/>
      <c r="BQ319" s="319"/>
      <c r="BR319" s="319"/>
      <c r="BS319" s="319"/>
      <c r="BT319" s="319"/>
      <c r="BU319" s="319"/>
      <c r="BV319" s="319"/>
      <c r="BW319" s="319"/>
      <c r="BX319" s="319"/>
      <c r="BY319" s="319"/>
      <c r="BZ319" s="319"/>
      <c r="CA319" s="319"/>
      <c r="CB319" s="319"/>
      <c r="CC319" s="319"/>
      <c r="CD319" s="319"/>
      <c r="CE319" s="319"/>
      <c r="CF319" s="319"/>
      <c r="CG319" s="319"/>
      <c r="CH319" s="319"/>
      <c r="CI319" s="319"/>
      <c r="CJ319" s="319"/>
      <c r="CK319" s="319"/>
    </row>
    <row r="320" spans="1:89" ht="13.5" hidden="1" customHeight="1">
      <c r="A320" s="12"/>
      <c r="B320" s="79" t="str">
        <f t="shared" si="41"/>
        <v>Fevereiro</v>
      </c>
      <c r="C320" s="1"/>
      <c r="D320" s="395"/>
      <c r="E320" s="140">
        <f t="shared" ref="E320:E330" si="42">T679/$P$318</f>
        <v>3.1</v>
      </c>
      <c r="F320" s="284">
        <f>MIN('Modelo Energético'!V232,$AH$210*R231*Q231/24/1000)</f>
        <v>0</v>
      </c>
      <c r="G320" s="1"/>
      <c r="H320" s="1"/>
      <c r="I320" s="1"/>
      <c r="J320" s="1"/>
      <c r="K320" s="9"/>
      <c r="L320" s="1"/>
      <c r="M320" s="319"/>
      <c r="N320" s="319">
        <v>5040006</v>
      </c>
      <c r="O320" s="319"/>
      <c r="P320" s="845">
        <f t="shared" ref="P320:P330" si="43">D320*$P$318</f>
        <v>0</v>
      </c>
      <c r="Q320" s="476"/>
      <c r="R320" s="319"/>
      <c r="S320" s="319"/>
      <c r="T320" s="319"/>
      <c r="U320" s="319"/>
      <c r="V320" s="319"/>
      <c r="W320" s="319"/>
      <c r="X320" s="319"/>
      <c r="Y320" s="319"/>
      <c r="Z320" s="319"/>
      <c r="AA320" s="319"/>
      <c r="AB320" s="319"/>
      <c r="AC320" s="319"/>
      <c r="AD320" s="319"/>
      <c r="AE320" s="319"/>
      <c r="AF320" s="319"/>
      <c r="AG320" s="319"/>
      <c r="AH320" s="319"/>
      <c r="AI320" s="319"/>
      <c r="AJ320" s="319"/>
      <c r="AK320" s="319"/>
      <c r="AL320" s="319"/>
      <c r="AM320" s="319"/>
      <c r="AN320" s="319"/>
      <c r="AO320" s="319"/>
      <c r="AP320" s="319"/>
      <c r="AQ320" s="319"/>
      <c r="AR320" s="319"/>
      <c r="AS320" s="319"/>
      <c r="AT320" s="319"/>
      <c r="AU320" s="319"/>
      <c r="AV320" s="319"/>
      <c r="AW320" s="319"/>
      <c r="AX320" s="319"/>
      <c r="AY320" s="319"/>
      <c r="AZ320" s="319"/>
      <c r="BA320" s="319"/>
      <c r="BB320" s="319"/>
      <c r="BC320" s="319"/>
      <c r="BD320" s="319"/>
      <c r="BE320" s="319"/>
      <c r="BF320" s="319"/>
      <c r="BG320" s="319"/>
      <c r="BH320" s="319"/>
      <c r="BI320" s="319"/>
      <c r="BJ320" s="319"/>
      <c r="BK320" s="319"/>
      <c r="BL320" s="319"/>
      <c r="BM320" s="319"/>
      <c r="BN320" s="319"/>
      <c r="BO320" s="319"/>
      <c r="BP320" s="319"/>
      <c r="BQ320" s="319"/>
      <c r="BR320" s="319"/>
      <c r="BS320" s="319"/>
      <c r="BT320" s="319"/>
      <c r="BU320" s="319"/>
      <c r="BV320" s="319"/>
      <c r="BW320" s="319"/>
      <c r="BX320" s="319"/>
      <c r="BY320" s="319"/>
      <c r="BZ320" s="319"/>
      <c r="CA320" s="319"/>
      <c r="CB320" s="319"/>
      <c r="CC320" s="319"/>
      <c r="CD320" s="319"/>
      <c r="CE320" s="319"/>
      <c r="CF320" s="319"/>
      <c r="CG320" s="319"/>
      <c r="CH320" s="319"/>
      <c r="CI320" s="319"/>
      <c r="CJ320" s="319"/>
      <c r="CK320" s="319"/>
    </row>
    <row r="321" spans="1:89" ht="13.5" hidden="1" customHeight="1">
      <c r="A321" s="12"/>
      <c r="B321" s="79" t="str">
        <f t="shared" si="41"/>
        <v>Março</v>
      </c>
      <c r="C321" s="1"/>
      <c r="D321" s="395"/>
      <c r="E321" s="140">
        <f t="shared" si="42"/>
        <v>2.8</v>
      </c>
      <c r="F321" s="284">
        <f>MIN('Modelo Energético'!V233,$AH$210*R232*Q232/24/1000)</f>
        <v>0</v>
      </c>
      <c r="G321" s="1"/>
      <c r="H321" s="1"/>
      <c r="I321" s="1"/>
      <c r="J321" s="1"/>
      <c r="K321" s="9"/>
      <c r="L321" s="1"/>
      <c r="M321" s="319"/>
      <c r="N321" s="319">
        <v>5040006</v>
      </c>
      <c r="O321" s="319"/>
      <c r="P321" s="845">
        <f t="shared" si="43"/>
        <v>0</v>
      </c>
      <c r="Q321" s="476"/>
      <c r="R321" s="319"/>
      <c r="S321" s="319"/>
      <c r="T321" s="319"/>
      <c r="U321" s="319"/>
      <c r="V321" s="319"/>
      <c r="W321" s="319"/>
      <c r="X321" s="319"/>
      <c r="Y321" s="319"/>
      <c r="Z321" s="319"/>
      <c r="AA321" s="319"/>
      <c r="AB321" s="319"/>
      <c r="AC321" s="319"/>
      <c r="AD321" s="319"/>
      <c r="AE321" s="319"/>
      <c r="AF321" s="319"/>
      <c r="AG321" s="319"/>
      <c r="AH321" s="319"/>
      <c r="AI321" s="319"/>
      <c r="AJ321" s="319"/>
      <c r="AK321" s="319"/>
      <c r="AL321" s="319"/>
      <c r="AM321" s="319"/>
      <c r="AN321" s="319"/>
      <c r="AO321" s="319"/>
      <c r="AP321" s="319"/>
      <c r="AQ321" s="319"/>
      <c r="AR321" s="319"/>
      <c r="AS321" s="319"/>
      <c r="AT321" s="319"/>
      <c r="AU321" s="319"/>
      <c r="AV321" s="319"/>
      <c r="AW321" s="319"/>
      <c r="AX321" s="319"/>
      <c r="AY321" s="319"/>
      <c r="AZ321" s="319"/>
      <c r="BA321" s="319"/>
      <c r="BB321" s="319"/>
      <c r="BC321" s="319"/>
      <c r="BD321" s="319"/>
      <c r="BE321" s="319"/>
      <c r="BF321" s="319"/>
      <c r="BG321" s="319"/>
      <c r="BH321" s="319"/>
      <c r="BI321" s="319"/>
      <c r="BJ321" s="319"/>
      <c r="BK321" s="319"/>
      <c r="BL321" s="319"/>
      <c r="BM321" s="319"/>
      <c r="BN321" s="319"/>
      <c r="BO321" s="319"/>
      <c r="BP321" s="319"/>
      <c r="BQ321" s="319"/>
      <c r="BR321" s="319"/>
      <c r="BS321" s="319"/>
      <c r="BT321" s="319"/>
      <c r="BU321" s="319"/>
      <c r="BV321" s="319"/>
      <c r="BW321" s="319"/>
      <c r="BX321" s="319"/>
      <c r="BY321" s="319"/>
      <c r="BZ321" s="319"/>
      <c r="CA321" s="319"/>
      <c r="CB321" s="319"/>
      <c r="CC321" s="319"/>
      <c r="CD321" s="319"/>
      <c r="CE321" s="319"/>
      <c r="CF321" s="319"/>
      <c r="CG321" s="319"/>
      <c r="CH321" s="319"/>
      <c r="CI321" s="319"/>
      <c r="CJ321" s="319"/>
      <c r="CK321" s="319"/>
    </row>
    <row r="322" spans="1:89" ht="13.5" hidden="1" customHeight="1">
      <c r="A322" s="12"/>
      <c r="B322" s="79" t="str">
        <f t="shared" si="41"/>
        <v>Abril</v>
      </c>
      <c r="C322" s="1"/>
      <c r="D322" s="395"/>
      <c r="E322" s="140">
        <f t="shared" si="42"/>
        <v>2.7</v>
      </c>
      <c r="F322" s="284">
        <f>MIN('Modelo Energético'!V234,$AH$210*R233*Q233/24/1000)</f>
        <v>0</v>
      </c>
      <c r="G322" s="1"/>
      <c r="H322" s="1"/>
      <c r="I322" s="1"/>
      <c r="J322" s="1"/>
      <c r="K322" s="9"/>
      <c r="L322" s="1"/>
      <c r="M322" s="319"/>
      <c r="N322" s="319">
        <v>5040006</v>
      </c>
      <c r="O322" s="319"/>
      <c r="P322" s="845">
        <f t="shared" si="43"/>
        <v>0</v>
      </c>
      <c r="Q322" s="476"/>
      <c r="R322" s="319"/>
      <c r="S322" s="319"/>
      <c r="T322" s="319"/>
      <c r="U322" s="319"/>
      <c r="V322" s="319"/>
      <c r="W322" s="319"/>
      <c r="X322" s="319"/>
      <c r="Y322" s="319"/>
      <c r="Z322" s="319"/>
      <c r="AA322" s="319"/>
      <c r="AB322" s="319"/>
      <c r="AC322" s="319"/>
      <c r="AD322" s="319"/>
      <c r="AE322" s="319"/>
      <c r="AF322" s="319"/>
      <c r="AG322" s="319"/>
      <c r="AH322" s="319"/>
      <c r="AI322" s="319"/>
      <c r="AJ322" s="319"/>
      <c r="AK322" s="319"/>
      <c r="AL322" s="319"/>
      <c r="AM322" s="319"/>
      <c r="AN322" s="319"/>
      <c r="AO322" s="319"/>
      <c r="AP322" s="319"/>
      <c r="AQ322" s="319"/>
      <c r="AR322" s="319"/>
      <c r="AS322" s="319"/>
      <c r="AT322" s="319"/>
      <c r="AU322" s="319"/>
      <c r="AV322" s="319"/>
      <c r="AW322" s="319"/>
      <c r="AX322" s="319"/>
      <c r="AY322" s="319"/>
      <c r="AZ322" s="319"/>
      <c r="BA322" s="319"/>
      <c r="BB322" s="319"/>
      <c r="BC322" s="319"/>
      <c r="BD322" s="319"/>
      <c r="BE322" s="319"/>
      <c r="BF322" s="319"/>
      <c r="BG322" s="319"/>
      <c r="BH322" s="319"/>
      <c r="BI322" s="319"/>
      <c r="BJ322" s="319"/>
      <c r="BK322" s="319"/>
      <c r="BL322" s="319"/>
      <c r="BM322" s="319"/>
      <c r="BN322" s="319"/>
      <c r="BO322" s="319"/>
      <c r="BP322" s="319"/>
      <c r="BQ322" s="319"/>
      <c r="BR322" s="319"/>
      <c r="BS322" s="319"/>
      <c r="BT322" s="319"/>
      <c r="BU322" s="319"/>
      <c r="BV322" s="319"/>
      <c r="BW322" s="319"/>
      <c r="BX322" s="319"/>
      <c r="BY322" s="319"/>
      <c r="BZ322" s="319"/>
      <c r="CA322" s="319"/>
      <c r="CB322" s="319"/>
      <c r="CC322" s="319"/>
      <c r="CD322" s="319"/>
      <c r="CE322" s="319"/>
      <c r="CF322" s="319"/>
      <c r="CG322" s="319"/>
      <c r="CH322" s="319"/>
      <c r="CI322" s="319"/>
      <c r="CJ322" s="319"/>
      <c r="CK322" s="319"/>
    </row>
    <row r="323" spans="1:89" ht="13.5" hidden="1" customHeight="1">
      <c r="A323" s="12"/>
      <c r="B323" s="79" t="str">
        <f t="shared" si="41"/>
        <v>Maio</v>
      </c>
      <c r="C323" s="1"/>
      <c r="D323" s="395"/>
      <c r="E323" s="140">
        <f t="shared" si="42"/>
        <v>2.5</v>
      </c>
      <c r="F323" s="284">
        <f>MIN('Modelo Energético'!V235,$AH$210*R234*Q234/24/1000)</f>
        <v>0</v>
      </c>
      <c r="G323" s="1"/>
      <c r="H323" s="1"/>
      <c r="I323" s="1"/>
      <c r="J323" s="1"/>
      <c r="K323" s="9"/>
      <c r="L323" s="1"/>
      <c r="M323" s="319"/>
      <c r="N323" s="319">
        <v>5040006</v>
      </c>
      <c r="O323" s="319"/>
      <c r="P323" s="845">
        <f t="shared" si="43"/>
        <v>0</v>
      </c>
      <c r="Q323" s="476"/>
      <c r="R323" s="319"/>
      <c r="S323" s="319"/>
      <c r="T323" s="319"/>
      <c r="U323" s="319"/>
      <c r="V323" s="319"/>
      <c r="W323" s="319"/>
      <c r="X323" s="319"/>
      <c r="Y323" s="319"/>
      <c r="Z323" s="319"/>
      <c r="AA323" s="319"/>
      <c r="AB323" s="319"/>
      <c r="AC323" s="319"/>
      <c r="AD323" s="319"/>
      <c r="AE323" s="319"/>
      <c r="AF323" s="319"/>
      <c r="AG323" s="319"/>
      <c r="AH323" s="319"/>
      <c r="AI323" s="319"/>
      <c r="AJ323" s="319"/>
      <c r="AK323" s="319"/>
      <c r="AL323" s="319"/>
      <c r="AM323" s="319"/>
      <c r="AN323" s="319"/>
      <c r="AO323" s="319"/>
      <c r="AP323" s="319"/>
      <c r="AQ323" s="319"/>
      <c r="AR323" s="319"/>
      <c r="AS323" s="319"/>
      <c r="AT323" s="319"/>
      <c r="AU323" s="319"/>
      <c r="AV323" s="319"/>
      <c r="AW323" s="319"/>
      <c r="AX323" s="319"/>
      <c r="AY323" s="319"/>
      <c r="AZ323" s="319"/>
      <c r="BA323" s="319"/>
      <c r="BB323" s="319"/>
      <c r="BC323" s="319"/>
      <c r="BD323" s="319"/>
      <c r="BE323" s="319"/>
      <c r="BF323" s="319"/>
      <c r="BG323" s="319"/>
      <c r="BH323" s="319"/>
      <c r="BI323" s="319"/>
      <c r="BJ323" s="319"/>
      <c r="BK323" s="319"/>
      <c r="BL323" s="319"/>
      <c r="BM323" s="319"/>
      <c r="BN323" s="319"/>
      <c r="BO323" s="319"/>
      <c r="BP323" s="319"/>
      <c r="BQ323" s="319"/>
      <c r="BR323" s="319"/>
      <c r="BS323" s="319"/>
      <c r="BT323" s="319"/>
      <c r="BU323" s="319"/>
      <c r="BV323" s="319"/>
      <c r="BW323" s="319"/>
      <c r="BX323" s="319"/>
      <c r="BY323" s="319"/>
      <c r="BZ323" s="319"/>
      <c r="CA323" s="319"/>
      <c r="CB323" s="319"/>
      <c r="CC323" s="319"/>
      <c r="CD323" s="319"/>
      <c r="CE323" s="319"/>
      <c r="CF323" s="319"/>
      <c r="CG323" s="319"/>
      <c r="CH323" s="319"/>
      <c r="CI323" s="319"/>
      <c r="CJ323" s="319"/>
      <c r="CK323" s="319"/>
    </row>
    <row r="324" spans="1:89" ht="13.5" hidden="1" customHeight="1">
      <c r="A324" s="12"/>
      <c r="B324" s="79" t="str">
        <f t="shared" si="41"/>
        <v>Junho</v>
      </c>
      <c r="C324" s="1"/>
      <c r="D324" s="395"/>
      <c r="E324" s="140">
        <f t="shared" si="42"/>
        <v>2.4</v>
      </c>
      <c r="F324" s="284">
        <f>MIN('Modelo Energético'!V236,$AH$210*R235*Q235/24/1000)</f>
        <v>0</v>
      </c>
      <c r="G324" s="1"/>
      <c r="H324" s="1"/>
      <c r="I324" s="1"/>
      <c r="J324" s="1"/>
      <c r="K324" s="9"/>
      <c r="L324" s="1"/>
      <c r="M324" s="319"/>
      <c r="N324" s="319">
        <v>5040006</v>
      </c>
      <c r="O324" s="319"/>
      <c r="P324" s="845">
        <f t="shared" si="43"/>
        <v>0</v>
      </c>
      <c r="Q324" s="476"/>
      <c r="R324" s="319"/>
      <c r="S324" s="319"/>
      <c r="T324" s="319"/>
      <c r="U324" s="319"/>
      <c r="V324" s="319"/>
      <c r="W324" s="319"/>
      <c r="X324" s="319"/>
      <c r="Y324" s="319"/>
      <c r="Z324" s="319"/>
      <c r="AA324" s="319"/>
      <c r="AB324" s="319"/>
      <c r="AC324" s="319"/>
      <c r="AD324" s="319"/>
      <c r="AE324" s="319"/>
      <c r="AF324" s="319"/>
      <c r="AG324" s="319"/>
      <c r="AH324" s="319"/>
      <c r="AI324" s="319"/>
      <c r="AJ324" s="319"/>
      <c r="AK324" s="319"/>
      <c r="AL324" s="319"/>
      <c r="AM324" s="319"/>
      <c r="AN324" s="319"/>
      <c r="AO324" s="319"/>
      <c r="AP324" s="319"/>
      <c r="AQ324" s="319"/>
      <c r="AR324" s="319"/>
      <c r="AS324" s="319"/>
      <c r="AT324" s="319"/>
      <c r="AU324" s="319"/>
      <c r="AV324" s="319"/>
      <c r="AW324" s="319"/>
      <c r="AX324" s="319"/>
      <c r="AY324" s="319"/>
      <c r="AZ324" s="319"/>
      <c r="BA324" s="319"/>
      <c r="BB324" s="319"/>
      <c r="BC324" s="319"/>
      <c r="BD324" s="319"/>
      <c r="BE324" s="319"/>
      <c r="BF324" s="319"/>
      <c r="BG324" s="319"/>
      <c r="BH324" s="319"/>
      <c r="BI324" s="319"/>
      <c r="BJ324" s="319"/>
      <c r="BK324" s="319"/>
      <c r="BL324" s="319"/>
      <c r="BM324" s="319"/>
      <c r="BN324" s="319"/>
      <c r="BO324" s="319"/>
      <c r="BP324" s="319"/>
      <c r="BQ324" s="319"/>
      <c r="BR324" s="319"/>
      <c r="BS324" s="319"/>
      <c r="BT324" s="319"/>
      <c r="BU324" s="319"/>
      <c r="BV324" s="319"/>
      <c r="BW324" s="319"/>
      <c r="BX324" s="319"/>
      <c r="BY324" s="319"/>
      <c r="BZ324" s="319"/>
      <c r="CA324" s="319"/>
      <c r="CB324" s="319"/>
      <c r="CC324" s="319"/>
      <c r="CD324" s="319"/>
      <c r="CE324" s="319"/>
      <c r="CF324" s="319"/>
      <c r="CG324" s="319"/>
      <c r="CH324" s="319"/>
      <c r="CI324" s="319"/>
      <c r="CJ324" s="319"/>
      <c r="CK324" s="319"/>
    </row>
    <row r="325" spans="1:89" ht="13.5" hidden="1" customHeight="1">
      <c r="A325" s="12"/>
      <c r="B325" s="79" t="str">
        <f t="shared" si="41"/>
        <v>Julho</v>
      </c>
      <c r="C325" s="1"/>
      <c r="D325" s="395"/>
      <c r="E325" s="140">
        <f t="shared" si="42"/>
        <v>2.4</v>
      </c>
      <c r="F325" s="284">
        <f>MIN('Modelo Energético'!V237,$AH$210*R236*Q236/24/1000)</f>
        <v>0</v>
      </c>
      <c r="G325" s="1"/>
      <c r="H325" s="1"/>
      <c r="I325" s="1"/>
      <c r="J325" s="1"/>
      <c r="K325" s="9"/>
      <c r="L325" s="1"/>
      <c r="M325" s="319"/>
      <c r="N325" s="319">
        <v>5040006</v>
      </c>
      <c r="O325" s="319"/>
      <c r="P325" s="845">
        <f t="shared" si="43"/>
        <v>0</v>
      </c>
      <c r="Q325" s="476"/>
      <c r="R325" s="319"/>
      <c r="S325" s="319"/>
      <c r="T325" s="319"/>
      <c r="U325" s="319"/>
      <c r="V325" s="319"/>
      <c r="W325" s="319"/>
      <c r="X325" s="319"/>
      <c r="Y325" s="319"/>
      <c r="Z325" s="319"/>
      <c r="AA325" s="319"/>
      <c r="AB325" s="319"/>
      <c r="AC325" s="319"/>
      <c r="AD325" s="319"/>
      <c r="AE325" s="319"/>
      <c r="AF325" s="319"/>
      <c r="AG325" s="319"/>
      <c r="AH325" s="319"/>
      <c r="AI325" s="319"/>
      <c r="AJ325" s="319"/>
      <c r="AK325" s="319"/>
      <c r="AL325" s="319"/>
      <c r="AM325" s="319"/>
      <c r="AN325" s="319"/>
      <c r="AO325" s="319"/>
      <c r="AP325" s="319"/>
      <c r="AQ325" s="319"/>
      <c r="AR325" s="319"/>
      <c r="AS325" s="319"/>
      <c r="AT325" s="319"/>
      <c r="AU325" s="319"/>
      <c r="AV325" s="319"/>
      <c r="AW325" s="319"/>
      <c r="AX325" s="319"/>
      <c r="AY325" s="319"/>
      <c r="AZ325" s="319"/>
      <c r="BA325" s="319"/>
      <c r="BB325" s="319"/>
      <c r="BC325" s="319"/>
      <c r="BD325" s="319"/>
      <c r="BE325" s="319"/>
      <c r="BF325" s="319"/>
      <c r="BG325" s="319"/>
      <c r="BH325" s="319"/>
      <c r="BI325" s="319"/>
      <c r="BJ325" s="319"/>
      <c r="BK325" s="319"/>
      <c r="BL325" s="319"/>
      <c r="BM325" s="319"/>
      <c r="BN325" s="319"/>
      <c r="BO325" s="319"/>
      <c r="BP325" s="319"/>
      <c r="BQ325" s="319"/>
      <c r="BR325" s="319"/>
      <c r="BS325" s="319"/>
      <c r="BT325" s="319"/>
      <c r="BU325" s="319"/>
      <c r="BV325" s="319"/>
      <c r="BW325" s="319"/>
      <c r="BX325" s="319"/>
      <c r="BY325" s="319"/>
      <c r="BZ325" s="319"/>
      <c r="CA325" s="319"/>
      <c r="CB325" s="319"/>
      <c r="CC325" s="319"/>
      <c r="CD325" s="319"/>
      <c r="CE325" s="319"/>
      <c r="CF325" s="319"/>
      <c r="CG325" s="319"/>
      <c r="CH325" s="319"/>
      <c r="CI325" s="319"/>
      <c r="CJ325" s="319"/>
      <c r="CK325" s="319"/>
    </row>
    <row r="326" spans="1:89" ht="13.5" hidden="1" customHeight="1">
      <c r="A326" s="12"/>
      <c r="B326" s="79" t="str">
        <f t="shared" si="41"/>
        <v>Agosto</v>
      </c>
      <c r="C326" s="1"/>
      <c r="D326" s="395"/>
      <c r="E326" s="140">
        <f t="shared" si="42"/>
        <v>2.4</v>
      </c>
      <c r="F326" s="284">
        <f>MIN('Modelo Energético'!V238,$AH$210*R237*Q237/24/1000)</f>
        <v>0</v>
      </c>
      <c r="G326" s="1"/>
      <c r="H326" s="1"/>
      <c r="I326" s="1"/>
      <c r="J326" s="1"/>
      <c r="K326" s="9"/>
      <c r="L326" s="1"/>
      <c r="M326" s="319"/>
      <c r="N326" s="319">
        <v>5040006</v>
      </c>
      <c r="O326" s="319"/>
      <c r="P326" s="845">
        <f t="shared" si="43"/>
        <v>0</v>
      </c>
      <c r="Q326" s="476"/>
      <c r="R326" s="319"/>
      <c r="S326" s="319"/>
      <c r="T326" s="319"/>
      <c r="U326" s="319"/>
      <c r="V326" s="319"/>
      <c r="W326" s="319"/>
      <c r="X326" s="319"/>
      <c r="Y326" s="319"/>
      <c r="Z326" s="319"/>
      <c r="AA326" s="319"/>
      <c r="AB326" s="319"/>
      <c r="AC326" s="319"/>
      <c r="AD326" s="319"/>
      <c r="AE326" s="319"/>
      <c r="AF326" s="319"/>
      <c r="AG326" s="319"/>
      <c r="AH326" s="319"/>
      <c r="AI326" s="319"/>
      <c r="AJ326" s="319"/>
      <c r="AK326" s="319"/>
      <c r="AL326" s="319"/>
      <c r="AM326" s="319"/>
      <c r="AN326" s="319"/>
      <c r="AO326" s="319"/>
      <c r="AP326" s="319"/>
      <c r="AQ326" s="319"/>
      <c r="AR326" s="319"/>
      <c r="AS326" s="319"/>
      <c r="AT326" s="319"/>
      <c r="AU326" s="319"/>
      <c r="AV326" s="319"/>
      <c r="AW326" s="319"/>
      <c r="AX326" s="319"/>
      <c r="AY326" s="319"/>
      <c r="AZ326" s="319"/>
      <c r="BA326" s="319"/>
      <c r="BB326" s="319"/>
      <c r="BC326" s="319"/>
      <c r="BD326" s="319"/>
      <c r="BE326" s="319"/>
      <c r="BF326" s="319"/>
      <c r="BG326" s="319"/>
      <c r="BH326" s="319"/>
      <c r="BI326" s="319"/>
      <c r="BJ326" s="319"/>
      <c r="BK326" s="319"/>
      <c r="BL326" s="319"/>
      <c r="BM326" s="319"/>
      <c r="BN326" s="319"/>
      <c r="BO326" s="319"/>
      <c r="BP326" s="319"/>
      <c r="BQ326" s="319"/>
      <c r="BR326" s="319"/>
      <c r="BS326" s="319"/>
      <c r="BT326" s="319"/>
      <c r="BU326" s="319"/>
      <c r="BV326" s="319"/>
      <c r="BW326" s="319"/>
      <c r="BX326" s="319"/>
      <c r="BY326" s="319"/>
      <c r="BZ326" s="319"/>
      <c r="CA326" s="319"/>
      <c r="CB326" s="319"/>
      <c r="CC326" s="319"/>
      <c r="CD326" s="319"/>
      <c r="CE326" s="319"/>
      <c r="CF326" s="319"/>
      <c r="CG326" s="319"/>
      <c r="CH326" s="319"/>
      <c r="CI326" s="319"/>
      <c r="CJ326" s="319"/>
      <c r="CK326" s="319"/>
    </row>
    <row r="327" spans="1:89" ht="13.5" hidden="1" customHeight="1">
      <c r="A327" s="12"/>
      <c r="B327" s="79" t="str">
        <f t="shared" si="41"/>
        <v>Setembro</v>
      </c>
      <c r="C327" s="1"/>
      <c r="D327" s="395"/>
      <c r="E327" s="140">
        <f t="shared" si="42"/>
        <v>2.2000000000000002</v>
      </c>
      <c r="F327" s="284">
        <f>MIN('Modelo Energético'!V239,$AH$210*R238*Q238/24/1000)</f>
        <v>0</v>
      </c>
      <c r="G327" s="1"/>
      <c r="H327" s="1"/>
      <c r="I327" s="1"/>
      <c r="J327" s="1"/>
      <c r="K327" s="9"/>
      <c r="L327" s="1"/>
      <c r="M327" s="319"/>
      <c r="N327" s="319">
        <v>5040006</v>
      </c>
      <c r="O327" s="319"/>
      <c r="P327" s="845">
        <f t="shared" si="43"/>
        <v>0</v>
      </c>
      <c r="Q327" s="476"/>
      <c r="R327" s="319"/>
      <c r="S327" s="319" t="s">
        <v>442</v>
      </c>
      <c r="T327" s="319"/>
      <c r="U327" s="319"/>
      <c r="V327" s="319"/>
      <c r="W327" s="319"/>
      <c r="X327" s="319"/>
      <c r="Y327" s="319"/>
      <c r="Z327" s="319"/>
      <c r="AA327" s="319"/>
      <c r="AB327" s="319"/>
      <c r="AC327" s="319"/>
      <c r="AD327" s="319"/>
      <c r="AE327" s="319"/>
      <c r="AF327" s="319"/>
      <c r="AG327" s="319"/>
      <c r="AH327" s="319"/>
      <c r="AI327" s="319"/>
      <c r="AJ327" s="319"/>
      <c r="AK327" s="319"/>
      <c r="AL327" s="319"/>
      <c r="AM327" s="319"/>
      <c r="AN327" s="319"/>
      <c r="AO327" s="319"/>
      <c r="AP327" s="319"/>
      <c r="AQ327" s="319"/>
      <c r="AR327" s="319"/>
      <c r="AS327" s="319"/>
      <c r="AT327" s="319"/>
      <c r="AU327" s="319"/>
      <c r="AV327" s="319"/>
      <c r="AW327" s="319"/>
      <c r="AX327" s="319"/>
      <c r="AY327" s="319"/>
      <c r="AZ327" s="319"/>
      <c r="BA327" s="319"/>
      <c r="BB327" s="319"/>
      <c r="BC327" s="319"/>
      <c r="BD327" s="319"/>
      <c r="BE327" s="319"/>
      <c r="BF327" s="319"/>
      <c r="BG327" s="319"/>
      <c r="BH327" s="319"/>
      <c r="BI327" s="319"/>
      <c r="BJ327" s="319"/>
      <c r="BK327" s="319"/>
      <c r="BL327" s="319"/>
      <c r="BM327" s="319"/>
      <c r="BN327" s="319"/>
      <c r="BO327" s="319"/>
      <c r="BP327" s="319"/>
      <c r="BQ327" s="319"/>
      <c r="BR327" s="319"/>
      <c r="BS327" s="319"/>
      <c r="BT327" s="319"/>
      <c r="BU327" s="319"/>
      <c r="BV327" s="319"/>
      <c r="BW327" s="319"/>
      <c r="BX327" s="319"/>
      <c r="BY327" s="319"/>
      <c r="BZ327" s="319"/>
      <c r="CA327" s="319"/>
      <c r="CB327" s="319"/>
      <c r="CC327" s="319"/>
      <c r="CD327" s="319"/>
      <c r="CE327" s="319"/>
      <c r="CF327" s="319"/>
      <c r="CG327" s="319"/>
      <c r="CH327" s="319"/>
      <c r="CI327" s="319"/>
      <c r="CJ327" s="319"/>
      <c r="CK327" s="319"/>
    </row>
    <row r="328" spans="1:89" ht="13.5" hidden="1" customHeight="1">
      <c r="A328" s="12"/>
      <c r="B328" s="79" t="str">
        <f t="shared" si="41"/>
        <v>Outubro</v>
      </c>
      <c r="C328" s="1"/>
      <c r="D328" s="395"/>
      <c r="E328" s="140">
        <f t="shared" si="42"/>
        <v>2.4</v>
      </c>
      <c r="F328" s="284">
        <f>MIN('Modelo Energético'!V240,$AH$210*R239*Q239/24/1000)</f>
        <v>0</v>
      </c>
      <c r="G328" s="1"/>
      <c r="H328" s="1"/>
      <c r="I328" s="1"/>
      <c r="J328" s="1"/>
      <c r="K328" s="9"/>
      <c r="L328" s="1"/>
      <c r="M328" s="319"/>
      <c r="N328" s="319">
        <v>5040006</v>
      </c>
      <c r="O328" s="319"/>
      <c r="P328" s="845">
        <f t="shared" si="43"/>
        <v>0</v>
      </c>
      <c r="Q328" s="476"/>
      <c r="R328" s="319"/>
      <c r="S328" s="319" t="s">
        <v>5660</v>
      </c>
      <c r="T328" s="319"/>
      <c r="U328" s="319"/>
      <c r="V328" s="319"/>
      <c r="W328" s="319"/>
      <c r="X328" s="319"/>
      <c r="Y328" s="319"/>
      <c r="Z328" s="319"/>
      <c r="AA328" s="319"/>
      <c r="AB328" s="319"/>
      <c r="AC328" s="319"/>
      <c r="AD328" s="319"/>
      <c r="AE328" s="319"/>
      <c r="AF328" s="319"/>
      <c r="AG328" s="319"/>
      <c r="AH328" s="319"/>
      <c r="AI328" s="319"/>
      <c r="AJ328" s="319"/>
      <c r="AK328" s="319"/>
      <c r="AL328" s="319"/>
      <c r="AM328" s="319"/>
      <c r="AN328" s="319"/>
      <c r="AO328" s="319"/>
      <c r="AP328" s="319"/>
      <c r="AQ328" s="319"/>
      <c r="AR328" s="319"/>
      <c r="AS328" s="319"/>
      <c r="AT328" s="319"/>
      <c r="AU328" s="319"/>
      <c r="AV328" s="319"/>
      <c r="AW328" s="319"/>
      <c r="AX328" s="319"/>
      <c r="AY328" s="319"/>
      <c r="AZ328" s="319"/>
      <c r="BA328" s="319"/>
      <c r="BB328" s="319"/>
      <c r="BC328" s="319"/>
      <c r="BD328" s="319"/>
      <c r="BE328" s="319"/>
      <c r="BF328" s="319"/>
      <c r="BG328" s="319"/>
      <c r="BH328" s="319"/>
      <c r="BI328" s="319"/>
      <c r="BJ328" s="319"/>
      <c r="BK328" s="319"/>
      <c r="BL328" s="319"/>
      <c r="BM328" s="319"/>
      <c r="BN328" s="319"/>
      <c r="BO328" s="319"/>
      <c r="BP328" s="319"/>
      <c r="BQ328" s="319"/>
      <c r="BR328" s="319"/>
      <c r="BS328" s="319"/>
      <c r="BT328" s="319"/>
      <c r="BU328" s="319"/>
      <c r="BV328" s="319"/>
      <c r="BW328" s="319"/>
      <c r="BX328" s="319"/>
      <c r="BY328" s="319"/>
      <c r="BZ328" s="319"/>
      <c r="CA328" s="319"/>
      <c r="CB328" s="319"/>
      <c r="CC328" s="319"/>
      <c r="CD328" s="319"/>
      <c r="CE328" s="319"/>
      <c r="CF328" s="319"/>
      <c r="CG328" s="319"/>
      <c r="CH328" s="319"/>
      <c r="CI328" s="319"/>
      <c r="CJ328" s="319"/>
      <c r="CK328" s="319"/>
    </row>
    <row r="329" spans="1:89" ht="13.5" hidden="1" customHeight="1">
      <c r="A329" s="12"/>
      <c r="B329" s="79" t="str">
        <f t="shared" si="41"/>
        <v>Novembro</v>
      </c>
      <c r="C329" s="1"/>
      <c r="D329" s="395"/>
      <c r="E329" s="140">
        <f t="shared" si="42"/>
        <v>2.6</v>
      </c>
      <c r="F329" s="284">
        <f>MIN('Modelo Energético'!V241,$AH$210*R240*Q240/24/1000)</f>
        <v>0</v>
      </c>
      <c r="G329" s="1"/>
      <c r="H329" s="1"/>
      <c r="I329" s="1"/>
      <c r="J329" s="1"/>
      <c r="K329" s="9"/>
      <c r="L329" s="1"/>
      <c r="M329" s="319"/>
      <c r="N329" s="319">
        <v>5040006</v>
      </c>
      <c r="O329" s="319"/>
      <c r="P329" s="845">
        <f t="shared" si="43"/>
        <v>0</v>
      </c>
      <c r="Q329" s="476"/>
      <c r="R329" s="319"/>
      <c r="S329" s="319"/>
      <c r="T329" s="319"/>
      <c r="U329" s="319"/>
      <c r="V329" s="319"/>
      <c r="W329" s="319"/>
      <c r="X329" s="319"/>
      <c r="Y329" s="319"/>
      <c r="Z329" s="319"/>
      <c r="AA329" s="319"/>
      <c r="AB329" s="319"/>
      <c r="AC329" s="319"/>
      <c r="AD329" s="319"/>
      <c r="AE329" s="319"/>
      <c r="AF329" s="319"/>
      <c r="AG329" s="319"/>
      <c r="AH329" s="319"/>
      <c r="AI329" s="319"/>
      <c r="AJ329" s="319"/>
      <c r="AK329" s="319"/>
      <c r="AL329" s="319"/>
      <c r="AM329" s="319"/>
      <c r="AN329" s="319"/>
      <c r="AO329" s="319"/>
      <c r="AP329" s="319"/>
      <c r="AQ329" s="319"/>
      <c r="AR329" s="319"/>
      <c r="AS329" s="319"/>
      <c r="AT329" s="319"/>
      <c r="AU329" s="319"/>
      <c r="AV329" s="319"/>
      <c r="AW329" s="319"/>
      <c r="AX329" s="319"/>
      <c r="AY329" s="319"/>
      <c r="AZ329" s="319"/>
      <c r="BA329" s="319"/>
      <c r="BB329" s="319"/>
      <c r="BC329" s="319"/>
      <c r="BD329" s="319"/>
      <c r="BE329" s="319"/>
      <c r="BF329" s="319"/>
      <c r="BG329" s="319"/>
      <c r="BH329" s="319"/>
      <c r="BI329" s="319"/>
      <c r="BJ329" s="319"/>
      <c r="BK329" s="319"/>
      <c r="BL329" s="319"/>
      <c r="BM329" s="319"/>
      <c r="BN329" s="319"/>
      <c r="BO329" s="319"/>
      <c r="BP329" s="319"/>
      <c r="BQ329" s="319"/>
      <c r="BR329" s="319"/>
      <c r="BS329" s="319"/>
      <c r="BT329" s="319"/>
      <c r="BU329" s="319"/>
      <c r="BV329" s="319"/>
      <c r="BW329" s="319"/>
      <c r="BX329" s="319"/>
      <c r="BY329" s="319"/>
      <c r="BZ329" s="319"/>
      <c r="CA329" s="319"/>
      <c r="CB329" s="319"/>
      <c r="CC329" s="319"/>
      <c r="CD329" s="319"/>
      <c r="CE329" s="319"/>
      <c r="CF329" s="319"/>
      <c r="CG329" s="319"/>
      <c r="CH329" s="319"/>
      <c r="CI329" s="319"/>
      <c r="CJ329" s="319"/>
      <c r="CK329" s="319"/>
    </row>
    <row r="330" spans="1:89" ht="13.5" hidden="1" customHeight="1">
      <c r="A330" s="12"/>
      <c r="B330" s="79" t="str">
        <f t="shared" si="41"/>
        <v>Dezembro</v>
      </c>
      <c r="C330" s="1"/>
      <c r="D330" s="395"/>
      <c r="E330" s="140">
        <f t="shared" si="42"/>
        <v>3</v>
      </c>
      <c r="F330" s="284">
        <f>MIN('Modelo Energético'!V242,$AH$210*R241*Q241/24/1000)</f>
        <v>0</v>
      </c>
      <c r="G330" s="1"/>
      <c r="H330" s="1"/>
      <c r="I330" s="1"/>
      <c r="J330" s="1"/>
      <c r="K330" s="9"/>
      <c r="L330" s="1"/>
      <c r="M330" s="319"/>
      <c r="N330" s="319">
        <v>5040006</v>
      </c>
      <c r="O330" s="319"/>
      <c r="P330" s="845">
        <f t="shared" si="43"/>
        <v>0</v>
      </c>
      <c r="Q330" s="476"/>
      <c r="R330" s="319"/>
      <c r="S330" s="319"/>
      <c r="T330" s="319"/>
      <c r="U330" s="319"/>
      <c r="V330" s="319"/>
      <c r="W330" s="319"/>
      <c r="X330" s="319"/>
      <c r="Y330" s="319"/>
      <c r="Z330" s="319"/>
      <c r="AA330" s="319"/>
      <c r="AB330" s="319"/>
      <c r="AC330" s="319"/>
      <c r="AD330" s="319"/>
      <c r="AE330" s="319"/>
      <c r="AF330" s="319"/>
      <c r="AG330" s="319"/>
      <c r="AH330" s="319"/>
      <c r="AI330" s="319"/>
      <c r="AJ330" s="319"/>
      <c r="AK330" s="319"/>
      <c r="AL330" s="319"/>
      <c r="AM330" s="319"/>
      <c r="AN330" s="319"/>
      <c r="AO330" s="319"/>
      <c r="AP330" s="319"/>
      <c r="AQ330" s="319"/>
      <c r="AR330" s="319"/>
      <c r="AS330" s="319"/>
      <c r="AT330" s="319"/>
      <c r="AU330" s="319"/>
      <c r="AV330" s="319"/>
      <c r="AW330" s="319"/>
      <c r="AX330" s="319"/>
      <c r="AY330" s="319"/>
      <c r="AZ330" s="319"/>
      <c r="BA330" s="319"/>
      <c r="BB330" s="319"/>
      <c r="BC330" s="319"/>
      <c r="BD330" s="319"/>
      <c r="BE330" s="319"/>
      <c r="BF330" s="319"/>
      <c r="BG330" s="319"/>
      <c r="BH330" s="319"/>
      <c r="BI330" s="319"/>
      <c r="BJ330" s="319"/>
      <c r="BK330" s="319"/>
      <c r="BL330" s="319"/>
      <c r="BM330" s="319"/>
      <c r="BN330" s="319"/>
      <c r="BO330" s="319"/>
      <c r="BP330" s="319"/>
      <c r="BQ330" s="319"/>
      <c r="BR330" s="319"/>
      <c r="BS330" s="319"/>
      <c r="BT330" s="319"/>
      <c r="BU330" s="319"/>
      <c r="BV330" s="319"/>
      <c r="BW330" s="319"/>
      <c r="BX330" s="319"/>
      <c r="BY330" s="319"/>
      <c r="BZ330" s="319"/>
      <c r="CA330" s="319"/>
      <c r="CB330" s="319"/>
      <c r="CC330" s="319"/>
      <c r="CD330" s="319"/>
      <c r="CE330" s="319"/>
      <c r="CF330" s="319"/>
      <c r="CG330" s="319"/>
      <c r="CH330" s="319"/>
      <c r="CI330" s="319"/>
      <c r="CJ330" s="319"/>
      <c r="CK330" s="319"/>
    </row>
    <row r="331" spans="1:89" ht="13.5" hidden="1" customHeight="1">
      <c r="A331" s="12"/>
      <c r="B331" s="105" t="str">
        <f>Language!C1152</f>
        <v>Anual</v>
      </c>
      <c r="C331" s="1"/>
      <c r="D331" s="807" t="e">
        <f>AVERAGE(D319:D330)</f>
        <v>#DIV/0!</v>
      </c>
      <c r="E331" s="807">
        <f>Iniciar!R70/$P$318</f>
        <v>2.622739726027397</v>
      </c>
      <c r="F331" s="808">
        <f>SUM(F319:F330)</f>
        <v>0</v>
      </c>
      <c r="G331" s="1"/>
      <c r="H331" s="1"/>
      <c r="I331" s="1"/>
      <c r="J331" s="1"/>
      <c r="K331" s="9"/>
      <c r="L331" s="1"/>
      <c r="M331" s="319"/>
      <c r="N331" s="319">
        <v>5040006</v>
      </c>
      <c r="O331" s="319"/>
      <c r="P331" s="845"/>
      <c r="Q331" s="319"/>
      <c r="R331" s="319"/>
      <c r="S331" s="319"/>
      <c r="T331" s="319"/>
      <c r="U331" s="319"/>
      <c r="V331" s="319"/>
      <c r="W331" s="319"/>
      <c r="X331" s="319"/>
      <c r="Y331" s="319"/>
      <c r="Z331" s="319"/>
      <c r="AA331" s="319"/>
      <c r="AB331" s="319"/>
      <c r="AC331" s="319"/>
      <c r="AD331" s="319"/>
      <c r="AE331" s="319"/>
      <c r="AF331" s="319"/>
      <c r="AG331" s="319"/>
      <c r="AH331" s="319"/>
      <c r="AI331" s="319"/>
      <c r="AJ331" s="319"/>
      <c r="AK331" s="319"/>
      <c r="AL331" s="319"/>
      <c r="AM331" s="319"/>
      <c r="AN331" s="319"/>
      <c r="AO331" s="319"/>
      <c r="AP331" s="319"/>
      <c r="AQ331" s="319"/>
      <c r="AR331" s="319"/>
      <c r="AS331" s="319"/>
      <c r="AT331" s="319"/>
      <c r="AU331" s="319"/>
      <c r="AV331" s="319"/>
      <c r="AW331" s="319"/>
      <c r="AX331" s="319"/>
      <c r="AY331" s="319"/>
      <c r="AZ331" s="319"/>
      <c r="BA331" s="319"/>
      <c r="BB331" s="319"/>
      <c r="BC331" s="319"/>
      <c r="BD331" s="319"/>
      <c r="BE331" s="319"/>
      <c r="BF331" s="319"/>
      <c r="BG331" s="319"/>
      <c r="BH331" s="319"/>
      <c r="BI331" s="319"/>
      <c r="BJ331" s="319"/>
      <c r="BK331" s="319"/>
      <c r="BL331" s="319"/>
      <c r="BM331" s="319"/>
      <c r="BN331" s="319"/>
      <c r="BO331" s="319"/>
      <c r="BP331" s="319"/>
      <c r="BQ331" s="319"/>
      <c r="BR331" s="319"/>
      <c r="BS331" s="319"/>
      <c r="BT331" s="319"/>
      <c r="BU331" s="319"/>
      <c r="BV331" s="319"/>
      <c r="BW331" s="319"/>
      <c r="BX331" s="319"/>
      <c r="BY331" s="319"/>
      <c r="BZ331" s="319"/>
      <c r="CA331" s="319"/>
      <c r="CB331" s="319"/>
      <c r="CC331" s="319"/>
      <c r="CD331" s="319"/>
      <c r="CE331" s="319"/>
      <c r="CF331" s="319"/>
      <c r="CG331" s="319"/>
      <c r="CH331" s="319"/>
      <c r="CI331" s="319"/>
      <c r="CJ331" s="319"/>
      <c r="CK331" s="319"/>
    </row>
    <row r="332" spans="1:89" ht="13.5" hidden="1" customHeight="1">
      <c r="A332" s="12"/>
      <c r="B332" s="105"/>
      <c r="C332" s="1"/>
      <c r="D332" s="140"/>
      <c r="E332" s="140"/>
      <c r="F332" s="29"/>
      <c r="G332" s="284"/>
      <c r="H332" s="1"/>
      <c r="I332" s="1"/>
      <c r="J332" s="1"/>
      <c r="K332" s="9"/>
      <c r="L332" s="1"/>
      <c r="M332" s="319"/>
      <c r="N332" s="319">
        <v>5040006</v>
      </c>
      <c r="O332" s="319"/>
      <c r="P332" s="845"/>
      <c r="Q332" s="319"/>
      <c r="R332" s="319"/>
      <c r="S332" s="319"/>
      <c r="T332" s="319"/>
      <c r="U332" s="319"/>
      <c r="V332" s="319"/>
      <c r="W332" s="319"/>
      <c r="X332" s="319"/>
      <c r="Y332" s="319"/>
      <c r="Z332" s="319"/>
      <c r="AA332" s="319"/>
      <c r="AB332" s="319"/>
      <c r="AC332" s="319"/>
      <c r="AD332" s="319"/>
      <c r="AE332" s="319"/>
      <c r="AF332" s="319"/>
      <c r="AG332" s="319"/>
      <c r="AH332" s="319"/>
      <c r="AI332" s="319"/>
      <c r="AJ332" s="319"/>
      <c r="AK332" s="319"/>
      <c r="AL332" s="319"/>
      <c r="AM332" s="319"/>
      <c r="AN332" s="319"/>
      <c r="AO332" s="319"/>
      <c r="AP332" s="319"/>
      <c r="AQ332" s="319"/>
      <c r="AR332" s="319"/>
      <c r="AS332" s="319"/>
      <c r="AT332" s="319"/>
      <c r="AU332" s="319"/>
      <c r="AV332" s="319"/>
      <c r="AW332" s="319"/>
      <c r="AX332" s="319"/>
      <c r="AY332" s="319"/>
      <c r="AZ332" s="319"/>
      <c r="BA332" s="319"/>
      <c r="BB332" s="319"/>
      <c r="BC332" s="319"/>
      <c r="BD332" s="319"/>
      <c r="BE332" s="319"/>
      <c r="BF332" s="319"/>
      <c r="BG332" s="319"/>
      <c r="BH332" s="319"/>
      <c r="BI332" s="319"/>
      <c r="BJ332" s="319"/>
      <c r="BK332" s="319"/>
      <c r="BL332" s="319"/>
      <c r="BM332" s="319"/>
      <c r="BN332" s="319"/>
      <c r="BO332" s="319"/>
      <c r="BP332" s="319"/>
      <c r="BQ332" s="319"/>
      <c r="BR332" s="319"/>
      <c r="BS332" s="319"/>
      <c r="BT332" s="319"/>
      <c r="BU332" s="319"/>
      <c r="BV332" s="319"/>
      <c r="BW332" s="319"/>
      <c r="BX332" s="319"/>
      <c r="BY332" s="319"/>
      <c r="BZ332" s="319"/>
      <c r="CA332" s="319"/>
      <c r="CB332" s="319"/>
      <c r="CC332" s="319"/>
      <c r="CD332" s="319"/>
      <c r="CE332" s="319"/>
      <c r="CF332" s="319"/>
      <c r="CG332" s="319"/>
      <c r="CH332" s="319"/>
      <c r="CI332" s="319"/>
      <c r="CJ332" s="319"/>
      <c r="CK332" s="319"/>
    </row>
    <row r="333" spans="1:89" ht="13.5" hidden="1" customHeight="1">
      <c r="A333" s="12"/>
      <c r="B333" s="1"/>
      <c r="C333" s="29"/>
      <c r="D333" s="1"/>
      <c r="E333" s="1"/>
      <c r="F333" s="1"/>
      <c r="G333" s="1"/>
      <c r="H333" s="1"/>
      <c r="I333" s="1"/>
      <c r="J333" s="1"/>
      <c r="K333" s="9"/>
      <c r="L333" s="1"/>
      <c r="M333" s="319"/>
      <c r="N333" s="319">
        <v>5040006</v>
      </c>
      <c r="O333" s="319"/>
      <c r="P333" s="319"/>
      <c r="Q333" s="319"/>
      <c r="R333" s="319"/>
      <c r="S333" s="319"/>
      <c r="T333" s="319"/>
      <c r="U333" s="319"/>
      <c r="V333" s="319"/>
      <c r="W333" s="319"/>
      <c r="X333" s="319"/>
      <c r="Y333" s="319"/>
      <c r="Z333" s="319"/>
      <c r="AA333" s="319"/>
      <c r="AB333" s="319"/>
      <c r="AC333" s="319"/>
      <c r="AD333" s="319"/>
      <c r="AE333" s="319"/>
      <c r="AF333" s="319"/>
      <c r="AG333" s="319"/>
      <c r="AH333" s="319"/>
      <c r="AI333" s="319"/>
      <c r="AJ333" s="319"/>
      <c r="AK333" s="319"/>
      <c r="AL333" s="319"/>
      <c r="AM333" s="319"/>
      <c r="AN333" s="319"/>
      <c r="AO333" s="319"/>
      <c r="AP333" s="319"/>
      <c r="AQ333" s="319"/>
      <c r="AR333" s="319"/>
      <c r="AS333" s="319"/>
      <c r="AT333" s="319"/>
      <c r="AU333" s="319"/>
      <c r="AV333" s="319"/>
      <c r="AW333" s="319"/>
      <c r="AX333" s="319"/>
      <c r="AY333" s="319"/>
      <c r="AZ333" s="319"/>
      <c r="BA333" s="319"/>
      <c r="BB333" s="319"/>
      <c r="BC333" s="319"/>
      <c r="BD333" s="319"/>
      <c r="BE333" s="319"/>
      <c r="BF333" s="319"/>
      <c r="BG333" s="319"/>
      <c r="BH333" s="319"/>
      <c r="BI333" s="319"/>
      <c r="BJ333" s="319"/>
      <c r="BK333" s="319"/>
      <c r="BL333" s="319"/>
      <c r="BM333" s="319"/>
      <c r="BN333" s="319"/>
      <c r="BO333" s="319"/>
      <c r="BP333" s="319"/>
      <c r="BQ333" s="319"/>
      <c r="BR333" s="319"/>
      <c r="BS333" s="319"/>
      <c r="BT333" s="319"/>
      <c r="BU333" s="319"/>
      <c r="BV333" s="319"/>
      <c r="BW333" s="319"/>
      <c r="BX333" s="319"/>
      <c r="BY333" s="319"/>
      <c r="BZ333" s="319"/>
      <c r="CA333" s="319"/>
      <c r="CB333" s="319"/>
      <c r="CC333" s="319"/>
      <c r="CD333" s="319"/>
      <c r="CE333" s="319"/>
      <c r="CF333" s="319"/>
      <c r="CG333" s="319"/>
      <c r="CH333" s="319"/>
      <c r="CI333" s="319"/>
      <c r="CJ333" s="319"/>
      <c r="CK333" s="319"/>
    </row>
    <row r="334" spans="1:89" ht="13.5" hidden="1" customHeight="1">
      <c r="A334" s="12"/>
      <c r="B334" s="1"/>
      <c r="C334" s="29"/>
      <c r="D334" s="1"/>
      <c r="E334" s="1"/>
      <c r="F334" s="1"/>
      <c r="G334" s="1"/>
      <c r="H334" s="1"/>
      <c r="I334" s="1"/>
      <c r="J334" s="1"/>
      <c r="K334" s="9"/>
      <c r="L334" s="1"/>
      <c r="M334" s="319"/>
      <c r="N334" s="319">
        <v>5040006</v>
      </c>
      <c r="O334" s="319"/>
      <c r="P334" s="319">
        <f>IF(OR(C335="",C335=C1190),1,D1191)*D335</f>
        <v>0</v>
      </c>
      <c r="Q334" s="319" t="s">
        <v>5569</v>
      </c>
      <c r="R334" s="319"/>
      <c r="S334" s="319"/>
      <c r="T334" s="319"/>
      <c r="U334" s="319"/>
      <c r="V334" s="319"/>
      <c r="W334" s="319"/>
      <c r="X334" s="319"/>
      <c r="Y334" s="319"/>
      <c r="Z334" s="319"/>
      <c r="AA334" s="319"/>
      <c r="AB334" s="319"/>
      <c r="AC334" s="319"/>
      <c r="AD334" s="319"/>
      <c r="AE334" s="319"/>
      <c r="AF334" s="319"/>
      <c r="AG334" s="319"/>
      <c r="AH334" s="319"/>
      <c r="AI334" s="319"/>
      <c r="AJ334" s="319"/>
      <c r="AK334" s="319"/>
      <c r="AL334" s="319"/>
      <c r="AM334" s="319"/>
      <c r="AN334" s="319"/>
      <c r="AO334" s="319"/>
      <c r="AP334" s="319"/>
      <c r="AQ334" s="319"/>
      <c r="AR334" s="319"/>
      <c r="AS334" s="319"/>
      <c r="AT334" s="319"/>
      <c r="AU334" s="319"/>
      <c r="AV334" s="319"/>
      <c r="AW334" s="319"/>
      <c r="AX334" s="319"/>
      <c r="AY334" s="319"/>
      <c r="AZ334" s="319"/>
      <c r="BA334" s="319"/>
      <c r="BB334" s="319"/>
      <c r="BC334" s="319"/>
      <c r="BD334" s="319"/>
      <c r="BE334" s="319"/>
      <c r="BF334" s="319"/>
      <c r="BG334" s="319"/>
      <c r="BH334" s="319"/>
      <c r="BI334" s="319"/>
      <c r="BJ334" s="319"/>
      <c r="BK334" s="319"/>
      <c r="BL334" s="319"/>
      <c r="BM334" s="319"/>
      <c r="BN334" s="319"/>
      <c r="BO334" s="319"/>
      <c r="BP334" s="319"/>
      <c r="BQ334" s="319"/>
      <c r="BR334" s="319"/>
      <c r="BS334" s="319"/>
      <c r="BT334" s="319"/>
      <c r="BU334" s="319"/>
      <c r="BV334" s="319"/>
      <c r="BW334" s="319"/>
      <c r="BX334" s="319"/>
      <c r="BY334" s="319"/>
      <c r="BZ334" s="319"/>
      <c r="CA334" s="319"/>
      <c r="CB334" s="319"/>
      <c r="CC334" s="319"/>
      <c r="CD334" s="319"/>
      <c r="CE334" s="319"/>
      <c r="CF334" s="319"/>
      <c r="CG334" s="319"/>
      <c r="CH334" s="319"/>
      <c r="CI334" s="319"/>
      <c r="CJ334" s="319"/>
      <c r="CK334" s="319"/>
    </row>
    <row r="335" spans="1:89" ht="13.2" hidden="1">
      <c r="A335" s="12"/>
      <c r="B335" s="1" t="str">
        <f>Language!C1804</f>
        <v>Medido a</v>
      </c>
      <c r="C335" s="303" t="s">
        <v>5569</v>
      </c>
      <c r="D335" s="307"/>
      <c r="E335" s="30">
        <f>IF(C335=C1190,1,1/D1191)*Iniciar!P71</f>
        <v>10</v>
      </c>
      <c r="F335" s="30"/>
      <c r="G335" s="1"/>
      <c r="H335" s="1"/>
      <c r="I335" s="1"/>
      <c r="J335" s="1"/>
      <c r="K335" s="9"/>
      <c r="L335" s="1"/>
      <c r="M335" s="319"/>
      <c r="N335" s="319">
        <v>2101028</v>
      </c>
      <c r="O335" s="319"/>
      <c r="P335" s="319"/>
      <c r="Q335" s="319"/>
      <c r="R335" s="319"/>
      <c r="S335" s="319"/>
      <c r="T335" s="319"/>
      <c r="U335" s="319"/>
      <c r="V335" s="319"/>
      <c r="W335" s="319"/>
      <c r="X335" s="319"/>
      <c r="Y335" s="319"/>
      <c r="Z335" s="319"/>
      <c r="AA335" s="319"/>
      <c r="AB335" s="319"/>
      <c r="AC335" s="319"/>
      <c r="AD335" s="319"/>
      <c r="AE335" s="319"/>
      <c r="AF335" s="319"/>
      <c r="AG335" s="319"/>
      <c r="AH335" s="319"/>
      <c r="AI335" s="319"/>
      <c r="AJ335" s="319"/>
      <c r="AK335" s="319"/>
      <c r="AL335" s="319"/>
      <c r="AM335" s="319"/>
      <c r="AN335" s="319"/>
      <c r="AO335" s="319"/>
      <c r="AP335" s="319"/>
      <c r="AQ335" s="319"/>
      <c r="AR335" s="319"/>
      <c r="AS335" s="319"/>
      <c r="AT335" s="319"/>
      <c r="AU335" s="319"/>
      <c r="AV335" s="319"/>
      <c r="AW335" s="319"/>
      <c r="AX335" s="319"/>
      <c r="AY335" s="319"/>
      <c r="AZ335" s="319"/>
      <c r="BA335" s="319"/>
      <c r="BB335" s="319"/>
      <c r="BC335" s="319"/>
      <c r="BD335" s="319"/>
      <c r="BE335" s="319"/>
      <c r="BF335" s="319"/>
      <c r="BG335" s="319"/>
      <c r="BH335" s="319"/>
      <c r="BI335" s="319"/>
      <c r="BJ335" s="319"/>
      <c r="BK335" s="319"/>
      <c r="BL335" s="319"/>
      <c r="BM335" s="319"/>
      <c r="BN335" s="319"/>
      <c r="BO335" s="319"/>
      <c r="BP335" s="319"/>
      <c r="BQ335" s="319"/>
      <c r="BR335" s="319"/>
      <c r="BS335" s="319"/>
      <c r="BT335" s="319"/>
      <c r="BU335" s="319"/>
      <c r="BV335" s="319"/>
      <c r="BW335" s="319"/>
      <c r="BX335" s="319"/>
      <c r="BY335" s="319"/>
      <c r="BZ335" s="319"/>
      <c r="CA335" s="319"/>
      <c r="CB335" s="319"/>
      <c r="CC335" s="319"/>
      <c r="CD335" s="319"/>
      <c r="CE335" s="319"/>
      <c r="CF335" s="319"/>
      <c r="CG335" s="319"/>
      <c r="CH335" s="319"/>
      <c r="CI335" s="319"/>
      <c r="CJ335" s="319"/>
      <c r="CK335" s="319"/>
    </row>
    <row r="336" spans="1:89" ht="13.2" hidden="1">
      <c r="A336" s="12"/>
      <c r="B336" s="1" t="str">
        <f>Language!C2085</f>
        <v>Coeficiente de cisalhamento do vento</v>
      </c>
      <c r="C336" s="29"/>
      <c r="D336" s="367"/>
      <c r="E336" s="329"/>
      <c r="F336" s="1"/>
      <c r="G336" s="1"/>
      <c r="H336" s="1"/>
      <c r="I336" s="1"/>
      <c r="J336" s="1"/>
      <c r="K336" s="9"/>
      <c r="L336" s="1"/>
      <c r="M336" s="319"/>
      <c r="N336" s="319">
        <v>2101030</v>
      </c>
      <c r="O336" s="319"/>
      <c r="P336" s="319">
        <f>IF(C337=$C$1178,D337,(D337-32)/1.8)</f>
        <v>0</v>
      </c>
      <c r="Q336" s="319" t="s">
        <v>144</v>
      </c>
      <c r="R336" s="319"/>
      <c r="S336" s="319"/>
      <c r="T336" s="319"/>
      <c r="U336" s="319"/>
      <c r="V336" s="319"/>
      <c r="W336" s="319"/>
      <c r="X336" s="319"/>
      <c r="Y336" s="319"/>
      <c r="Z336" s="319"/>
      <c r="AA336" s="319"/>
      <c r="AB336" s="319"/>
      <c r="AC336" s="319"/>
      <c r="AD336" s="319"/>
      <c r="AE336" s="319"/>
      <c r="AF336" s="319"/>
      <c r="AG336" s="319"/>
      <c r="AH336" s="319"/>
      <c r="AI336" s="319"/>
      <c r="AJ336" s="319"/>
      <c r="AK336" s="319"/>
      <c r="AL336" s="319"/>
      <c r="AM336" s="319"/>
      <c r="AN336" s="319"/>
      <c r="AO336" s="319"/>
      <c r="AP336" s="319"/>
      <c r="AQ336" s="319"/>
      <c r="AR336" s="319"/>
      <c r="AS336" s="319"/>
      <c r="AT336" s="319"/>
      <c r="AU336" s="319"/>
      <c r="AV336" s="319"/>
      <c r="AW336" s="319"/>
      <c r="AX336" s="319"/>
      <c r="AY336" s="319"/>
      <c r="AZ336" s="319"/>
      <c r="BA336" s="319"/>
      <c r="BB336" s="319"/>
      <c r="BC336" s="319"/>
      <c r="BD336" s="319"/>
      <c r="BE336" s="319"/>
      <c r="BF336" s="319"/>
      <c r="BG336" s="319"/>
      <c r="BH336" s="319"/>
      <c r="BI336" s="319"/>
      <c r="BJ336" s="319"/>
      <c r="BK336" s="319"/>
      <c r="BL336" s="319"/>
      <c r="BM336" s="319"/>
      <c r="BN336" s="319"/>
      <c r="BO336" s="319"/>
      <c r="BP336" s="319"/>
      <c r="BQ336" s="319"/>
      <c r="BR336" s="319"/>
      <c r="BS336" s="319"/>
      <c r="BT336" s="319"/>
      <c r="BU336" s="319"/>
      <c r="BV336" s="319"/>
      <c r="BW336" s="319"/>
      <c r="BX336" s="319"/>
      <c r="BY336" s="319"/>
      <c r="BZ336" s="319"/>
      <c r="CA336" s="319"/>
      <c r="CB336" s="319"/>
      <c r="CC336" s="319"/>
      <c r="CD336" s="319"/>
      <c r="CE336" s="319"/>
      <c r="CF336" s="319"/>
      <c r="CG336" s="319"/>
      <c r="CH336" s="319"/>
      <c r="CI336" s="319"/>
      <c r="CJ336" s="319"/>
      <c r="CK336" s="319"/>
    </row>
    <row r="337" spans="1:89" ht="13.5" hidden="1" customHeight="1">
      <c r="A337" s="12"/>
      <c r="B337" s="1" t="str">
        <f>Language!C1466</f>
        <v>Temperatura do ar - anual</v>
      </c>
      <c r="C337" s="303" t="s">
        <v>5568</v>
      </c>
      <c r="D337" s="395"/>
      <c r="E337" s="140">
        <f>IF(C337=C1178,Iniciar!O70,Iniciar!O70*1.8+32)</f>
        <v>15.751506849315067</v>
      </c>
      <c r="F337" s="1"/>
      <c r="G337" s="1"/>
      <c r="H337" s="1"/>
      <c r="I337" s="1"/>
      <c r="J337" s="1"/>
      <c r="K337" s="9"/>
      <c r="L337" s="1"/>
      <c r="M337" s="319"/>
      <c r="N337" s="319">
        <v>2101032</v>
      </c>
      <c r="O337" s="319"/>
      <c r="P337" s="319"/>
      <c r="Q337" s="319"/>
      <c r="R337" s="319"/>
      <c r="S337" s="319"/>
      <c r="T337" s="319"/>
      <c r="U337" s="319"/>
      <c r="V337" s="319"/>
      <c r="W337" s="319"/>
      <c r="X337" s="319"/>
      <c r="Y337" s="319"/>
      <c r="Z337" s="319"/>
      <c r="AA337" s="319"/>
      <c r="AB337" s="319"/>
      <c r="AC337" s="319"/>
      <c r="AD337" s="319"/>
      <c r="AE337" s="319"/>
      <c r="AF337" s="319"/>
      <c r="AG337" s="319"/>
      <c r="AH337" s="319"/>
      <c r="AI337" s="319"/>
      <c r="AJ337" s="319"/>
      <c r="AK337" s="319"/>
      <c r="AL337" s="319"/>
      <c r="AM337" s="319"/>
      <c r="AN337" s="319"/>
      <c r="AO337" s="319"/>
      <c r="AP337" s="319"/>
      <c r="AQ337" s="319"/>
      <c r="AR337" s="319"/>
      <c r="AS337" s="319"/>
      <c r="AT337" s="319"/>
      <c r="AU337" s="319"/>
      <c r="AV337" s="319"/>
      <c r="AW337" s="319"/>
      <c r="AX337" s="319"/>
      <c r="AY337" s="319"/>
      <c r="AZ337" s="319"/>
      <c r="BA337" s="319"/>
      <c r="BB337" s="319"/>
      <c r="BC337" s="319"/>
      <c r="BD337" s="319"/>
      <c r="BE337" s="319"/>
      <c r="BF337" s="319"/>
      <c r="BG337" s="319"/>
      <c r="BH337" s="319"/>
      <c r="BI337" s="319"/>
      <c r="BJ337" s="319"/>
      <c r="BK337" s="319"/>
      <c r="BL337" s="319"/>
      <c r="BM337" s="319"/>
      <c r="BN337" s="319"/>
      <c r="BO337" s="319"/>
      <c r="BP337" s="319"/>
      <c r="BQ337" s="319"/>
      <c r="BR337" s="319"/>
      <c r="BS337" s="319"/>
      <c r="BT337" s="319"/>
      <c r="BU337" s="319"/>
      <c r="BV337" s="319"/>
      <c r="BW337" s="319"/>
      <c r="BX337" s="319"/>
      <c r="BY337" s="319"/>
      <c r="BZ337" s="319"/>
      <c r="CA337" s="319"/>
      <c r="CB337" s="319"/>
      <c r="CC337" s="319"/>
      <c r="CD337" s="319"/>
      <c r="CE337" s="319"/>
      <c r="CF337" s="319"/>
      <c r="CG337" s="319"/>
      <c r="CH337" s="319"/>
      <c r="CI337" s="319"/>
      <c r="CJ337" s="319"/>
      <c r="CK337" s="319"/>
    </row>
    <row r="338" spans="1:89" ht="13.5" hidden="1" customHeight="1">
      <c r="A338" s="12"/>
      <c r="B338" s="1" t="str">
        <f>Language!C1489</f>
        <v>Pressão Atmosférica - anual</v>
      </c>
      <c r="C338" s="303" t="s">
        <v>741</v>
      </c>
      <c r="D338" s="395"/>
      <c r="E338" s="140">
        <f>Iniciar!Q70/VLOOKUP(C338,C1197:D1199,2,FALSE)</f>
        <v>100.09964383561642</v>
      </c>
      <c r="F338" s="1"/>
      <c r="G338" s="1"/>
      <c r="H338" s="1"/>
      <c r="I338" s="1"/>
      <c r="J338" s="1"/>
      <c r="K338" s="9"/>
      <c r="L338" s="1"/>
      <c r="M338" s="319"/>
      <c r="N338" s="319">
        <v>2101034</v>
      </c>
      <c r="O338" s="319"/>
      <c r="P338" s="319">
        <f>D338*VLOOKUP(C338,C1197:D1199,2,FALSE)</f>
        <v>0</v>
      </c>
      <c r="Q338" s="319" t="s">
        <v>741</v>
      </c>
      <c r="R338" s="319"/>
      <c r="S338" s="319"/>
      <c r="T338" s="319"/>
      <c r="U338" s="319"/>
      <c r="V338" s="319"/>
      <c r="W338" s="319"/>
      <c r="X338" s="319"/>
      <c r="Y338" s="319"/>
      <c r="Z338" s="319"/>
      <c r="AA338" s="319"/>
      <c r="AB338" s="319"/>
      <c r="AC338" s="319"/>
      <c r="AD338" s="319"/>
      <c r="AE338" s="319"/>
      <c r="AF338" s="319"/>
      <c r="AG338" s="319"/>
      <c r="AH338" s="319"/>
      <c r="AI338" s="319"/>
      <c r="AJ338" s="319"/>
      <c r="AK338" s="319"/>
      <c r="AL338" s="319"/>
      <c r="AM338" s="319"/>
      <c r="AN338" s="319"/>
      <c r="AO338" s="319"/>
      <c r="AP338" s="319"/>
      <c r="AQ338" s="319"/>
      <c r="AR338" s="319"/>
      <c r="AS338" s="319"/>
      <c r="AT338" s="319"/>
      <c r="AU338" s="319"/>
      <c r="AV338" s="319"/>
      <c r="AW338" s="319"/>
      <c r="AX338" s="319"/>
      <c r="AY338" s="319"/>
      <c r="AZ338" s="319"/>
      <c r="BA338" s="319"/>
      <c r="BB338" s="319"/>
      <c r="BC338" s="319"/>
      <c r="BD338" s="319"/>
      <c r="BE338" s="319"/>
      <c r="BF338" s="319"/>
      <c r="BG338" s="319"/>
      <c r="BH338" s="319"/>
      <c r="BI338" s="319"/>
      <c r="BJ338" s="319"/>
      <c r="BK338" s="319"/>
      <c r="BL338" s="319"/>
      <c r="BM338" s="319"/>
      <c r="BN338" s="319"/>
      <c r="BO338" s="319"/>
      <c r="BP338" s="319"/>
      <c r="BQ338" s="319"/>
      <c r="BR338" s="319"/>
      <c r="BS338" s="319"/>
      <c r="BT338" s="319"/>
      <c r="BU338" s="319"/>
      <c r="BV338" s="319"/>
      <c r="BW338" s="319"/>
      <c r="BX338" s="319"/>
      <c r="BY338" s="319"/>
      <c r="BZ338" s="319"/>
      <c r="CA338" s="319"/>
      <c r="CB338" s="319"/>
      <c r="CC338" s="319"/>
      <c r="CD338" s="319"/>
      <c r="CE338" s="319"/>
      <c r="CF338" s="319"/>
      <c r="CG338" s="319"/>
      <c r="CH338" s="319"/>
      <c r="CI338" s="319"/>
      <c r="CJ338" s="319"/>
      <c r="CK338" s="319"/>
    </row>
    <row r="339" spans="1:89" ht="12.75" hidden="1" customHeight="1">
      <c r="A339" s="12"/>
      <c r="B339" s="329"/>
      <c r="C339" s="329"/>
      <c r="D339" s="329"/>
      <c r="E339" s="329"/>
      <c r="F339" s="329"/>
      <c r="G339" s="1"/>
      <c r="H339" s="1"/>
      <c r="I339" s="1"/>
      <c r="J339" s="1"/>
      <c r="K339" s="9"/>
      <c r="L339" s="1"/>
      <c r="M339" s="319"/>
      <c r="N339" s="319">
        <v>5040000</v>
      </c>
      <c r="O339" s="319"/>
      <c r="P339" s="319"/>
      <c r="Q339" s="319"/>
      <c r="R339" s="319"/>
      <c r="S339" s="319"/>
      <c r="T339" s="319"/>
      <c r="U339" s="319"/>
      <c r="V339" s="319"/>
      <c r="W339" s="319"/>
      <c r="X339" s="319"/>
      <c r="Y339" s="319"/>
      <c r="Z339" s="319"/>
      <c r="AA339" s="319"/>
      <c r="AB339" s="319"/>
      <c r="AC339" s="319"/>
      <c r="AD339" s="319"/>
      <c r="AE339" s="319"/>
      <c r="AF339" s="319"/>
      <c r="AG339" s="319"/>
      <c r="AH339" s="319"/>
      <c r="AI339" s="319"/>
      <c r="AJ339" s="319"/>
      <c r="AK339" s="319"/>
      <c r="AL339" s="319"/>
      <c r="AM339" s="319"/>
      <c r="AN339" s="319"/>
      <c r="AO339" s="319"/>
      <c r="AP339" s="319"/>
      <c r="AQ339" s="319"/>
      <c r="AR339" s="319"/>
      <c r="AS339" s="319"/>
      <c r="AT339" s="319"/>
      <c r="AU339" s="319"/>
      <c r="AV339" s="319"/>
      <c r="AW339" s="319"/>
      <c r="AX339" s="319"/>
      <c r="AY339" s="319"/>
      <c r="AZ339" s="319"/>
      <c r="BA339" s="319"/>
      <c r="BB339" s="319"/>
      <c r="BC339" s="319"/>
      <c r="BD339" s="319"/>
      <c r="BE339" s="319"/>
      <c r="BF339" s="319"/>
      <c r="BG339" s="319"/>
      <c r="BH339" s="319"/>
      <c r="BI339" s="319"/>
      <c r="BJ339" s="319"/>
      <c r="BK339" s="319"/>
      <c r="BL339" s="319"/>
      <c r="BM339" s="319"/>
      <c r="BN339" s="319"/>
      <c r="BO339" s="319"/>
      <c r="BP339" s="319"/>
      <c r="BQ339" s="319"/>
      <c r="BR339" s="319"/>
      <c r="BS339" s="319"/>
      <c r="BT339" s="319"/>
      <c r="BU339" s="319"/>
      <c r="BV339" s="319"/>
      <c r="BW339" s="319"/>
      <c r="BX339" s="319"/>
      <c r="BY339" s="319"/>
      <c r="BZ339" s="319"/>
      <c r="CA339" s="319"/>
      <c r="CB339" s="319"/>
      <c r="CC339" s="319"/>
      <c r="CD339" s="319"/>
      <c r="CE339" s="319"/>
      <c r="CF339" s="319"/>
      <c r="CG339" s="319"/>
      <c r="CH339" s="319"/>
      <c r="CI339" s="319"/>
      <c r="CJ339" s="319"/>
      <c r="CK339" s="319"/>
    </row>
    <row r="340" spans="1:89" ht="12.75" hidden="1" customHeight="1">
      <c r="A340" s="12"/>
      <c r="B340" s="28" t="str">
        <f>C1086</f>
        <v>Turbina eólica</v>
      </c>
      <c r="C340" s="1"/>
      <c r="D340" s="1"/>
      <c r="E340" s="1"/>
      <c r="F340" s="1"/>
      <c r="G340" s="82"/>
      <c r="H340" s="1"/>
      <c r="I340" s="1"/>
      <c r="J340" s="1"/>
      <c r="K340" s="9"/>
      <c r="L340" s="1"/>
      <c r="M340" s="319"/>
      <c r="N340" s="319">
        <v>5040012</v>
      </c>
      <c r="O340" s="319"/>
      <c r="P340" s="319"/>
      <c r="Q340" s="319"/>
      <c r="R340" s="319"/>
      <c r="S340" s="319"/>
      <c r="T340" s="319"/>
      <c r="U340" s="319"/>
      <c r="V340" s="319"/>
      <c r="W340" s="319"/>
      <c r="X340" s="319"/>
      <c r="Y340" s="319"/>
      <c r="Z340" s="319"/>
      <c r="AA340" s="319"/>
      <c r="AB340" s="319"/>
      <c r="AC340" s="319"/>
      <c r="AD340" s="319"/>
      <c r="AE340" s="319"/>
      <c r="AF340" s="319"/>
      <c r="AG340" s="319"/>
      <c r="AH340" s="319"/>
      <c r="AI340" s="319"/>
      <c r="AJ340" s="319"/>
      <c r="AK340" s="319"/>
      <c r="AL340" s="319"/>
      <c r="AM340" s="319"/>
      <c r="AN340" s="319"/>
      <c r="AO340" s="319"/>
      <c r="AP340" s="319"/>
      <c r="AQ340" s="319"/>
      <c r="AR340" s="319"/>
      <c r="AS340" s="319"/>
      <c r="AT340" s="319"/>
      <c r="AU340" s="319"/>
      <c r="AV340" s="319"/>
      <c r="AW340" s="319"/>
      <c r="AX340" s="319"/>
      <c r="AY340" s="319"/>
      <c r="AZ340" s="319"/>
      <c r="BA340" s="319"/>
      <c r="BB340" s="319"/>
      <c r="BC340" s="319"/>
      <c r="BD340" s="319"/>
      <c r="BE340" s="319"/>
      <c r="BF340" s="319"/>
      <c r="BG340" s="319"/>
      <c r="BH340" s="319"/>
      <c r="BI340" s="319"/>
      <c r="BJ340" s="319"/>
      <c r="BK340" s="319"/>
      <c r="BL340" s="319"/>
      <c r="BM340" s="319"/>
      <c r="BN340" s="319"/>
      <c r="BO340" s="319"/>
      <c r="BP340" s="319"/>
      <c r="BQ340" s="319"/>
      <c r="BR340" s="319"/>
      <c r="BS340" s="319"/>
      <c r="BT340" s="319"/>
      <c r="BU340" s="319"/>
      <c r="BV340" s="319"/>
      <c r="BW340" s="319"/>
      <c r="BX340" s="319"/>
      <c r="BY340" s="319"/>
      <c r="BZ340" s="319"/>
      <c r="CA340" s="319"/>
      <c r="CB340" s="319"/>
      <c r="CC340" s="319"/>
      <c r="CD340" s="319"/>
      <c r="CE340" s="319"/>
      <c r="CF340" s="319"/>
      <c r="CG340" s="319"/>
      <c r="CH340" s="319"/>
      <c r="CI340" s="319"/>
      <c r="CJ340" s="319"/>
      <c r="CK340" s="319"/>
    </row>
    <row r="341" spans="1:89" ht="13.5" hidden="1" customHeight="1">
      <c r="A341" s="12"/>
      <c r="B341" s="1" t="str">
        <f>Language!C1898</f>
        <v>Capacidade de potência por turbina</v>
      </c>
      <c r="C341" s="29" t="str">
        <f>$F$1169</f>
        <v>kW</v>
      </c>
      <c r="D341" s="427"/>
      <c r="E341" s="40"/>
      <c r="F341" s="1"/>
      <c r="G341" s="82"/>
      <c r="H341" s="1"/>
      <c r="I341" s="1209" t="str">
        <f>I636</f>
        <v>Ver banco de dados de produtos</v>
      </c>
      <c r="J341" s="1191"/>
      <c r="K341" s="1210"/>
      <c r="L341" s="1"/>
      <c r="M341" s="319"/>
      <c r="N341" s="319">
        <v>5040014</v>
      </c>
      <c r="O341" s="319"/>
      <c r="P341" s="319"/>
      <c r="Q341" s="319"/>
      <c r="R341" s="319"/>
      <c r="S341" s="319"/>
      <c r="T341" s="319"/>
      <c r="U341" s="319"/>
      <c r="V341" s="319"/>
      <c r="W341" s="319" t="s">
        <v>4458</v>
      </c>
      <c r="X341" s="319"/>
      <c r="Y341" s="319"/>
      <c r="Z341" s="319"/>
      <c r="AA341" s="319"/>
      <c r="AB341" s="319"/>
      <c r="AC341" s="319"/>
      <c r="AD341" s="319"/>
      <c r="AE341" s="319"/>
      <c r="AF341" s="319"/>
      <c r="AG341" s="319"/>
      <c r="AH341" s="319"/>
      <c r="AI341" s="319"/>
      <c r="AJ341" s="319"/>
      <c r="AK341" s="319"/>
      <c r="AL341" s="319"/>
      <c r="AM341" s="319"/>
      <c r="AN341" s="319"/>
      <c r="AO341" s="319"/>
      <c r="AP341" s="319"/>
      <c r="AQ341" s="319"/>
      <c r="AR341" s="319"/>
      <c r="AS341" s="319"/>
      <c r="AT341" s="319"/>
      <c r="AU341" s="319"/>
      <c r="AV341" s="319"/>
      <c r="AW341" s="319"/>
      <c r="AX341" s="319"/>
      <c r="AY341" s="319"/>
      <c r="AZ341" s="319"/>
      <c r="BA341" s="319"/>
      <c r="BB341" s="319"/>
      <c r="BC341" s="319"/>
      <c r="BD341" s="319"/>
      <c r="BE341" s="319"/>
      <c r="BF341" s="319"/>
      <c r="BG341" s="319"/>
      <c r="BH341" s="319"/>
      <c r="BI341" s="319"/>
      <c r="BJ341" s="319"/>
      <c r="BK341" s="319"/>
      <c r="BL341" s="319"/>
      <c r="BM341" s="319"/>
      <c r="BN341" s="319"/>
      <c r="BO341" s="319"/>
      <c r="BP341" s="319"/>
      <c r="BQ341" s="319"/>
      <c r="BR341" s="319"/>
      <c r="BS341" s="319"/>
      <c r="BT341" s="319"/>
      <c r="BU341" s="319"/>
      <c r="BV341" s="319"/>
      <c r="BW341" s="319"/>
      <c r="BX341" s="319"/>
      <c r="BY341" s="319"/>
      <c r="BZ341" s="319"/>
      <c r="CA341" s="319"/>
      <c r="CB341" s="319"/>
      <c r="CC341" s="319"/>
      <c r="CD341" s="319"/>
      <c r="CE341" s="319"/>
      <c r="CF341" s="319"/>
      <c r="CG341" s="319"/>
      <c r="CH341" s="319"/>
      <c r="CI341" s="319"/>
      <c r="CJ341" s="319"/>
      <c r="CK341" s="319"/>
    </row>
    <row r="342" spans="1:89" ht="13.5" hidden="1" customHeight="1">
      <c r="A342" s="12"/>
      <c r="B342" s="335" t="str">
        <f>B760</f>
        <v>Fabricante</v>
      </c>
      <c r="C342" s="1152"/>
      <c r="D342" s="1153"/>
      <c r="E342" s="1154"/>
      <c r="F342" s="1"/>
      <c r="G342" s="1"/>
      <c r="H342" s="1"/>
      <c r="I342" s="1"/>
      <c r="J342" s="1"/>
      <c r="K342" s="9"/>
      <c r="L342" s="1"/>
      <c r="M342" s="319"/>
      <c r="N342" s="319">
        <v>2050012</v>
      </c>
      <c r="O342" s="319"/>
      <c r="P342" s="319"/>
      <c r="Q342" s="319"/>
      <c r="R342" s="319"/>
      <c r="S342" s="319"/>
      <c r="T342" s="319"/>
      <c r="U342" s="319"/>
      <c r="V342" s="319"/>
      <c r="W342" s="319">
        <v>-30</v>
      </c>
      <c r="X342" s="319">
        <v>-20</v>
      </c>
      <c r="Y342" s="319">
        <v>-10</v>
      </c>
      <c r="Z342" s="319">
        <v>0</v>
      </c>
      <c r="AA342" s="319">
        <v>10</v>
      </c>
      <c r="AB342" s="319">
        <v>20</v>
      </c>
      <c r="AC342" s="319">
        <v>25</v>
      </c>
      <c r="AD342" s="319">
        <v>30</v>
      </c>
      <c r="AE342" s="319">
        <v>40</v>
      </c>
      <c r="AF342" s="319"/>
      <c r="AG342" s="319"/>
      <c r="AH342" s="319"/>
      <c r="AI342" s="319"/>
      <c r="AJ342" s="319"/>
      <c r="AK342" s="319"/>
      <c r="AL342" s="319"/>
      <c r="AM342" s="319"/>
      <c r="AN342" s="319"/>
      <c r="AO342" s="319"/>
      <c r="AP342" s="319"/>
      <c r="AQ342" s="319"/>
      <c r="AR342" s="319"/>
      <c r="AS342" s="319"/>
      <c r="AT342" s="319"/>
      <c r="AU342" s="319"/>
      <c r="AV342" s="319"/>
      <c r="AW342" s="319"/>
      <c r="AX342" s="319"/>
      <c r="AY342" s="319"/>
      <c r="AZ342" s="319"/>
      <c r="BA342" s="319"/>
      <c r="BB342" s="319"/>
      <c r="BC342" s="319"/>
      <c r="BD342" s="319"/>
      <c r="BE342" s="319"/>
      <c r="BF342" s="319"/>
      <c r="BG342" s="319"/>
      <c r="BH342" s="319"/>
      <c r="BI342" s="319"/>
      <c r="BJ342" s="319"/>
      <c r="BK342" s="319"/>
      <c r="BL342" s="319"/>
      <c r="BM342" s="319"/>
      <c r="BN342" s="319"/>
      <c r="BO342" s="319"/>
      <c r="BP342" s="319"/>
      <c r="BQ342" s="319"/>
      <c r="BR342" s="319"/>
      <c r="BS342" s="319"/>
      <c r="BT342" s="319"/>
      <c r="BU342" s="319"/>
      <c r="BV342" s="319"/>
      <c r="BW342" s="319"/>
      <c r="BX342" s="319"/>
      <c r="BY342" s="319"/>
      <c r="BZ342" s="319"/>
      <c r="CA342" s="319"/>
      <c r="CB342" s="319"/>
      <c r="CC342" s="319"/>
      <c r="CD342" s="319"/>
      <c r="CE342" s="319"/>
      <c r="CF342" s="319"/>
      <c r="CG342" s="319"/>
      <c r="CH342" s="319"/>
      <c r="CI342" s="319"/>
      <c r="CJ342" s="319"/>
      <c r="CK342" s="319"/>
    </row>
    <row r="343" spans="1:89" ht="13.5" hidden="1" customHeight="1">
      <c r="A343" s="12"/>
      <c r="B343" s="1" t="str">
        <f>PDLabelModel</f>
        <v>Modelo</v>
      </c>
      <c r="C343" s="1152"/>
      <c r="D343" s="1153"/>
      <c r="E343" s="1154"/>
      <c r="F343" s="1"/>
      <c r="G343" s="1"/>
      <c r="H343" s="1"/>
      <c r="I343" s="1"/>
      <c r="J343" s="1"/>
      <c r="K343" s="9"/>
      <c r="L343" s="1"/>
      <c r="M343" s="319"/>
      <c r="N343" s="319">
        <v>2050014</v>
      </c>
      <c r="O343" s="319"/>
      <c r="P343" s="319"/>
      <c r="Q343" s="319"/>
      <c r="R343" s="319"/>
      <c r="S343" s="319" t="s">
        <v>3617</v>
      </c>
      <c r="T343" s="319">
        <v>0.5</v>
      </c>
      <c r="U343" s="319" t="s">
        <v>5025</v>
      </c>
      <c r="V343" s="319">
        <v>-0.3010299956639812</v>
      </c>
      <c r="W343" s="319">
        <v>-10</v>
      </c>
      <c r="X343" s="319">
        <v>20</v>
      </c>
      <c r="Y343" s="319">
        <v>47</v>
      </c>
      <c r="Z343" s="319">
        <v>65</v>
      </c>
      <c r="AA343" s="319">
        <v>80</v>
      </c>
      <c r="AB343" s="319">
        <v>93</v>
      </c>
      <c r="AC343" s="319">
        <v>100</v>
      </c>
      <c r="AD343" s="319">
        <v>104</v>
      </c>
      <c r="AE343" s="319">
        <v>114</v>
      </c>
      <c r="AF343" s="319"/>
      <c r="AG343" s="319"/>
      <c r="AH343" s="319"/>
      <c r="AI343" s="319"/>
      <c r="AJ343" s="319"/>
      <c r="AK343" s="319"/>
      <c r="AL343" s="319"/>
      <c r="AM343" s="319"/>
      <c r="AN343" s="319"/>
      <c r="AO343" s="319"/>
      <c r="AP343" s="319"/>
      <c r="AQ343" s="319"/>
      <c r="AR343" s="319"/>
      <c r="AS343" s="319"/>
      <c r="AT343" s="319"/>
      <c r="AU343" s="319"/>
      <c r="AV343" s="319"/>
      <c r="AW343" s="319"/>
      <c r="AX343" s="319"/>
      <c r="AY343" s="319"/>
      <c r="AZ343" s="319"/>
      <c r="BA343" s="319"/>
      <c r="BB343" s="319"/>
      <c r="BC343" s="319"/>
      <c r="BD343" s="319"/>
      <c r="BE343" s="319"/>
      <c r="BF343" s="319"/>
      <c r="BG343" s="319"/>
      <c r="BH343" s="319"/>
      <c r="BI343" s="319"/>
      <c r="BJ343" s="319"/>
      <c r="BK343" s="319"/>
      <c r="BL343" s="319"/>
      <c r="BM343" s="319"/>
      <c r="BN343" s="319"/>
      <c r="BO343" s="319"/>
      <c r="BP343" s="319"/>
      <c r="BQ343" s="319"/>
      <c r="BR343" s="319"/>
      <c r="BS343" s="319"/>
      <c r="BT343" s="319"/>
      <c r="BU343" s="319"/>
      <c r="BV343" s="319"/>
      <c r="BW343" s="319"/>
      <c r="BX343" s="319"/>
      <c r="BY343" s="319"/>
      <c r="BZ343" s="319"/>
      <c r="CA343" s="319"/>
      <c r="CB343" s="319"/>
      <c r="CC343" s="319"/>
      <c r="CD343" s="319"/>
      <c r="CE343" s="319"/>
      <c r="CF343" s="319"/>
      <c r="CG343" s="319"/>
      <c r="CH343" s="319"/>
      <c r="CI343" s="319"/>
      <c r="CJ343" s="319"/>
      <c r="CK343" s="319"/>
    </row>
    <row r="344" spans="1:89" ht="13.5" hidden="1" customHeight="1">
      <c r="A344" s="12"/>
      <c r="B344" s="1" t="str">
        <f>Language!C1843</f>
        <v>Número de turbinas</v>
      </c>
      <c r="C344" s="329"/>
      <c r="D344" s="412"/>
      <c r="E344" s="329"/>
      <c r="F344" s="329"/>
      <c r="G344" s="1"/>
      <c r="H344" s="1"/>
      <c r="I344" s="1"/>
      <c r="J344" s="1"/>
      <c r="K344" s="9"/>
      <c r="L344" s="1"/>
      <c r="M344" s="319"/>
      <c r="N344" s="319">
        <v>2102008</v>
      </c>
      <c r="O344" s="319"/>
      <c r="P344" s="319"/>
      <c r="Q344" s="319"/>
      <c r="R344" s="319"/>
      <c r="S344" s="319"/>
      <c r="T344" s="319">
        <v>5</v>
      </c>
      <c r="U344" s="319"/>
      <c r="V344" s="319">
        <v>0.69897000433601886</v>
      </c>
      <c r="W344" s="319">
        <v>46</v>
      </c>
      <c r="X344" s="319">
        <v>59</v>
      </c>
      <c r="Y344" s="319">
        <v>72</v>
      </c>
      <c r="Z344" s="319">
        <v>82</v>
      </c>
      <c r="AA344" s="319">
        <v>90</v>
      </c>
      <c r="AB344" s="319">
        <v>97</v>
      </c>
      <c r="AC344" s="319">
        <v>100</v>
      </c>
      <c r="AD344" s="319">
        <v>102</v>
      </c>
      <c r="AE344" s="319">
        <v>105</v>
      </c>
      <c r="AF344" s="319"/>
      <c r="AG344" s="319"/>
      <c r="AH344" s="319"/>
      <c r="AI344" s="319"/>
      <c r="AJ344" s="319"/>
      <c r="AK344" s="319"/>
      <c r="AL344" s="319"/>
      <c r="AM344" s="319"/>
      <c r="AN344" s="319"/>
      <c r="AO344" s="319"/>
      <c r="AP344" s="319"/>
      <c r="AQ344" s="319"/>
      <c r="AR344" s="319"/>
      <c r="AS344" s="319"/>
      <c r="AT344" s="319"/>
      <c r="AU344" s="319"/>
      <c r="AV344" s="319"/>
      <c r="AW344" s="319"/>
      <c r="AX344" s="319"/>
      <c r="AY344" s="319"/>
      <c r="AZ344" s="319"/>
      <c r="BA344" s="319"/>
      <c r="BB344" s="319"/>
      <c r="BC344" s="319"/>
      <c r="BD344" s="319"/>
      <c r="BE344" s="319"/>
      <c r="BF344" s="319"/>
      <c r="BG344" s="319"/>
      <c r="BH344" s="319"/>
      <c r="BI344" s="319"/>
      <c r="BJ344" s="319"/>
      <c r="BK344" s="319"/>
      <c r="BL344" s="319"/>
      <c r="BM344" s="319"/>
      <c r="BN344" s="319"/>
      <c r="BO344" s="319"/>
      <c r="BP344" s="319"/>
      <c r="BQ344" s="319"/>
      <c r="BR344" s="319"/>
      <c r="BS344" s="319"/>
      <c r="BT344" s="319"/>
      <c r="BU344" s="319"/>
      <c r="BV344" s="319"/>
      <c r="BW344" s="319"/>
      <c r="BX344" s="319"/>
      <c r="BY344" s="319"/>
      <c r="BZ344" s="319"/>
      <c r="CA344" s="319"/>
      <c r="CB344" s="319"/>
      <c r="CC344" s="319"/>
      <c r="CD344" s="319"/>
      <c r="CE344" s="319"/>
      <c r="CF344" s="319"/>
      <c r="CG344" s="319"/>
      <c r="CH344" s="319"/>
      <c r="CI344" s="319"/>
      <c r="CJ344" s="319"/>
      <c r="CK344" s="319"/>
    </row>
    <row r="345" spans="1:89" ht="12.75" hidden="1" customHeight="1">
      <c r="A345" s="12"/>
      <c r="B345" s="1" t="str">
        <f>B853</f>
        <v>Potência elétrica</v>
      </c>
      <c r="C345" s="29" t="str">
        <f>$F$1169</f>
        <v>kW</v>
      </c>
      <c r="D345" s="819">
        <f>EEM_Wind_Power_Capacity*D344</f>
        <v>0</v>
      </c>
      <c r="E345" s="55" t="str">
        <f>IF('Modelo Energético'!$P$866=0,"",D345/'Modelo Energético'!$P$866)</f>
        <v/>
      </c>
      <c r="F345" s="1"/>
      <c r="G345" s="1346"/>
      <c r="H345" s="1"/>
      <c r="I345" s="1"/>
      <c r="J345" s="1"/>
      <c r="K345" s="9"/>
      <c r="L345" s="1"/>
      <c r="M345" s="319"/>
      <c r="N345" s="319">
        <v>2102010</v>
      </c>
      <c r="O345" s="319"/>
      <c r="P345" s="319"/>
      <c r="Q345" s="319"/>
      <c r="R345" s="319"/>
      <c r="S345" s="319"/>
      <c r="T345" s="319">
        <v>50</v>
      </c>
      <c r="U345" s="319"/>
      <c r="V345" s="319">
        <v>1.6989700043360187</v>
      </c>
      <c r="W345" s="319">
        <v>59</v>
      </c>
      <c r="X345" s="319">
        <v>72</v>
      </c>
      <c r="Y345" s="319">
        <v>80</v>
      </c>
      <c r="Z345" s="319">
        <v>87</v>
      </c>
      <c r="AA345" s="319">
        <v>93</v>
      </c>
      <c r="AB345" s="319">
        <v>98</v>
      </c>
      <c r="AC345" s="319">
        <v>100</v>
      </c>
      <c r="AD345" s="319">
        <v>100</v>
      </c>
      <c r="AE345" s="319">
        <v>103</v>
      </c>
      <c r="AF345" s="319"/>
      <c r="AG345" s="319"/>
      <c r="AH345" s="319"/>
      <c r="AI345" s="319"/>
      <c r="AJ345" s="319"/>
      <c r="AK345" s="319"/>
      <c r="AL345" s="319"/>
      <c r="AM345" s="319"/>
      <c r="AN345" s="319"/>
      <c r="AO345" s="319"/>
      <c r="AP345" s="319"/>
      <c r="AQ345" s="319"/>
      <c r="AR345" s="319"/>
      <c r="AS345" s="319"/>
      <c r="AT345" s="319"/>
      <c r="AU345" s="319"/>
      <c r="AV345" s="319"/>
      <c r="AW345" s="319"/>
      <c r="AX345" s="319"/>
      <c r="AY345" s="319"/>
      <c r="AZ345" s="319"/>
      <c r="BA345" s="319"/>
      <c r="BB345" s="319"/>
      <c r="BC345" s="319"/>
      <c r="BD345" s="319"/>
      <c r="BE345" s="319"/>
      <c r="BF345" s="319"/>
      <c r="BG345" s="319"/>
      <c r="BH345" s="319"/>
      <c r="BI345" s="319"/>
      <c r="BJ345" s="319"/>
      <c r="BK345" s="319"/>
      <c r="BL345" s="319"/>
      <c r="BM345" s="319"/>
      <c r="BN345" s="319"/>
      <c r="BO345" s="319"/>
      <c r="BP345" s="319"/>
      <c r="BQ345" s="319"/>
      <c r="BR345" s="319"/>
      <c r="BS345" s="319"/>
      <c r="BT345" s="319"/>
      <c r="BU345" s="319"/>
      <c r="BV345" s="319"/>
      <c r="BW345" s="319"/>
      <c r="BX345" s="319"/>
      <c r="BY345" s="319"/>
      <c r="BZ345" s="319"/>
      <c r="CA345" s="319"/>
      <c r="CB345" s="319"/>
      <c r="CC345" s="319"/>
      <c r="CD345" s="319"/>
      <c r="CE345" s="319"/>
      <c r="CF345" s="319"/>
      <c r="CG345" s="319"/>
      <c r="CH345" s="319"/>
      <c r="CI345" s="319"/>
      <c r="CJ345" s="319"/>
      <c r="CK345" s="319"/>
    </row>
    <row r="346" spans="1:89" ht="13.5" hidden="1" customHeight="1">
      <c r="A346" s="12"/>
      <c r="B346" s="1" t="str">
        <f>Language!C1738</f>
        <v>Altura do centro</v>
      </c>
      <c r="C346" s="29" t="str">
        <f>$C$335</f>
        <v>m</v>
      </c>
      <c r="D346" s="412"/>
      <c r="E346" s="140" t="e">
        <f>IF(D230=C1195,"",FIXED('Modelo Energético'!P256,1)&amp;" "&amp;D318)</f>
        <v>#DIV/0!</v>
      </c>
      <c r="F346" s="1"/>
      <c r="G346" s="1"/>
      <c r="H346" s="1"/>
      <c r="I346" s="1"/>
      <c r="J346" s="1"/>
      <c r="K346" s="9"/>
      <c r="L346" s="1"/>
      <c r="M346" s="319"/>
      <c r="N346" s="319">
        <v>5040016</v>
      </c>
      <c r="O346" s="319"/>
      <c r="P346" s="319">
        <f>IF(OR(C346="",C346=$C$1190),1,$D$1191)*D346</f>
        <v>0</v>
      </c>
      <c r="Q346" s="319" t="s">
        <v>5569</v>
      </c>
      <c r="R346" s="319"/>
      <c r="S346" s="319"/>
      <c r="T346" s="319">
        <v>100</v>
      </c>
      <c r="U346" s="319"/>
      <c r="V346" s="319">
        <v>2</v>
      </c>
      <c r="W346" s="319">
        <v>65</v>
      </c>
      <c r="X346" s="319">
        <v>76</v>
      </c>
      <c r="Y346" s="319">
        <v>83</v>
      </c>
      <c r="Z346" s="319">
        <v>90</v>
      </c>
      <c r="AA346" s="319">
        <v>95</v>
      </c>
      <c r="AB346" s="319">
        <v>98</v>
      </c>
      <c r="AC346" s="319">
        <v>100</v>
      </c>
      <c r="AD346" s="319">
        <v>100</v>
      </c>
      <c r="AE346" s="319">
        <v>102</v>
      </c>
      <c r="AF346" s="319"/>
      <c r="AG346" s="319"/>
      <c r="AH346" s="319"/>
      <c r="AI346" s="319"/>
      <c r="AJ346" s="319"/>
      <c r="AK346" s="319"/>
      <c r="AL346" s="319"/>
      <c r="AM346" s="319"/>
      <c r="AN346" s="319"/>
      <c r="AO346" s="319"/>
      <c r="AP346" s="319"/>
      <c r="AQ346" s="319"/>
      <c r="AR346" s="319"/>
      <c r="AS346" s="319"/>
      <c r="AT346" s="319"/>
      <c r="AU346" s="319"/>
      <c r="AV346" s="319"/>
      <c r="AW346" s="319"/>
      <c r="AX346" s="319"/>
      <c r="AY346" s="319"/>
      <c r="AZ346" s="319"/>
      <c r="BA346" s="319"/>
      <c r="BB346" s="319"/>
      <c r="BC346" s="319"/>
      <c r="BD346" s="319"/>
      <c r="BE346" s="319"/>
      <c r="BF346" s="319"/>
      <c r="BG346" s="319"/>
      <c r="BH346" s="319"/>
      <c r="BI346" s="319"/>
      <c r="BJ346" s="319"/>
      <c r="BK346" s="319"/>
      <c r="BL346" s="319"/>
      <c r="BM346" s="319"/>
      <c r="BN346" s="319"/>
      <c r="BO346" s="319"/>
      <c r="BP346" s="319"/>
      <c r="BQ346" s="319"/>
      <c r="BR346" s="319"/>
      <c r="BS346" s="319"/>
      <c r="BT346" s="319"/>
      <c r="BU346" s="319"/>
      <c r="BV346" s="319"/>
      <c r="BW346" s="319"/>
      <c r="BX346" s="319"/>
      <c r="BY346" s="319"/>
      <c r="BZ346" s="319"/>
      <c r="CA346" s="319"/>
      <c r="CB346" s="319"/>
      <c r="CC346" s="319"/>
      <c r="CD346" s="319"/>
      <c r="CE346" s="319"/>
      <c r="CF346" s="319"/>
      <c r="CG346" s="319"/>
      <c r="CH346" s="319"/>
      <c r="CI346" s="319"/>
      <c r="CJ346" s="319"/>
      <c r="CK346" s="319"/>
    </row>
    <row r="347" spans="1:89" ht="13.5" hidden="1" customHeight="1">
      <c r="A347" s="12"/>
      <c r="B347" s="1" t="str">
        <f>Language!C1947</f>
        <v>Diâmetro do rotor por turbina</v>
      </c>
      <c r="C347" s="29" t="str">
        <f>$C$335</f>
        <v>m</v>
      </c>
      <c r="D347" s="314"/>
      <c r="E347" s="1"/>
      <c r="F347" s="1"/>
      <c r="G347" s="1"/>
      <c r="H347" s="1"/>
      <c r="I347" s="1"/>
      <c r="J347" s="1"/>
      <c r="K347" s="9"/>
      <c r="L347" s="1"/>
      <c r="M347" s="319"/>
      <c r="N347" s="319">
        <v>2102014</v>
      </c>
      <c r="O347" s="319"/>
      <c r="P347" s="319"/>
      <c r="Q347" s="319"/>
      <c r="R347" s="319"/>
      <c r="S347" s="319"/>
      <c r="T347" s="319">
        <v>500</v>
      </c>
      <c r="U347" s="319"/>
      <c r="V347" s="319">
        <v>2.6989700043360187</v>
      </c>
      <c r="W347" s="319">
        <v>80</v>
      </c>
      <c r="X347" s="319">
        <v>88</v>
      </c>
      <c r="Y347" s="319">
        <v>92</v>
      </c>
      <c r="Z347" s="319">
        <v>95</v>
      </c>
      <c r="AA347" s="319">
        <v>97</v>
      </c>
      <c r="AB347" s="319">
        <v>99</v>
      </c>
      <c r="AC347" s="319">
        <v>100</v>
      </c>
      <c r="AD347" s="319">
        <v>100</v>
      </c>
      <c r="AE347" s="319">
        <v>101</v>
      </c>
      <c r="AF347" s="319"/>
      <c r="AG347" s="319"/>
      <c r="AH347" s="319"/>
      <c r="AI347" s="319"/>
      <c r="AJ347" s="319"/>
      <c r="AK347" s="319"/>
      <c r="AL347" s="319"/>
      <c r="AM347" s="319"/>
      <c r="AN347" s="319"/>
      <c r="AO347" s="319"/>
      <c r="AP347" s="319"/>
      <c r="AQ347" s="319"/>
      <c r="AR347" s="319"/>
      <c r="AS347" s="319"/>
      <c r="AT347" s="319"/>
      <c r="AU347" s="319"/>
      <c r="AV347" s="319"/>
      <c r="AW347" s="319"/>
      <c r="AX347" s="319"/>
      <c r="AY347" s="319"/>
      <c r="AZ347" s="319"/>
      <c r="BA347" s="319"/>
      <c r="BB347" s="319"/>
      <c r="BC347" s="319"/>
      <c r="BD347" s="319"/>
      <c r="BE347" s="319"/>
      <c r="BF347" s="319"/>
      <c r="BG347" s="319"/>
      <c r="BH347" s="319"/>
      <c r="BI347" s="319"/>
      <c r="BJ347" s="319"/>
      <c r="BK347" s="319"/>
      <c r="BL347" s="319"/>
      <c r="BM347" s="319"/>
      <c r="BN347" s="319"/>
      <c r="BO347" s="319"/>
      <c r="BP347" s="319"/>
      <c r="BQ347" s="319"/>
      <c r="BR347" s="319"/>
      <c r="BS347" s="319"/>
      <c r="BT347" s="319"/>
      <c r="BU347" s="319"/>
      <c r="BV347" s="319"/>
      <c r="BW347" s="319"/>
      <c r="BX347" s="319"/>
      <c r="BY347" s="319"/>
      <c r="BZ347" s="319"/>
      <c r="CA347" s="319"/>
      <c r="CB347" s="319"/>
      <c r="CC347" s="319"/>
      <c r="CD347" s="319"/>
      <c r="CE347" s="319"/>
      <c r="CF347" s="319"/>
      <c r="CG347" s="319"/>
      <c r="CH347" s="319"/>
      <c r="CI347" s="319"/>
      <c r="CJ347" s="319"/>
      <c r="CK347" s="319"/>
    </row>
    <row r="348" spans="1:89" ht="12.75" hidden="1" customHeight="1">
      <c r="A348" s="12"/>
      <c r="B348" s="1" t="str">
        <f>Language!C2012</f>
        <v>Área de varredura por turbina</v>
      </c>
      <c r="C348" s="29" t="str">
        <f>IF($C$335=$C$1190,$J$1190,$J$1191)</f>
        <v>m²</v>
      </c>
      <c r="D348" s="412"/>
      <c r="E348" s="1"/>
      <c r="F348" s="1"/>
      <c r="G348" s="1"/>
      <c r="H348" s="1"/>
      <c r="I348" s="1"/>
      <c r="J348" s="1"/>
      <c r="K348" s="9"/>
      <c r="L348" s="1"/>
      <c r="M348" s="319"/>
      <c r="N348" s="319">
        <v>2102016</v>
      </c>
      <c r="O348" s="319"/>
      <c r="P348" s="319">
        <f>IF(OR(C348="",C348=$J$1190),1,$K$1191)*D348</f>
        <v>0</v>
      </c>
      <c r="Q348" s="319" t="s">
        <v>5430</v>
      </c>
      <c r="R348" s="319"/>
      <c r="S348" s="319"/>
      <c r="T348" s="319"/>
      <c r="U348" s="319"/>
      <c r="V348" s="319"/>
      <c r="W348" s="319"/>
      <c r="X348" s="319"/>
      <c r="Y348" s="319"/>
      <c r="Z348" s="319"/>
      <c r="AA348" s="319"/>
      <c r="AB348" s="319"/>
      <c r="AC348" s="319"/>
      <c r="AD348" s="319"/>
      <c r="AE348" s="319"/>
      <c r="AF348" s="319"/>
      <c r="AG348" s="319"/>
      <c r="AH348" s="319"/>
      <c r="AI348" s="319"/>
      <c r="AJ348" s="319"/>
      <c r="AK348" s="319"/>
      <c r="AL348" s="319"/>
      <c r="AM348" s="319"/>
      <c r="AN348" s="319"/>
      <c r="AO348" s="319"/>
      <c r="AP348" s="319"/>
      <c r="AQ348" s="319"/>
      <c r="AR348" s="319"/>
      <c r="AS348" s="319"/>
      <c r="AT348" s="319"/>
      <c r="AU348" s="319"/>
      <c r="AV348" s="319"/>
      <c r="AW348" s="319"/>
      <c r="AX348" s="319"/>
      <c r="AY348" s="319"/>
      <c r="AZ348" s="319"/>
      <c r="BA348" s="319"/>
      <c r="BB348" s="319"/>
      <c r="BC348" s="319"/>
      <c r="BD348" s="319"/>
      <c r="BE348" s="319"/>
      <c r="BF348" s="319"/>
      <c r="BG348" s="319"/>
      <c r="BH348" s="319"/>
      <c r="BI348" s="319"/>
      <c r="BJ348" s="319"/>
      <c r="BK348" s="319"/>
      <c r="BL348" s="319"/>
      <c r="BM348" s="319"/>
      <c r="BN348" s="319"/>
      <c r="BO348" s="319"/>
      <c r="BP348" s="319"/>
      <c r="BQ348" s="319"/>
      <c r="BR348" s="319"/>
      <c r="BS348" s="319"/>
      <c r="BT348" s="319"/>
      <c r="BU348" s="319"/>
      <c r="BV348" s="319"/>
      <c r="BW348" s="319"/>
      <c r="BX348" s="319"/>
      <c r="BY348" s="319"/>
      <c r="BZ348" s="319"/>
      <c r="CA348" s="319"/>
      <c r="CB348" s="319"/>
      <c r="CC348" s="319"/>
      <c r="CD348" s="319"/>
      <c r="CE348" s="319"/>
      <c r="CF348" s="319"/>
      <c r="CG348" s="319"/>
      <c r="CH348" s="319"/>
      <c r="CI348" s="319"/>
      <c r="CJ348" s="319"/>
      <c r="CK348" s="319"/>
    </row>
    <row r="349" spans="1:89" ht="12.75" hidden="1" customHeight="1">
      <c r="A349" s="12"/>
      <c r="B349" s="1" t="str">
        <f>Language!C1632</f>
        <v>Dado da curva de energia</v>
      </c>
      <c r="C349" s="29"/>
      <c r="D349" s="419" t="s">
        <v>6129</v>
      </c>
      <c r="E349" s="1"/>
      <c r="F349" s="1"/>
      <c r="G349" s="1"/>
      <c r="H349" s="1"/>
      <c r="I349" s="1"/>
      <c r="J349" s="1"/>
      <c r="K349" s="9"/>
      <c r="L349" s="1"/>
      <c r="M349" s="319">
        <f>IF(D349=B1174,1,0)</f>
        <v>1</v>
      </c>
      <c r="N349" s="319">
        <v>2102018</v>
      </c>
      <c r="O349" s="319"/>
      <c r="P349" s="319"/>
      <c r="Q349" s="319"/>
      <c r="R349" s="319"/>
      <c r="S349" s="319"/>
      <c r="T349" s="319"/>
      <c r="U349" s="319"/>
      <c r="V349" s="319"/>
      <c r="W349" s="319"/>
      <c r="X349" s="319"/>
      <c r="Y349" s="319"/>
      <c r="Z349" s="319"/>
      <c r="AA349" s="319"/>
      <c r="AB349" s="319"/>
      <c r="AC349" s="319"/>
      <c r="AD349" s="319"/>
      <c r="AE349" s="319"/>
      <c r="AF349" s="319"/>
      <c r="AG349" s="319"/>
      <c r="AH349" s="319"/>
      <c r="AI349" s="319"/>
      <c r="AJ349" s="319"/>
      <c r="AK349" s="319"/>
      <c r="AL349" s="319"/>
      <c r="AM349" s="319"/>
      <c r="AN349" s="319"/>
      <c r="AO349" s="319"/>
      <c r="AP349" s="319"/>
      <c r="AQ349" s="319"/>
      <c r="AR349" s="319"/>
      <c r="AS349" s="319"/>
      <c r="AT349" s="319"/>
      <c r="AU349" s="319"/>
      <c r="AV349" s="319"/>
      <c r="AW349" s="319"/>
      <c r="AX349" s="319"/>
      <c r="AY349" s="319"/>
      <c r="AZ349" s="319"/>
      <c r="BA349" s="319"/>
      <c r="BB349" s="319"/>
      <c r="BC349" s="319"/>
      <c r="BD349" s="319"/>
      <c r="BE349" s="319"/>
      <c r="BF349" s="319"/>
      <c r="BG349" s="319"/>
      <c r="BH349" s="319"/>
      <c r="BI349" s="319"/>
      <c r="BJ349" s="319"/>
      <c r="BK349" s="319"/>
      <c r="BL349" s="319"/>
      <c r="BM349" s="319"/>
      <c r="BN349" s="319"/>
      <c r="BO349" s="319"/>
      <c r="BP349" s="319"/>
      <c r="BQ349" s="319"/>
      <c r="BR349" s="319"/>
      <c r="BS349" s="319"/>
      <c r="BT349" s="319"/>
      <c r="BU349" s="319"/>
      <c r="BV349" s="319"/>
      <c r="BW349" s="319"/>
      <c r="BX349" s="319"/>
      <c r="BY349" s="319"/>
      <c r="BZ349" s="319"/>
      <c r="CA349" s="319"/>
      <c r="CB349" s="319"/>
      <c r="CC349" s="319"/>
      <c r="CD349" s="319"/>
      <c r="CE349" s="319"/>
      <c r="CF349" s="319"/>
      <c r="CG349" s="319"/>
      <c r="CH349" s="319"/>
      <c r="CI349" s="319"/>
      <c r="CJ349" s="319"/>
      <c r="CK349" s="319"/>
    </row>
    <row r="350" spans="1:89" ht="13.5" hidden="1" customHeight="1">
      <c r="A350" s="12"/>
      <c r="B350" s="1" t="str">
        <f>Language!C1965</f>
        <v>Fator de forma</v>
      </c>
      <c r="C350" s="29"/>
      <c r="D350" s="36">
        <f>'Modelo Energético'!D262</f>
        <v>2</v>
      </c>
      <c r="E350" s="1"/>
      <c r="F350" s="1"/>
      <c r="G350" s="1"/>
      <c r="H350" s="1"/>
      <c r="I350" s="1"/>
      <c r="J350" s="1"/>
      <c r="K350" s="9"/>
      <c r="L350" s="1"/>
      <c r="M350" s="319"/>
      <c r="N350" s="319">
        <v>2102020</v>
      </c>
      <c r="O350" s="319"/>
      <c r="P350" s="319"/>
      <c r="Q350" s="319"/>
      <c r="R350" s="319"/>
      <c r="S350" s="319"/>
      <c r="T350" s="319"/>
      <c r="U350" s="319"/>
      <c r="V350" s="319"/>
      <c r="W350" s="319"/>
      <c r="X350" s="319"/>
      <c r="Y350" s="319"/>
      <c r="Z350" s="319"/>
      <c r="AA350" s="319"/>
      <c r="AB350" s="319"/>
      <c r="AC350" s="319"/>
      <c r="AD350" s="319"/>
      <c r="AE350" s="319"/>
      <c r="AF350" s="319"/>
      <c r="AG350" s="319"/>
      <c r="AH350" s="319"/>
      <c r="AI350" s="319"/>
      <c r="AJ350" s="319"/>
      <c r="AK350" s="319"/>
      <c r="AL350" s="319"/>
      <c r="AM350" s="319"/>
      <c r="AN350" s="319"/>
      <c r="AO350" s="319"/>
      <c r="AP350" s="319"/>
      <c r="AQ350" s="319"/>
      <c r="AR350" s="319"/>
      <c r="AS350" s="319"/>
      <c r="AT350" s="319"/>
      <c r="AU350" s="319"/>
      <c r="AV350" s="319"/>
      <c r="AW350" s="319"/>
      <c r="AX350" s="319"/>
      <c r="AY350" s="319"/>
      <c r="AZ350" s="319"/>
      <c r="BA350" s="319"/>
      <c r="BB350" s="319"/>
      <c r="BC350" s="319"/>
      <c r="BD350" s="319"/>
      <c r="BE350" s="319"/>
      <c r="BF350" s="319"/>
      <c r="BG350" s="319"/>
      <c r="BH350" s="319"/>
      <c r="BI350" s="319"/>
      <c r="BJ350" s="319"/>
      <c r="BK350" s="319"/>
      <c r="BL350" s="319"/>
      <c r="BM350" s="319"/>
      <c r="BN350" s="319"/>
      <c r="BO350" s="319"/>
      <c r="BP350" s="319"/>
      <c r="BQ350" s="319"/>
      <c r="BR350" s="319"/>
      <c r="BS350" s="319"/>
      <c r="BT350" s="319"/>
      <c r="BU350" s="319"/>
      <c r="BV350" s="319"/>
      <c r="BW350" s="319"/>
      <c r="BX350" s="319"/>
      <c r="BY350" s="319"/>
      <c r="BZ350" s="319"/>
      <c r="CA350" s="319"/>
      <c r="CB350" s="319"/>
      <c r="CC350" s="319"/>
      <c r="CD350" s="319"/>
      <c r="CE350" s="319"/>
      <c r="CF350" s="319"/>
      <c r="CG350" s="319"/>
      <c r="CH350" s="319"/>
      <c r="CI350" s="319"/>
      <c r="CJ350" s="319"/>
      <c r="CK350" s="319"/>
    </row>
    <row r="351" spans="1:89" ht="13.2" hidden="1">
      <c r="A351" s="12"/>
      <c r="B351" s="1" t="str">
        <f>B350</f>
        <v>Fator de forma</v>
      </c>
      <c r="C351" s="29"/>
      <c r="D351" s="303">
        <v>2.2000000000000002</v>
      </c>
      <c r="E351" s="1"/>
      <c r="F351" s="1"/>
      <c r="G351" s="1"/>
      <c r="H351" s="1"/>
      <c r="I351" s="1"/>
      <c r="J351" s="1"/>
      <c r="K351" s="9"/>
      <c r="L351" s="1"/>
      <c r="M351" s="319"/>
      <c r="N351" s="319">
        <v>2102020</v>
      </c>
      <c r="O351" s="319"/>
      <c r="P351" s="319"/>
      <c r="Q351" s="319"/>
      <c r="R351" s="319"/>
      <c r="S351" s="319"/>
      <c r="T351" s="319"/>
      <c r="U351" s="319"/>
      <c r="V351" s="319"/>
      <c r="W351" s="319"/>
      <c r="X351" s="319"/>
      <c r="Y351" s="319"/>
      <c r="Z351" s="319"/>
      <c r="AA351" s="319"/>
      <c r="AB351" s="319"/>
      <c r="AC351" s="319"/>
      <c r="AD351" s="319"/>
      <c r="AE351" s="319"/>
      <c r="AF351" s="319"/>
      <c r="AG351" s="319"/>
      <c r="AH351" s="319"/>
      <c r="AI351" s="319"/>
      <c r="AJ351" s="319"/>
      <c r="AK351" s="319"/>
      <c r="AL351" s="319"/>
      <c r="AM351" s="319"/>
      <c r="AN351" s="319"/>
      <c r="AO351" s="319"/>
      <c r="AP351" s="319"/>
      <c r="AQ351" s="319"/>
      <c r="AR351" s="319"/>
      <c r="AS351" s="319"/>
      <c r="AT351" s="319"/>
      <c r="AU351" s="319"/>
      <c r="AV351" s="319"/>
      <c r="AW351" s="319"/>
      <c r="AX351" s="319"/>
      <c r="AY351" s="319"/>
      <c r="AZ351" s="319"/>
      <c r="BA351" s="319"/>
      <c r="BB351" s="319"/>
      <c r="BC351" s="319"/>
      <c r="BD351" s="319"/>
      <c r="BE351" s="319"/>
      <c r="BF351" s="319"/>
      <c r="BG351" s="319"/>
      <c r="BH351" s="319"/>
      <c r="BI351" s="319"/>
      <c r="BJ351" s="319"/>
      <c r="BK351" s="319"/>
      <c r="BL351" s="319"/>
      <c r="BM351" s="319"/>
      <c r="BN351" s="319"/>
      <c r="BO351" s="319"/>
      <c r="BP351" s="319"/>
      <c r="BQ351" s="319"/>
      <c r="BR351" s="319"/>
      <c r="BS351" s="319"/>
      <c r="BT351" s="319"/>
      <c r="BU351" s="319"/>
      <c r="BV351" s="319"/>
      <c r="BW351" s="319"/>
      <c r="BX351" s="319"/>
      <c r="BY351" s="319"/>
      <c r="BZ351" s="319"/>
      <c r="CA351" s="319"/>
      <c r="CB351" s="319"/>
      <c r="CC351" s="319"/>
      <c r="CD351" s="319"/>
      <c r="CE351" s="319"/>
      <c r="CF351" s="319"/>
      <c r="CG351" s="319"/>
      <c r="CH351" s="319"/>
      <c r="CI351" s="319"/>
      <c r="CJ351" s="319"/>
      <c r="CK351" s="319"/>
    </row>
    <row r="352" spans="1:89" ht="13.5" hidden="1" customHeight="1">
      <c r="A352" s="12"/>
      <c r="B352" s="329"/>
      <c r="C352" s="329"/>
      <c r="D352" s="329"/>
      <c r="E352" s="1"/>
      <c r="F352" s="1"/>
      <c r="G352" s="1"/>
      <c r="H352" s="1"/>
      <c r="I352" s="1"/>
      <c r="J352" s="1"/>
      <c r="K352" s="9"/>
      <c r="L352" s="1"/>
      <c r="M352" s="319"/>
      <c r="N352" s="319">
        <v>5040000</v>
      </c>
      <c r="O352" s="319"/>
      <c r="P352" s="319"/>
      <c r="Q352" s="319"/>
      <c r="R352" s="319"/>
      <c r="S352" s="319"/>
      <c r="T352" s="319"/>
      <c r="U352" s="319"/>
      <c r="V352" s="319"/>
      <c r="W352" s="319"/>
      <c r="X352" s="319"/>
      <c r="Y352" s="319"/>
      <c r="Z352" s="319"/>
      <c r="AA352" s="319"/>
      <c r="AB352" s="319"/>
      <c r="AC352" s="319"/>
      <c r="AD352" s="319"/>
      <c r="AE352" s="319"/>
      <c r="AF352" s="319"/>
      <c r="AG352" s="319"/>
      <c r="AH352" s="319"/>
      <c r="AI352" s="319"/>
      <c r="AJ352" s="319"/>
      <c r="AK352" s="319"/>
      <c r="AL352" s="319"/>
      <c r="AM352" s="319"/>
      <c r="AN352" s="319"/>
      <c r="AO352" s="319"/>
      <c r="AP352" s="319"/>
      <c r="AQ352" s="319"/>
      <c r="AR352" s="319"/>
      <c r="AS352" s="319"/>
      <c r="AT352" s="319"/>
      <c r="AU352" s="319"/>
      <c r="AV352" s="319"/>
      <c r="AW352" s="319"/>
      <c r="AX352" s="319"/>
      <c r="AY352" s="319"/>
      <c r="AZ352" s="319"/>
      <c r="BA352" s="319"/>
      <c r="BB352" s="319"/>
      <c r="BC352" s="319"/>
      <c r="BD352" s="319"/>
      <c r="BE352" s="319"/>
      <c r="BF352" s="319"/>
      <c r="BG352" s="319"/>
      <c r="BH352" s="319"/>
      <c r="BI352" s="319"/>
      <c r="BJ352" s="319"/>
      <c r="BK352" s="319"/>
      <c r="BL352" s="319"/>
      <c r="BM352" s="319"/>
      <c r="BN352" s="319"/>
      <c r="BO352" s="319"/>
      <c r="BP352" s="319"/>
      <c r="BQ352" s="319"/>
      <c r="BR352" s="319"/>
      <c r="BS352" s="319"/>
      <c r="BT352" s="319"/>
      <c r="BU352" s="319"/>
      <c r="BV352" s="319"/>
      <c r="BW352" s="319"/>
      <c r="BX352" s="319"/>
      <c r="BY352" s="319"/>
      <c r="BZ352" s="319"/>
      <c r="CA352" s="319"/>
      <c r="CB352" s="319"/>
      <c r="CC352" s="319"/>
      <c r="CD352" s="319"/>
      <c r="CE352" s="319"/>
      <c r="CF352" s="319"/>
      <c r="CG352" s="319"/>
      <c r="CH352" s="319"/>
      <c r="CI352" s="319"/>
      <c r="CJ352" s="319"/>
      <c r="CK352" s="319"/>
    </row>
    <row r="353" spans="1:89" ht="13.5" hidden="1" customHeight="1">
      <c r="A353" s="12"/>
      <c r="B353" s="329"/>
      <c r="C353" s="329"/>
      <c r="D353" s="329"/>
      <c r="E353" s="1"/>
      <c r="F353" s="1"/>
      <c r="G353" s="1"/>
      <c r="H353" s="1"/>
      <c r="I353" s="1"/>
      <c r="J353" s="1"/>
      <c r="K353" s="9"/>
      <c r="L353" s="1"/>
      <c r="M353" s="319">
        <f>IF(M354=TRUE,80,0)</f>
        <v>80</v>
      </c>
      <c r="N353" s="319">
        <v>5040000</v>
      </c>
      <c r="O353" s="319"/>
      <c r="P353" s="319"/>
      <c r="Q353" s="319"/>
      <c r="R353" s="319"/>
      <c r="S353" s="319"/>
      <c r="T353" s="319"/>
      <c r="U353" s="319"/>
      <c r="V353" s="319"/>
      <c r="W353" s="319"/>
      <c r="X353" s="319"/>
      <c r="Y353" s="319"/>
      <c r="Z353" s="319"/>
      <c r="AA353" s="319"/>
      <c r="AB353" s="319"/>
      <c r="AC353" s="319"/>
      <c r="AD353" s="319"/>
      <c r="AE353" s="319"/>
      <c r="AF353" s="319"/>
      <c r="AG353" s="319"/>
      <c r="AH353" s="319"/>
      <c r="AI353" s="319"/>
      <c r="AJ353" s="319"/>
      <c r="AK353" s="319"/>
      <c r="AL353" s="319"/>
      <c r="AM353" s="319"/>
      <c r="AN353" s="319"/>
      <c r="AO353" s="319"/>
      <c r="AP353" s="319"/>
      <c r="AQ353" s="319"/>
      <c r="AR353" s="319"/>
      <c r="AS353" s="319"/>
      <c r="AT353" s="319"/>
      <c r="AU353" s="319"/>
      <c r="AV353" s="319"/>
      <c r="AW353" s="319"/>
      <c r="AX353" s="319"/>
      <c r="AY353" s="319"/>
      <c r="AZ353" s="319"/>
      <c r="BA353" s="319"/>
      <c r="BB353" s="319"/>
      <c r="BC353" s="319"/>
      <c r="BD353" s="319"/>
      <c r="BE353" s="319"/>
      <c r="BF353" s="319"/>
      <c r="BG353" s="319"/>
      <c r="BH353" s="319"/>
      <c r="BI353" s="319"/>
      <c r="BJ353" s="319"/>
      <c r="BK353" s="319"/>
      <c r="BL353" s="319"/>
      <c r="BM353" s="319"/>
      <c r="BN353" s="319"/>
      <c r="BO353" s="319"/>
      <c r="BP353" s="319"/>
      <c r="BQ353" s="319"/>
      <c r="BR353" s="319"/>
      <c r="BS353" s="319"/>
      <c r="BT353" s="319"/>
      <c r="BU353" s="319"/>
      <c r="BV353" s="319"/>
      <c r="BW353" s="319"/>
      <c r="BX353" s="319"/>
      <c r="BY353" s="319"/>
      <c r="BZ353" s="319"/>
      <c r="CA353" s="319"/>
      <c r="CB353" s="319"/>
      <c r="CC353" s="319"/>
      <c r="CD353" s="319"/>
      <c r="CE353" s="319"/>
      <c r="CF353" s="319"/>
      <c r="CG353" s="319"/>
      <c r="CH353" s="319"/>
      <c r="CI353" s="319"/>
      <c r="CJ353" s="319"/>
      <c r="CK353" s="319"/>
    </row>
    <row r="354" spans="1:89" ht="12.75" hidden="1" customHeight="1">
      <c r="A354" s="1009" t="s">
        <v>4190</v>
      </c>
      <c r="B354" s="134" t="str">
        <f>G384</f>
        <v>Mostrar dado</v>
      </c>
      <c r="C354" s="1"/>
      <c r="D354" s="28"/>
      <c r="E354" s="28"/>
      <c r="F354" s="1"/>
      <c r="G354" s="1"/>
      <c r="H354" s="1"/>
      <c r="I354" s="1"/>
      <c r="J354" s="1"/>
      <c r="K354" s="9"/>
      <c r="L354" s="1"/>
      <c r="M354" s="3" t="b">
        <v>1</v>
      </c>
      <c r="N354" s="319">
        <v>2103000</v>
      </c>
      <c r="O354" s="319"/>
      <c r="P354" s="319"/>
      <c r="Q354" s="319"/>
      <c r="R354" s="319"/>
      <c r="S354" s="319"/>
      <c r="T354" s="319"/>
      <c r="U354" s="319"/>
      <c r="V354" s="319"/>
      <c r="W354" s="319"/>
      <c r="X354" s="319"/>
      <c r="Y354" s="319"/>
      <c r="Z354" s="319"/>
      <c r="AA354" s="319"/>
      <c r="AB354" s="319"/>
      <c r="AC354" s="319"/>
      <c r="AD354" s="319"/>
      <c r="AE354" s="319"/>
      <c r="AF354" s="319"/>
      <c r="AG354" s="319"/>
      <c r="AH354" s="319"/>
      <c r="AI354" s="319"/>
      <c r="AJ354" s="319"/>
      <c r="AK354" s="319"/>
      <c r="AL354" s="319"/>
      <c r="AM354" s="319"/>
      <c r="AN354" s="319"/>
      <c r="AO354" s="319"/>
      <c r="AP354" s="319"/>
      <c r="AQ354" s="319"/>
      <c r="AR354" s="319"/>
      <c r="AS354" s="319"/>
      <c r="AT354" s="319"/>
      <c r="AU354" s="319"/>
      <c r="AV354" s="319"/>
      <c r="AW354" s="319"/>
      <c r="AX354" s="319"/>
      <c r="AY354" s="319"/>
      <c r="AZ354" s="319"/>
      <c r="BA354" s="319"/>
      <c r="BB354" s="319"/>
      <c r="BC354" s="319"/>
      <c r="BD354" s="319"/>
      <c r="BE354" s="319"/>
      <c r="BF354" s="319"/>
      <c r="BG354" s="319"/>
      <c r="BH354" s="319"/>
      <c r="BI354" s="319"/>
      <c r="BJ354" s="319"/>
      <c r="BK354" s="319"/>
      <c r="BL354" s="319"/>
      <c r="BM354" s="319"/>
      <c r="BN354" s="319"/>
      <c r="BO354" s="319"/>
      <c r="BP354" s="319"/>
      <c r="BQ354" s="319"/>
      <c r="BR354" s="319"/>
      <c r="BS354" s="319"/>
      <c r="BT354" s="319"/>
      <c r="BU354" s="319"/>
      <c r="BV354" s="319"/>
      <c r="BW354" s="319"/>
      <c r="BX354" s="319"/>
      <c r="BY354" s="319"/>
      <c r="BZ354" s="319"/>
      <c r="CA354" s="319"/>
      <c r="CB354" s="319"/>
      <c r="CC354" s="319"/>
      <c r="CD354" s="319"/>
      <c r="CE354" s="319"/>
      <c r="CF354" s="319"/>
      <c r="CG354" s="319"/>
      <c r="CH354" s="319"/>
      <c r="CI354" s="319"/>
      <c r="CJ354" s="319"/>
      <c r="CK354" s="319"/>
    </row>
    <row r="355" spans="1:89" ht="25.5" hidden="1" customHeight="1">
      <c r="A355" s="12"/>
      <c r="B355" s="1"/>
      <c r="C355" s="82" t="str">
        <f>Language!C1148</f>
        <v>Velocidade do Vento</v>
      </c>
      <c r="D355" s="82" t="str">
        <f>Language!C1900</f>
        <v>Curva de potência</v>
      </c>
      <c r="E355" s="82" t="str">
        <f>B349</f>
        <v>Dado da curva de energia</v>
      </c>
      <c r="F355" s="1"/>
      <c r="G355" s="1"/>
      <c r="H355" s="1"/>
      <c r="I355" s="1"/>
      <c r="J355" s="1"/>
      <c r="K355" s="9"/>
      <c r="L355" s="1"/>
      <c r="M355" s="319"/>
      <c r="N355" s="319">
        <v>2103000</v>
      </c>
      <c r="O355" s="319"/>
      <c r="P355" s="319"/>
      <c r="Q355" s="319"/>
      <c r="R355" s="319"/>
      <c r="S355" s="319"/>
      <c r="T355" s="319"/>
      <c r="U355" s="319"/>
      <c r="V355" s="319"/>
      <c r="W355" s="319"/>
      <c r="X355" s="319"/>
      <c r="Y355" s="319"/>
      <c r="Z355" s="319"/>
      <c r="AA355" s="319"/>
      <c r="AB355" s="319"/>
      <c r="AC355" s="319"/>
      <c r="AD355" s="319"/>
      <c r="AE355" s="319"/>
      <c r="AF355" s="319"/>
      <c r="AG355" s="319"/>
      <c r="AH355" s="319"/>
      <c r="AI355" s="319"/>
      <c r="AJ355" s="319"/>
      <c r="AK355" s="319"/>
      <c r="AL355" s="319"/>
      <c r="AM355" s="319"/>
      <c r="AN355" s="319"/>
      <c r="AO355" s="319"/>
      <c r="AP355" s="319"/>
      <c r="AQ355" s="319"/>
      <c r="AR355" s="319"/>
      <c r="AS355" s="319"/>
      <c r="AT355" s="319"/>
      <c r="AU355" s="319"/>
      <c r="AV355" s="319"/>
      <c r="AW355" s="319"/>
      <c r="AX355" s="319"/>
      <c r="AY355" s="319"/>
      <c r="AZ355" s="319"/>
      <c r="BA355" s="319"/>
      <c r="BB355" s="319"/>
      <c r="BC355" s="319"/>
      <c r="BD355" s="319"/>
      <c r="BE355" s="319"/>
      <c r="BF355" s="319"/>
      <c r="BG355" s="319"/>
      <c r="BH355" s="319"/>
      <c r="BI355" s="319"/>
      <c r="BJ355" s="319"/>
      <c r="BK355" s="319"/>
      <c r="BL355" s="319"/>
      <c r="BM355" s="319"/>
      <c r="BN355" s="319"/>
      <c r="BO355" s="319"/>
      <c r="BP355" s="319"/>
      <c r="BQ355" s="319"/>
      <c r="BR355" s="319"/>
      <c r="BS355" s="319"/>
      <c r="BT355" s="319"/>
      <c r="BU355" s="319"/>
      <c r="BV355" s="319"/>
      <c r="BW355" s="319"/>
      <c r="BX355" s="319"/>
      <c r="BY355" s="319"/>
      <c r="BZ355" s="319"/>
      <c r="CA355" s="319"/>
      <c r="CB355" s="319"/>
      <c r="CC355" s="319"/>
      <c r="CD355" s="319"/>
      <c r="CE355" s="319"/>
      <c r="CF355" s="319"/>
      <c r="CG355" s="319"/>
      <c r="CH355" s="319"/>
      <c r="CI355" s="319"/>
      <c r="CJ355" s="319"/>
      <c r="CK355" s="319"/>
    </row>
    <row r="356" spans="1:89" ht="13.2" hidden="1">
      <c r="A356" s="12"/>
      <c r="B356" s="1"/>
      <c r="C356" s="45" t="str">
        <f>Language!C2232</f>
        <v>m/s</v>
      </c>
      <c r="D356" s="45" t="str">
        <f>F1169</f>
        <v>kW</v>
      </c>
      <c r="E356" s="45" t="str">
        <f>J1184</f>
        <v>MWh</v>
      </c>
      <c r="F356" s="1"/>
      <c r="G356" s="1"/>
      <c r="H356" s="1"/>
      <c r="I356" s="1"/>
      <c r="J356" s="1"/>
      <c r="K356" s="784" t="str">
        <f>Language!C1971</f>
        <v>Mostrar figura</v>
      </c>
      <c r="L356" s="1"/>
      <c r="M356" s="319"/>
      <c r="N356" s="319">
        <v>2103000</v>
      </c>
      <c r="O356" s="319"/>
      <c r="P356" s="319"/>
      <c r="Q356" s="319"/>
      <c r="R356" s="319"/>
      <c r="S356" s="319"/>
      <c r="T356" s="319"/>
      <c r="U356" s="319"/>
      <c r="V356" s="319"/>
      <c r="W356" s="319"/>
      <c r="X356" s="319"/>
      <c r="Y356" s="319"/>
      <c r="Z356" s="319"/>
      <c r="AA356" s="319"/>
      <c r="AB356" s="319"/>
      <c r="AC356" s="319"/>
      <c r="AD356" s="319"/>
      <c r="AE356" s="319"/>
      <c r="AF356" s="319"/>
      <c r="AG356" s="319"/>
      <c r="AH356" s="319"/>
      <c r="AI356" s="319"/>
      <c r="AJ356" s="319"/>
      <c r="AK356" s="319"/>
      <c r="AL356" s="319"/>
      <c r="AM356" s="319"/>
      <c r="AN356" s="319"/>
      <c r="AO356" s="319"/>
      <c r="AP356" s="319"/>
      <c r="AQ356" s="319"/>
      <c r="AR356" s="319"/>
      <c r="AS356" s="319"/>
      <c r="AT356" s="319"/>
      <c r="AU356" s="319"/>
      <c r="AV356" s="319"/>
      <c r="AW356" s="319"/>
      <c r="AX356" s="319"/>
      <c r="AY356" s="319"/>
      <c r="AZ356" s="319"/>
      <c r="BA356" s="319"/>
      <c r="BB356" s="319"/>
      <c r="BC356" s="319"/>
      <c r="BD356" s="319"/>
      <c r="BE356" s="319"/>
      <c r="BF356" s="319"/>
      <c r="BG356" s="319"/>
      <c r="BH356" s="319"/>
      <c r="BI356" s="319"/>
      <c r="BJ356" s="319"/>
      <c r="BK356" s="319"/>
      <c r="BL356" s="319"/>
      <c r="BM356" s="319"/>
      <c r="BN356" s="319"/>
      <c r="BO356" s="319"/>
      <c r="BP356" s="319"/>
      <c r="BQ356" s="319"/>
      <c r="BR356" s="319"/>
      <c r="BS356" s="319"/>
      <c r="BT356" s="319"/>
      <c r="BU356" s="319"/>
      <c r="BV356" s="319"/>
      <c r="BW356" s="319"/>
      <c r="BX356" s="319"/>
      <c r="BY356" s="319"/>
      <c r="BZ356" s="319"/>
      <c r="CA356" s="319"/>
      <c r="CB356" s="319"/>
      <c r="CC356" s="319"/>
      <c r="CD356" s="319"/>
      <c r="CE356" s="319"/>
      <c r="CF356" s="319"/>
      <c r="CG356" s="319"/>
      <c r="CH356" s="319"/>
      <c r="CI356" s="319"/>
      <c r="CJ356" s="319"/>
      <c r="CK356" s="319"/>
    </row>
    <row r="357" spans="1:89" ht="13.5" hidden="1" customHeight="1">
      <c r="A357" s="12"/>
      <c r="B357" s="1"/>
      <c r="C357" s="137">
        <v>0</v>
      </c>
      <c r="D357" s="427"/>
      <c r="E357" s="111"/>
      <c r="F357" s="1"/>
      <c r="G357" s="1"/>
      <c r="H357" s="1"/>
      <c r="I357" s="1"/>
      <c r="J357" s="1"/>
      <c r="K357" s="9"/>
      <c r="L357" s="1"/>
      <c r="M357" s="319"/>
      <c r="N357" s="319">
        <v>2103000</v>
      </c>
      <c r="O357" s="319"/>
      <c r="P357" s="319"/>
      <c r="Q357" s="319"/>
      <c r="R357" s="319"/>
      <c r="S357" s="319"/>
      <c r="T357" s="319"/>
      <c r="U357" s="319"/>
      <c r="V357" s="319"/>
      <c r="W357" s="319"/>
      <c r="X357" s="319"/>
      <c r="Y357" s="319"/>
      <c r="Z357" s="319"/>
      <c r="AA357" s="319"/>
      <c r="AB357" s="319"/>
      <c r="AC357" s="319"/>
      <c r="AD357" s="319"/>
      <c r="AE357" s="319"/>
      <c r="AF357" s="319"/>
      <c r="AG357" s="319"/>
      <c r="AH357" s="319"/>
      <c r="AI357" s="319"/>
      <c r="AJ357" s="319"/>
      <c r="AK357" s="319"/>
      <c r="AL357" s="319"/>
      <c r="AM357" s="319"/>
      <c r="AN357" s="319"/>
      <c r="AO357" s="319"/>
      <c r="AP357" s="319"/>
      <c r="AQ357" s="319"/>
      <c r="AR357" s="319"/>
      <c r="AS357" s="319"/>
      <c r="AT357" s="319"/>
      <c r="AU357" s="319"/>
      <c r="AV357" s="319"/>
      <c r="AW357" s="319"/>
      <c r="AX357" s="319"/>
      <c r="AY357" s="319"/>
      <c r="AZ357" s="319"/>
      <c r="BA357" s="319"/>
      <c r="BB357" s="319"/>
      <c r="BC357" s="319"/>
      <c r="BD357" s="319"/>
      <c r="BE357" s="319"/>
      <c r="BF357" s="319"/>
      <c r="BG357" s="319"/>
      <c r="BH357" s="319"/>
      <c r="BI357" s="319"/>
      <c r="BJ357" s="319"/>
      <c r="BK357" s="319"/>
      <c r="BL357" s="319"/>
      <c r="BM357" s="319"/>
      <c r="BN357" s="319"/>
      <c r="BO357" s="319"/>
      <c r="BP357" s="319"/>
      <c r="BQ357" s="319"/>
      <c r="BR357" s="319"/>
      <c r="BS357" s="319"/>
      <c r="BT357" s="319"/>
      <c r="BU357" s="319"/>
      <c r="BV357" s="319"/>
      <c r="BW357" s="319"/>
      <c r="BX357" s="319"/>
      <c r="BY357" s="319"/>
      <c r="BZ357" s="319"/>
      <c r="CA357" s="319"/>
      <c r="CB357" s="319"/>
      <c r="CC357" s="319"/>
      <c r="CD357" s="319"/>
      <c r="CE357" s="319"/>
      <c r="CF357" s="319"/>
      <c r="CG357" s="319"/>
      <c r="CH357" s="319"/>
      <c r="CI357" s="319"/>
      <c r="CJ357" s="319"/>
      <c r="CK357" s="319"/>
    </row>
    <row r="358" spans="1:89" ht="13.5" hidden="1" customHeight="1">
      <c r="A358" s="12"/>
      <c r="B358" s="1"/>
      <c r="C358" s="138">
        <v>1</v>
      </c>
      <c r="D358" s="427"/>
      <c r="E358" s="113"/>
      <c r="F358" s="1"/>
      <c r="G358" s="1"/>
      <c r="H358" s="1"/>
      <c r="I358" s="1"/>
      <c r="J358" s="1"/>
      <c r="K358" s="9"/>
      <c r="L358" s="1"/>
      <c r="M358" s="319"/>
      <c r="N358" s="319">
        <v>2103000</v>
      </c>
      <c r="O358" s="319"/>
      <c r="P358" s="319"/>
      <c r="Q358" s="319"/>
      <c r="R358" s="319"/>
      <c r="S358" s="319"/>
      <c r="T358" s="319"/>
      <c r="U358" s="319"/>
      <c r="V358" s="319"/>
      <c r="W358" s="319"/>
      <c r="X358" s="319"/>
      <c r="Y358" s="319"/>
      <c r="Z358" s="319"/>
      <c r="AA358" s="319"/>
      <c r="AB358" s="319"/>
      <c r="AC358" s="319"/>
      <c r="AD358" s="319"/>
      <c r="AE358" s="319"/>
      <c r="AF358" s="319"/>
      <c r="AG358" s="319"/>
      <c r="AH358" s="319"/>
      <c r="AI358" s="319"/>
      <c r="AJ358" s="319"/>
      <c r="AK358" s="319"/>
      <c r="AL358" s="319"/>
      <c r="AM358" s="319"/>
      <c r="AN358" s="319"/>
      <c r="AO358" s="319"/>
      <c r="AP358" s="319"/>
      <c r="AQ358" s="319"/>
      <c r="AR358" s="319"/>
      <c r="AS358" s="319"/>
      <c r="AT358" s="319"/>
      <c r="AU358" s="319"/>
      <c r="AV358" s="319"/>
      <c r="AW358" s="319"/>
      <c r="AX358" s="319"/>
      <c r="AY358" s="319"/>
      <c r="AZ358" s="319"/>
      <c r="BA358" s="319"/>
      <c r="BB358" s="319"/>
      <c r="BC358" s="319"/>
      <c r="BD358" s="319"/>
      <c r="BE358" s="319"/>
      <c r="BF358" s="319"/>
      <c r="BG358" s="319"/>
      <c r="BH358" s="319"/>
      <c r="BI358" s="319"/>
      <c r="BJ358" s="319"/>
      <c r="BK358" s="319"/>
      <c r="BL358" s="319"/>
      <c r="BM358" s="319"/>
      <c r="BN358" s="319"/>
      <c r="BO358" s="319"/>
      <c r="BP358" s="319"/>
      <c r="BQ358" s="319"/>
      <c r="BR358" s="319"/>
      <c r="BS358" s="319"/>
      <c r="BT358" s="319"/>
      <c r="BU358" s="319"/>
      <c r="BV358" s="319"/>
      <c r="BW358" s="319"/>
      <c r="BX358" s="319"/>
      <c r="BY358" s="319"/>
      <c r="BZ358" s="319"/>
      <c r="CA358" s="319"/>
      <c r="CB358" s="319"/>
      <c r="CC358" s="319"/>
      <c r="CD358" s="319"/>
      <c r="CE358" s="319"/>
      <c r="CF358" s="319"/>
      <c r="CG358" s="319"/>
      <c r="CH358" s="319"/>
      <c r="CI358" s="319"/>
      <c r="CJ358" s="319"/>
      <c r="CK358" s="319"/>
    </row>
    <row r="359" spans="1:89" ht="13.5" hidden="1" customHeight="1">
      <c r="A359" s="12"/>
      <c r="B359" s="1"/>
      <c r="C359" s="107">
        <v>2</v>
      </c>
      <c r="D359" s="427"/>
      <c r="E359" s="108"/>
      <c r="F359" s="1"/>
      <c r="G359" s="1"/>
      <c r="H359" s="1"/>
      <c r="I359" s="1"/>
      <c r="J359" s="1"/>
      <c r="K359" s="9"/>
      <c r="L359" s="1"/>
      <c r="M359" s="319"/>
      <c r="N359" s="319">
        <v>2103000</v>
      </c>
      <c r="O359" s="319"/>
      <c r="P359" s="319"/>
      <c r="Q359" s="319"/>
      <c r="R359" s="319"/>
      <c r="S359" s="319"/>
      <c r="T359" s="319"/>
      <c r="U359" s="319"/>
      <c r="V359" s="319"/>
      <c r="W359" s="319"/>
      <c r="X359" s="319"/>
      <c r="Y359" s="319"/>
      <c r="Z359" s="319"/>
      <c r="AA359" s="319"/>
      <c r="AB359" s="319"/>
      <c r="AC359" s="319"/>
      <c r="AD359" s="319"/>
      <c r="AE359" s="319"/>
      <c r="AF359" s="319"/>
      <c r="AG359" s="319"/>
      <c r="AH359" s="319"/>
      <c r="AI359" s="319"/>
      <c r="AJ359" s="319"/>
      <c r="AK359" s="319"/>
      <c r="AL359" s="319"/>
      <c r="AM359" s="319"/>
      <c r="AN359" s="319"/>
      <c r="AO359" s="319"/>
      <c r="AP359" s="319"/>
      <c r="AQ359" s="319"/>
      <c r="AR359" s="319"/>
      <c r="AS359" s="319"/>
      <c r="AT359" s="319"/>
      <c r="AU359" s="319"/>
      <c r="AV359" s="319"/>
      <c r="AW359" s="319"/>
      <c r="AX359" s="319"/>
      <c r="AY359" s="319"/>
      <c r="AZ359" s="319"/>
      <c r="BA359" s="319"/>
      <c r="BB359" s="319"/>
      <c r="BC359" s="319"/>
      <c r="BD359" s="319"/>
      <c r="BE359" s="319"/>
      <c r="BF359" s="319"/>
      <c r="BG359" s="319"/>
      <c r="BH359" s="319"/>
      <c r="BI359" s="319"/>
      <c r="BJ359" s="319"/>
      <c r="BK359" s="319"/>
      <c r="BL359" s="319"/>
      <c r="BM359" s="319"/>
      <c r="BN359" s="319"/>
      <c r="BO359" s="319"/>
      <c r="BP359" s="319"/>
      <c r="BQ359" s="319"/>
      <c r="BR359" s="319"/>
      <c r="BS359" s="319"/>
      <c r="BT359" s="319"/>
      <c r="BU359" s="319"/>
      <c r="BV359" s="319"/>
      <c r="BW359" s="319"/>
      <c r="BX359" s="319"/>
      <c r="BY359" s="319"/>
      <c r="BZ359" s="319"/>
      <c r="CA359" s="319"/>
      <c r="CB359" s="319"/>
      <c r="CC359" s="319"/>
      <c r="CD359" s="319"/>
      <c r="CE359" s="319"/>
      <c r="CF359" s="319"/>
      <c r="CG359" s="319"/>
      <c r="CH359" s="319"/>
      <c r="CI359" s="319"/>
      <c r="CJ359" s="319"/>
      <c r="CK359" s="319"/>
    </row>
    <row r="360" spans="1:89" ht="13.5" hidden="1" customHeight="1">
      <c r="A360" s="12"/>
      <c r="B360" s="1"/>
      <c r="C360" s="138">
        <v>3</v>
      </c>
      <c r="D360" s="427"/>
      <c r="E360" s="961">
        <f>'Modelo Energético'!E272</f>
        <v>0</v>
      </c>
      <c r="F360" s="1"/>
      <c r="G360" s="1"/>
      <c r="H360" s="1"/>
      <c r="I360" s="1"/>
      <c r="J360" s="1"/>
      <c r="K360" s="9"/>
      <c r="L360" s="1"/>
      <c r="M360" s="319"/>
      <c r="N360" s="319">
        <v>2103000</v>
      </c>
      <c r="O360" s="319"/>
      <c r="P360" s="319"/>
      <c r="Q360" s="319"/>
      <c r="R360" s="319"/>
      <c r="S360" s="319"/>
      <c r="T360" s="319"/>
      <c r="U360" s="319"/>
      <c r="V360" s="319"/>
      <c r="W360" s="319"/>
      <c r="X360" s="319"/>
      <c r="Y360" s="319"/>
      <c r="Z360" s="319"/>
      <c r="AA360" s="319"/>
      <c r="AB360" s="319"/>
      <c r="AC360" s="319"/>
      <c r="AD360" s="319"/>
      <c r="AE360" s="319"/>
      <c r="AF360" s="319"/>
      <c r="AG360" s="319"/>
      <c r="AH360" s="319"/>
      <c r="AI360" s="319"/>
      <c r="AJ360" s="319"/>
      <c r="AK360" s="319"/>
      <c r="AL360" s="319"/>
      <c r="AM360" s="319"/>
      <c r="AN360" s="319"/>
      <c r="AO360" s="319"/>
      <c r="AP360" s="319"/>
      <c r="AQ360" s="319"/>
      <c r="AR360" s="319"/>
      <c r="AS360" s="319"/>
      <c r="AT360" s="319"/>
      <c r="AU360" s="319"/>
      <c r="AV360" s="319"/>
      <c r="AW360" s="319"/>
      <c r="AX360" s="319"/>
      <c r="AY360" s="319"/>
      <c r="AZ360" s="319"/>
      <c r="BA360" s="319"/>
      <c r="BB360" s="319"/>
      <c r="BC360" s="319"/>
      <c r="BD360" s="319"/>
      <c r="BE360" s="319"/>
      <c r="BF360" s="319"/>
      <c r="BG360" s="319"/>
      <c r="BH360" s="319"/>
      <c r="BI360" s="319"/>
      <c r="BJ360" s="319"/>
      <c r="BK360" s="319"/>
      <c r="BL360" s="319"/>
      <c r="BM360" s="319"/>
      <c r="BN360" s="319"/>
      <c r="BO360" s="319"/>
      <c r="BP360" s="319"/>
      <c r="BQ360" s="319"/>
      <c r="BR360" s="319"/>
      <c r="BS360" s="319"/>
      <c r="BT360" s="319"/>
      <c r="BU360" s="319"/>
      <c r="BV360" s="319"/>
      <c r="BW360" s="319"/>
      <c r="BX360" s="319"/>
      <c r="BY360" s="319"/>
      <c r="BZ360" s="319"/>
      <c r="CA360" s="319"/>
      <c r="CB360" s="319"/>
      <c r="CC360" s="319"/>
      <c r="CD360" s="319"/>
      <c r="CE360" s="319"/>
      <c r="CF360" s="319"/>
      <c r="CG360" s="319"/>
      <c r="CH360" s="319"/>
      <c r="CI360" s="319"/>
      <c r="CJ360" s="319"/>
      <c r="CK360" s="319"/>
    </row>
    <row r="361" spans="1:89" ht="13.5" hidden="1" customHeight="1">
      <c r="A361" s="12"/>
      <c r="B361" s="1"/>
      <c r="C361" s="138">
        <v>4</v>
      </c>
      <c r="D361" s="427"/>
      <c r="E361" s="961">
        <f>'Modelo Energético'!E273</f>
        <v>0</v>
      </c>
      <c r="F361" s="1"/>
      <c r="G361" s="1"/>
      <c r="H361" s="1"/>
      <c r="I361" s="1"/>
      <c r="J361" s="1"/>
      <c r="K361" s="9"/>
      <c r="L361" s="1"/>
      <c r="M361" s="319"/>
      <c r="N361" s="319">
        <v>2103000</v>
      </c>
      <c r="O361" s="319"/>
      <c r="P361" s="319"/>
      <c r="Q361" s="319"/>
      <c r="R361" s="319"/>
      <c r="S361" s="319"/>
      <c r="T361" s="319"/>
      <c r="U361" s="319"/>
      <c r="V361" s="319"/>
      <c r="W361" s="319"/>
      <c r="X361" s="319"/>
      <c r="Y361" s="319"/>
      <c r="Z361" s="319"/>
      <c r="AA361" s="319"/>
      <c r="AB361" s="319"/>
      <c r="AC361" s="319"/>
      <c r="AD361" s="319"/>
      <c r="AE361" s="319"/>
      <c r="AF361" s="319"/>
      <c r="AG361" s="319"/>
      <c r="AH361" s="319"/>
      <c r="AI361" s="319"/>
      <c r="AJ361" s="319"/>
      <c r="AK361" s="319"/>
      <c r="AL361" s="319"/>
      <c r="AM361" s="319"/>
      <c r="AN361" s="319"/>
      <c r="AO361" s="319"/>
      <c r="AP361" s="319"/>
      <c r="AQ361" s="319"/>
      <c r="AR361" s="319"/>
      <c r="AS361" s="319"/>
      <c r="AT361" s="319"/>
      <c r="AU361" s="319"/>
      <c r="AV361" s="319"/>
      <c r="AW361" s="319"/>
      <c r="AX361" s="319"/>
      <c r="AY361" s="319"/>
      <c r="AZ361" s="319"/>
      <c r="BA361" s="319"/>
      <c r="BB361" s="319"/>
      <c r="BC361" s="319"/>
      <c r="BD361" s="319"/>
      <c r="BE361" s="319"/>
      <c r="BF361" s="319"/>
      <c r="BG361" s="319"/>
      <c r="BH361" s="319"/>
      <c r="BI361" s="319"/>
      <c r="BJ361" s="319"/>
      <c r="BK361" s="319"/>
      <c r="BL361" s="319"/>
      <c r="BM361" s="319"/>
      <c r="BN361" s="319"/>
      <c r="BO361" s="319"/>
      <c r="BP361" s="319"/>
      <c r="BQ361" s="319"/>
      <c r="BR361" s="319"/>
      <c r="BS361" s="319"/>
      <c r="BT361" s="319"/>
      <c r="BU361" s="319"/>
      <c r="BV361" s="319"/>
      <c r="BW361" s="319"/>
      <c r="BX361" s="319"/>
      <c r="BY361" s="319"/>
      <c r="BZ361" s="319"/>
      <c r="CA361" s="319"/>
      <c r="CB361" s="319"/>
      <c r="CC361" s="319"/>
      <c r="CD361" s="319"/>
      <c r="CE361" s="319"/>
      <c r="CF361" s="319"/>
      <c r="CG361" s="319"/>
      <c r="CH361" s="319"/>
      <c r="CI361" s="319"/>
      <c r="CJ361" s="319"/>
      <c r="CK361" s="319"/>
    </row>
    <row r="362" spans="1:89" ht="13.5" hidden="1" customHeight="1">
      <c r="A362" s="12"/>
      <c r="B362" s="1"/>
      <c r="C362" s="138">
        <v>5</v>
      </c>
      <c r="D362" s="427"/>
      <c r="E362" s="961">
        <f>'Modelo Energético'!E274</f>
        <v>0</v>
      </c>
      <c r="F362" s="1"/>
      <c r="G362" s="1"/>
      <c r="H362" s="1"/>
      <c r="I362" s="1"/>
      <c r="J362" s="1"/>
      <c r="K362" s="9"/>
      <c r="L362" s="1"/>
      <c r="M362" s="319"/>
      <c r="N362" s="319">
        <v>2103000</v>
      </c>
      <c r="O362" s="319"/>
      <c r="P362" s="319"/>
      <c r="Q362" s="319"/>
      <c r="R362" s="319"/>
      <c r="S362" s="319"/>
      <c r="T362" s="319"/>
      <c r="U362" s="319"/>
      <c r="V362" s="319"/>
      <c r="W362" s="319"/>
      <c r="X362" s="319"/>
      <c r="Y362" s="319"/>
      <c r="Z362" s="319"/>
      <c r="AA362" s="319"/>
      <c r="AB362" s="319"/>
      <c r="AC362" s="319"/>
      <c r="AD362" s="319"/>
      <c r="AE362" s="319"/>
      <c r="AF362" s="319"/>
      <c r="AG362" s="319"/>
      <c r="AH362" s="319"/>
      <c r="AI362" s="319"/>
      <c r="AJ362" s="319"/>
      <c r="AK362" s="319"/>
      <c r="AL362" s="319"/>
      <c r="AM362" s="319"/>
      <c r="AN362" s="319"/>
      <c r="AO362" s="319"/>
      <c r="AP362" s="319"/>
      <c r="AQ362" s="319"/>
      <c r="AR362" s="319"/>
      <c r="AS362" s="319"/>
      <c r="AT362" s="319"/>
      <c r="AU362" s="319"/>
      <c r="AV362" s="319"/>
      <c r="AW362" s="319"/>
      <c r="AX362" s="319"/>
      <c r="AY362" s="319"/>
      <c r="AZ362" s="319"/>
      <c r="BA362" s="319"/>
      <c r="BB362" s="319"/>
      <c r="BC362" s="319"/>
      <c r="BD362" s="319"/>
      <c r="BE362" s="319"/>
      <c r="BF362" s="319"/>
      <c r="BG362" s="319"/>
      <c r="BH362" s="319"/>
      <c r="BI362" s="319"/>
      <c r="BJ362" s="319"/>
      <c r="BK362" s="319"/>
      <c r="BL362" s="319"/>
      <c r="BM362" s="319"/>
      <c r="BN362" s="319"/>
      <c r="BO362" s="319"/>
      <c r="BP362" s="319"/>
      <c r="BQ362" s="319"/>
      <c r="BR362" s="319"/>
      <c r="BS362" s="319"/>
      <c r="BT362" s="319"/>
      <c r="BU362" s="319"/>
      <c r="BV362" s="319"/>
      <c r="BW362" s="319"/>
      <c r="BX362" s="319"/>
      <c r="BY362" s="319"/>
      <c r="BZ362" s="319"/>
      <c r="CA362" s="319"/>
      <c r="CB362" s="319"/>
      <c r="CC362" s="319"/>
      <c r="CD362" s="319"/>
      <c r="CE362" s="319"/>
      <c r="CF362" s="319"/>
      <c r="CG362" s="319"/>
      <c r="CH362" s="319"/>
      <c r="CI362" s="319"/>
      <c r="CJ362" s="319"/>
      <c r="CK362" s="319"/>
    </row>
    <row r="363" spans="1:89" ht="13.5" hidden="1" customHeight="1">
      <c r="A363" s="12"/>
      <c r="B363" s="1"/>
      <c r="C363" s="107">
        <v>6</v>
      </c>
      <c r="D363" s="427"/>
      <c r="E363" s="261">
        <f>'Modelo Energético'!E275</f>
        <v>0</v>
      </c>
      <c r="F363" s="1"/>
      <c r="G363" s="1"/>
      <c r="H363" s="1"/>
      <c r="I363" s="1"/>
      <c r="J363" s="1"/>
      <c r="K363" s="9"/>
      <c r="L363" s="1"/>
      <c r="M363" s="319"/>
      <c r="N363" s="319">
        <v>2103000</v>
      </c>
      <c r="O363" s="319"/>
      <c r="P363" s="319"/>
      <c r="Q363" s="319"/>
      <c r="R363" s="319"/>
      <c r="S363" s="319"/>
      <c r="T363" s="319"/>
      <c r="U363" s="319"/>
      <c r="V363" s="319"/>
      <c r="W363" s="319"/>
      <c r="X363" s="319"/>
      <c r="Y363" s="319"/>
      <c r="Z363" s="319"/>
      <c r="AA363" s="319"/>
      <c r="AB363" s="319"/>
      <c r="AC363" s="319"/>
      <c r="AD363" s="319"/>
      <c r="AE363" s="319"/>
      <c r="AF363" s="319"/>
      <c r="AG363" s="319"/>
      <c r="AH363" s="319"/>
      <c r="AI363" s="319"/>
      <c r="AJ363" s="319"/>
      <c r="AK363" s="319"/>
      <c r="AL363" s="319"/>
      <c r="AM363" s="319"/>
      <c r="AN363" s="319"/>
      <c r="AO363" s="319"/>
      <c r="AP363" s="319"/>
      <c r="AQ363" s="319"/>
      <c r="AR363" s="319"/>
      <c r="AS363" s="319"/>
      <c r="AT363" s="319"/>
      <c r="AU363" s="319"/>
      <c r="AV363" s="319"/>
      <c r="AW363" s="319"/>
      <c r="AX363" s="319"/>
      <c r="AY363" s="319"/>
      <c r="AZ363" s="319"/>
      <c r="BA363" s="319"/>
      <c r="BB363" s="319"/>
      <c r="BC363" s="319"/>
      <c r="BD363" s="319"/>
      <c r="BE363" s="319"/>
      <c r="BF363" s="319"/>
      <c r="BG363" s="319"/>
      <c r="BH363" s="319"/>
      <c r="BI363" s="319"/>
      <c r="BJ363" s="319"/>
      <c r="BK363" s="319"/>
      <c r="BL363" s="319"/>
      <c r="BM363" s="319"/>
      <c r="BN363" s="319"/>
      <c r="BO363" s="319"/>
      <c r="BP363" s="319"/>
      <c r="BQ363" s="319"/>
      <c r="BR363" s="319"/>
      <c r="BS363" s="319"/>
      <c r="BT363" s="319"/>
      <c r="BU363" s="319"/>
      <c r="BV363" s="319"/>
      <c r="BW363" s="319"/>
      <c r="BX363" s="319"/>
      <c r="BY363" s="319"/>
      <c r="BZ363" s="319"/>
      <c r="CA363" s="319"/>
      <c r="CB363" s="319"/>
      <c r="CC363" s="319"/>
      <c r="CD363" s="319"/>
      <c r="CE363" s="319"/>
      <c r="CF363" s="319"/>
      <c r="CG363" s="319"/>
      <c r="CH363" s="319"/>
      <c r="CI363" s="319"/>
      <c r="CJ363" s="319"/>
      <c r="CK363" s="319"/>
    </row>
    <row r="364" spans="1:89" ht="13.5" hidden="1" customHeight="1">
      <c r="A364" s="12"/>
      <c r="B364" s="1"/>
      <c r="C364" s="138">
        <v>7</v>
      </c>
      <c r="D364" s="427"/>
      <c r="E364" s="961">
        <f>'Modelo Energético'!E276</f>
        <v>0</v>
      </c>
      <c r="F364" s="1"/>
      <c r="G364" s="1"/>
      <c r="H364" s="1"/>
      <c r="I364" s="1"/>
      <c r="J364" s="1"/>
      <c r="K364" s="9"/>
      <c r="L364" s="1"/>
      <c r="M364" s="319"/>
      <c r="N364" s="319">
        <v>2103000</v>
      </c>
      <c r="O364" s="319"/>
      <c r="P364" s="319"/>
      <c r="Q364" s="319"/>
      <c r="R364" s="319"/>
      <c r="S364" s="319"/>
      <c r="T364" s="319"/>
      <c r="U364" s="319"/>
      <c r="V364" s="319"/>
      <c r="W364" s="319"/>
      <c r="X364" s="319"/>
      <c r="Y364" s="319"/>
      <c r="Z364" s="319"/>
      <c r="AA364" s="319"/>
      <c r="AB364" s="319"/>
      <c r="AC364" s="319"/>
      <c r="AD364" s="319"/>
      <c r="AE364" s="319"/>
      <c r="AF364" s="319"/>
      <c r="AG364" s="319"/>
      <c r="AH364" s="319"/>
      <c r="AI364" s="319"/>
      <c r="AJ364" s="319"/>
      <c r="AK364" s="319"/>
      <c r="AL364" s="319"/>
      <c r="AM364" s="319"/>
      <c r="AN364" s="319"/>
      <c r="AO364" s="319"/>
      <c r="AP364" s="319"/>
      <c r="AQ364" s="319"/>
      <c r="AR364" s="319"/>
      <c r="AS364" s="319"/>
      <c r="AT364" s="319"/>
      <c r="AU364" s="319"/>
      <c r="AV364" s="319"/>
      <c r="AW364" s="319"/>
      <c r="AX364" s="319"/>
      <c r="AY364" s="319"/>
      <c r="AZ364" s="319"/>
      <c r="BA364" s="319"/>
      <c r="BB364" s="319"/>
      <c r="BC364" s="319"/>
      <c r="BD364" s="319"/>
      <c r="BE364" s="319"/>
      <c r="BF364" s="319"/>
      <c r="BG364" s="319"/>
      <c r="BH364" s="319"/>
      <c r="BI364" s="319"/>
      <c r="BJ364" s="319"/>
      <c r="BK364" s="319"/>
      <c r="BL364" s="319"/>
      <c r="BM364" s="319"/>
      <c r="BN364" s="319"/>
      <c r="BO364" s="319"/>
      <c r="BP364" s="319"/>
      <c r="BQ364" s="319"/>
      <c r="BR364" s="319"/>
      <c r="BS364" s="319"/>
      <c r="BT364" s="319"/>
      <c r="BU364" s="319"/>
      <c r="BV364" s="319"/>
      <c r="BW364" s="319"/>
      <c r="BX364" s="319"/>
      <c r="BY364" s="319"/>
      <c r="BZ364" s="319"/>
      <c r="CA364" s="319"/>
      <c r="CB364" s="319"/>
      <c r="CC364" s="319"/>
      <c r="CD364" s="319"/>
      <c r="CE364" s="319"/>
      <c r="CF364" s="319"/>
      <c r="CG364" s="319"/>
      <c r="CH364" s="319"/>
      <c r="CI364" s="319"/>
      <c r="CJ364" s="319"/>
      <c r="CK364" s="319"/>
    </row>
    <row r="365" spans="1:89" ht="13.5" hidden="1" customHeight="1">
      <c r="A365" s="12"/>
      <c r="B365" s="1"/>
      <c r="C365" s="138">
        <v>8</v>
      </c>
      <c r="D365" s="427"/>
      <c r="E365" s="961">
        <f>'Modelo Energético'!E277</f>
        <v>0</v>
      </c>
      <c r="F365" s="1"/>
      <c r="G365" s="1"/>
      <c r="H365" s="1"/>
      <c r="I365" s="1"/>
      <c r="J365" s="1"/>
      <c r="K365" s="9"/>
      <c r="L365" s="1"/>
      <c r="M365" s="319"/>
      <c r="N365" s="319">
        <v>2103000</v>
      </c>
      <c r="O365" s="319"/>
      <c r="P365" s="319"/>
      <c r="Q365" s="319"/>
      <c r="R365" s="319"/>
      <c r="S365" s="319"/>
      <c r="T365" s="319"/>
      <c r="U365" s="319"/>
      <c r="V365" s="319"/>
      <c r="W365" s="319"/>
      <c r="X365" s="319"/>
      <c r="Y365" s="319"/>
      <c r="Z365" s="319"/>
      <c r="AA365" s="319"/>
      <c r="AB365" s="319"/>
      <c r="AC365" s="319"/>
      <c r="AD365" s="319"/>
      <c r="AE365" s="319"/>
      <c r="AF365" s="319"/>
      <c r="AG365" s="319"/>
      <c r="AH365" s="319"/>
      <c r="AI365" s="319"/>
      <c r="AJ365" s="319"/>
      <c r="AK365" s="319"/>
      <c r="AL365" s="319"/>
      <c r="AM365" s="319"/>
      <c r="AN365" s="319"/>
      <c r="AO365" s="319"/>
      <c r="AP365" s="319"/>
      <c r="AQ365" s="319"/>
      <c r="AR365" s="319"/>
      <c r="AS365" s="319"/>
      <c r="AT365" s="319"/>
      <c r="AU365" s="319"/>
      <c r="AV365" s="319"/>
      <c r="AW365" s="319"/>
      <c r="AX365" s="319"/>
      <c r="AY365" s="319"/>
      <c r="AZ365" s="319"/>
      <c r="BA365" s="319"/>
      <c r="BB365" s="319"/>
      <c r="BC365" s="319"/>
      <c r="BD365" s="319"/>
      <c r="BE365" s="319"/>
      <c r="BF365" s="319"/>
      <c r="BG365" s="319"/>
      <c r="BH365" s="319"/>
      <c r="BI365" s="319"/>
      <c r="BJ365" s="319"/>
      <c r="BK365" s="319"/>
      <c r="BL365" s="319"/>
      <c r="BM365" s="319"/>
      <c r="BN365" s="319"/>
      <c r="BO365" s="319"/>
      <c r="BP365" s="319"/>
      <c r="BQ365" s="319"/>
      <c r="BR365" s="319"/>
      <c r="BS365" s="319"/>
      <c r="BT365" s="319"/>
      <c r="BU365" s="319"/>
      <c r="BV365" s="319"/>
      <c r="BW365" s="319"/>
      <c r="BX365" s="319"/>
      <c r="BY365" s="319"/>
      <c r="BZ365" s="319"/>
      <c r="CA365" s="319"/>
      <c r="CB365" s="319"/>
      <c r="CC365" s="319"/>
      <c r="CD365" s="319"/>
      <c r="CE365" s="319"/>
      <c r="CF365" s="319"/>
      <c r="CG365" s="319"/>
      <c r="CH365" s="319"/>
      <c r="CI365" s="319"/>
      <c r="CJ365" s="319"/>
      <c r="CK365" s="319"/>
    </row>
    <row r="366" spans="1:89" ht="13.5" hidden="1" customHeight="1">
      <c r="A366" s="12"/>
      <c r="B366" s="1"/>
      <c r="C366" s="138">
        <v>9</v>
      </c>
      <c r="D366" s="427"/>
      <c r="E366" s="961">
        <f>'Modelo Energético'!E278</f>
        <v>0</v>
      </c>
      <c r="F366" s="1"/>
      <c r="G366" s="1"/>
      <c r="H366" s="1"/>
      <c r="I366" s="1"/>
      <c r="J366" s="1"/>
      <c r="K366" s="9"/>
      <c r="L366" s="1"/>
      <c r="M366" s="319"/>
      <c r="N366" s="319">
        <v>2103000</v>
      </c>
      <c r="O366" s="319"/>
      <c r="P366" s="319"/>
      <c r="Q366" s="319"/>
      <c r="R366" s="319"/>
      <c r="S366" s="319"/>
      <c r="T366" s="319"/>
      <c r="U366" s="319"/>
      <c r="V366" s="319"/>
      <c r="W366" s="319"/>
      <c r="X366" s="319"/>
      <c r="Y366" s="319"/>
      <c r="Z366" s="319"/>
      <c r="AA366" s="319"/>
      <c r="AB366" s="319"/>
      <c r="AC366" s="319"/>
      <c r="AD366" s="319"/>
      <c r="AE366" s="319"/>
      <c r="AF366" s="319"/>
      <c r="AG366" s="319"/>
      <c r="AH366" s="319"/>
      <c r="AI366" s="319"/>
      <c r="AJ366" s="319"/>
      <c r="AK366" s="319"/>
      <c r="AL366" s="319"/>
      <c r="AM366" s="319"/>
      <c r="AN366" s="319"/>
      <c r="AO366" s="319"/>
      <c r="AP366" s="319"/>
      <c r="AQ366" s="319"/>
      <c r="AR366" s="319"/>
      <c r="AS366" s="319"/>
      <c r="AT366" s="319"/>
      <c r="AU366" s="319"/>
      <c r="AV366" s="319"/>
      <c r="AW366" s="319"/>
      <c r="AX366" s="319"/>
      <c r="AY366" s="319"/>
      <c r="AZ366" s="319"/>
      <c r="BA366" s="319"/>
      <c r="BB366" s="319"/>
      <c r="BC366" s="319"/>
      <c r="BD366" s="319"/>
      <c r="BE366" s="319"/>
      <c r="BF366" s="319"/>
      <c r="BG366" s="319"/>
      <c r="BH366" s="319"/>
      <c r="BI366" s="319"/>
      <c r="BJ366" s="319"/>
      <c r="BK366" s="319"/>
      <c r="BL366" s="319"/>
      <c r="BM366" s="319"/>
      <c r="BN366" s="319"/>
      <c r="BO366" s="319"/>
      <c r="BP366" s="319"/>
      <c r="BQ366" s="319"/>
      <c r="BR366" s="319"/>
      <c r="BS366" s="319"/>
      <c r="BT366" s="319"/>
      <c r="BU366" s="319"/>
      <c r="BV366" s="319"/>
      <c r="BW366" s="319"/>
      <c r="BX366" s="319"/>
      <c r="BY366" s="319"/>
      <c r="BZ366" s="319"/>
      <c r="CA366" s="319"/>
      <c r="CB366" s="319"/>
      <c r="CC366" s="319"/>
      <c r="CD366" s="319"/>
      <c r="CE366" s="319"/>
      <c r="CF366" s="319"/>
      <c r="CG366" s="319"/>
      <c r="CH366" s="319"/>
      <c r="CI366" s="319"/>
      <c r="CJ366" s="319"/>
      <c r="CK366" s="319"/>
    </row>
    <row r="367" spans="1:89" ht="13.5" hidden="1" customHeight="1">
      <c r="A367" s="12"/>
      <c r="B367" s="1"/>
      <c r="C367" s="107">
        <v>10</v>
      </c>
      <c r="D367" s="427"/>
      <c r="E367" s="261">
        <f>'Modelo Energético'!E279</f>
        <v>0</v>
      </c>
      <c r="F367" s="1"/>
      <c r="G367" s="1"/>
      <c r="H367" s="1"/>
      <c r="I367" s="1"/>
      <c r="J367" s="1"/>
      <c r="K367" s="9"/>
      <c r="L367" s="1"/>
      <c r="M367" s="319"/>
      <c r="N367" s="319">
        <v>2103000</v>
      </c>
      <c r="O367" s="319"/>
      <c r="P367" s="319"/>
      <c r="Q367" s="319"/>
      <c r="R367" s="319"/>
      <c r="S367" s="319"/>
      <c r="T367" s="319"/>
      <c r="U367" s="319"/>
      <c r="V367" s="319"/>
      <c r="W367" s="319"/>
      <c r="X367" s="319"/>
      <c r="Y367" s="319"/>
      <c r="Z367" s="319"/>
      <c r="AA367" s="319"/>
      <c r="AB367" s="319"/>
      <c r="AC367" s="319"/>
      <c r="AD367" s="319"/>
      <c r="AE367" s="319"/>
      <c r="AF367" s="319"/>
      <c r="AG367" s="319"/>
      <c r="AH367" s="319"/>
      <c r="AI367" s="319"/>
      <c r="AJ367" s="319"/>
      <c r="AK367" s="319"/>
      <c r="AL367" s="319"/>
      <c r="AM367" s="319"/>
      <c r="AN367" s="319"/>
      <c r="AO367" s="319"/>
      <c r="AP367" s="319"/>
      <c r="AQ367" s="319"/>
      <c r="AR367" s="319"/>
      <c r="AS367" s="319"/>
      <c r="AT367" s="319"/>
      <c r="AU367" s="319"/>
      <c r="AV367" s="319"/>
      <c r="AW367" s="319"/>
      <c r="AX367" s="319"/>
      <c r="AY367" s="319"/>
      <c r="AZ367" s="319"/>
      <c r="BA367" s="319"/>
      <c r="BB367" s="319"/>
      <c r="BC367" s="319"/>
      <c r="BD367" s="319"/>
      <c r="BE367" s="319"/>
      <c r="BF367" s="319"/>
      <c r="BG367" s="319"/>
      <c r="BH367" s="319"/>
      <c r="BI367" s="319"/>
      <c r="BJ367" s="319"/>
      <c r="BK367" s="319"/>
      <c r="BL367" s="319"/>
      <c r="BM367" s="319"/>
      <c r="BN367" s="319"/>
      <c r="BO367" s="319"/>
      <c r="BP367" s="319"/>
      <c r="BQ367" s="319"/>
      <c r="BR367" s="319"/>
      <c r="BS367" s="319"/>
      <c r="BT367" s="319"/>
      <c r="BU367" s="319"/>
      <c r="BV367" s="319"/>
      <c r="BW367" s="319"/>
      <c r="BX367" s="319"/>
      <c r="BY367" s="319"/>
      <c r="BZ367" s="319"/>
      <c r="CA367" s="319"/>
      <c r="CB367" s="319"/>
      <c r="CC367" s="319"/>
      <c r="CD367" s="319"/>
      <c r="CE367" s="319"/>
      <c r="CF367" s="319"/>
      <c r="CG367" s="319"/>
      <c r="CH367" s="319"/>
      <c r="CI367" s="319"/>
      <c r="CJ367" s="319"/>
      <c r="CK367" s="319"/>
    </row>
    <row r="368" spans="1:89" ht="13.5" hidden="1" customHeight="1">
      <c r="A368" s="12"/>
      <c r="B368" s="1"/>
      <c r="C368" s="138">
        <v>11</v>
      </c>
      <c r="D368" s="427"/>
      <c r="E368" s="961">
        <f>'Modelo Energético'!E280</f>
        <v>0</v>
      </c>
      <c r="F368" s="1"/>
      <c r="G368" s="1"/>
      <c r="H368" s="1"/>
      <c r="I368" s="1"/>
      <c r="J368" s="1"/>
      <c r="K368" s="9"/>
      <c r="L368" s="1"/>
      <c r="M368" s="319"/>
      <c r="N368" s="319">
        <v>2103000</v>
      </c>
      <c r="O368" s="319"/>
      <c r="P368" s="319"/>
      <c r="Q368" s="319"/>
      <c r="R368" s="319"/>
      <c r="S368" s="319"/>
      <c r="T368" s="319"/>
      <c r="U368" s="319"/>
      <c r="V368" s="319"/>
      <c r="W368" s="319"/>
      <c r="X368" s="319"/>
      <c r="Y368" s="319"/>
      <c r="Z368" s="319"/>
      <c r="AA368" s="319"/>
      <c r="AB368" s="319"/>
      <c r="AC368" s="319"/>
      <c r="AD368" s="319"/>
      <c r="AE368" s="319"/>
      <c r="AF368" s="319"/>
      <c r="AG368" s="319"/>
      <c r="AH368" s="319"/>
      <c r="AI368" s="319"/>
      <c r="AJ368" s="319"/>
      <c r="AK368" s="319"/>
      <c r="AL368" s="319"/>
      <c r="AM368" s="319"/>
      <c r="AN368" s="319"/>
      <c r="AO368" s="319"/>
      <c r="AP368" s="319"/>
      <c r="AQ368" s="319"/>
      <c r="AR368" s="319"/>
      <c r="AS368" s="319"/>
      <c r="AT368" s="319"/>
      <c r="AU368" s="319"/>
      <c r="AV368" s="319"/>
      <c r="AW368" s="319"/>
      <c r="AX368" s="319"/>
      <c r="AY368" s="319"/>
      <c r="AZ368" s="319"/>
      <c r="BA368" s="319"/>
      <c r="BB368" s="319"/>
      <c r="BC368" s="319"/>
      <c r="BD368" s="319"/>
      <c r="BE368" s="319"/>
      <c r="BF368" s="319"/>
      <c r="BG368" s="319"/>
      <c r="BH368" s="319"/>
      <c r="BI368" s="319"/>
      <c r="BJ368" s="319"/>
      <c r="BK368" s="319"/>
      <c r="BL368" s="319"/>
      <c r="BM368" s="319"/>
      <c r="BN368" s="319"/>
      <c r="BO368" s="319"/>
      <c r="BP368" s="319"/>
      <c r="BQ368" s="319"/>
      <c r="BR368" s="319"/>
      <c r="BS368" s="319"/>
      <c r="BT368" s="319"/>
      <c r="BU368" s="319"/>
      <c r="BV368" s="319"/>
      <c r="BW368" s="319"/>
      <c r="BX368" s="319"/>
      <c r="BY368" s="319"/>
      <c r="BZ368" s="319"/>
      <c r="CA368" s="319"/>
      <c r="CB368" s="319"/>
      <c r="CC368" s="319"/>
      <c r="CD368" s="319"/>
      <c r="CE368" s="319"/>
      <c r="CF368" s="319"/>
      <c r="CG368" s="319"/>
      <c r="CH368" s="319"/>
      <c r="CI368" s="319"/>
      <c r="CJ368" s="319"/>
      <c r="CK368" s="319"/>
    </row>
    <row r="369" spans="1:89" ht="13.5" hidden="1" customHeight="1">
      <c r="A369" s="12"/>
      <c r="B369" s="1"/>
      <c r="C369" s="138">
        <v>12</v>
      </c>
      <c r="D369" s="427"/>
      <c r="E369" s="961">
        <f>'Modelo Energético'!E281</f>
        <v>0</v>
      </c>
      <c r="F369" s="1"/>
      <c r="G369" s="1"/>
      <c r="H369" s="1"/>
      <c r="I369" s="1"/>
      <c r="J369" s="1"/>
      <c r="K369" s="9"/>
      <c r="L369" s="1"/>
      <c r="M369" s="319"/>
      <c r="N369" s="319">
        <v>2103000</v>
      </c>
      <c r="O369" s="319"/>
      <c r="P369" s="319"/>
      <c r="Q369" s="319"/>
      <c r="R369" s="319"/>
      <c r="S369" s="319"/>
      <c r="T369" s="319"/>
      <c r="U369" s="319"/>
      <c r="V369" s="319"/>
      <c r="W369" s="319"/>
      <c r="X369" s="319"/>
      <c r="Y369" s="319"/>
      <c r="Z369" s="319"/>
      <c r="AA369" s="319"/>
      <c r="AB369" s="319"/>
      <c r="AC369" s="319"/>
      <c r="AD369" s="319"/>
      <c r="AE369" s="319"/>
      <c r="AF369" s="319"/>
      <c r="AG369" s="319"/>
      <c r="AH369" s="319"/>
      <c r="AI369" s="319"/>
      <c r="AJ369" s="319"/>
      <c r="AK369" s="319"/>
      <c r="AL369" s="319"/>
      <c r="AM369" s="319"/>
      <c r="AN369" s="319"/>
      <c r="AO369" s="319"/>
      <c r="AP369" s="319"/>
      <c r="AQ369" s="319"/>
      <c r="AR369" s="319"/>
      <c r="AS369" s="319"/>
      <c r="AT369" s="319"/>
      <c r="AU369" s="319"/>
      <c r="AV369" s="319"/>
      <c r="AW369" s="319"/>
      <c r="AX369" s="319"/>
      <c r="AY369" s="319"/>
      <c r="AZ369" s="319"/>
      <c r="BA369" s="319"/>
      <c r="BB369" s="319"/>
      <c r="BC369" s="319"/>
      <c r="BD369" s="319"/>
      <c r="BE369" s="319"/>
      <c r="BF369" s="319"/>
      <c r="BG369" s="319"/>
      <c r="BH369" s="319"/>
      <c r="BI369" s="319"/>
      <c r="BJ369" s="319"/>
      <c r="BK369" s="319"/>
      <c r="BL369" s="319"/>
      <c r="BM369" s="319"/>
      <c r="BN369" s="319"/>
      <c r="BO369" s="319"/>
      <c r="BP369" s="319"/>
      <c r="BQ369" s="319"/>
      <c r="BR369" s="319"/>
      <c r="BS369" s="319"/>
      <c r="BT369" s="319"/>
      <c r="BU369" s="319"/>
      <c r="BV369" s="319"/>
      <c r="BW369" s="319"/>
      <c r="BX369" s="319"/>
      <c r="BY369" s="319"/>
      <c r="BZ369" s="319"/>
      <c r="CA369" s="319"/>
      <c r="CB369" s="319"/>
      <c r="CC369" s="319"/>
      <c r="CD369" s="319"/>
      <c r="CE369" s="319"/>
      <c r="CF369" s="319"/>
      <c r="CG369" s="319"/>
      <c r="CH369" s="319"/>
      <c r="CI369" s="319"/>
      <c r="CJ369" s="319"/>
      <c r="CK369" s="319"/>
    </row>
    <row r="370" spans="1:89" ht="13.5" hidden="1" customHeight="1">
      <c r="A370" s="12"/>
      <c r="B370" s="1"/>
      <c r="C370" s="138">
        <v>13</v>
      </c>
      <c r="D370" s="427"/>
      <c r="E370" s="961">
        <f>'Modelo Energético'!E282</f>
        <v>0</v>
      </c>
      <c r="F370" s="1"/>
      <c r="G370" s="1"/>
      <c r="H370" s="1"/>
      <c r="I370" s="1"/>
      <c r="J370" s="1"/>
      <c r="K370" s="9"/>
      <c r="L370" s="1"/>
      <c r="M370" s="319"/>
      <c r="N370" s="319">
        <v>2103000</v>
      </c>
      <c r="O370" s="319"/>
      <c r="P370" s="319"/>
      <c r="Q370" s="319"/>
      <c r="R370" s="319"/>
      <c r="S370" s="319"/>
      <c r="T370" s="319"/>
      <c r="U370" s="319"/>
      <c r="V370" s="319"/>
      <c r="W370" s="319"/>
      <c r="X370" s="319"/>
      <c r="Y370" s="319"/>
      <c r="Z370" s="319"/>
      <c r="AA370" s="319"/>
      <c r="AB370" s="319"/>
      <c r="AC370" s="319"/>
      <c r="AD370" s="319"/>
      <c r="AE370" s="319"/>
      <c r="AF370" s="319"/>
      <c r="AG370" s="319"/>
      <c r="AH370" s="319"/>
      <c r="AI370" s="319"/>
      <c r="AJ370" s="319"/>
      <c r="AK370" s="319"/>
      <c r="AL370" s="319"/>
      <c r="AM370" s="319"/>
      <c r="AN370" s="319"/>
      <c r="AO370" s="319"/>
      <c r="AP370" s="319"/>
      <c r="AQ370" s="319"/>
      <c r="AR370" s="319"/>
      <c r="AS370" s="319"/>
      <c r="AT370" s="319"/>
      <c r="AU370" s="319"/>
      <c r="AV370" s="319"/>
      <c r="AW370" s="319"/>
      <c r="AX370" s="319"/>
      <c r="AY370" s="319"/>
      <c r="AZ370" s="319"/>
      <c r="BA370" s="319"/>
      <c r="BB370" s="319"/>
      <c r="BC370" s="319"/>
      <c r="BD370" s="319"/>
      <c r="BE370" s="319"/>
      <c r="BF370" s="319"/>
      <c r="BG370" s="319"/>
      <c r="BH370" s="319"/>
      <c r="BI370" s="319"/>
      <c r="BJ370" s="319"/>
      <c r="BK370" s="319"/>
      <c r="BL370" s="319"/>
      <c r="BM370" s="319"/>
      <c r="BN370" s="319"/>
      <c r="BO370" s="319"/>
      <c r="BP370" s="319"/>
      <c r="BQ370" s="319"/>
      <c r="BR370" s="319"/>
      <c r="BS370" s="319"/>
      <c r="BT370" s="319"/>
      <c r="BU370" s="319"/>
      <c r="BV370" s="319"/>
      <c r="BW370" s="319"/>
      <c r="BX370" s="319"/>
      <c r="BY370" s="319"/>
      <c r="BZ370" s="319"/>
      <c r="CA370" s="319"/>
      <c r="CB370" s="319"/>
      <c r="CC370" s="319"/>
      <c r="CD370" s="319"/>
      <c r="CE370" s="319"/>
      <c r="CF370" s="319"/>
      <c r="CG370" s="319"/>
      <c r="CH370" s="319"/>
      <c r="CI370" s="319"/>
      <c r="CJ370" s="319"/>
      <c r="CK370" s="319"/>
    </row>
    <row r="371" spans="1:89" ht="13.5" hidden="1" customHeight="1">
      <c r="A371" s="12"/>
      <c r="B371" s="1"/>
      <c r="C371" s="107">
        <v>14</v>
      </c>
      <c r="D371" s="427"/>
      <c r="E371" s="261">
        <f>'Modelo Energético'!E283</f>
        <v>0</v>
      </c>
      <c r="F371" s="1"/>
      <c r="G371" s="1"/>
      <c r="H371" s="1"/>
      <c r="I371" s="1"/>
      <c r="J371" s="1"/>
      <c r="K371" s="9"/>
      <c r="L371" s="1"/>
      <c r="M371" s="319"/>
      <c r="N371" s="319">
        <v>2103000</v>
      </c>
      <c r="O371" s="319"/>
      <c r="P371" s="319"/>
      <c r="Q371" s="319"/>
      <c r="R371" s="319"/>
      <c r="S371" s="319"/>
      <c r="T371" s="319"/>
      <c r="U371" s="319"/>
      <c r="V371" s="319"/>
      <c r="W371" s="319"/>
      <c r="X371" s="319"/>
      <c r="Y371" s="319"/>
      <c r="Z371" s="319"/>
      <c r="AA371" s="319"/>
      <c r="AB371" s="319"/>
      <c r="AC371" s="319"/>
      <c r="AD371" s="319"/>
      <c r="AE371" s="319"/>
      <c r="AF371" s="319"/>
      <c r="AG371" s="319"/>
      <c r="AH371" s="319"/>
      <c r="AI371" s="319"/>
      <c r="AJ371" s="319"/>
      <c r="AK371" s="319"/>
      <c r="AL371" s="319"/>
      <c r="AM371" s="319"/>
      <c r="AN371" s="319"/>
      <c r="AO371" s="319"/>
      <c r="AP371" s="319"/>
      <c r="AQ371" s="319"/>
      <c r="AR371" s="319"/>
      <c r="AS371" s="319"/>
      <c r="AT371" s="319"/>
      <c r="AU371" s="319"/>
      <c r="AV371" s="319"/>
      <c r="AW371" s="319"/>
      <c r="AX371" s="319"/>
      <c r="AY371" s="319"/>
      <c r="AZ371" s="319"/>
      <c r="BA371" s="319"/>
      <c r="BB371" s="319"/>
      <c r="BC371" s="319"/>
      <c r="BD371" s="319"/>
      <c r="BE371" s="319"/>
      <c r="BF371" s="319"/>
      <c r="BG371" s="319"/>
      <c r="BH371" s="319"/>
      <c r="BI371" s="319"/>
      <c r="BJ371" s="319"/>
      <c r="BK371" s="319"/>
      <c r="BL371" s="319"/>
      <c r="BM371" s="319"/>
      <c r="BN371" s="319"/>
      <c r="BO371" s="319"/>
      <c r="BP371" s="319"/>
      <c r="BQ371" s="319"/>
      <c r="BR371" s="319"/>
      <c r="BS371" s="319"/>
      <c r="BT371" s="319"/>
      <c r="BU371" s="319"/>
      <c r="BV371" s="319"/>
      <c r="BW371" s="319"/>
      <c r="BX371" s="319"/>
      <c r="BY371" s="319"/>
      <c r="BZ371" s="319"/>
      <c r="CA371" s="319"/>
      <c r="CB371" s="319"/>
      <c r="CC371" s="319"/>
      <c r="CD371" s="319"/>
      <c r="CE371" s="319"/>
      <c r="CF371" s="319"/>
      <c r="CG371" s="319"/>
      <c r="CH371" s="319"/>
      <c r="CI371" s="319"/>
      <c r="CJ371" s="319"/>
      <c r="CK371" s="319"/>
    </row>
    <row r="372" spans="1:89" ht="13.5" hidden="1" customHeight="1">
      <c r="A372" s="12"/>
      <c r="B372" s="1"/>
      <c r="C372" s="138">
        <v>15</v>
      </c>
      <c r="D372" s="427"/>
      <c r="E372" s="961">
        <f>'Modelo Energético'!E284</f>
        <v>0</v>
      </c>
      <c r="F372" s="1"/>
      <c r="G372" s="1"/>
      <c r="H372" s="1"/>
      <c r="I372" s="1"/>
      <c r="J372" s="1"/>
      <c r="K372" s="9"/>
      <c r="L372" s="1"/>
      <c r="M372" s="319"/>
      <c r="N372" s="319">
        <v>2103000</v>
      </c>
      <c r="O372" s="319"/>
      <c r="P372" s="319"/>
      <c r="Q372" s="319"/>
      <c r="R372" s="319"/>
      <c r="S372" s="319"/>
      <c r="T372" s="319"/>
      <c r="U372" s="319"/>
      <c r="V372" s="319"/>
      <c r="W372" s="319"/>
      <c r="X372" s="319"/>
      <c r="Y372" s="319"/>
      <c r="Z372" s="319"/>
      <c r="AA372" s="319"/>
      <c r="AB372" s="319"/>
      <c r="AC372" s="319"/>
      <c r="AD372" s="319"/>
      <c r="AE372" s="319"/>
      <c r="AF372" s="319"/>
      <c r="AG372" s="319"/>
      <c r="AH372" s="319"/>
      <c r="AI372" s="319"/>
      <c r="AJ372" s="319"/>
      <c r="AK372" s="319"/>
      <c r="AL372" s="319"/>
      <c r="AM372" s="319"/>
      <c r="AN372" s="319"/>
      <c r="AO372" s="319"/>
      <c r="AP372" s="319"/>
      <c r="AQ372" s="319"/>
      <c r="AR372" s="319"/>
      <c r="AS372" s="319"/>
      <c r="AT372" s="319"/>
      <c r="AU372" s="319"/>
      <c r="AV372" s="319"/>
      <c r="AW372" s="319"/>
      <c r="AX372" s="319"/>
      <c r="AY372" s="319"/>
      <c r="AZ372" s="319"/>
      <c r="BA372" s="319"/>
      <c r="BB372" s="319"/>
      <c r="BC372" s="319"/>
      <c r="BD372" s="319"/>
      <c r="BE372" s="319"/>
      <c r="BF372" s="319"/>
      <c r="BG372" s="319"/>
      <c r="BH372" s="319"/>
      <c r="BI372" s="319"/>
      <c r="BJ372" s="319"/>
      <c r="BK372" s="319"/>
      <c r="BL372" s="319"/>
      <c r="BM372" s="319"/>
      <c r="BN372" s="319"/>
      <c r="BO372" s="319"/>
      <c r="BP372" s="319"/>
      <c r="BQ372" s="319"/>
      <c r="BR372" s="319"/>
      <c r="BS372" s="319"/>
      <c r="BT372" s="319"/>
      <c r="BU372" s="319"/>
      <c r="BV372" s="319"/>
      <c r="BW372" s="319"/>
      <c r="BX372" s="319"/>
      <c r="BY372" s="319"/>
      <c r="BZ372" s="319"/>
      <c r="CA372" s="319"/>
      <c r="CB372" s="319"/>
      <c r="CC372" s="319"/>
      <c r="CD372" s="319"/>
      <c r="CE372" s="319"/>
      <c r="CF372" s="319"/>
      <c r="CG372" s="319"/>
      <c r="CH372" s="319"/>
      <c r="CI372" s="319"/>
      <c r="CJ372" s="319"/>
      <c r="CK372" s="319"/>
    </row>
    <row r="373" spans="1:89" ht="13.5" hidden="1" customHeight="1">
      <c r="A373" s="12"/>
      <c r="B373" s="1"/>
      <c r="C373" s="138">
        <v>16</v>
      </c>
      <c r="D373" s="427"/>
      <c r="E373" s="113"/>
      <c r="F373" s="1"/>
      <c r="G373" s="1"/>
      <c r="H373" s="1"/>
      <c r="I373" s="1"/>
      <c r="J373" s="1"/>
      <c r="K373" s="9"/>
      <c r="L373" s="1"/>
      <c r="M373" s="319"/>
      <c r="N373" s="319">
        <v>2103000</v>
      </c>
      <c r="O373" s="319"/>
      <c r="P373" s="319"/>
      <c r="Q373" s="319"/>
      <c r="R373" s="319"/>
      <c r="S373" s="319"/>
      <c r="T373" s="319"/>
      <c r="U373" s="319"/>
      <c r="V373" s="319"/>
      <c r="W373" s="319"/>
      <c r="X373" s="319"/>
      <c r="Y373" s="319"/>
      <c r="Z373" s="319"/>
      <c r="AA373" s="319"/>
      <c r="AB373" s="319"/>
      <c r="AC373" s="319"/>
      <c r="AD373" s="319"/>
      <c r="AE373" s="319"/>
      <c r="AF373" s="319"/>
      <c r="AG373" s="319"/>
      <c r="AH373" s="319"/>
      <c r="AI373" s="319"/>
      <c r="AJ373" s="319"/>
      <c r="AK373" s="319"/>
      <c r="AL373" s="319"/>
      <c r="AM373" s="319"/>
      <c r="AN373" s="319"/>
      <c r="AO373" s="319"/>
      <c r="AP373" s="319"/>
      <c r="AQ373" s="319"/>
      <c r="AR373" s="319"/>
      <c r="AS373" s="319"/>
      <c r="AT373" s="319"/>
      <c r="AU373" s="319"/>
      <c r="AV373" s="319"/>
      <c r="AW373" s="319"/>
      <c r="AX373" s="319"/>
      <c r="AY373" s="319"/>
      <c r="AZ373" s="319"/>
      <c r="BA373" s="319"/>
      <c r="BB373" s="319"/>
      <c r="BC373" s="319"/>
      <c r="BD373" s="319"/>
      <c r="BE373" s="319"/>
      <c r="BF373" s="319"/>
      <c r="BG373" s="319"/>
      <c r="BH373" s="319"/>
      <c r="BI373" s="319"/>
      <c r="BJ373" s="319"/>
      <c r="BK373" s="319"/>
      <c r="BL373" s="319"/>
      <c r="BM373" s="319"/>
      <c r="BN373" s="319"/>
      <c r="BO373" s="319"/>
      <c r="BP373" s="319"/>
      <c r="BQ373" s="319"/>
      <c r="BR373" s="319"/>
      <c r="BS373" s="319"/>
      <c r="BT373" s="319"/>
      <c r="BU373" s="319"/>
      <c r="BV373" s="319"/>
      <c r="BW373" s="319"/>
      <c r="BX373" s="319"/>
      <c r="BY373" s="319"/>
      <c r="BZ373" s="319"/>
      <c r="CA373" s="319"/>
      <c r="CB373" s="319"/>
      <c r="CC373" s="319"/>
      <c r="CD373" s="319"/>
      <c r="CE373" s="319"/>
      <c r="CF373" s="319"/>
      <c r="CG373" s="319"/>
      <c r="CH373" s="319"/>
      <c r="CI373" s="319"/>
      <c r="CJ373" s="319"/>
      <c r="CK373" s="319"/>
    </row>
    <row r="374" spans="1:89" ht="13.5" hidden="1" customHeight="1">
      <c r="A374" s="12"/>
      <c r="B374" s="1"/>
      <c r="C374" s="138">
        <v>17</v>
      </c>
      <c r="D374" s="427"/>
      <c r="E374" s="113"/>
      <c r="F374" s="1"/>
      <c r="G374" s="1"/>
      <c r="H374" s="1"/>
      <c r="I374" s="1"/>
      <c r="J374" s="1"/>
      <c r="K374" s="9"/>
      <c r="L374" s="1"/>
      <c r="M374" s="319"/>
      <c r="N374" s="319">
        <v>2103000</v>
      </c>
      <c r="O374" s="319"/>
      <c r="P374" s="319"/>
      <c r="Q374" s="319"/>
      <c r="R374" s="319"/>
      <c r="S374" s="319"/>
      <c r="T374" s="319"/>
      <c r="U374" s="319"/>
      <c r="V374" s="319"/>
      <c r="W374" s="319"/>
      <c r="X374" s="319"/>
      <c r="Y374" s="319"/>
      <c r="Z374" s="319"/>
      <c r="AA374" s="319"/>
      <c r="AB374" s="319"/>
      <c r="AC374" s="319"/>
      <c r="AD374" s="319"/>
      <c r="AE374" s="319"/>
      <c r="AF374" s="319"/>
      <c r="AG374" s="319"/>
      <c r="AH374" s="319"/>
      <c r="AI374" s="319"/>
      <c r="AJ374" s="319"/>
      <c r="AK374" s="319"/>
      <c r="AL374" s="319"/>
      <c r="AM374" s="319"/>
      <c r="AN374" s="319"/>
      <c r="AO374" s="319"/>
      <c r="AP374" s="319"/>
      <c r="AQ374" s="319"/>
      <c r="AR374" s="319"/>
      <c r="AS374" s="319"/>
      <c r="AT374" s="319"/>
      <c r="AU374" s="319"/>
      <c r="AV374" s="319"/>
      <c r="AW374" s="319"/>
      <c r="AX374" s="319"/>
      <c r="AY374" s="319"/>
      <c r="AZ374" s="319"/>
      <c r="BA374" s="319"/>
      <c r="BB374" s="319"/>
      <c r="BC374" s="319"/>
      <c r="BD374" s="319"/>
      <c r="BE374" s="319"/>
      <c r="BF374" s="319"/>
      <c r="BG374" s="319"/>
      <c r="BH374" s="319"/>
      <c r="BI374" s="319"/>
      <c r="BJ374" s="319"/>
      <c r="BK374" s="319"/>
      <c r="BL374" s="319"/>
      <c r="BM374" s="319"/>
      <c r="BN374" s="319"/>
      <c r="BO374" s="319"/>
      <c r="BP374" s="319"/>
      <c r="BQ374" s="319"/>
      <c r="BR374" s="319"/>
      <c r="BS374" s="319"/>
      <c r="BT374" s="319"/>
      <c r="BU374" s="319"/>
      <c r="BV374" s="319"/>
      <c r="BW374" s="319"/>
      <c r="BX374" s="319"/>
      <c r="BY374" s="319"/>
      <c r="BZ374" s="319"/>
      <c r="CA374" s="319"/>
      <c r="CB374" s="319"/>
      <c r="CC374" s="319"/>
      <c r="CD374" s="319"/>
      <c r="CE374" s="319"/>
      <c r="CF374" s="319"/>
      <c r="CG374" s="319"/>
      <c r="CH374" s="319"/>
      <c r="CI374" s="319"/>
      <c r="CJ374" s="319"/>
      <c r="CK374" s="319"/>
    </row>
    <row r="375" spans="1:89" ht="13.5" hidden="1" customHeight="1">
      <c r="A375" s="12"/>
      <c r="B375" s="1"/>
      <c r="C375" s="107">
        <v>18</v>
      </c>
      <c r="D375" s="427"/>
      <c r="E375" s="108"/>
      <c r="F375" s="1"/>
      <c r="G375" s="1"/>
      <c r="H375" s="1"/>
      <c r="I375" s="1"/>
      <c r="J375" s="1"/>
      <c r="K375" s="9"/>
      <c r="L375" s="1"/>
      <c r="M375" s="319"/>
      <c r="N375" s="319">
        <v>2103000</v>
      </c>
      <c r="O375" s="319"/>
      <c r="P375" s="319"/>
      <c r="Q375" s="319"/>
      <c r="R375" s="319"/>
      <c r="S375" s="319"/>
      <c r="T375" s="319"/>
      <c r="U375" s="319"/>
      <c r="V375" s="319"/>
      <c r="W375" s="319"/>
      <c r="X375" s="319"/>
      <c r="Y375" s="319"/>
      <c r="Z375" s="319"/>
      <c r="AA375" s="319"/>
      <c r="AB375" s="319"/>
      <c r="AC375" s="319"/>
      <c r="AD375" s="319"/>
      <c r="AE375" s="319"/>
      <c r="AF375" s="319"/>
      <c r="AG375" s="319"/>
      <c r="AH375" s="319"/>
      <c r="AI375" s="319"/>
      <c r="AJ375" s="319"/>
      <c r="AK375" s="319"/>
      <c r="AL375" s="319"/>
      <c r="AM375" s="319"/>
      <c r="AN375" s="319"/>
      <c r="AO375" s="319"/>
      <c r="AP375" s="319"/>
      <c r="AQ375" s="319"/>
      <c r="AR375" s="319"/>
      <c r="AS375" s="319"/>
      <c r="AT375" s="319"/>
      <c r="AU375" s="319"/>
      <c r="AV375" s="319"/>
      <c r="AW375" s="319"/>
      <c r="AX375" s="319"/>
      <c r="AY375" s="319"/>
      <c r="AZ375" s="319"/>
      <c r="BA375" s="319"/>
      <c r="BB375" s="319"/>
      <c r="BC375" s="319"/>
      <c r="BD375" s="319"/>
      <c r="BE375" s="319"/>
      <c r="BF375" s="319"/>
      <c r="BG375" s="319"/>
      <c r="BH375" s="319"/>
      <c r="BI375" s="319"/>
      <c r="BJ375" s="319"/>
      <c r="BK375" s="319"/>
      <c r="BL375" s="319"/>
      <c r="BM375" s="319"/>
      <c r="BN375" s="319"/>
      <c r="BO375" s="319"/>
      <c r="BP375" s="319"/>
      <c r="BQ375" s="319"/>
      <c r="BR375" s="319"/>
      <c r="BS375" s="319"/>
      <c r="BT375" s="319"/>
      <c r="BU375" s="319"/>
      <c r="BV375" s="319"/>
      <c r="BW375" s="319"/>
      <c r="BX375" s="319"/>
      <c r="BY375" s="319"/>
      <c r="BZ375" s="319"/>
      <c r="CA375" s="319"/>
      <c r="CB375" s="319"/>
      <c r="CC375" s="319"/>
      <c r="CD375" s="319"/>
      <c r="CE375" s="319"/>
      <c r="CF375" s="319"/>
      <c r="CG375" s="319"/>
      <c r="CH375" s="319"/>
      <c r="CI375" s="319"/>
      <c r="CJ375" s="319"/>
      <c r="CK375" s="319"/>
    </row>
    <row r="376" spans="1:89" ht="13.5" hidden="1" customHeight="1">
      <c r="A376" s="12"/>
      <c r="B376" s="1"/>
      <c r="C376" s="138">
        <v>19</v>
      </c>
      <c r="D376" s="427"/>
      <c r="E376" s="113"/>
      <c r="F376" s="1"/>
      <c r="G376" s="1"/>
      <c r="H376" s="1"/>
      <c r="I376" s="1"/>
      <c r="J376" s="1"/>
      <c r="K376" s="9"/>
      <c r="L376" s="1"/>
      <c r="M376" s="319"/>
      <c r="N376" s="319">
        <v>2103000</v>
      </c>
      <c r="O376" s="319"/>
      <c r="P376" s="319"/>
      <c r="Q376" s="319"/>
      <c r="R376" s="319"/>
      <c r="S376" s="319"/>
      <c r="T376" s="319"/>
      <c r="U376" s="319"/>
      <c r="V376" s="319"/>
      <c r="W376" s="319"/>
      <c r="X376" s="319"/>
      <c r="Y376" s="319"/>
      <c r="Z376" s="319"/>
      <c r="AA376" s="319"/>
      <c r="AB376" s="319"/>
      <c r="AC376" s="319"/>
      <c r="AD376" s="319"/>
      <c r="AE376" s="319"/>
      <c r="AF376" s="319"/>
      <c r="AG376" s="319"/>
      <c r="AH376" s="319"/>
      <c r="AI376" s="319"/>
      <c r="AJ376" s="319"/>
      <c r="AK376" s="319"/>
      <c r="AL376" s="319"/>
      <c r="AM376" s="319"/>
      <c r="AN376" s="319"/>
      <c r="AO376" s="319"/>
      <c r="AP376" s="319"/>
      <c r="AQ376" s="319"/>
      <c r="AR376" s="319"/>
      <c r="AS376" s="319"/>
      <c r="AT376" s="319"/>
      <c r="AU376" s="319"/>
      <c r="AV376" s="319"/>
      <c r="AW376" s="319"/>
      <c r="AX376" s="319"/>
      <c r="AY376" s="319"/>
      <c r="AZ376" s="319"/>
      <c r="BA376" s="319"/>
      <c r="BB376" s="319"/>
      <c r="BC376" s="319"/>
      <c r="BD376" s="319"/>
      <c r="BE376" s="319"/>
      <c r="BF376" s="319"/>
      <c r="BG376" s="319"/>
      <c r="BH376" s="319"/>
      <c r="BI376" s="319"/>
      <c r="BJ376" s="319"/>
      <c r="BK376" s="319"/>
      <c r="BL376" s="319"/>
      <c r="BM376" s="319"/>
      <c r="BN376" s="319"/>
      <c r="BO376" s="319"/>
      <c r="BP376" s="319"/>
      <c r="BQ376" s="319"/>
      <c r="BR376" s="319"/>
      <c r="BS376" s="319"/>
      <c r="BT376" s="319"/>
      <c r="BU376" s="319"/>
      <c r="BV376" s="319"/>
      <c r="BW376" s="319"/>
      <c r="BX376" s="319"/>
      <c r="BY376" s="319"/>
      <c r="BZ376" s="319"/>
      <c r="CA376" s="319"/>
      <c r="CB376" s="319"/>
      <c r="CC376" s="319"/>
      <c r="CD376" s="319"/>
      <c r="CE376" s="319"/>
      <c r="CF376" s="319"/>
      <c r="CG376" s="319"/>
      <c r="CH376" s="319"/>
      <c r="CI376" s="319"/>
      <c r="CJ376" s="319"/>
      <c r="CK376" s="319"/>
    </row>
    <row r="377" spans="1:89" ht="13.5" hidden="1" customHeight="1">
      <c r="A377" s="12"/>
      <c r="B377" s="1"/>
      <c r="C377" s="138">
        <v>20</v>
      </c>
      <c r="D377" s="427"/>
      <c r="E377" s="113"/>
      <c r="F377" s="1"/>
      <c r="G377" s="1"/>
      <c r="H377" s="1"/>
      <c r="I377" s="1"/>
      <c r="J377" s="1"/>
      <c r="K377" s="9"/>
      <c r="L377" s="1"/>
      <c r="M377" s="319"/>
      <c r="N377" s="319">
        <v>2103000</v>
      </c>
      <c r="O377" s="319"/>
      <c r="P377" s="319"/>
      <c r="Q377" s="319"/>
      <c r="R377" s="319"/>
      <c r="S377" s="319"/>
      <c r="T377" s="319"/>
      <c r="U377" s="319"/>
      <c r="V377" s="319"/>
      <c r="W377" s="319"/>
      <c r="X377" s="319"/>
      <c r="Y377" s="319"/>
      <c r="Z377" s="319"/>
      <c r="AA377" s="319"/>
      <c r="AB377" s="319"/>
      <c r="AC377" s="319"/>
      <c r="AD377" s="319"/>
      <c r="AE377" s="319"/>
      <c r="AF377" s="319"/>
      <c r="AG377" s="319"/>
      <c r="AH377" s="319"/>
      <c r="AI377" s="319"/>
      <c r="AJ377" s="319"/>
      <c r="AK377" s="319"/>
      <c r="AL377" s="319"/>
      <c r="AM377" s="319"/>
      <c r="AN377" s="319"/>
      <c r="AO377" s="319"/>
      <c r="AP377" s="319"/>
      <c r="AQ377" s="319"/>
      <c r="AR377" s="319"/>
      <c r="AS377" s="319"/>
      <c r="AT377" s="319"/>
      <c r="AU377" s="319"/>
      <c r="AV377" s="319"/>
      <c r="AW377" s="319"/>
      <c r="AX377" s="319"/>
      <c r="AY377" s="319"/>
      <c r="AZ377" s="319"/>
      <c r="BA377" s="319"/>
      <c r="BB377" s="319"/>
      <c r="BC377" s="319"/>
      <c r="BD377" s="319"/>
      <c r="BE377" s="319"/>
      <c r="BF377" s="319"/>
      <c r="BG377" s="319"/>
      <c r="BH377" s="319"/>
      <c r="BI377" s="319"/>
      <c r="BJ377" s="319"/>
      <c r="BK377" s="319"/>
      <c r="BL377" s="319"/>
      <c r="BM377" s="319"/>
      <c r="BN377" s="319"/>
      <c r="BO377" s="319"/>
      <c r="BP377" s="319"/>
      <c r="BQ377" s="319"/>
      <c r="BR377" s="319"/>
      <c r="BS377" s="319"/>
      <c r="BT377" s="319"/>
      <c r="BU377" s="319"/>
      <c r="BV377" s="319"/>
      <c r="BW377" s="319"/>
      <c r="BX377" s="319"/>
      <c r="BY377" s="319"/>
      <c r="BZ377" s="319"/>
      <c r="CA377" s="319"/>
      <c r="CB377" s="319"/>
      <c r="CC377" s="319"/>
      <c r="CD377" s="319"/>
      <c r="CE377" s="319"/>
      <c r="CF377" s="319"/>
      <c r="CG377" s="319"/>
      <c r="CH377" s="319"/>
      <c r="CI377" s="319"/>
      <c r="CJ377" s="319"/>
      <c r="CK377" s="319"/>
    </row>
    <row r="378" spans="1:89" ht="13.5" hidden="1" customHeight="1">
      <c r="A378" s="12"/>
      <c r="B378" s="1"/>
      <c r="C378" s="138">
        <v>21</v>
      </c>
      <c r="D378" s="427"/>
      <c r="E378" s="113"/>
      <c r="F378" s="1"/>
      <c r="G378" s="1"/>
      <c r="H378" s="1"/>
      <c r="I378" s="1"/>
      <c r="J378" s="1"/>
      <c r="K378" s="9"/>
      <c r="L378" s="1"/>
      <c r="M378" s="319"/>
      <c r="N378" s="319">
        <v>2103000</v>
      </c>
      <c r="O378" s="319"/>
      <c r="P378" s="319"/>
      <c r="Q378" s="319"/>
      <c r="R378" s="319"/>
      <c r="S378" s="319"/>
      <c r="T378" s="319"/>
      <c r="U378" s="319"/>
      <c r="V378" s="319"/>
      <c r="W378" s="319"/>
      <c r="X378" s="319"/>
      <c r="Y378" s="319"/>
      <c r="Z378" s="319"/>
      <c r="AA378" s="319"/>
      <c r="AB378" s="319"/>
      <c r="AC378" s="319"/>
      <c r="AD378" s="319"/>
      <c r="AE378" s="319"/>
      <c r="AF378" s="319"/>
      <c r="AG378" s="319"/>
      <c r="AH378" s="319"/>
      <c r="AI378" s="319"/>
      <c r="AJ378" s="319"/>
      <c r="AK378" s="319"/>
      <c r="AL378" s="319"/>
      <c r="AM378" s="319"/>
      <c r="AN378" s="319"/>
      <c r="AO378" s="319"/>
      <c r="AP378" s="319"/>
      <c r="AQ378" s="319"/>
      <c r="AR378" s="319"/>
      <c r="AS378" s="319"/>
      <c r="AT378" s="319"/>
      <c r="AU378" s="319"/>
      <c r="AV378" s="319"/>
      <c r="AW378" s="319"/>
      <c r="AX378" s="319"/>
      <c r="AY378" s="319"/>
      <c r="AZ378" s="319"/>
      <c r="BA378" s="319"/>
      <c r="BB378" s="319"/>
      <c r="BC378" s="319"/>
      <c r="BD378" s="319"/>
      <c r="BE378" s="319"/>
      <c r="BF378" s="319"/>
      <c r="BG378" s="319"/>
      <c r="BH378" s="319"/>
      <c r="BI378" s="319"/>
      <c r="BJ378" s="319"/>
      <c r="BK378" s="319"/>
      <c r="BL378" s="319"/>
      <c r="BM378" s="319"/>
      <c r="BN378" s="319"/>
      <c r="BO378" s="319"/>
      <c r="BP378" s="319"/>
      <c r="BQ378" s="319"/>
      <c r="BR378" s="319"/>
      <c r="BS378" s="319"/>
      <c r="BT378" s="319"/>
      <c r="BU378" s="319"/>
      <c r="BV378" s="319"/>
      <c r="BW378" s="319"/>
      <c r="BX378" s="319"/>
      <c r="BY378" s="319"/>
      <c r="BZ378" s="319"/>
      <c r="CA378" s="319"/>
      <c r="CB378" s="319"/>
      <c r="CC378" s="319"/>
      <c r="CD378" s="319"/>
      <c r="CE378" s="319"/>
      <c r="CF378" s="319"/>
      <c r="CG378" s="319"/>
      <c r="CH378" s="319"/>
      <c r="CI378" s="319"/>
      <c r="CJ378" s="319"/>
      <c r="CK378" s="319"/>
    </row>
    <row r="379" spans="1:89" ht="13.5" hidden="1" customHeight="1">
      <c r="A379" s="12"/>
      <c r="B379" s="1"/>
      <c r="C379" s="107">
        <v>22</v>
      </c>
      <c r="D379" s="427"/>
      <c r="E379" s="108"/>
      <c r="F379" s="1"/>
      <c r="G379" s="1"/>
      <c r="H379" s="1"/>
      <c r="I379" s="1"/>
      <c r="J379" s="1"/>
      <c r="K379" s="9"/>
      <c r="L379" s="1"/>
      <c r="M379" s="319"/>
      <c r="N379" s="319">
        <v>2103000</v>
      </c>
      <c r="O379" s="319"/>
      <c r="P379" s="319"/>
      <c r="Q379" s="319"/>
      <c r="R379" s="319"/>
      <c r="S379" s="319"/>
      <c r="T379" s="319"/>
      <c r="U379" s="319"/>
      <c r="V379" s="319"/>
      <c r="W379" s="319"/>
      <c r="X379" s="319"/>
      <c r="Y379" s="319"/>
      <c r="Z379" s="319"/>
      <c r="AA379" s="319"/>
      <c r="AB379" s="319"/>
      <c r="AC379" s="319"/>
      <c r="AD379" s="319"/>
      <c r="AE379" s="319"/>
      <c r="AF379" s="319"/>
      <c r="AG379" s="319"/>
      <c r="AH379" s="319"/>
      <c r="AI379" s="319"/>
      <c r="AJ379" s="319"/>
      <c r="AK379" s="319"/>
      <c r="AL379" s="319"/>
      <c r="AM379" s="319"/>
      <c r="AN379" s="319"/>
      <c r="AO379" s="319"/>
      <c r="AP379" s="319"/>
      <c r="AQ379" s="319"/>
      <c r="AR379" s="319"/>
      <c r="AS379" s="319"/>
      <c r="AT379" s="319"/>
      <c r="AU379" s="319"/>
      <c r="AV379" s="319"/>
      <c r="AW379" s="319"/>
      <c r="AX379" s="319"/>
      <c r="AY379" s="319"/>
      <c r="AZ379" s="319"/>
      <c r="BA379" s="319"/>
      <c r="BB379" s="319"/>
      <c r="BC379" s="319"/>
      <c r="BD379" s="319"/>
      <c r="BE379" s="319"/>
      <c r="BF379" s="319"/>
      <c r="BG379" s="319"/>
      <c r="BH379" s="319"/>
      <c r="BI379" s="319"/>
      <c r="BJ379" s="319"/>
      <c r="BK379" s="319"/>
      <c r="BL379" s="319"/>
      <c r="BM379" s="319"/>
      <c r="BN379" s="319"/>
      <c r="BO379" s="319"/>
      <c r="BP379" s="319"/>
      <c r="BQ379" s="319"/>
      <c r="BR379" s="319"/>
      <c r="BS379" s="319"/>
      <c r="BT379" s="319"/>
      <c r="BU379" s="319"/>
      <c r="BV379" s="319"/>
      <c r="BW379" s="319"/>
      <c r="BX379" s="319"/>
      <c r="BY379" s="319"/>
      <c r="BZ379" s="319"/>
      <c r="CA379" s="319"/>
      <c r="CB379" s="319"/>
      <c r="CC379" s="319"/>
      <c r="CD379" s="319"/>
      <c r="CE379" s="319"/>
      <c r="CF379" s="319"/>
      <c r="CG379" s="319"/>
      <c r="CH379" s="319"/>
      <c r="CI379" s="319"/>
      <c r="CJ379" s="319"/>
      <c r="CK379" s="319"/>
    </row>
    <row r="380" spans="1:89" ht="13.5" hidden="1" customHeight="1">
      <c r="A380" s="12"/>
      <c r="B380" s="1"/>
      <c r="C380" s="138">
        <v>23</v>
      </c>
      <c r="D380" s="427"/>
      <c r="E380" s="113"/>
      <c r="F380" s="1"/>
      <c r="G380" s="1"/>
      <c r="H380" s="1"/>
      <c r="I380" s="1"/>
      <c r="J380" s="1"/>
      <c r="K380" s="9"/>
      <c r="L380" s="1"/>
      <c r="M380" s="319"/>
      <c r="N380" s="319">
        <v>2103000</v>
      </c>
      <c r="O380" s="319"/>
      <c r="P380" s="319"/>
      <c r="Q380" s="319"/>
      <c r="R380" s="319"/>
      <c r="S380" s="319"/>
      <c r="T380" s="319"/>
      <c r="U380" s="319"/>
      <c r="V380" s="319"/>
      <c r="W380" s="319"/>
      <c r="X380" s="319"/>
      <c r="Y380" s="319"/>
      <c r="Z380" s="319"/>
      <c r="AA380" s="319"/>
      <c r="AB380" s="319"/>
      <c r="AC380" s="319"/>
      <c r="AD380" s="319"/>
      <c r="AE380" s="319"/>
      <c r="AF380" s="319"/>
      <c r="AG380" s="319"/>
      <c r="AH380" s="319"/>
      <c r="AI380" s="319"/>
      <c r="AJ380" s="319"/>
      <c r="AK380" s="319"/>
      <c r="AL380" s="319"/>
      <c r="AM380" s="319"/>
      <c r="AN380" s="319"/>
      <c r="AO380" s="319"/>
      <c r="AP380" s="319"/>
      <c r="AQ380" s="319"/>
      <c r="AR380" s="319"/>
      <c r="AS380" s="319"/>
      <c r="AT380" s="319"/>
      <c r="AU380" s="319"/>
      <c r="AV380" s="319"/>
      <c r="AW380" s="319"/>
      <c r="AX380" s="319"/>
      <c r="AY380" s="319"/>
      <c r="AZ380" s="319"/>
      <c r="BA380" s="319"/>
      <c r="BB380" s="319"/>
      <c r="BC380" s="319"/>
      <c r="BD380" s="319"/>
      <c r="BE380" s="319"/>
      <c r="BF380" s="319"/>
      <c r="BG380" s="319"/>
      <c r="BH380" s="319"/>
      <c r="BI380" s="319"/>
      <c r="BJ380" s="319"/>
      <c r="BK380" s="319"/>
      <c r="BL380" s="319"/>
      <c r="BM380" s="319"/>
      <c r="BN380" s="319"/>
      <c r="BO380" s="319"/>
      <c r="BP380" s="319"/>
      <c r="BQ380" s="319"/>
      <c r="BR380" s="319"/>
      <c r="BS380" s="319"/>
      <c r="BT380" s="319"/>
      <c r="BU380" s="319"/>
      <c r="BV380" s="319"/>
      <c r="BW380" s="319"/>
      <c r="BX380" s="319"/>
      <c r="BY380" s="319"/>
      <c r="BZ380" s="319"/>
      <c r="CA380" s="319"/>
      <c r="CB380" s="319"/>
      <c r="CC380" s="319"/>
      <c r="CD380" s="319"/>
      <c r="CE380" s="319"/>
      <c r="CF380" s="319"/>
      <c r="CG380" s="319"/>
      <c r="CH380" s="319"/>
      <c r="CI380" s="319"/>
      <c r="CJ380" s="319"/>
      <c r="CK380" s="319"/>
    </row>
    <row r="381" spans="1:89" ht="13.5" hidden="1" customHeight="1">
      <c r="A381" s="12"/>
      <c r="B381" s="1"/>
      <c r="C381" s="138">
        <v>24</v>
      </c>
      <c r="D381" s="427"/>
      <c r="E381" s="113"/>
      <c r="F381" s="1"/>
      <c r="G381" s="1"/>
      <c r="H381" s="1"/>
      <c r="I381" s="1"/>
      <c r="J381" s="1"/>
      <c r="K381" s="9"/>
      <c r="L381" s="1"/>
      <c r="M381" s="319"/>
      <c r="N381" s="319">
        <v>2103000</v>
      </c>
      <c r="O381" s="319"/>
      <c r="P381" s="319"/>
      <c r="Q381" s="319"/>
      <c r="R381" s="319"/>
      <c r="S381" s="319"/>
      <c r="T381" s="319"/>
      <c r="U381" s="319"/>
      <c r="V381" s="319"/>
      <c r="W381" s="319"/>
      <c r="X381" s="319"/>
      <c r="Y381" s="319"/>
      <c r="Z381" s="319"/>
      <c r="AA381" s="319"/>
      <c r="AB381" s="319"/>
      <c r="AC381" s="319"/>
      <c r="AD381" s="319"/>
      <c r="AE381" s="319"/>
      <c r="AF381" s="319"/>
      <c r="AG381" s="319"/>
      <c r="AH381" s="319"/>
      <c r="AI381" s="319"/>
      <c r="AJ381" s="319"/>
      <c r="AK381" s="319"/>
      <c r="AL381" s="319"/>
      <c r="AM381" s="319"/>
      <c r="AN381" s="319"/>
      <c r="AO381" s="319"/>
      <c r="AP381" s="319"/>
      <c r="AQ381" s="319"/>
      <c r="AR381" s="319"/>
      <c r="AS381" s="319"/>
      <c r="AT381" s="319"/>
      <c r="AU381" s="319"/>
      <c r="AV381" s="319"/>
      <c r="AW381" s="319"/>
      <c r="AX381" s="319"/>
      <c r="AY381" s="319"/>
      <c r="AZ381" s="319"/>
      <c r="BA381" s="319"/>
      <c r="BB381" s="319"/>
      <c r="BC381" s="319"/>
      <c r="BD381" s="319"/>
      <c r="BE381" s="319"/>
      <c r="BF381" s="319"/>
      <c r="BG381" s="319"/>
      <c r="BH381" s="319"/>
      <c r="BI381" s="319"/>
      <c r="BJ381" s="319"/>
      <c r="BK381" s="319"/>
      <c r="BL381" s="319"/>
      <c r="BM381" s="319"/>
      <c r="BN381" s="319"/>
      <c r="BO381" s="319"/>
      <c r="BP381" s="319"/>
      <c r="BQ381" s="319"/>
      <c r="BR381" s="319"/>
      <c r="BS381" s="319"/>
      <c r="BT381" s="319"/>
      <c r="BU381" s="319"/>
      <c r="BV381" s="319"/>
      <c r="BW381" s="319"/>
      <c r="BX381" s="319"/>
      <c r="BY381" s="319"/>
      <c r="BZ381" s="319"/>
      <c r="CA381" s="319"/>
      <c r="CB381" s="319"/>
      <c r="CC381" s="319"/>
      <c r="CD381" s="319"/>
      <c r="CE381" s="319"/>
      <c r="CF381" s="319"/>
      <c r="CG381" s="319"/>
      <c r="CH381" s="319"/>
      <c r="CI381" s="319"/>
      <c r="CJ381" s="319"/>
      <c r="CK381" s="319"/>
    </row>
    <row r="382" spans="1:89" ht="13.5" hidden="1" customHeight="1">
      <c r="A382" s="12"/>
      <c r="B382" s="1"/>
      <c r="C382" s="139" t="s">
        <v>3706</v>
      </c>
      <c r="D382" s="427"/>
      <c r="E382" s="115"/>
      <c r="F382" s="1"/>
      <c r="G382" s="1"/>
      <c r="H382" s="1"/>
      <c r="I382" s="1"/>
      <c r="J382" s="1"/>
      <c r="K382" s="9"/>
      <c r="L382" s="1"/>
      <c r="M382" s="319"/>
      <c r="N382" s="319">
        <v>2103000</v>
      </c>
      <c r="O382" s="319"/>
      <c r="P382" s="319"/>
      <c r="Q382" s="319"/>
      <c r="R382" s="319"/>
      <c r="S382" s="319"/>
      <c r="T382" s="319"/>
      <c r="U382" s="319"/>
      <c r="V382" s="319"/>
      <c r="W382" s="319"/>
      <c r="X382" s="319"/>
      <c r="Y382" s="319"/>
      <c r="Z382" s="319"/>
      <c r="AA382" s="319"/>
      <c r="AB382" s="319"/>
      <c r="AC382" s="319"/>
      <c r="AD382" s="319"/>
      <c r="AE382" s="319"/>
      <c r="AF382" s="319"/>
      <c r="AG382" s="319"/>
      <c r="AH382" s="319"/>
      <c r="AI382" s="319"/>
      <c r="AJ382" s="319"/>
      <c r="AK382" s="319"/>
      <c r="AL382" s="319"/>
      <c r="AM382" s="319"/>
      <c r="AN382" s="319"/>
      <c r="AO382" s="319"/>
      <c r="AP382" s="319"/>
      <c r="AQ382" s="319"/>
      <c r="AR382" s="319"/>
      <c r="AS382" s="319"/>
      <c r="AT382" s="319"/>
      <c r="AU382" s="319"/>
      <c r="AV382" s="319"/>
      <c r="AW382" s="319"/>
      <c r="AX382" s="319"/>
      <c r="AY382" s="319"/>
      <c r="AZ382" s="319"/>
      <c r="BA382" s="319"/>
      <c r="BB382" s="319"/>
      <c r="BC382" s="319"/>
      <c r="BD382" s="319"/>
      <c r="BE382" s="319"/>
      <c r="BF382" s="319"/>
      <c r="BG382" s="319"/>
      <c r="BH382" s="319"/>
      <c r="BI382" s="319"/>
      <c r="BJ382" s="319"/>
      <c r="BK382" s="319"/>
      <c r="BL382" s="319"/>
      <c r="BM382" s="319"/>
      <c r="BN382" s="319"/>
      <c r="BO382" s="319"/>
      <c r="BP382" s="319"/>
      <c r="BQ382" s="319"/>
      <c r="BR382" s="319"/>
      <c r="BS382" s="319"/>
      <c r="BT382" s="319"/>
      <c r="BU382" s="319"/>
      <c r="BV382" s="319"/>
      <c r="BW382" s="319"/>
      <c r="BX382" s="319"/>
      <c r="BY382" s="319"/>
      <c r="BZ382" s="319"/>
      <c r="CA382" s="319"/>
      <c r="CB382" s="319"/>
      <c r="CC382" s="319"/>
      <c r="CD382" s="319"/>
      <c r="CE382" s="319"/>
      <c r="CF382" s="319"/>
      <c r="CG382" s="319"/>
      <c r="CH382" s="319"/>
      <c r="CI382" s="319"/>
      <c r="CJ382" s="319"/>
      <c r="CK382" s="319"/>
    </row>
    <row r="383" spans="1:89" ht="13.5" hidden="1" customHeight="1">
      <c r="A383" s="12"/>
      <c r="B383" s="1"/>
      <c r="C383" s="1"/>
      <c r="D383" s="30"/>
      <c r="E383" s="30"/>
      <c r="F383" s="1"/>
      <c r="G383" s="1"/>
      <c r="H383" s="1"/>
      <c r="I383" s="1"/>
      <c r="J383" s="1"/>
      <c r="K383" s="9"/>
      <c r="L383" s="1"/>
      <c r="M383" s="319" t="b">
        <v>0</v>
      </c>
      <c r="N383" s="319">
        <v>5040000</v>
      </c>
      <c r="O383" s="319"/>
      <c r="P383" s="319"/>
      <c r="Q383" s="319"/>
      <c r="R383" s="319"/>
      <c r="S383" s="319"/>
      <c r="T383" s="319"/>
      <c r="U383" s="319"/>
      <c r="V383" s="319"/>
      <c r="W383" s="319"/>
      <c r="X383" s="319"/>
      <c r="Y383" s="319"/>
      <c r="Z383" s="319"/>
      <c r="AA383" s="319"/>
      <c r="AB383" s="319"/>
      <c r="AC383" s="319"/>
      <c r="AD383" s="319"/>
      <c r="AE383" s="319"/>
      <c r="AF383" s="319"/>
      <c r="AG383" s="319"/>
      <c r="AH383" s="319"/>
      <c r="AI383" s="319"/>
      <c r="AJ383" s="319"/>
      <c r="AK383" s="319"/>
      <c r="AL383" s="319"/>
      <c r="AM383" s="319"/>
      <c r="AN383" s="319"/>
      <c r="AO383" s="319"/>
      <c r="AP383" s="319"/>
      <c r="AQ383" s="319"/>
      <c r="AR383" s="319"/>
      <c r="AS383" s="319"/>
      <c r="AT383" s="319"/>
      <c r="AU383" s="319"/>
      <c r="AV383" s="319"/>
      <c r="AW383" s="319"/>
      <c r="AX383" s="319"/>
      <c r="AY383" s="319"/>
      <c r="AZ383" s="319"/>
      <c r="BA383" s="319"/>
      <c r="BB383" s="319"/>
      <c r="BC383" s="319"/>
      <c r="BD383" s="319"/>
      <c r="BE383" s="319"/>
      <c r="BF383" s="319"/>
      <c r="BG383" s="319"/>
      <c r="BH383" s="319"/>
      <c r="BI383" s="319"/>
      <c r="BJ383" s="319"/>
      <c r="BK383" s="319"/>
      <c r="BL383" s="319"/>
      <c r="BM383" s="319"/>
      <c r="BN383" s="319"/>
      <c r="BO383" s="319"/>
      <c r="BP383" s="319"/>
      <c r="BQ383" s="319"/>
      <c r="BR383" s="319"/>
      <c r="BS383" s="319"/>
      <c r="BT383" s="319"/>
      <c r="BU383" s="319"/>
      <c r="BV383" s="319"/>
      <c r="BW383" s="319"/>
      <c r="BX383" s="319"/>
      <c r="BY383" s="319"/>
      <c r="BZ383" s="319"/>
      <c r="CA383" s="319"/>
      <c r="CB383" s="319"/>
      <c r="CC383" s="319"/>
      <c r="CD383" s="319"/>
      <c r="CE383" s="319"/>
      <c r="CF383" s="319"/>
      <c r="CG383" s="319"/>
      <c r="CH383" s="319"/>
      <c r="CI383" s="319"/>
      <c r="CJ383" s="319"/>
      <c r="CK383" s="319"/>
    </row>
    <row r="384" spans="1:89" ht="13.5" hidden="1" customHeight="1">
      <c r="A384" s="12"/>
      <c r="B384" s="1" t="str">
        <f>Language!C1488</f>
        <v>Perdas do painel</v>
      </c>
      <c r="C384" s="29" t="str">
        <f>$C$254</f>
        <v>%</v>
      </c>
      <c r="D384" s="422"/>
      <c r="E384" s="30"/>
      <c r="F384" s="1011" t="s">
        <v>4190</v>
      </c>
      <c r="G384" s="134" t="str">
        <f>Language!C1970</f>
        <v>Mostrar dado</v>
      </c>
      <c r="H384" s="1"/>
      <c r="I384" s="1"/>
      <c r="J384" s="1241" t="str">
        <f>Language!C1874</f>
        <v>Por turbina</v>
      </c>
      <c r="K384" s="1242"/>
      <c r="L384" s="1"/>
      <c r="M384" s="3" t="b">
        <v>1</v>
      </c>
      <c r="N384" s="319">
        <v>2103014</v>
      </c>
      <c r="O384" s="319">
        <v>2104000</v>
      </c>
      <c r="P384" s="319"/>
      <c r="Q384" s="319"/>
      <c r="R384" s="319"/>
      <c r="S384" s="319"/>
      <c r="T384" s="319"/>
      <c r="U384" s="319"/>
      <c r="V384" s="319"/>
      <c r="W384" s="319"/>
      <c r="X384" s="319"/>
      <c r="Y384" s="319"/>
      <c r="Z384" s="319"/>
      <c r="AA384" s="319"/>
      <c r="AB384" s="319"/>
      <c r="AC384" s="319"/>
      <c r="AD384" s="319"/>
      <c r="AE384" s="319"/>
      <c r="AF384" s="319"/>
      <c r="AG384" s="319"/>
      <c r="AH384" s="319"/>
      <c r="AI384" s="319"/>
      <c r="AJ384" s="319"/>
      <c r="AK384" s="319"/>
      <c r="AL384" s="319"/>
      <c r="AM384" s="319"/>
      <c r="AN384" s="319"/>
      <c r="AO384" s="319"/>
      <c r="AP384" s="319"/>
      <c r="AQ384" s="319"/>
      <c r="AR384" s="319"/>
      <c r="AS384" s="319"/>
      <c r="AT384" s="319"/>
      <c r="AU384" s="319"/>
      <c r="AV384" s="319"/>
      <c r="AW384" s="319"/>
      <c r="AX384" s="319"/>
      <c r="AY384" s="319"/>
      <c r="AZ384" s="319"/>
      <c r="BA384" s="319"/>
      <c r="BB384" s="319"/>
      <c r="BC384" s="319"/>
      <c r="BD384" s="319"/>
      <c r="BE384" s="319"/>
      <c r="BF384" s="319"/>
      <c r="BG384" s="319"/>
      <c r="BH384" s="319"/>
      <c r="BI384" s="319"/>
      <c r="BJ384" s="319"/>
      <c r="BK384" s="319"/>
      <c r="BL384" s="319"/>
      <c r="BM384" s="319"/>
      <c r="BN384" s="319"/>
      <c r="BO384" s="319"/>
      <c r="BP384" s="319"/>
      <c r="BQ384" s="319"/>
      <c r="BR384" s="319"/>
      <c r="BS384" s="319"/>
      <c r="BT384" s="319"/>
      <c r="BU384" s="319"/>
      <c r="BV384" s="319"/>
      <c r="BW384" s="319"/>
      <c r="BX384" s="319"/>
      <c r="BY384" s="319"/>
      <c r="BZ384" s="319"/>
      <c r="CA384" s="319"/>
      <c r="CB384" s="319"/>
      <c r="CC384" s="319"/>
      <c r="CD384" s="319"/>
      <c r="CE384" s="319"/>
      <c r="CF384" s="319"/>
      <c r="CG384" s="319"/>
      <c r="CH384" s="319"/>
      <c r="CI384" s="319"/>
      <c r="CJ384" s="319"/>
      <c r="CK384" s="319"/>
    </row>
    <row r="385" spans="1:89" ht="13.5" hidden="1" customHeight="1">
      <c r="A385" s="12"/>
      <c r="B385" s="1" t="str">
        <f>Language!C1470</f>
        <v>Perdas no aerofólio</v>
      </c>
      <c r="C385" s="29" t="str">
        <f>$C$254</f>
        <v>%</v>
      </c>
      <c r="D385" s="422"/>
      <c r="E385" s="30"/>
      <c r="F385" s="1"/>
      <c r="G385" s="1" t="str">
        <f>Language!C2057</f>
        <v>Produção de energia não ajustada</v>
      </c>
      <c r="H385" s="1"/>
      <c r="I385" s="1"/>
      <c r="J385" s="29" t="str">
        <f>$J$1184</f>
        <v>MWh</v>
      </c>
      <c r="K385" s="37">
        <f>'Modelo Energético'!K298</f>
        <v>0</v>
      </c>
      <c r="L385" s="1"/>
      <c r="M385" s="319"/>
      <c r="N385" s="319">
        <v>2103016</v>
      </c>
      <c r="O385" s="319">
        <v>2104002</v>
      </c>
      <c r="P385" s="319"/>
      <c r="Q385" s="319"/>
      <c r="R385" s="319"/>
      <c r="S385" s="319"/>
      <c r="T385" s="319"/>
      <c r="U385" s="319"/>
      <c r="V385" s="319"/>
      <c r="W385" s="319"/>
      <c r="X385" s="319"/>
      <c r="Y385" s="319"/>
      <c r="Z385" s="319"/>
      <c r="AA385" s="319"/>
      <c r="AB385" s="319"/>
      <c r="AC385" s="319"/>
      <c r="AD385" s="319"/>
      <c r="AE385" s="319"/>
      <c r="AF385" s="319"/>
      <c r="AG385" s="319"/>
      <c r="AH385" s="319"/>
      <c r="AI385" s="319"/>
      <c r="AJ385" s="319"/>
      <c r="AK385" s="319"/>
      <c r="AL385" s="319"/>
      <c r="AM385" s="319"/>
      <c r="AN385" s="319"/>
      <c r="AO385" s="319"/>
      <c r="AP385" s="319"/>
      <c r="AQ385" s="319"/>
      <c r="AR385" s="319"/>
      <c r="AS385" s="319"/>
      <c r="AT385" s="319"/>
      <c r="AU385" s="319"/>
      <c r="AV385" s="319"/>
      <c r="AW385" s="319"/>
      <c r="AX385" s="319"/>
      <c r="AY385" s="319"/>
      <c r="AZ385" s="319"/>
      <c r="BA385" s="319"/>
      <c r="BB385" s="319"/>
      <c r="BC385" s="319"/>
      <c r="BD385" s="319"/>
      <c r="BE385" s="319"/>
      <c r="BF385" s="319"/>
      <c r="BG385" s="319"/>
      <c r="BH385" s="319"/>
      <c r="BI385" s="319"/>
      <c r="BJ385" s="319"/>
      <c r="BK385" s="319"/>
      <c r="BL385" s="319"/>
      <c r="BM385" s="319"/>
      <c r="BN385" s="319"/>
      <c r="BO385" s="319"/>
      <c r="BP385" s="319"/>
      <c r="BQ385" s="319"/>
      <c r="BR385" s="319"/>
      <c r="BS385" s="319"/>
      <c r="BT385" s="319"/>
      <c r="BU385" s="319"/>
      <c r="BV385" s="319"/>
      <c r="BW385" s="319"/>
      <c r="BX385" s="319"/>
      <c r="BY385" s="319"/>
      <c r="BZ385" s="319"/>
      <c r="CA385" s="319"/>
      <c r="CB385" s="319"/>
      <c r="CC385" s="319"/>
      <c r="CD385" s="319"/>
      <c r="CE385" s="319"/>
      <c r="CF385" s="319"/>
      <c r="CG385" s="319"/>
      <c r="CH385" s="319"/>
      <c r="CI385" s="319"/>
      <c r="CJ385" s="319"/>
      <c r="CK385" s="319"/>
    </row>
    <row r="386" spans="1:89" ht="13.5" hidden="1" customHeight="1">
      <c r="A386" s="12"/>
      <c r="B386" s="1" t="str">
        <f>B255</f>
        <v>Perdas diversas</v>
      </c>
      <c r="C386" s="29" t="str">
        <f>$C$254</f>
        <v>%</v>
      </c>
      <c r="D386" s="422"/>
      <c r="E386" s="1"/>
      <c r="F386" s="1"/>
      <c r="G386" s="1" t="str">
        <f>Language!C1905</f>
        <v>Coeficiente de pressão</v>
      </c>
      <c r="H386" s="1"/>
      <c r="I386" s="1"/>
      <c r="J386" s="29"/>
      <c r="K386" s="262">
        <f>'Modelo Energético'!K299</f>
        <v>0</v>
      </c>
      <c r="L386" s="1"/>
      <c r="M386" s="319"/>
      <c r="N386" s="319">
        <v>2103018</v>
      </c>
      <c r="O386" s="319">
        <v>2104004</v>
      </c>
      <c r="P386" s="319"/>
      <c r="Q386" s="319"/>
      <c r="R386" s="319"/>
      <c r="S386" s="319"/>
      <c r="T386" s="319"/>
      <c r="U386" s="319"/>
      <c r="V386" s="319"/>
      <c r="W386" s="319"/>
      <c r="X386" s="319"/>
      <c r="Y386" s="319"/>
      <c r="Z386" s="319"/>
      <c r="AA386" s="319"/>
      <c r="AB386" s="319"/>
      <c r="AC386" s="319"/>
      <c r="AD386" s="319"/>
      <c r="AE386" s="319"/>
      <c r="AF386" s="319"/>
      <c r="AG386" s="319"/>
      <c r="AH386" s="319"/>
      <c r="AI386" s="319"/>
      <c r="AJ386" s="319"/>
      <c r="AK386" s="319"/>
      <c r="AL386" s="319"/>
      <c r="AM386" s="319"/>
      <c r="AN386" s="319"/>
      <c r="AO386" s="319"/>
      <c r="AP386" s="319"/>
      <c r="AQ386" s="319"/>
      <c r="AR386" s="319"/>
      <c r="AS386" s="319"/>
      <c r="AT386" s="319"/>
      <c r="AU386" s="319"/>
      <c r="AV386" s="319"/>
      <c r="AW386" s="319"/>
      <c r="AX386" s="319"/>
      <c r="AY386" s="319"/>
      <c r="AZ386" s="319"/>
      <c r="BA386" s="319"/>
      <c r="BB386" s="319"/>
      <c r="BC386" s="319"/>
      <c r="BD386" s="319"/>
      <c r="BE386" s="319"/>
      <c r="BF386" s="319"/>
      <c r="BG386" s="319"/>
      <c r="BH386" s="319"/>
      <c r="BI386" s="319"/>
      <c r="BJ386" s="319"/>
      <c r="BK386" s="319"/>
      <c r="BL386" s="319"/>
      <c r="BM386" s="319"/>
      <c r="BN386" s="319"/>
      <c r="BO386" s="319"/>
      <c r="BP386" s="319"/>
      <c r="BQ386" s="319"/>
      <c r="BR386" s="319"/>
      <c r="BS386" s="319"/>
      <c r="BT386" s="319"/>
      <c r="BU386" s="319"/>
      <c r="BV386" s="319"/>
      <c r="BW386" s="319"/>
      <c r="BX386" s="319"/>
      <c r="BY386" s="319"/>
      <c r="BZ386" s="319"/>
      <c r="CA386" s="319"/>
      <c r="CB386" s="319"/>
      <c r="CC386" s="319"/>
      <c r="CD386" s="319"/>
      <c r="CE386" s="319"/>
      <c r="CF386" s="319"/>
      <c r="CG386" s="319"/>
      <c r="CH386" s="319"/>
      <c r="CI386" s="319"/>
      <c r="CJ386" s="319"/>
      <c r="CK386" s="319"/>
    </row>
    <row r="387" spans="1:89" ht="13.5" hidden="1" customHeight="1">
      <c r="A387" s="12"/>
      <c r="B387" s="1" t="str">
        <f>Language!C410</f>
        <v>Disponibilidade</v>
      </c>
      <c r="C387" s="29" t="str">
        <f>$C$254</f>
        <v>%</v>
      </c>
      <c r="D387" s="422"/>
      <c r="E387" s="1"/>
      <c r="F387" s="1"/>
      <c r="G387" s="1" t="str">
        <f>B306</f>
        <v>Coeficiente de Temperatura</v>
      </c>
      <c r="H387" s="1"/>
      <c r="I387" s="1"/>
      <c r="J387" s="29"/>
      <c r="K387" s="262">
        <f>'Modelo Energético'!K300</f>
        <v>1.054945054945055</v>
      </c>
      <c r="L387" s="1"/>
      <c r="M387" s="319"/>
      <c r="N387" s="319">
        <v>2103020</v>
      </c>
      <c r="O387" s="319">
        <v>2104006</v>
      </c>
      <c r="P387" s="319"/>
      <c r="Q387" s="319"/>
      <c r="R387" s="319"/>
      <c r="S387" s="319"/>
      <c r="T387" s="319"/>
      <c r="U387" s="319"/>
      <c r="V387" s="319"/>
      <c r="W387" s="319"/>
      <c r="X387" s="319"/>
      <c r="Y387" s="319"/>
      <c r="Z387" s="319"/>
      <c r="AA387" s="319"/>
      <c r="AB387" s="319"/>
      <c r="AC387" s="319"/>
      <c r="AD387" s="319"/>
      <c r="AE387" s="319"/>
      <c r="AF387" s="319"/>
      <c r="AG387" s="319"/>
      <c r="AH387" s="319"/>
      <c r="AI387" s="319"/>
      <c r="AJ387" s="319"/>
      <c r="AK387" s="319"/>
      <c r="AL387" s="319"/>
      <c r="AM387" s="319"/>
      <c r="AN387" s="319"/>
      <c r="AO387" s="319"/>
      <c r="AP387" s="319"/>
      <c r="AQ387" s="319"/>
      <c r="AR387" s="319"/>
      <c r="AS387" s="319"/>
      <c r="AT387" s="319"/>
      <c r="AU387" s="319"/>
      <c r="AV387" s="319"/>
      <c r="AW387" s="319"/>
      <c r="AX387" s="319"/>
      <c r="AY387" s="319"/>
      <c r="AZ387" s="319"/>
      <c r="BA387" s="319"/>
      <c r="BB387" s="319"/>
      <c r="BC387" s="319"/>
      <c r="BD387" s="319"/>
      <c r="BE387" s="319"/>
      <c r="BF387" s="319"/>
      <c r="BG387" s="319"/>
      <c r="BH387" s="319"/>
      <c r="BI387" s="319"/>
      <c r="BJ387" s="319"/>
      <c r="BK387" s="319"/>
      <c r="BL387" s="319"/>
      <c r="BM387" s="319"/>
      <c r="BN387" s="319"/>
      <c r="BO387" s="319"/>
      <c r="BP387" s="319"/>
      <c r="BQ387" s="319"/>
      <c r="BR387" s="319"/>
      <c r="BS387" s="319"/>
      <c r="BT387" s="319"/>
      <c r="BU387" s="319"/>
      <c r="BV387" s="319"/>
      <c r="BW387" s="319"/>
      <c r="BX387" s="319"/>
      <c r="BY387" s="319"/>
      <c r="BZ387" s="319"/>
      <c r="CA387" s="319"/>
      <c r="CB387" s="319"/>
      <c r="CC387" s="319"/>
      <c r="CD387" s="319"/>
      <c r="CE387" s="319"/>
      <c r="CF387" s="319"/>
      <c r="CG387" s="319"/>
      <c r="CH387" s="319"/>
      <c r="CI387" s="319"/>
      <c r="CJ387" s="319"/>
      <c r="CK387" s="319"/>
    </row>
    <row r="388" spans="1:89" ht="13.5" hidden="1" customHeight="1">
      <c r="A388" s="12"/>
      <c r="B388" s="1"/>
      <c r="C388" s="1"/>
      <c r="D388" s="1"/>
      <c r="E388" s="1"/>
      <c r="F388" s="1"/>
      <c r="G388" s="1" t="str">
        <f>Language!C1711</f>
        <v>Produção de energia bruta</v>
      </c>
      <c r="H388" s="1"/>
      <c r="I388" s="1"/>
      <c r="J388" s="29" t="str">
        <f>$J$1184</f>
        <v>MWh</v>
      </c>
      <c r="K388" s="37" t="e">
        <f>'Modelo Energético'!P301/K389</f>
        <v>#DIV/0!</v>
      </c>
      <c r="L388" s="1"/>
      <c r="M388" s="319"/>
      <c r="N388" s="319">
        <v>5040000</v>
      </c>
      <c r="O388" s="319">
        <v>2104008</v>
      </c>
      <c r="P388" s="319"/>
      <c r="Q388" s="319"/>
      <c r="R388" s="319"/>
      <c r="S388" s="319"/>
      <c r="T388" s="319"/>
      <c r="U388" s="319"/>
      <c r="V388" s="319"/>
      <c r="W388" s="319"/>
      <c r="X388" s="319"/>
      <c r="Y388" s="319"/>
      <c r="Z388" s="319"/>
      <c r="AA388" s="319"/>
      <c r="AB388" s="319"/>
      <c r="AC388" s="319"/>
      <c r="AD388" s="319"/>
      <c r="AE388" s="319"/>
      <c r="AF388" s="319"/>
      <c r="AG388" s="319"/>
      <c r="AH388" s="319"/>
      <c r="AI388" s="319"/>
      <c r="AJ388" s="319"/>
      <c r="AK388" s="319"/>
      <c r="AL388" s="319"/>
      <c r="AM388" s="319"/>
      <c r="AN388" s="319"/>
      <c r="AO388" s="319"/>
      <c r="AP388" s="319"/>
      <c r="AQ388" s="319"/>
      <c r="AR388" s="319"/>
      <c r="AS388" s="319"/>
      <c r="AT388" s="319"/>
      <c r="AU388" s="319"/>
      <c r="AV388" s="319"/>
      <c r="AW388" s="319"/>
      <c r="AX388" s="319"/>
      <c r="AY388" s="319"/>
      <c r="AZ388" s="319"/>
      <c r="BA388" s="319"/>
      <c r="BB388" s="319"/>
      <c r="BC388" s="319"/>
      <c r="BD388" s="319"/>
      <c r="BE388" s="319"/>
      <c r="BF388" s="319"/>
      <c r="BG388" s="319"/>
      <c r="BH388" s="319"/>
      <c r="BI388" s="319"/>
      <c r="BJ388" s="319"/>
      <c r="BK388" s="319"/>
      <c r="BL388" s="319"/>
      <c r="BM388" s="319"/>
      <c r="BN388" s="319"/>
      <c r="BO388" s="319"/>
      <c r="BP388" s="319"/>
      <c r="BQ388" s="319"/>
      <c r="BR388" s="319"/>
      <c r="BS388" s="319"/>
      <c r="BT388" s="319"/>
      <c r="BU388" s="319"/>
      <c r="BV388" s="319"/>
      <c r="BW388" s="319"/>
      <c r="BX388" s="319"/>
      <c r="BY388" s="319"/>
      <c r="BZ388" s="319"/>
      <c r="CA388" s="319"/>
      <c r="CB388" s="319"/>
      <c r="CC388" s="319"/>
      <c r="CD388" s="319"/>
      <c r="CE388" s="319"/>
      <c r="CF388" s="319"/>
      <c r="CG388" s="319"/>
      <c r="CH388" s="319"/>
      <c r="CI388" s="319"/>
      <c r="CJ388" s="319"/>
      <c r="CK388" s="319"/>
    </row>
    <row r="389" spans="1:89" ht="13.5" hidden="1" customHeight="1">
      <c r="A389" s="12"/>
      <c r="B389" s="28" t="str">
        <f>B496</f>
        <v>Resumo</v>
      </c>
      <c r="C389" s="1"/>
      <c r="D389" s="1"/>
      <c r="E389" s="1"/>
      <c r="F389" s="1"/>
      <c r="G389" s="1" t="str">
        <f>Language!C1793</f>
        <v>Coeficiente de perdas</v>
      </c>
      <c r="H389" s="1"/>
      <c r="I389" s="1"/>
      <c r="J389" s="29"/>
      <c r="K389" s="262">
        <f>(1-D384)*(1-D385)*(1-D386)*D387</f>
        <v>0</v>
      </c>
      <c r="L389" s="1"/>
      <c r="M389" s="319"/>
      <c r="N389" s="319">
        <v>5040058</v>
      </c>
      <c r="O389" s="319">
        <v>2104010</v>
      </c>
      <c r="P389" s="319"/>
      <c r="Q389" s="319"/>
      <c r="R389" s="319"/>
      <c r="S389" s="319"/>
      <c r="T389" s="319"/>
      <c r="U389" s="319"/>
      <c r="V389" s="319"/>
      <c r="W389" s="319"/>
      <c r="X389" s="319"/>
      <c r="Y389" s="319"/>
      <c r="Z389" s="319"/>
      <c r="AA389" s="319"/>
      <c r="AB389" s="319"/>
      <c r="AC389" s="319"/>
      <c r="AD389" s="319"/>
      <c r="AE389" s="319"/>
      <c r="AF389" s="319"/>
      <c r="AG389" s="319"/>
      <c r="AH389" s="319"/>
      <c r="AI389" s="319"/>
      <c r="AJ389" s="319"/>
      <c r="AK389" s="319"/>
      <c r="AL389" s="319"/>
      <c r="AM389" s="319"/>
      <c r="AN389" s="319"/>
      <c r="AO389" s="319"/>
      <c r="AP389" s="319"/>
      <c r="AQ389" s="319"/>
      <c r="AR389" s="319"/>
      <c r="AS389" s="319"/>
      <c r="AT389" s="319"/>
      <c r="AU389" s="319"/>
      <c r="AV389" s="319"/>
      <c r="AW389" s="319"/>
      <c r="AX389" s="319"/>
      <c r="AY389" s="319"/>
      <c r="AZ389" s="319"/>
      <c r="BA389" s="319"/>
      <c r="BB389" s="319"/>
      <c r="BC389" s="319"/>
      <c r="BD389" s="319"/>
      <c r="BE389" s="319"/>
      <c r="BF389" s="319"/>
      <c r="BG389" s="319"/>
      <c r="BH389" s="319"/>
      <c r="BI389" s="319"/>
      <c r="BJ389" s="319"/>
      <c r="BK389" s="319"/>
      <c r="BL389" s="319"/>
      <c r="BM389" s="319"/>
      <c r="BN389" s="319"/>
      <c r="BO389" s="319"/>
      <c r="BP389" s="319"/>
      <c r="BQ389" s="319"/>
      <c r="BR389" s="319"/>
      <c r="BS389" s="319"/>
      <c r="BT389" s="319"/>
      <c r="BU389" s="319"/>
      <c r="BV389" s="319"/>
      <c r="BW389" s="319"/>
      <c r="BX389" s="319"/>
      <c r="BY389" s="319"/>
      <c r="BZ389" s="319"/>
      <c r="CA389" s="319"/>
      <c r="CB389" s="319"/>
      <c r="CC389" s="319"/>
      <c r="CD389" s="319"/>
      <c r="CE389" s="319"/>
      <c r="CF389" s="319"/>
      <c r="CG389" s="319"/>
      <c r="CH389" s="319"/>
      <c r="CI389" s="319"/>
      <c r="CJ389" s="319"/>
      <c r="CK389" s="319"/>
    </row>
    <row r="390" spans="1:89" ht="13.5" hidden="1" customHeight="1">
      <c r="A390" s="12"/>
      <c r="B390" s="329" t="str">
        <f>B856</f>
        <v>Fator de Utilização</v>
      </c>
      <c r="C390" s="29" t="str">
        <f>$C$254</f>
        <v>%</v>
      </c>
      <c r="D390" s="55" t="e">
        <f>'Modelo Energético'!D303</f>
        <v>#DIV/0!</v>
      </c>
      <c r="E390" s="329"/>
      <c r="F390" s="1"/>
      <c r="G390" s="1" t="str">
        <f>Language!C1995</f>
        <v>Rendimento específico</v>
      </c>
      <c r="H390" s="1"/>
      <c r="I390" s="1"/>
      <c r="J390" s="29" t="str">
        <f>Language!C2219</f>
        <v>kWh/m²</v>
      </c>
      <c r="K390" s="37" t="e">
        <f>'Modelo Energético'!K303</f>
        <v>#DIV/0!</v>
      </c>
      <c r="L390" s="1"/>
      <c r="M390" s="319"/>
      <c r="N390" s="319">
        <v>2105002</v>
      </c>
      <c r="O390" s="319">
        <v>2104012</v>
      </c>
      <c r="P390" s="319"/>
      <c r="Q390" s="319"/>
      <c r="R390" s="319"/>
      <c r="S390" s="319"/>
      <c r="T390" s="319"/>
      <c r="U390" s="319"/>
      <c r="V390" s="319"/>
      <c r="W390" s="319"/>
      <c r="X390" s="319"/>
      <c r="Y390" s="319"/>
      <c r="Z390" s="319"/>
      <c r="AA390" s="319"/>
      <c r="AB390" s="319"/>
      <c r="AC390" s="319"/>
      <c r="AD390" s="319"/>
      <c r="AE390" s="319"/>
      <c r="AF390" s="319"/>
      <c r="AG390" s="319"/>
      <c r="AH390" s="319"/>
      <c r="AI390" s="319"/>
      <c r="AJ390" s="319"/>
      <c r="AK390" s="319"/>
      <c r="AL390" s="319"/>
      <c r="AM390" s="319"/>
      <c r="AN390" s="319"/>
      <c r="AO390" s="319"/>
      <c r="AP390" s="319"/>
      <c r="AQ390" s="319"/>
      <c r="AR390" s="319"/>
      <c r="AS390" s="319"/>
      <c r="AT390" s="319"/>
      <c r="AU390" s="319"/>
      <c r="AV390" s="319"/>
      <c r="AW390" s="319"/>
      <c r="AX390" s="319"/>
      <c r="AY390" s="319"/>
      <c r="AZ390" s="319"/>
      <c r="BA390" s="319"/>
      <c r="BB390" s="319"/>
      <c r="BC390" s="319"/>
      <c r="BD390" s="319"/>
      <c r="BE390" s="319"/>
      <c r="BF390" s="319"/>
      <c r="BG390" s="319"/>
      <c r="BH390" s="319"/>
      <c r="BI390" s="319"/>
      <c r="BJ390" s="319"/>
      <c r="BK390" s="319"/>
      <c r="BL390" s="319"/>
      <c r="BM390" s="319"/>
      <c r="BN390" s="319"/>
      <c r="BO390" s="319"/>
      <c r="BP390" s="319"/>
      <c r="BQ390" s="319"/>
      <c r="BR390" s="319"/>
      <c r="BS390" s="319"/>
      <c r="BT390" s="319"/>
      <c r="BU390" s="319"/>
      <c r="BV390" s="319"/>
      <c r="BW390" s="319"/>
      <c r="BX390" s="319"/>
      <c r="BY390" s="319"/>
      <c r="BZ390" s="319"/>
      <c r="CA390" s="319"/>
      <c r="CB390" s="319"/>
      <c r="CC390" s="319"/>
      <c r="CD390" s="319"/>
      <c r="CE390" s="319"/>
      <c r="CF390" s="319"/>
      <c r="CG390" s="319"/>
      <c r="CH390" s="319"/>
      <c r="CI390" s="319"/>
      <c r="CJ390" s="319"/>
      <c r="CK390" s="319"/>
    </row>
    <row r="391" spans="1:89" ht="13.5" hidden="1" customHeight="1">
      <c r="A391" s="12"/>
      <c r="B391" s="329" t="str">
        <f>B500</f>
        <v>Eletricidade fornecida à carga</v>
      </c>
      <c r="C391" s="29" t="str">
        <f>$J$1184</f>
        <v>MWh</v>
      </c>
      <c r="D391" s="140">
        <f>'Modelo Energético'!R302</f>
        <v>0</v>
      </c>
      <c r="E391" s="55" t="e">
        <f>D391/(E245+E246)</f>
        <v>#DIV/0!</v>
      </c>
      <c r="F391" s="1"/>
      <c r="G391" s="1"/>
      <c r="H391" s="1"/>
      <c r="I391" s="1"/>
      <c r="J391" s="1"/>
      <c r="K391" s="9"/>
      <c r="L391" s="1"/>
      <c r="M391" s="319"/>
      <c r="N391" s="319">
        <v>5030044</v>
      </c>
      <c r="O391" s="319"/>
      <c r="P391" s="319"/>
      <c r="Q391" s="319"/>
      <c r="R391" s="319"/>
      <c r="S391" s="319"/>
      <c r="T391" s="319"/>
      <c r="U391" s="319"/>
      <c r="V391" s="319"/>
      <c r="W391" s="319"/>
      <c r="X391" s="319"/>
      <c r="Y391" s="319"/>
      <c r="Z391" s="319"/>
      <c r="AA391" s="319"/>
      <c r="AB391" s="319"/>
      <c r="AC391" s="319"/>
      <c r="AD391" s="319"/>
      <c r="AE391" s="319"/>
      <c r="AF391" s="319"/>
      <c r="AG391" s="319"/>
      <c r="AH391" s="319"/>
      <c r="AI391" s="319"/>
      <c r="AJ391" s="319"/>
      <c r="AK391" s="319"/>
      <c r="AL391" s="319"/>
      <c r="AM391" s="319"/>
      <c r="AN391" s="319"/>
      <c r="AO391" s="319"/>
      <c r="AP391" s="319"/>
      <c r="AQ391" s="319"/>
      <c r="AR391" s="319"/>
      <c r="AS391" s="319"/>
      <c r="AT391" s="319"/>
      <c r="AU391" s="319"/>
      <c r="AV391" s="319"/>
      <c r="AW391" s="319"/>
      <c r="AX391" s="319"/>
      <c r="AY391" s="319"/>
      <c r="AZ391" s="319"/>
      <c r="BA391" s="319"/>
      <c r="BB391" s="319"/>
      <c r="BC391" s="319"/>
      <c r="BD391" s="319"/>
      <c r="BE391" s="319"/>
      <c r="BF391" s="319"/>
      <c r="BG391" s="319"/>
      <c r="BH391" s="319"/>
      <c r="BI391" s="319"/>
      <c r="BJ391" s="319"/>
      <c r="BK391" s="319"/>
      <c r="BL391" s="319"/>
      <c r="BM391" s="319"/>
      <c r="BN391" s="319"/>
      <c r="BO391" s="319"/>
      <c r="BP391" s="319"/>
      <c r="BQ391" s="319"/>
      <c r="BR391" s="319"/>
      <c r="BS391" s="319"/>
      <c r="BT391" s="319"/>
      <c r="BU391" s="319"/>
      <c r="BV391" s="319"/>
      <c r="BW391" s="319"/>
      <c r="BX391" s="319"/>
      <c r="BY391" s="319"/>
      <c r="BZ391" s="319"/>
      <c r="CA391" s="319"/>
      <c r="CB391" s="319"/>
      <c r="CC391" s="319"/>
      <c r="CD391" s="319"/>
      <c r="CE391" s="319"/>
      <c r="CF391" s="319"/>
      <c r="CG391" s="319"/>
      <c r="CH391" s="319"/>
      <c r="CI391" s="319"/>
      <c r="CJ391" s="319"/>
      <c r="CK391" s="319"/>
    </row>
    <row r="392" spans="1:89" ht="13.5" hidden="1" customHeight="1">
      <c r="A392" s="12"/>
      <c r="B392" s="1"/>
      <c r="C392" s="29"/>
      <c r="D392" s="29"/>
      <c r="E392" s="1"/>
      <c r="F392" s="1"/>
      <c r="G392" s="1"/>
      <c r="H392" s="1"/>
      <c r="I392" s="1"/>
      <c r="J392" s="1"/>
      <c r="K392" s="9"/>
      <c r="L392" s="1"/>
      <c r="M392" s="319"/>
      <c r="N392" s="319">
        <v>5040000</v>
      </c>
      <c r="O392" s="319"/>
      <c r="P392" s="319"/>
      <c r="Q392" s="319"/>
      <c r="R392" s="319"/>
      <c r="S392" s="319"/>
      <c r="T392" s="319"/>
      <c r="U392" s="319"/>
      <c r="V392" s="319"/>
      <c r="W392" s="319"/>
      <c r="X392" s="319"/>
      <c r="Y392" s="319"/>
      <c r="Z392" s="319"/>
      <c r="AA392" s="319"/>
      <c r="AB392" s="319"/>
      <c r="AC392" s="319"/>
      <c r="AD392" s="319"/>
      <c r="AE392" s="319"/>
      <c r="AF392" s="319"/>
      <c r="AG392" s="319"/>
      <c r="AH392" s="319"/>
      <c r="AI392" s="319"/>
      <c r="AJ392" s="319"/>
      <c r="AK392" s="319"/>
      <c r="AL392" s="319"/>
      <c r="AM392" s="319"/>
      <c r="AN392" s="319"/>
      <c r="AO392" s="319"/>
      <c r="AP392" s="319"/>
      <c r="AQ392" s="319"/>
      <c r="AR392" s="319"/>
      <c r="AS392" s="319"/>
      <c r="AT392" s="319"/>
      <c r="AU392" s="319"/>
      <c r="AV392" s="319"/>
      <c r="AW392" s="319"/>
      <c r="AX392" s="319"/>
      <c r="AY392" s="319"/>
      <c r="AZ392" s="319"/>
      <c r="BA392" s="319"/>
      <c r="BB392" s="319"/>
      <c r="BC392" s="319"/>
      <c r="BD392" s="319"/>
      <c r="BE392" s="319"/>
      <c r="BF392" s="319"/>
      <c r="BG392" s="319"/>
      <c r="BH392" s="319"/>
      <c r="BI392" s="319"/>
      <c r="BJ392" s="319"/>
      <c r="BK392" s="319"/>
      <c r="BL392" s="319"/>
      <c r="BM392" s="319"/>
      <c r="BN392" s="319"/>
      <c r="BO392" s="319"/>
      <c r="BP392" s="319"/>
      <c r="BQ392" s="319"/>
      <c r="BR392" s="319"/>
      <c r="BS392" s="319"/>
      <c r="BT392" s="319"/>
      <c r="BU392" s="319"/>
      <c r="BV392" s="319"/>
      <c r="BW392" s="319"/>
      <c r="BX392" s="319"/>
      <c r="BY392" s="319"/>
      <c r="BZ392" s="319"/>
      <c r="CA392" s="319"/>
      <c r="CB392" s="319"/>
      <c r="CC392" s="319"/>
      <c r="CD392" s="319"/>
      <c r="CE392" s="319"/>
      <c r="CF392" s="319"/>
      <c r="CG392" s="319"/>
      <c r="CH392" s="319"/>
      <c r="CI392" s="319"/>
      <c r="CJ392" s="319"/>
      <c r="CK392" s="319"/>
    </row>
    <row r="393" spans="1:89" ht="12.75" hidden="1" customHeight="1">
      <c r="A393" s="12"/>
      <c r="B393" s="29"/>
      <c r="C393" s="29"/>
      <c r="D393" s="29"/>
      <c r="E393" s="1"/>
      <c r="F393" s="1"/>
      <c r="G393" s="1"/>
      <c r="H393" s="1"/>
      <c r="I393" s="1"/>
      <c r="J393" s="1"/>
      <c r="K393" s="9"/>
      <c r="L393" s="1"/>
      <c r="M393" s="319"/>
      <c r="N393" s="319">
        <v>5040000</v>
      </c>
      <c r="O393" s="319"/>
      <c r="P393" s="319"/>
      <c r="Q393" s="319"/>
      <c r="R393" s="319"/>
      <c r="S393" s="319"/>
      <c r="T393" s="319"/>
      <c r="U393" s="319"/>
      <c r="V393" s="319"/>
      <c r="W393" s="319"/>
      <c r="X393" s="319"/>
      <c r="Y393" s="319"/>
      <c r="Z393" s="319"/>
      <c r="AA393" s="319"/>
      <c r="AB393" s="319"/>
      <c r="AC393" s="319"/>
      <c r="AD393" s="319"/>
      <c r="AE393" s="319"/>
      <c r="AF393" s="319"/>
      <c r="AG393" s="319"/>
      <c r="AH393" s="319"/>
      <c r="AI393" s="319"/>
      <c r="AJ393" s="319"/>
      <c r="AK393" s="319"/>
      <c r="AL393" s="319"/>
      <c r="AM393" s="319"/>
      <c r="AN393" s="319"/>
      <c r="AO393" s="319"/>
      <c r="AP393" s="319"/>
      <c r="AQ393" s="319"/>
      <c r="AR393" s="319"/>
      <c r="AS393" s="319"/>
      <c r="AT393" s="319"/>
      <c r="AU393" s="319"/>
      <c r="AV393" s="319"/>
      <c r="AW393" s="319"/>
      <c r="AX393" s="319"/>
      <c r="AY393" s="319"/>
      <c r="AZ393" s="319"/>
      <c r="BA393" s="319"/>
      <c r="BB393" s="319"/>
      <c r="BC393" s="319"/>
      <c r="BD393" s="319"/>
      <c r="BE393" s="319"/>
      <c r="BF393" s="319"/>
      <c r="BG393" s="319"/>
      <c r="BH393" s="319"/>
      <c r="BI393" s="319"/>
      <c r="BJ393" s="319"/>
      <c r="BK393" s="319"/>
      <c r="BL393" s="319"/>
      <c r="BM393" s="319"/>
      <c r="BN393" s="319"/>
      <c r="BO393" s="319"/>
      <c r="BP393" s="319"/>
      <c r="BQ393" s="319"/>
      <c r="BR393" s="319"/>
      <c r="BS393" s="319"/>
      <c r="BT393" s="319"/>
      <c r="BU393" s="319"/>
      <c r="BV393" s="319"/>
      <c r="BW393" s="319"/>
      <c r="BX393" s="319"/>
      <c r="BY393" s="319"/>
      <c r="BZ393" s="319"/>
      <c r="CA393" s="319"/>
      <c r="CB393" s="319"/>
      <c r="CC393" s="319"/>
      <c r="CD393" s="319"/>
      <c r="CE393" s="319"/>
      <c r="CF393" s="319"/>
      <c r="CG393" s="319"/>
      <c r="CH393" s="319"/>
      <c r="CI393" s="319"/>
      <c r="CJ393" s="319"/>
      <c r="CK393" s="319"/>
    </row>
    <row r="394" spans="1:89" ht="13.5" hidden="1" customHeight="1">
      <c r="A394" s="12"/>
      <c r="B394" s="1"/>
      <c r="C394" s="1"/>
      <c r="D394" s="1"/>
      <c r="E394" s="1"/>
      <c r="F394" s="1"/>
      <c r="G394" s="1"/>
      <c r="H394" s="1"/>
      <c r="I394" s="1"/>
      <c r="J394" s="1"/>
      <c r="K394" s="9"/>
      <c r="L394" s="1"/>
      <c r="M394" s="319"/>
      <c r="N394" s="319">
        <v>5040000</v>
      </c>
      <c r="O394" s="319"/>
      <c r="P394" s="319"/>
      <c r="Q394" s="319"/>
      <c r="R394" s="319"/>
      <c r="S394" s="319"/>
      <c r="T394" s="319"/>
      <c r="U394" s="319"/>
      <c r="V394" s="319"/>
      <c r="W394" s="319"/>
      <c r="X394" s="319"/>
      <c r="Y394" s="319"/>
      <c r="Z394" s="319"/>
      <c r="AA394" s="319"/>
      <c r="AB394" s="319"/>
      <c r="AC394" s="319"/>
      <c r="AD394" s="319"/>
      <c r="AE394" s="319"/>
      <c r="AF394" s="319"/>
      <c r="AG394" s="319"/>
      <c r="AH394" s="319"/>
      <c r="AI394" s="319"/>
      <c r="AJ394" s="319"/>
      <c r="AK394" s="319"/>
      <c r="AL394" s="319"/>
      <c r="AM394" s="319"/>
      <c r="AN394" s="319"/>
      <c r="AO394" s="319"/>
      <c r="AP394" s="319"/>
      <c r="AQ394" s="319"/>
      <c r="AR394" s="319"/>
      <c r="AS394" s="319"/>
      <c r="AT394" s="319"/>
      <c r="AU394" s="319"/>
      <c r="AV394" s="319"/>
      <c r="AW394" s="319"/>
      <c r="AX394" s="319"/>
      <c r="AY394" s="319"/>
      <c r="AZ394" s="319"/>
      <c r="BA394" s="319"/>
      <c r="BB394" s="319"/>
      <c r="BC394" s="319"/>
      <c r="BD394" s="319"/>
      <c r="BE394" s="319"/>
      <c r="BF394" s="319"/>
      <c r="BG394" s="319"/>
      <c r="BH394" s="319"/>
      <c r="BI394" s="319"/>
      <c r="BJ394" s="319"/>
      <c r="BK394" s="319"/>
      <c r="BL394" s="319"/>
      <c r="BM394" s="319"/>
      <c r="BN394" s="319"/>
      <c r="BO394" s="319"/>
      <c r="BP394" s="319"/>
      <c r="BQ394" s="319"/>
      <c r="BR394" s="319"/>
      <c r="BS394" s="319"/>
      <c r="BT394" s="319"/>
      <c r="BU394" s="319"/>
      <c r="BV394" s="319"/>
      <c r="BW394" s="319"/>
      <c r="BX394" s="319"/>
      <c r="BY394" s="319"/>
      <c r="BZ394" s="319"/>
      <c r="CA394" s="319"/>
      <c r="CB394" s="319"/>
      <c r="CC394" s="319"/>
      <c r="CD394" s="319"/>
      <c r="CE394" s="319"/>
      <c r="CF394" s="319"/>
      <c r="CG394" s="319"/>
      <c r="CH394" s="319"/>
      <c r="CI394" s="319"/>
      <c r="CJ394" s="319"/>
      <c r="CK394" s="319"/>
    </row>
    <row r="395" spans="1:89" ht="13.5" hidden="1" customHeight="1">
      <c r="A395" s="12"/>
      <c r="B395" s="28" t="str">
        <f>B272</f>
        <v>Avaliação de recursos</v>
      </c>
      <c r="C395" s="1"/>
      <c r="D395" s="1"/>
      <c r="E395" s="1"/>
      <c r="F395" s="1"/>
      <c r="G395" s="1"/>
      <c r="H395" s="1"/>
      <c r="I395" s="1"/>
      <c r="J395" s="1"/>
      <c r="K395" s="9"/>
      <c r="L395" s="1"/>
      <c r="M395" s="319">
        <f>IF(D396=Language!C1951,100,0)</f>
        <v>100</v>
      </c>
      <c r="N395" s="319">
        <v>2111001</v>
      </c>
      <c r="O395" s="319"/>
      <c r="P395" s="319"/>
      <c r="Q395" s="319"/>
      <c r="R395" s="319"/>
      <c r="S395" s="319"/>
      <c r="T395" s="319"/>
      <c r="U395" s="319"/>
      <c r="V395" s="319"/>
      <c r="W395" s="319"/>
      <c r="X395" s="319"/>
      <c r="Y395" s="319"/>
      <c r="Z395" s="319"/>
      <c r="AA395" s="319"/>
      <c r="AB395" s="319"/>
      <c r="AC395" s="319"/>
      <c r="AD395" s="319"/>
      <c r="AE395" s="319"/>
      <c r="AF395" s="319"/>
      <c r="AG395" s="319"/>
      <c r="AH395" s="319"/>
      <c r="AI395" s="319"/>
      <c r="AJ395" s="319"/>
      <c r="AK395" s="319"/>
      <c r="AL395" s="319"/>
      <c r="AM395" s="319"/>
      <c r="AN395" s="319"/>
      <c r="AO395" s="319"/>
      <c r="AP395" s="319"/>
      <c r="AQ395" s="319"/>
      <c r="AR395" s="319"/>
      <c r="AS395" s="319"/>
      <c r="AT395" s="319"/>
      <c r="AU395" s="319"/>
      <c r="AV395" s="319"/>
      <c r="AW395" s="319"/>
      <c r="AX395" s="319"/>
      <c r="AY395" s="319"/>
      <c r="AZ395" s="319"/>
      <c r="BA395" s="319"/>
      <c r="BB395" s="319"/>
      <c r="BC395" s="319"/>
      <c r="BD395" s="319"/>
      <c r="BE395" s="319"/>
      <c r="BF395" s="319"/>
      <c r="BG395" s="319"/>
      <c r="BH395" s="319"/>
      <c r="BI395" s="319"/>
      <c r="BJ395" s="319"/>
      <c r="BK395" s="319"/>
      <c r="BL395" s="319"/>
      <c r="BM395" s="319"/>
      <c r="BN395" s="319"/>
      <c r="BO395" s="319"/>
      <c r="BP395" s="319"/>
      <c r="BQ395" s="319"/>
      <c r="BR395" s="319"/>
      <c r="BS395" s="319"/>
      <c r="BT395" s="319"/>
      <c r="BU395" s="319"/>
      <c r="BV395" s="319"/>
      <c r="BW395" s="319"/>
      <c r="BX395" s="319"/>
      <c r="BY395" s="319"/>
      <c r="BZ395" s="319"/>
      <c r="CA395" s="319"/>
      <c r="CB395" s="319"/>
      <c r="CC395" s="319"/>
      <c r="CD395" s="319"/>
      <c r="CE395" s="319"/>
      <c r="CF395" s="319"/>
      <c r="CG395" s="319"/>
      <c r="CH395" s="319"/>
      <c r="CI395" s="319"/>
      <c r="CJ395" s="319"/>
      <c r="CK395" s="319"/>
    </row>
    <row r="396" spans="1:89" ht="12.75" hidden="1" customHeight="1">
      <c r="A396" s="12"/>
      <c r="B396" s="329" t="str">
        <f>Language!C186</f>
        <v>Projeto Proposto</v>
      </c>
      <c r="C396" s="1"/>
      <c r="D396" s="303" t="s">
        <v>7712</v>
      </c>
      <c r="E396" s="1"/>
      <c r="F396" s="1"/>
      <c r="G396" s="1"/>
      <c r="H396" s="1"/>
      <c r="I396" s="1"/>
      <c r="J396" s="1"/>
      <c r="K396" s="9"/>
      <c r="L396" s="1"/>
      <c r="M396" s="319">
        <f>IF(AND(D396=Language!C1951,D397='Modelo Energético '!B404),100,1)</f>
        <v>100</v>
      </c>
      <c r="N396" s="319">
        <v>2111002</v>
      </c>
      <c r="O396" s="319"/>
      <c r="P396" s="319"/>
      <c r="Q396" s="319"/>
      <c r="R396" s="319"/>
      <c r="S396" s="319"/>
      <c r="T396" s="319"/>
      <c r="U396" s="319"/>
      <c r="V396" s="319"/>
      <c r="W396" s="319"/>
      <c r="X396" s="319"/>
      <c r="Y396" s="319"/>
      <c r="Z396" s="319"/>
      <c r="AA396" s="319"/>
      <c r="AB396" s="319"/>
      <c r="AC396" s="319"/>
      <c r="AD396" s="319"/>
      <c r="AE396" s="319"/>
      <c r="AF396" s="319"/>
      <c r="AG396" s="319"/>
      <c r="AH396" s="319"/>
      <c r="AI396" s="319"/>
      <c r="AJ396" s="319"/>
      <c r="AK396" s="319"/>
      <c r="AL396" s="319"/>
      <c r="AM396" s="319"/>
      <c r="AN396" s="319"/>
      <c r="AO396" s="319"/>
      <c r="AP396" s="319"/>
      <c r="AQ396" s="319"/>
      <c r="AR396" s="319"/>
      <c r="AS396" s="319"/>
      <c r="AT396" s="319"/>
      <c r="AU396" s="319"/>
      <c r="AV396" s="319"/>
      <c r="AW396" s="319"/>
      <c r="AX396" s="319"/>
      <c r="AY396" s="319"/>
      <c r="AZ396" s="319"/>
      <c r="BA396" s="319"/>
      <c r="BB396" s="319"/>
      <c r="BC396" s="319"/>
      <c r="BD396" s="319"/>
      <c r="BE396" s="319"/>
      <c r="BF396" s="319"/>
      <c r="BG396" s="319"/>
      <c r="BH396" s="319"/>
      <c r="BI396" s="319"/>
      <c r="BJ396" s="319"/>
      <c r="BK396" s="319"/>
      <c r="BL396" s="319"/>
      <c r="BM396" s="319"/>
      <c r="BN396" s="319"/>
      <c r="BO396" s="319"/>
      <c r="BP396" s="319"/>
      <c r="BQ396" s="319"/>
      <c r="BR396" s="319"/>
      <c r="BS396" s="319"/>
      <c r="BT396" s="319"/>
      <c r="BU396" s="319"/>
      <c r="BV396" s="319"/>
      <c r="BW396" s="319"/>
      <c r="BX396" s="319"/>
      <c r="BY396" s="319"/>
      <c r="BZ396" s="319"/>
      <c r="CA396" s="319"/>
      <c r="CB396" s="319"/>
      <c r="CC396" s="319"/>
      <c r="CD396" s="319"/>
      <c r="CE396" s="319"/>
      <c r="CF396" s="319"/>
      <c r="CG396" s="319"/>
      <c r="CH396" s="319"/>
      <c r="CI396" s="319"/>
      <c r="CJ396" s="319"/>
      <c r="CK396" s="319"/>
    </row>
    <row r="397" spans="1:89" ht="26.4" hidden="1">
      <c r="A397" s="12"/>
      <c r="B397" s="329" t="str">
        <f>Language!C1743</f>
        <v>Método de análise hidrológico</v>
      </c>
      <c r="C397" s="1"/>
      <c r="D397" s="419" t="s">
        <v>7755</v>
      </c>
      <c r="E397" s="1"/>
      <c r="F397" s="1"/>
      <c r="G397" s="1"/>
      <c r="H397" s="1"/>
      <c r="I397" s="1"/>
      <c r="J397" s="1"/>
      <c r="K397" s="9"/>
      <c r="L397" s="1"/>
      <c r="M397" s="319"/>
      <c r="N397" s="319">
        <v>2111004</v>
      </c>
      <c r="O397" s="319"/>
      <c r="P397" s="319"/>
      <c r="Q397" s="319"/>
      <c r="R397" s="319"/>
      <c r="S397" s="319"/>
      <c r="T397" s="319"/>
      <c r="U397" s="319"/>
      <c r="V397" s="319"/>
      <c r="W397" s="319"/>
      <c r="X397" s="319"/>
      <c r="Y397" s="319"/>
      <c r="Z397" s="319"/>
      <c r="AA397" s="319"/>
      <c r="AB397" s="319"/>
      <c r="AC397" s="319"/>
      <c r="AD397" s="319"/>
      <c r="AE397" s="319"/>
      <c r="AF397" s="319"/>
      <c r="AG397" s="319"/>
      <c r="AH397" s="319"/>
      <c r="AI397" s="319"/>
      <c r="AJ397" s="319"/>
      <c r="AK397" s="319"/>
      <c r="AL397" s="319"/>
      <c r="AM397" s="319"/>
      <c r="AN397" s="319"/>
      <c r="AO397" s="319"/>
      <c r="AP397" s="319"/>
      <c r="AQ397" s="319"/>
      <c r="AR397" s="319"/>
      <c r="AS397" s="319"/>
      <c r="AT397" s="319"/>
      <c r="AU397" s="319"/>
      <c r="AV397" s="319"/>
      <c r="AW397" s="319"/>
      <c r="AX397" s="319"/>
      <c r="AY397" s="319"/>
      <c r="AZ397" s="319"/>
      <c r="BA397" s="319"/>
      <c r="BB397" s="319"/>
      <c r="BC397" s="319"/>
      <c r="BD397" s="319"/>
      <c r="BE397" s="319"/>
      <c r="BF397" s="319"/>
      <c r="BG397" s="319"/>
      <c r="BH397" s="319"/>
      <c r="BI397" s="319"/>
      <c r="BJ397" s="319"/>
      <c r="BK397" s="319"/>
      <c r="BL397" s="319"/>
      <c r="BM397" s="319"/>
      <c r="BN397" s="319"/>
      <c r="BO397" s="319"/>
      <c r="BP397" s="319"/>
      <c r="BQ397" s="319"/>
      <c r="BR397" s="319"/>
      <c r="BS397" s="319"/>
      <c r="BT397" s="319"/>
      <c r="BU397" s="319"/>
      <c r="BV397" s="319"/>
      <c r="BW397" s="319"/>
      <c r="BX397" s="319"/>
      <c r="BY397" s="319"/>
      <c r="BZ397" s="319"/>
      <c r="CA397" s="319"/>
      <c r="CB397" s="319"/>
      <c r="CC397" s="319"/>
      <c r="CD397" s="319"/>
      <c r="CE397" s="319"/>
      <c r="CF397" s="319"/>
      <c r="CG397" s="319"/>
      <c r="CH397" s="319"/>
      <c r="CI397" s="319"/>
      <c r="CJ397" s="319"/>
      <c r="CK397" s="319"/>
    </row>
    <row r="398" spans="1:89" ht="12.75" hidden="1" customHeight="1">
      <c r="A398" s="12"/>
      <c r="B398" s="1"/>
      <c r="C398" s="1"/>
      <c r="D398" s="1"/>
      <c r="E398" s="1"/>
      <c r="F398" s="1"/>
      <c r="G398" s="1"/>
      <c r="H398" s="1"/>
      <c r="I398" s="1"/>
      <c r="J398" s="1"/>
      <c r="K398" s="9"/>
      <c r="L398" s="1"/>
      <c r="M398" s="319"/>
      <c r="N398" s="319">
        <v>5050000</v>
      </c>
      <c r="O398" s="319"/>
      <c r="P398" s="319"/>
      <c r="Q398" s="319"/>
      <c r="R398" s="319"/>
      <c r="S398" s="319"/>
      <c r="T398" s="319"/>
      <c r="U398" s="319"/>
      <c r="V398" s="319"/>
      <c r="W398" s="319"/>
      <c r="X398" s="319"/>
      <c r="Y398" s="319"/>
      <c r="Z398" s="319"/>
      <c r="AA398" s="319"/>
      <c r="AB398" s="319"/>
      <c r="AC398" s="319"/>
      <c r="AD398" s="319"/>
      <c r="AE398" s="319"/>
      <c r="AF398" s="319"/>
      <c r="AG398" s="319"/>
      <c r="AH398" s="319"/>
      <c r="AI398" s="319"/>
      <c r="AJ398" s="319"/>
      <c r="AK398" s="319"/>
      <c r="AL398" s="319"/>
      <c r="AM398" s="319"/>
      <c r="AN398" s="319"/>
      <c r="AO398" s="319"/>
      <c r="AP398" s="319"/>
      <c r="AQ398" s="319"/>
      <c r="AR398" s="319"/>
      <c r="AS398" s="319"/>
      <c r="AT398" s="319"/>
      <c r="AU398" s="319"/>
      <c r="AV398" s="319"/>
      <c r="AW398" s="319"/>
      <c r="AX398" s="319"/>
      <c r="AY398" s="319"/>
      <c r="AZ398" s="319"/>
      <c r="BA398" s="319"/>
      <c r="BB398" s="319"/>
      <c r="BC398" s="319"/>
      <c r="BD398" s="319"/>
      <c r="BE398" s="319"/>
      <c r="BF398" s="319"/>
      <c r="BG398" s="319"/>
      <c r="BH398" s="319"/>
      <c r="BI398" s="319"/>
      <c r="BJ398" s="319"/>
      <c r="BK398" s="319"/>
      <c r="BL398" s="319"/>
      <c r="BM398" s="319"/>
      <c r="BN398" s="319"/>
      <c r="BO398" s="319"/>
      <c r="BP398" s="319"/>
      <c r="BQ398" s="319"/>
      <c r="BR398" s="319"/>
      <c r="BS398" s="319"/>
      <c r="BT398" s="319"/>
      <c r="BU398" s="319"/>
      <c r="BV398" s="319"/>
      <c r="BW398" s="319"/>
      <c r="BX398" s="319"/>
      <c r="BY398" s="319"/>
      <c r="BZ398" s="319"/>
      <c r="CA398" s="319"/>
      <c r="CB398" s="319"/>
      <c r="CC398" s="319"/>
      <c r="CD398" s="319"/>
      <c r="CE398" s="319"/>
      <c r="CF398" s="319"/>
      <c r="CG398" s="319"/>
      <c r="CH398" s="319"/>
      <c r="CI398" s="319"/>
      <c r="CJ398" s="319"/>
      <c r="CK398" s="319"/>
    </row>
    <row r="399" spans="1:89" ht="13.5" hidden="1" customHeight="1">
      <c r="A399" s="12"/>
      <c r="B399" s="1"/>
      <c r="C399" s="1"/>
      <c r="D399" s="1"/>
      <c r="E399" s="1"/>
      <c r="F399" s="1"/>
      <c r="G399" s="1"/>
      <c r="H399" s="1"/>
      <c r="I399" s="1"/>
      <c r="J399" s="1"/>
      <c r="K399" s="9"/>
      <c r="L399" s="1"/>
      <c r="M399" s="319"/>
      <c r="N399" s="319">
        <v>5050000</v>
      </c>
      <c r="O399" s="319"/>
      <c r="P399" s="319"/>
      <c r="Q399" s="319"/>
      <c r="R399" s="319"/>
      <c r="S399" s="319"/>
      <c r="T399" s="319"/>
      <c r="U399" s="319"/>
      <c r="V399" s="319"/>
      <c r="W399" s="319"/>
      <c r="X399" s="319"/>
      <c r="Y399" s="319"/>
      <c r="Z399" s="319"/>
      <c r="AA399" s="319"/>
      <c r="AB399" s="319"/>
      <c r="AC399" s="319"/>
      <c r="AD399" s="319"/>
      <c r="AE399" s="319"/>
      <c r="AF399" s="319"/>
      <c r="AG399" s="319"/>
      <c r="AH399" s="319"/>
      <c r="AI399" s="319"/>
      <c r="AJ399" s="319"/>
      <c r="AK399" s="319"/>
      <c r="AL399" s="319"/>
      <c r="AM399" s="319"/>
      <c r="AN399" s="319"/>
      <c r="AO399" s="319"/>
      <c r="AP399" s="319"/>
      <c r="AQ399" s="319"/>
      <c r="AR399" s="319"/>
      <c r="AS399" s="319"/>
      <c r="AT399" s="319"/>
      <c r="AU399" s="319"/>
      <c r="AV399" s="319"/>
      <c r="AW399" s="319"/>
      <c r="AX399" s="319"/>
      <c r="AY399" s="319"/>
      <c r="AZ399" s="319"/>
      <c r="BA399" s="319"/>
      <c r="BB399" s="319"/>
      <c r="BC399" s="319"/>
      <c r="BD399" s="319"/>
      <c r="BE399" s="319"/>
      <c r="BF399" s="319"/>
      <c r="BG399" s="319"/>
      <c r="BH399" s="319"/>
      <c r="BI399" s="319"/>
      <c r="BJ399" s="319"/>
      <c r="BK399" s="319"/>
      <c r="BL399" s="319"/>
      <c r="BM399" s="319"/>
      <c r="BN399" s="319"/>
      <c r="BO399" s="319"/>
      <c r="BP399" s="319"/>
      <c r="BQ399" s="319"/>
      <c r="BR399" s="319"/>
      <c r="BS399" s="319"/>
      <c r="BT399" s="319"/>
      <c r="BU399" s="319"/>
      <c r="BV399" s="319"/>
      <c r="BW399" s="319"/>
      <c r="BX399" s="319"/>
      <c r="BY399" s="319"/>
      <c r="BZ399" s="319"/>
      <c r="CA399" s="319"/>
      <c r="CB399" s="319"/>
      <c r="CC399" s="319"/>
      <c r="CD399" s="319"/>
      <c r="CE399" s="319"/>
      <c r="CF399" s="319"/>
      <c r="CG399" s="319"/>
      <c r="CH399" s="319"/>
      <c r="CI399" s="319"/>
      <c r="CJ399" s="319"/>
      <c r="CK399" s="319"/>
    </row>
    <row r="400" spans="1:89" ht="13.5" hidden="1" customHeight="1">
      <c r="A400" s="12"/>
      <c r="B400" s="329" t="str">
        <f>Language!C1712</f>
        <v>Altura bruta</v>
      </c>
      <c r="C400" s="303" t="s">
        <v>5569</v>
      </c>
      <c r="D400" s="395"/>
      <c r="E400" s="1"/>
      <c r="F400" s="1"/>
      <c r="G400" s="1"/>
      <c r="H400" s="1"/>
      <c r="I400" s="1"/>
      <c r="J400" s="1"/>
      <c r="K400" s="9"/>
      <c r="L400" s="1"/>
      <c r="M400" s="319"/>
      <c r="N400" s="319">
        <v>2111006</v>
      </c>
      <c r="O400" s="319"/>
      <c r="P400" s="319">
        <f>IF(C400=C1191,D1191,1)</f>
        <v>1</v>
      </c>
      <c r="Q400" s="319"/>
      <c r="R400" s="319"/>
      <c r="S400" s="319"/>
      <c r="T400" s="319"/>
      <c r="U400" s="319"/>
      <c r="V400" s="319"/>
      <c r="W400" s="319"/>
      <c r="X400" s="319"/>
      <c r="Y400" s="319"/>
      <c r="Z400" s="319"/>
      <c r="AA400" s="319"/>
      <c r="AB400" s="319"/>
      <c r="AC400" s="319"/>
      <c r="AD400" s="319"/>
      <c r="AE400" s="319"/>
      <c r="AF400" s="319"/>
      <c r="AG400" s="319"/>
      <c r="AH400" s="319"/>
      <c r="AI400" s="319"/>
      <c r="AJ400" s="319"/>
      <c r="AK400" s="319"/>
      <c r="AL400" s="319"/>
      <c r="AM400" s="319"/>
      <c r="AN400" s="319"/>
      <c r="AO400" s="319"/>
      <c r="AP400" s="319"/>
      <c r="AQ400" s="319"/>
      <c r="AR400" s="319"/>
      <c r="AS400" s="319"/>
      <c r="AT400" s="319"/>
      <c r="AU400" s="319"/>
      <c r="AV400" s="319"/>
      <c r="AW400" s="319"/>
      <c r="AX400" s="319"/>
      <c r="AY400" s="319"/>
      <c r="AZ400" s="319"/>
      <c r="BA400" s="319"/>
      <c r="BB400" s="319"/>
      <c r="BC400" s="319"/>
      <c r="BD400" s="319"/>
      <c r="BE400" s="319"/>
      <c r="BF400" s="319"/>
      <c r="BG400" s="319"/>
      <c r="BH400" s="319"/>
      <c r="BI400" s="319"/>
      <c r="BJ400" s="319"/>
      <c r="BK400" s="319"/>
      <c r="BL400" s="319"/>
      <c r="BM400" s="319"/>
      <c r="BN400" s="319"/>
      <c r="BO400" s="319"/>
      <c r="BP400" s="319"/>
      <c r="BQ400" s="319"/>
      <c r="BR400" s="319"/>
      <c r="BS400" s="319"/>
      <c r="BT400" s="319"/>
      <c r="BU400" s="319"/>
      <c r="BV400" s="319"/>
      <c r="BW400" s="319"/>
      <c r="BX400" s="319"/>
      <c r="BY400" s="319"/>
      <c r="BZ400" s="319"/>
      <c r="CA400" s="319"/>
      <c r="CB400" s="319"/>
      <c r="CC400" s="319"/>
      <c r="CD400" s="319"/>
      <c r="CE400" s="319"/>
      <c r="CF400" s="319"/>
      <c r="CG400" s="319"/>
      <c r="CH400" s="319"/>
      <c r="CI400" s="319"/>
      <c r="CJ400" s="319"/>
      <c r="CK400" s="319"/>
    </row>
    <row r="401" spans="1:89" ht="12.75" hidden="1" customHeight="1">
      <c r="A401" s="12"/>
      <c r="B401" s="329" t="str">
        <f>Language!C1800</f>
        <v>Efeito máximo de extravazamento</v>
      </c>
      <c r="C401" s="29" t="str">
        <f>C400</f>
        <v>m</v>
      </c>
      <c r="D401" s="310"/>
      <c r="E401" s="1"/>
      <c r="F401" s="1"/>
      <c r="G401" s="1"/>
      <c r="H401" s="1"/>
      <c r="I401" s="1"/>
      <c r="J401" s="1"/>
      <c r="K401" s="9"/>
      <c r="L401" s="1"/>
      <c r="M401" s="319"/>
      <c r="N401" s="319">
        <v>2111008</v>
      </c>
      <c r="O401" s="319"/>
      <c r="P401" s="319">
        <f>IF($P$400=1,1,D1202)</f>
        <v>1</v>
      </c>
      <c r="Q401" s="319"/>
      <c r="R401" s="319"/>
      <c r="S401" s="319"/>
      <c r="T401" s="319"/>
      <c r="U401" s="319"/>
      <c r="V401" s="319"/>
      <c r="W401" s="319"/>
      <c r="X401" s="319"/>
      <c r="Y401" s="319"/>
      <c r="Z401" s="319"/>
      <c r="AA401" s="319"/>
      <c r="AB401" s="319"/>
      <c r="AC401" s="319"/>
      <c r="AD401" s="319"/>
      <c r="AE401" s="319"/>
      <c r="AF401" s="319"/>
      <c r="AG401" s="319"/>
      <c r="AH401" s="319"/>
      <c r="AI401" s="319"/>
      <c r="AJ401" s="319"/>
      <c r="AK401" s="319"/>
      <c r="AL401" s="319"/>
      <c r="AM401" s="319"/>
      <c r="AN401" s="319"/>
      <c r="AO401" s="319"/>
      <c r="AP401" s="319"/>
      <c r="AQ401" s="319"/>
      <c r="AR401" s="319"/>
      <c r="AS401" s="319"/>
      <c r="AT401" s="319"/>
      <c r="AU401" s="319"/>
      <c r="AV401" s="319"/>
      <c r="AW401" s="319"/>
      <c r="AX401" s="319"/>
      <c r="AY401" s="319"/>
      <c r="AZ401" s="319"/>
      <c r="BA401" s="319"/>
      <c r="BB401" s="319"/>
      <c r="BC401" s="319"/>
      <c r="BD401" s="319"/>
      <c r="BE401" s="319"/>
      <c r="BF401" s="319"/>
      <c r="BG401" s="319"/>
      <c r="BH401" s="319"/>
      <c r="BI401" s="319"/>
      <c r="BJ401" s="319"/>
      <c r="BK401" s="319"/>
      <c r="BL401" s="319"/>
      <c r="BM401" s="319"/>
      <c r="BN401" s="319"/>
      <c r="BO401" s="319"/>
      <c r="BP401" s="319"/>
      <c r="BQ401" s="319"/>
      <c r="BR401" s="319"/>
      <c r="BS401" s="319"/>
      <c r="BT401" s="319"/>
      <c r="BU401" s="319"/>
      <c r="BV401" s="319"/>
      <c r="BW401" s="319"/>
      <c r="BX401" s="319"/>
      <c r="BY401" s="319"/>
      <c r="BZ401" s="319"/>
      <c r="CA401" s="319"/>
      <c r="CB401" s="319"/>
      <c r="CC401" s="319"/>
      <c r="CD401" s="319"/>
      <c r="CE401" s="319"/>
      <c r="CF401" s="319"/>
      <c r="CG401" s="319"/>
      <c r="CH401" s="319"/>
      <c r="CI401" s="319"/>
      <c r="CJ401" s="319"/>
      <c r="CK401" s="319"/>
    </row>
    <row r="402" spans="1:89" ht="13.2" hidden="1">
      <c r="A402" s="12"/>
      <c r="B402" s="329" t="str">
        <f>Language!C1803</f>
        <v>Método de fluxo eficaz</v>
      </c>
      <c r="C402" s="29"/>
      <c r="D402" s="419" t="s">
        <v>7289</v>
      </c>
      <c r="E402" s="1"/>
      <c r="F402" s="1"/>
      <c r="G402" s="1"/>
      <c r="H402" s="1"/>
      <c r="I402" s="1"/>
      <c r="J402" s="1"/>
      <c r="K402" s="9"/>
      <c r="L402" s="1"/>
      <c r="M402" s="319">
        <f>IF($D$402=$B$1176,100,0)</f>
        <v>0</v>
      </c>
      <c r="N402" s="319">
        <v>2111010</v>
      </c>
      <c r="O402" s="319"/>
      <c r="P402" s="319">
        <f>IF($P$400=1,1,D1205)</f>
        <v>1</v>
      </c>
      <c r="Q402" s="319"/>
      <c r="R402" s="319"/>
      <c r="S402" s="319"/>
      <c r="T402" s="319"/>
      <c r="U402" s="319"/>
      <c r="V402" s="319"/>
      <c r="W402" s="319"/>
      <c r="X402" s="319"/>
      <c r="Y402" s="319"/>
      <c r="Z402" s="319"/>
      <c r="AA402" s="319"/>
      <c r="AB402" s="319"/>
      <c r="AC402" s="319"/>
      <c r="AD402" s="319"/>
      <c r="AE402" s="319"/>
      <c r="AF402" s="319"/>
      <c r="AG402" s="319"/>
      <c r="AH402" s="319"/>
      <c r="AI402" s="319"/>
      <c r="AJ402" s="319"/>
      <c r="AK402" s="319"/>
      <c r="AL402" s="319"/>
      <c r="AM402" s="319"/>
      <c r="AN402" s="319"/>
      <c r="AO402" s="319"/>
      <c r="AP402" s="319"/>
      <c r="AQ402" s="319"/>
      <c r="AR402" s="319"/>
      <c r="AS402" s="319"/>
      <c r="AT402" s="319"/>
      <c r="AU402" s="319"/>
      <c r="AV402" s="319"/>
      <c r="AW402" s="319"/>
      <c r="AX402" s="319"/>
      <c r="AY402" s="319"/>
      <c r="AZ402" s="319"/>
      <c r="BA402" s="319"/>
      <c r="BB402" s="319"/>
      <c r="BC402" s="319"/>
      <c r="BD402" s="319"/>
      <c r="BE402" s="319"/>
      <c r="BF402" s="319"/>
      <c r="BG402" s="319"/>
      <c r="BH402" s="319"/>
      <c r="BI402" s="319"/>
      <c r="BJ402" s="319"/>
      <c r="BK402" s="319"/>
      <c r="BL402" s="319"/>
      <c r="BM402" s="319"/>
      <c r="BN402" s="319"/>
      <c r="BO402" s="319"/>
      <c r="BP402" s="319"/>
      <c r="BQ402" s="319"/>
      <c r="BR402" s="319"/>
      <c r="BS402" s="319"/>
      <c r="BT402" s="319"/>
      <c r="BU402" s="319"/>
      <c r="BV402" s="319"/>
      <c r="BW402" s="319"/>
      <c r="BX402" s="319"/>
      <c r="BY402" s="319"/>
      <c r="BZ402" s="319"/>
      <c r="CA402" s="319"/>
      <c r="CB402" s="319"/>
      <c r="CC402" s="319"/>
      <c r="CD402" s="319"/>
      <c r="CE402" s="319"/>
      <c r="CF402" s="319"/>
      <c r="CG402" s="319"/>
      <c r="CH402" s="319"/>
      <c r="CI402" s="319"/>
      <c r="CJ402" s="319"/>
      <c r="CK402" s="319"/>
    </row>
    <row r="403" spans="1:89" ht="13.5" hidden="1" customHeight="1">
      <c r="A403" s="12"/>
      <c r="B403" s="329" t="str">
        <f>Language!C1608</f>
        <v>Área de drenagem</v>
      </c>
      <c r="C403" s="29" t="str">
        <f>IF($C$400=$C$1191,C1202,C1201)</f>
        <v>km²</v>
      </c>
      <c r="D403" s="303"/>
      <c r="E403" s="1"/>
      <c r="F403" s="1"/>
      <c r="G403" s="1"/>
      <c r="H403" s="1"/>
      <c r="I403" s="1"/>
      <c r="J403" s="1"/>
      <c r="K403" s="9"/>
      <c r="L403" s="1"/>
      <c r="M403" s="319"/>
      <c r="N403" s="319">
        <v>2111012</v>
      </c>
      <c r="O403" s="319"/>
      <c r="P403" s="319">
        <f>IF($P$400=1,1,K1188)</f>
        <v>1</v>
      </c>
      <c r="Q403" s="319"/>
      <c r="R403" s="319"/>
      <c r="S403" s="319"/>
      <c r="T403" s="319"/>
      <c r="U403" s="319"/>
      <c r="V403" s="319"/>
      <c r="W403" s="319"/>
      <c r="X403" s="319"/>
      <c r="Y403" s="319"/>
      <c r="Z403" s="319"/>
      <c r="AA403" s="319"/>
      <c r="AB403" s="319"/>
      <c r="AC403" s="319"/>
      <c r="AD403" s="319"/>
      <c r="AE403" s="319"/>
      <c r="AF403" s="319"/>
      <c r="AG403" s="319"/>
      <c r="AH403" s="319"/>
      <c r="AI403" s="319"/>
      <c r="AJ403" s="319"/>
      <c r="AK403" s="319"/>
      <c r="AL403" s="319"/>
      <c r="AM403" s="319"/>
      <c r="AN403" s="319"/>
      <c r="AO403" s="319"/>
      <c r="AP403" s="319"/>
      <c r="AQ403" s="319"/>
      <c r="AR403" s="319"/>
      <c r="AS403" s="319"/>
      <c r="AT403" s="319"/>
      <c r="AU403" s="319"/>
      <c r="AV403" s="319"/>
      <c r="AW403" s="319"/>
      <c r="AX403" s="319"/>
      <c r="AY403" s="319"/>
      <c r="AZ403" s="319"/>
      <c r="BA403" s="319"/>
      <c r="BB403" s="319"/>
      <c r="BC403" s="319"/>
      <c r="BD403" s="319"/>
      <c r="BE403" s="319"/>
      <c r="BF403" s="319"/>
      <c r="BG403" s="319"/>
      <c r="BH403" s="319"/>
      <c r="BI403" s="319"/>
      <c r="BJ403" s="319"/>
      <c r="BK403" s="319"/>
      <c r="BL403" s="319"/>
      <c r="BM403" s="319"/>
      <c r="BN403" s="319"/>
      <c r="BO403" s="319"/>
      <c r="BP403" s="319"/>
      <c r="BQ403" s="319"/>
      <c r="BR403" s="319"/>
      <c r="BS403" s="319"/>
      <c r="BT403" s="319"/>
      <c r="BU403" s="319"/>
      <c r="BV403" s="319"/>
      <c r="BW403" s="319"/>
      <c r="BX403" s="319"/>
      <c r="BY403" s="319"/>
      <c r="BZ403" s="319"/>
      <c r="CA403" s="319"/>
      <c r="CB403" s="319"/>
      <c r="CC403" s="319"/>
      <c r="CD403" s="319"/>
      <c r="CE403" s="319"/>
      <c r="CF403" s="319"/>
      <c r="CG403" s="319"/>
      <c r="CH403" s="319"/>
      <c r="CI403" s="319"/>
      <c r="CJ403" s="319"/>
      <c r="CK403" s="319"/>
    </row>
    <row r="404" spans="1:89" ht="13.5" hidden="1" customHeight="1">
      <c r="A404" s="12"/>
      <c r="B404" s="329" t="str">
        <f>Language!C1994</f>
        <v>Escoamento específico</v>
      </c>
      <c r="C404" s="29" t="str">
        <f>IF($C$400=$C$1191,C1205,C1204)</f>
        <v>m³/s/km²</v>
      </c>
      <c r="D404" s="456"/>
      <c r="E404" s="329"/>
      <c r="F404" s="1"/>
      <c r="G404" s="329"/>
      <c r="H404" s="329"/>
      <c r="I404" s="1"/>
      <c r="J404" s="1"/>
      <c r="K404" s="784" t="str">
        <f>Language!C1961</f>
        <v>Veja mapas</v>
      </c>
      <c r="L404" s="1"/>
      <c r="M404" s="319"/>
      <c r="N404" s="319">
        <v>2111014</v>
      </c>
      <c r="O404" s="319"/>
      <c r="P404" s="319"/>
      <c r="Q404" s="319"/>
      <c r="R404" s="319"/>
      <c r="S404" s="319"/>
      <c r="T404" s="319"/>
      <c r="U404" s="319"/>
      <c r="V404" s="319"/>
      <c r="W404" s="319"/>
      <c r="X404" s="319"/>
      <c r="Y404" s="319"/>
      <c r="Z404" s="319"/>
      <c r="AA404" s="319"/>
      <c r="AB404" s="319"/>
      <c r="AC404" s="319"/>
      <c r="AD404" s="319"/>
      <c r="AE404" s="319"/>
      <c r="AF404" s="319"/>
      <c r="AG404" s="319"/>
      <c r="AH404" s="319"/>
      <c r="AI404" s="319"/>
      <c r="AJ404" s="319"/>
      <c r="AK404" s="319"/>
      <c r="AL404" s="319"/>
      <c r="AM404" s="319"/>
      <c r="AN404" s="319"/>
      <c r="AO404" s="319"/>
      <c r="AP404" s="319"/>
      <c r="AQ404" s="319"/>
      <c r="AR404" s="319"/>
      <c r="AS404" s="319"/>
      <c r="AT404" s="319"/>
      <c r="AU404" s="319"/>
      <c r="AV404" s="319"/>
      <c r="AW404" s="319"/>
      <c r="AX404" s="319"/>
      <c r="AY404" s="319"/>
      <c r="AZ404" s="319"/>
      <c r="BA404" s="319"/>
      <c r="BB404" s="319"/>
      <c r="BC404" s="319"/>
      <c r="BD404" s="319"/>
      <c r="BE404" s="319"/>
      <c r="BF404" s="319"/>
      <c r="BG404" s="319"/>
      <c r="BH404" s="319"/>
      <c r="BI404" s="319"/>
      <c r="BJ404" s="319"/>
      <c r="BK404" s="319"/>
      <c r="BL404" s="319"/>
      <c r="BM404" s="319"/>
      <c r="BN404" s="319"/>
      <c r="BO404" s="319"/>
      <c r="BP404" s="319"/>
      <c r="BQ404" s="319"/>
      <c r="BR404" s="319"/>
      <c r="BS404" s="319"/>
      <c r="BT404" s="319"/>
      <c r="BU404" s="319"/>
      <c r="BV404" s="319"/>
      <c r="BW404" s="319"/>
      <c r="BX404" s="319"/>
      <c r="BY404" s="319"/>
      <c r="BZ404" s="319"/>
      <c r="CA404" s="319"/>
      <c r="CB404" s="319"/>
      <c r="CC404" s="319"/>
      <c r="CD404" s="319"/>
      <c r="CE404" s="319"/>
      <c r="CF404" s="319"/>
      <c r="CG404" s="319"/>
      <c r="CH404" s="319"/>
      <c r="CI404" s="319"/>
      <c r="CJ404" s="319"/>
      <c r="CK404" s="319"/>
    </row>
    <row r="405" spans="1:89" ht="13.5" hidden="1" customHeight="1">
      <c r="A405" s="12"/>
      <c r="B405" s="329" t="str">
        <f>Language!C1802</f>
        <v>Fluxo eficaz</v>
      </c>
      <c r="C405" s="29" t="str">
        <f>IF($C$400=$C$1191,J1188,J1187)</f>
        <v>m³/s</v>
      </c>
      <c r="D405" s="417"/>
      <c r="E405" s="1"/>
      <c r="F405" s="1"/>
      <c r="G405" s="1"/>
      <c r="H405" s="1"/>
      <c r="I405" s="1"/>
      <c r="J405" s="1"/>
      <c r="K405" s="9"/>
      <c r="L405" s="1"/>
      <c r="M405" s="319"/>
      <c r="N405" s="319">
        <v>2111018</v>
      </c>
      <c r="O405" s="319"/>
      <c r="P405" s="319"/>
      <c r="Q405" s="319"/>
      <c r="R405" s="319"/>
      <c r="S405" s="319"/>
      <c r="T405" s="319"/>
      <c r="U405" s="319"/>
      <c r="V405" s="319"/>
      <c r="W405" s="319"/>
      <c r="X405" s="319"/>
      <c r="Y405" s="319"/>
      <c r="Z405" s="319"/>
      <c r="AA405" s="319"/>
      <c r="AB405" s="319"/>
      <c r="AC405" s="319"/>
      <c r="AD405" s="319"/>
      <c r="AE405" s="319"/>
      <c r="AF405" s="319"/>
      <c r="AG405" s="319"/>
      <c r="AH405" s="319"/>
      <c r="AI405" s="319"/>
      <c r="AJ405" s="319"/>
      <c r="AK405" s="319"/>
      <c r="AL405" s="319"/>
      <c r="AM405" s="319"/>
      <c r="AN405" s="319"/>
      <c r="AO405" s="319"/>
      <c r="AP405" s="319"/>
      <c r="AQ405" s="319"/>
      <c r="AR405" s="319"/>
      <c r="AS405" s="319"/>
      <c r="AT405" s="319"/>
      <c r="AU405" s="319"/>
      <c r="AV405" s="319"/>
      <c r="AW405" s="319"/>
      <c r="AX405" s="319"/>
      <c r="AY405" s="319"/>
      <c r="AZ405" s="319"/>
      <c r="BA405" s="319"/>
      <c r="BB405" s="319"/>
      <c r="BC405" s="319"/>
      <c r="BD405" s="319"/>
      <c r="BE405" s="319"/>
      <c r="BF405" s="319"/>
      <c r="BG405" s="319"/>
      <c r="BH405" s="319"/>
      <c r="BI405" s="319"/>
      <c r="BJ405" s="319"/>
      <c r="BK405" s="319"/>
      <c r="BL405" s="319"/>
      <c r="BM405" s="319"/>
      <c r="BN405" s="319"/>
      <c r="BO405" s="319"/>
      <c r="BP405" s="319"/>
      <c r="BQ405" s="319"/>
      <c r="BR405" s="319"/>
      <c r="BS405" s="319"/>
      <c r="BT405" s="319"/>
      <c r="BU405" s="319"/>
      <c r="BV405" s="319"/>
      <c r="BW405" s="319"/>
      <c r="BX405" s="319"/>
      <c r="BY405" s="319"/>
      <c r="BZ405" s="319"/>
      <c r="CA405" s="319"/>
      <c r="CB405" s="319"/>
      <c r="CC405" s="319"/>
      <c r="CD405" s="319"/>
      <c r="CE405" s="319"/>
      <c r="CF405" s="319"/>
      <c r="CG405" s="319"/>
      <c r="CH405" s="319"/>
      <c r="CI405" s="319"/>
      <c r="CJ405" s="319"/>
      <c r="CK405" s="319"/>
    </row>
    <row r="406" spans="1:89" ht="13.5" hidden="1" customHeight="1">
      <c r="A406" s="12"/>
      <c r="B406" s="329" t="str">
        <f>B405</f>
        <v>Fluxo eficaz</v>
      </c>
      <c r="C406" s="29" t="str">
        <f>C405</f>
        <v>m³/s</v>
      </c>
      <c r="D406" s="36">
        <f>IF(D402=B1176,D405,D403*D404)</f>
        <v>0</v>
      </c>
      <c r="E406" s="36"/>
      <c r="F406" s="1"/>
      <c r="G406" s="1"/>
      <c r="H406" s="1"/>
      <c r="I406" s="1"/>
      <c r="J406" s="1"/>
      <c r="K406" s="9"/>
      <c r="L406" s="1"/>
      <c r="M406" s="319"/>
      <c r="N406" s="319">
        <v>2111018</v>
      </c>
      <c r="O406" s="319"/>
      <c r="P406" s="319"/>
      <c r="Q406" s="319"/>
      <c r="R406" s="319"/>
      <c r="S406" s="319"/>
      <c r="T406" s="319"/>
      <c r="U406" s="319"/>
      <c r="V406" s="319"/>
      <c r="W406" s="319"/>
      <c r="X406" s="319"/>
      <c r="Y406" s="319"/>
      <c r="Z406" s="319"/>
      <c r="AA406" s="319"/>
      <c r="AB406" s="319"/>
      <c r="AC406" s="319"/>
      <c r="AD406" s="319"/>
      <c r="AE406" s="319"/>
      <c r="AF406" s="319"/>
      <c r="AG406" s="319"/>
      <c r="AH406" s="319"/>
      <c r="AI406" s="319"/>
      <c r="AJ406" s="319"/>
      <c r="AK406" s="319"/>
      <c r="AL406" s="319"/>
      <c r="AM406" s="319"/>
      <c r="AN406" s="319"/>
      <c r="AO406" s="319"/>
      <c r="AP406" s="319"/>
      <c r="AQ406" s="319"/>
      <c r="AR406" s="319"/>
      <c r="AS406" s="319"/>
      <c r="AT406" s="319"/>
      <c r="AU406" s="319"/>
      <c r="AV406" s="319"/>
      <c r="AW406" s="319"/>
      <c r="AX406" s="319"/>
      <c r="AY406" s="319"/>
      <c r="AZ406" s="319"/>
      <c r="BA406" s="319"/>
      <c r="BB406" s="319"/>
      <c r="BC406" s="319"/>
      <c r="BD406" s="319"/>
      <c r="BE406" s="319"/>
      <c r="BF406" s="319"/>
      <c r="BG406" s="319"/>
      <c r="BH406" s="319"/>
      <c r="BI406" s="319"/>
      <c r="BJ406" s="319"/>
      <c r="BK406" s="319"/>
      <c r="BL406" s="319"/>
      <c r="BM406" s="319"/>
      <c r="BN406" s="319"/>
      <c r="BO406" s="319"/>
      <c r="BP406" s="319"/>
      <c r="BQ406" s="319"/>
      <c r="BR406" s="319"/>
      <c r="BS406" s="319"/>
      <c r="BT406" s="319"/>
      <c r="BU406" s="319"/>
      <c r="BV406" s="319"/>
      <c r="BW406" s="319"/>
      <c r="BX406" s="319"/>
      <c r="BY406" s="319"/>
      <c r="BZ406" s="319"/>
      <c r="CA406" s="319"/>
      <c r="CB406" s="319"/>
      <c r="CC406" s="319"/>
      <c r="CD406" s="319"/>
      <c r="CE406" s="319"/>
      <c r="CF406" s="319"/>
      <c r="CG406" s="319"/>
      <c r="CH406" s="319"/>
      <c r="CI406" s="319"/>
      <c r="CJ406" s="319"/>
      <c r="CK406" s="319"/>
    </row>
    <row r="407" spans="1:89" ht="13.2" hidden="1">
      <c r="A407" s="12"/>
      <c r="B407" s="329" t="str">
        <f>Language!C1938</f>
        <v>Fluxo residual</v>
      </c>
      <c r="C407" s="29" t="str">
        <f>C405</f>
        <v>m³/s</v>
      </c>
      <c r="D407" s="310"/>
      <c r="E407" s="1"/>
      <c r="F407" s="1"/>
      <c r="G407" s="1"/>
      <c r="H407" s="1"/>
      <c r="I407" s="1"/>
      <c r="J407" s="1"/>
      <c r="K407" s="9"/>
      <c r="L407" s="1"/>
      <c r="M407" s="319"/>
      <c r="N407" s="319">
        <v>2111020</v>
      </c>
      <c r="O407" s="319"/>
      <c r="P407" s="319"/>
      <c r="Q407" s="319"/>
      <c r="R407" s="319"/>
      <c r="S407" s="319"/>
      <c r="T407" s="319"/>
      <c r="U407" s="319"/>
      <c r="V407" s="319"/>
      <c r="W407" s="319"/>
      <c r="X407" s="319"/>
      <c r="Y407" s="319"/>
      <c r="Z407" s="319"/>
      <c r="AA407" s="319"/>
      <c r="AB407" s="319"/>
      <c r="AC407" s="319"/>
      <c r="AD407" s="319"/>
      <c r="AE407" s="319"/>
      <c r="AF407" s="319"/>
      <c r="AG407" s="319"/>
      <c r="AH407" s="319"/>
      <c r="AI407" s="319"/>
      <c r="AJ407" s="319"/>
      <c r="AK407" s="319"/>
      <c r="AL407" s="319"/>
      <c r="AM407" s="319"/>
      <c r="AN407" s="319"/>
      <c r="AO407" s="319"/>
      <c r="AP407" s="319"/>
      <c r="AQ407" s="319"/>
      <c r="AR407" s="319"/>
      <c r="AS407" s="319"/>
      <c r="AT407" s="319"/>
      <c r="AU407" s="319"/>
      <c r="AV407" s="319"/>
      <c r="AW407" s="319"/>
      <c r="AX407" s="319"/>
      <c r="AY407" s="319"/>
      <c r="AZ407" s="319"/>
      <c r="BA407" s="319"/>
      <c r="BB407" s="319"/>
      <c r="BC407" s="319"/>
      <c r="BD407" s="319"/>
      <c r="BE407" s="319"/>
      <c r="BF407" s="319"/>
      <c r="BG407" s="319"/>
      <c r="BH407" s="319"/>
      <c r="BI407" s="319"/>
      <c r="BJ407" s="319"/>
      <c r="BK407" s="319"/>
      <c r="BL407" s="319"/>
      <c r="BM407" s="319"/>
      <c r="BN407" s="319"/>
      <c r="BO407" s="319"/>
      <c r="BP407" s="319"/>
      <c r="BQ407" s="319"/>
      <c r="BR407" s="319"/>
      <c r="BS407" s="319"/>
      <c r="BT407" s="319"/>
      <c r="BU407" s="319"/>
      <c r="BV407" s="319"/>
      <c r="BW407" s="319"/>
      <c r="BX407" s="319"/>
      <c r="BY407" s="319"/>
      <c r="BZ407" s="319"/>
      <c r="CA407" s="319"/>
      <c r="CB407" s="319"/>
      <c r="CC407" s="319"/>
      <c r="CD407" s="319"/>
      <c r="CE407" s="319"/>
      <c r="CF407" s="319"/>
      <c r="CG407" s="319"/>
      <c r="CH407" s="319"/>
      <c r="CI407" s="319"/>
      <c r="CJ407" s="319"/>
      <c r="CK407" s="319"/>
    </row>
    <row r="408" spans="1:89" ht="13.5" hidden="1" customHeight="1">
      <c r="A408" s="12"/>
      <c r="B408" s="329" t="str">
        <f>Language!C1654</f>
        <v xml:space="preserve">Tipo CDC / # bitola </v>
      </c>
      <c r="C408" s="1"/>
      <c r="D408" s="313"/>
      <c r="E408" s="1"/>
      <c r="F408" s="1"/>
      <c r="G408" s="1"/>
      <c r="H408" s="1"/>
      <c r="I408" s="1209" t="str">
        <f>Language!C1960</f>
        <v>Veja banco de dados hidrológicos</v>
      </c>
      <c r="J408" s="1191"/>
      <c r="K408" s="1210"/>
      <c r="L408" s="1"/>
      <c r="M408" s="319"/>
      <c r="N408" s="319">
        <v>2111022</v>
      </c>
      <c r="O408" s="319"/>
      <c r="P408" s="319"/>
      <c r="Q408" s="319"/>
      <c r="R408" s="319"/>
      <c r="S408" s="319"/>
      <c r="T408" s="319"/>
      <c r="U408" s="319"/>
      <c r="V408" s="319"/>
      <c r="W408" s="319"/>
      <c r="X408" s="319"/>
      <c r="Y408" s="319"/>
      <c r="Z408" s="319"/>
      <c r="AA408" s="319"/>
      <c r="AB408" s="319"/>
      <c r="AC408" s="319"/>
      <c r="AD408" s="319"/>
      <c r="AE408" s="319"/>
      <c r="AF408" s="319"/>
      <c r="AG408" s="319"/>
      <c r="AH408" s="319"/>
      <c r="AI408" s="319"/>
      <c r="AJ408" s="319"/>
      <c r="AK408" s="319"/>
      <c r="AL408" s="319"/>
      <c r="AM408" s="319"/>
      <c r="AN408" s="319"/>
      <c r="AO408" s="319"/>
      <c r="AP408" s="319"/>
      <c r="AQ408" s="319"/>
      <c r="AR408" s="319"/>
      <c r="AS408" s="319"/>
      <c r="AT408" s="319"/>
      <c r="AU408" s="319"/>
      <c r="AV408" s="319"/>
      <c r="AW408" s="319"/>
      <c r="AX408" s="319"/>
      <c r="AY408" s="319"/>
      <c r="AZ408" s="319"/>
      <c r="BA408" s="319"/>
      <c r="BB408" s="319"/>
      <c r="BC408" s="319"/>
      <c r="BD408" s="319"/>
      <c r="BE408" s="319"/>
      <c r="BF408" s="319"/>
      <c r="BG408" s="319"/>
      <c r="BH408" s="319"/>
      <c r="BI408" s="319"/>
      <c r="BJ408" s="319"/>
      <c r="BK408" s="319"/>
      <c r="BL408" s="319"/>
      <c r="BM408" s="319"/>
      <c r="BN408" s="319"/>
      <c r="BO408" s="319"/>
      <c r="BP408" s="319"/>
      <c r="BQ408" s="319"/>
      <c r="BR408" s="319"/>
      <c r="BS408" s="319"/>
      <c r="BT408" s="319"/>
      <c r="BU408" s="319"/>
      <c r="BV408" s="319"/>
      <c r="BW408" s="319"/>
      <c r="BX408" s="319"/>
      <c r="BY408" s="319"/>
      <c r="BZ408" s="319"/>
      <c r="CA408" s="319"/>
      <c r="CB408" s="319"/>
      <c r="CC408" s="319"/>
      <c r="CD408" s="319"/>
      <c r="CE408" s="319"/>
      <c r="CF408" s="319"/>
      <c r="CG408" s="319"/>
      <c r="CH408" s="319"/>
      <c r="CI408" s="319"/>
      <c r="CJ408" s="319"/>
      <c r="CK408" s="319"/>
    </row>
    <row r="409" spans="1:89" ht="13.5" hidden="1" customHeight="1">
      <c r="A409" s="12"/>
      <c r="B409" s="329" t="str">
        <f>Language!C1878</f>
        <v>Percentual de tempo de fluxo firme disponível</v>
      </c>
      <c r="C409" s="29" t="str">
        <f>$C$254</f>
        <v>%</v>
      </c>
      <c r="D409" s="339"/>
      <c r="E409" s="1"/>
      <c r="F409" s="1"/>
      <c r="G409" s="1"/>
      <c r="H409" s="1"/>
      <c r="I409" s="1"/>
      <c r="J409" s="1"/>
      <c r="K409" s="9"/>
      <c r="L409" s="1"/>
      <c r="M409" s="319"/>
      <c r="N409" s="319">
        <v>2111026</v>
      </c>
      <c r="O409" s="319"/>
      <c r="P409" s="319"/>
      <c r="Q409" s="319"/>
      <c r="R409" s="319"/>
      <c r="S409" s="319"/>
      <c r="T409" s="319"/>
      <c r="U409" s="319"/>
      <c r="V409" s="319"/>
      <c r="W409" s="319"/>
      <c r="X409" s="319"/>
      <c r="Y409" s="319"/>
      <c r="Z409" s="319"/>
      <c r="AA409" s="319"/>
      <c r="AB409" s="319"/>
      <c r="AC409" s="319"/>
      <c r="AD409" s="319"/>
      <c r="AE409" s="319"/>
      <c r="AF409" s="319"/>
      <c r="AG409" s="319"/>
      <c r="AH409" s="319"/>
      <c r="AI409" s="319"/>
      <c r="AJ409" s="319"/>
      <c r="AK409" s="319"/>
      <c r="AL409" s="319"/>
      <c r="AM409" s="319"/>
      <c r="AN409" s="319"/>
      <c r="AO409" s="319"/>
      <c r="AP409" s="319"/>
      <c r="AQ409" s="319"/>
      <c r="AR409" s="319"/>
      <c r="AS409" s="319"/>
      <c r="AT409" s="319"/>
      <c r="AU409" s="319"/>
      <c r="AV409" s="319"/>
      <c r="AW409" s="319"/>
      <c r="AX409" s="319"/>
      <c r="AY409" s="319"/>
      <c r="AZ409" s="319"/>
      <c r="BA409" s="319"/>
      <c r="BB409" s="319"/>
      <c r="BC409" s="319"/>
      <c r="BD409" s="319"/>
      <c r="BE409" s="319"/>
      <c r="BF409" s="319"/>
      <c r="BG409" s="319"/>
      <c r="BH409" s="319"/>
      <c r="BI409" s="319"/>
      <c r="BJ409" s="319"/>
      <c r="BK409" s="319"/>
      <c r="BL409" s="319"/>
      <c r="BM409" s="319"/>
      <c r="BN409" s="319"/>
      <c r="BO409" s="319"/>
      <c r="BP409" s="319"/>
      <c r="BQ409" s="319"/>
      <c r="BR409" s="319"/>
      <c r="BS409" s="319"/>
      <c r="BT409" s="319"/>
      <c r="BU409" s="319"/>
      <c r="BV409" s="319"/>
      <c r="BW409" s="319"/>
      <c r="BX409" s="319"/>
      <c r="BY409" s="319"/>
      <c r="BZ409" s="319"/>
      <c r="CA409" s="319"/>
      <c r="CB409" s="319"/>
      <c r="CC409" s="319"/>
      <c r="CD409" s="319"/>
      <c r="CE409" s="319"/>
      <c r="CF409" s="319"/>
      <c r="CG409" s="319"/>
      <c r="CH409" s="319"/>
      <c r="CI409" s="319"/>
      <c r="CJ409" s="319"/>
      <c r="CK409" s="319"/>
    </row>
    <row r="410" spans="1:89" ht="12.75" hidden="1" customHeight="1">
      <c r="A410" s="12"/>
      <c r="B410" s="329" t="str">
        <f>Language!C1660</f>
        <v>Fluxo garantido</v>
      </c>
      <c r="C410" s="29" t="str">
        <f>C405</f>
        <v>m³/s</v>
      </c>
      <c r="D410" s="100">
        <f>'Modelo Energético'!O330</f>
        <v>0</v>
      </c>
      <c r="E410" s="1"/>
      <c r="F410" s="1"/>
      <c r="G410" s="1"/>
      <c r="H410" s="1"/>
      <c r="I410" s="1"/>
      <c r="J410" s="1"/>
      <c r="K410" s="9"/>
      <c r="L410" s="1"/>
      <c r="M410" s="319"/>
      <c r="N410" s="319">
        <v>2111028</v>
      </c>
      <c r="O410" s="319"/>
      <c r="P410" s="319"/>
      <c r="Q410" s="319"/>
      <c r="R410" s="319"/>
      <c r="S410" s="319"/>
      <c r="T410" s="319"/>
      <c r="U410" s="319"/>
      <c r="V410" s="319"/>
      <c r="W410" s="319"/>
      <c r="X410" s="319"/>
      <c r="Y410" s="319"/>
      <c r="Z410" s="319"/>
      <c r="AA410" s="319"/>
      <c r="AB410" s="319"/>
      <c r="AC410" s="319"/>
      <c r="AD410" s="319"/>
      <c r="AE410" s="319"/>
      <c r="AF410" s="319"/>
      <c r="AG410" s="319"/>
      <c r="AH410" s="319"/>
      <c r="AI410" s="319"/>
      <c r="AJ410" s="319"/>
      <c r="AK410" s="319"/>
      <c r="AL410" s="319"/>
      <c r="AM410" s="319"/>
      <c r="AN410" s="319"/>
      <c r="AO410" s="319"/>
      <c r="AP410" s="319"/>
      <c r="AQ410" s="319"/>
      <c r="AR410" s="319"/>
      <c r="AS410" s="319"/>
      <c r="AT410" s="319"/>
      <c r="AU410" s="319"/>
      <c r="AV410" s="319"/>
      <c r="AW410" s="319"/>
      <c r="AX410" s="319"/>
      <c r="AY410" s="319"/>
      <c r="AZ410" s="319"/>
      <c r="BA410" s="319"/>
      <c r="BB410" s="319"/>
      <c r="BC410" s="319"/>
      <c r="BD410" s="319"/>
      <c r="BE410" s="319"/>
      <c r="BF410" s="319"/>
      <c r="BG410" s="319"/>
      <c r="BH410" s="319"/>
      <c r="BI410" s="319"/>
      <c r="BJ410" s="319"/>
      <c r="BK410" s="319"/>
      <c r="BL410" s="319"/>
      <c r="BM410" s="319"/>
      <c r="BN410" s="319"/>
      <c r="BO410" s="319"/>
      <c r="BP410" s="319"/>
      <c r="BQ410" s="319"/>
      <c r="BR410" s="319"/>
      <c r="BS410" s="319"/>
      <c r="BT410" s="319"/>
      <c r="BU410" s="319"/>
      <c r="BV410" s="319"/>
      <c r="BW410" s="319"/>
      <c r="BX410" s="319"/>
      <c r="BY410" s="319"/>
      <c r="BZ410" s="319"/>
      <c r="CA410" s="319"/>
      <c r="CB410" s="319"/>
      <c r="CC410" s="319"/>
      <c r="CD410" s="319"/>
      <c r="CE410" s="319"/>
      <c r="CF410" s="319"/>
      <c r="CG410" s="319"/>
      <c r="CH410" s="319"/>
      <c r="CI410" s="319"/>
      <c r="CJ410" s="319"/>
      <c r="CK410" s="319"/>
    </row>
    <row r="411" spans="1:89" ht="12.75" hidden="1" customHeight="1">
      <c r="A411" s="12"/>
      <c r="B411" s="1"/>
      <c r="C411" s="1"/>
      <c r="D411" s="1"/>
      <c r="E411" s="1"/>
      <c r="F411" s="1"/>
      <c r="G411" s="1"/>
      <c r="H411" s="1"/>
      <c r="I411" s="1"/>
      <c r="J411" s="1"/>
      <c r="K411" s="9"/>
      <c r="L411" s="1"/>
      <c r="M411" s="319"/>
      <c r="N411" s="319">
        <v>5050000</v>
      </c>
      <c r="O411" s="319"/>
      <c r="P411" s="319"/>
      <c r="Q411" s="319"/>
      <c r="R411" s="319"/>
      <c r="S411" s="319"/>
      <c r="T411" s="319"/>
      <c r="U411" s="319"/>
      <c r="V411" s="319"/>
      <c r="W411" s="319"/>
      <c r="X411" s="319"/>
      <c r="Y411" s="319"/>
      <c r="Z411" s="319"/>
      <c r="AA411" s="319"/>
      <c r="AB411" s="319"/>
      <c r="AC411" s="319"/>
      <c r="AD411" s="319"/>
      <c r="AE411" s="319"/>
      <c r="AF411" s="319"/>
      <c r="AG411" s="319"/>
      <c r="AH411" s="319"/>
      <c r="AI411" s="319"/>
      <c r="AJ411" s="319"/>
      <c r="AK411" s="319"/>
      <c r="AL411" s="319"/>
      <c r="AM411" s="319"/>
      <c r="AN411" s="319"/>
      <c r="AO411" s="319"/>
      <c r="AP411" s="319"/>
      <c r="AQ411" s="319"/>
      <c r="AR411" s="319"/>
      <c r="AS411" s="319"/>
      <c r="AT411" s="319"/>
      <c r="AU411" s="319"/>
      <c r="AV411" s="319"/>
      <c r="AW411" s="319"/>
      <c r="AX411" s="319"/>
      <c r="AY411" s="319"/>
      <c r="AZ411" s="319"/>
      <c r="BA411" s="319"/>
      <c r="BB411" s="319"/>
      <c r="BC411" s="319"/>
      <c r="BD411" s="319"/>
      <c r="BE411" s="319"/>
      <c r="BF411" s="319"/>
      <c r="BG411" s="319"/>
      <c r="BH411" s="319"/>
      <c r="BI411" s="319"/>
      <c r="BJ411" s="319"/>
      <c r="BK411" s="319"/>
      <c r="BL411" s="319"/>
      <c r="BM411" s="319"/>
      <c r="BN411" s="319"/>
      <c r="BO411" s="319"/>
      <c r="BP411" s="319"/>
      <c r="BQ411" s="319"/>
      <c r="BR411" s="319"/>
      <c r="BS411" s="319"/>
      <c r="BT411" s="319"/>
      <c r="BU411" s="319"/>
      <c r="BV411" s="319"/>
      <c r="BW411" s="319"/>
      <c r="BX411" s="319"/>
      <c r="BY411" s="319"/>
      <c r="BZ411" s="319"/>
      <c r="CA411" s="319"/>
      <c r="CB411" s="319"/>
      <c r="CC411" s="319"/>
      <c r="CD411" s="319"/>
      <c r="CE411" s="319"/>
      <c r="CF411" s="319"/>
      <c r="CG411" s="319"/>
      <c r="CH411" s="319"/>
      <c r="CI411" s="319"/>
      <c r="CJ411" s="319"/>
      <c r="CK411" s="319"/>
    </row>
    <row r="412" spans="1:89" ht="12.75" hidden="1" customHeight="1">
      <c r="A412" s="12"/>
      <c r="B412" s="28" t="str">
        <f>Language!C140</f>
        <v>Turbina hidráulica</v>
      </c>
      <c r="C412" s="1"/>
      <c r="D412" s="1"/>
      <c r="E412" s="1"/>
      <c r="F412" s="1"/>
      <c r="G412" s="82"/>
      <c r="H412" s="1"/>
      <c r="I412" s="1"/>
      <c r="J412" s="1"/>
      <c r="K412" s="9"/>
      <c r="L412" s="1"/>
      <c r="M412" s="319"/>
      <c r="N412" s="319">
        <v>5050028</v>
      </c>
      <c r="O412" s="319"/>
      <c r="P412" s="319"/>
      <c r="Q412" s="319"/>
      <c r="R412" s="319"/>
      <c r="S412" s="319"/>
      <c r="T412" s="319"/>
      <c r="U412" s="319"/>
      <c r="V412" s="319"/>
      <c r="W412" s="319"/>
      <c r="X412" s="319"/>
      <c r="Y412" s="319"/>
      <c r="Z412" s="319"/>
      <c r="AA412" s="319"/>
      <c r="AB412" s="319"/>
      <c r="AC412" s="319"/>
      <c r="AD412" s="319"/>
      <c r="AE412" s="319"/>
      <c r="AF412" s="319"/>
      <c r="AG412" s="319"/>
      <c r="AH412" s="319"/>
      <c r="AI412" s="319"/>
      <c r="AJ412" s="319"/>
      <c r="AK412" s="319"/>
      <c r="AL412" s="319"/>
      <c r="AM412" s="319"/>
      <c r="AN412" s="319"/>
      <c r="AO412" s="319"/>
      <c r="AP412" s="319"/>
      <c r="AQ412" s="319"/>
      <c r="AR412" s="319"/>
      <c r="AS412" s="319"/>
      <c r="AT412" s="319"/>
      <c r="AU412" s="319"/>
      <c r="AV412" s="319"/>
      <c r="AW412" s="319"/>
      <c r="AX412" s="319"/>
      <c r="AY412" s="319"/>
      <c r="AZ412" s="319"/>
      <c r="BA412" s="319"/>
      <c r="BB412" s="319"/>
      <c r="BC412" s="319"/>
      <c r="BD412" s="319"/>
      <c r="BE412" s="319"/>
      <c r="BF412" s="319"/>
      <c r="BG412" s="319"/>
      <c r="BH412" s="319"/>
      <c r="BI412" s="319"/>
      <c r="BJ412" s="319"/>
      <c r="BK412" s="319"/>
      <c r="BL412" s="319"/>
      <c r="BM412" s="319"/>
      <c r="BN412" s="319"/>
      <c r="BO412" s="319"/>
      <c r="BP412" s="319"/>
      <c r="BQ412" s="319"/>
      <c r="BR412" s="319"/>
      <c r="BS412" s="319"/>
      <c r="BT412" s="319"/>
      <c r="BU412" s="319"/>
      <c r="BV412" s="319"/>
      <c r="BW412" s="319"/>
      <c r="BX412" s="319"/>
      <c r="BY412" s="319"/>
      <c r="BZ412" s="319"/>
      <c r="CA412" s="319"/>
      <c r="CB412" s="319"/>
      <c r="CC412" s="319"/>
      <c r="CD412" s="319"/>
      <c r="CE412" s="319"/>
      <c r="CF412" s="319"/>
      <c r="CG412" s="319"/>
      <c r="CH412" s="319"/>
      <c r="CI412" s="319"/>
      <c r="CJ412" s="319"/>
      <c r="CK412" s="319"/>
    </row>
    <row r="413" spans="1:89" ht="13.5" hidden="1" customHeight="1">
      <c r="A413" s="12"/>
      <c r="B413" s="329" t="str">
        <f>Language!C1592</f>
        <v>Fluxo de projeto</v>
      </c>
      <c r="C413" s="29" t="str">
        <f>C405</f>
        <v>m³/s</v>
      </c>
      <c r="D413" s="399"/>
      <c r="E413" s="1"/>
      <c r="F413" s="1"/>
      <c r="G413" s="1346"/>
      <c r="H413" s="1"/>
      <c r="I413" s="1"/>
      <c r="J413" s="1"/>
      <c r="K413" s="9"/>
      <c r="L413" s="1"/>
      <c r="M413" s="319"/>
      <c r="N413" s="319">
        <v>2113002</v>
      </c>
      <c r="O413" s="319"/>
      <c r="P413" s="319"/>
      <c r="Q413" s="319"/>
      <c r="R413" s="319"/>
      <c r="S413" s="319"/>
      <c r="T413" s="319"/>
      <c r="U413" s="319"/>
      <c r="V413" s="319"/>
      <c r="W413" s="319"/>
      <c r="X413" s="319"/>
      <c r="Y413" s="319"/>
      <c r="Z413" s="319"/>
      <c r="AA413" s="319"/>
      <c r="AB413" s="319"/>
      <c r="AC413" s="319"/>
      <c r="AD413" s="319"/>
      <c r="AE413" s="319"/>
      <c r="AF413" s="319"/>
      <c r="AG413" s="319"/>
      <c r="AH413" s="319"/>
      <c r="AI413" s="319"/>
      <c r="AJ413" s="319"/>
      <c r="AK413" s="319"/>
      <c r="AL413" s="319"/>
      <c r="AM413" s="319"/>
      <c r="AN413" s="319"/>
      <c r="AO413" s="319"/>
      <c r="AP413" s="319"/>
      <c r="AQ413" s="319"/>
      <c r="AR413" s="319"/>
      <c r="AS413" s="319"/>
      <c r="AT413" s="319"/>
      <c r="AU413" s="319"/>
      <c r="AV413" s="319"/>
      <c r="AW413" s="319"/>
      <c r="AX413" s="319"/>
      <c r="AY413" s="319"/>
      <c r="AZ413" s="319"/>
      <c r="BA413" s="319"/>
      <c r="BB413" s="319"/>
      <c r="BC413" s="319"/>
      <c r="BD413" s="319"/>
      <c r="BE413" s="319"/>
      <c r="BF413" s="319"/>
      <c r="BG413" s="319"/>
      <c r="BH413" s="319"/>
      <c r="BI413" s="319"/>
      <c r="BJ413" s="319"/>
      <c r="BK413" s="319"/>
      <c r="BL413" s="319"/>
      <c r="BM413" s="319"/>
      <c r="BN413" s="319"/>
      <c r="BO413" s="319"/>
      <c r="BP413" s="319"/>
      <c r="BQ413" s="319"/>
      <c r="BR413" s="319"/>
      <c r="BS413" s="319"/>
      <c r="BT413" s="319"/>
      <c r="BU413" s="319"/>
      <c r="BV413" s="319"/>
      <c r="BW413" s="319"/>
      <c r="BX413" s="319"/>
      <c r="BY413" s="319"/>
      <c r="BZ413" s="319"/>
      <c r="CA413" s="319"/>
      <c r="CB413" s="319"/>
      <c r="CC413" s="319"/>
      <c r="CD413" s="319"/>
      <c r="CE413" s="319"/>
      <c r="CF413" s="319"/>
      <c r="CG413" s="319"/>
      <c r="CH413" s="319"/>
      <c r="CI413" s="319"/>
      <c r="CJ413" s="319"/>
      <c r="CK413" s="319"/>
    </row>
    <row r="414" spans="1:89" ht="12.75" hidden="1" customHeight="1">
      <c r="A414" s="12"/>
      <c r="B414" s="329" t="str">
        <f>B759</f>
        <v>Tipo</v>
      </c>
      <c r="C414" s="29"/>
      <c r="D414" s="889" t="s">
        <v>5654</v>
      </c>
      <c r="E414" s="1"/>
      <c r="F414" s="1"/>
      <c r="G414" s="1"/>
      <c r="H414" s="1"/>
      <c r="I414" s="1209" t="str">
        <f>I636</f>
        <v>Ver banco de dados de produtos</v>
      </c>
      <c r="J414" s="1191"/>
      <c r="K414" s="1210"/>
      <c r="L414" s="1"/>
      <c r="M414" s="319">
        <f>TurbType</f>
        <v>1</v>
      </c>
      <c r="N414" s="319">
        <v>2113004</v>
      </c>
      <c r="O414" s="319"/>
      <c r="P414" s="319"/>
      <c r="Q414" s="319"/>
      <c r="R414" s="319"/>
      <c r="S414" s="319"/>
      <c r="T414" s="319"/>
      <c r="U414" s="319"/>
      <c r="V414" s="319"/>
      <c r="W414" s="319"/>
      <c r="X414" s="319"/>
      <c r="Y414" s="319"/>
      <c r="Z414" s="319"/>
      <c r="AA414" s="319"/>
      <c r="AB414" s="319"/>
      <c r="AC414" s="319"/>
      <c r="AD414" s="319"/>
      <c r="AE414" s="319"/>
      <c r="AF414" s="319"/>
      <c r="AG414" s="319"/>
      <c r="AH414" s="319"/>
      <c r="AI414" s="319"/>
      <c r="AJ414" s="319"/>
      <c r="AK414" s="319"/>
      <c r="AL414" s="319"/>
      <c r="AM414" s="319"/>
      <c r="AN414" s="319"/>
      <c r="AO414" s="319"/>
      <c r="AP414" s="319"/>
      <c r="AQ414" s="319"/>
      <c r="AR414" s="319"/>
      <c r="AS414" s="319"/>
      <c r="AT414" s="319"/>
      <c r="AU414" s="319"/>
      <c r="AV414" s="319"/>
      <c r="AW414" s="319"/>
      <c r="AX414" s="319"/>
      <c r="AY414" s="319"/>
      <c r="AZ414" s="319"/>
      <c r="BA414" s="319"/>
      <c r="BB414" s="319"/>
      <c r="BC414" s="319"/>
      <c r="BD414" s="319"/>
      <c r="BE414" s="319"/>
      <c r="BF414" s="319"/>
      <c r="BG414" s="319"/>
      <c r="BH414" s="319"/>
      <c r="BI414" s="319"/>
      <c r="BJ414" s="319"/>
      <c r="BK414" s="319"/>
      <c r="BL414" s="319"/>
      <c r="BM414" s="319"/>
      <c r="BN414" s="319"/>
      <c r="BO414" s="319"/>
      <c r="BP414" s="319"/>
      <c r="BQ414" s="319"/>
      <c r="BR414" s="319"/>
      <c r="BS414" s="319"/>
      <c r="BT414" s="319"/>
      <c r="BU414" s="319"/>
      <c r="BV414" s="319"/>
      <c r="BW414" s="319"/>
      <c r="BX414" s="319"/>
      <c r="BY414" s="319"/>
      <c r="BZ414" s="319"/>
      <c r="CA414" s="319"/>
      <c r="CB414" s="319"/>
      <c r="CC414" s="319"/>
      <c r="CD414" s="319"/>
      <c r="CE414" s="319"/>
      <c r="CF414" s="319"/>
      <c r="CG414" s="319"/>
      <c r="CH414" s="319"/>
      <c r="CI414" s="319"/>
      <c r="CJ414" s="319"/>
      <c r="CK414" s="319"/>
    </row>
    <row r="415" spans="1:89" ht="13.2" hidden="1">
      <c r="A415" s="12"/>
      <c r="B415" s="329" t="str">
        <f>Language!C2045</f>
        <v>Eficiência da turbina</v>
      </c>
      <c r="C415" s="29"/>
      <c r="D415" s="419" t="s">
        <v>6129</v>
      </c>
      <c r="E415" s="1"/>
      <c r="F415" s="1"/>
      <c r="G415" s="1"/>
      <c r="H415" s="1"/>
      <c r="I415" s="1"/>
      <c r="J415" s="1"/>
      <c r="K415" s="9"/>
      <c r="L415" s="1"/>
      <c r="M415" s="319">
        <f>ES_Hydro_TECDS</f>
        <v>300</v>
      </c>
      <c r="N415" s="319">
        <v>2113006</v>
      </c>
      <c r="O415" s="319"/>
      <c r="P415" s="319"/>
      <c r="Q415" s="319"/>
      <c r="R415" s="319"/>
      <c r="S415" s="319"/>
      <c r="T415" s="319"/>
      <c r="U415" s="319"/>
      <c r="V415" s="319"/>
      <c r="W415" s="319"/>
      <c r="X415" s="319"/>
      <c r="Y415" s="319"/>
      <c r="Z415" s="319"/>
      <c r="AA415" s="319"/>
      <c r="AB415" s="319"/>
      <c r="AC415" s="319"/>
      <c r="AD415" s="319"/>
      <c r="AE415" s="319"/>
      <c r="AF415" s="319"/>
      <c r="AG415" s="319"/>
      <c r="AH415" s="319"/>
      <c r="AI415" s="319"/>
      <c r="AJ415" s="319"/>
      <c r="AK415" s="319"/>
      <c r="AL415" s="319"/>
      <c r="AM415" s="319"/>
      <c r="AN415" s="319"/>
      <c r="AO415" s="319"/>
      <c r="AP415" s="319"/>
      <c r="AQ415" s="319"/>
      <c r="AR415" s="319"/>
      <c r="AS415" s="319"/>
      <c r="AT415" s="319"/>
      <c r="AU415" s="319"/>
      <c r="AV415" s="319"/>
      <c r="AW415" s="319"/>
      <c r="AX415" s="319"/>
      <c r="AY415" s="319"/>
      <c r="AZ415" s="319"/>
      <c r="BA415" s="319"/>
      <c r="BB415" s="319"/>
      <c r="BC415" s="319"/>
      <c r="BD415" s="319"/>
      <c r="BE415" s="319"/>
      <c r="BF415" s="319"/>
      <c r="BG415" s="319"/>
      <c r="BH415" s="319"/>
      <c r="BI415" s="319"/>
      <c r="BJ415" s="319"/>
      <c r="BK415" s="319"/>
      <c r="BL415" s="319"/>
      <c r="BM415" s="319"/>
      <c r="BN415" s="319"/>
      <c r="BO415" s="319"/>
      <c r="BP415" s="319"/>
      <c r="BQ415" s="319"/>
      <c r="BR415" s="319"/>
      <c r="BS415" s="319"/>
      <c r="BT415" s="319"/>
      <c r="BU415" s="319"/>
      <c r="BV415" s="319"/>
      <c r="BW415" s="319"/>
      <c r="BX415" s="319"/>
      <c r="BY415" s="319"/>
      <c r="BZ415" s="319"/>
      <c r="CA415" s="319"/>
      <c r="CB415" s="319"/>
      <c r="CC415" s="319"/>
      <c r="CD415" s="319"/>
      <c r="CE415" s="319"/>
      <c r="CF415" s="319"/>
      <c r="CG415" s="319"/>
      <c r="CH415" s="319"/>
      <c r="CI415" s="319"/>
      <c r="CJ415" s="319"/>
      <c r="CK415" s="319"/>
    </row>
    <row r="416" spans="1:89" ht="13.5" hidden="1" customHeight="1">
      <c r="A416" s="12"/>
      <c r="B416" s="1" t="str">
        <f>Language!C1841</f>
        <v>Número de jatos para turbina de impulso</v>
      </c>
      <c r="C416" s="29"/>
      <c r="D416" s="303"/>
      <c r="E416" s="1"/>
      <c r="F416" s="1"/>
      <c r="G416" s="1"/>
      <c r="H416" s="1"/>
      <c r="I416" s="1"/>
      <c r="J416" s="1"/>
      <c r="K416" s="9"/>
      <c r="L416" s="1"/>
      <c r="M416" s="319"/>
      <c r="N416" s="319">
        <v>2113008</v>
      </c>
      <c r="O416" s="319"/>
      <c r="P416" s="319"/>
      <c r="Q416" s="319"/>
      <c r="R416" s="319"/>
      <c r="S416" s="319"/>
      <c r="T416" s="319"/>
      <c r="U416" s="319"/>
      <c r="V416" s="319"/>
      <c r="W416" s="319"/>
      <c r="X416" s="319"/>
      <c r="Y416" s="319"/>
      <c r="Z416" s="319"/>
      <c r="AA416" s="319"/>
      <c r="AB416" s="319"/>
      <c r="AC416" s="319"/>
      <c r="AD416" s="319"/>
      <c r="AE416" s="319"/>
      <c r="AF416" s="319"/>
      <c r="AG416" s="319"/>
      <c r="AH416" s="319"/>
      <c r="AI416" s="319"/>
      <c r="AJ416" s="319"/>
      <c r="AK416" s="319"/>
      <c r="AL416" s="319"/>
      <c r="AM416" s="319"/>
      <c r="AN416" s="319"/>
      <c r="AO416" s="319"/>
      <c r="AP416" s="319"/>
      <c r="AQ416" s="319"/>
      <c r="AR416" s="319"/>
      <c r="AS416" s="319"/>
      <c r="AT416" s="319"/>
      <c r="AU416" s="319"/>
      <c r="AV416" s="319"/>
      <c r="AW416" s="319"/>
      <c r="AX416" s="319"/>
      <c r="AY416" s="319"/>
      <c r="AZ416" s="319"/>
      <c r="BA416" s="319"/>
      <c r="BB416" s="319"/>
      <c r="BC416" s="319"/>
      <c r="BD416" s="319"/>
      <c r="BE416" s="319"/>
      <c r="BF416" s="319"/>
      <c r="BG416" s="319"/>
      <c r="BH416" s="319"/>
      <c r="BI416" s="319"/>
      <c r="BJ416" s="319"/>
      <c r="BK416" s="319"/>
      <c r="BL416" s="319"/>
      <c r="BM416" s="319"/>
      <c r="BN416" s="319"/>
      <c r="BO416" s="319"/>
      <c r="BP416" s="319"/>
      <c r="BQ416" s="319"/>
      <c r="BR416" s="319"/>
      <c r="BS416" s="319"/>
      <c r="BT416" s="319"/>
      <c r="BU416" s="319"/>
      <c r="BV416" s="319"/>
      <c r="BW416" s="319"/>
      <c r="BX416" s="319"/>
      <c r="BY416" s="319"/>
      <c r="BZ416" s="319"/>
      <c r="CA416" s="319"/>
      <c r="CB416" s="319"/>
      <c r="CC416" s="319"/>
      <c r="CD416" s="319"/>
      <c r="CE416" s="319"/>
      <c r="CF416" s="319"/>
      <c r="CG416" s="319"/>
      <c r="CH416" s="319"/>
      <c r="CI416" s="319"/>
      <c r="CJ416" s="319"/>
      <c r="CK416" s="319"/>
    </row>
    <row r="417" spans="1:89" ht="13.5" hidden="1" customHeight="1">
      <c r="A417" s="12"/>
      <c r="B417" s="329" t="str">
        <f>B344</f>
        <v>Número de turbinas</v>
      </c>
      <c r="C417" s="29"/>
      <c r="D417" s="303"/>
      <c r="E417" s="1"/>
      <c r="F417" s="1"/>
      <c r="G417" s="1"/>
      <c r="H417" s="1"/>
      <c r="I417" s="1"/>
      <c r="J417" s="1"/>
      <c r="K417" s="9"/>
      <c r="L417" s="1"/>
      <c r="M417" s="319"/>
      <c r="N417" s="319">
        <v>2113010</v>
      </c>
      <c r="O417" s="319"/>
      <c r="P417" s="319"/>
      <c r="Q417" s="319"/>
      <c r="R417" s="319"/>
      <c r="S417" s="319"/>
      <c r="T417" s="319"/>
      <c r="U417" s="319"/>
      <c r="V417" s="319"/>
      <c r="W417" s="319"/>
      <c r="X417" s="319"/>
      <c r="Y417" s="319"/>
      <c r="Z417" s="319"/>
      <c r="AA417" s="319"/>
      <c r="AB417" s="319"/>
      <c r="AC417" s="319"/>
      <c r="AD417" s="319"/>
      <c r="AE417" s="319"/>
      <c r="AF417" s="319"/>
      <c r="AG417" s="319"/>
      <c r="AH417" s="319"/>
      <c r="AI417" s="319"/>
      <c r="AJ417" s="319"/>
      <c r="AK417" s="319"/>
      <c r="AL417" s="319"/>
      <c r="AM417" s="319"/>
      <c r="AN417" s="319"/>
      <c r="AO417" s="319"/>
      <c r="AP417" s="319"/>
      <c r="AQ417" s="319"/>
      <c r="AR417" s="319"/>
      <c r="AS417" s="319"/>
      <c r="AT417" s="319"/>
      <c r="AU417" s="319"/>
      <c r="AV417" s="319"/>
      <c r="AW417" s="319"/>
      <c r="AX417" s="319"/>
      <c r="AY417" s="319"/>
      <c r="AZ417" s="319"/>
      <c r="BA417" s="319"/>
      <c r="BB417" s="319"/>
      <c r="BC417" s="319"/>
      <c r="BD417" s="319"/>
      <c r="BE417" s="319"/>
      <c r="BF417" s="319"/>
      <c r="BG417" s="319"/>
      <c r="BH417" s="319"/>
      <c r="BI417" s="319"/>
      <c r="BJ417" s="319"/>
      <c r="BK417" s="319"/>
      <c r="BL417" s="319"/>
      <c r="BM417" s="319"/>
      <c r="BN417" s="319"/>
      <c r="BO417" s="319"/>
      <c r="BP417" s="319"/>
      <c r="BQ417" s="319"/>
      <c r="BR417" s="319"/>
      <c r="BS417" s="319"/>
      <c r="BT417" s="319"/>
      <c r="BU417" s="319"/>
      <c r="BV417" s="319"/>
      <c r="BW417" s="319"/>
      <c r="BX417" s="319"/>
      <c r="BY417" s="319"/>
      <c r="BZ417" s="319"/>
      <c r="CA417" s="319"/>
      <c r="CB417" s="319"/>
      <c r="CC417" s="319"/>
      <c r="CD417" s="319"/>
      <c r="CE417" s="319"/>
      <c r="CF417" s="319"/>
      <c r="CG417" s="319"/>
      <c r="CH417" s="319"/>
      <c r="CI417" s="319"/>
      <c r="CJ417" s="319"/>
      <c r="CK417" s="319"/>
    </row>
    <row r="418" spans="1:89" ht="13.5" hidden="1" customHeight="1">
      <c r="A418" s="12"/>
      <c r="B418" s="329" t="str">
        <f>B760</f>
        <v>Fabricante</v>
      </c>
      <c r="C418" s="1152"/>
      <c r="D418" s="1153"/>
      <c r="E418" s="1154"/>
      <c r="F418" s="1"/>
      <c r="G418" s="1"/>
      <c r="H418" s="1"/>
      <c r="I418" s="1"/>
      <c r="J418" s="1"/>
      <c r="K418" s="9"/>
      <c r="L418" s="1"/>
      <c r="M418" s="319"/>
      <c r="N418" s="319">
        <v>2050012</v>
      </c>
      <c r="O418" s="319"/>
      <c r="P418" s="319"/>
      <c r="Q418" s="319"/>
      <c r="R418" s="319"/>
      <c r="S418" s="319"/>
      <c r="T418" s="319"/>
      <c r="U418" s="319"/>
      <c r="V418" s="319"/>
      <c r="W418" s="319"/>
      <c r="X418" s="319"/>
      <c r="Y418" s="319"/>
      <c r="Z418" s="319"/>
      <c r="AA418" s="319"/>
      <c r="AB418" s="319"/>
      <c r="AC418" s="319"/>
      <c r="AD418" s="319"/>
      <c r="AE418" s="319"/>
      <c r="AF418" s="319"/>
      <c r="AG418" s="319"/>
      <c r="AH418" s="319"/>
      <c r="AI418" s="319"/>
      <c r="AJ418" s="319"/>
      <c r="AK418" s="319"/>
      <c r="AL418" s="319"/>
      <c r="AM418" s="319"/>
      <c r="AN418" s="319"/>
      <c r="AO418" s="319"/>
      <c r="AP418" s="319"/>
      <c r="AQ418" s="319"/>
      <c r="AR418" s="319"/>
      <c r="AS418" s="319"/>
      <c r="AT418" s="319"/>
      <c r="AU418" s="319"/>
      <c r="AV418" s="319"/>
      <c r="AW418" s="319"/>
      <c r="AX418" s="319"/>
      <c r="AY418" s="319"/>
      <c r="AZ418" s="319"/>
      <c r="BA418" s="319"/>
      <c r="BB418" s="319"/>
      <c r="BC418" s="319"/>
      <c r="BD418" s="319"/>
      <c r="BE418" s="319"/>
      <c r="BF418" s="319"/>
      <c r="BG418" s="319"/>
      <c r="BH418" s="319"/>
      <c r="BI418" s="319"/>
      <c r="BJ418" s="319"/>
      <c r="BK418" s="319"/>
      <c r="BL418" s="319"/>
      <c r="BM418" s="319"/>
      <c r="BN418" s="319"/>
      <c r="BO418" s="319"/>
      <c r="BP418" s="319"/>
      <c r="BQ418" s="319"/>
      <c r="BR418" s="319"/>
      <c r="BS418" s="319"/>
      <c r="BT418" s="319"/>
      <c r="BU418" s="319"/>
      <c r="BV418" s="319"/>
      <c r="BW418" s="319"/>
      <c r="BX418" s="319"/>
      <c r="BY418" s="319"/>
      <c r="BZ418" s="319"/>
      <c r="CA418" s="319"/>
      <c r="CB418" s="319"/>
      <c r="CC418" s="319"/>
      <c r="CD418" s="319"/>
      <c r="CE418" s="319"/>
      <c r="CF418" s="319"/>
      <c r="CG418" s="319"/>
      <c r="CH418" s="319"/>
      <c r="CI418" s="319"/>
      <c r="CJ418" s="319"/>
      <c r="CK418" s="319"/>
    </row>
    <row r="419" spans="1:89" ht="13.5" hidden="1" customHeight="1">
      <c r="A419" s="12"/>
      <c r="B419" s="329" t="str">
        <f>B343</f>
        <v>Modelo</v>
      </c>
      <c r="C419" s="1152"/>
      <c r="D419" s="1153"/>
      <c r="E419" s="1154"/>
      <c r="F419" s="1"/>
      <c r="G419" s="1"/>
      <c r="H419" s="1"/>
      <c r="I419" s="1"/>
      <c r="J419" s="1"/>
      <c r="K419" s="9"/>
      <c r="L419" s="1"/>
      <c r="M419" s="319"/>
      <c r="N419" s="319">
        <v>2050014</v>
      </c>
      <c r="O419" s="319"/>
      <c r="P419" s="319"/>
      <c r="Q419" s="319"/>
      <c r="R419" s="319"/>
      <c r="S419" s="319"/>
      <c r="T419" s="319"/>
      <c r="U419" s="319"/>
      <c r="V419" s="319"/>
      <c r="W419" s="319"/>
      <c r="X419" s="319"/>
      <c r="Y419" s="319"/>
      <c r="Z419" s="319"/>
      <c r="AA419" s="319"/>
      <c r="AB419" s="319"/>
      <c r="AC419" s="319"/>
      <c r="AD419" s="319"/>
      <c r="AE419" s="319"/>
      <c r="AF419" s="319"/>
      <c r="AG419" s="319"/>
      <c r="AH419" s="319"/>
      <c r="AI419" s="319"/>
      <c r="AJ419" s="319"/>
      <c r="AK419" s="319"/>
      <c r="AL419" s="319"/>
      <c r="AM419" s="319"/>
      <c r="AN419" s="319"/>
      <c r="AO419" s="319"/>
      <c r="AP419" s="319"/>
      <c r="AQ419" s="319"/>
      <c r="AR419" s="319"/>
      <c r="AS419" s="319"/>
      <c r="AT419" s="319"/>
      <c r="AU419" s="319"/>
      <c r="AV419" s="319"/>
      <c r="AW419" s="319"/>
      <c r="AX419" s="319"/>
      <c r="AY419" s="319"/>
      <c r="AZ419" s="319"/>
      <c r="BA419" s="319"/>
      <c r="BB419" s="319"/>
      <c r="BC419" s="319"/>
      <c r="BD419" s="319"/>
      <c r="BE419" s="319"/>
      <c r="BF419" s="319"/>
      <c r="BG419" s="319"/>
      <c r="BH419" s="319"/>
      <c r="BI419" s="319"/>
      <c r="BJ419" s="319"/>
      <c r="BK419" s="319"/>
      <c r="BL419" s="319"/>
      <c r="BM419" s="319"/>
      <c r="BN419" s="319"/>
      <c r="BO419" s="319"/>
      <c r="BP419" s="319"/>
      <c r="BQ419" s="319"/>
      <c r="BR419" s="319"/>
      <c r="BS419" s="319"/>
      <c r="BT419" s="319"/>
      <c r="BU419" s="319"/>
      <c r="BV419" s="319"/>
      <c r="BW419" s="319"/>
      <c r="BX419" s="319"/>
      <c r="BY419" s="319"/>
      <c r="BZ419" s="319"/>
      <c r="CA419" s="319"/>
      <c r="CB419" s="319"/>
      <c r="CC419" s="319"/>
      <c r="CD419" s="319"/>
      <c r="CE419" s="319"/>
      <c r="CF419" s="319"/>
      <c r="CG419" s="319"/>
      <c r="CH419" s="319"/>
      <c r="CI419" s="319"/>
      <c r="CJ419" s="319"/>
      <c r="CK419" s="319"/>
    </row>
    <row r="420" spans="1:89" ht="13.5" hidden="1" customHeight="1">
      <c r="A420" s="12"/>
      <c r="B420" s="329" t="str">
        <f>Language!C1590</f>
        <v>Coeficiente de Projeto</v>
      </c>
      <c r="C420" s="29"/>
      <c r="D420" s="303"/>
      <c r="E420" s="1"/>
      <c r="F420" s="1"/>
      <c r="G420" s="1"/>
      <c r="H420" s="1"/>
      <c r="I420" s="1"/>
      <c r="J420" s="1"/>
      <c r="K420" s="9"/>
      <c r="L420" s="1"/>
      <c r="M420" s="319"/>
      <c r="N420" s="319">
        <v>2113016</v>
      </c>
      <c r="O420" s="319"/>
      <c r="P420" s="319"/>
      <c r="Q420" s="319"/>
      <c r="R420" s="319"/>
      <c r="S420" s="319"/>
      <c r="T420" s="319"/>
      <c r="U420" s="319"/>
      <c r="V420" s="319"/>
      <c r="W420" s="319"/>
      <c r="X420" s="319"/>
      <c r="Y420" s="319"/>
      <c r="Z420" s="319"/>
      <c r="AA420" s="319"/>
      <c r="AB420" s="319"/>
      <c r="AC420" s="319"/>
      <c r="AD420" s="319"/>
      <c r="AE420" s="319"/>
      <c r="AF420" s="319"/>
      <c r="AG420" s="319"/>
      <c r="AH420" s="319"/>
      <c r="AI420" s="319"/>
      <c r="AJ420" s="319"/>
      <c r="AK420" s="319"/>
      <c r="AL420" s="319"/>
      <c r="AM420" s="319"/>
      <c r="AN420" s="319"/>
      <c r="AO420" s="319"/>
      <c r="AP420" s="319"/>
      <c r="AQ420" s="319"/>
      <c r="AR420" s="319"/>
      <c r="AS420" s="319"/>
      <c r="AT420" s="319"/>
      <c r="AU420" s="319"/>
      <c r="AV420" s="319"/>
      <c r="AW420" s="319"/>
      <c r="AX420" s="319"/>
      <c r="AY420" s="319"/>
      <c r="AZ420" s="319"/>
      <c r="BA420" s="319"/>
      <c r="BB420" s="319"/>
      <c r="BC420" s="319"/>
      <c r="BD420" s="319"/>
      <c r="BE420" s="319"/>
      <c r="BF420" s="319"/>
      <c r="BG420" s="319"/>
      <c r="BH420" s="319"/>
      <c r="BI420" s="319"/>
      <c r="BJ420" s="319"/>
      <c r="BK420" s="319"/>
      <c r="BL420" s="319"/>
      <c r="BM420" s="319"/>
      <c r="BN420" s="319"/>
      <c r="BO420" s="319"/>
      <c r="BP420" s="319"/>
      <c r="BQ420" s="319"/>
      <c r="BR420" s="319"/>
      <c r="BS420" s="319"/>
      <c r="BT420" s="319"/>
      <c r="BU420" s="319"/>
      <c r="BV420" s="319"/>
      <c r="BW420" s="319"/>
      <c r="BX420" s="319"/>
      <c r="BY420" s="319"/>
      <c r="BZ420" s="319"/>
      <c r="CA420" s="319"/>
      <c r="CB420" s="319"/>
      <c r="CC420" s="319"/>
      <c r="CD420" s="319"/>
      <c r="CE420" s="319"/>
      <c r="CF420" s="319"/>
      <c r="CG420" s="319"/>
      <c r="CH420" s="319"/>
      <c r="CI420" s="319"/>
      <c r="CJ420" s="319"/>
      <c r="CK420" s="319"/>
    </row>
    <row r="421" spans="1:89" ht="13.2" hidden="1">
      <c r="A421" s="12"/>
      <c r="B421" s="329" t="str">
        <f>Language!C1619</f>
        <v>Ajuste da eficiência</v>
      </c>
      <c r="C421" s="29" t="str">
        <f>$C$254</f>
        <v>%</v>
      </c>
      <c r="D421" s="339"/>
      <c r="E421" s="1"/>
      <c r="F421" s="1"/>
      <c r="G421" s="1"/>
      <c r="H421" s="1"/>
      <c r="I421" s="1"/>
      <c r="J421" s="1"/>
      <c r="K421" s="9"/>
      <c r="L421" s="1"/>
      <c r="M421" s="319"/>
      <c r="N421" s="319">
        <v>2113018</v>
      </c>
      <c r="O421" s="319"/>
      <c r="P421" s="319"/>
      <c r="Q421" s="319"/>
      <c r="R421" s="319"/>
      <c r="S421" s="319"/>
      <c r="T421" s="319"/>
      <c r="U421" s="319"/>
      <c r="V421" s="319"/>
      <c r="W421" s="319"/>
      <c r="X421" s="319"/>
      <c r="Y421" s="319"/>
      <c r="Z421" s="319"/>
      <c r="AA421" s="319"/>
      <c r="AB421" s="319"/>
      <c r="AC421" s="319"/>
      <c r="AD421" s="319"/>
      <c r="AE421" s="319"/>
      <c r="AF421" s="319"/>
      <c r="AG421" s="319"/>
      <c r="AH421" s="319"/>
      <c r="AI421" s="319"/>
      <c r="AJ421" s="319"/>
      <c r="AK421" s="319"/>
      <c r="AL421" s="319"/>
      <c r="AM421" s="319"/>
      <c r="AN421" s="319"/>
      <c r="AO421" s="319"/>
      <c r="AP421" s="319"/>
      <c r="AQ421" s="319"/>
      <c r="AR421" s="319"/>
      <c r="AS421" s="319"/>
      <c r="AT421" s="319"/>
      <c r="AU421" s="319"/>
      <c r="AV421" s="319"/>
      <c r="AW421" s="319"/>
      <c r="AX421" s="319"/>
      <c r="AY421" s="319"/>
      <c r="AZ421" s="319"/>
      <c r="BA421" s="319"/>
      <c r="BB421" s="319"/>
      <c r="BC421" s="319"/>
      <c r="BD421" s="319"/>
      <c r="BE421" s="319"/>
      <c r="BF421" s="319"/>
      <c r="BG421" s="319"/>
      <c r="BH421" s="319"/>
      <c r="BI421" s="319"/>
      <c r="BJ421" s="319"/>
      <c r="BK421" s="319"/>
      <c r="BL421" s="319"/>
      <c r="BM421" s="319"/>
      <c r="BN421" s="319"/>
      <c r="BO421" s="319"/>
      <c r="BP421" s="319"/>
      <c r="BQ421" s="319"/>
      <c r="BR421" s="319"/>
      <c r="BS421" s="319"/>
      <c r="BT421" s="319"/>
      <c r="BU421" s="319"/>
      <c r="BV421" s="319"/>
      <c r="BW421" s="319"/>
      <c r="BX421" s="319"/>
      <c r="BY421" s="319"/>
      <c r="BZ421" s="319"/>
      <c r="CA421" s="319"/>
      <c r="CB421" s="319"/>
      <c r="CC421" s="319"/>
      <c r="CD421" s="319"/>
      <c r="CE421" s="319"/>
      <c r="CF421" s="319"/>
      <c r="CG421" s="319"/>
      <c r="CH421" s="319"/>
      <c r="CI421" s="319"/>
      <c r="CJ421" s="319"/>
      <c r="CK421" s="319"/>
    </row>
    <row r="422" spans="1:89" ht="13.5" hidden="1" customHeight="1">
      <c r="A422" s="12"/>
      <c r="B422" s="329" t="str">
        <f>Language!C2048</f>
        <v>Eficiência de ponta da turbina</v>
      </c>
      <c r="C422" s="29" t="str">
        <f>$C$254</f>
        <v>%</v>
      </c>
      <c r="D422" s="80" t="e">
        <f>'Modelo Energético'!D376</f>
        <v>#DIV/0!</v>
      </c>
      <c r="E422" s="1"/>
      <c r="F422" s="1"/>
      <c r="G422" s="1"/>
      <c r="H422" s="1"/>
      <c r="I422" s="1"/>
      <c r="J422" s="1"/>
      <c r="K422" s="9"/>
      <c r="L422" s="1"/>
      <c r="M422" s="319"/>
      <c r="N422" s="319">
        <v>2113020</v>
      </c>
      <c r="O422" s="319"/>
      <c r="P422" s="319"/>
      <c r="Q422" s="319"/>
      <c r="R422" s="319"/>
      <c r="S422" s="319"/>
      <c r="T422" s="319"/>
      <c r="U422" s="319"/>
      <c r="V422" s="319"/>
      <c r="W422" s="319"/>
      <c r="X422" s="319"/>
      <c r="Y422" s="319"/>
      <c r="Z422" s="319"/>
      <c r="AA422" s="319"/>
      <c r="AB422" s="319"/>
      <c r="AC422" s="319"/>
      <c r="AD422" s="319"/>
      <c r="AE422" s="319"/>
      <c r="AF422" s="319"/>
      <c r="AG422" s="319"/>
      <c r="AH422" s="319"/>
      <c r="AI422" s="319"/>
      <c r="AJ422" s="319"/>
      <c r="AK422" s="319"/>
      <c r="AL422" s="319"/>
      <c r="AM422" s="319"/>
      <c r="AN422" s="319"/>
      <c r="AO422" s="319"/>
      <c r="AP422" s="319"/>
      <c r="AQ422" s="319"/>
      <c r="AR422" s="319"/>
      <c r="AS422" s="319"/>
      <c r="AT422" s="319"/>
      <c r="AU422" s="319"/>
      <c r="AV422" s="319"/>
      <c r="AW422" s="319"/>
      <c r="AX422" s="319"/>
      <c r="AY422" s="319"/>
      <c r="AZ422" s="319"/>
      <c r="BA422" s="319"/>
      <c r="BB422" s="319"/>
      <c r="BC422" s="319"/>
      <c r="BD422" s="319"/>
      <c r="BE422" s="319"/>
      <c r="BF422" s="319"/>
      <c r="BG422" s="319"/>
      <c r="BH422" s="319"/>
      <c r="BI422" s="319"/>
      <c r="BJ422" s="319"/>
      <c r="BK422" s="319"/>
      <c r="BL422" s="319"/>
      <c r="BM422" s="319"/>
      <c r="BN422" s="319"/>
      <c r="BO422" s="319"/>
      <c r="BP422" s="319"/>
      <c r="BQ422" s="319"/>
      <c r="BR422" s="319"/>
      <c r="BS422" s="319"/>
      <c r="BT422" s="319"/>
      <c r="BU422" s="319"/>
      <c r="BV422" s="319"/>
      <c r="BW422" s="319"/>
      <c r="BX422" s="319"/>
      <c r="BY422" s="319"/>
      <c r="BZ422" s="319"/>
      <c r="CA422" s="319"/>
      <c r="CB422" s="319"/>
      <c r="CC422" s="319"/>
      <c r="CD422" s="319"/>
      <c r="CE422" s="319"/>
      <c r="CF422" s="319"/>
      <c r="CG422" s="319"/>
      <c r="CH422" s="319"/>
      <c r="CI422" s="319"/>
      <c r="CJ422" s="319"/>
      <c r="CK422" s="319"/>
    </row>
    <row r="423" spans="1:89" ht="13.5" hidden="1" customHeight="1">
      <c r="A423" s="12"/>
      <c r="B423" s="329" t="str">
        <f>Language!C1666</f>
        <v>Fluxo no pico de eficiência</v>
      </c>
      <c r="C423" s="29" t="str">
        <f>C405</f>
        <v>m³/s</v>
      </c>
      <c r="D423" s="140">
        <f>'Modelo Energético'!D377</f>
        <v>0</v>
      </c>
      <c r="E423" s="1"/>
      <c r="F423" s="1"/>
      <c r="G423" s="1"/>
      <c r="H423" s="1"/>
      <c r="I423" s="1"/>
      <c r="J423" s="1"/>
      <c r="K423" s="9"/>
      <c r="L423" s="1"/>
      <c r="M423" s="319"/>
      <c r="N423" s="319">
        <v>2113022</v>
      </c>
      <c r="O423" s="319"/>
      <c r="P423" s="319"/>
      <c r="Q423" s="319"/>
      <c r="R423" s="319"/>
      <c r="S423" s="319"/>
      <c r="T423" s="319"/>
      <c r="U423" s="319"/>
      <c r="V423" s="319"/>
      <c r="W423" s="319"/>
      <c r="X423" s="319"/>
      <c r="Y423" s="319"/>
      <c r="Z423" s="319"/>
      <c r="AA423" s="319"/>
      <c r="AB423" s="319"/>
      <c r="AC423" s="319"/>
      <c r="AD423" s="319"/>
      <c r="AE423" s="319"/>
      <c r="AF423" s="319"/>
      <c r="AG423" s="319"/>
      <c r="AH423" s="319"/>
      <c r="AI423" s="319"/>
      <c r="AJ423" s="319"/>
      <c r="AK423" s="319"/>
      <c r="AL423" s="319"/>
      <c r="AM423" s="319"/>
      <c r="AN423" s="319"/>
      <c r="AO423" s="319"/>
      <c r="AP423" s="319"/>
      <c r="AQ423" s="319"/>
      <c r="AR423" s="319"/>
      <c r="AS423" s="319"/>
      <c r="AT423" s="319"/>
      <c r="AU423" s="319"/>
      <c r="AV423" s="319"/>
      <c r="AW423" s="319"/>
      <c r="AX423" s="319"/>
      <c r="AY423" s="319"/>
      <c r="AZ423" s="319"/>
      <c r="BA423" s="319"/>
      <c r="BB423" s="319"/>
      <c r="BC423" s="319"/>
      <c r="BD423" s="319"/>
      <c r="BE423" s="319"/>
      <c r="BF423" s="319"/>
      <c r="BG423" s="319"/>
      <c r="BH423" s="319"/>
      <c r="BI423" s="319"/>
      <c r="BJ423" s="319"/>
      <c r="BK423" s="319"/>
      <c r="BL423" s="319"/>
      <c r="BM423" s="319"/>
      <c r="BN423" s="319"/>
      <c r="BO423" s="319"/>
      <c r="BP423" s="319"/>
      <c r="BQ423" s="319"/>
      <c r="BR423" s="319"/>
      <c r="BS423" s="319"/>
      <c r="BT423" s="319"/>
      <c r="BU423" s="319"/>
      <c r="BV423" s="319"/>
      <c r="BW423" s="319"/>
      <c r="BX423" s="319"/>
      <c r="BY423" s="319"/>
      <c r="BZ423" s="319"/>
      <c r="CA423" s="319"/>
      <c r="CB423" s="319"/>
      <c r="CC423" s="319"/>
      <c r="CD423" s="319"/>
      <c r="CE423" s="319"/>
      <c r="CF423" s="319"/>
      <c r="CG423" s="319"/>
      <c r="CH423" s="319"/>
      <c r="CI423" s="319"/>
      <c r="CJ423" s="319"/>
      <c r="CK423" s="319"/>
    </row>
    <row r="424" spans="1:89" ht="13.5" hidden="1" customHeight="1">
      <c r="A424" s="12"/>
      <c r="B424" s="329" t="str">
        <f>Language!C2046</f>
        <v>Eficiência da turbina à vazão nominal</v>
      </c>
      <c r="C424" s="29" t="str">
        <f>$C$254</f>
        <v>%</v>
      </c>
      <c r="D424" s="80">
        <f>'Modelo Energético'!D378</f>
        <v>0</v>
      </c>
      <c r="E424" s="1"/>
      <c r="F424" s="1"/>
      <c r="G424" s="1"/>
      <c r="H424" s="1"/>
      <c r="I424" s="1"/>
      <c r="J424" s="1"/>
      <c r="K424" s="784" t="str">
        <f>$K$356</f>
        <v>Mostrar figura</v>
      </c>
      <c r="L424" s="1"/>
      <c r="M424" s="319"/>
      <c r="N424" s="319">
        <v>2113024</v>
      </c>
      <c r="O424" s="319"/>
      <c r="P424" s="319"/>
      <c r="Q424" s="319"/>
      <c r="R424" s="319"/>
      <c r="S424" s="319"/>
      <c r="T424" s="319"/>
      <c r="U424" s="319"/>
      <c r="V424" s="319"/>
      <c r="W424" s="319"/>
      <c r="X424" s="319"/>
      <c r="Y424" s="319"/>
      <c r="Z424" s="319"/>
      <c r="AA424" s="319"/>
      <c r="AB424" s="319"/>
      <c r="AC424" s="319"/>
      <c r="AD424" s="319"/>
      <c r="AE424" s="319"/>
      <c r="AF424" s="319"/>
      <c r="AG424" s="319"/>
      <c r="AH424" s="319"/>
      <c r="AI424" s="319"/>
      <c r="AJ424" s="319"/>
      <c r="AK424" s="319"/>
      <c r="AL424" s="319"/>
      <c r="AM424" s="319"/>
      <c r="AN424" s="319"/>
      <c r="AO424" s="319"/>
      <c r="AP424" s="319"/>
      <c r="AQ424" s="319"/>
      <c r="AR424" s="319"/>
      <c r="AS424" s="319"/>
      <c r="AT424" s="319"/>
      <c r="AU424" s="319"/>
      <c r="AV424" s="319"/>
      <c r="AW424" s="319"/>
      <c r="AX424" s="319"/>
      <c r="AY424" s="319"/>
      <c r="AZ424" s="319"/>
      <c r="BA424" s="319"/>
      <c r="BB424" s="319"/>
      <c r="BC424" s="319"/>
      <c r="BD424" s="319"/>
      <c r="BE424" s="319"/>
      <c r="BF424" s="319"/>
      <c r="BG424" s="319"/>
      <c r="BH424" s="319"/>
      <c r="BI424" s="319"/>
      <c r="BJ424" s="319"/>
      <c r="BK424" s="319"/>
      <c r="BL424" s="319"/>
      <c r="BM424" s="319"/>
      <c r="BN424" s="319"/>
      <c r="BO424" s="319"/>
      <c r="BP424" s="319"/>
      <c r="BQ424" s="319"/>
      <c r="BR424" s="319"/>
      <c r="BS424" s="319"/>
      <c r="BT424" s="319"/>
      <c r="BU424" s="319"/>
      <c r="BV424" s="319"/>
      <c r="BW424" s="319"/>
      <c r="BX424" s="319"/>
      <c r="BY424" s="319"/>
      <c r="BZ424" s="319"/>
      <c r="CA424" s="319"/>
      <c r="CB424" s="319"/>
      <c r="CC424" s="319"/>
      <c r="CD424" s="319"/>
      <c r="CE424" s="319"/>
      <c r="CF424" s="319"/>
      <c r="CG424" s="319"/>
      <c r="CH424" s="319"/>
      <c r="CI424" s="319"/>
      <c r="CJ424" s="319"/>
      <c r="CK424" s="319"/>
    </row>
    <row r="425" spans="1:89" ht="12.75" hidden="1" customHeight="1">
      <c r="A425" s="12"/>
      <c r="B425" s="1"/>
      <c r="C425" s="1216"/>
      <c r="D425" s="1216"/>
      <c r="E425" s="1216"/>
      <c r="F425" s="1216"/>
      <c r="G425" s="1216"/>
      <c r="H425" s="1"/>
      <c r="I425" s="1"/>
      <c r="J425" s="1"/>
      <c r="K425" s="9"/>
      <c r="L425" s="1"/>
      <c r="M425" s="319"/>
      <c r="N425" s="319">
        <v>2113025</v>
      </c>
      <c r="O425" s="319"/>
      <c r="P425" s="319"/>
      <c r="Q425" s="319"/>
      <c r="R425" s="319"/>
      <c r="S425" s="319"/>
      <c r="T425" s="319"/>
      <c r="U425" s="319"/>
      <c r="V425" s="319"/>
      <c r="W425" s="319"/>
      <c r="X425" s="319"/>
      <c r="Y425" s="319"/>
      <c r="Z425" s="319"/>
      <c r="AA425" s="319"/>
      <c r="AB425" s="319"/>
      <c r="AC425" s="319"/>
      <c r="AD425" s="319"/>
      <c r="AE425" s="319"/>
      <c r="AF425" s="319"/>
      <c r="AG425" s="319"/>
      <c r="AH425" s="319"/>
      <c r="AI425" s="319"/>
      <c r="AJ425" s="319"/>
      <c r="AK425" s="319"/>
      <c r="AL425" s="319"/>
      <c r="AM425" s="319"/>
      <c r="AN425" s="319"/>
      <c r="AO425" s="319"/>
      <c r="AP425" s="319"/>
      <c r="AQ425" s="319"/>
      <c r="AR425" s="319"/>
      <c r="AS425" s="319"/>
      <c r="AT425" s="319"/>
      <c r="AU425" s="319"/>
      <c r="AV425" s="319"/>
      <c r="AW425" s="319"/>
      <c r="AX425" s="319"/>
      <c r="AY425" s="319"/>
      <c r="AZ425" s="319"/>
      <c r="BA425" s="319"/>
      <c r="BB425" s="319"/>
      <c r="BC425" s="319"/>
      <c r="BD425" s="319"/>
      <c r="BE425" s="319"/>
      <c r="BF425" s="319"/>
      <c r="BG425" s="319"/>
      <c r="BH425" s="319"/>
      <c r="BI425" s="319"/>
      <c r="BJ425" s="319"/>
      <c r="BK425" s="319"/>
      <c r="BL425" s="319"/>
      <c r="BM425" s="319"/>
      <c r="BN425" s="319"/>
      <c r="BO425" s="319"/>
      <c r="BP425" s="319"/>
      <c r="BQ425" s="319"/>
      <c r="BR425" s="319"/>
      <c r="BS425" s="319"/>
      <c r="BT425" s="319"/>
      <c r="BU425" s="319"/>
      <c r="BV425" s="319"/>
      <c r="BW425" s="319"/>
      <c r="BX425" s="319"/>
      <c r="BY425" s="319"/>
      <c r="BZ425" s="319"/>
      <c r="CA425" s="319"/>
      <c r="CB425" s="319"/>
      <c r="CC425" s="319"/>
      <c r="CD425" s="319"/>
      <c r="CE425" s="319"/>
      <c r="CF425" s="319"/>
      <c r="CG425" s="319"/>
      <c r="CH425" s="319"/>
      <c r="CI425" s="319"/>
      <c r="CJ425" s="319"/>
      <c r="CK425" s="319"/>
    </row>
    <row r="426" spans="1:89" ht="25.5" hidden="1" customHeight="1">
      <c r="A426" s="12"/>
      <c r="B426" s="1"/>
      <c r="C426" s="82"/>
      <c r="D426" s="82" t="str">
        <f>Language!C1665</f>
        <v>Fluxo</v>
      </c>
      <c r="E426" s="1217" t="str">
        <f>F426</f>
        <v>Eficiência
turbina</v>
      </c>
      <c r="F426" s="1207" t="str">
        <f>Language!C2044</f>
        <v>Eficiência
turbina</v>
      </c>
      <c r="G426" s="1207" t="str">
        <f>B344</f>
        <v>Número de turbinas</v>
      </c>
      <c r="H426" s="1207" t="str">
        <f>Language!C1548</f>
        <v>Eficiência combinada</v>
      </c>
      <c r="I426" s="1"/>
      <c r="J426" s="1"/>
      <c r="K426" s="9"/>
      <c r="L426" s="1"/>
      <c r="M426" s="319"/>
      <c r="N426" s="319">
        <v>2113025</v>
      </c>
      <c r="O426" s="319"/>
      <c r="P426" s="299"/>
      <c r="Q426" s="319"/>
      <c r="R426" s="319"/>
      <c r="S426" s="319"/>
      <c r="T426" s="319"/>
      <c r="U426" s="319"/>
      <c r="V426" s="319"/>
      <c r="W426" s="319"/>
      <c r="X426" s="319"/>
      <c r="Y426" s="319"/>
      <c r="Z426" s="319"/>
      <c r="AA426" s="319"/>
      <c r="AB426" s="319"/>
      <c r="AC426" s="319"/>
      <c r="AD426" s="319"/>
      <c r="AE426" s="319"/>
      <c r="AF426" s="319"/>
      <c r="AG426" s="319"/>
      <c r="AH426" s="319"/>
      <c r="AI426" s="319"/>
      <c r="AJ426" s="319"/>
      <c r="AK426" s="319"/>
      <c r="AL426" s="319"/>
      <c r="AM426" s="319"/>
      <c r="AN426" s="319"/>
      <c r="AO426" s="319"/>
      <c r="AP426" s="319"/>
      <c r="AQ426" s="319"/>
      <c r="AR426" s="319"/>
      <c r="AS426" s="319"/>
      <c r="AT426" s="319"/>
      <c r="AU426" s="319"/>
      <c r="AV426" s="319"/>
      <c r="AW426" s="319"/>
      <c r="AX426" s="319"/>
      <c r="AY426" s="319"/>
      <c r="AZ426" s="319"/>
      <c r="BA426" s="319"/>
      <c r="BB426" s="319"/>
      <c r="BC426" s="319"/>
      <c r="BD426" s="319"/>
      <c r="BE426" s="319"/>
      <c r="BF426" s="319"/>
      <c r="BG426" s="319"/>
      <c r="BH426" s="319"/>
      <c r="BI426" s="319"/>
      <c r="BJ426" s="319"/>
      <c r="BK426" s="319"/>
      <c r="BL426" s="319"/>
      <c r="BM426" s="319"/>
      <c r="BN426" s="319"/>
      <c r="BO426" s="319"/>
      <c r="BP426" s="319"/>
      <c r="BQ426" s="319"/>
      <c r="BR426" s="319"/>
      <c r="BS426" s="319"/>
      <c r="BT426" s="319"/>
      <c r="BU426" s="319"/>
      <c r="BV426" s="319"/>
      <c r="BW426" s="319"/>
      <c r="BX426" s="319"/>
      <c r="BY426" s="319"/>
      <c r="BZ426" s="319"/>
      <c r="CA426" s="319"/>
      <c r="CB426" s="319"/>
      <c r="CC426" s="319"/>
      <c r="CD426" s="319"/>
      <c r="CE426" s="319"/>
      <c r="CF426" s="319"/>
      <c r="CG426" s="319"/>
      <c r="CH426" s="319"/>
      <c r="CI426" s="319"/>
      <c r="CJ426" s="319"/>
      <c r="CK426" s="319"/>
    </row>
    <row r="427" spans="1:89" ht="14.25" hidden="1" customHeight="1">
      <c r="A427" s="12"/>
      <c r="B427" s="1"/>
      <c r="C427" s="45" t="str">
        <f>$C$254</f>
        <v>%</v>
      </c>
      <c r="D427" s="45" t="str">
        <f>C405</f>
        <v>m³/s</v>
      </c>
      <c r="E427" s="1218"/>
      <c r="F427" s="1208"/>
      <c r="G427" s="1208"/>
      <c r="H427" s="1208"/>
      <c r="I427" s="1"/>
      <c r="J427" s="1"/>
      <c r="K427" s="9"/>
      <c r="L427" s="1"/>
      <c r="M427" s="319"/>
      <c r="N427" s="319">
        <v>2113025</v>
      </c>
      <c r="O427" s="319"/>
      <c r="P427" s="319"/>
      <c r="Q427" s="319"/>
      <c r="R427" s="319"/>
      <c r="S427" s="319"/>
      <c r="T427" s="319"/>
      <c r="U427" s="319"/>
      <c r="V427" s="319"/>
      <c r="W427" s="319"/>
      <c r="X427" s="319"/>
      <c r="Y427" s="319"/>
      <c r="Z427" s="319"/>
      <c r="AA427" s="319"/>
      <c r="AB427" s="319"/>
      <c r="AC427" s="319"/>
      <c r="AD427" s="319"/>
      <c r="AE427" s="319"/>
      <c r="AF427" s="319"/>
      <c r="AG427" s="319"/>
      <c r="AH427" s="319"/>
      <c r="AI427" s="319"/>
      <c r="AJ427" s="319"/>
      <c r="AK427" s="319"/>
      <c r="AL427" s="319"/>
      <c r="AM427" s="319"/>
      <c r="AN427" s="319"/>
      <c r="AO427" s="319"/>
      <c r="AP427" s="319"/>
      <c r="AQ427" s="319"/>
      <c r="AR427" s="319"/>
      <c r="AS427" s="319"/>
      <c r="AT427" s="319"/>
      <c r="AU427" s="319"/>
      <c r="AV427" s="319"/>
      <c r="AW427" s="319"/>
      <c r="AX427" s="319"/>
      <c r="AY427" s="319"/>
      <c r="AZ427" s="319"/>
      <c r="BA427" s="319"/>
      <c r="BB427" s="319"/>
      <c r="BC427" s="319"/>
      <c r="BD427" s="319"/>
      <c r="BE427" s="319"/>
      <c r="BF427" s="319"/>
      <c r="BG427" s="319"/>
      <c r="BH427" s="319"/>
      <c r="BI427" s="319"/>
      <c r="BJ427" s="319"/>
      <c r="BK427" s="319"/>
      <c r="BL427" s="319"/>
      <c r="BM427" s="319"/>
      <c r="BN427" s="319"/>
      <c r="BO427" s="319"/>
      <c r="BP427" s="319"/>
      <c r="BQ427" s="319"/>
      <c r="BR427" s="319"/>
      <c r="BS427" s="319"/>
      <c r="BT427" s="319"/>
      <c r="BU427" s="319"/>
      <c r="BV427" s="319"/>
      <c r="BW427" s="319"/>
      <c r="BX427" s="319"/>
      <c r="BY427" s="319"/>
      <c r="BZ427" s="319"/>
      <c r="CA427" s="319"/>
      <c r="CB427" s="319"/>
      <c r="CC427" s="319"/>
      <c r="CD427" s="319"/>
      <c r="CE427" s="319"/>
      <c r="CF427" s="319"/>
      <c r="CG427" s="319"/>
      <c r="CH427" s="319"/>
      <c r="CI427" s="319"/>
      <c r="CJ427" s="319"/>
      <c r="CK427" s="319"/>
    </row>
    <row r="428" spans="1:89" ht="13.5" hidden="1" customHeight="1">
      <c r="A428" s="12"/>
      <c r="B428" s="1"/>
      <c r="C428" s="110">
        <v>0</v>
      </c>
      <c r="D428" s="310"/>
      <c r="E428" s="752">
        <v>0</v>
      </c>
      <c r="F428" s="118" t="e">
        <f>'Modelo Energético'!F382</f>
        <v>#DIV/0!</v>
      </c>
      <c r="G428" s="117">
        <f>'Modelo Energético'!G382</f>
        <v>0</v>
      </c>
      <c r="H428" s="116">
        <f>'Modelo Energético'!H382</f>
        <v>0</v>
      </c>
      <c r="I428" s="1"/>
      <c r="J428" s="1"/>
      <c r="K428" s="784" t="str">
        <f>$K$356</f>
        <v>Mostrar figura</v>
      </c>
      <c r="L428" s="1"/>
      <c r="M428" s="319"/>
      <c r="N428" s="319">
        <v>2113025</v>
      </c>
      <c r="O428" s="319"/>
      <c r="P428" s="319"/>
      <c r="Q428" s="319"/>
      <c r="R428" s="319"/>
      <c r="S428" s="319"/>
      <c r="T428" s="319"/>
      <c r="U428" s="319"/>
      <c r="V428" s="319"/>
      <c r="W428" s="319"/>
      <c r="X428" s="319"/>
      <c r="Y428" s="319"/>
      <c r="Z428" s="319"/>
      <c r="AA428" s="319"/>
      <c r="AB428" s="319"/>
      <c r="AC428" s="319"/>
      <c r="AD428" s="319"/>
      <c r="AE428" s="319"/>
      <c r="AF428" s="319"/>
      <c r="AG428" s="319"/>
      <c r="AH428" s="319"/>
      <c r="AI428" s="319"/>
      <c r="AJ428" s="319"/>
      <c r="AK428" s="319"/>
      <c r="AL428" s="319"/>
      <c r="AM428" s="319"/>
      <c r="AN428" s="319"/>
      <c r="AO428" s="319"/>
      <c r="AP428" s="319"/>
      <c r="AQ428" s="319"/>
      <c r="AR428" s="319"/>
      <c r="AS428" s="319"/>
      <c r="AT428" s="319"/>
      <c r="AU428" s="319"/>
      <c r="AV428" s="319"/>
      <c r="AW428" s="319"/>
      <c r="AX428" s="319"/>
      <c r="AY428" s="319"/>
      <c r="AZ428" s="319"/>
      <c r="BA428" s="319"/>
      <c r="BB428" s="319"/>
      <c r="BC428" s="319"/>
      <c r="BD428" s="319"/>
      <c r="BE428" s="319"/>
      <c r="BF428" s="319"/>
      <c r="BG428" s="319"/>
      <c r="BH428" s="319"/>
      <c r="BI428" s="319"/>
      <c r="BJ428" s="319"/>
      <c r="BK428" s="319"/>
      <c r="BL428" s="319"/>
      <c r="BM428" s="319"/>
      <c r="BN428" s="319"/>
      <c r="BO428" s="319"/>
      <c r="BP428" s="319"/>
      <c r="BQ428" s="319"/>
      <c r="BR428" s="319"/>
      <c r="BS428" s="319"/>
      <c r="BT428" s="319"/>
      <c r="BU428" s="319"/>
      <c r="BV428" s="319"/>
      <c r="BW428" s="319"/>
      <c r="BX428" s="319"/>
      <c r="BY428" s="319"/>
      <c r="BZ428" s="319"/>
      <c r="CA428" s="319"/>
      <c r="CB428" s="319"/>
      <c r="CC428" s="319"/>
      <c r="CD428" s="319"/>
      <c r="CE428" s="319"/>
      <c r="CF428" s="319"/>
      <c r="CG428" s="319"/>
      <c r="CH428" s="319"/>
      <c r="CI428" s="319"/>
      <c r="CJ428" s="319"/>
      <c r="CK428" s="319"/>
    </row>
    <row r="429" spans="1:89" ht="13.5" hidden="1" customHeight="1">
      <c r="A429" s="12"/>
      <c r="B429" s="1"/>
      <c r="C429" s="112">
        <v>0.05</v>
      </c>
      <c r="D429" s="310"/>
      <c r="E429" s="752">
        <v>2</v>
      </c>
      <c r="F429" s="118" t="e">
        <f>'Modelo Energético'!F383</f>
        <v>#DIV/0!</v>
      </c>
      <c r="G429" s="119" t="e">
        <f>'Modelo Energético'!G383</f>
        <v>#DIV/0!</v>
      </c>
      <c r="H429" s="118" t="e">
        <f>'Modelo Energético'!H383</f>
        <v>#DIV/0!</v>
      </c>
      <c r="I429" s="1"/>
      <c r="J429" s="1"/>
      <c r="K429" s="9"/>
      <c r="L429" s="1"/>
      <c r="M429" s="319"/>
      <c r="N429" s="319">
        <v>2113025</v>
      </c>
      <c r="O429" s="319"/>
      <c r="P429" s="319"/>
      <c r="Q429" s="319"/>
      <c r="R429" s="319"/>
      <c r="S429" s="319"/>
      <c r="T429" s="319"/>
      <c r="U429" s="319"/>
      <c r="V429" s="319"/>
      <c r="W429" s="319"/>
      <c r="X429" s="319"/>
      <c r="Y429" s="319"/>
      <c r="Z429" s="319"/>
      <c r="AA429" s="319"/>
      <c r="AB429" s="319"/>
      <c r="AC429" s="319"/>
      <c r="AD429" s="319"/>
      <c r="AE429" s="319"/>
      <c r="AF429" s="319"/>
      <c r="AG429" s="319"/>
      <c r="AH429" s="319"/>
      <c r="AI429" s="319"/>
      <c r="AJ429" s="319"/>
      <c r="AK429" s="319"/>
      <c r="AL429" s="319"/>
      <c r="AM429" s="319"/>
      <c r="AN429" s="319"/>
      <c r="AO429" s="319"/>
      <c r="AP429" s="319"/>
      <c r="AQ429" s="319"/>
      <c r="AR429" s="319"/>
      <c r="AS429" s="319"/>
      <c r="AT429" s="319"/>
      <c r="AU429" s="319"/>
      <c r="AV429" s="319"/>
      <c r="AW429" s="319"/>
      <c r="AX429" s="319"/>
      <c r="AY429" s="319"/>
      <c r="AZ429" s="319"/>
      <c r="BA429" s="319"/>
      <c r="BB429" s="319"/>
      <c r="BC429" s="319"/>
      <c r="BD429" s="319"/>
      <c r="BE429" s="319"/>
      <c r="BF429" s="319"/>
      <c r="BG429" s="319"/>
      <c r="BH429" s="319"/>
      <c r="BI429" s="319"/>
      <c r="BJ429" s="319"/>
      <c r="BK429" s="319"/>
      <c r="BL429" s="319"/>
      <c r="BM429" s="319"/>
      <c r="BN429" s="319"/>
      <c r="BO429" s="319"/>
      <c r="BP429" s="319"/>
      <c r="BQ429" s="319"/>
      <c r="BR429" s="319"/>
      <c r="BS429" s="319"/>
      <c r="BT429" s="319"/>
      <c r="BU429" s="319"/>
      <c r="BV429" s="319"/>
      <c r="BW429" s="319"/>
      <c r="BX429" s="319"/>
      <c r="BY429" s="319"/>
      <c r="BZ429" s="319"/>
      <c r="CA429" s="319"/>
      <c r="CB429" s="319"/>
      <c r="CC429" s="319"/>
      <c r="CD429" s="319"/>
      <c r="CE429" s="319"/>
      <c r="CF429" s="319"/>
      <c r="CG429" s="319"/>
      <c r="CH429" s="319"/>
      <c r="CI429" s="319"/>
      <c r="CJ429" s="319"/>
      <c r="CK429" s="319"/>
    </row>
    <row r="430" spans="1:89" ht="13.5" hidden="1" customHeight="1">
      <c r="A430" s="12"/>
      <c r="B430" s="1"/>
      <c r="C430" s="112">
        <v>0.1</v>
      </c>
      <c r="D430" s="310"/>
      <c r="E430" s="752">
        <v>1</v>
      </c>
      <c r="F430" s="118" t="e">
        <f>'Modelo Energético'!F384</f>
        <v>#DIV/0!</v>
      </c>
      <c r="G430" s="119" t="e">
        <f>'Modelo Energético'!G384</f>
        <v>#DIV/0!</v>
      </c>
      <c r="H430" s="118" t="e">
        <f>'Modelo Energético'!H384</f>
        <v>#DIV/0!</v>
      </c>
      <c r="I430" s="1"/>
      <c r="J430" s="1"/>
      <c r="K430" s="9"/>
      <c r="L430" s="1"/>
      <c r="M430" s="319"/>
      <c r="N430" s="319">
        <v>2113025</v>
      </c>
      <c r="O430" s="319"/>
      <c r="P430" s="319"/>
      <c r="Q430" s="319"/>
      <c r="R430" s="319"/>
      <c r="S430" s="319"/>
      <c r="T430" s="319"/>
      <c r="U430" s="319"/>
      <c r="V430" s="319"/>
      <c r="W430" s="319"/>
      <c r="X430" s="319"/>
      <c r="Y430" s="319"/>
      <c r="Z430" s="319"/>
      <c r="AA430" s="319"/>
      <c r="AB430" s="319"/>
      <c r="AC430" s="319"/>
      <c r="AD430" s="319"/>
      <c r="AE430" s="319"/>
      <c r="AF430" s="319"/>
      <c r="AG430" s="319"/>
      <c r="AH430" s="319"/>
      <c r="AI430" s="319"/>
      <c r="AJ430" s="319"/>
      <c r="AK430" s="319"/>
      <c r="AL430" s="319"/>
      <c r="AM430" s="319"/>
      <c r="AN430" s="319"/>
      <c r="AO430" s="319"/>
      <c r="AP430" s="319"/>
      <c r="AQ430" s="319"/>
      <c r="AR430" s="319"/>
      <c r="AS430" s="319"/>
      <c r="AT430" s="319"/>
      <c r="AU430" s="319"/>
      <c r="AV430" s="319"/>
      <c r="AW430" s="319"/>
      <c r="AX430" s="319"/>
      <c r="AY430" s="319"/>
      <c r="AZ430" s="319"/>
      <c r="BA430" s="319"/>
      <c r="BB430" s="319"/>
      <c r="BC430" s="319"/>
      <c r="BD430" s="319"/>
      <c r="BE430" s="319"/>
      <c r="BF430" s="319"/>
      <c r="BG430" s="319"/>
      <c r="BH430" s="319"/>
      <c r="BI430" s="319"/>
      <c r="BJ430" s="319"/>
      <c r="BK430" s="319"/>
      <c r="BL430" s="319"/>
      <c r="BM430" s="319"/>
      <c r="BN430" s="319"/>
      <c r="BO430" s="319"/>
      <c r="BP430" s="319"/>
      <c r="BQ430" s="319"/>
      <c r="BR430" s="319"/>
      <c r="BS430" s="319"/>
      <c r="BT430" s="319"/>
      <c r="BU430" s="319"/>
      <c r="BV430" s="319"/>
      <c r="BW430" s="319"/>
      <c r="BX430" s="319"/>
      <c r="BY430" s="319"/>
      <c r="BZ430" s="319"/>
      <c r="CA430" s="319"/>
      <c r="CB430" s="319"/>
      <c r="CC430" s="319"/>
      <c r="CD430" s="319"/>
      <c r="CE430" s="319"/>
      <c r="CF430" s="319"/>
      <c r="CG430" s="319"/>
      <c r="CH430" s="319"/>
      <c r="CI430" s="319"/>
      <c r="CJ430" s="319"/>
      <c r="CK430" s="319"/>
    </row>
    <row r="431" spans="1:89" ht="13.5" hidden="1" customHeight="1">
      <c r="A431" s="12"/>
      <c r="B431" s="1"/>
      <c r="C431" s="112">
        <v>0.15</v>
      </c>
      <c r="D431" s="310"/>
      <c r="E431" s="752">
        <v>1</v>
      </c>
      <c r="F431" s="118" t="e">
        <f>'Modelo Energético'!F385</f>
        <v>#DIV/0!</v>
      </c>
      <c r="G431" s="119" t="e">
        <f>'Modelo Energético'!G385</f>
        <v>#DIV/0!</v>
      </c>
      <c r="H431" s="118" t="e">
        <f>'Modelo Energético'!H385</f>
        <v>#DIV/0!</v>
      </c>
      <c r="I431" s="1"/>
      <c r="J431" s="1"/>
      <c r="K431" s="9"/>
      <c r="L431" s="1"/>
      <c r="M431" s="319"/>
      <c r="N431" s="319">
        <v>2113025</v>
      </c>
      <c r="O431" s="319"/>
      <c r="P431" s="319"/>
      <c r="Q431" s="319"/>
      <c r="R431" s="319"/>
      <c r="S431" s="319"/>
      <c r="T431" s="319"/>
      <c r="U431" s="319"/>
      <c r="V431" s="319"/>
      <c r="W431" s="319"/>
      <c r="X431" s="319"/>
      <c r="Y431" s="319"/>
      <c r="Z431" s="319"/>
      <c r="AA431" s="319"/>
      <c r="AB431" s="319"/>
      <c r="AC431" s="319"/>
      <c r="AD431" s="319"/>
      <c r="AE431" s="319"/>
      <c r="AF431" s="319"/>
      <c r="AG431" s="319"/>
      <c r="AH431" s="319"/>
      <c r="AI431" s="319"/>
      <c r="AJ431" s="319"/>
      <c r="AK431" s="319"/>
      <c r="AL431" s="319"/>
      <c r="AM431" s="319"/>
      <c r="AN431" s="319"/>
      <c r="AO431" s="319"/>
      <c r="AP431" s="319"/>
      <c r="AQ431" s="319"/>
      <c r="AR431" s="319"/>
      <c r="AS431" s="319"/>
      <c r="AT431" s="319"/>
      <c r="AU431" s="319"/>
      <c r="AV431" s="319"/>
      <c r="AW431" s="319"/>
      <c r="AX431" s="319"/>
      <c r="AY431" s="319"/>
      <c r="AZ431" s="319"/>
      <c r="BA431" s="319"/>
      <c r="BB431" s="319"/>
      <c r="BC431" s="319"/>
      <c r="BD431" s="319"/>
      <c r="BE431" s="319"/>
      <c r="BF431" s="319"/>
      <c r="BG431" s="319"/>
      <c r="BH431" s="319"/>
      <c r="BI431" s="319"/>
      <c r="BJ431" s="319"/>
      <c r="BK431" s="319"/>
      <c r="BL431" s="319"/>
      <c r="BM431" s="319"/>
      <c r="BN431" s="319"/>
      <c r="BO431" s="319"/>
      <c r="BP431" s="319"/>
      <c r="BQ431" s="319"/>
      <c r="BR431" s="319"/>
      <c r="BS431" s="319"/>
      <c r="BT431" s="319"/>
      <c r="BU431" s="319"/>
      <c r="BV431" s="319"/>
      <c r="BW431" s="319"/>
      <c r="BX431" s="319"/>
      <c r="BY431" s="319"/>
      <c r="BZ431" s="319"/>
      <c r="CA431" s="319"/>
      <c r="CB431" s="319"/>
      <c r="CC431" s="319"/>
      <c r="CD431" s="319"/>
      <c r="CE431" s="319"/>
      <c r="CF431" s="319"/>
      <c r="CG431" s="319"/>
      <c r="CH431" s="319"/>
      <c r="CI431" s="319"/>
      <c r="CJ431" s="319"/>
      <c r="CK431" s="319"/>
    </row>
    <row r="432" spans="1:89" ht="13.5" hidden="1" customHeight="1">
      <c r="A432" s="12"/>
      <c r="B432" s="1"/>
      <c r="C432" s="112">
        <v>0.2</v>
      </c>
      <c r="D432" s="310"/>
      <c r="E432" s="752">
        <v>5</v>
      </c>
      <c r="F432" s="118" t="e">
        <f>'Modelo Energético'!F386</f>
        <v>#DIV/0!</v>
      </c>
      <c r="G432" s="119" t="e">
        <f>'Modelo Energético'!G386</f>
        <v>#DIV/0!</v>
      </c>
      <c r="H432" s="118" t="e">
        <f>'Modelo Energético'!H386</f>
        <v>#DIV/0!</v>
      </c>
      <c r="I432" s="1"/>
      <c r="J432" s="1"/>
      <c r="K432" s="9"/>
      <c r="L432" s="1"/>
      <c r="M432" s="319"/>
      <c r="N432" s="319">
        <v>2113025</v>
      </c>
      <c r="O432" s="319"/>
      <c r="P432" s="319"/>
      <c r="Q432" s="319"/>
      <c r="R432" s="319"/>
      <c r="S432" s="319"/>
      <c r="T432" s="319"/>
      <c r="U432" s="319"/>
      <c r="V432" s="319"/>
      <c r="W432" s="319"/>
      <c r="X432" s="319"/>
      <c r="Y432" s="319"/>
      <c r="Z432" s="319"/>
      <c r="AA432" s="319"/>
      <c r="AB432" s="319"/>
      <c r="AC432" s="319"/>
      <c r="AD432" s="319"/>
      <c r="AE432" s="319"/>
      <c r="AF432" s="319"/>
      <c r="AG432" s="319"/>
      <c r="AH432" s="319"/>
      <c r="AI432" s="319"/>
      <c r="AJ432" s="319"/>
      <c r="AK432" s="319"/>
      <c r="AL432" s="319"/>
      <c r="AM432" s="319"/>
      <c r="AN432" s="319"/>
      <c r="AO432" s="319"/>
      <c r="AP432" s="319"/>
      <c r="AQ432" s="319"/>
      <c r="AR432" s="319"/>
      <c r="AS432" s="319"/>
      <c r="AT432" s="319"/>
      <c r="AU432" s="319"/>
      <c r="AV432" s="319"/>
      <c r="AW432" s="319"/>
      <c r="AX432" s="319"/>
      <c r="AY432" s="319"/>
      <c r="AZ432" s="319"/>
      <c r="BA432" s="319"/>
      <c r="BB432" s="319"/>
      <c r="BC432" s="319"/>
      <c r="BD432" s="319"/>
      <c r="BE432" s="319"/>
      <c r="BF432" s="319"/>
      <c r="BG432" s="319"/>
      <c r="BH432" s="319"/>
      <c r="BI432" s="319"/>
      <c r="BJ432" s="319"/>
      <c r="BK432" s="319"/>
      <c r="BL432" s="319"/>
      <c r="BM432" s="319"/>
      <c r="BN432" s="319"/>
      <c r="BO432" s="319"/>
      <c r="BP432" s="319"/>
      <c r="BQ432" s="319"/>
      <c r="BR432" s="319"/>
      <c r="BS432" s="319"/>
      <c r="BT432" s="319"/>
      <c r="BU432" s="319"/>
      <c r="BV432" s="319"/>
      <c r="BW432" s="319"/>
      <c r="BX432" s="319"/>
      <c r="BY432" s="319"/>
      <c r="BZ432" s="319"/>
      <c r="CA432" s="319"/>
      <c r="CB432" s="319"/>
      <c r="CC432" s="319"/>
      <c r="CD432" s="319"/>
      <c r="CE432" s="319"/>
      <c r="CF432" s="319"/>
      <c r="CG432" s="319"/>
      <c r="CH432" s="319"/>
      <c r="CI432" s="319"/>
      <c r="CJ432" s="319"/>
      <c r="CK432" s="319"/>
    </row>
    <row r="433" spans="1:89" ht="13.5" hidden="1" customHeight="1">
      <c r="A433" s="12"/>
      <c r="B433" s="1"/>
      <c r="C433" s="112">
        <v>0.25</v>
      </c>
      <c r="D433" s="310"/>
      <c r="E433" s="752">
        <v>0.65308941122144504</v>
      </c>
      <c r="F433" s="118" t="e">
        <f>'Modelo Energético'!F387</f>
        <v>#DIV/0!</v>
      </c>
      <c r="G433" s="119" t="e">
        <f>'Modelo Energético'!G387</f>
        <v>#DIV/0!</v>
      </c>
      <c r="H433" s="118" t="e">
        <f>'Modelo Energético'!H387</f>
        <v>#DIV/0!</v>
      </c>
      <c r="I433" s="1"/>
      <c r="J433" s="1"/>
      <c r="K433" s="9"/>
      <c r="L433" s="1"/>
      <c r="M433" s="319"/>
      <c r="N433" s="319">
        <v>2113025</v>
      </c>
      <c r="O433" s="319"/>
      <c r="P433" s="319"/>
      <c r="Q433" s="319"/>
      <c r="R433" s="319"/>
      <c r="S433" s="319"/>
      <c r="T433" s="319"/>
      <c r="U433" s="319"/>
      <c r="V433" s="319"/>
      <c r="W433" s="319"/>
      <c r="X433" s="319"/>
      <c r="Y433" s="319"/>
      <c r="Z433" s="319"/>
      <c r="AA433" s="319"/>
      <c r="AB433" s="319"/>
      <c r="AC433" s="319"/>
      <c r="AD433" s="319"/>
      <c r="AE433" s="319"/>
      <c r="AF433" s="319"/>
      <c r="AG433" s="319"/>
      <c r="AH433" s="319"/>
      <c r="AI433" s="319"/>
      <c r="AJ433" s="319"/>
      <c r="AK433" s="319"/>
      <c r="AL433" s="319"/>
      <c r="AM433" s="319"/>
      <c r="AN433" s="319"/>
      <c r="AO433" s="319"/>
      <c r="AP433" s="319"/>
      <c r="AQ433" s="319"/>
      <c r="AR433" s="319"/>
      <c r="AS433" s="319"/>
      <c r="AT433" s="319"/>
      <c r="AU433" s="319"/>
      <c r="AV433" s="319"/>
      <c r="AW433" s="319"/>
      <c r="AX433" s="319"/>
      <c r="AY433" s="319"/>
      <c r="AZ433" s="319"/>
      <c r="BA433" s="319"/>
      <c r="BB433" s="319"/>
      <c r="BC433" s="319"/>
      <c r="BD433" s="319"/>
      <c r="BE433" s="319"/>
      <c r="BF433" s="319"/>
      <c r="BG433" s="319"/>
      <c r="BH433" s="319"/>
      <c r="BI433" s="319"/>
      <c r="BJ433" s="319"/>
      <c r="BK433" s="319"/>
      <c r="BL433" s="319"/>
      <c r="BM433" s="319"/>
      <c r="BN433" s="319"/>
      <c r="BO433" s="319"/>
      <c r="BP433" s="319"/>
      <c r="BQ433" s="319"/>
      <c r="BR433" s="319"/>
      <c r="BS433" s="319"/>
      <c r="BT433" s="319"/>
      <c r="BU433" s="319"/>
      <c r="BV433" s="319"/>
      <c r="BW433" s="319"/>
      <c r="BX433" s="319"/>
      <c r="BY433" s="319"/>
      <c r="BZ433" s="319"/>
      <c r="CA433" s="319"/>
      <c r="CB433" s="319"/>
      <c r="CC433" s="319"/>
      <c r="CD433" s="319"/>
      <c r="CE433" s="319"/>
      <c r="CF433" s="319"/>
      <c r="CG433" s="319"/>
      <c r="CH433" s="319"/>
      <c r="CI433" s="319"/>
      <c r="CJ433" s="319"/>
      <c r="CK433" s="319"/>
    </row>
    <row r="434" spans="1:89" ht="13.5" hidden="1" customHeight="1">
      <c r="A434" s="12"/>
      <c r="B434" s="1"/>
      <c r="C434" s="112">
        <v>0.3</v>
      </c>
      <c r="D434" s="310"/>
      <c r="E434" s="752">
        <v>0.67570834390196899</v>
      </c>
      <c r="F434" s="118" t="e">
        <f>'Modelo Energético'!F388</f>
        <v>#DIV/0!</v>
      </c>
      <c r="G434" s="119" t="e">
        <f>'Modelo Energético'!G388</f>
        <v>#DIV/0!</v>
      </c>
      <c r="H434" s="118" t="e">
        <f>'Modelo Energético'!H388</f>
        <v>#DIV/0!</v>
      </c>
      <c r="I434" s="1"/>
      <c r="J434" s="1"/>
      <c r="K434" s="9"/>
      <c r="L434" s="1"/>
      <c r="M434" s="319"/>
      <c r="N434" s="319">
        <v>2113025</v>
      </c>
      <c r="O434" s="319"/>
      <c r="P434" s="319"/>
      <c r="Q434" s="319"/>
      <c r="R434" s="319"/>
      <c r="S434" s="319"/>
      <c r="T434" s="319"/>
      <c r="U434" s="319"/>
      <c r="V434" s="319"/>
      <c r="W434" s="319"/>
      <c r="X434" s="319"/>
      <c r="Y434" s="319"/>
      <c r="Z434" s="319"/>
      <c r="AA434" s="319"/>
      <c r="AB434" s="319"/>
      <c r="AC434" s="319"/>
      <c r="AD434" s="319"/>
      <c r="AE434" s="319"/>
      <c r="AF434" s="319"/>
      <c r="AG434" s="319"/>
      <c r="AH434" s="319"/>
      <c r="AI434" s="319"/>
      <c r="AJ434" s="319"/>
      <c r="AK434" s="319"/>
      <c r="AL434" s="319"/>
      <c r="AM434" s="319"/>
      <c r="AN434" s="319"/>
      <c r="AO434" s="319"/>
      <c r="AP434" s="319"/>
      <c r="AQ434" s="319"/>
      <c r="AR434" s="319"/>
      <c r="AS434" s="319"/>
      <c r="AT434" s="319"/>
      <c r="AU434" s="319"/>
      <c r="AV434" s="319"/>
      <c r="AW434" s="319"/>
      <c r="AX434" s="319"/>
      <c r="AY434" s="319"/>
      <c r="AZ434" s="319"/>
      <c r="BA434" s="319"/>
      <c r="BB434" s="319"/>
      <c r="BC434" s="319"/>
      <c r="BD434" s="319"/>
      <c r="BE434" s="319"/>
      <c r="BF434" s="319"/>
      <c r="BG434" s="319"/>
      <c r="BH434" s="319"/>
      <c r="BI434" s="319"/>
      <c r="BJ434" s="319"/>
      <c r="BK434" s="319"/>
      <c r="BL434" s="319"/>
      <c r="BM434" s="319"/>
      <c r="BN434" s="319"/>
      <c r="BO434" s="319"/>
      <c r="BP434" s="319"/>
      <c r="BQ434" s="319"/>
      <c r="BR434" s="319"/>
      <c r="BS434" s="319"/>
      <c r="BT434" s="319"/>
      <c r="BU434" s="319"/>
      <c r="BV434" s="319"/>
      <c r="BW434" s="319"/>
      <c r="BX434" s="319"/>
      <c r="BY434" s="319"/>
      <c r="BZ434" s="319"/>
      <c r="CA434" s="319"/>
      <c r="CB434" s="319"/>
      <c r="CC434" s="319"/>
      <c r="CD434" s="319"/>
      <c r="CE434" s="319"/>
      <c r="CF434" s="319"/>
      <c r="CG434" s="319"/>
      <c r="CH434" s="319"/>
      <c r="CI434" s="319"/>
      <c r="CJ434" s="319"/>
      <c r="CK434" s="319"/>
    </row>
    <row r="435" spans="1:89" ht="13.5" hidden="1" customHeight="1">
      <c r="A435" s="12"/>
      <c r="B435" s="1"/>
      <c r="C435" s="112">
        <v>0.35</v>
      </c>
      <c r="D435" s="310"/>
      <c r="E435" s="752">
        <v>2</v>
      </c>
      <c r="F435" s="118" t="e">
        <f>'Modelo Energético'!F389</f>
        <v>#DIV/0!</v>
      </c>
      <c r="G435" s="119" t="e">
        <f>'Modelo Energético'!G389</f>
        <v>#DIV/0!</v>
      </c>
      <c r="H435" s="118" t="e">
        <f>'Modelo Energético'!H389</f>
        <v>#DIV/0!</v>
      </c>
      <c r="I435" s="1"/>
      <c r="J435" s="1"/>
      <c r="K435" s="9"/>
      <c r="L435" s="1"/>
      <c r="M435" s="319"/>
      <c r="N435" s="319">
        <v>2113025</v>
      </c>
      <c r="O435" s="319"/>
      <c r="P435" s="319"/>
      <c r="Q435" s="319"/>
      <c r="R435" s="319"/>
      <c r="S435" s="319"/>
      <c r="T435" s="319"/>
      <c r="U435" s="319"/>
      <c r="V435" s="319"/>
      <c r="W435" s="319"/>
      <c r="X435" s="319"/>
      <c r="Y435" s="319"/>
      <c r="Z435" s="319"/>
      <c r="AA435" s="319"/>
      <c r="AB435" s="319"/>
      <c r="AC435" s="319"/>
      <c r="AD435" s="319"/>
      <c r="AE435" s="319"/>
      <c r="AF435" s="319"/>
      <c r="AG435" s="319"/>
      <c r="AH435" s="319"/>
      <c r="AI435" s="319"/>
      <c r="AJ435" s="319"/>
      <c r="AK435" s="319"/>
      <c r="AL435" s="319"/>
      <c r="AM435" s="319"/>
      <c r="AN435" s="319"/>
      <c r="AO435" s="319"/>
      <c r="AP435" s="319"/>
      <c r="AQ435" s="319"/>
      <c r="AR435" s="319"/>
      <c r="AS435" s="319"/>
      <c r="AT435" s="319"/>
      <c r="AU435" s="319"/>
      <c r="AV435" s="319"/>
      <c r="AW435" s="319"/>
      <c r="AX435" s="319"/>
      <c r="AY435" s="319"/>
      <c r="AZ435" s="319"/>
      <c r="BA435" s="319"/>
      <c r="BB435" s="319"/>
      <c r="BC435" s="319"/>
      <c r="BD435" s="319"/>
      <c r="BE435" s="319"/>
      <c r="BF435" s="319"/>
      <c r="BG435" s="319"/>
      <c r="BH435" s="319"/>
      <c r="BI435" s="319"/>
      <c r="BJ435" s="319"/>
      <c r="BK435" s="319"/>
      <c r="BL435" s="319"/>
      <c r="BM435" s="319"/>
      <c r="BN435" s="319"/>
      <c r="BO435" s="319"/>
      <c r="BP435" s="319"/>
      <c r="BQ435" s="319"/>
      <c r="BR435" s="319"/>
      <c r="BS435" s="319"/>
      <c r="BT435" s="319"/>
      <c r="BU435" s="319"/>
      <c r="BV435" s="319"/>
      <c r="BW435" s="319"/>
      <c r="BX435" s="319"/>
      <c r="BY435" s="319"/>
      <c r="BZ435" s="319"/>
      <c r="CA435" s="319"/>
      <c r="CB435" s="319"/>
      <c r="CC435" s="319"/>
      <c r="CD435" s="319"/>
      <c r="CE435" s="319"/>
      <c r="CF435" s="319"/>
      <c r="CG435" s="319"/>
      <c r="CH435" s="319"/>
      <c r="CI435" s="319"/>
      <c r="CJ435" s="319"/>
      <c r="CK435" s="319"/>
    </row>
    <row r="436" spans="1:89" ht="13.5" hidden="1" customHeight="1">
      <c r="A436" s="12"/>
      <c r="B436" s="1"/>
      <c r="C436" s="112">
        <v>0.4</v>
      </c>
      <c r="D436" s="310"/>
      <c r="E436" s="752">
        <v>0.69892641095188501</v>
      </c>
      <c r="F436" s="118" t="e">
        <f>'Modelo Energético'!F390</f>
        <v>#DIV/0!</v>
      </c>
      <c r="G436" s="119" t="e">
        <f>'Modelo Energético'!G390</f>
        <v>#DIV/0!</v>
      </c>
      <c r="H436" s="118" t="e">
        <f>'Modelo Energético'!H390</f>
        <v>#DIV/0!</v>
      </c>
      <c r="I436" s="1"/>
      <c r="J436" s="1"/>
      <c r="K436" s="9"/>
      <c r="L436" s="1"/>
      <c r="M436" s="319"/>
      <c r="N436" s="319">
        <v>2113025</v>
      </c>
      <c r="O436" s="319"/>
      <c r="P436" s="319"/>
      <c r="Q436" s="319"/>
      <c r="R436" s="319"/>
      <c r="S436" s="319"/>
      <c r="T436" s="319"/>
      <c r="U436" s="319"/>
      <c r="V436" s="319"/>
      <c r="W436" s="319"/>
      <c r="X436" s="319"/>
      <c r="Y436" s="319"/>
      <c r="Z436" s="319"/>
      <c r="AA436" s="319"/>
      <c r="AB436" s="319"/>
      <c r="AC436" s="319"/>
      <c r="AD436" s="319"/>
      <c r="AE436" s="319"/>
      <c r="AF436" s="319"/>
      <c r="AG436" s="319"/>
      <c r="AH436" s="319"/>
      <c r="AI436" s="319"/>
      <c r="AJ436" s="319"/>
      <c r="AK436" s="319"/>
      <c r="AL436" s="319"/>
      <c r="AM436" s="319"/>
      <c r="AN436" s="319"/>
      <c r="AO436" s="319"/>
      <c r="AP436" s="319"/>
      <c r="AQ436" s="319"/>
      <c r="AR436" s="319"/>
      <c r="AS436" s="319"/>
      <c r="AT436" s="319"/>
      <c r="AU436" s="319"/>
      <c r="AV436" s="319"/>
      <c r="AW436" s="319"/>
      <c r="AX436" s="319"/>
      <c r="AY436" s="319"/>
      <c r="AZ436" s="319"/>
      <c r="BA436" s="319"/>
      <c r="BB436" s="319"/>
      <c r="BC436" s="319"/>
      <c r="BD436" s="319"/>
      <c r="BE436" s="319"/>
      <c r="BF436" s="319"/>
      <c r="BG436" s="319"/>
      <c r="BH436" s="319"/>
      <c r="BI436" s="319"/>
      <c r="BJ436" s="319"/>
      <c r="BK436" s="319"/>
      <c r="BL436" s="319"/>
      <c r="BM436" s="319"/>
      <c r="BN436" s="319"/>
      <c r="BO436" s="319"/>
      <c r="BP436" s="319"/>
      <c r="BQ436" s="319"/>
      <c r="BR436" s="319"/>
      <c r="BS436" s="319"/>
      <c r="BT436" s="319"/>
      <c r="BU436" s="319"/>
      <c r="BV436" s="319"/>
      <c r="BW436" s="319"/>
      <c r="BX436" s="319"/>
      <c r="BY436" s="319"/>
      <c r="BZ436" s="319"/>
      <c r="CA436" s="319"/>
      <c r="CB436" s="319"/>
      <c r="CC436" s="319"/>
      <c r="CD436" s="319"/>
      <c r="CE436" s="319"/>
      <c r="CF436" s="319"/>
      <c r="CG436" s="319"/>
      <c r="CH436" s="319"/>
      <c r="CI436" s="319"/>
      <c r="CJ436" s="319"/>
      <c r="CK436" s="319"/>
    </row>
    <row r="437" spans="1:89" ht="13.5" hidden="1" customHeight="1">
      <c r="A437" s="12"/>
      <c r="B437" s="1"/>
      <c r="C437" s="112">
        <v>0.45</v>
      </c>
      <c r="D437" s="310"/>
      <c r="E437" s="752">
        <v>0.70718246016112696</v>
      </c>
      <c r="F437" s="118" t="e">
        <f>'Modelo Energético'!F391</f>
        <v>#DIV/0!</v>
      </c>
      <c r="G437" s="119" t="e">
        <f>'Modelo Energético'!G391</f>
        <v>#DIV/0!</v>
      </c>
      <c r="H437" s="118" t="e">
        <f>'Modelo Energético'!H391</f>
        <v>#DIV/0!</v>
      </c>
      <c r="I437" s="1"/>
      <c r="J437" s="1"/>
      <c r="K437" s="9"/>
      <c r="L437" s="1"/>
      <c r="M437" s="319"/>
      <c r="N437" s="319">
        <v>2113025</v>
      </c>
      <c r="O437" s="319"/>
      <c r="P437" s="319"/>
      <c r="Q437" s="319"/>
      <c r="R437" s="319"/>
      <c r="S437" s="319"/>
      <c r="T437" s="319"/>
      <c r="U437" s="319"/>
      <c r="V437" s="319"/>
      <c r="W437" s="319"/>
      <c r="X437" s="319"/>
      <c r="Y437" s="319"/>
      <c r="Z437" s="319"/>
      <c r="AA437" s="319"/>
      <c r="AB437" s="319"/>
      <c r="AC437" s="319"/>
      <c r="AD437" s="319"/>
      <c r="AE437" s="319"/>
      <c r="AF437" s="319"/>
      <c r="AG437" s="319"/>
      <c r="AH437" s="319"/>
      <c r="AI437" s="319"/>
      <c r="AJ437" s="319"/>
      <c r="AK437" s="319"/>
      <c r="AL437" s="319"/>
      <c r="AM437" s="319"/>
      <c r="AN437" s="319"/>
      <c r="AO437" s="319"/>
      <c r="AP437" s="319"/>
      <c r="AQ437" s="319"/>
      <c r="AR437" s="319"/>
      <c r="AS437" s="319"/>
      <c r="AT437" s="319"/>
      <c r="AU437" s="319"/>
      <c r="AV437" s="319"/>
      <c r="AW437" s="319"/>
      <c r="AX437" s="319"/>
      <c r="AY437" s="319"/>
      <c r="AZ437" s="319"/>
      <c r="BA437" s="319"/>
      <c r="BB437" s="319"/>
      <c r="BC437" s="319"/>
      <c r="BD437" s="319"/>
      <c r="BE437" s="319"/>
      <c r="BF437" s="319"/>
      <c r="BG437" s="319"/>
      <c r="BH437" s="319"/>
      <c r="BI437" s="319"/>
      <c r="BJ437" s="319"/>
      <c r="BK437" s="319"/>
      <c r="BL437" s="319"/>
      <c r="BM437" s="319"/>
      <c r="BN437" s="319"/>
      <c r="BO437" s="319"/>
      <c r="BP437" s="319"/>
      <c r="BQ437" s="319"/>
      <c r="BR437" s="319"/>
      <c r="BS437" s="319"/>
      <c r="BT437" s="319"/>
      <c r="BU437" s="319"/>
      <c r="BV437" s="319"/>
      <c r="BW437" s="319"/>
      <c r="BX437" s="319"/>
      <c r="BY437" s="319"/>
      <c r="BZ437" s="319"/>
      <c r="CA437" s="319"/>
      <c r="CB437" s="319"/>
      <c r="CC437" s="319"/>
      <c r="CD437" s="319"/>
      <c r="CE437" s="319"/>
      <c r="CF437" s="319"/>
      <c r="CG437" s="319"/>
      <c r="CH437" s="319"/>
      <c r="CI437" s="319"/>
      <c r="CJ437" s="319"/>
      <c r="CK437" s="319"/>
    </row>
    <row r="438" spans="1:89" ht="13.5" hidden="1" customHeight="1">
      <c r="A438" s="12"/>
      <c r="B438" s="1"/>
      <c r="C438" s="112">
        <v>0.5</v>
      </c>
      <c r="D438" s="310"/>
      <c r="E438" s="752">
        <v>0.71491638183593798</v>
      </c>
      <c r="F438" s="118" t="e">
        <f>'Modelo Energético'!F392</f>
        <v>#DIV/0!</v>
      </c>
      <c r="G438" s="119" t="e">
        <f>'Modelo Energético'!G392</f>
        <v>#DIV/0!</v>
      </c>
      <c r="H438" s="118" t="e">
        <f>'Modelo Energético'!H392</f>
        <v>#DIV/0!</v>
      </c>
      <c r="I438" s="1"/>
      <c r="J438" s="1"/>
      <c r="K438" s="9"/>
      <c r="L438" s="1"/>
      <c r="M438" s="319"/>
      <c r="N438" s="319">
        <v>2113025</v>
      </c>
      <c r="O438" s="319"/>
      <c r="P438" s="319"/>
      <c r="Q438" s="319"/>
      <c r="R438" s="319"/>
      <c r="S438" s="319"/>
      <c r="T438" s="319"/>
      <c r="U438" s="319"/>
      <c r="V438" s="319"/>
      <c r="W438" s="319"/>
      <c r="X438" s="319"/>
      <c r="Y438" s="319"/>
      <c r="Z438" s="319"/>
      <c r="AA438" s="319"/>
      <c r="AB438" s="319"/>
      <c r="AC438" s="319"/>
      <c r="AD438" s="319"/>
      <c r="AE438" s="319"/>
      <c r="AF438" s="319"/>
      <c r="AG438" s="319"/>
      <c r="AH438" s="319"/>
      <c r="AI438" s="319"/>
      <c r="AJ438" s="319"/>
      <c r="AK438" s="319"/>
      <c r="AL438" s="319"/>
      <c r="AM438" s="319"/>
      <c r="AN438" s="319"/>
      <c r="AO438" s="319"/>
      <c r="AP438" s="319"/>
      <c r="AQ438" s="319"/>
      <c r="AR438" s="319"/>
      <c r="AS438" s="319"/>
      <c r="AT438" s="319"/>
      <c r="AU438" s="319"/>
      <c r="AV438" s="319"/>
      <c r="AW438" s="319"/>
      <c r="AX438" s="319"/>
      <c r="AY438" s="319"/>
      <c r="AZ438" s="319"/>
      <c r="BA438" s="319"/>
      <c r="BB438" s="319"/>
      <c r="BC438" s="319"/>
      <c r="BD438" s="319"/>
      <c r="BE438" s="319"/>
      <c r="BF438" s="319"/>
      <c r="BG438" s="319"/>
      <c r="BH438" s="319"/>
      <c r="BI438" s="319"/>
      <c r="BJ438" s="319"/>
      <c r="BK438" s="319"/>
      <c r="BL438" s="319"/>
      <c r="BM438" s="319"/>
      <c r="BN438" s="319"/>
      <c r="BO438" s="319"/>
      <c r="BP438" s="319"/>
      <c r="BQ438" s="319"/>
      <c r="BR438" s="319"/>
      <c r="BS438" s="319"/>
      <c r="BT438" s="319"/>
      <c r="BU438" s="319"/>
      <c r="BV438" s="319"/>
      <c r="BW438" s="319"/>
      <c r="BX438" s="319"/>
      <c r="BY438" s="319"/>
      <c r="BZ438" s="319"/>
      <c r="CA438" s="319"/>
      <c r="CB438" s="319"/>
      <c r="CC438" s="319"/>
      <c r="CD438" s="319"/>
      <c r="CE438" s="319"/>
      <c r="CF438" s="319"/>
      <c r="CG438" s="319"/>
      <c r="CH438" s="319"/>
      <c r="CI438" s="319"/>
      <c r="CJ438" s="319"/>
      <c r="CK438" s="319"/>
    </row>
    <row r="439" spans="1:89" ht="13.5" hidden="1" customHeight="1">
      <c r="A439" s="12"/>
      <c r="B439" s="1"/>
      <c r="C439" s="112">
        <v>0.55000000000000004</v>
      </c>
      <c r="D439" s="310"/>
      <c r="E439" s="752">
        <v>0.72248087084615298</v>
      </c>
      <c r="F439" s="118" t="e">
        <f>'Modelo Energético'!F393</f>
        <v>#DIV/0!</v>
      </c>
      <c r="G439" s="119" t="e">
        <f>'Modelo Energético'!G393</f>
        <v>#DIV/0!</v>
      </c>
      <c r="H439" s="118" t="e">
        <f>'Modelo Energético'!H393</f>
        <v>#DIV/0!</v>
      </c>
      <c r="I439" s="1"/>
      <c r="J439" s="1"/>
      <c r="K439" s="9"/>
      <c r="L439" s="1"/>
      <c r="M439" s="319"/>
      <c r="N439" s="319">
        <v>2113025</v>
      </c>
      <c r="O439" s="319"/>
      <c r="P439" s="319"/>
      <c r="Q439" s="319"/>
      <c r="R439" s="319"/>
      <c r="S439" s="319"/>
      <c r="T439" s="319"/>
      <c r="U439" s="319"/>
      <c r="V439" s="319"/>
      <c r="W439" s="319"/>
      <c r="X439" s="319"/>
      <c r="Y439" s="319"/>
      <c r="Z439" s="319"/>
      <c r="AA439" s="319"/>
      <c r="AB439" s="319"/>
      <c r="AC439" s="319"/>
      <c r="AD439" s="319"/>
      <c r="AE439" s="319"/>
      <c r="AF439" s="319"/>
      <c r="AG439" s="319"/>
      <c r="AH439" s="319"/>
      <c r="AI439" s="319"/>
      <c r="AJ439" s="319"/>
      <c r="AK439" s="319"/>
      <c r="AL439" s="319"/>
      <c r="AM439" s="319"/>
      <c r="AN439" s="319"/>
      <c r="AO439" s="319"/>
      <c r="AP439" s="319"/>
      <c r="AQ439" s="319"/>
      <c r="AR439" s="319"/>
      <c r="AS439" s="319"/>
      <c r="AT439" s="319"/>
      <c r="AU439" s="319"/>
      <c r="AV439" s="319"/>
      <c r="AW439" s="319"/>
      <c r="AX439" s="319"/>
      <c r="AY439" s="319"/>
      <c r="AZ439" s="319"/>
      <c r="BA439" s="319"/>
      <c r="BB439" s="319"/>
      <c r="BC439" s="319"/>
      <c r="BD439" s="319"/>
      <c r="BE439" s="319"/>
      <c r="BF439" s="319"/>
      <c r="BG439" s="319"/>
      <c r="BH439" s="319"/>
      <c r="BI439" s="319"/>
      <c r="BJ439" s="319"/>
      <c r="BK439" s="319"/>
      <c r="BL439" s="319"/>
      <c r="BM439" s="319"/>
      <c r="BN439" s="319"/>
      <c r="BO439" s="319"/>
      <c r="BP439" s="319"/>
      <c r="BQ439" s="319"/>
      <c r="BR439" s="319"/>
      <c r="BS439" s="319"/>
      <c r="BT439" s="319"/>
      <c r="BU439" s="319"/>
      <c r="BV439" s="319"/>
      <c r="BW439" s="319"/>
      <c r="BX439" s="319"/>
      <c r="BY439" s="319"/>
      <c r="BZ439" s="319"/>
      <c r="CA439" s="319"/>
      <c r="CB439" s="319"/>
      <c r="CC439" s="319"/>
      <c r="CD439" s="319"/>
      <c r="CE439" s="319"/>
      <c r="CF439" s="319"/>
      <c r="CG439" s="319"/>
      <c r="CH439" s="319"/>
      <c r="CI439" s="319"/>
      <c r="CJ439" s="319"/>
      <c r="CK439" s="319"/>
    </row>
    <row r="440" spans="1:89" ht="13.5" hidden="1" customHeight="1">
      <c r="A440" s="12"/>
      <c r="B440" s="1"/>
      <c r="C440" s="112">
        <v>0.6</v>
      </c>
      <c r="D440" s="310"/>
      <c r="E440" s="752">
        <v>0.72999632243425305</v>
      </c>
      <c r="F440" s="118" t="e">
        <f>'Modelo Energético'!F394</f>
        <v>#DIV/0!</v>
      </c>
      <c r="G440" s="119" t="e">
        <f>'Modelo Energético'!G394</f>
        <v>#DIV/0!</v>
      </c>
      <c r="H440" s="118" t="e">
        <f>'Modelo Energético'!H394</f>
        <v>#DIV/0!</v>
      </c>
      <c r="I440" s="1"/>
      <c r="J440" s="1"/>
      <c r="K440" s="9"/>
      <c r="L440" s="1"/>
      <c r="M440" s="319"/>
      <c r="N440" s="319">
        <v>2113025</v>
      </c>
      <c r="O440" s="319"/>
      <c r="P440" s="319"/>
      <c r="Q440" s="319"/>
      <c r="R440" s="319"/>
      <c r="S440" s="319"/>
      <c r="T440" s="319"/>
      <c r="U440" s="319"/>
      <c r="V440" s="319"/>
      <c r="W440" s="319"/>
      <c r="X440" s="319"/>
      <c r="Y440" s="319"/>
      <c r="Z440" s="319"/>
      <c r="AA440" s="319"/>
      <c r="AB440" s="319"/>
      <c r="AC440" s="319"/>
      <c r="AD440" s="319"/>
      <c r="AE440" s="319"/>
      <c r="AF440" s="319"/>
      <c r="AG440" s="319"/>
      <c r="AH440" s="319"/>
      <c r="AI440" s="319"/>
      <c r="AJ440" s="319"/>
      <c r="AK440" s="319"/>
      <c r="AL440" s="319"/>
      <c r="AM440" s="319"/>
      <c r="AN440" s="319"/>
      <c r="AO440" s="319"/>
      <c r="AP440" s="319"/>
      <c r="AQ440" s="319"/>
      <c r="AR440" s="319"/>
      <c r="AS440" s="319"/>
      <c r="AT440" s="319"/>
      <c r="AU440" s="319"/>
      <c r="AV440" s="319"/>
      <c r="AW440" s="319"/>
      <c r="AX440" s="319"/>
      <c r="AY440" s="319"/>
      <c r="AZ440" s="319"/>
      <c r="BA440" s="319"/>
      <c r="BB440" s="319"/>
      <c r="BC440" s="319"/>
      <c r="BD440" s="319"/>
      <c r="BE440" s="319"/>
      <c r="BF440" s="319"/>
      <c r="BG440" s="319"/>
      <c r="BH440" s="319"/>
      <c r="BI440" s="319"/>
      <c r="BJ440" s="319"/>
      <c r="BK440" s="319"/>
      <c r="BL440" s="319"/>
      <c r="BM440" s="319"/>
      <c r="BN440" s="319"/>
      <c r="BO440" s="319"/>
      <c r="BP440" s="319"/>
      <c r="BQ440" s="319"/>
      <c r="BR440" s="319"/>
      <c r="BS440" s="319"/>
      <c r="BT440" s="319"/>
      <c r="BU440" s="319"/>
      <c r="BV440" s="319"/>
      <c r="BW440" s="319"/>
      <c r="BX440" s="319"/>
      <c r="BY440" s="319"/>
      <c r="BZ440" s="319"/>
      <c r="CA440" s="319"/>
      <c r="CB440" s="319"/>
      <c r="CC440" s="319"/>
      <c r="CD440" s="319"/>
      <c r="CE440" s="319"/>
      <c r="CF440" s="319"/>
      <c r="CG440" s="319"/>
      <c r="CH440" s="319"/>
      <c r="CI440" s="319"/>
      <c r="CJ440" s="319"/>
      <c r="CK440" s="319"/>
    </row>
    <row r="441" spans="1:89" ht="13.5" hidden="1" customHeight="1">
      <c r="A441" s="12"/>
      <c r="B441" s="1"/>
      <c r="C441" s="112">
        <v>0.65</v>
      </c>
      <c r="D441" s="310"/>
      <c r="E441" s="752">
        <v>0.73749943288231801</v>
      </c>
      <c r="F441" s="118" t="e">
        <f>'Modelo Energético'!F395</f>
        <v>#DIV/0!</v>
      </c>
      <c r="G441" s="119" t="e">
        <f>'Modelo Energético'!G395</f>
        <v>#DIV/0!</v>
      </c>
      <c r="H441" s="118" t="e">
        <f>'Modelo Energético'!H395</f>
        <v>#DIV/0!</v>
      </c>
      <c r="I441" s="1"/>
      <c r="J441" s="1"/>
      <c r="K441" s="9"/>
      <c r="L441" s="1"/>
      <c r="M441" s="319"/>
      <c r="N441" s="319">
        <v>2113025</v>
      </c>
      <c r="O441" s="319"/>
      <c r="P441" s="319"/>
      <c r="Q441" s="319"/>
      <c r="R441" s="319"/>
      <c r="S441" s="319"/>
      <c r="T441" s="319"/>
      <c r="U441" s="319"/>
      <c r="V441" s="319"/>
      <c r="W441" s="319"/>
      <c r="X441" s="319"/>
      <c r="Y441" s="319"/>
      <c r="Z441" s="319"/>
      <c r="AA441" s="319"/>
      <c r="AB441" s="319"/>
      <c r="AC441" s="319"/>
      <c r="AD441" s="319"/>
      <c r="AE441" s="319"/>
      <c r="AF441" s="319"/>
      <c r="AG441" s="319"/>
      <c r="AH441" s="319"/>
      <c r="AI441" s="319"/>
      <c r="AJ441" s="319"/>
      <c r="AK441" s="319"/>
      <c r="AL441" s="319"/>
      <c r="AM441" s="319"/>
      <c r="AN441" s="319"/>
      <c r="AO441" s="319"/>
      <c r="AP441" s="319"/>
      <c r="AQ441" s="319"/>
      <c r="AR441" s="319"/>
      <c r="AS441" s="319"/>
      <c r="AT441" s="319"/>
      <c r="AU441" s="319"/>
      <c r="AV441" s="319"/>
      <c r="AW441" s="319"/>
      <c r="AX441" s="319"/>
      <c r="AY441" s="319"/>
      <c r="AZ441" s="319"/>
      <c r="BA441" s="319"/>
      <c r="BB441" s="319"/>
      <c r="BC441" s="319"/>
      <c r="BD441" s="319"/>
      <c r="BE441" s="319"/>
      <c r="BF441" s="319"/>
      <c r="BG441" s="319"/>
      <c r="BH441" s="319"/>
      <c r="BI441" s="319"/>
      <c r="BJ441" s="319"/>
      <c r="BK441" s="319"/>
      <c r="BL441" s="319"/>
      <c r="BM441" s="319"/>
      <c r="BN441" s="319"/>
      <c r="BO441" s="319"/>
      <c r="BP441" s="319"/>
      <c r="BQ441" s="319"/>
      <c r="BR441" s="319"/>
      <c r="BS441" s="319"/>
      <c r="BT441" s="319"/>
      <c r="BU441" s="319"/>
      <c r="BV441" s="319"/>
      <c r="BW441" s="319"/>
      <c r="BX441" s="319"/>
      <c r="BY441" s="319"/>
      <c r="BZ441" s="319"/>
      <c r="CA441" s="319"/>
      <c r="CB441" s="319"/>
      <c r="CC441" s="319"/>
      <c r="CD441" s="319"/>
      <c r="CE441" s="319"/>
      <c r="CF441" s="319"/>
      <c r="CG441" s="319"/>
      <c r="CH441" s="319"/>
      <c r="CI441" s="319"/>
      <c r="CJ441" s="319"/>
      <c r="CK441" s="319"/>
    </row>
    <row r="442" spans="1:89" ht="13.5" hidden="1" customHeight="1">
      <c r="A442" s="12"/>
      <c r="B442" s="1"/>
      <c r="C442" s="112">
        <v>0.7</v>
      </c>
      <c r="D442" s="310"/>
      <c r="E442" s="752">
        <v>0.74499993447332502</v>
      </c>
      <c r="F442" s="118" t="e">
        <f>'Modelo Energético'!F396</f>
        <v>#DIV/0!</v>
      </c>
      <c r="G442" s="119" t="e">
        <f>'Modelo Energético'!G396</f>
        <v>#DIV/0!</v>
      </c>
      <c r="H442" s="118" t="e">
        <f>'Modelo Energético'!H396</f>
        <v>#DIV/0!</v>
      </c>
      <c r="I442" s="1"/>
      <c r="J442" s="1"/>
      <c r="K442" s="9"/>
      <c r="L442" s="1"/>
      <c r="M442" s="319"/>
      <c r="N442" s="319">
        <v>2113025</v>
      </c>
      <c r="O442" s="319"/>
      <c r="P442" s="319"/>
      <c r="Q442" s="319"/>
      <c r="R442" s="319"/>
      <c r="S442" s="319"/>
      <c r="T442" s="319"/>
      <c r="U442" s="319"/>
      <c r="V442" s="319"/>
      <c r="W442" s="319"/>
      <c r="X442" s="319"/>
      <c r="Y442" s="319"/>
      <c r="Z442" s="319"/>
      <c r="AA442" s="319"/>
      <c r="AB442" s="319"/>
      <c r="AC442" s="319"/>
      <c r="AD442" s="319"/>
      <c r="AE442" s="319"/>
      <c r="AF442" s="319"/>
      <c r="AG442" s="319"/>
      <c r="AH442" s="319"/>
      <c r="AI442" s="319"/>
      <c r="AJ442" s="319"/>
      <c r="AK442" s="319"/>
      <c r="AL442" s="319"/>
      <c r="AM442" s="319"/>
      <c r="AN442" s="319"/>
      <c r="AO442" s="319"/>
      <c r="AP442" s="319"/>
      <c r="AQ442" s="319"/>
      <c r="AR442" s="319"/>
      <c r="AS442" s="319"/>
      <c r="AT442" s="319"/>
      <c r="AU442" s="319"/>
      <c r="AV442" s="319"/>
      <c r="AW442" s="319"/>
      <c r="AX442" s="319"/>
      <c r="AY442" s="319"/>
      <c r="AZ442" s="319"/>
      <c r="BA442" s="319"/>
      <c r="BB442" s="319"/>
      <c r="BC442" s="319"/>
      <c r="BD442" s="319"/>
      <c r="BE442" s="319"/>
      <c r="BF442" s="319"/>
      <c r="BG442" s="319"/>
      <c r="BH442" s="319"/>
      <c r="BI442" s="319"/>
      <c r="BJ442" s="319"/>
      <c r="BK442" s="319"/>
      <c r="BL442" s="319"/>
      <c r="BM442" s="319"/>
      <c r="BN442" s="319"/>
      <c r="BO442" s="319"/>
      <c r="BP442" s="319"/>
      <c r="BQ442" s="319"/>
      <c r="BR442" s="319"/>
      <c r="BS442" s="319"/>
      <c r="BT442" s="319"/>
      <c r="BU442" s="319"/>
      <c r="BV442" s="319"/>
      <c r="BW442" s="319"/>
      <c r="BX442" s="319"/>
      <c r="BY442" s="319"/>
      <c r="BZ442" s="319"/>
      <c r="CA442" s="319"/>
      <c r="CB442" s="319"/>
      <c r="CC442" s="319"/>
      <c r="CD442" s="319"/>
      <c r="CE442" s="319"/>
      <c r="CF442" s="319"/>
      <c r="CG442" s="319"/>
      <c r="CH442" s="319"/>
      <c r="CI442" s="319"/>
      <c r="CJ442" s="319"/>
      <c r="CK442" s="319"/>
    </row>
    <row r="443" spans="1:89" ht="13.5" hidden="1" customHeight="1">
      <c r="A443" s="12"/>
      <c r="B443" s="1"/>
      <c r="C443" s="112">
        <v>0.75</v>
      </c>
      <c r="D443" s="310"/>
      <c r="E443" s="752">
        <v>0.752499994896352</v>
      </c>
      <c r="F443" s="118" t="e">
        <f>'Modelo Energético'!F397</f>
        <v>#DIV/0!</v>
      </c>
      <c r="G443" s="119" t="e">
        <f>'Modelo Energético'!G397</f>
        <v>#DIV/0!</v>
      </c>
      <c r="H443" s="118" t="e">
        <f>'Modelo Energético'!H397</f>
        <v>#DIV/0!</v>
      </c>
      <c r="I443" s="1"/>
      <c r="J443" s="1"/>
      <c r="K443" s="9"/>
      <c r="L443" s="1"/>
      <c r="M443" s="319"/>
      <c r="N443" s="319">
        <v>2113025</v>
      </c>
      <c r="O443" s="319"/>
      <c r="P443" s="319"/>
      <c r="Q443" s="319"/>
      <c r="R443" s="319"/>
      <c r="S443" s="319"/>
      <c r="T443" s="319"/>
      <c r="U443" s="319"/>
      <c r="V443" s="319"/>
      <c r="W443" s="319"/>
      <c r="X443" s="319"/>
      <c r="Y443" s="319"/>
      <c r="Z443" s="319"/>
      <c r="AA443" s="319"/>
      <c r="AB443" s="319"/>
      <c r="AC443" s="319"/>
      <c r="AD443" s="319"/>
      <c r="AE443" s="319"/>
      <c r="AF443" s="319"/>
      <c r="AG443" s="319"/>
      <c r="AH443" s="319"/>
      <c r="AI443" s="319"/>
      <c r="AJ443" s="319"/>
      <c r="AK443" s="319"/>
      <c r="AL443" s="319"/>
      <c r="AM443" s="319"/>
      <c r="AN443" s="319"/>
      <c r="AO443" s="319"/>
      <c r="AP443" s="319"/>
      <c r="AQ443" s="319"/>
      <c r="AR443" s="319"/>
      <c r="AS443" s="319"/>
      <c r="AT443" s="319"/>
      <c r="AU443" s="319"/>
      <c r="AV443" s="319"/>
      <c r="AW443" s="319"/>
      <c r="AX443" s="319"/>
      <c r="AY443" s="319"/>
      <c r="AZ443" s="319"/>
      <c r="BA443" s="319"/>
      <c r="BB443" s="319"/>
      <c r="BC443" s="319"/>
      <c r="BD443" s="319"/>
      <c r="BE443" s="319"/>
      <c r="BF443" s="319"/>
      <c r="BG443" s="319"/>
      <c r="BH443" s="319"/>
      <c r="BI443" s="319"/>
      <c r="BJ443" s="319"/>
      <c r="BK443" s="319"/>
      <c r="BL443" s="319"/>
      <c r="BM443" s="319"/>
      <c r="BN443" s="319"/>
      <c r="BO443" s="319"/>
      <c r="BP443" s="319"/>
      <c r="BQ443" s="319"/>
      <c r="BR443" s="319"/>
      <c r="BS443" s="319"/>
      <c r="BT443" s="319"/>
      <c r="BU443" s="319"/>
      <c r="BV443" s="319"/>
      <c r="BW443" s="319"/>
      <c r="BX443" s="319"/>
      <c r="BY443" s="319"/>
      <c r="BZ443" s="319"/>
      <c r="CA443" s="319"/>
      <c r="CB443" s="319"/>
      <c r="CC443" s="319"/>
      <c r="CD443" s="319"/>
      <c r="CE443" s="319"/>
      <c r="CF443" s="319"/>
      <c r="CG443" s="319"/>
      <c r="CH443" s="319"/>
      <c r="CI443" s="319"/>
      <c r="CJ443" s="319"/>
      <c r="CK443" s="319"/>
    </row>
    <row r="444" spans="1:89" ht="13.5" hidden="1" customHeight="1">
      <c r="A444" s="12"/>
      <c r="B444" s="1"/>
      <c r="C444" s="112">
        <v>0.8</v>
      </c>
      <c r="D444" s="310"/>
      <c r="E444" s="752">
        <v>0.759999999775539</v>
      </c>
      <c r="F444" s="118" t="e">
        <f>'Modelo Energético'!F398</f>
        <v>#DIV/0!</v>
      </c>
      <c r="G444" s="119" t="e">
        <f>'Modelo Energético'!G398</f>
        <v>#DIV/0!</v>
      </c>
      <c r="H444" s="118" t="e">
        <f>'Modelo Energético'!H398</f>
        <v>#DIV/0!</v>
      </c>
      <c r="I444" s="1"/>
      <c r="J444" s="1"/>
      <c r="K444" s="9"/>
      <c r="L444" s="1"/>
      <c r="M444" s="319"/>
      <c r="N444" s="319">
        <v>2113025</v>
      </c>
      <c r="O444" s="319"/>
      <c r="P444" s="319"/>
      <c r="Q444" s="319"/>
      <c r="R444" s="319"/>
      <c r="S444" s="319"/>
      <c r="T444" s="319"/>
      <c r="U444" s="319"/>
      <c r="V444" s="319"/>
      <c r="W444" s="319"/>
      <c r="X444" s="319"/>
      <c r="Y444" s="319"/>
      <c r="Z444" s="319"/>
      <c r="AA444" s="319"/>
      <c r="AB444" s="319"/>
      <c r="AC444" s="319"/>
      <c r="AD444" s="319"/>
      <c r="AE444" s="319"/>
      <c r="AF444" s="319"/>
      <c r="AG444" s="319"/>
      <c r="AH444" s="319"/>
      <c r="AI444" s="319"/>
      <c r="AJ444" s="319"/>
      <c r="AK444" s="319"/>
      <c r="AL444" s="319"/>
      <c r="AM444" s="319"/>
      <c r="AN444" s="319"/>
      <c r="AO444" s="319"/>
      <c r="AP444" s="319"/>
      <c r="AQ444" s="319"/>
      <c r="AR444" s="319"/>
      <c r="AS444" s="319"/>
      <c r="AT444" s="319"/>
      <c r="AU444" s="319"/>
      <c r="AV444" s="319"/>
      <c r="AW444" s="319"/>
      <c r="AX444" s="319"/>
      <c r="AY444" s="319"/>
      <c r="AZ444" s="319"/>
      <c r="BA444" s="319"/>
      <c r="BB444" s="319"/>
      <c r="BC444" s="319"/>
      <c r="BD444" s="319"/>
      <c r="BE444" s="319"/>
      <c r="BF444" s="319"/>
      <c r="BG444" s="319"/>
      <c r="BH444" s="319"/>
      <c r="BI444" s="319"/>
      <c r="BJ444" s="319"/>
      <c r="BK444" s="319"/>
      <c r="BL444" s="319"/>
      <c r="BM444" s="319"/>
      <c r="BN444" s="319"/>
      <c r="BO444" s="319"/>
      <c r="BP444" s="319"/>
      <c r="BQ444" s="319"/>
      <c r="BR444" s="319"/>
      <c r="BS444" s="319"/>
      <c r="BT444" s="319"/>
      <c r="BU444" s="319"/>
      <c r="BV444" s="319"/>
      <c r="BW444" s="319"/>
      <c r="BX444" s="319"/>
      <c r="BY444" s="319"/>
      <c r="BZ444" s="319"/>
      <c r="CA444" s="319"/>
      <c r="CB444" s="319"/>
      <c r="CC444" s="319"/>
      <c r="CD444" s="319"/>
      <c r="CE444" s="319"/>
      <c r="CF444" s="319"/>
      <c r="CG444" s="319"/>
      <c r="CH444" s="319"/>
      <c r="CI444" s="319"/>
      <c r="CJ444" s="319"/>
      <c r="CK444" s="319"/>
    </row>
    <row r="445" spans="1:89" ht="13.2" hidden="1">
      <c r="A445" s="12"/>
      <c r="B445" s="1"/>
      <c r="C445" s="112">
        <v>0.85</v>
      </c>
      <c r="D445" s="310"/>
      <c r="E445" s="752">
        <v>0.76749999999600105</v>
      </c>
      <c r="F445" s="118" t="e">
        <f>'Modelo Energético'!F399</f>
        <v>#DIV/0!</v>
      </c>
      <c r="G445" s="119" t="e">
        <f>'Modelo Energético'!G399</f>
        <v>#DIV/0!</v>
      </c>
      <c r="H445" s="118" t="e">
        <f>'Modelo Energético'!H399</f>
        <v>#DIV/0!</v>
      </c>
      <c r="I445" s="1"/>
      <c r="J445" s="1"/>
      <c r="K445" s="9"/>
      <c r="L445" s="1"/>
      <c r="M445" s="319"/>
      <c r="N445" s="319">
        <v>2113025</v>
      </c>
      <c r="O445" s="319"/>
      <c r="P445" s="319"/>
      <c r="Q445" s="319"/>
      <c r="R445" s="319"/>
      <c r="S445" s="319"/>
      <c r="T445" s="319"/>
      <c r="U445" s="319"/>
      <c r="V445" s="319"/>
      <c r="W445" s="319"/>
      <c r="X445" s="319"/>
      <c r="Y445" s="319"/>
      <c r="Z445" s="319"/>
      <c r="AA445" s="319"/>
      <c r="AB445" s="319"/>
      <c r="AC445" s="319"/>
      <c r="AD445" s="319"/>
      <c r="AE445" s="319"/>
      <c r="AF445" s="319"/>
      <c r="AG445" s="319"/>
      <c r="AH445" s="319"/>
      <c r="AI445" s="319"/>
      <c r="AJ445" s="319"/>
      <c r="AK445" s="319"/>
      <c r="AL445" s="319"/>
      <c r="AM445" s="319"/>
      <c r="AN445" s="319"/>
      <c r="AO445" s="319"/>
      <c r="AP445" s="319"/>
      <c r="AQ445" s="319"/>
      <c r="AR445" s="319"/>
      <c r="AS445" s="319"/>
      <c r="AT445" s="319"/>
      <c r="AU445" s="319"/>
      <c r="AV445" s="319"/>
      <c r="AW445" s="319"/>
      <c r="AX445" s="319"/>
      <c r="AY445" s="319"/>
      <c r="AZ445" s="319"/>
      <c r="BA445" s="319"/>
      <c r="BB445" s="319"/>
      <c r="BC445" s="319"/>
      <c r="BD445" s="319"/>
      <c r="BE445" s="319"/>
      <c r="BF445" s="319"/>
      <c r="BG445" s="319"/>
      <c r="BH445" s="319"/>
      <c r="BI445" s="319"/>
      <c r="BJ445" s="319"/>
      <c r="BK445" s="319"/>
      <c r="BL445" s="319"/>
      <c r="BM445" s="319"/>
      <c r="BN445" s="319"/>
      <c r="BO445" s="319"/>
      <c r="BP445" s="319"/>
      <c r="BQ445" s="319"/>
      <c r="BR445" s="319"/>
      <c r="BS445" s="319"/>
      <c r="BT445" s="319"/>
      <c r="BU445" s="319"/>
      <c r="BV445" s="319"/>
      <c r="BW445" s="319"/>
      <c r="BX445" s="319"/>
      <c r="BY445" s="319"/>
      <c r="BZ445" s="319"/>
      <c r="CA445" s="319"/>
      <c r="CB445" s="319"/>
      <c r="CC445" s="319"/>
      <c r="CD445" s="319"/>
      <c r="CE445" s="319"/>
      <c r="CF445" s="319"/>
      <c r="CG445" s="319"/>
      <c r="CH445" s="319"/>
      <c r="CI445" s="319"/>
      <c r="CJ445" s="319"/>
      <c r="CK445" s="319"/>
    </row>
    <row r="446" spans="1:89" ht="13.5" hidden="1" customHeight="1">
      <c r="A446" s="12"/>
      <c r="B446" s="1"/>
      <c r="C446" s="112">
        <v>0.9</v>
      </c>
      <c r="D446" s="310"/>
      <c r="E446" s="752">
        <v>0.77499999999998603</v>
      </c>
      <c r="F446" s="118" t="e">
        <f>'Modelo Energético'!F400</f>
        <v>#DIV/0!</v>
      </c>
      <c r="G446" s="119" t="e">
        <f>'Modelo Energético'!G400</f>
        <v>#DIV/0!</v>
      </c>
      <c r="H446" s="118" t="e">
        <f>'Modelo Energético'!H400</f>
        <v>#DIV/0!</v>
      </c>
      <c r="I446" s="1"/>
      <c r="J446" s="1"/>
      <c r="K446" s="9"/>
      <c r="L446" s="1"/>
      <c r="M446" s="319"/>
      <c r="N446" s="319">
        <v>2113025</v>
      </c>
      <c r="O446" s="319"/>
      <c r="P446" s="319"/>
      <c r="Q446" s="319"/>
      <c r="R446" s="319"/>
      <c r="S446" s="319"/>
      <c r="T446" s="319"/>
      <c r="U446" s="319"/>
      <c r="V446" s="319"/>
      <c r="W446" s="319"/>
      <c r="X446" s="319"/>
      <c r="Y446" s="319"/>
      <c r="Z446" s="319"/>
      <c r="AA446" s="319"/>
      <c r="AB446" s="319"/>
      <c r="AC446" s="319"/>
      <c r="AD446" s="319"/>
      <c r="AE446" s="319"/>
      <c r="AF446" s="319"/>
      <c r="AG446" s="319"/>
      <c r="AH446" s="319"/>
      <c r="AI446" s="319"/>
      <c r="AJ446" s="319"/>
      <c r="AK446" s="319"/>
      <c r="AL446" s="319"/>
      <c r="AM446" s="319"/>
      <c r="AN446" s="319"/>
      <c r="AO446" s="319"/>
      <c r="AP446" s="319"/>
      <c r="AQ446" s="319"/>
      <c r="AR446" s="319"/>
      <c r="AS446" s="319"/>
      <c r="AT446" s="319"/>
      <c r="AU446" s="319"/>
      <c r="AV446" s="319"/>
      <c r="AW446" s="319"/>
      <c r="AX446" s="319"/>
      <c r="AY446" s="319"/>
      <c r="AZ446" s="319"/>
      <c r="BA446" s="319"/>
      <c r="BB446" s="319"/>
      <c r="BC446" s="319"/>
      <c r="BD446" s="319"/>
      <c r="BE446" s="319"/>
      <c r="BF446" s="319"/>
      <c r="BG446" s="319"/>
      <c r="BH446" s="319"/>
      <c r="BI446" s="319"/>
      <c r="BJ446" s="319"/>
      <c r="BK446" s="319"/>
      <c r="BL446" s="319"/>
      <c r="BM446" s="319"/>
      <c r="BN446" s="319"/>
      <c r="BO446" s="319"/>
      <c r="BP446" s="319"/>
      <c r="BQ446" s="319"/>
      <c r="BR446" s="319"/>
      <c r="BS446" s="319"/>
      <c r="BT446" s="319"/>
      <c r="BU446" s="319"/>
      <c r="BV446" s="319"/>
      <c r="BW446" s="319"/>
      <c r="BX446" s="319"/>
      <c r="BY446" s="319"/>
      <c r="BZ446" s="319"/>
      <c r="CA446" s="319"/>
      <c r="CB446" s="319"/>
      <c r="CC446" s="319"/>
      <c r="CD446" s="319"/>
      <c r="CE446" s="319"/>
      <c r="CF446" s="319"/>
      <c r="CG446" s="319"/>
      <c r="CH446" s="319"/>
      <c r="CI446" s="319"/>
      <c r="CJ446" s="319"/>
      <c r="CK446" s="319"/>
    </row>
    <row r="447" spans="1:89" ht="13.5" hidden="1" customHeight="1">
      <c r="A447" s="12"/>
      <c r="B447" s="1"/>
      <c r="C447" s="112">
        <v>0.95</v>
      </c>
      <c r="D447" s="310"/>
      <c r="E447" s="752">
        <v>0.78249999999999997</v>
      </c>
      <c r="F447" s="118" t="e">
        <f>'Modelo Energético'!F401</f>
        <v>#DIV/0!</v>
      </c>
      <c r="G447" s="119" t="e">
        <f>'Modelo Energético'!G401</f>
        <v>#DIV/0!</v>
      </c>
      <c r="H447" s="118" t="e">
        <f>'Modelo Energético'!H401</f>
        <v>#DIV/0!</v>
      </c>
      <c r="I447" s="1"/>
      <c r="J447" s="1"/>
      <c r="K447" s="9"/>
      <c r="L447" s="1"/>
      <c r="M447" s="319"/>
      <c r="N447" s="319">
        <v>2113025</v>
      </c>
      <c r="O447" s="319"/>
      <c r="P447" s="319"/>
      <c r="Q447" s="319"/>
      <c r="R447" s="319"/>
      <c r="S447" s="319"/>
      <c r="T447" s="319"/>
      <c r="U447" s="319"/>
      <c r="V447" s="319"/>
      <c r="W447" s="319"/>
      <c r="X447" s="319"/>
      <c r="Y447" s="319"/>
      <c r="Z447" s="319"/>
      <c r="AA447" s="319"/>
      <c r="AB447" s="319"/>
      <c r="AC447" s="319"/>
      <c r="AD447" s="319"/>
      <c r="AE447" s="319"/>
      <c r="AF447" s="319"/>
      <c r="AG447" s="319"/>
      <c r="AH447" s="319"/>
      <c r="AI447" s="319"/>
      <c r="AJ447" s="319"/>
      <c r="AK447" s="319"/>
      <c r="AL447" s="319"/>
      <c r="AM447" s="319"/>
      <c r="AN447" s="319"/>
      <c r="AO447" s="319"/>
      <c r="AP447" s="319"/>
      <c r="AQ447" s="319"/>
      <c r="AR447" s="319"/>
      <c r="AS447" s="319"/>
      <c r="AT447" s="319"/>
      <c r="AU447" s="319"/>
      <c r="AV447" s="319"/>
      <c r="AW447" s="319"/>
      <c r="AX447" s="319"/>
      <c r="AY447" s="319"/>
      <c r="AZ447" s="319"/>
      <c r="BA447" s="319"/>
      <c r="BB447" s="319"/>
      <c r="BC447" s="319"/>
      <c r="BD447" s="319"/>
      <c r="BE447" s="319"/>
      <c r="BF447" s="319"/>
      <c r="BG447" s="319"/>
      <c r="BH447" s="319"/>
      <c r="BI447" s="319"/>
      <c r="BJ447" s="319"/>
      <c r="BK447" s="319"/>
      <c r="BL447" s="319"/>
      <c r="BM447" s="319"/>
      <c r="BN447" s="319"/>
      <c r="BO447" s="319"/>
      <c r="BP447" s="319"/>
      <c r="BQ447" s="319"/>
      <c r="BR447" s="319"/>
      <c r="BS447" s="319"/>
      <c r="BT447" s="319"/>
      <c r="BU447" s="319"/>
      <c r="BV447" s="319"/>
      <c r="BW447" s="319"/>
      <c r="BX447" s="319"/>
      <c r="BY447" s="319"/>
      <c r="BZ447" s="319"/>
      <c r="CA447" s="319"/>
      <c r="CB447" s="319"/>
      <c r="CC447" s="319"/>
      <c r="CD447" s="319"/>
      <c r="CE447" s="319"/>
      <c r="CF447" s="319"/>
      <c r="CG447" s="319"/>
      <c r="CH447" s="319"/>
      <c r="CI447" s="319"/>
      <c r="CJ447" s="319"/>
      <c r="CK447" s="319"/>
    </row>
    <row r="448" spans="1:89" ht="13.5" hidden="1" customHeight="1">
      <c r="A448" s="12"/>
      <c r="B448" s="1"/>
      <c r="C448" s="114">
        <v>1</v>
      </c>
      <c r="D448" s="310"/>
      <c r="E448" s="752">
        <v>0.79</v>
      </c>
      <c r="F448" s="120" t="e">
        <f>'Modelo Energético'!F402</f>
        <v>#DIV/0!</v>
      </c>
      <c r="G448" s="121" t="e">
        <f>'Modelo Energético'!G402</f>
        <v>#DIV/0!</v>
      </c>
      <c r="H448" s="120" t="e">
        <f>'Modelo Energético'!H402</f>
        <v>#DIV/0!</v>
      </c>
      <c r="I448" s="1"/>
      <c r="J448" s="1"/>
      <c r="K448" s="9"/>
      <c r="L448" s="1"/>
      <c r="M448" s="319"/>
      <c r="N448" s="319">
        <v>2113025</v>
      </c>
      <c r="O448" s="319"/>
      <c r="P448" s="319"/>
      <c r="Q448" s="319"/>
      <c r="R448" s="319"/>
      <c r="S448" s="319"/>
      <c r="T448" s="319"/>
      <c r="U448" s="319"/>
      <c r="V448" s="319"/>
      <c r="W448" s="319"/>
      <c r="X448" s="319"/>
      <c r="Y448" s="319"/>
      <c r="Z448" s="319"/>
      <c r="AA448" s="319"/>
      <c r="AB448" s="319"/>
      <c r="AC448" s="319"/>
      <c r="AD448" s="319"/>
      <c r="AE448" s="319"/>
      <c r="AF448" s="319"/>
      <c r="AG448" s="319"/>
      <c r="AH448" s="319"/>
      <c r="AI448" s="319"/>
      <c r="AJ448" s="319"/>
      <c r="AK448" s="319"/>
      <c r="AL448" s="319"/>
      <c r="AM448" s="319"/>
      <c r="AN448" s="319"/>
      <c r="AO448" s="319"/>
      <c r="AP448" s="319"/>
      <c r="AQ448" s="319"/>
      <c r="AR448" s="319"/>
      <c r="AS448" s="319"/>
      <c r="AT448" s="319"/>
      <c r="AU448" s="319"/>
      <c r="AV448" s="319"/>
      <c r="AW448" s="319"/>
      <c r="AX448" s="319"/>
      <c r="AY448" s="319"/>
      <c r="AZ448" s="319"/>
      <c r="BA448" s="319"/>
      <c r="BB448" s="319"/>
      <c r="BC448" s="319"/>
      <c r="BD448" s="319"/>
      <c r="BE448" s="319"/>
      <c r="BF448" s="319"/>
      <c r="BG448" s="319"/>
      <c r="BH448" s="319"/>
      <c r="BI448" s="319"/>
      <c r="BJ448" s="319"/>
      <c r="BK448" s="319"/>
      <c r="BL448" s="319"/>
      <c r="BM448" s="319"/>
      <c r="BN448" s="319"/>
      <c r="BO448" s="319"/>
      <c r="BP448" s="319"/>
      <c r="BQ448" s="319"/>
      <c r="BR448" s="319"/>
      <c r="BS448" s="319"/>
      <c r="BT448" s="319"/>
      <c r="BU448" s="319"/>
      <c r="BV448" s="319"/>
      <c r="BW448" s="319"/>
      <c r="BX448" s="319"/>
      <c r="BY448" s="319"/>
      <c r="BZ448" s="319"/>
      <c r="CA448" s="319"/>
      <c r="CB448" s="319"/>
      <c r="CC448" s="319"/>
      <c r="CD448" s="319"/>
      <c r="CE448" s="319"/>
      <c r="CF448" s="319"/>
      <c r="CG448" s="319"/>
      <c r="CH448" s="319"/>
      <c r="CI448" s="319"/>
      <c r="CJ448" s="319"/>
      <c r="CK448" s="319"/>
    </row>
    <row r="449" spans="1:89" ht="12.75" hidden="1" customHeight="1">
      <c r="A449" s="12"/>
      <c r="B449" s="1"/>
      <c r="C449" s="1"/>
      <c r="D449" s="1"/>
      <c r="E449" s="5"/>
      <c r="F449" s="1"/>
      <c r="G449" s="1"/>
      <c r="H449" s="1"/>
      <c r="I449" s="1"/>
      <c r="J449" s="1"/>
      <c r="K449" s="9"/>
      <c r="L449" s="1"/>
      <c r="M449" s="319"/>
      <c r="N449" s="319">
        <v>2113025</v>
      </c>
      <c r="O449" s="319"/>
      <c r="P449" s="319"/>
      <c r="Q449" s="319"/>
      <c r="R449" s="319"/>
      <c r="S449" s="319"/>
      <c r="T449" s="319"/>
      <c r="U449" s="319"/>
      <c r="V449" s="319"/>
      <c r="W449" s="319"/>
      <c r="X449" s="319"/>
      <c r="Y449" s="319"/>
      <c r="Z449" s="319"/>
      <c r="AA449" s="319"/>
      <c r="AB449" s="319"/>
      <c r="AC449" s="319"/>
      <c r="AD449" s="319"/>
      <c r="AE449" s="319"/>
      <c r="AF449" s="319"/>
      <c r="AG449" s="319"/>
      <c r="AH449" s="319"/>
      <c r="AI449" s="319"/>
      <c r="AJ449" s="319"/>
      <c r="AK449" s="319"/>
      <c r="AL449" s="319"/>
      <c r="AM449" s="319"/>
      <c r="AN449" s="319"/>
      <c r="AO449" s="319"/>
      <c r="AP449" s="319"/>
      <c r="AQ449" s="319"/>
      <c r="AR449" s="319"/>
      <c r="AS449" s="319"/>
      <c r="AT449" s="319"/>
      <c r="AU449" s="319"/>
      <c r="AV449" s="319"/>
      <c r="AW449" s="319"/>
      <c r="AX449" s="319"/>
      <c r="AY449" s="319"/>
      <c r="AZ449" s="319"/>
      <c r="BA449" s="319"/>
      <c r="BB449" s="319"/>
      <c r="BC449" s="319"/>
      <c r="BD449" s="319"/>
      <c r="BE449" s="319"/>
      <c r="BF449" s="319"/>
      <c r="BG449" s="319"/>
      <c r="BH449" s="319"/>
      <c r="BI449" s="319"/>
      <c r="BJ449" s="319"/>
      <c r="BK449" s="319"/>
      <c r="BL449" s="319"/>
      <c r="BM449" s="319"/>
      <c r="BN449" s="319"/>
      <c r="BO449" s="319"/>
      <c r="BP449" s="319"/>
      <c r="BQ449" s="319"/>
      <c r="BR449" s="319"/>
      <c r="BS449" s="319"/>
      <c r="BT449" s="319"/>
      <c r="BU449" s="319"/>
      <c r="BV449" s="319"/>
      <c r="BW449" s="319"/>
      <c r="BX449" s="319"/>
      <c r="BY449" s="319"/>
      <c r="BZ449" s="319"/>
      <c r="CA449" s="319"/>
      <c r="CB449" s="319"/>
      <c r="CC449" s="319"/>
      <c r="CD449" s="319"/>
      <c r="CE449" s="319"/>
      <c r="CF449" s="319"/>
      <c r="CG449" s="319"/>
      <c r="CH449" s="319"/>
      <c r="CI449" s="319"/>
      <c r="CJ449" s="319"/>
      <c r="CK449" s="319"/>
    </row>
    <row r="450" spans="1:89" ht="25.5" hidden="1" customHeight="1">
      <c r="A450" s="12"/>
      <c r="B450" s="1"/>
      <c r="C450" s="82"/>
      <c r="D450" s="82" t="str">
        <f>Language!C1834</f>
        <v>Fluxo 
regularizado</v>
      </c>
      <c r="E450" s="82" t="str">
        <f>D426</f>
        <v>Fluxo</v>
      </c>
      <c r="F450" s="1217" t="str">
        <f>F426</f>
        <v>Eficiência
turbina</v>
      </c>
      <c r="G450" s="1207" t="str">
        <f>F426</f>
        <v>Eficiência
turbina</v>
      </c>
      <c r="H450" s="1207" t="str">
        <f>B345</f>
        <v>Potência elétrica</v>
      </c>
      <c r="I450" s="1207" t="str">
        <f>H426</f>
        <v>Eficiência combinada</v>
      </c>
      <c r="J450" s="1"/>
      <c r="K450" s="9"/>
      <c r="L450" s="1"/>
      <c r="M450" s="319"/>
      <c r="N450" s="319">
        <v>2113025</v>
      </c>
      <c r="O450" s="319"/>
      <c r="P450" s="299"/>
      <c r="Q450" s="319"/>
      <c r="R450" s="319"/>
      <c r="S450" s="319"/>
      <c r="T450" s="319"/>
      <c r="U450" s="319"/>
      <c r="V450" s="319"/>
      <c r="W450" s="319"/>
      <c r="X450" s="319"/>
      <c r="Y450" s="319"/>
      <c r="Z450" s="319"/>
      <c r="AA450" s="319"/>
      <c r="AB450" s="319"/>
      <c r="AC450" s="319"/>
      <c r="AD450" s="319"/>
      <c r="AE450" s="319"/>
      <c r="AF450" s="319"/>
      <c r="AG450" s="319"/>
      <c r="AH450" s="319"/>
      <c r="AI450" s="319"/>
      <c r="AJ450" s="319"/>
      <c r="AK450" s="319"/>
      <c r="AL450" s="319"/>
      <c r="AM450" s="319"/>
      <c r="AN450" s="319"/>
      <c r="AO450" s="319"/>
      <c r="AP450" s="319"/>
      <c r="AQ450" s="319"/>
      <c r="AR450" s="319"/>
      <c r="AS450" s="319"/>
      <c r="AT450" s="319"/>
      <c r="AU450" s="319"/>
      <c r="AV450" s="319"/>
      <c r="AW450" s="319"/>
      <c r="AX450" s="319"/>
      <c r="AY450" s="319"/>
      <c r="AZ450" s="319"/>
      <c r="BA450" s="319"/>
      <c r="BB450" s="319"/>
      <c r="BC450" s="319"/>
      <c r="BD450" s="319"/>
      <c r="BE450" s="319"/>
      <c r="BF450" s="319"/>
      <c r="BG450" s="319"/>
      <c r="BH450" s="319"/>
      <c r="BI450" s="319"/>
      <c r="BJ450" s="319"/>
      <c r="BK450" s="319"/>
      <c r="BL450" s="319"/>
      <c r="BM450" s="319"/>
      <c r="BN450" s="319"/>
      <c r="BO450" s="319"/>
      <c r="BP450" s="319"/>
      <c r="BQ450" s="319"/>
      <c r="BR450" s="319"/>
      <c r="BS450" s="319"/>
      <c r="BT450" s="319"/>
      <c r="BU450" s="319"/>
      <c r="BV450" s="319"/>
      <c r="BW450" s="319"/>
      <c r="BX450" s="319"/>
      <c r="BY450" s="319"/>
      <c r="BZ450" s="319"/>
      <c r="CA450" s="319"/>
      <c r="CB450" s="319"/>
      <c r="CC450" s="319"/>
      <c r="CD450" s="319"/>
      <c r="CE450" s="319"/>
      <c r="CF450" s="319"/>
      <c r="CG450" s="319"/>
      <c r="CH450" s="319"/>
      <c r="CI450" s="319"/>
      <c r="CJ450" s="319"/>
      <c r="CK450" s="319"/>
    </row>
    <row r="451" spans="1:89" ht="13.5" hidden="1" customHeight="1">
      <c r="A451" s="12"/>
      <c r="B451" s="1"/>
      <c r="C451" s="45" t="str">
        <f>C427</f>
        <v>%</v>
      </c>
      <c r="D451" s="142" t="str">
        <f>C405</f>
        <v>m³/s</v>
      </c>
      <c r="E451" s="45" t="str">
        <f>C405</f>
        <v>m³/s</v>
      </c>
      <c r="F451" s="1218"/>
      <c r="G451" s="1208"/>
      <c r="H451" s="1208"/>
      <c r="I451" s="1208"/>
      <c r="J451" s="1"/>
      <c r="K451" s="9"/>
      <c r="L451" s="1"/>
      <c r="M451" s="319"/>
      <c r="N451" s="319">
        <v>2113025</v>
      </c>
      <c r="O451" s="319"/>
      <c r="P451" s="319"/>
      <c r="Q451" s="319"/>
      <c r="R451" s="319"/>
      <c r="S451" s="319"/>
      <c r="T451" s="319"/>
      <c r="U451" s="319"/>
      <c r="V451" s="319"/>
      <c r="W451" s="319"/>
      <c r="X451" s="319"/>
      <c r="Y451" s="319"/>
      <c r="Z451" s="319"/>
      <c r="AA451" s="319"/>
      <c r="AB451" s="319"/>
      <c r="AC451" s="319"/>
      <c r="AD451" s="319"/>
      <c r="AE451" s="319"/>
      <c r="AF451" s="319"/>
      <c r="AG451" s="319"/>
      <c r="AH451" s="319"/>
      <c r="AI451" s="319"/>
      <c r="AJ451" s="319"/>
      <c r="AK451" s="319"/>
      <c r="AL451" s="319"/>
      <c r="AM451" s="319"/>
      <c r="AN451" s="319"/>
      <c r="AO451" s="319"/>
      <c r="AP451" s="319"/>
      <c r="AQ451" s="319"/>
      <c r="AR451" s="319"/>
      <c r="AS451" s="319"/>
      <c r="AT451" s="319"/>
      <c r="AU451" s="319"/>
      <c r="AV451" s="319"/>
      <c r="AW451" s="319"/>
      <c r="AX451" s="319"/>
      <c r="AY451" s="319"/>
      <c r="AZ451" s="319"/>
      <c r="BA451" s="319"/>
      <c r="BB451" s="319"/>
      <c r="BC451" s="319"/>
      <c r="BD451" s="319"/>
      <c r="BE451" s="319"/>
      <c r="BF451" s="319"/>
      <c r="BG451" s="319"/>
      <c r="BH451" s="319"/>
      <c r="BI451" s="319"/>
      <c r="BJ451" s="319"/>
      <c r="BK451" s="319"/>
      <c r="BL451" s="319"/>
      <c r="BM451" s="319"/>
      <c r="BN451" s="319"/>
      <c r="BO451" s="319"/>
      <c r="BP451" s="319"/>
      <c r="BQ451" s="319"/>
      <c r="BR451" s="319"/>
      <c r="BS451" s="319"/>
      <c r="BT451" s="319"/>
      <c r="BU451" s="319"/>
      <c r="BV451" s="319"/>
      <c r="BW451" s="319"/>
      <c r="BX451" s="319"/>
      <c r="BY451" s="319"/>
      <c r="BZ451" s="319"/>
      <c r="CA451" s="319"/>
      <c r="CB451" s="319"/>
      <c r="CC451" s="319"/>
      <c r="CD451" s="319"/>
      <c r="CE451" s="319"/>
      <c r="CF451" s="319"/>
      <c r="CG451" s="319"/>
      <c r="CH451" s="319"/>
      <c r="CI451" s="319"/>
      <c r="CJ451" s="319"/>
      <c r="CK451" s="319"/>
    </row>
    <row r="452" spans="1:89" ht="13.5" hidden="1" customHeight="1">
      <c r="A452" s="12"/>
      <c r="B452" s="1"/>
      <c r="C452" s="110">
        <v>0</v>
      </c>
      <c r="D452" s="332"/>
      <c r="E452" s="116">
        <f>'Modelo Energético'!E406</f>
        <v>0</v>
      </c>
      <c r="F452" s="752">
        <v>0</v>
      </c>
      <c r="G452" s="118" t="e">
        <f>'Modelo Energético'!G406</f>
        <v>#DIV/0!</v>
      </c>
      <c r="H452" s="117">
        <f>'Modelo Energético'!H406</f>
        <v>0</v>
      </c>
      <c r="I452" s="116">
        <f>'Modelo Energético'!I406</f>
        <v>0</v>
      </c>
      <c r="J452" s="1"/>
      <c r="K452" s="784" t="str">
        <f>$K$356</f>
        <v>Mostrar figura</v>
      </c>
      <c r="L452" s="1"/>
      <c r="M452" s="319"/>
      <c r="N452" s="319">
        <v>2113025</v>
      </c>
      <c r="O452" s="319"/>
      <c r="P452" s="319"/>
      <c r="Q452" s="319"/>
      <c r="R452" s="319"/>
      <c r="S452" s="319"/>
      <c r="T452" s="319"/>
      <c r="U452" s="319"/>
      <c r="V452" s="319"/>
      <c r="W452" s="319"/>
      <c r="X452" s="319"/>
      <c r="Y452" s="319"/>
      <c r="Z452" s="319"/>
      <c r="AA452" s="319"/>
      <c r="AB452" s="319"/>
      <c r="AC452" s="319"/>
      <c r="AD452" s="319"/>
      <c r="AE452" s="319"/>
      <c r="AF452" s="319"/>
      <c r="AG452" s="319"/>
      <c r="AH452" s="319"/>
      <c r="AI452" s="319"/>
      <c r="AJ452" s="319"/>
      <c r="AK452" s="319"/>
      <c r="AL452" s="319"/>
      <c r="AM452" s="319"/>
      <c r="AN452" s="319"/>
      <c r="AO452" s="319"/>
      <c r="AP452" s="319"/>
      <c r="AQ452" s="319"/>
      <c r="AR452" s="319"/>
      <c r="AS452" s="319"/>
      <c r="AT452" s="319"/>
      <c r="AU452" s="319"/>
      <c r="AV452" s="319"/>
      <c r="AW452" s="319"/>
      <c r="AX452" s="319"/>
      <c r="AY452" s="319"/>
      <c r="AZ452" s="319"/>
      <c r="BA452" s="319"/>
      <c r="BB452" s="319"/>
      <c r="BC452" s="319"/>
      <c r="BD452" s="319"/>
      <c r="BE452" s="319"/>
      <c r="BF452" s="319"/>
      <c r="BG452" s="319"/>
      <c r="BH452" s="319"/>
      <c r="BI452" s="319"/>
      <c r="BJ452" s="319"/>
      <c r="BK452" s="319"/>
      <c r="BL452" s="319"/>
      <c r="BM452" s="319"/>
      <c r="BN452" s="319"/>
      <c r="BO452" s="319"/>
      <c r="BP452" s="319"/>
      <c r="BQ452" s="319"/>
      <c r="BR452" s="319"/>
      <c r="BS452" s="319"/>
      <c r="BT452" s="319"/>
      <c r="BU452" s="319"/>
      <c r="BV452" s="319"/>
      <c r="BW452" s="319"/>
      <c r="BX452" s="319"/>
      <c r="BY452" s="319"/>
      <c r="BZ452" s="319"/>
      <c r="CA452" s="319"/>
      <c r="CB452" s="319"/>
      <c r="CC452" s="319"/>
      <c r="CD452" s="319"/>
      <c r="CE452" s="319"/>
      <c r="CF452" s="319"/>
      <c r="CG452" s="319"/>
      <c r="CH452" s="319"/>
      <c r="CI452" s="319"/>
      <c r="CJ452" s="319"/>
      <c r="CK452" s="319"/>
    </row>
    <row r="453" spans="1:89" ht="13.5" hidden="1" customHeight="1">
      <c r="A453" s="12"/>
      <c r="B453" s="1"/>
      <c r="C453" s="112">
        <v>0.05</v>
      </c>
      <c r="D453" s="332"/>
      <c r="E453" s="118">
        <f>'Modelo Energético'!E407</f>
        <v>0</v>
      </c>
      <c r="F453" s="752">
        <v>0</v>
      </c>
      <c r="G453" s="118" t="e">
        <f>'Modelo Energético'!G407</f>
        <v>#DIV/0!</v>
      </c>
      <c r="H453" s="119" t="e">
        <f>'Modelo Energético'!H407</f>
        <v>#DIV/0!</v>
      </c>
      <c r="I453" s="118" t="e">
        <f>'Modelo Energético'!I407</f>
        <v>#DIV/0!</v>
      </c>
      <c r="J453" s="1"/>
      <c r="K453" s="9"/>
      <c r="L453" s="1"/>
      <c r="M453" s="319"/>
      <c r="N453" s="319">
        <v>2113025</v>
      </c>
      <c r="O453" s="319"/>
      <c r="P453" s="319"/>
      <c r="Q453" s="319"/>
      <c r="R453" s="319"/>
      <c r="S453" s="319"/>
      <c r="T453" s="319"/>
      <c r="U453" s="319"/>
      <c r="V453" s="319"/>
      <c r="W453" s="319"/>
      <c r="X453" s="319"/>
      <c r="Y453" s="319"/>
      <c r="Z453" s="319"/>
      <c r="AA453" s="319"/>
      <c r="AB453" s="319"/>
      <c r="AC453" s="319"/>
      <c r="AD453" s="319"/>
      <c r="AE453" s="319"/>
      <c r="AF453" s="319"/>
      <c r="AG453" s="319"/>
      <c r="AH453" s="319"/>
      <c r="AI453" s="319"/>
      <c r="AJ453" s="319"/>
      <c r="AK453" s="319"/>
      <c r="AL453" s="319"/>
      <c r="AM453" s="319"/>
      <c r="AN453" s="319"/>
      <c r="AO453" s="319"/>
      <c r="AP453" s="319"/>
      <c r="AQ453" s="319"/>
      <c r="AR453" s="319"/>
      <c r="AS453" s="319"/>
      <c r="AT453" s="319"/>
      <c r="AU453" s="319"/>
      <c r="AV453" s="319"/>
      <c r="AW453" s="319"/>
      <c r="AX453" s="319"/>
      <c r="AY453" s="319"/>
      <c r="AZ453" s="319"/>
      <c r="BA453" s="319"/>
      <c r="BB453" s="319"/>
      <c r="BC453" s="319"/>
      <c r="BD453" s="319"/>
      <c r="BE453" s="319"/>
      <c r="BF453" s="319"/>
      <c r="BG453" s="319"/>
      <c r="BH453" s="319"/>
      <c r="BI453" s="319"/>
      <c r="BJ453" s="319"/>
      <c r="BK453" s="319"/>
      <c r="BL453" s="319"/>
      <c r="BM453" s="319"/>
      <c r="BN453" s="319"/>
      <c r="BO453" s="319"/>
      <c r="BP453" s="319"/>
      <c r="BQ453" s="319"/>
      <c r="BR453" s="319"/>
      <c r="BS453" s="319"/>
      <c r="BT453" s="319"/>
      <c r="BU453" s="319"/>
      <c r="BV453" s="319"/>
      <c r="BW453" s="319"/>
      <c r="BX453" s="319"/>
      <c r="BY453" s="319"/>
      <c r="BZ453" s="319"/>
      <c r="CA453" s="319"/>
      <c r="CB453" s="319"/>
      <c r="CC453" s="319"/>
      <c r="CD453" s="319"/>
      <c r="CE453" s="319"/>
      <c r="CF453" s="319"/>
      <c r="CG453" s="319"/>
      <c r="CH453" s="319"/>
      <c r="CI453" s="319"/>
      <c r="CJ453" s="319"/>
      <c r="CK453" s="319"/>
    </row>
    <row r="454" spans="1:89" ht="13.5" hidden="1" customHeight="1">
      <c r="A454" s="12"/>
      <c r="B454" s="1"/>
      <c r="C454" s="112">
        <v>0.1</v>
      </c>
      <c r="D454" s="332"/>
      <c r="E454" s="118">
        <f>'Modelo Energético'!E408</f>
        <v>0</v>
      </c>
      <c r="F454" s="752">
        <v>0.34</v>
      </c>
      <c r="G454" s="118" t="e">
        <f>'Modelo Energético'!G408</f>
        <v>#DIV/0!</v>
      </c>
      <c r="H454" s="119" t="e">
        <f>'Modelo Energético'!H408</f>
        <v>#DIV/0!</v>
      </c>
      <c r="I454" s="118" t="e">
        <f>'Modelo Energético'!I408</f>
        <v>#DIV/0!</v>
      </c>
      <c r="J454" s="1"/>
      <c r="K454" s="9"/>
      <c r="L454" s="1"/>
      <c r="M454" s="319"/>
      <c r="N454" s="319">
        <v>2113025</v>
      </c>
      <c r="O454" s="319"/>
      <c r="P454" s="319"/>
      <c r="Q454" s="319"/>
      <c r="R454" s="319"/>
      <c r="S454" s="319"/>
      <c r="T454" s="319"/>
      <c r="U454" s="319"/>
      <c r="V454" s="319"/>
      <c r="W454" s="319"/>
      <c r="X454" s="319"/>
      <c r="Y454" s="319"/>
      <c r="Z454" s="319"/>
      <c r="AA454" s="319"/>
      <c r="AB454" s="319"/>
      <c r="AC454" s="319"/>
      <c r="AD454" s="319"/>
      <c r="AE454" s="319"/>
      <c r="AF454" s="319"/>
      <c r="AG454" s="319"/>
      <c r="AH454" s="319"/>
      <c r="AI454" s="319"/>
      <c r="AJ454" s="319"/>
      <c r="AK454" s="319"/>
      <c r="AL454" s="319"/>
      <c r="AM454" s="319"/>
      <c r="AN454" s="319"/>
      <c r="AO454" s="319"/>
      <c r="AP454" s="319"/>
      <c r="AQ454" s="319"/>
      <c r="AR454" s="319"/>
      <c r="AS454" s="319"/>
      <c r="AT454" s="319"/>
      <c r="AU454" s="319"/>
      <c r="AV454" s="319"/>
      <c r="AW454" s="319"/>
      <c r="AX454" s="319"/>
      <c r="AY454" s="319"/>
      <c r="AZ454" s="319"/>
      <c r="BA454" s="319"/>
      <c r="BB454" s="319"/>
      <c r="BC454" s="319"/>
      <c r="BD454" s="319"/>
      <c r="BE454" s="319"/>
      <c r="BF454" s="319"/>
      <c r="BG454" s="319"/>
      <c r="BH454" s="319"/>
      <c r="BI454" s="319"/>
      <c r="BJ454" s="319"/>
      <c r="BK454" s="319"/>
      <c r="BL454" s="319"/>
      <c r="BM454" s="319"/>
      <c r="BN454" s="319"/>
      <c r="BO454" s="319"/>
      <c r="BP454" s="319"/>
      <c r="BQ454" s="319"/>
      <c r="BR454" s="319"/>
      <c r="BS454" s="319"/>
      <c r="BT454" s="319"/>
      <c r="BU454" s="319"/>
      <c r="BV454" s="319"/>
      <c r="BW454" s="319"/>
      <c r="BX454" s="319"/>
      <c r="BY454" s="319"/>
      <c r="BZ454" s="319"/>
      <c r="CA454" s="319"/>
      <c r="CB454" s="319"/>
      <c r="CC454" s="319"/>
      <c r="CD454" s="319"/>
      <c r="CE454" s="319"/>
      <c r="CF454" s="319"/>
      <c r="CG454" s="319"/>
      <c r="CH454" s="319"/>
      <c r="CI454" s="319"/>
      <c r="CJ454" s="319"/>
      <c r="CK454" s="319"/>
    </row>
    <row r="455" spans="1:89" ht="13.5" hidden="1" customHeight="1">
      <c r="A455" s="12"/>
      <c r="B455" s="1"/>
      <c r="C455" s="112">
        <v>0.15</v>
      </c>
      <c r="D455" s="332"/>
      <c r="E455" s="118">
        <f>'Modelo Energético'!E409</f>
        <v>0</v>
      </c>
      <c r="F455" s="752">
        <v>0.52170555274268904</v>
      </c>
      <c r="G455" s="118" t="e">
        <f>'Modelo Energético'!G409</f>
        <v>#DIV/0!</v>
      </c>
      <c r="H455" s="119" t="e">
        <f>'Modelo Energético'!H409</f>
        <v>#DIV/0!</v>
      </c>
      <c r="I455" s="118" t="e">
        <f>'Modelo Energético'!I409</f>
        <v>#DIV/0!</v>
      </c>
      <c r="J455" s="1"/>
      <c r="K455" s="9"/>
      <c r="L455" s="1"/>
      <c r="M455" s="319"/>
      <c r="N455" s="319">
        <v>2113025</v>
      </c>
      <c r="O455" s="319"/>
      <c r="P455" s="319"/>
      <c r="Q455" s="319"/>
      <c r="R455" s="319"/>
      <c r="S455" s="319"/>
      <c r="T455" s="319"/>
      <c r="U455" s="319"/>
      <c r="V455" s="319"/>
      <c r="W455" s="319"/>
      <c r="X455" s="319"/>
      <c r="Y455" s="319"/>
      <c r="Z455" s="319"/>
      <c r="AA455" s="319"/>
      <c r="AB455" s="319"/>
      <c r="AC455" s="319"/>
      <c r="AD455" s="319"/>
      <c r="AE455" s="319"/>
      <c r="AF455" s="319"/>
      <c r="AG455" s="319"/>
      <c r="AH455" s="319"/>
      <c r="AI455" s="319"/>
      <c r="AJ455" s="319"/>
      <c r="AK455" s="319"/>
      <c r="AL455" s="319"/>
      <c r="AM455" s="319"/>
      <c r="AN455" s="319"/>
      <c r="AO455" s="319"/>
      <c r="AP455" s="319"/>
      <c r="AQ455" s="319"/>
      <c r="AR455" s="319"/>
      <c r="AS455" s="319"/>
      <c r="AT455" s="319"/>
      <c r="AU455" s="319"/>
      <c r="AV455" s="319"/>
      <c r="AW455" s="319"/>
      <c r="AX455" s="319"/>
      <c r="AY455" s="319"/>
      <c r="AZ455" s="319"/>
      <c r="BA455" s="319"/>
      <c r="BB455" s="319"/>
      <c r="BC455" s="319"/>
      <c r="BD455" s="319"/>
      <c r="BE455" s="319"/>
      <c r="BF455" s="319"/>
      <c r="BG455" s="319"/>
      <c r="BH455" s="319"/>
      <c r="BI455" s="319"/>
      <c r="BJ455" s="319"/>
      <c r="BK455" s="319"/>
      <c r="BL455" s="319"/>
      <c r="BM455" s="319"/>
      <c r="BN455" s="319"/>
      <c r="BO455" s="319"/>
      <c r="BP455" s="319"/>
      <c r="BQ455" s="319"/>
      <c r="BR455" s="319"/>
      <c r="BS455" s="319"/>
      <c r="BT455" s="319"/>
      <c r="BU455" s="319"/>
      <c r="BV455" s="319"/>
      <c r="BW455" s="319"/>
      <c r="BX455" s="319"/>
      <c r="BY455" s="319"/>
      <c r="BZ455" s="319"/>
      <c r="CA455" s="319"/>
      <c r="CB455" s="319"/>
      <c r="CC455" s="319"/>
      <c r="CD455" s="319"/>
      <c r="CE455" s="319"/>
      <c r="CF455" s="319"/>
      <c r="CG455" s="319"/>
      <c r="CH455" s="319"/>
      <c r="CI455" s="319"/>
      <c r="CJ455" s="319"/>
      <c r="CK455" s="319"/>
    </row>
    <row r="456" spans="1:89" ht="13.5" hidden="1" customHeight="1">
      <c r="A456" s="12"/>
      <c r="B456" s="1"/>
      <c r="C456" s="112">
        <v>0.2</v>
      </c>
      <c r="D456" s="332"/>
      <c r="E456" s="118">
        <f>'Modelo Energético'!E410</f>
        <v>0</v>
      </c>
      <c r="F456" s="752">
        <v>0.60974676279787499</v>
      </c>
      <c r="G456" s="118" t="e">
        <f>'Modelo Energético'!G410</f>
        <v>#DIV/0!</v>
      </c>
      <c r="H456" s="119" t="e">
        <f>'Modelo Energético'!H410</f>
        <v>#DIV/0!</v>
      </c>
      <c r="I456" s="118" t="e">
        <f>'Modelo Energético'!I410</f>
        <v>#DIV/0!</v>
      </c>
      <c r="J456" s="1"/>
      <c r="K456" s="9"/>
      <c r="L456" s="1"/>
      <c r="M456" s="319"/>
      <c r="N456" s="319">
        <v>2113025</v>
      </c>
      <c r="O456" s="319"/>
      <c r="P456" s="319"/>
      <c r="Q456" s="319"/>
      <c r="R456" s="319"/>
      <c r="S456" s="319"/>
      <c r="T456" s="319"/>
      <c r="U456" s="319"/>
      <c r="V456" s="319"/>
      <c r="W456" s="319"/>
      <c r="X456" s="319"/>
      <c r="Y456" s="319"/>
      <c r="Z456" s="319"/>
      <c r="AA456" s="319"/>
      <c r="AB456" s="319"/>
      <c r="AC456" s="319"/>
      <c r="AD456" s="319"/>
      <c r="AE456" s="319"/>
      <c r="AF456" s="319"/>
      <c r="AG456" s="319"/>
      <c r="AH456" s="319"/>
      <c r="AI456" s="319"/>
      <c r="AJ456" s="319"/>
      <c r="AK456" s="319"/>
      <c r="AL456" s="319"/>
      <c r="AM456" s="319"/>
      <c r="AN456" s="319"/>
      <c r="AO456" s="319"/>
      <c r="AP456" s="319"/>
      <c r="AQ456" s="319"/>
      <c r="AR456" s="319"/>
      <c r="AS456" s="319"/>
      <c r="AT456" s="319"/>
      <c r="AU456" s="319"/>
      <c r="AV456" s="319"/>
      <c r="AW456" s="319"/>
      <c r="AX456" s="319"/>
      <c r="AY456" s="319"/>
      <c r="AZ456" s="319"/>
      <c r="BA456" s="319"/>
      <c r="BB456" s="319"/>
      <c r="BC456" s="319"/>
      <c r="BD456" s="319"/>
      <c r="BE456" s="319"/>
      <c r="BF456" s="319"/>
      <c r="BG456" s="319"/>
      <c r="BH456" s="319"/>
      <c r="BI456" s="319"/>
      <c r="BJ456" s="319"/>
      <c r="BK456" s="319"/>
      <c r="BL456" s="319"/>
      <c r="BM456" s="319"/>
      <c r="BN456" s="319"/>
      <c r="BO456" s="319"/>
      <c r="BP456" s="319"/>
      <c r="BQ456" s="319"/>
      <c r="BR456" s="319"/>
      <c r="BS456" s="319"/>
      <c r="BT456" s="319"/>
      <c r="BU456" s="319"/>
      <c r="BV456" s="319"/>
      <c r="BW456" s="319"/>
      <c r="BX456" s="319"/>
      <c r="BY456" s="319"/>
      <c r="BZ456" s="319"/>
      <c r="CA456" s="319"/>
      <c r="CB456" s="319"/>
      <c r="CC456" s="319"/>
      <c r="CD456" s="319"/>
      <c r="CE456" s="319"/>
      <c r="CF456" s="319"/>
      <c r="CG456" s="319"/>
      <c r="CH456" s="319"/>
      <c r="CI456" s="319"/>
      <c r="CJ456" s="319"/>
      <c r="CK456" s="319"/>
    </row>
    <row r="457" spans="1:89" ht="13.5" hidden="1" customHeight="1">
      <c r="A457" s="12"/>
      <c r="B457" s="1"/>
      <c r="C457" s="112">
        <v>0.25</v>
      </c>
      <c r="D457" s="332"/>
      <c r="E457" s="118">
        <f>'Modelo Energético'!E411</f>
        <v>0</v>
      </c>
      <c r="F457" s="752">
        <v>0.65308941122144504</v>
      </c>
      <c r="G457" s="118" t="e">
        <f>'Modelo Energético'!G411</f>
        <v>#DIV/0!</v>
      </c>
      <c r="H457" s="119" t="e">
        <f>'Modelo Energético'!H411</f>
        <v>#DIV/0!</v>
      </c>
      <c r="I457" s="118" t="e">
        <f>'Modelo Energético'!I411</f>
        <v>#DIV/0!</v>
      </c>
      <c r="J457" s="1"/>
      <c r="K457" s="9"/>
      <c r="L457" s="1"/>
      <c r="M457" s="319"/>
      <c r="N457" s="319">
        <v>2113025</v>
      </c>
      <c r="O457" s="319"/>
      <c r="P457" s="319"/>
      <c r="Q457" s="319"/>
      <c r="R457" s="319"/>
      <c r="S457" s="319"/>
      <c r="T457" s="319"/>
      <c r="U457" s="319"/>
      <c r="V457" s="319"/>
      <c r="W457" s="319"/>
      <c r="X457" s="319"/>
      <c r="Y457" s="319"/>
      <c r="Z457" s="319"/>
      <c r="AA457" s="319"/>
      <c r="AB457" s="319"/>
      <c r="AC457" s="319"/>
      <c r="AD457" s="319"/>
      <c r="AE457" s="319"/>
      <c r="AF457" s="319"/>
      <c r="AG457" s="319"/>
      <c r="AH457" s="319"/>
      <c r="AI457" s="319"/>
      <c r="AJ457" s="319"/>
      <c r="AK457" s="319"/>
      <c r="AL457" s="319"/>
      <c r="AM457" s="319"/>
      <c r="AN457" s="319"/>
      <c r="AO457" s="319"/>
      <c r="AP457" s="319"/>
      <c r="AQ457" s="319"/>
      <c r="AR457" s="319"/>
      <c r="AS457" s="319"/>
      <c r="AT457" s="319"/>
      <c r="AU457" s="319"/>
      <c r="AV457" s="319"/>
      <c r="AW457" s="319"/>
      <c r="AX457" s="319"/>
      <c r="AY457" s="319"/>
      <c r="AZ457" s="319"/>
      <c r="BA457" s="319"/>
      <c r="BB457" s="319"/>
      <c r="BC457" s="319"/>
      <c r="BD457" s="319"/>
      <c r="BE457" s="319"/>
      <c r="BF457" s="319"/>
      <c r="BG457" s="319"/>
      <c r="BH457" s="319"/>
      <c r="BI457" s="319"/>
      <c r="BJ457" s="319"/>
      <c r="BK457" s="319"/>
      <c r="BL457" s="319"/>
      <c r="BM457" s="319"/>
      <c r="BN457" s="319"/>
      <c r="BO457" s="319"/>
      <c r="BP457" s="319"/>
      <c r="BQ457" s="319"/>
      <c r="BR457" s="319"/>
      <c r="BS457" s="319"/>
      <c r="BT457" s="319"/>
      <c r="BU457" s="319"/>
      <c r="BV457" s="319"/>
      <c r="BW457" s="319"/>
      <c r="BX457" s="319"/>
      <c r="BY457" s="319"/>
      <c r="BZ457" s="319"/>
      <c r="CA457" s="319"/>
      <c r="CB457" s="319"/>
      <c r="CC457" s="319"/>
      <c r="CD457" s="319"/>
      <c r="CE457" s="319"/>
      <c r="CF457" s="319"/>
      <c r="CG457" s="319"/>
      <c r="CH457" s="319"/>
      <c r="CI457" s="319"/>
      <c r="CJ457" s="319"/>
      <c r="CK457" s="319"/>
    </row>
    <row r="458" spans="1:89" ht="13.5" hidden="1" customHeight="1">
      <c r="A458" s="12"/>
      <c r="B458" s="1"/>
      <c r="C458" s="112">
        <v>0.3</v>
      </c>
      <c r="D458" s="332"/>
      <c r="E458" s="118">
        <f>'Modelo Energético'!E412</f>
        <v>0</v>
      </c>
      <c r="F458" s="752">
        <v>0.67570834390196899</v>
      </c>
      <c r="G458" s="118" t="e">
        <f>'Modelo Energético'!G412</f>
        <v>#DIV/0!</v>
      </c>
      <c r="H458" s="119" t="e">
        <f>'Modelo Energético'!H412</f>
        <v>#DIV/0!</v>
      </c>
      <c r="I458" s="118" t="e">
        <f>'Modelo Energético'!I412</f>
        <v>#DIV/0!</v>
      </c>
      <c r="J458" s="1"/>
      <c r="K458" s="9"/>
      <c r="L458" s="1"/>
      <c r="M458" s="319"/>
      <c r="N458" s="319">
        <v>2113025</v>
      </c>
      <c r="O458" s="319"/>
      <c r="P458" s="319"/>
      <c r="Q458" s="319"/>
      <c r="R458" s="319"/>
      <c r="S458" s="319"/>
      <c r="T458" s="319"/>
      <c r="U458" s="319"/>
      <c r="V458" s="319"/>
      <c r="W458" s="319"/>
      <c r="X458" s="319"/>
      <c r="Y458" s="319"/>
      <c r="Z458" s="319"/>
      <c r="AA458" s="319"/>
      <c r="AB458" s="319"/>
      <c r="AC458" s="319"/>
      <c r="AD458" s="319"/>
      <c r="AE458" s="319"/>
      <c r="AF458" s="319"/>
      <c r="AG458" s="319"/>
      <c r="AH458" s="319"/>
      <c r="AI458" s="319"/>
      <c r="AJ458" s="319"/>
      <c r="AK458" s="319"/>
      <c r="AL458" s="319"/>
      <c r="AM458" s="319"/>
      <c r="AN458" s="319"/>
      <c r="AO458" s="319"/>
      <c r="AP458" s="319"/>
      <c r="AQ458" s="319"/>
      <c r="AR458" s="319"/>
      <c r="AS458" s="319"/>
      <c r="AT458" s="319"/>
      <c r="AU458" s="319"/>
      <c r="AV458" s="319"/>
      <c r="AW458" s="319"/>
      <c r="AX458" s="319"/>
      <c r="AY458" s="319"/>
      <c r="AZ458" s="319"/>
      <c r="BA458" s="319"/>
      <c r="BB458" s="319"/>
      <c r="BC458" s="319"/>
      <c r="BD458" s="319"/>
      <c r="BE458" s="319"/>
      <c r="BF458" s="319"/>
      <c r="BG458" s="319"/>
      <c r="BH458" s="319"/>
      <c r="BI458" s="319"/>
      <c r="BJ458" s="319"/>
      <c r="BK458" s="319"/>
      <c r="BL458" s="319"/>
      <c r="BM458" s="319"/>
      <c r="BN458" s="319"/>
      <c r="BO458" s="319"/>
      <c r="BP458" s="319"/>
      <c r="BQ458" s="319"/>
      <c r="BR458" s="319"/>
      <c r="BS458" s="319"/>
      <c r="BT458" s="319"/>
      <c r="BU458" s="319"/>
      <c r="BV458" s="319"/>
      <c r="BW458" s="319"/>
      <c r="BX458" s="319"/>
      <c r="BY458" s="319"/>
      <c r="BZ458" s="319"/>
      <c r="CA458" s="319"/>
      <c r="CB458" s="319"/>
      <c r="CC458" s="319"/>
      <c r="CD458" s="319"/>
      <c r="CE458" s="319"/>
      <c r="CF458" s="319"/>
      <c r="CG458" s="319"/>
      <c r="CH458" s="319"/>
      <c r="CI458" s="319"/>
      <c r="CJ458" s="319"/>
      <c r="CK458" s="319"/>
    </row>
    <row r="459" spans="1:89" ht="13.5" hidden="1" customHeight="1">
      <c r="A459" s="12"/>
      <c r="B459" s="1"/>
      <c r="C459" s="112">
        <v>0.35</v>
      </c>
      <c r="D459" s="332"/>
      <c r="E459" s="118">
        <f>'Modelo Energético'!E413</f>
        <v>0</v>
      </c>
      <c r="F459" s="752">
        <v>0.68920763815404795</v>
      </c>
      <c r="G459" s="118" t="e">
        <f>'Modelo Energético'!G413</f>
        <v>#DIV/0!</v>
      </c>
      <c r="H459" s="119" t="e">
        <f>'Modelo Energético'!H413</f>
        <v>#DIV/0!</v>
      </c>
      <c r="I459" s="118" t="e">
        <f>'Modelo Energético'!I413</f>
        <v>#DIV/0!</v>
      </c>
      <c r="J459" s="1"/>
      <c r="K459" s="9"/>
      <c r="L459" s="1"/>
      <c r="M459" s="319"/>
      <c r="N459" s="319">
        <v>2113025</v>
      </c>
      <c r="O459" s="319"/>
      <c r="P459" s="319"/>
      <c r="Q459" s="319"/>
      <c r="R459" s="319"/>
      <c r="S459" s="319"/>
      <c r="T459" s="319"/>
      <c r="U459" s="319"/>
      <c r="V459" s="319"/>
      <c r="W459" s="319"/>
      <c r="X459" s="319"/>
      <c r="Y459" s="319"/>
      <c r="Z459" s="319"/>
      <c r="AA459" s="319"/>
      <c r="AB459" s="319"/>
      <c r="AC459" s="319"/>
      <c r="AD459" s="319"/>
      <c r="AE459" s="319"/>
      <c r="AF459" s="319"/>
      <c r="AG459" s="319"/>
      <c r="AH459" s="319"/>
      <c r="AI459" s="319"/>
      <c r="AJ459" s="319"/>
      <c r="AK459" s="319"/>
      <c r="AL459" s="319"/>
      <c r="AM459" s="319"/>
      <c r="AN459" s="319"/>
      <c r="AO459" s="319"/>
      <c r="AP459" s="319"/>
      <c r="AQ459" s="319"/>
      <c r="AR459" s="319"/>
      <c r="AS459" s="319"/>
      <c r="AT459" s="319"/>
      <c r="AU459" s="319"/>
      <c r="AV459" s="319"/>
      <c r="AW459" s="319"/>
      <c r="AX459" s="319"/>
      <c r="AY459" s="319"/>
      <c r="AZ459" s="319"/>
      <c r="BA459" s="319"/>
      <c r="BB459" s="319"/>
      <c r="BC459" s="319"/>
      <c r="BD459" s="319"/>
      <c r="BE459" s="319"/>
      <c r="BF459" s="319"/>
      <c r="BG459" s="319"/>
      <c r="BH459" s="319"/>
      <c r="BI459" s="319"/>
      <c r="BJ459" s="319"/>
      <c r="BK459" s="319"/>
      <c r="BL459" s="319"/>
      <c r="BM459" s="319"/>
      <c r="BN459" s="319"/>
      <c r="BO459" s="319"/>
      <c r="BP459" s="319"/>
      <c r="BQ459" s="319"/>
      <c r="BR459" s="319"/>
      <c r="BS459" s="319"/>
      <c r="BT459" s="319"/>
      <c r="BU459" s="319"/>
      <c r="BV459" s="319"/>
      <c r="BW459" s="319"/>
      <c r="BX459" s="319"/>
      <c r="BY459" s="319"/>
      <c r="BZ459" s="319"/>
      <c r="CA459" s="319"/>
      <c r="CB459" s="319"/>
      <c r="CC459" s="319"/>
      <c r="CD459" s="319"/>
      <c r="CE459" s="319"/>
      <c r="CF459" s="319"/>
      <c r="CG459" s="319"/>
      <c r="CH459" s="319"/>
      <c r="CI459" s="319"/>
      <c r="CJ459" s="319"/>
      <c r="CK459" s="319"/>
    </row>
    <row r="460" spans="1:89" ht="13.5" hidden="1" customHeight="1">
      <c r="A460" s="12"/>
      <c r="B460" s="1"/>
      <c r="C460" s="112">
        <v>0.4</v>
      </c>
      <c r="D460" s="332"/>
      <c r="E460" s="118">
        <f>'Modelo Energético'!E414</f>
        <v>0</v>
      </c>
      <c r="F460" s="752">
        <v>0.69892641095188501</v>
      </c>
      <c r="G460" s="118" t="e">
        <f>'Modelo Energético'!G414</f>
        <v>#DIV/0!</v>
      </c>
      <c r="H460" s="119" t="e">
        <f>'Modelo Energético'!H414</f>
        <v>#DIV/0!</v>
      </c>
      <c r="I460" s="118" t="e">
        <f>'Modelo Energético'!I414</f>
        <v>#DIV/0!</v>
      </c>
      <c r="J460" s="1"/>
      <c r="K460" s="9"/>
      <c r="L460" s="1"/>
      <c r="M460" s="319"/>
      <c r="N460" s="319">
        <v>2113025</v>
      </c>
      <c r="O460" s="319"/>
      <c r="P460" s="319"/>
      <c r="Q460" s="319"/>
      <c r="R460" s="319"/>
      <c r="S460" s="319"/>
      <c r="T460" s="319"/>
      <c r="U460" s="319"/>
      <c r="V460" s="319"/>
      <c r="W460" s="319"/>
      <c r="X460" s="319"/>
      <c r="Y460" s="319"/>
      <c r="Z460" s="319"/>
      <c r="AA460" s="319"/>
      <c r="AB460" s="319"/>
      <c r="AC460" s="319"/>
      <c r="AD460" s="319"/>
      <c r="AE460" s="319"/>
      <c r="AF460" s="319"/>
      <c r="AG460" s="319"/>
      <c r="AH460" s="319"/>
      <c r="AI460" s="319"/>
      <c r="AJ460" s="319"/>
      <c r="AK460" s="319"/>
      <c r="AL460" s="319"/>
      <c r="AM460" s="319"/>
      <c r="AN460" s="319"/>
      <c r="AO460" s="319"/>
      <c r="AP460" s="319"/>
      <c r="AQ460" s="319"/>
      <c r="AR460" s="319"/>
      <c r="AS460" s="319"/>
      <c r="AT460" s="319"/>
      <c r="AU460" s="319"/>
      <c r="AV460" s="319"/>
      <c r="AW460" s="319"/>
      <c r="AX460" s="319"/>
      <c r="AY460" s="319"/>
      <c r="AZ460" s="319"/>
      <c r="BA460" s="319"/>
      <c r="BB460" s="319"/>
      <c r="BC460" s="319"/>
      <c r="BD460" s="319"/>
      <c r="BE460" s="319"/>
      <c r="BF460" s="319"/>
      <c r="BG460" s="319"/>
      <c r="BH460" s="319"/>
      <c r="BI460" s="319"/>
      <c r="BJ460" s="319"/>
      <c r="BK460" s="319"/>
      <c r="BL460" s="319"/>
      <c r="BM460" s="319"/>
      <c r="BN460" s="319"/>
      <c r="BO460" s="319"/>
      <c r="BP460" s="319"/>
      <c r="BQ460" s="319"/>
      <c r="BR460" s="319"/>
      <c r="BS460" s="319"/>
      <c r="BT460" s="319"/>
      <c r="BU460" s="319"/>
      <c r="BV460" s="319"/>
      <c r="BW460" s="319"/>
      <c r="BX460" s="319"/>
      <c r="BY460" s="319"/>
      <c r="BZ460" s="319"/>
      <c r="CA460" s="319"/>
      <c r="CB460" s="319"/>
      <c r="CC460" s="319"/>
      <c r="CD460" s="319"/>
      <c r="CE460" s="319"/>
      <c r="CF460" s="319"/>
      <c r="CG460" s="319"/>
      <c r="CH460" s="319"/>
      <c r="CI460" s="319"/>
      <c r="CJ460" s="319"/>
      <c r="CK460" s="319"/>
    </row>
    <row r="461" spans="1:89" ht="13.5" hidden="1" customHeight="1">
      <c r="A461" s="12"/>
      <c r="B461" s="1"/>
      <c r="C461" s="112">
        <v>0.45</v>
      </c>
      <c r="D461" s="332"/>
      <c r="E461" s="118">
        <f>'Modelo Energético'!E415</f>
        <v>0</v>
      </c>
      <c r="F461" s="752">
        <v>0.70718246016112696</v>
      </c>
      <c r="G461" s="118" t="e">
        <f>'Modelo Energético'!G415</f>
        <v>#DIV/0!</v>
      </c>
      <c r="H461" s="119" t="e">
        <f>'Modelo Energético'!H415</f>
        <v>#DIV/0!</v>
      </c>
      <c r="I461" s="118" t="e">
        <f>'Modelo Energético'!I415</f>
        <v>#DIV/0!</v>
      </c>
      <c r="J461" s="1"/>
      <c r="K461" s="9"/>
      <c r="L461" s="1"/>
      <c r="M461" s="319"/>
      <c r="N461" s="319">
        <v>2113025</v>
      </c>
      <c r="O461" s="319"/>
      <c r="P461" s="319"/>
      <c r="Q461" s="319"/>
      <c r="R461" s="319"/>
      <c r="S461" s="319"/>
      <c r="T461" s="319"/>
      <c r="U461" s="319"/>
      <c r="V461" s="319"/>
      <c r="W461" s="319"/>
      <c r="X461" s="319"/>
      <c r="Y461" s="319"/>
      <c r="Z461" s="319"/>
      <c r="AA461" s="319"/>
      <c r="AB461" s="319"/>
      <c r="AC461" s="319"/>
      <c r="AD461" s="319"/>
      <c r="AE461" s="319"/>
      <c r="AF461" s="319"/>
      <c r="AG461" s="319"/>
      <c r="AH461" s="319"/>
      <c r="AI461" s="319"/>
      <c r="AJ461" s="319"/>
      <c r="AK461" s="319"/>
      <c r="AL461" s="319"/>
      <c r="AM461" s="319"/>
      <c r="AN461" s="319"/>
      <c r="AO461" s="319"/>
      <c r="AP461" s="319"/>
      <c r="AQ461" s="319"/>
      <c r="AR461" s="319"/>
      <c r="AS461" s="319"/>
      <c r="AT461" s="319"/>
      <c r="AU461" s="319"/>
      <c r="AV461" s="319"/>
      <c r="AW461" s="319"/>
      <c r="AX461" s="319"/>
      <c r="AY461" s="319"/>
      <c r="AZ461" s="319"/>
      <c r="BA461" s="319"/>
      <c r="BB461" s="319"/>
      <c r="BC461" s="319"/>
      <c r="BD461" s="319"/>
      <c r="BE461" s="319"/>
      <c r="BF461" s="319"/>
      <c r="BG461" s="319"/>
      <c r="BH461" s="319"/>
      <c r="BI461" s="319"/>
      <c r="BJ461" s="319"/>
      <c r="BK461" s="319"/>
      <c r="BL461" s="319"/>
      <c r="BM461" s="319"/>
      <c r="BN461" s="319"/>
      <c r="BO461" s="319"/>
      <c r="BP461" s="319"/>
      <c r="BQ461" s="319"/>
      <c r="BR461" s="319"/>
      <c r="BS461" s="319"/>
      <c r="BT461" s="319"/>
      <c r="BU461" s="319"/>
      <c r="BV461" s="319"/>
      <c r="BW461" s="319"/>
      <c r="BX461" s="319"/>
      <c r="BY461" s="319"/>
      <c r="BZ461" s="319"/>
      <c r="CA461" s="319"/>
      <c r="CB461" s="319"/>
      <c r="CC461" s="319"/>
      <c r="CD461" s="319"/>
      <c r="CE461" s="319"/>
      <c r="CF461" s="319"/>
      <c r="CG461" s="319"/>
      <c r="CH461" s="319"/>
      <c r="CI461" s="319"/>
      <c r="CJ461" s="319"/>
      <c r="CK461" s="319"/>
    </row>
    <row r="462" spans="1:89" ht="13.5" hidden="1" customHeight="1">
      <c r="A462" s="12"/>
      <c r="B462" s="1"/>
      <c r="C462" s="112">
        <v>0.5</v>
      </c>
      <c r="D462" s="332"/>
      <c r="E462" s="118">
        <f>'Modelo Energético'!E416</f>
        <v>0</v>
      </c>
      <c r="F462" s="752">
        <v>0.71491638183593798</v>
      </c>
      <c r="G462" s="118" t="e">
        <f>'Modelo Energético'!G416</f>
        <v>#DIV/0!</v>
      </c>
      <c r="H462" s="119" t="e">
        <f>'Modelo Energético'!H416</f>
        <v>#DIV/0!</v>
      </c>
      <c r="I462" s="118" t="e">
        <f>'Modelo Energético'!I416</f>
        <v>#DIV/0!</v>
      </c>
      <c r="J462" s="1"/>
      <c r="K462" s="9"/>
      <c r="L462" s="1"/>
      <c r="M462" s="319"/>
      <c r="N462" s="319">
        <v>2113025</v>
      </c>
      <c r="O462" s="319"/>
      <c r="P462" s="319"/>
      <c r="Q462" s="319"/>
      <c r="R462" s="319"/>
      <c r="S462" s="319"/>
      <c r="T462" s="319"/>
      <c r="U462" s="319"/>
      <c r="V462" s="319"/>
      <c r="W462" s="319"/>
      <c r="X462" s="319"/>
      <c r="Y462" s="319"/>
      <c r="Z462" s="319"/>
      <c r="AA462" s="319"/>
      <c r="AB462" s="319"/>
      <c r="AC462" s="319"/>
      <c r="AD462" s="319"/>
      <c r="AE462" s="319"/>
      <c r="AF462" s="319"/>
      <c r="AG462" s="319"/>
      <c r="AH462" s="319"/>
      <c r="AI462" s="319"/>
      <c r="AJ462" s="319"/>
      <c r="AK462" s="319"/>
      <c r="AL462" s="319"/>
      <c r="AM462" s="319"/>
      <c r="AN462" s="319"/>
      <c r="AO462" s="319"/>
      <c r="AP462" s="319"/>
      <c r="AQ462" s="319"/>
      <c r="AR462" s="319"/>
      <c r="AS462" s="319"/>
      <c r="AT462" s="319"/>
      <c r="AU462" s="319"/>
      <c r="AV462" s="319"/>
      <c r="AW462" s="319"/>
      <c r="AX462" s="319"/>
      <c r="AY462" s="319"/>
      <c r="AZ462" s="319"/>
      <c r="BA462" s="319"/>
      <c r="BB462" s="319"/>
      <c r="BC462" s="319"/>
      <c r="BD462" s="319"/>
      <c r="BE462" s="319"/>
      <c r="BF462" s="319"/>
      <c r="BG462" s="319"/>
      <c r="BH462" s="319"/>
      <c r="BI462" s="319"/>
      <c r="BJ462" s="319"/>
      <c r="BK462" s="319"/>
      <c r="BL462" s="319"/>
      <c r="BM462" s="319"/>
      <c r="BN462" s="319"/>
      <c r="BO462" s="319"/>
      <c r="BP462" s="319"/>
      <c r="BQ462" s="319"/>
      <c r="BR462" s="319"/>
      <c r="BS462" s="319"/>
      <c r="BT462" s="319"/>
      <c r="BU462" s="319"/>
      <c r="BV462" s="319"/>
      <c r="BW462" s="319"/>
      <c r="BX462" s="319"/>
      <c r="BY462" s="319"/>
      <c r="BZ462" s="319"/>
      <c r="CA462" s="319"/>
      <c r="CB462" s="319"/>
      <c r="CC462" s="319"/>
      <c r="CD462" s="319"/>
      <c r="CE462" s="319"/>
      <c r="CF462" s="319"/>
      <c r="CG462" s="319"/>
      <c r="CH462" s="319"/>
      <c r="CI462" s="319"/>
      <c r="CJ462" s="319"/>
      <c r="CK462" s="319"/>
    </row>
    <row r="463" spans="1:89" ht="13.5" hidden="1" customHeight="1">
      <c r="A463" s="12"/>
      <c r="B463" s="1"/>
      <c r="C463" s="112">
        <v>0.55000000000000004</v>
      </c>
      <c r="D463" s="332"/>
      <c r="E463" s="118">
        <f>'Modelo Energético'!E417</f>
        <v>0</v>
      </c>
      <c r="F463" s="752">
        <v>0.72248087084615298</v>
      </c>
      <c r="G463" s="118" t="e">
        <f>'Modelo Energético'!G417</f>
        <v>#DIV/0!</v>
      </c>
      <c r="H463" s="119" t="e">
        <f>'Modelo Energético'!H417</f>
        <v>#DIV/0!</v>
      </c>
      <c r="I463" s="118" t="e">
        <f>'Modelo Energético'!I417</f>
        <v>#DIV/0!</v>
      </c>
      <c r="J463" s="1"/>
      <c r="K463" s="9"/>
      <c r="L463" s="1"/>
      <c r="M463" s="319"/>
      <c r="N463" s="319">
        <v>2113025</v>
      </c>
      <c r="O463" s="319"/>
      <c r="P463" s="319"/>
      <c r="Q463" s="319"/>
      <c r="R463" s="319"/>
      <c r="S463" s="319"/>
      <c r="T463" s="319"/>
      <c r="U463" s="319"/>
      <c r="V463" s="319"/>
      <c r="W463" s="319"/>
      <c r="X463" s="319"/>
      <c r="Y463" s="319"/>
      <c r="Z463" s="319"/>
      <c r="AA463" s="319"/>
      <c r="AB463" s="319"/>
      <c r="AC463" s="319"/>
      <c r="AD463" s="319"/>
      <c r="AE463" s="319"/>
      <c r="AF463" s="319"/>
      <c r="AG463" s="319"/>
      <c r="AH463" s="319"/>
      <c r="AI463" s="319"/>
      <c r="AJ463" s="319"/>
      <c r="AK463" s="319"/>
      <c r="AL463" s="319"/>
      <c r="AM463" s="319"/>
      <c r="AN463" s="319"/>
      <c r="AO463" s="319"/>
      <c r="AP463" s="319"/>
      <c r="AQ463" s="319"/>
      <c r="AR463" s="319"/>
      <c r="AS463" s="319"/>
      <c r="AT463" s="319"/>
      <c r="AU463" s="319"/>
      <c r="AV463" s="319"/>
      <c r="AW463" s="319"/>
      <c r="AX463" s="319"/>
      <c r="AY463" s="319"/>
      <c r="AZ463" s="319"/>
      <c r="BA463" s="319"/>
      <c r="BB463" s="319"/>
      <c r="BC463" s="319"/>
      <c r="BD463" s="319"/>
      <c r="BE463" s="319"/>
      <c r="BF463" s="319"/>
      <c r="BG463" s="319"/>
      <c r="BH463" s="319"/>
      <c r="BI463" s="319"/>
      <c r="BJ463" s="319"/>
      <c r="BK463" s="319"/>
      <c r="BL463" s="319"/>
      <c r="BM463" s="319"/>
      <c r="BN463" s="319"/>
      <c r="BO463" s="319"/>
      <c r="BP463" s="319"/>
      <c r="BQ463" s="319"/>
      <c r="BR463" s="319"/>
      <c r="BS463" s="319"/>
      <c r="BT463" s="319"/>
      <c r="BU463" s="319"/>
      <c r="BV463" s="319"/>
      <c r="BW463" s="319"/>
      <c r="BX463" s="319"/>
      <c r="BY463" s="319"/>
      <c r="BZ463" s="319"/>
      <c r="CA463" s="319"/>
      <c r="CB463" s="319"/>
      <c r="CC463" s="319"/>
      <c r="CD463" s="319"/>
      <c r="CE463" s="319"/>
      <c r="CF463" s="319"/>
      <c r="CG463" s="319"/>
      <c r="CH463" s="319"/>
      <c r="CI463" s="319"/>
      <c r="CJ463" s="319"/>
      <c r="CK463" s="319"/>
    </row>
    <row r="464" spans="1:89" ht="13.5" hidden="1" customHeight="1">
      <c r="A464" s="12"/>
      <c r="B464" s="1"/>
      <c r="C464" s="112">
        <v>0.6</v>
      </c>
      <c r="D464" s="332"/>
      <c r="E464" s="118">
        <f>'Modelo Energético'!E418</f>
        <v>0</v>
      </c>
      <c r="F464" s="752">
        <v>0.72999632243425305</v>
      </c>
      <c r="G464" s="118" t="e">
        <f>'Modelo Energético'!G418</f>
        <v>#DIV/0!</v>
      </c>
      <c r="H464" s="119" t="e">
        <f>'Modelo Energético'!H418</f>
        <v>#DIV/0!</v>
      </c>
      <c r="I464" s="118" t="e">
        <f>'Modelo Energético'!I418</f>
        <v>#DIV/0!</v>
      </c>
      <c r="J464" s="1"/>
      <c r="K464" s="9"/>
      <c r="L464" s="1"/>
      <c r="M464" s="319"/>
      <c r="N464" s="319">
        <v>2113025</v>
      </c>
      <c r="O464" s="319"/>
      <c r="P464" s="319"/>
      <c r="Q464" s="319"/>
      <c r="R464" s="319"/>
      <c r="S464" s="319"/>
      <c r="T464" s="319"/>
      <c r="U464" s="319"/>
      <c r="V464" s="319"/>
      <c r="W464" s="319"/>
      <c r="X464" s="319"/>
      <c r="Y464" s="319"/>
      <c r="Z464" s="319"/>
      <c r="AA464" s="319"/>
      <c r="AB464" s="319"/>
      <c r="AC464" s="319"/>
      <c r="AD464" s="319"/>
      <c r="AE464" s="319"/>
      <c r="AF464" s="319"/>
      <c r="AG464" s="319"/>
      <c r="AH464" s="319"/>
      <c r="AI464" s="319"/>
      <c r="AJ464" s="319"/>
      <c r="AK464" s="319"/>
      <c r="AL464" s="319"/>
      <c r="AM464" s="319"/>
      <c r="AN464" s="319"/>
      <c r="AO464" s="319"/>
      <c r="AP464" s="319"/>
      <c r="AQ464" s="319"/>
      <c r="AR464" s="319"/>
      <c r="AS464" s="319"/>
      <c r="AT464" s="319"/>
      <c r="AU464" s="319"/>
      <c r="AV464" s="319"/>
      <c r="AW464" s="319"/>
      <c r="AX464" s="319"/>
      <c r="AY464" s="319"/>
      <c r="AZ464" s="319"/>
      <c r="BA464" s="319"/>
      <c r="BB464" s="319"/>
      <c r="BC464" s="319"/>
      <c r="BD464" s="319"/>
      <c r="BE464" s="319"/>
      <c r="BF464" s="319"/>
      <c r="BG464" s="319"/>
      <c r="BH464" s="319"/>
      <c r="BI464" s="319"/>
      <c r="BJ464" s="319"/>
      <c r="BK464" s="319"/>
      <c r="BL464" s="319"/>
      <c r="BM464" s="319"/>
      <c r="BN464" s="319"/>
      <c r="BO464" s="319"/>
      <c r="BP464" s="319"/>
      <c r="BQ464" s="319"/>
      <c r="BR464" s="319"/>
      <c r="BS464" s="319"/>
      <c r="BT464" s="319"/>
      <c r="BU464" s="319"/>
      <c r="BV464" s="319"/>
      <c r="BW464" s="319"/>
      <c r="BX464" s="319"/>
      <c r="BY464" s="319"/>
      <c r="BZ464" s="319"/>
      <c r="CA464" s="319"/>
      <c r="CB464" s="319"/>
      <c r="CC464" s="319"/>
      <c r="CD464" s="319"/>
      <c r="CE464" s="319"/>
      <c r="CF464" s="319"/>
      <c r="CG464" s="319"/>
      <c r="CH464" s="319"/>
      <c r="CI464" s="319"/>
      <c r="CJ464" s="319"/>
      <c r="CK464" s="319"/>
    </row>
    <row r="465" spans="1:89" ht="13.5" hidden="1" customHeight="1">
      <c r="A465" s="12"/>
      <c r="B465" s="1"/>
      <c r="C465" s="112">
        <v>0.65</v>
      </c>
      <c r="D465" s="332"/>
      <c r="E465" s="118">
        <f>'Modelo Energético'!E419</f>
        <v>0</v>
      </c>
      <c r="F465" s="752">
        <v>0.73749943288231801</v>
      </c>
      <c r="G465" s="118" t="e">
        <f>'Modelo Energético'!G419</f>
        <v>#DIV/0!</v>
      </c>
      <c r="H465" s="119" t="e">
        <f>'Modelo Energético'!H419</f>
        <v>#DIV/0!</v>
      </c>
      <c r="I465" s="118" t="e">
        <f>'Modelo Energético'!I419</f>
        <v>#DIV/0!</v>
      </c>
      <c r="J465" s="1"/>
      <c r="K465" s="9"/>
      <c r="L465" s="1"/>
      <c r="M465" s="319"/>
      <c r="N465" s="319">
        <v>2113025</v>
      </c>
      <c r="O465" s="319"/>
      <c r="P465" s="319"/>
      <c r="Q465" s="319"/>
      <c r="R465" s="319"/>
      <c r="S465" s="319"/>
      <c r="T465" s="319"/>
      <c r="U465" s="319"/>
      <c r="V465" s="319"/>
      <c r="W465" s="319"/>
      <c r="X465" s="319"/>
      <c r="Y465" s="319"/>
      <c r="Z465" s="319"/>
      <c r="AA465" s="319"/>
      <c r="AB465" s="319"/>
      <c r="AC465" s="319"/>
      <c r="AD465" s="319"/>
      <c r="AE465" s="319"/>
      <c r="AF465" s="319"/>
      <c r="AG465" s="319"/>
      <c r="AH465" s="319"/>
      <c r="AI465" s="319"/>
      <c r="AJ465" s="319"/>
      <c r="AK465" s="319"/>
      <c r="AL465" s="319"/>
      <c r="AM465" s="319"/>
      <c r="AN465" s="319"/>
      <c r="AO465" s="319"/>
      <c r="AP465" s="319"/>
      <c r="AQ465" s="319"/>
      <c r="AR465" s="319"/>
      <c r="AS465" s="319"/>
      <c r="AT465" s="319"/>
      <c r="AU465" s="319"/>
      <c r="AV465" s="319"/>
      <c r="AW465" s="319"/>
      <c r="AX465" s="319"/>
      <c r="AY465" s="319"/>
      <c r="AZ465" s="319"/>
      <c r="BA465" s="319"/>
      <c r="BB465" s="319"/>
      <c r="BC465" s="319"/>
      <c r="BD465" s="319"/>
      <c r="BE465" s="319"/>
      <c r="BF465" s="319"/>
      <c r="BG465" s="319"/>
      <c r="BH465" s="319"/>
      <c r="BI465" s="319"/>
      <c r="BJ465" s="319"/>
      <c r="BK465" s="319"/>
      <c r="BL465" s="319"/>
      <c r="BM465" s="319"/>
      <c r="BN465" s="319"/>
      <c r="BO465" s="319"/>
      <c r="BP465" s="319"/>
      <c r="BQ465" s="319"/>
      <c r="BR465" s="319"/>
      <c r="BS465" s="319"/>
      <c r="BT465" s="319"/>
      <c r="BU465" s="319"/>
      <c r="BV465" s="319"/>
      <c r="BW465" s="319"/>
      <c r="BX465" s="319"/>
      <c r="BY465" s="319"/>
      <c r="BZ465" s="319"/>
      <c r="CA465" s="319"/>
      <c r="CB465" s="319"/>
      <c r="CC465" s="319"/>
      <c r="CD465" s="319"/>
      <c r="CE465" s="319"/>
      <c r="CF465" s="319"/>
      <c r="CG465" s="319"/>
      <c r="CH465" s="319"/>
      <c r="CI465" s="319"/>
      <c r="CJ465" s="319"/>
      <c r="CK465" s="319"/>
    </row>
    <row r="466" spans="1:89" ht="13.5" hidden="1" customHeight="1">
      <c r="A466" s="12"/>
      <c r="B466" s="1"/>
      <c r="C466" s="112">
        <v>0.7</v>
      </c>
      <c r="D466" s="332"/>
      <c r="E466" s="118">
        <f>'Modelo Energético'!E420</f>
        <v>0</v>
      </c>
      <c r="F466" s="752">
        <v>0.74499993447332502</v>
      </c>
      <c r="G466" s="118" t="e">
        <f>'Modelo Energético'!G420</f>
        <v>#DIV/0!</v>
      </c>
      <c r="H466" s="119" t="e">
        <f>'Modelo Energético'!H420</f>
        <v>#DIV/0!</v>
      </c>
      <c r="I466" s="118" t="e">
        <f>'Modelo Energético'!I420</f>
        <v>#DIV/0!</v>
      </c>
      <c r="J466" s="1"/>
      <c r="K466" s="9"/>
      <c r="L466" s="1"/>
      <c r="M466" s="319"/>
      <c r="N466" s="319">
        <v>2113025</v>
      </c>
      <c r="O466" s="319"/>
      <c r="P466" s="319"/>
      <c r="Q466" s="319"/>
      <c r="R466" s="319"/>
      <c r="S466" s="319"/>
      <c r="T466" s="319"/>
      <c r="U466" s="319"/>
      <c r="V466" s="319"/>
      <c r="W466" s="319"/>
      <c r="X466" s="319"/>
      <c r="Y466" s="319"/>
      <c r="Z466" s="319"/>
      <c r="AA466" s="319"/>
      <c r="AB466" s="319"/>
      <c r="AC466" s="319"/>
      <c r="AD466" s="319"/>
      <c r="AE466" s="319"/>
      <c r="AF466" s="319"/>
      <c r="AG466" s="319"/>
      <c r="AH466" s="319"/>
      <c r="AI466" s="319"/>
      <c r="AJ466" s="319"/>
      <c r="AK466" s="319"/>
      <c r="AL466" s="319"/>
      <c r="AM466" s="319"/>
      <c r="AN466" s="319"/>
      <c r="AO466" s="319"/>
      <c r="AP466" s="319"/>
      <c r="AQ466" s="319"/>
      <c r="AR466" s="319"/>
      <c r="AS466" s="319"/>
      <c r="AT466" s="319"/>
      <c r="AU466" s="319"/>
      <c r="AV466" s="319"/>
      <c r="AW466" s="319"/>
      <c r="AX466" s="319"/>
      <c r="AY466" s="319"/>
      <c r="AZ466" s="319"/>
      <c r="BA466" s="319"/>
      <c r="BB466" s="319"/>
      <c r="BC466" s="319"/>
      <c r="BD466" s="319"/>
      <c r="BE466" s="319"/>
      <c r="BF466" s="319"/>
      <c r="BG466" s="319"/>
      <c r="BH466" s="319"/>
      <c r="BI466" s="319"/>
      <c r="BJ466" s="319"/>
      <c r="BK466" s="319"/>
      <c r="BL466" s="319"/>
      <c r="BM466" s="319"/>
      <c r="BN466" s="319"/>
      <c r="BO466" s="319"/>
      <c r="BP466" s="319"/>
      <c r="BQ466" s="319"/>
      <c r="BR466" s="319"/>
      <c r="BS466" s="319"/>
      <c r="BT466" s="319"/>
      <c r="BU466" s="319"/>
      <c r="BV466" s="319"/>
      <c r="BW466" s="319"/>
      <c r="BX466" s="319"/>
      <c r="BY466" s="319"/>
      <c r="BZ466" s="319"/>
      <c r="CA466" s="319"/>
      <c r="CB466" s="319"/>
      <c r="CC466" s="319"/>
      <c r="CD466" s="319"/>
      <c r="CE466" s="319"/>
      <c r="CF466" s="319"/>
      <c r="CG466" s="319"/>
      <c r="CH466" s="319"/>
      <c r="CI466" s="319"/>
      <c r="CJ466" s="319"/>
      <c r="CK466" s="319"/>
    </row>
    <row r="467" spans="1:89" ht="13.5" hidden="1" customHeight="1">
      <c r="A467" s="12"/>
      <c r="B467" s="1"/>
      <c r="C467" s="112">
        <v>0.75</v>
      </c>
      <c r="D467" s="332"/>
      <c r="E467" s="118">
        <f>'Modelo Energético'!E421</f>
        <v>0</v>
      </c>
      <c r="F467" s="752">
        <v>0.752499994896352</v>
      </c>
      <c r="G467" s="118" t="e">
        <f>'Modelo Energético'!G421</f>
        <v>#DIV/0!</v>
      </c>
      <c r="H467" s="119" t="e">
        <f>'Modelo Energético'!H421</f>
        <v>#DIV/0!</v>
      </c>
      <c r="I467" s="118" t="e">
        <f>'Modelo Energético'!I421</f>
        <v>#DIV/0!</v>
      </c>
      <c r="J467" s="1"/>
      <c r="K467" s="9"/>
      <c r="L467" s="1"/>
      <c r="M467" s="319"/>
      <c r="N467" s="319">
        <v>2113025</v>
      </c>
      <c r="O467" s="319"/>
      <c r="P467" s="319"/>
      <c r="Q467" s="319"/>
      <c r="R467" s="319"/>
      <c r="S467" s="319"/>
      <c r="T467" s="319"/>
      <c r="U467" s="319"/>
      <c r="V467" s="319"/>
      <c r="W467" s="319"/>
      <c r="X467" s="319"/>
      <c r="Y467" s="319"/>
      <c r="Z467" s="319"/>
      <c r="AA467" s="319"/>
      <c r="AB467" s="319"/>
      <c r="AC467" s="319"/>
      <c r="AD467" s="319"/>
      <c r="AE467" s="319"/>
      <c r="AF467" s="319"/>
      <c r="AG467" s="319"/>
      <c r="AH467" s="319"/>
      <c r="AI467" s="319"/>
      <c r="AJ467" s="319"/>
      <c r="AK467" s="319"/>
      <c r="AL467" s="319"/>
      <c r="AM467" s="319"/>
      <c r="AN467" s="319"/>
      <c r="AO467" s="319"/>
      <c r="AP467" s="319"/>
      <c r="AQ467" s="319"/>
      <c r="AR467" s="319"/>
      <c r="AS467" s="319"/>
      <c r="AT467" s="319"/>
      <c r="AU467" s="319"/>
      <c r="AV467" s="319"/>
      <c r="AW467" s="319"/>
      <c r="AX467" s="319"/>
      <c r="AY467" s="319"/>
      <c r="AZ467" s="319"/>
      <c r="BA467" s="319"/>
      <c r="BB467" s="319"/>
      <c r="BC467" s="319"/>
      <c r="BD467" s="319"/>
      <c r="BE467" s="319"/>
      <c r="BF467" s="319"/>
      <c r="BG467" s="319"/>
      <c r="BH467" s="319"/>
      <c r="BI467" s="319"/>
      <c r="BJ467" s="319"/>
      <c r="BK467" s="319"/>
      <c r="BL467" s="319"/>
      <c r="BM467" s="319"/>
      <c r="BN467" s="319"/>
      <c r="BO467" s="319"/>
      <c r="BP467" s="319"/>
      <c r="BQ467" s="319"/>
      <c r="BR467" s="319"/>
      <c r="BS467" s="319"/>
      <c r="BT467" s="319"/>
      <c r="BU467" s="319"/>
      <c r="BV467" s="319"/>
      <c r="BW467" s="319"/>
      <c r="BX467" s="319"/>
      <c r="BY467" s="319"/>
      <c r="BZ467" s="319"/>
      <c r="CA467" s="319"/>
      <c r="CB467" s="319"/>
      <c r="CC467" s="319"/>
      <c r="CD467" s="319"/>
      <c r="CE467" s="319"/>
      <c r="CF467" s="319"/>
      <c r="CG467" s="319"/>
      <c r="CH467" s="319"/>
      <c r="CI467" s="319"/>
      <c r="CJ467" s="319"/>
      <c r="CK467" s="319"/>
    </row>
    <row r="468" spans="1:89" ht="13.5" hidden="1" customHeight="1">
      <c r="A468" s="12"/>
      <c r="B468" s="1"/>
      <c r="C468" s="112">
        <v>0.8</v>
      </c>
      <c r="D468" s="332"/>
      <c r="E468" s="118">
        <f>'Modelo Energético'!E422</f>
        <v>0</v>
      </c>
      <c r="F468" s="752">
        <v>0.759999999775539</v>
      </c>
      <c r="G468" s="118" t="e">
        <f>'Modelo Energético'!G422</f>
        <v>#DIV/0!</v>
      </c>
      <c r="H468" s="119" t="e">
        <f>'Modelo Energético'!H422</f>
        <v>#DIV/0!</v>
      </c>
      <c r="I468" s="118" t="e">
        <f>'Modelo Energético'!I422</f>
        <v>#DIV/0!</v>
      </c>
      <c r="J468" s="1"/>
      <c r="K468" s="9"/>
      <c r="L468" s="1"/>
      <c r="M468" s="319"/>
      <c r="N468" s="319">
        <v>2113025</v>
      </c>
      <c r="O468" s="319"/>
      <c r="P468" s="319"/>
      <c r="Q468" s="319"/>
      <c r="R468" s="319"/>
      <c r="S468" s="319"/>
      <c r="T468" s="319"/>
      <c r="U468" s="319"/>
      <c r="V468" s="319"/>
      <c r="W468" s="319"/>
      <c r="X468" s="319"/>
      <c r="Y468" s="319"/>
      <c r="Z468" s="319"/>
      <c r="AA468" s="319"/>
      <c r="AB468" s="319"/>
      <c r="AC468" s="319"/>
      <c r="AD468" s="319"/>
      <c r="AE468" s="319"/>
      <c r="AF468" s="319"/>
      <c r="AG468" s="319"/>
      <c r="AH468" s="319"/>
      <c r="AI468" s="319"/>
      <c r="AJ468" s="319"/>
      <c r="AK468" s="319"/>
      <c r="AL468" s="319"/>
      <c r="AM468" s="319"/>
      <c r="AN468" s="319"/>
      <c r="AO468" s="319"/>
      <c r="AP468" s="319"/>
      <c r="AQ468" s="319"/>
      <c r="AR468" s="319"/>
      <c r="AS468" s="319"/>
      <c r="AT468" s="319"/>
      <c r="AU468" s="319"/>
      <c r="AV468" s="319"/>
      <c r="AW468" s="319"/>
      <c r="AX468" s="319"/>
      <c r="AY468" s="319"/>
      <c r="AZ468" s="319"/>
      <c r="BA468" s="319"/>
      <c r="BB468" s="319"/>
      <c r="BC468" s="319"/>
      <c r="BD468" s="319"/>
      <c r="BE468" s="319"/>
      <c r="BF468" s="319"/>
      <c r="BG468" s="319"/>
      <c r="BH468" s="319"/>
      <c r="BI468" s="319"/>
      <c r="BJ468" s="319"/>
      <c r="BK468" s="319"/>
      <c r="BL468" s="319"/>
      <c r="BM468" s="319"/>
      <c r="BN468" s="319"/>
      <c r="BO468" s="319"/>
      <c r="BP468" s="319"/>
      <c r="BQ468" s="319"/>
      <c r="BR468" s="319"/>
      <c r="BS468" s="319"/>
      <c r="BT468" s="319"/>
      <c r="BU468" s="319"/>
      <c r="BV468" s="319"/>
      <c r="BW468" s="319"/>
      <c r="BX468" s="319"/>
      <c r="BY468" s="319"/>
      <c r="BZ468" s="319"/>
      <c r="CA468" s="319"/>
      <c r="CB468" s="319"/>
      <c r="CC468" s="319"/>
      <c r="CD468" s="319"/>
      <c r="CE468" s="319"/>
      <c r="CF468" s="319"/>
      <c r="CG468" s="319"/>
      <c r="CH468" s="319"/>
      <c r="CI468" s="319"/>
      <c r="CJ468" s="319"/>
      <c r="CK468" s="319"/>
    </row>
    <row r="469" spans="1:89" ht="13.5" hidden="1" customHeight="1">
      <c r="A469" s="12"/>
      <c r="B469" s="1"/>
      <c r="C469" s="112">
        <v>0.85</v>
      </c>
      <c r="D469" s="332"/>
      <c r="E469" s="118">
        <f>'Modelo Energético'!E423</f>
        <v>0</v>
      </c>
      <c r="F469" s="752">
        <v>0.76749999999600105</v>
      </c>
      <c r="G469" s="118" t="e">
        <f>'Modelo Energético'!G423</f>
        <v>#DIV/0!</v>
      </c>
      <c r="H469" s="119" t="e">
        <f>'Modelo Energético'!H423</f>
        <v>#DIV/0!</v>
      </c>
      <c r="I469" s="118" t="e">
        <f>'Modelo Energético'!I423</f>
        <v>#DIV/0!</v>
      </c>
      <c r="J469" s="1"/>
      <c r="K469" s="9"/>
      <c r="L469" s="1"/>
      <c r="M469" s="319"/>
      <c r="N469" s="319">
        <v>2113025</v>
      </c>
      <c r="O469" s="319"/>
      <c r="P469" s="319"/>
      <c r="Q469" s="319"/>
      <c r="R469" s="319"/>
      <c r="S469" s="319"/>
      <c r="T469" s="319"/>
      <c r="U469" s="319"/>
      <c r="V469" s="319"/>
      <c r="W469" s="319"/>
      <c r="X469" s="319"/>
      <c r="Y469" s="319"/>
      <c r="Z469" s="319"/>
      <c r="AA469" s="319"/>
      <c r="AB469" s="319"/>
      <c r="AC469" s="319"/>
      <c r="AD469" s="319"/>
      <c r="AE469" s="319"/>
      <c r="AF469" s="319"/>
      <c r="AG469" s="319"/>
      <c r="AH469" s="319"/>
      <c r="AI469" s="319"/>
      <c r="AJ469" s="319"/>
      <c r="AK469" s="319"/>
      <c r="AL469" s="319"/>
      <c r="AM469" s="319"/>
      <c r="AN469" s="319"/>
      <c r="AO469" s="319"/>
      <c r="AP469" s="319"/>
      <c r="AQ469" s="319"/>
      <c r="AR469" s="319"/>
      <c r="AS469" s="319"/>
      <c r="AT469" s="319"/>
      <c r="AU469" s="319"/>
      <c r="AV469" s="319"/>
      <c r="AW469" s="319"/>
      <c r="AX469" s="319"/>
      <c r="AY469" s="319"/>
      <c r="AZ469" s="319"/>
      <c r="BA469" s="319"/>
      <c r="BB469" s="319"/>
      <c r="BC469" s="319"/>
      <c r="BD469" s="319"/>
      <c r="BE469" s="319"/>
      <c r="BF469" s="319"/>
      <c r="BG469" s="319"/>
      <c r="BH469" s="319"/>
      <c r="BI469" s="319"/>
      <c r="BJ469" s="319"/>
      <c r="BK469" s="319"/>
      <c r="BL469" s="319"/>
      <c r="BM469" s="319"/>
      <c r="BN469" s="319"/>
      <c r="BO469" s="319"/>
      <c r="BP469" s="319"/>
      <c r="BQ469" s="319"/>
      <c r="BR469" s="319"/>
      <c r="BS469" s="319"/>
      <c r="BT469" s="319"/>
      <c r="BU469" s="319"/>
      <c r="BV469" s="319"/>
      <c r="BW469" s="319"/>
      <c r="BX469" s="319"/>
      <c r="BY469" s="319"/>
      <c r="BZ469" s="319"/>
      <c r="CA469" s="319"/>
      <c r="CB469" s="319"/>
      <c r="CC469" s="319"/>
      <c r="CD469" s="319"/>
      <c r="CE469" s="319"/>
      <c r="CF469" s="319"/>
      <c r="CG469" s="319"/>
      <c r="CH469" s="319"/>
      <c r="CI469" s="319"/>
      <c r="CJ469" s="319"/>
      <c r="CK469" s="319"/>
    </row>
    <row r="470" spans="1:89" ht="13.5" hidden="1" customHeight="1">
      <c r="A470" s="12"/>
      <c r="B470" s="1"/>
      <c r="C470" s="112">
        <v>0.9</v>
      </c>
      <c r="D470" s="332"/>
      <c r="E470" s="118">
        <f>'Modelo Energético'!E424</f>
        <v>0</v>
      </c>
      <c r="F470" s="752">
        <v>0.77499999999998603</v>
      </c>
      <c r="G470" s="118" t="e">
        <f>'Modelo Energético'!G424</f>
        <v>#DIV/0!</v>
      </c>
      <c r="H470" s="119" t="e">
        <f>'Modelo Energético'!H424</f>
        <v>#DIV/0!</v>
      </c>
      <c r="I470" s="118" t="e">
        <f>'Modelo Energético'!I424</f>
        <v>#DIV/0!</v>
      </c>
      <c r="J470" s="1"/>
      <c r="K470" s="9"/>
      <c r="L470" s="1"/>
      <c r="M470" s="319"/>
      <c r="N470" s="319">
        <v>2113025</v>
      </c>
      <c r="O470" s="319"/>
      <c r="P470" s="319"/>
      <c r="Q470" s="319"/>
      <c r="R470" s="319"/>
      <c r="S470" s="319"/>
      <c r="T470" s="319"/>
      <c r="U470" s="319"/>
      <c r="V470" s="319"/>
      <c r="W470" s="319"/>
      <c r="X470" s="319"/>
      <c r="Y470" s="319"/>
      <c r="Z470" s="319"/>
      <c r="AA470" s="319"/>
      <c r="AB470" s="319"/>
      <c r="AC470" s="319"/>
      <c r="AD470" s="319"/>
      <c r="AE470" s="319"/>
      <c r="AF470" s="319"/>
      <c r="AG470" s="319"/>
      <c r="AH470" s="319"/>
      <c r="AI470" s="319"/>
      <c r="AJ470" s="319"/>
      <c r="AK470" s="319"/>
      <c r="AL470" s="319"/>
      <c r="AM470" s="319"/>
      <c r="AN470" s="319"/>
      <c r="AO470" s="319"/>
      <c r="AP470" s="319"/>
      <c r="AQ470" s="319"/>
      <c r="AR470" s="319"/>
      <c r="AS470" s="319"/>
      <c r="AT470" s="319"/>
      <c r="AU470" s="319"/>
      <c r="AV470" s="319"/>
      <c r="AW470" s="319"/>
      <c r="AX470" s="319"/>
      <c r="AY470" s="319"/>
      <c r="AZ470" s="319"/>
      <c r="BA470" s="319"/>
      <c r="BB470" s="319"/>
      <c r="BC470" s="319"/>
      <c r="BD470" s="319"/>
      <c r="BE470" s="319"/>
      <c r="BF470" s="319"/>
      <c r="BG470" s="319"/>
      <c r="BH470" s="319"/>
      <c r="BI470" s="319"/>
      <c r="BJ470" s="319"/>
      <c r="BK470" s="319"/>
      <c r="BL470" s="319"/>
      <c r="BM470" s="319"/>
      <c r="BN470" s="319"/>
      <c r="BO470" s="319"/>
      <c r="BP470" s="319"/>
      <c r="BQ470" s="319"/>
      <c r="BR470" s="319"/>
      <c r="BS470" s="319"/>
      <c r="BT470" s="319"/>
      <c r="BU470" s="319"/>
      <c r="BV470" s="319"/>
      <c r="BW470" s="319"/>
      <c r="BX470" s="319"/>
      <c r="BY470" s="319"/>
      <c r="BZ470" s="319"/>
      <c r="CA470" s="319"/>
      <c r="CB470" s="319"/>
      <c r="CC470" s="319"/>
      <c r="CD470" s="319"/>
      <c r="CE470" s="319"/>
      <c r="CF470" s="319"/>
      <c r="CG470" s="319"/>
      <c r="CH470" s="319"/>
      <c r="CI470" s="319"/>
      <c r="CJ470" s="319"/>
      <c r="CK470" s="319"/>
    </row>
    <row r="471" spans="1:89" ht="13.5" hidden="1" customHeight="1">
      <c r="A471" s="12"/>
      <c r="B471" s="1"/>
      <c r="C471" s="112">
        <v>0.95</v>
      </c>
      <c r="D471" s="332"/>
      <c r="E471" s="118">
        <f>'Modelo Energético'!E425</f>
        <v>0</v>
      </c>
      <c r="F471" s="752">
        <v>0.78249999999999997</v>
      </c>
      <c r="G471" s="118" t="e">
        <f>'Modelo Energético'!G425</f>
        <v>#DIV/0!</v>
      </c>
      <c r="H471" s="119" t="e">
        <f>'Modelo Energético'!H425</f>
        <v>#DIV/0!</v>
      </c>
      <c r="I471" s="118" t="e">
        <f>'Modelo Energético'!I425</f>
        <v>#DIV/0!</v>
      </c>
      <c r="J471" s="1"/>
      <c r="K471" s="9"/>
      <c r="L471" s="1"/>
      <c r="M471" s="319"/>
      <c r="N471" s="319">
        <v>2113025</v>
      </c>
      <c r="O471" s="319"/>
      <c r="P471" s="319"/>
      <c r="Q471" s="319"/>
      <c r="R471" s="319"/>
      <c r="S471" s="319"/>
      <c r="T471" s="319"/>
      <c r="U471" s="319"/>
      <c r="V471" s="319"/>
      <c r="W471" s="319"/>
      <c r="X471" s="319"/>
      <c r="Y471" s="319"/>
      <c r="Z471" s="319"/>
      <c r="AA471" s="319"/>
      <c r="AB471" s="319"/>
      <c r="AC471" s="319"/>
      <c r="AD471" s="319"/>
      <c r="AE471" s="319"/>
      <c r="AF471" s="319"/>
      <c r="AG471" s="319"/>
      <c r="AH471" s="319"/>
      <c r="AI471" s="319"/>
      <c r="AJ471" s="319"/>
      <c r="AK471" s="319"/>
      <c r="AL471" s="319"/>
      <c r="AM471" s="319"/>
      <c r="AN471" s="319"/>
      <c r="AO471" s="319"/>
      <c r="AP471" s="319"/>
      <c r="AQ471" s="319"/>
      <c r="AR471" s="319"/>
      <c r="AS471" s="319"/>
      <c r="AT471" s="319"/>
      <c r="AU471" s="319"/>
      <c r="AV471" s="319"/>
      <c r="AW471" s="319"/>
      <c r="AX471" s="319"/>
      <c r="AY471" s="319"/>
      <c r="AZ471" s="319"/>
      <c r="BA471" s="319"/>
      <c r="BB471" s="319"/>
      <c r="BC471" s="319"/>
      <c r="BD471" s="319"/>
      <c r="BE471" s="319"/>
      <c r="BF471" s="319"/>
      <c r="BG471" s="319"/>
      <c r="BH471" s="319"/>
      <c r="BI471" s="319"/>
      <c r="BJ471" s="319"/>
      <c r="BK471" s="319"/>
      <c r="BL471" s="319"/>
      <c r="BM471" s="319"/>
      <c r="BN471" s="319"/>
      <c r="BO471" s="319"/>
      <c r="BP471" s="319"/>
      <c r="BQ471" s="319"/>
      <c r="BR471" s="319"/>
      <c r="BS471" s="319"/>
      <c r="BT471" s="319"/>
      <c r="BU471" s="319"/>
      <c r="BV471" s="319"/>
      <c r="BW471" s="319"/>
      <c r="BX471" s="319"/>
      <c r="BY471" s="319"/>
      <c r="BZ471" s="319"/>
      <c r="CA471" s="319"/>
      <c r="CB471" s="319"/>
      <c r="CC471" s="319"/>
      <c r="CD471" s="319"/>
      <c r="CE471" s="319"/>
      <c r="CF471" s="319"/>
      <c r="CG471" s="319"/>
      <c r="CH471" s="319"/>
      <c r="CI471" s="319"/>
      <c r="CJ471" s="319"/>
      <c r="CK471" s="319"/>
    </row>
    <row r="472" spans="1:89" ht="13.5" hidden="1" customHeight="1">
      <c r="A472" s="12"/>
      <c r="B472" s="1"/>
      <c r="C472" s="114">
        <v>1</v>
      </c>
      <c r="D472" s="332"/>
      <c r="E472" s="120">
        <f>'Modelo Energético'!E426</f>
        <v>0</v>
      </c>
      <c r="F472" s="760">
        <v>0.79</v>
      </c>
      <c r="G472" s="120" t="e">
        <f>'Modelo Energético'!G426</f>
        <v>#DIV/0!</v>
      </c>
      <c r="H472" s="121" t="e">
        <f>'Modelo Energético'!H426</f>
        <v>#DIV/0!</v>
      </c>
      <c r="I472" s="120" t="e">
        <f>'Modelo Energético'!I426</f>
        <v>#DIV/0!</v>
      </c>
      <c r="J472" s="1"/>
      <c r="K472" s="9"/>
      <c r="L472" s="1"/>
      <c r="M472" s="319"/>
      <c r="N472" s="319">
        <v>2113025</v>
      </c>
      <c r="O472" s="319"/>
      <c r="P472" s="319"/>
      <c r="Q472" s="319"/>
      <c r="R472" s="319"/>
      <c r="S472" s="319"/>
      <c r="T472" s="319"/>
      <c r="U472" s="319"/>
      <c r="V472" s="319"/>
      <c r="W472" s="319"/>
      <c r="X472" s="319"/>
      <c r="Y472" s="319"/>
      <c r="Z472" s="319"/>
      <c r="AA472" s="319"/>
      <c r="AB472" s="319"/>
      <c r="AC472" s="319"/>
      <c r="AD472" s="319"/>
      <c r="AE472" s="319"/>
      <c r="AF472" s="319"/>
      <c r="AG472" s="319"/>
      <c r="AH472" s="319"/>
      <c r="AI472" s="319"/>
      <c r="AJ472" s="319"/>
      <c r="AK472" s="319"/>
      <c r="AL472" s="319"/>
      <c r="AM472" s="319"/>
      <c r="AN472" s="319"/>
      <c r="AO472" s="319"/>
      <c r="AP472" s="319"/>
      <c r="AQ472" s="319"/>
      <c r="AR472" s="319"/>
      <c r="AS472" s="319"/>
      <c r="AT472" s="319"/>
      <c r="AU472" s="319"/>
      <c r="AV472" s="319"/>
      <c r="AW472" s="319"/>
      <c r="AX472" s="319"/>
      <c r="AY472" s="319"/>
      <c r="AZ472" s="319"/>
      <c r="BA472" s="319"/>
      <c r="BB472" s="319"/>
      <c r="BC472" s="319"/>
      <c r="BD472" s="319"/>
      <c r="BE472" s="319"/>
      <c r="BF472" s="319"/>
      <c r="BG472" s="319"/>
      <c r="BH472" s="319"/>
      <c r="BI472" s="319"/>
      <c r="BJ472" s="319"/>
      <c r="BK472" s="319"/>
      <c r="BL472" s="319"/>
      <c r="BM472" s="319"/>
      <c r="BN472" s="319"/>
      <c r="BO472" s="319"/>
      <c r="BP472" s="319"/>
      <c r="BQ472" s="319"/>
      <c r="BR472" s="319"/>
      <c r="BS472" s="319"/>
      <c r="BT472" s="319"/>
      <c r="BU472" s="319"/>
      <c r="BV472" s="319"/>
      <c r="BW472" s="319"/>
      <c r="BX472" s="319"/>
      <c r="BY472" s="319"/>
      <c r="BZ472" s="319"/>
      <c r="CA472" s="319"/>
      <c r="CB472" s="319"/>
      <c r="CC472" s="319"/>
      <c r="CD472" s="319"/>
      <c r="CE472" s="319"/>
      <c r="CF472" s="319"/>
      <c r="CG472" s="319"/>
      <c r="CH472" s="319"/>
      <c r="CI472" s="319"/>
      <c r="CJ472" s="319"/>
      <c r="CK472" s="319"/>
    </row>
    <row r="473" spans="1:89" ht="13.5" hidden="1" customHeight="1">
      <c r="A473" s="12"/>
      <c r="B473" s="1"/>
      <c r="C473" s="1"/>
      <c r="D473" s="1"/>
      <c r="E473" s="1"/>
      <c r="F473" s="8"/>
      <c r="G473" s="1"/>
      <c r="H473" s="1"/>
      <c r="I473" s="1"/>
      <c r="J473" s="1"/>
      <c r="K473" s="9"/>
      <c r="L473" s="1"/>
      <c r="M473" s="319"/>
      <c r="N473" s="319">
        <v>2113025</v>
      </c>
      <c r="O473" s="319"/>
      <c r="P473" s="319"/>
      <c r="Q473" s="319"/>
      <c r="R473" s="319"/>
      <c r="S473" s="319"/>
      <c r="T473" s="319"/>
      <c r="U473" s="319"/>
      <c r="V473" s="476"/>
      <c r="W473" s="319"/>
      <c r="X473" s="319"/>
      <c r="Y473" s="319"/>
      <c r="Z473" s="319"/>
      <c r="AA473" s="319"/>
      <c r="AB473" s="319"/>
      <c r="AC473" s="319"/>
      <c r="AD473" s="319"/>
      <c r="AE473" s="319"/>
      <c r="AF473" s="319"/>
      <c r="AG473" s="319"/>
      <c r="AH473" s="319"/>
      <c r="AI473" s="319"/>
      <c r="AJ473" s="319"/>
      <c r="AK473" s="319"/>
      <c r="AL473" s="319"/>
      <c r="AM473" s="319"/>
      <c r="AN473" s="319"/>
      <c r="AO473" s="319"/>
      <c r="AP473" s="319"/>
      <c r="AQ473" s="319"/>
      <c r="AR473" s="319"/>
      <c r="AS473" s="319"/>
      <c r="AT473" s="319"/>
      <c r="AU473" s="319"/>
      <c r="AV473" s="319"/>
      <c r="AW473" s="319"/>
      <c r="AX473" s="319"/>
      <c r="AY473" s="319"/>
      <c r="AZ473" s="319"/>
      <c r="BA473" s="319"/>
      <c r="BB473" s="319"/>
      <c r="BC473" s="319"/>
      <c r="BD473" s="319"/>
      <c r="BE473" s="319"/>
      <c r="BF473" s="319"/>
      <c r="BG473" s="319"/>
      <c r="BH473" s="319"/>
      <c r="BI473" s="319"/>
      <c r="BJ473" s="319"/>
      <c r="BK473" s="319"/>
      <c r="BL473" s="319"/>
      <c r="BM473" s="319"/>
      <c r="BN473" s="319"/>
      <c r="BO473" s="319"/>
      <c r="BP473" s="319"/>
      <c r="BQ473" s="319"/>
      <c r="BR473" s="319"/>
      <c r="BS473" s="319"/>
      <c r="BT473" s="319"/>
      <c r="BU473" s="319"/>
      <c r="BV473" s="319"/>
      <c r="BW473" s="319"/>
      <c r="BX473" s="319"/>
      <c r="BY473" s="319"/>
      <c r="BZ473" s="319"/>
      <c r="CA473" s="319"/>
      <c r="CB473" s="319"/>
      <c r="CC473" s="319"/>
      <c r="CD473" s="319"/>
      <c r="CE473" s="319"/>
      <c r="CF473" s="319"/>
      <c r="CG473" s="319"/>
      <c r="CH473" s="319"/>
      <c r="CI473" s="319"/>
      <c r="CJ473" s="319"/>
      <c r="CK473" s="319"/>
    </row>
    <row r="474" spans="1:89" ht="13.5" hidden="1" customHeight="1">
      <c r="A474" s="1009" t="s">
        <v>4189</v>
      </c>
      <c r="B474" s="134" t="str">
        <f>Language!C1491</f>
        <v>Fator de ajuste do fluxo disponível</v>
      </c>
      <c r="C474" s="1"/>
      <c r="D474" s="45"/>
      <c r="E474" s="1"/>
      <c r="F474" s="1"/>
      <c r="G474" s="1"/>
      <c r="H474" s="1"/>
      <c r="I474" s="1"/>
      <c r="J474" s="1"/>
      <c r="K474" s="9"/>
      <c r="L474" s="1"/>
      <c r="M474" s="319"/>
      <c r="N474" s="319">
        <v>5050030</v>
      </c>
      <c r="O474" s="319"/>
      <c r="P474" s="319"/>
      <c r="Q474" s="3" t="b">
        <v>0</v>
      </c>
      <c r="R474" s="3" t="b">
        <v>0</v>
      </c>
      <c r="S474" s="319"/>
      <c r="T474" s="319"/>
      <c r="U474" s="319"/>
      <c r="V474" s="477"/>
      <c r="W474" s="319"/>
      <c r="X474" s="494" t="e">
        <f>'Modelo Energético'!AF403</f>
        <v>#DIV/0!</v>
      </c>
      <c r="Y474" s="319" t="s">
        <v>2056</v>
      </c>
      <c r="Z474" s="319" t="s">
        <v>2488</v>
      </c>
      <c r="AA474" s="319" t="s">
        <v>921</v>
      </c>
      <c r="AB474" s="319" t="s">
        <v>5726</v>
      </c>
      <c r="AC474" s="319"/>
      <c r="AD474" s="319"/>
      <c r="AE474" s="319"/>
      <c r="AF474" s="319"/>
      <c r="AG474" s="319"/>
      <c r="AH474" s="319"/>
      <c r="AI474" s="319"/>
      <c r="AJ474" s="319"/>
      <c r="AK474" s="319"/>
      <c r="AL474" s="319"/>
      <c r="AM474" s="319"/>
      <c r="AN474" s="319"/>
      <c r="AO474" s="319"/>
      <c r="AP474" s="319"/>
      <c r="AQ474" s="319"/>
      <c r="AR474" s="319"/>
      <c r="AS474" s="319"/>
      <c r="AT474" s="319"/>
      <c r="AU474" s="319"/>
      <c r="AV474" s="319"/>
      <c r="AW474" s="319"/>
      <c r="AX474" s="319"/>
      <c r="AY474" s="319"/>
      <c r="AZ474" s="319"/>
      <c r="BA474" s="319"/>
      <c r="BB474" s="319"/>
      <c r="BC474" s="319"/>
      <c r="BD474" s="319"/>
      <c r="BE474" s="319"/>
      <c r="BF474" s="319"/>
      <c r="BG474" s="319"/>
      <c r="BH474" s="319"/>
      <c r="BI474" s="319"/>
      <c r="BJ474" s="319"/>
      <c r="BK474" s="319"/>
      <c r="BL474" s="319"/>
      <c r="BM474" s="319"/>
      <c r="BN474" s="319"/>
      <c r="BO474" s="319"/>
      <c r="BP474" s="319"/>
      <c r="BQ474" s="319"/>
      <c r="BR474" s="319"/>
      <c r="BS474" s="319"/>
      <c r="BT474" s="319"/>
      <c r="BU474" s="319"/>
      <c r="BV474" s="319"/>
      <c r="BW474" s="319"/>
      <c r="BX474" s="319"/>
      <c r="BY474" s="319"/>
      <c r="BZ474" s="319"/>
      <c r="CA474" s="319"/>
      <c r="CB474" s="319"/>
      <c r="CC474" s="319"/>
      <c r="CD474" s="319"/>
      <c r="CE474" s="319"/>
      <c r="CF474" s="319"/>
      <c r="CG474" s="319"/>
      <c r="CH474" s="319"/>
      <c r="CI474" s="319"/>
      <c r="CJ474" s="319"/>
      <c r="CK474" s="319"/>
    </row>
    <row r="475" spans="1:89" ht="13.2" hidden="1">
      <c r="A475" s="12"/>
      <c r="B475" s="1"/>
      <c r="C475" s="333" t="str">
        <f t="shared" ref="C475:C487" si="44">C740</f>
        <v>Mês</v>
      </c>
      <c r="D475" s="82"/>
      <c r="E475" s="1"/>
      <c r="F475" s="1"/>
      <c r="G475" s="1"/>
      <c r="H475" s="1"/>
      <c r="I475" s="1"/>
      <c r="J475" s="1"/>
      <c r="K475" s="9"/>
      <c r="L475" s="1"/>
      <c r="M475" s="319"/>
      <c r="N475" s="319">
        <v>5050030</v>
      </c>
      <c r="O475" s="319"/>
      <c r="P475" s="319" t="s">
        <v>4569</v>
      </c>
      <c r="Q475" s="319" t="s">
        <v>2375</v>
      </c>
      <c r="R475" s="319"/>
      <c r="S475" s="319"/>
      <c r="T475" s="319"/>
      <c r="U475" s="319"/>
      <c r="V475" s="319"/>
      <c r="W475" s="319"/>
      <c r="X475" s="319" t="s">
        <v>1296</v>
      </c>
      <c r="Y475" s="494"/>
      <c r="Z475" s="494"/>
      <c r="AA475" s="494"/>
      <c r="AB475" s="494"/>
      <c r="AC475" s="319"/>
      <c r="AD475" s="319"/>
      <c r="AE475" s="319"/>
      <c r="AF475" s="319"/>
      <c r="AG475" s="319"/>
      <c r="AH475" s="319"/>
      <c r="AI475" s="319"/>
      <c r="AJ475" s="319"/>
      <c r="AK475" s="319"/>
      <c r="AL475" s="319"/>
      <c r="AM475" s="319"/>
      <c r="AN475" s="319"/>
      <c r="AO475" s="319"/>
      <c r="AP475" s="319"/>
      <c r="AQ475" s="319"/>
      <c r="AR475" s="319"/>
      <c r="AS475" s="319"/>
      <c r="AT475" s="319"/>
      <c r="AU475" s="319"/>
      <c r="AV475" s="319"/>
      <c r="AW475" s="319"/>
      <c r="AX475" s="319"/>
      <c r="AY475" s="319"/>
      <c r="AZ475" s="319"/>
      <c r="BA475" s="319"/>
      <c r="BB475" s="319"/>
      <c r="BC475" s="319"/>
      <c r="BD475" s="319"/>
      <c r="BE475" s="319"/>
      <c r="BF475" s="319"/>
      <c r="BG475" s="319"/>
      <c r="BH475" s="319"/>
      <c r="BI475" s="319"/>
      <c r="BJ475" s="319"/>
      <c r="BK475" s="319"/>
      <c r="BL475" s="319"/>
      <c r="BM475" s="319"/>
      <c r="BN475" s="319"/>
      <c r="BO475" s="319"/>
      <c r="BP475" s="319"/>
      <c r="BQ475" s="319"/>
      <c r="BR475" s="319"/>
      <c r="BS475" s="319"/>
      <c r="BT475" s="319"/>
      <c r="BU475" s="319"/>
      <c r="BV475" s="319"/>
      <c r="BW475" s="319"/>
      <c r="BX475" s="319"/>
      <c r="BY475" s="319"/>
      <c r="BZ475" s="319"/>
      <c r="CA475" s="319"/>
      <c r="CB475" s="319"/>
      <c r="CC475" s="319"/>
      <c r="CD475" s="319"/>
      <c r="CE475" s="319"/>
      <c r="CF475" s="319"/>
      <c r="CG475" s="319"/>
      <c r="CH475" s="319"/>
      <c r="CI475" s="319"/>
      <c r="CJ475" s="319"/>
      <c r="CK475" s="319"/>
    </row>
    <row r="476" spans="1:89" ht="13.5" hidden="1" customHeight="1">
      <c r="A476" s="12"/>
      <c r="B476" s="1"/>
      <c r="C476" s="83" t="str">
        <f t="shared" si="44"/>
        <v>Janeiro</v>
      </c>
      <c r="D476" s="367"/>
      <c r="E476" s="1"/>
      <c r="F476" s="1"/>
      <c r="G476" s="1"/>
      <c r="H476" s="1"/>
      <c r="I476" s="1"/>
      <c r="J476" s="1"/>
      <c r="K476" s="9"/>
      <c r="L476" s="1"/>
      <c r="M476" s="319"/>
      <c r="N476" s="319">
        <v>5050030</v>
      </c>
      <c r="O476" s="319"/>
      <c r="P476" s="319">
        <v>31</v>
      </c>
      <c r="Q476" s="587">
        <f>IF($Q$474=TRUE,D476,1)*$Q$497</f>
        <v>1</v>
      </c>
      <c r="R476" s="477"/>
      <c r="S476" s="477"/>
      <c r="T476" s="476"/>
      <c r="U476" s="319"/>
      <c r="V476" s="476"/>
      <c r="W476" s="494"/>
      <c r="X476" s="494" t="e">
        <f>$X$474*P476/365*$Q$476/$Q$497</f>
        <v>#DIV/0!</v>
      </c>
      <c r="Y476" s="476" t="e">
        <f t="shared" ref="Y476:Y487" si="45">MIN(X476,$AH$210*R230*Q230/24/1000)</f>
        <v>#DIV/0!</v>
      </c>
      <c r="Z476" s="494"/>
      <c r="AA476" s="494"/>
      <c r="AB476" s="494"/>
      <c r="AC476" s="319"/>
      <c r="AD476" s="319"/>
      <c r="AE476" s="319"/>
      <c r="AF476" s="319"/>
      <c r="AG476" s="319"/>
      <c r="AH476" s="319"/>
      <c r="AI476" s="319"/>
      <c r="AJ476" s="319"/>
      <c r="AK476" s="319"/>
      <c r="AL476" s="319"/>
      <c r="AM476" s="319"/>
      <c r="AN476" s="319"/>
      <c r="AO476" s="319"/>
      <c r="AP476" s="319"/>
      <c r="AQ476" s="319"/>
      <c r="AR476" s="319"/>
      <c r="AS476" s="319"/>
      <c r="AT476" s="319"/>
      <c r="AU476" s="319"/>
      <c r="AV476" s="319"/>
      <c r="AW476" s="319"/>
      <c r="AX476" s="319"/>
      <c r="AY476" s="319"/>
      <c r="AZ476" s="319"/>
      <c r="BA476" s="319"/>
      <c r="BB476" s="319"/>
      <c r="BC476" s="319"/>
      <c r="BD476" s="319"/>
      <c r="BE476" s="319"/>
      <c r="BF476" s="319"/>
      <c r="BG476" s="319"/>
      <c r="BH476" s="319"/>
      <c r="BI476" s="319"/>
      <c r="BJ476" s="319"/>
      <c r="BK476" s="319"/>
      <c r="BL476" s="319"/>
      <c r="BM476" s="319"/>
      <c r="BN476" s="319"/>
      <c r="BO476" s="319"/>
      <c r="BP476" s="319"/>
      <c r="BQ476" s="319"/>
      <c r="BR476" s="319"/>
      <c r="BS476" s="319"/>
      <c r="BT476" s="319"/>
      <c r="BU476" s="319"/>
      <c r="BV476" s="319"/>
      <c r="BW476" s="319"/>
      <c r="BX476" s="319"/>
      <c r="BY476" s="319"/>
      <c r="BZ476" s="319"/>
      <c r="CA476" s="319"/>
      <c r="CB476" s="319"/>
      <c r="CC476" s="319"/>
      <c r="CD476" s="319"/>
      <c r="CE476" s="319"/>
      <c r="CF476" s="319"/>
      <c r="CG476" s="319"/>
      <c r="CH476" s="319"/>
      <c r="CI476" s="319"/>
      <c r="CJ476" s="319"/>
      <c r="CK476" s="319"/>
    </row>
    <row r="477" spans="1:89" ht="13.5" hidden="1" customHeight="1">
      <c r="A477" s="12"/>
      <c r="B477" s="1"/>
      <c r="C477" s="83" t="str">
        <f t="shared" si="44"/>
        <v>Fevereiro</v>
      </c>
      <c r="D477" s="367"/>
      <c r="E477" s="1"/>
      <c r="F477" s="1"/>
      <c r="G477" s="1"/>
      <c r="H477" s="1"/>
      <c r="I477" s="1"/>
      <c r="J477" s="1"/>
      <c r="K477" s="9"/>
      <c r="L477" s="1"/>
      <c r="M477" s="319"/>
      <c r="N477" s="319">
        <v>5050030</v>
      </c>
      <c r="O477" s="319"/>
      <c r="P477" s="319">
        <v>28</v>
      </c>
      <c r="Q477" s="587">
        <f t="shared" ref="Q477:Q487" si="46">IF($Q$474=TRUE,D477,1)*$Q$497</f>
        <v>1</v>
      </c>
      <c r="R477" s="477"/>
      <c r="S477" s="477"/>
      <c r="T477" s="476"/>
      <c r="U477" s="319"/>
      <c r="V477" s="476"/>
      <c r="W477" s="494"/>
      <c r="X477" s="494" t="e">
        <f t="shared" ref="X477:X487" si="47">$X$474*P477/365*$Q$476/$Q$497</f>
        <v>#DIV/0!</v>
      </c>
      <c r="Y477" s="476" t="e">
        <f t="shared" si="45"/>
        <v>#DIV/0!</v>
      </c>
      <c r="Z477" s="494"/>
      <c r="AA477" s="494"/>
      <c r="AB477" s="494"/>
      <c r="AC477" s="319"/>
      <c r="AD477" s="319"/>
      <c r="AE477" s="319"/>
      <c r="AF477" s="319"/>
      <c r="AG477" s="319"/>
      <c r="AH477" s="319"/>
      <c r="AI477" s="319"/>
      <c r="AJ477" s="319"/>
      <c r="AK477" s="319"/>
      <c r="AL477" s="319"/>
      <c r="AM477" s="319"/>
      <c r="AN477" s="319"/>
      <c r="AO477" s="319"/>
      <c r="AP477" s="319"/>
      <c r="AQ477" s="319"/>
      <c r="AR477" s="319"/>
      <c r="AS477" s="319"/>
      <c r="AT477" s="319"/>
      <c r="AU477" s="319"/>
      <c r="AV477" s="319"/>
      <c r="AW477" s="319"/>
      <c r="AX477" s="319"/>
      <c r="AY477" s="319"/>
      <c r="AZ477" s="319"/>
      <c r="BA477" s="319"/>
      <c r="BB477" s="319"/>
      <c r="BC477" s="319"/>
      <c r="BD477" s="319"/>
      <c r="BE477" s="319"/>
      <c r="BF477" s="319"/>
      <c r="BG477" s="319"/>
      <c r="BH477" s="319"/>
      <c r="BI477" s="319"/>
      <c r="BJ477" s="319"/>
      <c r="BK477" s="319"/>
      <c r="BL477" s="319"/>
      <c r="BM477" s="319"/>
      <c r="BN477" s="319"/>
      <c r="BO477" s="319"/>
      <c r="BP477" s="319"/>
      <c r="BQ477" s="319"/>
      <c r="BR477" s="319"/>
      <c r="BS477" s="319"/>
      <c r="BT477" s="319"/>
      <c r="BU477" s="319"/>
      <c r="BV477" s="319"/>
      <c r="BW477" s="319"/>
      <c r="BX477" s="319"/>
      <c r="BY477" s="319"/>
      <c r="BZ477" s="319"/>
      <c r="CA477" s="319"/>
      <c r="CB477" s="319"/>
      <c r="CC477" s="319"/>
      <c r="CD477" s="319"/>
      <c r="CE477" s="319"/>
      <c r="CF477" s="319"/>
      <c r="CG477" s="319"/>
      <c r="CH477" s="319"/>
      <c r="CI477" s="319"/>
      <c r="CJ477" s="319"/>
      <c r="CK477" s="319"/>
    </row>
    <row r="478" spans="1:89" ht="13.5" hidden="1" customHeight="1">
      <c r="A478" s="12"/>
      <c r="B478" s="1"/>
      <c r="C478" s="83" t="str">
        <f t="shared" si="44"/>
        <v>Março</v>
      </c>
      <c r="D478" s="367"/>
      <c r="E478" s="1"/>
      <c r="F478" s="1"/>
      <c r="G478" s="1"/>
      <c r="H478" s="1"/>
      <c r="I478" s="1"/>
      <c r="J478" s="1"/>
      <c r="K478" s="9"/>
      <c r="L478" s="1"/>
      <c r="M478" s="319"/>
      <c r="N478" s="319">
        <v>5050030</v>
      </c>
      <c r="O478" s="319"/>
      <c r="P478" s="319">
        <v>31</v>
      </c>
      <c r="Q478" s="587">
        <f t="shared" si="46"/>
        <v>1</v>
      </c>
      <c r="R478" s="477"/>
      <c r="S478" s="477"/>
      <c r="T478" s="476"/>
      <c r="U478" s="319"/>
      <c r="V478" s="476"/>
      <c r="W478" s="494"/>
      <c r="X478" s="494" t="e">
        <f t="shared" si="47"/>
        <v>#DIV/0!</v>
      </c>
      <c r="Y478" s="476" t="e">
        <f t="shared" si="45"/>
        <v>#DIV/0!</v>
      </c>
      <c r="Z478" s="494"/>
      <c r="AA478" s="494"/>
      <c r="AB478" s="494"/>
      <c r="AC478" s="319"/>
      <c r="AD478" s="319"/>
      <c r="AE478" s="319"/>
      <c r="AF478" s="319"/>
      <c r="AG478" s="319"/>
      <c r="AH478" s="319"/>
      <c r="AI478" s="319"/>
      <c r="AJ478" s="319"/>
      <c r="AK478" s="319"/>
      <c r="AL478" s="319"/>
      <c r="AM478" s="319"/>
      <c r="AN478" s="319"/>
      <c r="AO478" s="319"/>
      <c r="AP478" s="319"/>
      <c r="AQ478" s="319"/>
      <c r="AR478" s="319"/>
      <c r="AS478" s="319"/>
      <c r="AT478" s="319"/>
      <c r="AU478" s="319"/>
      <c r="AV478" s="319"/>
      <c r="AW478" s="319"/>
      <c r="AX478" s="319"/>
      <c r="AY478" s="319"/>
      <c r="AZ478" s="319"/>
      <c r="BA478" s="319"/>
      <c r="BB478" s="319"/>
      <c r="BC478" s="319"/>
      <c r="BD478" s="319"/>
      <c r="BE478" s="319"/>
      <c r="BF478" s="319"/>
      <c r="BG478" s="319"/>
      <c r="BH478" s="319"/>
      <c r="BI478" s="319"/>
      <c r="BJ478" s="319"/>
      <c r="BK478" s="319"/>
      <c r="BL478" s="319"/>
      <c r="BM478" s="319"/>
      <c r="BN478" s="319"/>
      <c r="BO478" s="319"/>
      <c r="BP478" s="319"/>
      <c r="BQ478" s="319"/>
      <c r="BR478" s="319"/>
      <c r="BS478" s="319"/>
      <c r="BT478" s="319"/>
      <c r="BU478" s="319"/>
      <c r="BV478" s="319"/>
      <c r="BW478" s="319"/>
      <c r="BX478" s="319"/>
      <c r="BY478" s="319"/>
      <c r="BZ478" s="319"/>
      <c r="CA478" s="319"/>
      <c r="CB478" s="319"/>
      <c r="CC478" s="319"/>
      <c r="CD478" s="319"/>
      <c r="CE478" s="319"/>
      <c r="CF478" s="319"/>
      <c r="CG478" s="319"/>
      <c r="CH478" s="319"/>
      <c r="CI478" s="319"/>
      <c r="CJ478" s="319"/>
      <c r="CK478" s="319"/>
    </row>
    <row r="479" spans="1:89" ht="13.5" hidden="1" customHeight="1">
      <c r="A479" s="12"/>
      <c r="B479" s="1"/>
      <c r="C479" s="83" t="str">
        <f t="shared" si="44"/>
        <v>Abril</v>
      </c>
      <c r="D479" s="367"/>
      <c r="E479" s="1"/>
      <c r="F479" s="1"/>
      <c r="G479" s="1"/>
      <c r="H479" s="1"/>
      <c r="I479" s="1"/>
      <c r="J479" s="1"/>
      <c r="K479" s="9"/>
      <c r="L479" s="1"/>
      <c r="M479" s="319"/>
      <c r="N479" s="319">
        <v>5050030</v>
      </c>
      <c r="O479" s="319"/>
      <c r="P479" s="319">
        <v>30</v>
      </c>
      <c r="Q479" s="587">
        <f t="shared" si="46"/>
        <v>1</v>
      </c>
      <c r="R479" s="477"/>
      <c r="S479" s="477"/>
      <c r="T479" s="476"/>
      <c r="U479" s="319"/>
      <c r="V479" s="476"/>
      <c r="W479" s="494"/>
      <c r="X479" s="494" t="e">
        <f t="shared" si="47"/>
        <v>#DIV/0!</v>
      </c>
      <c r="Y479" s="476" t="e">
        <f t="shared" si="45"/>
        <v>#DIV/0!</v>
      </c>
      <c r="Z479" s="494"/>
      <c r="AA479" s="494"/>
      <c r="AB479" s="494"/>
      <c r="AC479" s="319"/>
      <c r="AD479" s="319"/>
      <c r="AE479" s="319"/>
      <c r="AF479" s="319"/>
      <c r="AG479" s="319"/>
      <c r="AH479" s="319"/>
      <c r="AI479" s="319"/>
      <c r="AJ479" s="319"/>
      <c r="AK479" s="319"/>
      <c r="AL479" s="319"/>
      <c r="AM479" s="319"/>
      <c r="AN479" s="319"/>
      <c r="AO479" s="319"/>
      <c r="AP479" s="319"/>
      <c r="AQ479" s="319"/>
      <c r="AR479" s="319"/>
      <c r="AS479" s="319"/>
      <c r="AT479" s="319"/>
      <c r="AU479" s="319"/>
      <c r="AV479" s="319"/>
      <c r="AW479" s="319"/>
      <c r="AX479" s="319"/>
      <c r="AY479" s="319"/>
      <c r="AZ479" s="319"/>
      <c r="BA479" s="319"/>
      <c r="BB479" s="319"/>
      <c r="BC479" s="319"/>
      <c r="BD479" s="319"/>
      <c r="BE479" s="319"/>
      <c r="BF479" s="319"/>
      <c r="BG479" s="319"/>
      <c r="BH479" s="319"/>
      <c r="BI479" s="319"/>
      <c r="BJ479" s="319"/>
      <c r="BK479" s="319"/>
      <c r="BL479" s="319"/>
      <c r="BM479" s="319"/>
      <c r="BN479" s="319"/>
      <c r="BO479" s="319"/>
      <c r="BP479" s="319"/>
      <c r="BQ479" s="319"/>
      <c r="BR479" s="319"/>
      <c r="BS479" s="319"/>
      <c r="BT479" s="319"/>
      <c r="BU479" s="319"/>
      <c r="BV479" s="319"/>
      <c r="BW479" s="319"/>
      <c r="BX479" s="319"/>
      <c r="BY479" s="319"/>
      <c r="BZ479" s="319"/>
      <c r="CA479" s="319"/>
      <c r="CB479" s="319"/>
      <c r="CC479" s="319"/>
      <c r="CD479" s="319"/>
      <c r="CE479" s="319"/>
      <c r="CF479" s="319"/>
      <c r="CG479" s="319"/>
      <c r="CH479" s="319"/>
      <c r="CI479" s="319"/>
      <c r="CJ479" s="319"/>
      <c r="CK479" s="319"/>
    </row>
    <row r="480" spans="1:89" ht="13.5" hidden="1" customHeight="1">
      <c r="A480" s="12"/>
      <c r="B480" s="1"/>
      <c r="C480" s="83" t="str">
        <f t="shared" si="44"/>
        <v>Maio</v>
      </c>
      <c r="D480" s="367"/>
      <c r="E480" s="1"/>
      <c r="F480" s="1"/>
      <c r="G480" s="1"/>
      <c r="H480" s="1"/>
      <c r="I480" s="1"/>
      <c r="J480" s="1"/>
      <c r="K480" s="9"/>
      <c r="L480" s="1"/>
      <c r="M480" s="319"/>
      <c r="N480" s="319">
        <v>5050030</v>
      </c>
      <c r="O480" s="319"/>
      <c r="P480" s="319">
        <v>31</v>
      </c>
      <c r="Q480" s="587">
        <f t="shared" si="46"/>
        <v>1</v>
      </c>
      <c r="R480" s="477"/>
      <c r="S480" s="477"/>
      <c r="T480" s="476"/>
      <c r="U480" s="319"/>
      <c r="V480" s="476"/>
      <c r="W480" s="494"/>
      <c r="X480" s="494" t="e">
        <f t="shared" si="47"/>
        <v>#DIV/0!</v>
      </c>
      <c r="Y480" s="476" t="e">
        <f t="shared" si="45"/>
        <v>#DIV/0!</v>
      </c>
      <c r="Z480" s="494"/>
      <c r="AA480" s="494"/>
      <c r="AB480" s="494"/>
      <c r="AC480" s="319"/>
      <c r="AD480" s="319"/>
      <c r="AE480" s="319"/>
      <c r="AF480" s="319"/>
      <c r="AG480" s="319"/>
      <c r="AH480" s="319"/>
      <c r="AI480" s="319"/>
      <c r="AJ480" s="319"/>
      <c r="AK480" s="319"/>
      <c r="AL480" s="319"/>
      <c r="AM480" s="319"/>
      <c r="AN480" s="319"/>
      <c r="AO480" s="319"/>
      <c r="AP480" s="319"/>
      <c r="AQ480" s="319"/>
      <c r="AR480" s="319"/>
      <c r="AS480" s="319"/>
      <c r="AT480" s="319"/>
      <c r="AU480" s="319"/>
      <c r="AV480" s="319"/>
      <c r="AW480" s="319"/>
      <c r="AX480" s="319"/>
      <c r="AY480" s="319"/>
      <c r="AZ480" s="319"/>
      <c r="BA480" s="319"/>
      <c r="BB480" s="319"/>
      <c r="BC480" s="319"/>
      <c r="BD480" s="319"/>
      <c r="BE480" s="319"/>
      <c r="BF480" s="319"/>
      <c r="BG480" s="319"/>
      <c r="BH480" s="319"/>
      <c r="BI480" s="319"/>
      <c r="BJ480" s="319"/>
      <c r="BK480" s="319"/>
      <c r="BL480" s="319"/>
      <c r="BM480" s="319"/>
      <c r="BN480" s="319"/>
      <c r="BO480" s="319"/>
      <c r="BP480" s="319"/>
      <c r="BQ480" s="319"/>
      <c r="BR480" s="319"/>
      <c r="BS480" s="319"/>
      <c r="BT480" s="319"/>
      <c r="BU480" s="319"/>
      <c r="BV480" s="319"/>
      <c r="BW480" s="319"/>
      <c r="BX480" s="319"/>
      <c r="BY480" s="319"/>
      <c r="BZ480" s="319"/>
      <c r="CA480" s="319"/>
      <c r="CB480" s="319"/>
      <c r="CC480" s="319"/>
      <c r="CD480" s="319"/>
      <c r="CE480" s="319"/>
      <c r="CF480" s="319"/>
      <c r="CG480" s="319"/>
      <c r="CH480" s="319"/>
      <c r="CI480" s="319"/>
      <c r="CJ480" s="319"/>
      <c r="CK480" s="319"/>
    </row>
    <row r="481" spans="1:89" ht="13.5" hidden="1" customHeight="1">
      <c r="A481" s="12"/>
      <c r="B481" s="1"/>
      <c r="C481" s="83" t="str">
        <f t="shared" si="44"/>
        <v>Junho</v>
      </c>
      <c r="D481" s="367"/>
      <c r="E481" s="1"/>
      <c r="F481" s="1"/>
      <c r="G481" s="1"/>
      <c r="H481" s="1"/>
      <c r="I481" s="1"/>
      <c r="J481" s="1"/>
      <c r="K481" s="9"/>
      <c r="L481" s="1"/>
      <c r="M481" s="319"/>
      <c r="N481" s="319">
        <v>5050030</v>
      </c>
      <c r="O481" s="319"/>
      <c r="P481" s="319">
        <v>30</v>
      </c>
      <c r="Q481" s="587">
        <f t="shared" si="46"/>
        <v>1</v>
      </c>
      <c r="R481" s="477"/>
      <c r="S481" s="477"/>
      <c r="T481" s="476"/>
      <c r="U481" s="319"/>
      <c r="V481" s="476"/>
      <c r="W481" s="494"/>
      <c r="X481" s="494" t="e">
        <f t="shared" si="47"/>
        <v>#DIV/0!</v>
      </c>
      <c r="Y481" s="476" t="e">
        <f t="shared" si="45"/>
        <v>#DIV/0!</v>
      </c>
      <c r="Z481" s="494"/>
      <c r="AA481" s="494"/>
      <c r="AB481" s="494"/>
      <c r="AC481" s="319"/>
      <c r="AD481" s="319"/>
      <c r="AE481" s="319"/>
      <c r="AF481" s="319"/>
      <c r="AG481" s="319"/>
      <c r="AH481" s="319"/>
      <c r="AI481" s="319"/>
      <c r="AJ481" s="319"/>
      <c r="AK481" s="319"/>
      <c r="AL481" s="319"/>
      <c r="AM481" s="319"/>
      <c r="AN481" s="319"/>
      <c r="AO481" s="319"/>
      <c r="AP481" s="319"/>
      <c r="AQ481" s="319"/>
      <c r="AR481" s="319"/>
      <c r="AS481" s="319"/>
      <c r="AT481" s="319"/>
      <c r="AU481" s="319"/>
      <c r="AV481" s="319"/>
      <c r="AW481" s="319"/>
      <c r="AX481" s="319"/>
      <c r="AY481" s="319"/>
      <c r="AZ481" s="319"/>
      <c r="BA481" s="319"/>
      <c r="BB481" s="319"/>
      <c r="BC481" s="319"/>
      <c r="BD481" s="319"/>
      <c r="BE481" s="319"/>
      <c r="BF481" s="319"/>
      <c r="BG481" s="319"/>
      <c r="BH481" s="319"/>
      <c r="BI481" s="319"/>
      <c r="BJ481" s="319"/>
      <c r="BK481" s="319"/>
      <c r="BL481" s="319"/>
      <c r="BM481" s="319"/>
      <c r="BN481" s="319"/>
      <c r="BO481" s="319"/>
      <c r="BP481" s="319"/>
      <c r="BQ481" s="319"/>
      <c r="BR481" s="319"/>
      <c r="BS481" s="319"/>
      <c r="BT481" s="319"/>
      <c r="BU481" s="319"/>
      <c r="BV481" s="319"/>
      <c r="BW481" s="319"/>
      <c r="BX481" s="319"/>
      <c r="BY481" s="319"/>
      <c r="BZ481" s="319"/>
      <c r="CA481" s="319"/>
      <c r="CB481" s="319"/>
      <c r="CC481" s="319"/>
      <c r="CD481" s="319"/>
      <c r="CE481" s="319"/>
      <c r="CF481" s="319"/>
      <c r="CG481" s="319"/>
      <c r="CH481" s="319"/>
      <c r="CI481" s="319"/>
      <c r="CJ481" s="319"/>
      <c r="CK481" s="319"/>
    </row>
    <row r="482" spans="1:89" ht="13.5" hidden="1" customHeight="1">
      <c r="A482" s="12"/>
      <c r="B482" s="1"/>
      <c r="C482" s="83" t="str">
        <f t="shared" si="44"/>
        <v>Julho</v>
      </c>
      <c r="D482" s="367"/>
      <c r="E482" s="1"/>
      <c r="F482" s="1"/>
      <c r="G482" s="1"/>
      <c r="H482" s="1"/>
      <c r="I482" s="1"/>
      <c r="J482" s="1"/>
      <c r="K482" s="9"/>
      <c r="L482" s="1"/>
      <c r="M482" s="319"/>
      <c r="N482" s="319">
        <v>5050030</v>
      </c>
      <c r="O482" s="319"/>
      <c r="P482" s="319">
        <v>31</v>
      </c>
      <c r="Q482" s="587">
        <f t="shared" si="46"/>
        <v>1</v>
      </c>
      <c r="R482" s="477"/>
      <c r="S482" s="477"/>
      <c r="T482" s="476"/>
      <c r="U482" s="319"/>
      <c r="V482" s="476"/>
      <c r="W482" s="494"/>
      <c r="X482" s="494" t="e">
        <f t="shared" si="47"/>
        <v>#DIV/0!</v>
      </c>
      <c r="Y482" s="476" t="e">
        <f t="shared" si="45"/>
        <v>#DIV/0!</v>
      </c>
      <c r="Z482" s="494"/>
      <c r="AA482" s="494"/>
      <c r="AB482" s="494"/>
      <c r="AC482" s="319"/>
      <c r="AD482" s="319"/>
      <c r="AE482" s="319"/>
      <c r="AF482" s="319"/>
      <c r="AG482" s="319"/>
      <c r="AH482" s="319"/>
      <c r="AI482" s="319"/>
      <c r="AJ482" s="319"/>
      <c r="AK482" s="319"/>
      <c r="AL482" s="319"/>
      <c r="AM482" s="319"/>
      <c r="AN482" s="319"/>
      <c r="AO482" s="319"/>
      <c r="AP482" s="319"/>
      <c r="AQ482" s="319"/>
      <c r="AR482" s="319"/>
      <c r="AS482" s="319"/>
      <c r="AT482" s="319"/>
      <c r="AU482" s="319"/>
      <c r="AV482" s="319"/>
      <c r="AW482" s="319"/>
      <c r="AX482" s="319"/>
      <c r="AY482" s="319"/>
      <c r="AZ482" s="319"/>
      <c r="BA482" s="319"/>
      <c r="BB482" s="319"/>
      <c r="BC482" s="319"/>
      <c r="BD482" s="319"/>
      <c r="BE482" s="319"/>
      <c r="BF482" s="319"/>
      <c r="BG482" s="319"/>
      <c r="BH482" s="319"/>
      <c r="BI482" s="319"/>
      <c r="BJ482" s="319"/>
      <c r="BK482" s="319"/>
      <c r="BL482" s="319"/>
      <c r="BM482" s="319"/>
      <c r="BN482" s="319"/>
      <c r="BO482" s="319"/>
      <c r="BP482" s="319"/>
      <c r="BQ482" s="319"/>
      <c r="BR482" s="319"/>
      <c r="BS482" s="319"/>
      <c r="BT482" s="319"/>
      <c r="BU482" s="319"/>
      <c r="BV482" s="319"/>
      <c r="BW482" s="319"/>
      <c r="BX482" s="319"/>
      <c r="BY482" s="319"/>
      <c r="BZ482" s="319"/>
      <c r="CA482" s="319"/>
      <c r="CB482" s="319"/>
      <c r="CC482" s="319"/>
      <c r="CD482" s="319"/>
      <c r="CE482" s="319"/>
      <c r="CF482" s="319"/>
      <c r="CG482" s="319"/>
      <c r="CH482" s="319"/>
      <c r="CI482" s="319"/>
      <c r="CJ482" s="319"/>
      <c r="CK482" s="319"/>
    </row>
    <row r="483" spans="1:89" ht="13.5" hidden="1" customHeight="1">
      <c r="A483" s="12"/>
      <c r="B483" s="1"/>
      <c r="C483" s="83" t="str">
        <f t="shared" si="44"/>
        <v>Agosto</v>
      </c>
      <c r="D483" s="367"/>
      <c r="E483" s="1"/>
      <c r="F483" s="1"/>
      <c r="G483" s="1"/>
      <c r="H483" s="1"/>
      <c r="I483" s="1"/>
      <c r="J483" s="1"/>
      <c r="K483" s="9"/>
      <c r="L483" s="1"/>
      <c r="M483" s="319"/>
      <c r="N483" s="319">
        <v>5050030</v>
      </c>
      <c r="O483" s="319"/>
      <c r="P483" s="319">
        <v>31</v>
      </c>
      <c r="Q483" s="587">
        <f t="shared" si="46"/>
        <v>1</v>
      </c>
      <c r="R483" s="477"/>
      <c r="S483" s="477"/>
      <c r="T483" s="476"/>
      <c r="U483" s="319"/>
      <c r="V483" s="476"/>
      <c r="W483" s="494"/>
      <c r="X483" s="494" t="e">
        <f t="shared" si="47"/>
        <v>#DIV/0!</v>
      </c>
      <c r="Y483" s="476" t="e">
        <f t="shared" si="45"/>
        <v>#DIV/0!</v>
      </c>
      <c r="Z483" s="494"/>
      <c r="AA483" s="494"/>
      <c r="AB483" s="494"/>
      <c r="AC483" s="319"/>
      <c r="AD483" s="319"/>
      <c r="AE483" s="319"/>
      <c r="AF483" s="319"/>
      <c r="AG483" s="319"/>
      <c r="AH483" s="319"/>
      <c r="AI483" s="319"/>
      <c r="AJ483" s="319"/>
      <c r="AK483" s="319"/>
      <c r="AL483" s="319"/>
      <c r="AM483" s="319"/>
      <c r="AN483" s="319"/>
      <c r="AO483" s="319"/>
      <c r="AP483" s="319"/>
      <c r="AQ483" s="319"/>
      <c r="AR483" s="319"/>
      <c r="AS483" s="319"/>
      <c r="AT483" s="319"/>
      <c r="AU483" s="319"/>
      <c r="AV483" s="319"/>
      <c r="AW483" s="319"/>
      <c r="AX483" s="319"/>
      <c r="AY483" s="319"/>
      <c r="AZ483" s="319"/>
      <c r="BA483" s="319"/>
      <c r="BB483" s="319"/>
      <c r="BC483" s="319"/>
      <c r="BD483" s="319"/>
      <c r="BE483" s="319"/>
      <c r="BF483" s="319"/>
      <c r="BG483" s="319"/>
      <c r="BH483" s="319"/>
      <c r="BI483" s="319"/>
      <c r="BJ483" s="319"/>
      <c r="BK483" s="319"/>
      <c r="BL483" s="319"/>
      <c r="BM483" s="319"/>
      <c r="BN483" s="319"/>
      <c r="BO483" s="319"/>
      <c r="BP483" s="319"/>
      <c r="BQ483" s="319"/>
      <c r="BR483" s="319"/>
      <c r="BS483" s="319"/>
      <c r="BT483" s="319"/>
      <c r="BU483" s="319"/>
      <c r="BV483" s="319"/>
      <c r="BW483" s="319"/>
      <c r="BX483" s="319"/>
      <c r="BY483" s="319"/>
      <c r="BZ483" s="319"/>
      <c r="CA483" s="319"/>
      <c r="CB483" s="319"/>
      <c r="CC483" s="319"/>
      <c r="CD483" s="319"/>
      <c r="CE483" s="319"/>
      <c r="CF483" s="319"/>
      <c r="CG483" s="319"/>
      <c r="CH483" s="319"/>
      <c r="CI483" s="319"/>
      <c r="CJ483" s="319"/>
      <c r="CK483" s="319"/>
    </row>
    <row r="484" spans="1:89" ht="13.5" hidden="1" customHeight="1">
      <c r="A484" s="12"/>
      <c r="B484" s="1"/>
      <c r="C484" s="83" t="str">
        <f t="shared" si="44"/>
        <v>Setembro</v>
      </c>
      <c r="D484" s="367"/>
      <c r="E484" s="1"/>
      <c r="F484" s="1"/>
      <c r="G484" s="1"/>
      <c r="H484" s="1"/>
      <c r="I484" s="1"/>
      <c r="J484" s="1"/>
      <c r="K484" s="9"/>
      <c r="L484" s="1"/>
      <c r="M484" s="319"/>
      <c r="N484" s="319">
        <v>5050030</v>
      </c>
      <c r="O484" s="319"/>
      <c r="P484" s="319">
        <v>30</v>
      </c>
      <c r="Q484" s="587">
        <f t="shared" si="46"/>
        <v>1</v>
      </c>
      <c r="R484" s="477"/>
      <c r="S484" s="477"/>
      <c r="T484" s="476"/>
      <c r="U484" s="319"/>
      <c r="V484" s="476"/>
      <c r="W484" s="494"/>
      <c r="X484" s="494" t="e">
        <f t="shared" si="47"/>
        <v>#DIV/0!</v>
      </c>
      <c r="Y484" s="476" t="e">
        <f t="shared" si="45"/>
        <v>#DIV/0!</v>
      </c>
      <c r="Z484" s="494"/>
      <c r="AA484" s="494"/>
      <c r="AB484" s="494"/>
      <c r="AC484" s="319"/>
      <c r="AD484" s="319"/>
      <c r="AE484" s="319"/>
      <c r="AF484" s="319"/>
      <c r="AG484" s="319"/>
      <c r="AH484" s="319"/>
      <c r="AI484" s="319"/>
      <c r="AJ484" s="319"/>
      <c r="AK484" s="319"/>
      <c r="AL484" s="319"/>
      <c r="AM484" s="319"/>
      <c r="AN484" s="319"/>
      <c r="AO484" s="319"/>
      <c r="AP484" s="319"/>
      <c r="AQ484" s="319"/>
      <c r="AR484" s="319"/>
      <c r="AS484" s="319"/>
      <c r="AT484" s="319"/>
      <c r="AU484" s="319"/>
      <c r="AV484" s="319"/>
      <c r="AW484" s="319"/>
      <c r="AX484" s="319"/>
      <c r="AY484" s="319"/>
      <c r="AZ484" s="319"/>
      <c r="BA484" s="319"/>
      <c r="BB484" s="319"/>
      <c r="BC484" s="319"/>
      <c r="BD484" s="319"/>
      <c r="BE484" s="319"/>
      <c r="BF484" s="319"/>
      <c r="BG484" s="319"/>
      <c r="BH484" s="319"/>
      <c r="BI484" s="319"/>
      <c r="BJ484" s="319"/>
      <c r="BK484" s="319"/>
      <c r="BL484" s="319"/>
      <c r="BM484" s="319"/>
      <c r="BN484" s="319"/>
      <c r="BO484" s="319"/>
      <c r="BP484" s="319"/>
      <c r="BQ484" s="319"/>
      <c r="BR484" s="319"/>
      <c r="BS484" s="319"/>
      <c r="BT484" s="319"/>
      <c r="BU484" s="319"/>
      <c r="BV484" s="319"/>
      <c r="BW484" s="319"/>
      <c r="BX484" s="319"/>
      <c r="BY484" s="319"/>
      <c r="BZ484" s="319"/>
      <c r="CA484" s="319"/>
      <c r="CB484" s="319"/>
      <c r="CC484" s="319"/>
      <c r="CD484" s="319"/>
      <c r="CE484" s="319"/>
      <c r="CF484" s="319"/>
      <c r="CG484" s="319"/>
      <c r="CH484" s="319"/>
      <c r="CI484" s="319"/>
      <c r="CJ484" s="319"/>
      <c r="CK484" s="319"/>
    </row>
    <row r="485" spans="1:89" ht="13.5" hidden="1" customHeight="1">
      <c r="A485" s="12"/>
      <c r="B485" s="1"/>
      <c r="C485" s="83" t="str">
        <f t="shared" si="44"/>
        <v>Outubro</v>
      </c>
      <c r="D485" s="367"/>
      <c r="E485" s="1"/>
      <c r="F485" s="1"/>
      <c r="G485" s="1"/>
      <c r="H485" s="1"/>
      <c r="I485" s="1"/>
      <c r="J485" s="1"/>
      <c r="K485" s="9"/>
      <c r="L485" s="1"/>
      <c r="M485" s="319"/>
      <c r="N485" s="319">
        <v>5050030</v>
      </c>
      <c r="O485" s="319"/>
      <c r="P485" s="319">
        <v>31</v>
      </c>
      <c r="Q485" s="587">
        <f t="shared" si="46"/>
        <v>1</v>
      </c>
      <c r="R485" s="477"/>
      <c r="S485" s="477"/>
      <c r="T485" s="476"/>
      <c r="U485" s="319"/>
      <c r="V485" s="476"/>
      <c r="W485" s="494"/>
      <c r="X485" s="494" t="e">
        <f t="shared" si="47"/>
        <v>#DIV/0!</v>
      </c>
      <c r="Y485" s="476" t="e">
        <f t="shared" si="45"/>
        <v>#DIV/0!</v>
      </c>
      <c r="Z485" s="494"/>
      <c r="AA485" s="494"/>
      <c r="AB485" s="494"/>
      <c r="AC485" s="319"/>
      <c r="AD485" s="319"/>
      <c r="AE485" s="319"/>
      <c r="AF485" s="319"/>
      <c r="AG485" s="319"/>
      <c r="AH485" s="319"/>
      <c r="AI485" s="319"/>
      <c r="AJ485" s="319"/>
      <c r="AK485" s="319"/>
      <c r="AL485" s="319"/>
      <c r="AM485" s="319"/>
      <c r="AN485" s="319"/>
      <c r="AO485" s="319"/>
      <c r="AP485" s="319"/>
      <c r="AQ485" s="319"/>
      <c r="AR485" s="319"/>
      <c r="AS485" s="319"/>
      <c r="AT485" s="319"/>
      <c r="AU485" s="319"/>
      <c r="AV485" s="319"/>
      <c r="AW485" s="319"/>
      <c r="AX485" s="319"/>
      <c r="AY485" s="319"/>
      <c r="AZ485" s="319"/>
      <c r="BA485" s="319"/>
      <c r="BB485" s="319"/>
      <c r="BC485" s="319"/>
      <c r="BD485" s="319"/>
      <c r="BE485" s="319"/>
      <c r="BF485" s="319"/>
      <c r="BG485" s="319"/>
      <c r="BH485" s="319"/>
      <c r="BI485" s="319"/>
      <c r="BJ485" s="319"/>
      <c r="BK485" s="319"/>
      <c r="BL485" s="319"/>
      <c r="BM485" s="319"/>
      <c r="BN485" s="319"/>
      <c r="BO485" s="319"/>
      <c r="BP485" s="319"/>
      <c r="BQ485" s="319"/>
      <c r="BR485" s="319"/>
      <c r="BS485" s="319"/>
      <c r="BT485" s="319"/>
      <c r="BU485" s="319"/>
      <c r="BV485" s="319"/>
      <c r="BW485" s="319"/>
      <c r="BX485" s="319"/>
      <c r="BY485" s="319"/>
      <c r="BZ485" s="319"/>
      <c r="CA485" s="319"/>
      <c r="CB485" s="319"/>
      <c r="CC485" s="319"/>
      <c r="CD485" s="319"/>
      <c r="CE485" s="319"/>
      <c r="CF485" s="319"/>
      <c r="CG485" s="319"/>
      <c r="CH485" s="319"/>
      <c r="CI485" s="319"/>
      <c r="CJ485" s="319"/>
      <c r="CK485" s="319"/>
    </row>
    <row r="486" spans="1:89" ht="13.5" hidden="1" customHeight="1">
      <c r="A486" s="12"/>
      <c r="B486" s="1"/>
      <c r="C486" s="83" t="str">
        <f t="shared" si="44"/>
        <v>Novembro</v>
      </c>
      <c r="D486" s="367"/>
      <c r="E486" s="1"/>
      <c r="F486" s="1"/>
      <c r="G486" s="1"/>
      <c r="H486" s="1"/>
      <c r="I486" s="1"/>
      <c r="J486" s="1"/>
      <c r="K486" s="9"/>
      <c r="L486" s="1"/>
      <c r="M486" s="319"/>
      <c r="N486" s="319">
        <v>5050030</v>
      </c>
      <c r="O486" s="319"/>
      <c r="P486" s="319">
        <v>30</v>
      </c>
      <c r="Q486" s="587">
        <f t="shared" si="46"/>
        <v>1</v>
      </c>
      <c r="R486" s="477"/>
      <c r="S486" s="477"/>
      <c r="T486" s="476"/>
      <c r="U486" s="319"/>
      <c r="V486" s="476"/>
      <c r="W486" s="494"/>
      <c r="X486" s="494" t="e">
        <f t="shared" si="47"/>
        <v>#DIV/0!</v>
      </c>
      <c r="Y486" s="476" t="e">
        <f t="shared" si="45"/>
        <v>#DIV/0!</v>
      </c>
      <c r="Z486" s="494"/>
      <c r="AA486" s="494"/>
      <c r="AB486" s="494"/>
      <c r="AC486" s="319"/>
      <c r="AD486" s="319"/>
      <c r="AE486" s="319"/>
      <c r="AF486" s="319"/>
      <c r="AG486" s="319"/>
      <c r="AH486" s="319"/>
      <c r="AI486" s="319"/>
      <c r="AJ486" s="319"/>
      <c r="AK486" s="319"/>
      <c r="AL486" s="319"/>
      <c r="AM486" s="319"/>
      <c r="AN486" s="319"/>
      <c r="AO486" s="319"/>
      <c r="AP486" s="319"/>
      <c r="AQ486" s="319"/>
      <c r="AR486" s="319"/>
      <c r="AS486" s="319"/>
      <c r="AT486" s="319"/>
      <c r="AU486" s="319"/>
      <c r="AV486" s="319"/>
      <c r="AW486" s="319"/>
      <c r="AX486" s="319"/>
      <c r="AY486" s="319"/>
      <c r="AZ486" s="319"/>
      <c r="BA486" s="319"/>
      <c r="BB486" s="319"/>
      <c r="BC486" s="319"/>
      <c r="BD486" s="319"/>
      <c r="BE486" s="319"/>
      <c r="BF486" s="319"/>
      <c r="BG486" s="319"/>
      <c r="BH486" s="319"/>
      <c r="BI486" s="319"/>
      <c r="BJ486" s="319"/>
      <c r="BK486" s="319"/>
      <c r="BL486" s="319"/>
      <c r="BM486" s="319"/>
      <c r="BN486" s="319"/>
      <c r="BO486" s="319"/>
      <c r="BP486" s="319"/>
      <c r="BQ486" s="319"/>
      <c r="BR486" s="319"/>
      <c r="BS486" s="319"/>
      <c r="BT486" s="319"/>
      <c r="BU486" s="319"/>
      <c r="BV486" s="319"/>
      <c r="BW486" s="319"/>
      <c r="BX486" s="319"/>
      <c r="BY486" s="319"/>
      <c r="BZ486" s="319"/>
      <c r="CA486" s="319"/>
      <c r="CB486" s="319"/>
      <c r="CC486" s="319"/>
      <c r="CD486" s="319"/>
      <c r="CE486" s="319"/>
      <c r="CF486" s="319"/>
      <c r="CG486" s="319"/>
      <c r="CH486" s="319"/>
      <c r="CI486" s="319"/>
      <c r="CJ486" s="319"/>
      <c r="CK486" s="319"/>
    </row>
    <row r="487" spans="1:89" ht="13.5" hidden="1" customHeight="1">
      <c r="A487" s="12"/>
      <c r="B487" s="1"/>
      <c r="C487" s="83" t="str">
        <f t="shared" si="44"/>
        <v>Dezembro</v>
      </c>
      <c r="D487" s="367"/>
      <c r="E487" s="1"/>
      <c r="F487" s="1"/>
      <c r="G487" s="1"/>
      <c r="H487" s="1"/>
      <c r="I487" s="1"/>
      <c r="J487" s="1"/>
      <c r="K487" s="9"/>
      <c r="L487" s="1"/>
      <c r="M487" s="319"/>
      <c r="N487" s="319">
        <v>5050030</v>
      </c>
      <c r="O487" s="319"/>
      <c r="P487" s="319">
        <v>31</v>
      </c>
      <c r="Q487" s="587">
        <f t="shared" si="46"/>
        <v>1</v>
      </c>
      <c r="R487" s="477"/>
      <c r="S487" s="477"/>
      <c r="T487" s="476"/>
      <c r="U487" s="319"/>
      <c r="V487" s="476"/>
      <c r="W487" s="494"/>
      <c r="X487" s="494" t="e">
        <f t="shared" si="47"/>
        <v>#DIV/0!</v>
      </c>
      <c r="Y487" s="476" t="e">
        <f t="shared" si="45"/>
        <v>#DIV/0!</v>
      </c>
      <c r="Z487" s="494"/>
      <c r="AA487" s="494"/>
      <c r="AB487" s="494"/>
      <c r="AC487" s="319"/>
      <c r="AD487" s="319"/>
      <c r="AE487" s="319"/>
      <c r="AF487" s="319"/>
      <c r="AG487" s="319"/>
      <c r="AH487" s="319"/>
      <c r="AI487" s="319"/>
      <c r="AJ487" s="319"/>
      <c r="AK487" s="319"/>
      <c r="AL487" s="319"/>
      <c r="AM487" s="319"/>
      <c r="AN487" s="319"/>
      <c r="AO487" s="319"/>
      <c r="AP487" s="319"/>
      <c r="AQ487" s="319"/>
      <c r="AR487" s="319"/>
      <c r="AS487" s="319"/>
      <c r="AT487" s="319"/>
      <c r="AU487" s="319"/>
      <c r="AV487" s="319"/>
      <c r="AW487" s="319"/>
      <c r="AX487" s="319"/>
      <c r="AY487" s="319"/>
      <c r="AZ487" s="319"/>
      <c r="BA487" s="319"/>
      <c r="BB487" s="319"/>
      <c r="BC487" s="319"/>
      <c r="BD487" s="319"/>
      <c r="BE487" s="319"/>
      <c r="BF487" s="319"/>
      <c r="BG487" s="319"/>
      <c r="BH487" s="319"/>
      <c r="BI487" s="319"/>
      <c r="BJ487" s="319"/>
      <c r="BK487" s="319"/>
      <c r="BL487" s="319"/>
      <c r="BM487" s="319"/>
      <c r="BN487" s="319"/>
      <c r="BO487" s="319"/>
      <c r="BP487" s="319"/>
      <c r="BQ487" s="319"/>
      <c r="BR487" s="319"/>
      <c r="BS487" s="319"/>
      <c r="BT487" s="319"/>
      <c r="BU487" s="319"/>
      <c r="BV487" s="319"/>
      <c r="BW487" s="319"/>
      <c r="BX487" s="319"/>
      <c r="BY487" s="319"/>
      <c r="BZ487" s="319"/>
      <c r="CA487" s="319"/>
      <c r="CB487" s="319"/>
      <c r="CC487" s="319"/>
      <c r="CD487" s="319"/>
      <c r="CE487" s="319"/>
      <c r="CF487" s="319"/>
      <c r="CG487" s="319"/>
      <c r="CH487" s="319"/>
      <c r="CI487" s="319"/>
      <c r="CJ487" s="319"/>
      <c r="CK487" s="319"/>
    </row>
    <row r="488" spans="1:89" ht="13.5" hidden="1" customHeight="1">
      <c r="A488" s="12"/>
      <c r="B488" s="79"/>
      <c r="C488" s="1"/>
      <c r="D488" s="1"/>
      <c r="E488" s="1"/>
      <c r="F488" s="1"/>
      <c r="G488" s="1"/>
      <c r="H488" s="1"/>
      <c r="I488" s="1"/>
      <c r="J488" s="1"/>
      <c r="K488" s="9"/>
      <c r="L488" s="1"/>
      <c r="M488" s="319"/>
      <c r="N488" s="319">
        <v>5050000</v>
      </c>
      <c r="O488" s="319"/>
      <c r="P488" s="319"/>
      <c r="Q488" s="319"/>
      <c r="R488" s="319"/>
      <c r="S488" s="319"/>
      <c r="T488" s="319"/>
      <c r="U488" s="319"/>
      <c r="V488" s="319"/>
      <c r="W488" s="319"/>
      <c r="X488" s="319"/>
      <c r="Y488" s="319"/>
      <c r="Z488" s="319"/>
      <c r="AA488" s="319"/>
      <c r="AB488" s="319"/>
      <c r="AC488" s="319"/>
      <c r="AD488" s="319"/>
      <c r="AE488" s="319"/>
      <c r="AF488" s="319"/>
      <c r="AG488" s="319"/>
      <c r="AH488" s="319"/>
      <c r="AI488" s="319"/>
      <c r="AJ488" s="319"/>
      <c r="AK488" s="319"/>
      <c r="AL488" s="319"/>
      <c r="AM488" s="319"/>
      <c r="AN488" s="319"/>
      <c r="AO488" s="319"/>
      <c r="AP488" s="319"/>
      <c r="AQ488" s="319"/>
      <c r="AR488" s="319"/>
      <c r="AS488" s="319"/>
      <c r="AT488" s="319"/>
      <c r="AU488" s="319"/>
      <c r="AV488" s="319"/>
      <c r="AW488" s="319"/>
      <c r="AX488" s="319"/>
      <c r="AY488" s="319"/>
      <c r="AZ488" s="319"/>
      <c r="BA488" s="319"/>
      <c r="BB488" s="319"/>
      <c r="BC488" s="319"/>
      <c r="BD488" s="319"/>
      <c r="BE488" s="319"/>
      <c r="BF488" s="319"/>
      <c r="BG488" s="319"/>
      <c r="BH488" s="319"/>
      <c r="BI488" s="319"/>
      <c r="BJ488" s="319"/>
      <c r="BK488" s="319"/>
      <c r="BL488" s="319"/>
      <c r="BM488" s="319"/>
      <c r="BN488" s="319"/>
      <c r="BO488" s="319"/>
      <c r="BP488" s="319"/>
      <c r="BQ488" s="319"/>
      <c r="BR488" s="319"/>
      <c r="BS488" s="319"/>
      <c r="BT488" s="319"/>
      <c r="BU488" s="319"/>
      <c r="BV488" s="319"/>
      <c r="BW488" s="319"/>
      <c r="BX488" s="319"/>
      <c r="BY488" s="319"/>
      <c r="BZ488" s="319"/>
      <c r="CA488" s="319"/>
      <c r="CB488" s="319"/>
      <c r="CC488" s="319"/>
      <c r="CD488" s="319"/>
      <c r="CE488" s="319"/>
      <c r="CF488" s="319"/>
      <c r="CG488" s="319"/>
      <c r="CH488" s="319"/>
      <c r="CI488" s="319"/>
      <c r="CJ488" s="319"/>
      <c r="CK488" s="319"/>
    </row>
    <row r="489" spans="1:89" ht="13.5" hidden="1" customHeight="1">
      <c r="A489" s="12"/>
      <c r="B489" s="79"/>
      <c r="C489" s="29"/>
      <c r="D489" s="67"/>
      <c r="E489" s="1"/>
      <c r="F489" s="1"/>
      <c r="G489" s="1"/>
      <c r="H489" s="1"/>
      <c r="I489" s="1"/>
      <c r="J489" s="1"/>
      <c r="K489" s="9"/>
      <c r="L489" s="1"/>
      <c r="M489" s="319"/>
      <c r="N489" s="319">
        <v>5050000</v>
      </c>
      <c r="O489" s="319"/>
      <c r="P489" s="319"/>
      <c r="Q489" s="319"/>
      <c r="R489" s="319"/>
      <c r="S489" s="319"/>
      <c r="T489" s="319"/>
      <c r="U489" s="319"/>
      <c r="V489" s="319"/>
      <c r="W489" s="319"/>
      <c r="X489" s="494"/>
      <c r="Y489" s="476">
        <f>IF(ISERROR(SUM(Y476:Y487)),0,SUM(Y476:Y487))</f>
        <v>0</v>
      </c>
      <c r="Z489" s="319"/>
      <c r="AA489" s="319"/>
      <c r="AB489" s="319"/>
      <c r="AC489" s="319"/>
      <c r="AD489" s="319"/>
      <c r="AE489" s="319"/>
      <c r="AF489" s="319"/>
      <c r="AG489" s="319"/>
      <c r="AH489" s="319"/>
      <c r="AI489" s="319"/>
      <c r="AJ489" s="319"/>
      <c r="AK489" s="319"/>
      <c r="AL489" s="319"/>
      <c r="AM489" s="319"/>
      <c r="AN489" s="319"/>
      <c r="AO489" s="319"/>
      <c r="AP489" s="319"/>
      <c r="AQ489" s="319"/>
      <c r="AR489" s="319"/>
      <c r="AS489" s="319"/>
      <c r="AT489" s="319"/>
      <c r="AU489" s="319"/>
      <c r="AV489" s="319"/>
      <c r="AW489" s="319"/>
      <c r="AX489" s="319"/>
      <c r="AY489" s="319"/>
      <c r="AZ489" s="319"/>
      <c r="BA489" s="319"/>
      <c r="BB489" s="319"/>
      <c r="BC489" s="319"/>
      <c r="BD489" s="319"/>
      <c r="BE489" s="319"/>
      <c r="BF489" s="319"/>
      <c r="BG489" s="319"/>
      <c r="BH489" s="319"/>
      <c r="BI489" s="319"/>
      <c r="BJ489" s="319"/>
      <c r="BK489" s="319"/>
      <c r="BL489" s="319"/>
      <c r="BM489" s="319"/>
      <c r="BN489" s="319"/>
      <c r="BO489" s="319"/>
      <c r="BP489" s="319"/>
      <c r="BQ489" s="319"/>
      <c r="BR489" s="319"/>
      <c r="BS489" s="319"/>
      <c r="BT489" s="319"/>
      <c r="BU489" s="319"/>
      <c r="BV489" s="319"/>
      <c r="BW489" s="319"/>
      <c r="BX489" s="319"/>
      <c r="BY489" s="319"/>
      <c r="BZ489" s="319"/>
      <c r="CA489" s="319"/>
      <c r="CB489" s="319"/>
      <c r="CC489" s="319"/>
      <c r="CD489" s="319"/>
      <c r="CE489" s="319"/>
      <c r="CF489" s="319"/>
      <c r="CG489" s="319"/>
      <c r="CH489" s="319"/>
      <c r="CI489" s="319"/>
      <c r="CJ489" s="319"/>
      <c r="CK489" s="319"/>
    </row>
    <row r="490" spans="1:89" ht="13.5" hidden="1" customHeight="1">
      <c r="A490" s="12"/>
      <c r="B490" s="1"/>
      <c r="C490" s="1"/>
      <c r="D490" s="1"/>
      <c r="E490" s="1"/>
      <c r="F490" s="1"/>
      <c r="G490" s="1"/>
      <c r="H490" s="1"/>
      <c r="I490" s="1"/>
      <c r="J490" s="1"/>
      <c r="K490" s="9"/>
      <c r="L490" s="1"/>
      <c r="M490" s="319"/>
      <c r="N490" s="319">
        <v>5050000</v>
      </c>
      <c r="O490" s="319"/>
      <c r="P490" s="319"/>
      <c r="Q490" s="319"/>
      <c r="R490" s="319"/>
      <c r="S490" s="319"/>
      <c r="T490" s="319"/>
      <c r="U490" s="319"/>
      <c r="V490" s="319"/>
      <c r="W490" s="319"/>
      <c r="X490" s="319"/>
      <c r="Y490" s="319"/>
      <c r="Z490" s="319"/>
      <c r="AA490" s="319"/>
      <c r="AB490" s="319"/>
      <c r="AC490" s="319"/>
      <c r="AD490" s="319"/>
      <c r="AE490" s="319"/>
      <c r="AF490" s="319"/>
      <c r="AG490" s="319"/>
      <c r="AH490" s="319"/>
      <c r="AI490" s="319"/>
      <c r="AJ490" s="319"/>
      <c r="AK490" s="319"/>
      <c r="AL490" s="319"/>
      <c r="AM490" s="319"/>
      <c r="AN490" s="319"/>
      <c r="AO490" s="319"/>
      <c r="AP490" s="319"/>
      <c r="AQ490" s="319"/>
      <c r="AR490" s="319"/>
      <c r="AS490" s="319"/>
      <c r="AT490" s="319"/>
      <c r="AU490" s="319"/>
      <c r="AV490" s="319"/>
      <c r="AW490" s="319"/>
      <c r="AX490" s="319"/>
      <c r="AY490" s="319"/>
      <c r="AZ490" s="319"/>
      <c r="BA490" s="319"/>
      <c r="BB490" s="319"/>
      <c r="BC490" s="319"/>
      <c r="BD490" s="319"/>
      <c r="BE490" s="319"/>
      <c r="BF490" s="319"/>
      <c r="BG490" s="319"/>
      <c r="BH490" s="319"/>
      <c r="BI490" s="319"/>
      <c r="BJ490" s="319"/>
      <c r="BK490" s="319"/>
      <c r="BL490" s="319"/>
      <c r="BM490" s="319"/>
      <c r="BN490" s="319"/>
      <c r="BO490" s="319"/>
      <c r="BP490" s="319"/>
      <c r="BQ490" s="319"/>
      <c r="BR490" s="319"/>
      <c r="BS490" s="319"/>
      <c r="BT490" s="319"/>
      <c r="BU490" s="319"/>
      <c r="BV490" s="319"/>
      <c r="BW490" s="319"/>
      <c r="BX490" s="319"/>
      <c r="BY490" s="319"/>
      <c r="BZ490" s="319"/>
      <c r="CA490" s="319"/>
      <c r="CB490" s="319"/>
      <c r="CC490" s="319"/>
      <c r="CD490" s="319"/>
      <c r="CE490" s="319"/>
      <c r="CF490" s="319"/>
      <c r="CG490" s="319"/>
      <c r="CH490" s="319"/>
      <c r="CI490" s="319"/>
      <c r="CJ490" s="319"/>
      <c r="CK490" s="319"/>
    </row>
    <row r="491" spans="1:89" ht="13.5" hidden="1" customHeight="1">
      <c r="A491" s="12"/>
      <c r="B491" s="329" t="str">
        <f>Language!C1799</f>
        <v>Perdas hidráulicas máximas</v>
      </c>
      <c r="C491" s="29" t="str">
        <f>$C$254</f>
        <v>%</v>
      </c>
      <c r="D491" s="339"/>
      <c r="E491" s="1"/>
      <c r="F491" s="1"/>
      <c r="G491" s="1"/>
      <c r="H491" s="1"/>
      <c r="I491" s="1"/>
      <c r="J491" s="1"/>
      <c r="K491" s="9"/>
      <c r="L491" s="1"/>
      <c r="M491" s="319"/>
      <c r="N491" s="319">
        <v>2113028</v>
      </c>
      <c r="O491" s="319"/>
      <c r="P491" s="319"/>
      <c r="Q491" s="319"/>
      <c r="R491" s="319"/>
      <c r="S491" s="319"/>
      <c r="T491" s="319"/>
      <c r="U491" s="319"/>
      <c r="V491" s="319"/>
      <c r="W491" s="319"/>
      <c r="X491" s="319"/>
      <c r="Y491" s="319"/>
      <c r="Z491" s="319"/>
      <c r="AA491" s="319"/>
      <c r="AB491" s="319"/>
      <c r="AC491" s="319"/>
      <c r="AD491" s="319"/>
      <c r="AE491" s="319"/>
      <c r="AF491" s="319"/>
      <c r="AG491" s="319"/>
      <c r="AH491" s="319"/>
      <c r="AI491" s="319"/>
      <c r="AJ491" s="319"/>
      <c r="AK491" s="319"/>
      <c r="AL491" s="319"/>
      <c r="AM491" s="319"/>
      <c r="AN491" s="319"/>
      <c r="AO491" s="319"/>
      <c r="AP491" s="319"/>
      <c r="AQ491" s="319"/>
      <c r="AR491" s="319"/>
      <c r="AS491" s="319"/>
      <c r="AT491" s="319"/>
      <c r="AU491" s="319"/>
      <c r="AV491" s="319"/>
      <c r="AW491" s="319"/>
      <c r="AX491" s="319"/>
      <c r="AY491" s="319"/>
      <c r="AZ491" s="319"/>
      <c r="BA491" s="319"/>
      <c r="BB491" s="319"/>
      <c r="BC491" s="319"/>
      <c r="BD491" s="319"/>
      <c r="BE491" s="319"/>
      <c r="BF491" s="319"/>
      <c r="BG491" s="319"/>
      <c r="BH491" s="319"/>
      <c r="BI491" s="319"/>
      <c r="BJ491" s="319"/>
      <c r="BK491" s="319"/>
      <c r="BL491" s="319"/>
      <c r="BM491" s="319"/>
      <c r="BN491" s="319"/>
      <c r="BO491" s="319"/>
      <c r="BP491" s="319"/>
      <c r="BQ491" s="319"/>
      <c r="BR491" s="319"/>
      <c r="BS491" s="319"/>
      <c r="BT491" s="319"/>
      <c r="BU491" s="319"/>
      <c r="BV491" s="319"/>
      <c r="BW491" s="319"/>
      <c r="BX491" s="319"/>
      <c r="BY491" s="319"/>
      <c r="BZ491" s="319"/>
      <c r="CA491" s="319"/>
      <c r="CB491" s="319"/>
      <c r="CC491" s="319"/>
      <c r="CD491" s="319"/>
      <c r="CE491" s="319"/>
      <c r="CF491" s="319"/>
      <c r="CG491" s="319"/>
      <c r="CH491" s="319"/>
      <c r="CI491" s="319"/>
      <c r="CJ491" s="319"/>
      <c r="CK491" s="319"/>
    </row>
    <row r="492" spans="1:89" ht="13.5" hidden="1" customHeight="1">
      <c r="A492" s="12"/>
      <c r="B492" s="329" t="str">
        <f>B255</f>
        <v>Perdas diversas</v>
      </c>
      <c r="C492" s="29" t="str">
        <f>$C$254</f>
        <v>%</v>
      </c>
      <c r="D492" s="339"/>
      <c r="E492" s="1"/>
      <c r="F492" s="1"/>
      <c r="G492" s="1"/>
      <c r="H492" s="1"/>
      <c r="I492" s="1"/>
      <c r="J492" s="1"/>
      <c r="K492" s="9"/>
      <c r="L492" s="1"/>
      <c r="M492" s="319"/>
      <c r="N492" s="319">
        <v>2113030</v>
      </c>
      <c r="O492" s="319"/>
      <c r="P492" s="319"/>
      <c r="Q492" s="319"/>
      <c r="R492" s="319"/>
      <c r="S492" s="319"/>
      <c r="T492" s="319"/>
      <c r="U492" s="319"/>
      <c r="V492" s="319"/>
      <c r="W492" s="319"/>
      <c r="X492" s="319"/>
      <c r="Y492" s="319"/>
      <c r="Z492" s="319"/>
      <c r="AA492" s="319"/>
      <c r="AB492" s="319"/>
      <c r="AC492" s="319"/>
      <c r="AD492" s="319"/>
      <c r="AE492" s="319"/>
      <c r="AF492" s="319"/>
      <c r="AG492" s="319"/>
      <c r="AH492" s="319"/>
      <c r="AI492" s="319"/>
      <c r="AJ492" s="319"/>
      <c r="AK492" s="319"/>
      <c r="AL492" s="319"/>
      <c r="AM492" s="319"/>
      <c r="AN492" s="319"/>
      <c r="AO492" s="319"/>
      <c r="AP492" s="319"/>
      <c r="AQ492" s="319"/>
      <c r="AR492" s="319"/>
      <c r="AS492" s="319"/>
      <c r="AT492" s="319"/>
      <c r="AU492" s="319"/>
      <c r="AV492" s="319"/>
      <c r="AW492" s="319"/>
      <c r="AX492" s="319"/>
      <c r="AY492" s="319"/>
      <c r="AZ492" s="319"/>
      <c r="BA492" s="319"/>
      <c r="BB492" s="319"/>
      <c r="BC492" s="319"/>
      <c r="BD492" s="319"/>
      <c r="BE492" s="319"/>
      <c r="BF492" s="319"/>
      <c r="BG492" s="319"/>
      <c r="BH492" s="319"/>
      <c r="BI492" s="319"/>
      <c r="BJ492" s="319"/>
      <c r="BK492" s="319"/>
      <c r="BL492" s="319"/>
      <c r="BM492" s="319"/>
      <c r="BN492" s="319"/>
      <c r="BO492" s="319"/>
      <c r="BP492" s="319"/>
      <c r="BQ492" s="319"/>
      <c r="BR492" s="319"/>
      <c r="BS492" s="319"/>
      <c r="BT492" s="319"/>
      <c r="BU492" s="319"/>
      <c r="BV492" s="319"/>
      <c r="BW492" s="319"/>
      <c r="BX492" s="319"/>
      <c r="BY492" s="319"/>
      <c r="BZ492" s="319"/>
      <c r="CA492" s="319"/>
      <c r="CB492" s="319"/>
      <c r="CC492" s="319"/>
      <c r="CD492" s="319"/>
      <c r="CE492" s="319"/>
      <c r="CF492" s="319"/>
      <c r="CG492" s="319"/>
      <c r="CH492" s="319"/>
      <c r="CI492" s="319"/>
      <c r="CJ492" s="319"/>
      <c r="CK492" s="319"/>
    </row>
    <row r="493" spans="1:89" ht="13.5" hidden="1" customHeight="1">
      <c r="A493" s="12"/>
      <c r="B493" s="329" t="str">
        <f>Language!C2828</f>
        <v>Eficiência do gerador</v>
      </c>
      <c r="C493" s="29" t="str">
        <f>$C$254</f>
        <v>%</v>
      </c>
      <c r="D493" s="339"/>
      <c r="E493" s="1"/>
      <c r="F493" s="1"/>
      <c r="G493" s="1"/>
      <c r="H493" s="1"/>
      <c r="I493" s="1"/>
      <c r="J493" s="1"/>
      <c r="K493" s="9"/>
      <c r="L493" s="1"/>
      <c r="M493" s="319"/>
      <c r="N493" s="319">
        <v>2113029</v>
      </c>
      <c r="O493" s="319"/>
      <c r="P493" s="319"/>
      <c r="Q493" s="319"/>
      <c r="R493" s="319"/>
      <c r="S493" s="319"/>
      <c r="T493" s="319"/>
      <c r="U493" s="319"/>
      <c r="V493" s="319"/>
      <c r="W493" s="319"/>
      <c r="X493" s="319"/>
      <c r="Y493" s="319"/>
      <c r="Z493" s="319"/>
      <c r="AA493" s="319"/>
      <c r="AB493" s="319"/>
      <c r="AC493" s="319"/>
      <c r="AD493" s="319"/>
      <c r="AE493" s="319"/>
      <c r="AF493" s="319"/>
      <c r="AG493" s="319"/>
      <c r="AH493" s="319"/>
      <c r="AI493" s="319"/>
      <c r="AJ493" s="319"/>
      <c r="AK493" s="319"/>
      <c r="AL493" s="319"/>
      <c r="AM493" s="319"/>
      <c r="AN493" s="319"/>
      <c r="AO493" s="319"/>
      <c r="AP493" s="319"/>
      <c r="AQ493" s="319"/>
      <c r="AR493" s="319"/>
      <c r="AS493" s="319"/>
      <c r="AT493" s="319"/>
      <c r="AU493" s="319"/>
      <c r="AV493" s="319"/>
      <c r="AW493" s="319"/>
      <c r="AX493" s="319"/>
      <c r="AY493" s="319"/>
      <c r="AZ493" s="319"/>
      <c r="BA493" s="319"/>
      <c r="BB493" s="319"/>
      <c r="BC493" s="319"/>
      <c r="BD493" s="319"/>
      <c r="BE493" s="319"/>
      <c r="BF493" s="319"/>
      <c r="BG493" s="319"/>
      <c r="BH493" s="319"/>
      <c r="BI493" s="319"/>
      <c r="BJ493" s="319"/>
      <c r="BK493" s="319"/>
      <c r="BL493" s="319"/>
      <c r="BM493" s="319"/>
      <c r="BN493" s="319"/>
      <c r="BO493" s="319"/>
      <c r="BP493" s="319"/>
      <c r="BQ493" s="319"/>
      <c r="BR493" s="319"/>
      <c r="BS493" s="319"/>
      <c r="BT493" s="319"/>
      <c r="BU493" s="319"/>
      <c r="BV493" s="319"/>
      <c r="BW493" s="319"/>
      <c r="BX493" s="319"/>
      <c r="BY493" s="319"/>
      <c r="BZ493" s="319"/>
      <c r="CA493" s="319"/>
      <c r="CB493" s="319"/>
      <c r="CC493" s="319"/>
      <c r="CD493" s="319"/>
      <c r="CE493" s="319"/>
      <c r="CF493" s="319"/>
      <c r="CG493" s="319"/>
      <c r="CH493" s="319"/>
      <c r="CI493" s="319"/>
      <c r="CJ493" s="319"/>
      <c r="CK493" s="319"/>
    </row>
    <row r="494" spans="1:89" ht="13.5" hidden="1" customHeight="1">
      <c r="A494" s="12"/>
      <c r="B494" s="329" t="str">
        <f>B387</f>
        <v>Disponibilidade</v>
      </c>
      <c r="C494" s="29" t="str">
        <f>$C$254</f>
        <v>%</v>
      </c>
      <c r="D494" s="339"/>
      <c r="E494" s="1"/>
      <c r="F494" s="1"/>
      <c r="G494" s="1"/>
      <c r="H494" s="1"/>
      <c r="I494" s="1"/>
      <c r="J494" s="1"/>
      <c r="K494" s="9"/>
      <c r="L494" s="1"/>
      <c r="M494" s="319"/>
      <c r="N494" s="319">
        <v>2113032</v>
      </c>
      <c r="O494" s="319"/>
      <c r="P494" s="319"/>
      <c r="Q494" s="319"/>
      <c r="R494" s="319"/>
      <c r="S494" s="319"/>
      <c r="T494" s="319"/>
      <c r="U494" s="319"/>
      <c r="V494" s="319"/>
      <c r="W494" s="319"/>
      <c r="X494" s="319"/>
      <c r="Y494" s="319"/>
      <c r="Z494" s="319"/>
      <c r="AA494" s="319"/>
      <c r="AB494" s="319"/>
      <c r="AC494" s="319"/>
      <c r="AD494" s="319"/>
      <c r="AE494" s="319"/>
      <c r="AF494" s="319"/>
      <c r="AG494" s="319"/>
      <c r="AH494" s="319"/>
      <c r="AI494" s="319"/>
      <c r="AJ494" s="319"/>
      <c r="AK494" s="319"/>
      <c r="AL494" s="319"/>
      <c r="AM494" s="319"/>
      <c r="AN494" s="319"/>
      <c r="AO494" s="319"/>
      <c r="AP494" s="319"/>
      <c r="AQ494" s="319"/>
      <c r="AR494" s="319"/>
      <c r="AS494" s="319"/>
      <c r="AT494" s="319"/>
      <c r="AU494" s="319"/>
      <c r="AV494" s="319"/>
      <c r="AW494" s="319"/>
      <c r="AX494" s="319"/>
      <c r="AY494" s="319"/>
      <c r="AZ494" s="319"/>
      <c r="BA494" s="319"/>
      <c r="BB494" s="319"/>
      <c r="BC494" s="319"/>
      <c r="BD494" s="319"/>
      <c r="BE494" s="319"/>
      <c r="BF494" s="319"/>
      <c r="BG494" s="319"/>
      <c r="BH494" s="319"/>
      <c r="BI494" s="319"/>
      <c r="BJ494" s="319"/>
      <c r="BK494" s="319"/>
      <c r="BL494" s="319"/>
      <c r="BM494" s="319"/>
      <c r="BN494" s="319"/>
      <c r="BO494" s="319"/>
      <c r="BP494" s="319"/>
      <c r="BQ494" s="319"/>
      <c r="BR494" s="319"/>
      <c r="BS494" s="319"/>
      <c r="BT494" s="319"/>
      <c r="BU494" s="319"/>
      <c r="BV494" s="319"/>
      <c r="BW494" s="319"/>
      <c r="BX494" s="319"/>
      <c r="BY494" s="319"/>
      <c r="BZ494" s="319"/>
      <c r="CA494" s="319"/>
      <c r="CB494" s="319"/>
      <c r="CC494" s="319"/>
      <c r="CD494" s="319"/>
      <c r="CE494" s="319"/>
      <c r="CF494" s="319"/>
      <c r="CG494" s="319"/>
      <c r="CH494" s="319"/>
      <c r="CI494" s="319"/>
      <c r="CJ494" s="319"/>
      <c r="CK494" s="319"/>
    </row>
    <row r="495" spans="1:89" ht="13.5" hidden="1" customHeight="1">
      <c r="A495" s="12"/>
      <c r="B495" s="1"/>
      <c r="C495" s="1"/>
      <c r="D495" s="1"/>
      <c r="E495" s="1"/>
      <c r="F495" s="1"/>
      <c r="G495" s="28"/>
      <c r="H495" s="1"/>
      <c r="I495" s="1"/>
      <c r="J495" s="1"/>
      <c r="K495" s="9"/>
      <c r="L495" s="1"/>
      <c r="M495" s="319"/>
      <c r="N495" s="319">
        <v>5050000</v>
      </c>
      <c r="O495" s="319"/>
      <c r="P495" s="319"/>
      <c r="Q495" s="319"/>
      <c r="R495" s="319"/>
      <c r="S495" s="319"/>
      <c r="T495" s="319"/>
      <c r="U495" s="319"/>
      <c r="V495" s="319"/>
      <c r="W495" s="319"/>
      <c r="X495" s="319"/>
      <c r="Y495" s="319"/>
      <c r="Z495" s="319"/>
      <c r="AA495" s="319"/>
      <c r="AB495" s="319"/>
      <c r="AC495" s="319"/>
      <c r="AD495" s="319"/>
      <c r="AE495" s="319"/>
      <c r="AF495" s="319"/>
      <c r="AG495" s="319"/>
      <c r="AH495" s="319"/>
      <c r="AI495" s="319"/>
      <c r="AJ495" s="319"/>
      <c r="AK495" s="319"/>
      <c r="AL495" s="319"/>
      <c r="AM495" s="319"/>
      <c r="AN495" s="319"/>
      <c r="AO495" s="319"/>
      <c r="AP495" s="319"/>
      <c r="AQ495" s="319"/>
      <c r="AR495" s="319"/>
      <c r="AS495" s="319"/>
      <c r="AT495" s="319"/>
      <c r="AU495" s="319"/>
      <c r="AV495" s="319"/>
      <c r="AW495" s="319"/>
      <c r="AX495" s="319"/>
      <c r="AY495" s="319"/>
      <c r="AZ495" s="319"/>
      <c r="BA495" s="319"/>
      <c r="BB495" s="319"/>
      <c r="BC495" s="319"/>
      <c r="BD495" s="319"/>
      <c r="BE495" s="319"/>
      <c r="BF495" s="319"/>
      <c r="BG495" s="319"/>
      <c r="BH495" s="319"/>
      <c r="BI495" s="319"/>
      <c r="BJ495" s="319"/>
      <c r="BK495" s="319"/>
      <c r="BL495" s="319"/>
      <c r="BM495" s="319"/>
      <c r="BN495" s="319"/>
      <c r="BO495" s="319"/>
      <c r="BP495" s="319"/>
      <c r="BQ495" s="319"/>
      <c r="BR495" s="319"/>
      <c r="BS495" s="319"/>
      <c r="BT495" s="319"/>
      <c r="BU495" s="319"/>
      <c r="BV495" s="319"/>
      <c r="BW495" s="319"/>
      <c r="BX495" s="319"/>
      <c r="BY495" s="319"/>
      <c r="BZ495" s="319"/>
      <c r="CA495" s="319"/>
      <c r="CB495" s="319"/>
      <c r="CC495" s="319"/>
      <c r="CD495" s="319"/>
      <c r="CE495" s="319"/>
      <c r="CF495" s="319"/>
      <c r="CG495" s="319"/>
      <c r="CH495" s="319"/>
      <c r="CI495" s="319"/>
      <c r="CJ495" s="319"/>
      <c r="CK495" s="319"/>
    </row>
    <row r="496" spans="1:89" ht="13.2" hidden="1">
      <c r="A496" s="12"/>
      <c r="B496" s="28" t="str">
        <f>Language!C396</f>
        <v>Resumo</v>
      </c>
      <c r="C496" s="1"/>
      <c r="D496" s="1"/>
      <c r="E496" s="29" t="str">
        <f>Language!C1659</f>
        <v>Garantido</v>
      </c>
      <c r="F496" s="1"/>
      <c r="G496" s="1"/>
      <c r="H496" s="1"/>
      <c r="I496" s="1"/>
      <c r="J496" s="1"/>
      <c r="K496" s="9"/>
      <c r="L496" s="1"/>
      <c r="M496" s="319"/>
      <c r="N496" s="319">
        <v>5050068</v>
      </c>
      <c r="O496" s="319"/>
      <c r="P496" s="319" t="s">
        <v>6003</v>
      </c>
      <c r="Q496" s="319"/>
      <c r="R496" s="319"/>
      <c r="S496" s="319"/>
      <c r="T496" s="319"/>
      <c r="U496" s="319"/>
      <c r="V496" s="319"/>
      <c r="W496" s="319"/>
      <c r="X496" s="319"/>
      <c r="Y496" s="319"/>
      <c r="Z496" s="319"/>
      <c r="AA496" s="319"/>
      <c r="AB496" s="319"/>
      <c r="AC496" s="319"/>
      <c r="AD496" s="319"/>
      <c r="AE496" s="319"/>
      <c r="AF496" s="319"/>
      <c r="AG496" s="319"/>
      <c r="AH496" s="319"/>
      <c r="AI496" s="319"/>
      <c r="AJ496" s="319"/>
      <c r="AK496" s="319"/>
      <c r="AL496" s="319"/>
      <c r="AM496" s="319"/>
      <c r="AN496" s="319"/>
      <c r="AO496" s="319"/>
      <c r="AP496" s="319"/>
      <c r="AQ496" s="319"/>
      <c r="AR496" s="319"/>
      <c r="AS496" s="319"/>
      <c r="AT496" s="319"/>
      <c r="AU496" s="319"/>
      <c r="AV496" s="319"/>
      <c r="AW496" s="319"/>
      <c r="AX496" s="319"/>
      <c r="AY496" s="319"/>
      <c r="AZ496" s="319"/>
      <c r="BA496" s="319"/>
      <c r="BB496" s="319"/>
      <c r="BC496" s="319"/>
      <c r="BD496" s="319"/>
      <c r="BE496" s="319"/>
      <c r="BF496" s="319"/>
      <c r="BG496" s="319"/>
      <c r="BH496" s="319"/>
      <c r="BI496" s="319"/>
      <c r="BJ496" s="319"/>
      <c r="BK496" s="319"/>
      <c r="BL496" s="319"/>
      <c r="BM496" s="319"/>
      <c r="BN496" s="319"/>
      <c r="BO496" s="319"/>
      <c r="BP496" s="319"/>
      <c r="BQ496" s="319"/>
      <c r="BR496" s="319"/>
      <c r="BS496" s="319"/>
      <c r="BT496" s="319"/>
      <c r="BU496" s="319"/>
      <c r="BV496" s="319"/>
      <c r="BW496" s="319"/>
      <c r="BX496" s="319"/>
      <c r="BY496" s="319"/>
      <c r="BZ496" s="319"/>
      <c r="CA496" s="319"/>
      <c r="CB496" s="319"/>
      <c r="CC496" s="319"/>
      <c r="CD496" s="319"/>
      <c r="CE496" s="319"/>
      <c r="CF496" s="319"/>
      <c r="CG496" s="319"/>
      <c r="CH496" s="319"/>
      <c r="CI496" s="319"/>
      <c r="CJ496" s="319"/>
      <c r="CK496" s="319"/>
    </row>
    <row r="497" spans="1:89" ht="13.5" hidden="1" customHeight="1">
      <c r="A497" s="12"/>
      <c r="B497" s="329" t="str">
        <f>B853</f>
        <v>Potência elétrica</v>
      </c>
      <c r="C497" s="29" t="str">
        <f>$F$1169</f>
        <v>kW</v>
      </c>
      <c r="D497" s="331">
        <f>'Modelo Energético'!D434</f>
        <v>0</v>
      </c>
      <c r="E497" s="331">
        <f>'Modelo Energético'!E434</f>
        <v>0</v>
      </c>
      <c r="F497" s="1"/>
      <c r="G497" s="1"/>
      <c r="H497" s="1"/>
      <c r="I497" s="1"/>
      <c r="J497" s="1"/>
      <c r="K497" s="9"/>
      <c r="L497" s="1"/>
      <c r="M497" s="319"/>
      <c r="N497" s="319">
        <v>2114002</v>
      </c>
      <c r="O497" s="319"/>
      <c r="P497" s="817">
        <f>SUMPRODUCT(D476:D487,P476:P487)/365</f>
        <v>0</v>
      </c>
      <c r="Q497" s="319">
        <f>IF(Q474=TRUE,SUMPRODUCT(D476:D487,P476:P487)/365,1)</f>
        <v>1</v>
      </c>
      <c r="R497" s="319"/>
      <c r="S497" s="319"/>
      <c r="T497" s="319"/>
      <c r="U497" s="319"/>
      <c r="V497" s="319"/>
      <c r="W497" s="319"/>
      <c r="X497" s="319"/>
      <c r="Y497" s="319"/>
      <c r="Z497" s="319"/>
      <c r="AA497" s="319"/>
      <c r="AB497" s="319"/>
      <c r="AC497" s="319"/>
      <c r="AD497" s="319"/>
      <c r="AE497" s="319"/>
      <c r="AF497" s="319"/>
      <c r="AG497" s="319"/>
      <c r="AH497" s="319"/>
      <c r="AI497" s="319"/>
      <c r="AJ497" s="319"/>
      <c r="AK497" s="319"/>
      <c r="AL497" s="319"/>
      <c r="AM497" s="319"/>
      <c r="AN497" s="319"/>
      <c r="AO497" s="319"/>
      <c r="AP497" s="319"/>
      <c r="AQ497" s="319"/>
      <c r="AR497" s="319"/>
      <c r="AS497" s="319"/>
      <c r="AT497" s="319"/>
      <c r="AU497" s="319"/>
      <c r="AV497" s="319"/>
      <c r="AW497" s="319"/>
      <c r="AX497" s="319"/>
      <c r="AY497" s="319"/>
      <c r="AZ497" s="319"/>
      <c r="BA497" s="319"/>
      <c r="BB497" s="319"/>
      <c r="BC497" s="319"/>
      <c r="BD497" s="319"/>
      <c r="BE497" s="319"/>
      <c r="BF497" s="319"/>
      <c r="BG497" s="319"/>
      <c r="BH497" s="319"/>
      <c r="BI497" s="319"/>
      <c r="BJ497" s="319"/>
      <c r="BK497" s="319"/>
      <c r="BL497" s="319"/>
      <c r="BM497" s="319"/>
      <c r="BN497" s="319"/>
      <c r="BO497" s="319"/>
      <c r="BP497" s="319"/>
      <c r="BQ497" s="319"/>
      <c r="BR497" s="319"/>
      <c r="BS497" s="319"/>
      <c r="BT497" s="319"/>
      <c r="BU497" s="319"/>
      <c r="BV497" s="319"/>
      <c r="BW497" s="319"/>
      <c r="BX497" s="319"/>
      <c r="BY497" s="319"/>
      <c r="BZ497" s="319"/>
      <c r="CA497" s="319"/>
      <c r="CB497" s="319"/>
      <c r="CC497" s="319"/>
      <c r="CD497" s="319"/>
      <c r="CE497" s="319"/>
      <c r="CF497" s="319"/>
      <c r="CG497" s="319"/>
      <c r="CH497" s="319"/>
      <c r="CI497" s="319"/>
      <c r="CJ497" s="319"/>
      <c r="CK497" s="319"/>
    </row>
    <row r="498" spans="1:89" ht="13.5" hidden="1" customHeight="1">
      <c r="A498" s="12"/>
      <c r="B498" s="265"/>
      <c r="C498" s="29"/>
      <c r="D498" s="67"/>
      <c r="E498" s="1"/>
      <c r="F498" s="1"/>
      <c r="G498" s="1"/>
      <c r="H498" s="1"/>
      <c r="I498" s="1"/>
      <c r="J498" s="1"/>
      <c r="K498" s="9"/>
      <c r="L498" s="1"/>
      <c r="M498" s="319"/>
      <c r="N498" s="319">
        <v>5050068</v>
      </c>
      <c r="O498" s="319"/>
      <c r="P498" s="319"/>
      <c r="Q498" s="319"/>
      <c r="R498" s="319"/>
      <c r="S498" s="319"/>
      <c r="T498" s="319"/>
      <c r="U498" s="319"/>
      <c r="V498" s="319"/>
      <c r="W498" s="319"/>
      <c r="X498" s="319"/>
      <c r="Y498" s="319"/>
      <c r="Z498" s="319"/>
      <c r="AA498" s="319"/>
      <c r="AB498" s="319"/>
      <c r="AC498" s="319"/>
      <c r="AD498" s="319"/>
      <c r="AE498" s="319"/>
      <c r="AF498" s="319"/>
      <c r="AG498" s="319"/>
      <c r="AH498" s="319"/>
      <c r="AI498" s="319"/>
      <c r="AJ498" s="319"/>
      <c r="AK498" s="319"/>
      <c r="AL498" s="319"/>
      <c r="AM498" s="319"/>
      <c r="AN498" s="319"/>
      <c r="AO498" s="319"/>
      <c r="AP498" s="319"/>
      <c r="AQ498" s="319"/>
      <c r="AR498" s="319"/>
      <c r="AS498" s="319"/>
      <c r="AT498" s="319"/>
      <c r="AU498" s="319"/>
      <c r="AV498" s="319"/>
      <c r="AW498" s="319"/>
      <c r="AX498" s="319"/>
      <c r="AY498" s="319"/>
      <c r="AZ498" s="319"/>
      <c r="BA498" s="319"/>
      <c r="BB498" s="319"/>
      <c r="BC498" s="319"/>
      <c r="BD498" s="319"/>
      <c r="BE498" s="319"/>
      <c r="BF498" s="319"/>
      <c r="BG498" s="319"/>
      <c r="BH498" s="319"/>
      <c r="BI498" s="319"/>
      <c r="BJ498" s="319"/>
      <c r="BK498" s="319"/>
      <c r="BL498" s="319"/>
      <c r="BM498" s="319"/>
      <c r="BN498" s="319"/>
      <c r="BO498" s="319"/>
      <c r="BP498" s="319"/>
      <c r="BQ498" s="319"/>
      <c r="BR498" s="319"/>
      <c r="BS498" s="319"/>
      <c r="BT498" s="319"/>
      <c r="BU498" s="319"/>
      <c r="BV498" s="319"/>
      <c r="BW498" s="319"/>
      <c r="BX498" s="319"/>
      <c r="BY498" s="319"/>
      <c r="BZ498" s="319"/>
      <c r="CA498" s="319"/>
      <c r="CB498" s="319"/>
      <c r="CC498" s="319"/>
      <c r="CD498" s="319"/>
      <c r="CE498" s="319"/>
      <c r="CF498" s="319"/>
      <c r="CG498" s="319"/>
      <c r="CH498" s="319"/>
      <c r="CI498" s="319"/>
      <c r="CJ498" s="319"/>
      <c r="CK498" s="319"/>
    </row>
    <row r="499" spans="1:89" ht="13.5" hidden="1" customHeight="1">
      <c r="A499" s="12"/>
      <c r="B499" s="329" t="str">
        <f>B856</f>
        <v>Fator de Utilização</v>
      </c>
      <c r="C499" s="29" t="str">
        <f>$C$254</f>
        <v>%</v>
      </c>
      <c r="D499" s="223">
        <f>'Modelo Energético'!D436</f>
        <v>0</v>
      </c>
      <c r="E499" s="1"/>
      <c r="F499" s="1"/>
      <c r="G499" s="1"/>
      <c r="H499" s="1"/>
      <c r="I499" s="1"/>
      <c r="J499" s="1"/>
      <c r="K499" s="9"/>
      <c r="L499" s="1"/>
      <c r="M499" s="319"/>
      <c r="N499" s="319">
        <v>2114006</v>
      </c>
      <c r="O499" s="319"/>
      <c r="P499" s="319"/>
      <c r="Q499" s="319"/>
      <c r="R499" s="319"/>
      <c r="S499" s="319"/>
      <c r="T499" s="319"/>
      <c r="U499" s="319"/>
      <c r="V499" s="319"/>
      <c r="W499" s="319"/>
      <c r="X499" s="319"/>
      <c r="Y499" s="319"/>
      <c r="Z499" s="319"/>
      <c r="AA499" s="319"/>
      <c r="AB499" s="319"/>
      <c r="AC499" s="319"/>
      <c r="AD499" s="319"/>
      <c r="AE499" s="319"/>
      <c r="AF499" s="319"/>
      <c r="AG499" s="319"/>
      <c r="AH499" s="319"/>
      <c r="AI499" s="319"/>
      <c r="AJ499" s="319"/>
      <c r="AK499" s="319"/>
      <c r="AL499" s="319"/>
      <c r="AM499" s="319"/>
      <c r="AN499" s="319"/>
      <c r="AO499" s="319"/>
      <c r="AP499" s="319"/>
      <c r="AQ499" s="319"/>
      <c r="AR499" s="319"/>
      <c r="AS499" s="319"/>
      <c r="AT499" s="319"/>
      <c r="AU499" s="319"/>
      <c r="AV499" s="319"/>
      <c r="AW499" s="319"/>
      <c r="AX499" s="319"/>
      <c r="AY499" s="319"/>
      <c r="AZ499" s="319"/>
      <c r="BA499" s="319"/>
      <c r="BB499" s="319"/>
      <c r="BC499" s="319"/>
      <c r="BD499" s="319"/>
      <c r="BE499" s="319"/>
      <c r="BF499" s="319"/>
      <c r="BG499" s="319"/>
      <c r="BH499" s="319"/>
      <c r="BI499" s="319"/>
      <c r="BJ499" s="319"/>
      <c r="BK499" s="319"/>
      <c r="BL499" s="319"/>
      <c r="BM499" s="319"/>
      <c r="BN499" s="319"/>
      <c r="BO499" s="319"/>
      <c r="BP499" s="319"/>
      <c r="BQ499" s="319"/>
      <c r="BR499" s="319"/>
      <c r="BS499" s="319"/>
      <c r="BT499" s="319"/>
      <c r="BU499" s="319"/>
      <c r="BV499" s="319"/>
      <c r="BW499" s="319"/>
      <c r="BX499" s="319"/>
      <c r="BY499" s="319"/>
      <c r="BZ499" s="319"/>
      <c r="CA499" s="319"/>
      <c r="CB499" s="319"/>
      <c r="CC499" s="319"/>
      <c r="CD499" s="319"/>
      <c r="CE499" s="319"/>
      <c r="CF499" s="319"/>
      <c r="CG499" s="319"/>
      <c r="CH499" s="319"/>
      <c r="CI499" s="319"/>
      <c r="CJ499" s="319"/>
      <c r="CK499" s="319"/>
    </row>
    <row r="500" spans="1:89" ht="13.5" hidden="1" customHeight="1">
      <c r="A500" s="12"/>
      <c r="B500" s="329" t="str">
        <f>Language!C205</f>
        <v>Eletricidade fornecida à carga</v>
      </c>
      <c r="C500" s="29" t="str">
        <f>$J$1184</f>
        <v>MWh</v>
      </c>
      <c r="D500" s="293">
        <f>'Modelo Energético'!D437</f>
        <v>0</v>
      </c>
      <c r="E500" s="80" t="e">
        <f>D500/(E245+E246)</f>
        <v>#DIV/0!</v>
      </c>
      <c r="F500" s="8"/>
      <c r="G500" s="8"/>
      <c r="H500" s="8"/>
      <c r="I500" s="1"/>
      <c r="J500" s="1"/>
      <c r="K500" s="9"/>
      <c r="L500" s="1"/>
      <c r="M500" s="319"/>
      <c r="N500" s="319">
        <v>5030044</v>
      </c>
      <c r="O500" s="319"/>
      <c r="P500" s="319"/>
      <c r="Q500" s="319"/>
      <c r="R500" s="319"/>
      <c r="S500" s="319"/>
      <c r="T500" s="319"/>
      <c r="U500" s="319"/>
      <c r="V500" s="319"/>
      <c r="W500" s="319"/>
      <c r="X500" s="319"/>
      <c r="Y500" s="319"/>
      <c r="Z500" s="319"/>
      <c r="AA500" s="319"/>
      <c r="AB500" s="319"/>
      <c r="AC500" s="319"/>
      <c r="AD500" s="319"/>
      <c r="AE500" s="319"/>
      <c r="AF500" s="319"/>
      <c r="AG500" s="319"/>
      <c r="AH500" s="319"/>
      <c r="AI500" s="319"/>
      <c r="AJ500" s="319"/>
      <c r="AK500" s="319"/>
      <c r="AL500" s="319"/>
      <c r="AM500" s="319"/>
      <c r="AN500" s="319"/>
      <c r="AO500" s="319"/>
      <c r="AP500" s="319"/>
      <c r="AQ500" s="319"/>
      <c r="AR500" s="319"/>
      <c r="AS500" s="319"/>
      <c r="AT500" s="319"/>
      <c r="AU500" s="319"/>
      <c r="AV500" s="319"/>
      <c r="AW500" s="319"/>
      <c r="AX500" s="319"/>
      <c r="AY500" s="319"/>
      <c r="AZ500" s="319"/>
      <c r="BA500" s="319"/>
      <c r="BB500" s="319"/>
      <c r="BC500" s="319"/>
      <c r="BD500" s="319"/>
      <c r="BE500" s="319"/>
      <c r="BF500" s="319"/>
      <c r="BG500" s="319"/>
      <c r="BH500" s="319"/>
      <c r="BI500" s="319"/>
      <c r="BJ500" s="319"/>
      <c r="BK500" s="319"/>
      <c r="BL500" s="319"/>
      <c r="BM500" s="319"/>
      <c r="BN500" s="319"/>
      <c r="BO500" s="319"/>
      <c r="BP500" s="319"/>
      <c r="BQ500" s="319"/>
      <c r="BR500" s="319"/>
      <c r="BS500" s="319"/>
      <c r="BT500" s="319"/>
      <c r="BU500" s="319"/>
      <c r="BV500" s="319"/>
      <c r="BW500" s="319"/>
      <c r="BX500" s="319"/>
      <c r="BY500" s="319"/>
      <c r="BZ500" s="319"/>
      <c r="CA500" s="319"/>
      <c r="CB500" s="319"/>
      <c r="CC500" s="319"/>
      <c r="CD500" s="319"/>
      <c r="CE500" s="319"/>
      <c r="CF500" s="319"/>
      <c r="CG500" s="319"/>
      <c r="CH500" s="319"/>
      <c r="CI500" s="319"/>
      <c r="CJ500" s="319"/>
      <c r="CK500" s="319"/>
    </row>
    <row r="501" spans="1:89" ht="12.75" hidden="1" customHeight="1">
      <c r="A501" s="12"/>
      <c r="B501" s="329"/>
      <c r="C501" s="329"/>
      <c r="D501" s="329"/>
      <c r="E501" s="329"/>
      <c r="F501" s="1"/>
      <c r="G501" s="1"/>
      <c r="H501" s="1"/>
      <c r="I501" s="1"/>
      <c r="J501" s="1"/>
      <c r="K501" s="9"/>
      <c r="L501" s="1"/>
      <c r="M501" s="319"/>
      <c r="N501" s="319">
        <v>5050000</v>
      </c>
      <c r="O501" s="319"/>
      <c r="P501" s="319"/>
      <c r="Q501" s="319"/>
      <c r="R501" s="319"/>
      <c r="S501" s="319"/>
      <c r="T501" s="319"/>
      <c r="U501" s="319"/>
      <c r="V501" s="319"/>
      <c r="W501" s="319"/>
      <c r="X501" s="319"/>
      <c r="Y501" s="319"/>
      <c r="Z501" s="319"/>
      <c r="AA501" s="319"/>
      <c r="AB501" s="319"/>
      <c r="AC501" s="319"/>
      <c r="AD501" s="319"/>
      <c r="AE501" s="319"/>
      <c r="AF501" s="319"/>
      <c r="AG501" s="319"/>
      <c r="AH501" s="319"/>
      <c r="AI501" s="319"/>
      <c r="AJ501" s="319"/>
      <c r="AK501" s="319"/>
      <c r="AL501" s="319"/>
      <c r="AM501" s="319"/>
      <c r="AN501" s="319"/>
      <c r="AO501" s="319"/>
      <c r="AP501" s="319"/>
      <c r="AQ501" s="319"/>
      <c r="AR501" s="319"/>
      <c r="AS501" s="319"/>
      <c r="AT501" s="319"/>
      <c r="AU501" s="319"/>
      <c r="AV501" s="319"/>
      <c r="AW501" s="319"/>
      <c r="AX501" s="319"/>
      <c r="AY501" s="319"/>
      <c r="AZ501" s="319"/>
      <c r="BA501" s="319"/>
      <c r="BB501" s="319"/>
      <c r="BC501" s="319"/>
      <c r="BD501" s="319"/>
      <c r="BE501" s="319"/>
      <c r="BF501" s="319"/>
      <c r="BG501" s="319"/>
      <c r="BH501" s="319"/>
      <c r="BI501" s="319"/>
      <c r="BJ501" s="319"/>
      <c r="BK501" s="319"/>
      <c r="BL501" s="319"/>
      <c r="BM501" s="319"/>
      <c r="BN501" s="319"/>
      <c r="BO501" s="319"/>
      <c r="BP501" s="319"/>
      <c r="BQ501" s="319"/>
      <c r="BR501" s="319"/>
      <c r="BS501" s="319"/>
      <c r="BT501" s="319"/>
      <c r="BU501" s="319"/>
      <c r="BV501" s="319"/>
      <c r="BW501" s="319"/>
      <c r="BX501" s="319"/>
      <c r="BY501" s="319"/>
      <c r="BZ501" s="319"/>
      <c r="CA501" s="319"/>
      <c r="CB501" s="319"/>
      <c r="CC501" s="319"/>
      <c r="CD501" s="319"/>
      <c r="CE501" s="319"/>
      <c r="CF501" s="319"/>
      <c r="CG501" s="319"/>
      <c r="CH501" s="319"/>
      <c r="CI501" s="319"/>
      <c r="CJ501" s="319"/>
      <c r="CK501" s="319"/>
    </row>
    <row r="502" spans="1:89" ht="12.75" hidden="1" customHeight="1">
      <c r="A502" s="12"/>
      <c r="B502" s="28" t="str">
        <f>Language!C133</f>
        <v>Motor recíproco</v>
      </c>
      <c r="C502" s="29"/>
      <c r="D502" s="29"/>
      <c r="E502" s="1"/>
      <c r="F502" s="1"/>
      <c r="G502" s="82"/>
      <c r="H502" s="1"/>
      <c r="I502" s="1"/>
      <c r="J502" s="1"/>
      <c r="K502" s="9"/>
      <c r="L502" s="1"/>
      <c r="M502" s="319"/>
      <c r="N502" s="319">
        <v>5060000</v>
      </c>
      <c r="O502" s="319"/>
      <c r="P502" s="319"/>
      <c r="Q502" s="319"/>
      <c r="R502" s="319"/>
      <c r="S502" s="319"/>
      <c r="T502" s="319"/>
      <c r="U502" s="319"/>
      <c r="V502" s="319"/>
      <c r="W502" s="319"/>
      <c r="X502" s="319"/>
      <c r="Y502" s="319"/>
      <c r="Z502" s="319"/>
      <c r="AA502" s="319"/>
      <c r="AB502" s="319"/>
      <c r="AC502" s="319"/>
      <c r="AD502" s="319"/>
      <c r="AE502" s="319"/>
      <c r="AF502" s="319"/>
      <c r="AG502" s="319"/>
      <c r="AH502" s="319"/>
      <c r="AI502" s="319"/>
      <c r="AJ502" s="319"/>
      <c r="AK502" s="319"/>
      <c r="AL502" s="319"/>
      <c r="AM502" s="319"/>
      <c r="AN502" s="319"/>
      <c r="AO502" s="319"/>
      <c r="AP502" s="319"/>
      <c r="AQ502" s="319"/>
      <c r="AR502" s="319"/>
      <c r="AS502" s="319"/>
      <c r="AT502" s="319"/>
      <c r="AU502" s="319"/>
      <c r="AV502" s="319"/>
      <c r="AW502" s="319"/>
      <c r="AX502" s="319"/>
      <c r="AY502" s="319"/>
      <c r="AZ502" s="319"/>
      <c r="BA502" s="319"/>
      <c r="BB502" s="319"/>
      <c r="BC502" s="319"/>
      <c r="BD502" s="319"/>
      <c r="BE502" s="319"/>
      <c r="BF502" s="319"/>
      <c r="BG502" s="319"/>
      <c r="BH502" s="319"/>
      <c r="BI502" s="319"/>
      <c r="BJ502" s="319"/>
      <c r="BK502" s="319"/>
      <c r="BL502" s="319"/>
      <c r="BM502" s="319"/>
      <c r="BN502" s="319"/>
      <c r="BO502" s="319"/>
      <c r="BP502" s="319"/>
      <c r="BQ502" s="319"/>
      <c r="BR502" s="319"/>
      <c r="BS502" s="319"/>
      <c r="BT502" s="319"/>
      <c r="BU502" s="319"/>
      <c r="BV502" s="319"/>
      <c r="BW502" s="319"/>
      <c r="BX502" s="319"/>
      <c r="BY502" s="319"/>
      <c r="BZ502" s="319"/>
      <c r="CA502" s="319"/>
      <c r="CB502" s="319"/>
      <c r="CC502" s="319"/>
      <c r="CD502" s="319"/>
      <c r="CE502" s="319"/>
      <c r="CF502" s="319"/>
      <c r="CG502" s="319"/>
      <c r="CH502" s="319"/>
      <c r="CI502" s="319"/>
      <c r="CJ502" s="319"/>
      <c r="CK502" s="319"/>
    </row>
    <row r="503" spans="1:89" ht="13.2" hidden="1">
      <c r="A503" s="12"/>
      <c r="B503" s="329" t="str">
        <f>$B$801</f>
        <v>Tipo de Combustível</v>
      </c>
      <c r="C503" s="1133" t="s">
        <v>7046</v>
      </c>
      <c r="D503" s="1134"/>
      <c r="E503" s="1135"/>
      <c r="F503" s="1"/>
      <c r="G503" s="82"/>
      <c r="H503" s="1"/>
      <c r="I503" s="1"/>
      <c r="J503" s="1"/>
      <c r="K503" s="9"/>
      <c r="L503" s="1"/>
      <c r="M503" s="319"/>
      <c r="N503" s="319">
        <v>2010106</v>
      </c>
      <c r="O503" s="319"/>
      <c r="P503" s="319"/>
      <c r="Q503" s="319"/>
      <c r="R503" s="319">
        <f>D504/VLOOKUP(C503,LN_FuelList,4,FALSE)*1000/3.6</f>
        <v>0</v>
      </c>
      <c r="S503" s="319" t="s">
        <v>1044</v>
      </c>
      <c r="T503" s="319"/>
      <c r="U503" s="319"/>
      <c r="V503" s="319"/>
      <c r="W503" s="319"/>
      <c r="X503" s="319"/>
      <c r="Y503" s="319"/>
      <c r="Z503" s="319"/>
      <c r="AA503" s="319"/>
      <c r="AB503" s="319"/>
      <c r="AC503" s="319"/>
      <c r="AD503" s="319"/>
      <c r="AE503" s="319"/>
      <c r="AF503" s="319"/>
      <c r="AG503" s="319"/>
      <c r="AH503" s="319"/>
      <c r="AI503" s="319"/>
      <c r="AJ503" s="319"/>
      <c r="AK503" s="319"/>
      <c r="AL503" s="319"/>
      <c r="AM503" s="319"/>
      <c r="AN503" s="319"/>
      <c r="AO503" s="319"/>
      <c r="AP503" s="319"/>
      <c r="AQ503" s="319"/>
      <c r="AR503" s="319"/>
      <c r="AS503" s="319"/>
      <c r="AT503" s="319"/>
      <c r="AU503" s="319"/>
      <c r="AV503" s="319"/>
      <c r="AW503" s="319"/>
      <c r="AX503" s="319"/>
      <c r="AY503" s="319"/>
      <c r="AZ503" s="319"/>
      <c r="BA503" s="319"/>
      <c r="BB503" s="319"/>
      <c r="BC503" s="319"/>
      <c r="BD503" s="319"/>
      <c r="BE503" s="319"/>
      <c r="BF503" s="319"/>
      <c r="BG503" s="319"/>
      <c r="BH503" s="319"/>
      <c r="BI503" s="319"/>
      <c r="BJ503" s="319"/>
      <c r="BK503" s="319"/>
      <c r="BL503" s="319"/>
      <c r="BM503" s="319"/>
      <c r="BN503" s="319"/>
      <c r="BO503" s="319"/>
      <c r="BP503" s="319"/>
      <c r="BQ503" s="319"/>
      <c r="BR503" s="319"/>
      <c r="BS503" s="319"/>
      <c r="BT503" s="319"/>
      <c r="BU503" s="319"/>
      <c r="BV503" s="319"/>
      <c r="BW503" s="319"/>
      <c r="BX503" s="319"/>
      <c r="BY503" s="319"/>
      <c r="BZ503" s="319"/>
      <c r="CA503" s="319"/>
      <c r="CB503" s="319"/>
      <c r="CC503" s="319"/>
      <c r="CD503" s="319"/>
      <c r="CE503" s="319"/>
      <c r="CF503" s="319"/>
      <c r="CG503" s="319"/>
      <c r="CH503" s="319"/>
      <c r="CI503" s="319"/>
      <c r="CJ503" s="319"/>
      <c r="CK503" s="319"/>
    </row>
    <row r="504" spans="1:89" ht="13.5" hidden="1" customHeight="1">
      <c r="A504" s="12"/>
      <c r="B504" s="329" t="str">
        <f>$B$804</f>
        <v>Preço do combustível</v>
      </c>
      <c r="C504" s="29" t="str">
        <f>VLOOKUP(C503,LN_FuelList,5,FALSE)</f>
        <v>€/m³</v>
      </c>
      <c r="D504" s="410"/>
      <c r="E504" s="1"/>
      <c r="F504" s="1"/>
      <c r="G504" s="82"/>
      <c r="H504" s="1"/>
      <c r="I504" s="1"/>
      <c r="J504" s="1"/>
      <c r="K504" s="9"/>
      <c r="L504" s="1"/>
      <c r="M504" s="319"/>
      <c r="N504" s="319">
        <v>2010108</v>
      </c>
      <c r="O504" s="319"/>
      <c r="P504" s="319"/>
      <c r="Q504" s="319"/>
      <c r="R504" s="319"/>
      <c r="S504" s="319"/>
      <c r="T504" s="319"/>
      <c r="U504" s="319"/>
      <c r="V504" s="319"/>
      <c r="W504" s="319"/>
      <c r="X504" s="319"/>
      <c r="Y504" s="319"/>
      <c r="Z504" s="319"/>
      <c r="AA504" s="319"/>
      <c r="AB504" s="319"/>
      <c r="AC504" s="319"/>
      <c r="AD504" s="319"/>
      <c r="AE504" s="319"/>
      <c r="AF504" s="319"/>
      <c r="AG504" s="319"/>
      <c r="AH504" s="319"/>
      <c r="AI504" s="319"/>
      <c r="AJ504" s="319"/>
      <c r="AK504" s="319"/>
      <c r="AL504" s="319"/>
      <c r="AM504" s="319"/>
      <c r="AN504" s="319"/>
      <c r="AO504" s="319"/>
      <c r="AP504" s="319"/>
      <c r="AQ504" s="319"/>
      <c r="AR504" s="319"/>
      <c r="AS504" s="319"/>
      <c r="AT504" s="319"/>
      <c r="AU504" s="319"/>
      <c r="AV504" s="319"/>
      <c r="AW504" s="319"/>
      <c r="AX504" s="319"/>
      <c r="AY504" s="319"/>
      <c r="AZ504" s="319"/>
      <c r="BA504" s="319"/>
      <c r="BB504" s="319"/>
      <c r="BC504" s="319"/>
      <c r="BD504" s="319"/>
      <c r="BE504" s="319"/>
      <c r="BF504" s="319"/>
      <c r="BG504" s="319"/>
      <c r="BH504" s="319"/>
      <c r="BI504" s="319"/>
      <c r="BJ504" s="319"/>
      <c r="BK504" s="319"/>
      <c r="BL504" s="319"/>
      <c r="BM504" s="319"/>
      <c r="BN504" s="319"/>
      <c r="BO504" s="319"/>
      <c r="BP504" s="319"/>
      <c r="BQ504" s="319"/>
      <c r="BR504" s="319"/>
      <c r="BS504" s="319"/>
      <c r="BT504" s="319"/>
      <c r="BU504" s="319"/>
      <c r="BV504" s="319"/>
      <c r="BW504" s="319"/>
      <c r="BX504" s="319"/>
      <c r="BY504" s="319"/>
      <c r="BZ504" s="319"/>
      <c r="CA504" s="319"/>
      <c r="CB504" s="319"/>
      <c r="CC504" s="319"/>
      <c r="CD504" s="319"/>
      <c r="CE504" s="319"/>
      <c r="CF504" s="319"/>
      <c r="CG504" s="319"/>
      <c r="CH504" s="319"/>
      <c r="CI504" s="319"/>
      <c r="CJ504" s="319"/>
      <c r="CK504" s="319"/>
    </row>
    <row r="505" spans="1:89" ht="13.5" hidden="1" customHeight="1">
      <c r="A505" s="12"/>
      <c r="B505" s="1" t="str">
        <f>B853</f>
        <v>Potência elétrica</v>
      </c>
      <c r="C505" s="29" t="str">
        <f>$F$1169</f>
        <v>kW</v>
      </c>
      <c r="D505" s="412"/>
      <c r="E505" s="96" t="e">
        <f>D505/E247</f>
        <v>#DIV/0!</v>
      </c>
      <c r="F505" s="1"/>
      <c r="G505" s="1346"/>
      <c r="H505" s="1"/>
      <c r="I505" s="1209" t="str">
        <f>$I$636</f>
        <v>Ver banco de dados de produtos</v>
      </c>
      <c r="J505" s="1191"/>
      <c r="K505" s="1210"/>
      <c r="L505" s="1"/>
      <c r="M505" s="319"/>
      <c r="N505" s="319">
        <v>5030024</v>
      </c>
      <c r="O505" s="319"/>
      <c r="P505" s="319"/>
      <c r="Q505" s="319"/>
      <c r="R505" s="319"/>
      <c r="S505" s="319"/>
      <c r="T505" s="319"/>
      <c r="U505" s="319"/>
      <c r="V505" s="319"/>
      <c r="W505" s="319"/>
      <c r="X505" s="319"/>
      <c r="Y505" s="319"/>
      <c r="Z505" s="319"/>
      <c r="AA505" s="319"/>
      <c r="AB505" s="319"/>
      <c r="AC505" s="319"/>
      <c r="AD505" s="319"/>
      <c r="AE505" s="319"/>
      <c r="AF505" s="319"/>
      <c r="AG505" s="319"/>
      <c r="AH505" s="319"/>
      <c r="AI505" s="319"/>
      <c r="AJ505" s="319"/>
      <c r="AK505" s="319"/>
      <c r="AL505" s="319"/>
      <c r="AM505" s="319"/>
      <c r="AN505" s="319"/>
      <c r="AO505" s="319"/>
      <c r="AP505" s="319"/>
      <c r="AQ505" s="319"/>
      <c r="AR505" s="319"/>
      <c r="AS505" s="319"/>
      <c r="AT505" s="319"/>
      <c r="AU505" s="319"/>
      <c r="AV505" s="319"/>
      <c r="AW505" s="319"/>
      <c r="AX505" s="319"/>
      <c r="AY505" s="319"/>
      <c r="AZ505" s="319"/>
      <c r="BA505" s="319"/>
      <c r="BB505" s="319"/>
      <c r="BC505" s="319"/>
      <c r="BD505" s="319"/>
      <c r="BE505" s="319"/>
      <c r="BF505" s="319"/>
      <c r="BG505" s="319"/>
      <c r="BH505" s="319"/>
      <c r="BI505" s="319"/>
      <c r="BJ505" s="319"/>
      <c r="BK505" s="319"/>
      <c r="BL505" s="319"/>
      <c r="BM505" s="319"/>
      <c r="BN505" s="319"/>
      <c r="BO505" s="319"/>
      <c r="BP505" s="319"/>
      <c r="BQ505" s="319"/>
      <c r="BR505" s="319"/>
      <c r="BS505" s="319"/>
      <c r="BT505" s="319"/>
      <c r="BU505" s="319"/>
      <c r="BV505" s="319"/>
      <c r="BW505" s="319"/>
      <c r="BX505" s="319"/>
      <c r="BY505" s="319"/>
      <c r="BZ505" s="319"/>
      <c r="CA505" s="319"/>
      <c r="CB505" s="319"/>
      <c r="CC505" s="319"/>
      <c r="CD505" s="319"/>
      <c r="CE505" s="319"/>
      <c r="CF505" s="319"/>
      <c r="CG505" s="319"/>
      <c r="CH505" s="319"/>
      <c r="CI505" s="319"/>
      <c r="CJ505" s="319"/>
      <c r="CK505" s="319"/>
    </row>
    <row r="506" spans="1:89" ht="13.5" hidden="1" customHeight="1">
      <c r="A506" s="12"/>
      <c r="B506" s="1" t="str">
        <f>Language!C410</f>
        <v>Disponibilidade</v>
      </c>
      <c r="C506" s="29" t="str">
        <f>$C$254</f>
        <v>%</v>
      </c>
      <c r="D506" s="339"/>
      <c r="E506" s="1"/>
      <c r="F506" s="1"/>
      <c r="G506" s="1"/>
      <c r="H506" s="1"/>
      <c r="I506" s="1"/>
      <c r="J506" s="1"/>
      <c r="K506" s="9"/>
      <c r="L506" s="1"/>
      <c r="M506" s="319"/>
      <c r="N506" s="319">
        <v>2030010</v>
      </c>
      <c r="O506" s="319"/>
      <c r="P506" s="319"/>
      <c r="Q506" s="319"/>
      <c r="R506" s="319"/>
      <c r="S506" s="319"/>
      <c r="T506" s="319"/>
      <c r="U506" s="319"/>
      <c r="V506" s="319"/>
      <c r="W506" s="319"/>
      <c r="X506" s="319"/>
      <c r="Y506" s="319"/>
      <c r="Z506" s="319"/>
      <c r="AA506" s="319"/>
      <c r="AB506" s="319"/>
      <c r="AC506" s="319"/>
      <c r="AD506" s="319"/>
      <c r="AE506" s="319"/>
      <c r="AF506" s="319"/>
      <c r="AG506" s="319"/>
      <c r="AH506" s="319"/>
      <c r="AI506" s="319"/>
      <c r="AJ506" s="319"/>
      <c r="AK506" s="319"/>
      <c r="AL506" s="319"/>
      <c r="AM506" s="319"/>
      <c r="AN506" s="319"/>
      <c r="AO506" s="319"/>
      <c r="AP506" s="319"/>
      <c r="AQ506" s="319"/>
      <c r="AR506" s="319"/>
      <c r="AS506" s="319"/>
      <c r="AT506" s="319"/>
      <c r="AU506" s="319"/>
      <c r="AV506" s="319"/>
      <c r="AW506" s="319"/>
      <c r="AX506" s="319"/>
      <c r="AY506" s="319"/>
      <c r="AZ506" s="319"/>
      <c r="BA506" s="319"/>
      <c r="BB506" s="319"/>
      <c r="BC506" s="319"/>
      <c r="BD506" s="319"/>
      <c r="BE506" s="319"/>
      <c r="BF506" s="319"/>
      <c r="BG506" s="319"/>
      <c r="BH506" s="319"/>
      <c r="BI506" s="319"/>
      <c r="BJ506" s="319"/>
      <c r="BK506" s="319"/>
      <c r="BL506" s="319"/>
      <c r="BM506" s="319"/>
      <c r="BN506" s="319"/>
      <c r="BO506" s="319"/>
      <c r="BP506" s="319"/>
      <c r="BQ506" s="319"/>
      <c r="BR506" s="319"/>
      <c r="BS506" s="319"/>
      <c r="BT506" s="319"/>
      <c r="BU506" s="319"/>
      <c r="BV506" s="319"/>
      <c r="BW506" s="319"/>
      <c r="BX506" s="319"/>
      <c r="BY506" s="319"/>
      <c r="BZ506" s="319"/>
      <c r="CA506" s="319"/>
      <c r="CB506" s="319"/>
      <c r="CC506" s="319"/>
      <c r="CD506" s="319"/>
      <c r="CE506" s="319"/>
      <c r="CF506" s="319"/>
      <c r="CG506" s="319"/>
      <c r="CH506" s="319"/>
      <c r="CI506" s="319"/>
      <c r="CJ506" s="319"/>
      <c r="CK506" s="319"/>
    </row>
    <row r="507" spans="1:89" ht="13.5" hidden="1" customHeight="1">
      <c r="A507" s="12"/>
      <c r="B507" s="1" t="str">
        <f>B500</f>
        <v>Eletricidade fornecida à carga</v>
      </c>
      <c r="C507" s="29" t="str">
        <f>$J$1184</f>
        <v>MWh</v>
      </c>
      <c r="D507" s="140" t="e">
        <f>(E245+E246)*D506*IF(E505&lt;=1,E505,1)</f>
        <v>#DIV/0!</v>
      </c>
      <c r="E507" s="96" t="e">
        <f>D507/(E245+E246)</f>
        <v>#DIV/0!</v>
      </c>
      <c r="F507" s="1"/>
      <c r="G507" s="1"/>
      <c r="H507" s="1"/>
      <c r="I507" s="1"/>
      <c r="J507" s="1"/>
      <c r="K507" s="9"/>
      <c r="L507" s="1"/>
      <c r="M507" s="319"/>
      <c r="N507" s="319">
        <v>5030044</v>
      </c>
      <c r="O507" s="319"/>
      <c r="P507" s="319"/>
      <c r="Q507" s="319"/>
      <c r="R507" s="319"/>
      <c r="S507" s="319"/>
      <c r="T507" s="319"/>
      <c r="U507" s="319"/>
      <c r="V507" s="319"/>
      <c r="W507" s="319"/>
      <c r="X507" s="319"/>
      <c r="Y507" s="319"/>
      <c r="Z507" s="319"/>
      <c r="AA507" s="319"/>
      <c r="AB507" s="319"/>
      <c r="AC507" s="319"/>
      <c r="AD507" s="319"/>
      <c r="AE507" s="319"/>
      <c r="AF507" s="319"/>
      <c r="AG507" s="319"/>
      <c r="AH507" s="319"/>
      <c r="AI507" s="319"/>
      <c r="AJ507" s="319"/>
      <c r="AK507" s="319"/>
      <c r="AL507" s="319"/>
      <c r="AM507" s="319"/>
      <c r="AN507" s="319"/>
      <c r="AO507" s="319"/>
      <c r="AP507" s="319"/>
      <c r="AQ507" s="319"/>
      <c r="AR507" s="319"/>
      <c r="AS507" s="319"/>
      <c r="AT507" s="319"/>
      <c r="AU507" s="319"/>
      <c r="AV507" s="319"/>
      <c r="AW507" s="319"/>
      <c r="AX507" s="319"/>
      <c r="AY507" s="319"/>
      <c r="AZ507" s="319"/>
      <c r="BA507" s="319"/>
      <c r="BB507" s="319"/>
      <c r="BC507" s="319"/>
      <c r="BD507" s="319"/>
      <c r="BE507" s="319"/>
      <c r="BF507" s="319"/>
      <c r="BG507" s="319"/>
      <c r="BH507" s="319"/>
      <c r="BI507" s="319"/>
      <c r="BJ507" s="319"/>
      <c r="BK507" s="319"/>
      <c r="BL507" s="319"/>
      <c r="BM507" s="319"/>
      <c r="BN507" s="319"/>
      <c r="BO507" s="319"/>
      <c r="BP507" s="319"/>
      <c r="BQ507" s="319"/>
      <c r="BR507" s="319"/>
      <c r="BS507" s="319"/>
      <c r="BT507" s="319"/>
      <c r="BU507" s="319"/>
      <c r="BV507" s="319"/>
      <c r="BW507" s="319"/>
      <c r="BX507" s="319"/>
      <c r="BY507" s="319"/>
      <c r="BZ507" s="319"/>
      <c r="CA507" s="319"/>
      <c r="CB507" s="319"/>
      <c r="CC507" s="319"/>
      <c r="CD507" s="319"/>
      <c r="CE507" s="319"/>
      <c r="CF507" s="319"/>
      <c r="CG507" s="319"/>
      <c r="CH507" s="319"/>
      <c r="CI507" s="319"/>
      <c r="CJ507" s="319"/>
      <c r="CK507" s="319"/>
    </row>
    <row r="508" spans="1:89" ht="13.5" hidden="1" customHeight="1">
      <c r="A508" s="12"/>
      <c r="B508" s="1" t="str">
        <f>B760</f>
        <v>Fabricante</v>
      </c>
      <c r="C508" s="1215"/>
      <c r="D508" s="1153"/>
      <c r="E508" s="1154"/>
      <c r="F508" s="1"/>
      <c r="G508" s="1"/>
      <c r="H508" s="1"/>
      <c r="I508" s="1"/>
      <c r="J508" s="1"/>
      <c r="K508" s="9"/>
      <c r="L508" s="1"/>
      <c r="M508" s="319"/>
      <c r="N508" s="319">
        <v>2050012</v>
      </c>
      <c r="O508" s="319"/>
      <c r="P508" s="319"/>
      <c r="Q508" s="319"/>
      <c r="R508" s="319"/>
      <c r="S508" s="319"/>
      <c r="T508" s="319"/>
      <c r="U508" s="319"/>
      <c r="V508" s="319"/>
      <c r="W508" s="319"/>
      <c r="X508" s="319"/>
      <c r="Y508" s="319"/>
      <c r="Z508" s="319"/>
      <c r="AA508" s="319"/>
      <c r="AB508" s="319"/>
      <c r="AC508" s="319"/>
      <c r="AD508" s="319"/>
      <c r="AE508" s="319"/>
      <c r="AF508" s="319"/>
      <c r="AG508" s="319"/>
      <c r="AH508" s="319"/>
      <c r="AI508" s="319"/>
      <c r="AJ508" s="319"/>
      <c r="AK508" s="319"/>
      <c r="AL508" s="319"/>
      <c r="AM508" s="319"/>
      <c r="AN508" s="319"/>
      <c r="AO508" s="319"/>
      <c r="AP508" s="319"/>
      <c r="AQ508" s="319"/>
      <c r="AR508" s="319"/>
      <c r="AS508" s="319"/>
      <c r="AT508" s="319"/>
      <c r="AU508" s="319"/>
      <c r="AV508" s="319"/>
      <c r="AW508" s="319"/>
      <c r="AX508" s="319"/>
      <c r="AY508" s="319"/>
      <c r="AZ508" s="319"/>
      <c r="BA508" s="319"/>
      <c r="BB508" s="319"/>
      <c r="BC508" s="319"/>
      <c r="BD508" s="319"/>
      <c r="BE508" s="319"/>
      <c r="BF508" s="319"/>
      <c r="BG508" s="319"/>
      <c r="BH508" s="319"/>
      <c r="BI508" s="319"/>
      <c r="BJ508" s="319"/>
      <c r="BK508" s="319"/>
      <c r="BL508" s="319"/>
      <c r="BM508" s="319"/>
      <c r="BN508" s="319"/>
      <c r="BO508" s="319"/>
      <c r="BP508" s="319"/>
      <c r="BQ508" s="319"/>
      <c r="BR508" s="319"/>
      <c r="BS508" s="319"/>
      <c r="BT508" s="319"/>
      <c r="BU508" s="319"/>
      <c r="BV508" s="319"/>
      <c r="BW508" s="319"/>
      <c r="BX508" s="319"/>
      <c r="BY508" s="319"/>
      <c r="BZ508" s="319"/>
      <c r="CA508" s="319"/>
      <c r="CB508" s="319"/>
      <c r="CC508" s="319"/>
      <c r="CD508" s="319"/>
      <c r="CE508" s="319"/>
      <c r="CF508" s="319"/>
      <c r="CG508" s="319"/>
      <c r="CH508" s="319"/>
      <c r="CI508" s="319"/>
      <c r="CJ508" s="319"/>
      <c r="CK508" s="319"/>
    </row>
    <row r="509" spans="1:89" ht="13.2" hidden="1">
      <c r="A509" s="12"/>
      <c r="B509" s="1" t="str">
        <f>B343</f>
        <v>Modelo</v>
      </c>
      <c r="C509" s="1152"/>
      <c r="D509" s="1153"/>
      <c r="E509" s="1154"/>
      <c r="F509" s="1" t="str">
        <f>$I$1196 &amp; Lang_Unit</f>
        <v>3 unidade(s)</v>
      </c>
      <c r="G509" s="1"/>
      <c r="H509" s="1"/>
      <c r="I509" s="1"/>
      <c r="J509" s="1"/>
      <c r="K509" s="9"/>
      <c r="L509" s="1"/>
      <c r="M509" s="319"/>
      <c r="N509" s="319">
        <v>2050014</v>
      </c>
      <c r="O509" s="319"/>
      <c r="P509" s="319"/>
      <c r="Q509" s="319"/>
      <c r="R509" s="319">
        <f>IF(C510=$C$1174,D510,$D$1175*D510)</f>
        <v>0</v>
      </c>
      <c r="S509" s="319" t="s">
        <v>568</v>
      </c>
      <c r="T509" s="319"/>
      <c r="U509" s="319"/>
      <c r="V509" s="319"/>
      <c r="W509" s="319"/>
      <c r="X509" s="319"/>
      <c r="Y509" s="319"/>
      <c r="Z509" s="319"/>
      <c r="AA509" s="319"/>
      <c r="AB509" s="319"/>
      <c r="AC509" s="319"/>
      <c r="AD509" s="319"/>
      <c r="AE509" s="319"/>
      <c r="AF509" s="319"/>
      <c r="AG509" s="319"/>
      <c r="AH509" s="319"/>
      <c r="AI509" s="319"/>
      <c r="AJ509" s="319"/>
      <c r="AK509" s="319"/>
      <c r="AL509" s="319"/>
      <c r="AM509" s="319"/>
      <c r="AN509" s="319"/>
      <c r="AO509" s="319"/>
      <c r="AP509" s="319"/>
      <c r="AQ509" s="319"/>
      <c r="AR509" s="319"/>
      <c r="AS509" s="319"/>
      <c r="AT509" s="319"/>
      <c r="AU509" s="319"/>
      <c r="AV509" s="319"/>
      <c r="AW509" s="319"/>
      <c r="AX509" s="319"/>
      <c r="AY509" s="319"/>
      <c r="AZ509" s="319"/>
      <c r="BA509" s="319"/>
      <c r="BB509" s="319"/>
      <c r="BC509" s="319"/>
      <c r="BD509" s="319"/>
      <c r="BE509" s="319"/>
      <c r="BF509" s="319"/>
      <c r="BG509" s="319"/>
      <c r="BH509" s="319"/>
      <c r="BI509" s="319"/>
      <c r="BJ509" s="319"/>
      <c r="BK509" s="319"/>
      <c r="BL509" s="319"/>
      <c r="BM509" s="319"/>
      <c r="BN509" s="319"/>
      <c r="BO509" s="319"/>
      <c r="BP509" s="319"/>
      <c r="BQ509" s="319"/>
      <c r="BR509" s="319"/>
      <c r="BS509" s="319"/>
      <c r="BT509" s="319"/>
      <c r="BU509" s="319"/>
      <c r="BV509" s="319"/>
      <c r="BW509" s="319"/>
      <c r="BX509" s="319"/>
      <c r="BY509" s="319"/>
      <c r="BZ509" s="319"/>
      <c r="CA509" s="319"/>
      <c r="CB509" s="319"/>
      <c r="CC509" s="319"/>
      <c r="CD509" s="319"/>
      <c r="CE509" s="319"/>
      <c r="CF509" s="319"/>
      <c r="CG509" s="319"/>
      <c r="CH509" s="319"/>
      <c r="CI509" s="319"/>
      <c r="CJ509" s="319"/>
      <c r="CK509" s="319"/>
    </row>
    <row r="510" spans="1:89" ht="13.5" hidden="1" customHeight="1">
      <c r="A510" s="12"/>
      <c r="B510" s="1" t="str">
        <f>B198</f>
        <v>Preço do calor</v>
      </c>
      <c r="C510" s="303" t="s">
        <v>4213</v>
      </c>
      <c r="D510" s="307"/>
      <c r="E510" s="1"/>
      <c r="F510" s="1"/>
      <c r="G510" s="1"/>
      <c r="H510" s="1"/>
      <c r="I510" s="1"/>
      <c r="J510" s="1"/>
      <c r="K510" s="9"/>
      <c r="L510" s="1"/>
      <c r="M510" s="319"/>
      <c r="N510" s="319">
        <v>2050018</v>
      </c>
      <c r="O510" s="319"/>
      <c r="P510" s="319"/>
      <c r="Q510" s="319"/>
      <c r="R510" s="319" t="e">
        <f>R509*(D507)/3600</f>
        <v>#DIV/0!</v>
      </c>
      <c r="S510" s="319" t="s">
        <v>1445</v>
      </c>
      <c r="T510" s="319"/>
      <c r="U510" s="319"/>
      <c r="V510" s="319"/>
      <c r="W510" s="319"/>
      <c r="X510" s="319"/>
      <c r="Y510" s="319"/>
      <c r="Z510" s="319"/>
      <c r="AA510" s="319"/>
      <c r="AB510" s="319"/>
      <c r="AC510" s="319"/>
      <c r="AD510" s="319"/>
      <c r="AE510" s="319"/>
      <c r="AF510" s="319"/>
      <c r="AG510" s="319"/>
      <c r="AH510" s="319"/>
      <c r="AI510" s="319"/>
      <c r="AJ510" s="319"/>
      <c r="AK510" s="319"/>
      <c r="AL510" s="319"/>
      <c r="AM510" s="319"/>
      <c r="AN510" s="319"/>
      <c r="AO510" s="319"/>
      <c r="AP510" s="319"/>
      <c r="AQ510" s="319"/>
      <c r="AR510" s="319"/>
      <c r="AS510" s="319"/>
      <c r="AT510" s="319"/>
      <c r="AU510" s="319"/>
      <c r="AV510" s="319"/>
      <c r="AW510" s="319"/>
      <c r="AX510" s="319"/>
      <c r="AY510" s="319"/>
      <c r="AZ510" s="319"/>
      <c r="BA510" s="319"/>
      <c r="BB510" s="319"/>
      <c r="BC510" s="319"/>
      <c r="BD510" s="319"/>
      <c r="BE510" s="319"/>
      <c r="BF510" s="319"/>
      <c r="BG510" s="319"/>
      <c r="BH510" s="319"/>
      <c r="BI510" s="319"/>
      <c r="BJ510" s="319"/>
      <c r="BK510" s="319"/>
      <c r="BL510" s="319"/>
      <c r="BM510" s="319"/>
      <c r="BN510" s="319"/>
      <c r="BO510" s="319"/>
      <c r="BP510" s="319"/>
      <c r="BQ510" s="319"/>
      <c r="BR510" s="319"/>
      <c r="BS510" s="319"/>
      <c r="BT510" s="319"/>
      <c r="BU510" s="319"/>
      <c r="BV510" s="319"/>
      <c r="BW510" s="319"/>
      <c r="BX510" s="319"/>
      <c r="BY510" s="319"/>
      <c r="BZ510" s="319"/>
      <c r="CA510" s="319"/>
      <c r="CB510" s="319"/>
      <c r="CC510" s="319"/>
      <c r="CD510" s="319"/>
      <c r="CE510" s="319"/>
      <c r="CF510" s="319"/>
      <c r="CG510" s="319"/>
      <c r="CH510" s="319"/>
      <c r="CI510" s="319"/>
      <c r="CJ510" s="319"/>
      <c r="CK510" s="319"/>
    </row>
    <row r="511" spans="1:89" ht="13.5" hidden="1" customHeight="1">
      <c r="A511" s="12"/>
      <c r="B511" s="1" t="str">
        <f>Language!C430</f>
        <v>Taxa de recuperação de calor</v>
      </c>
      <c r="C511" s="29" t="str">
        <f>$C$254</f>
        <v>%</v>
      </c>
      <c r="D511" s="339"/>
      <c r="E511" s="1"/>
      <c r="F511" s="1"/>
      <c r="G511" s="1"/>
      <c r="H511" s="1"/>
      <c r="I511" s="1"/>
      <c r="J511" s="1"/>
      <c r="K511" s="9"/>
      <c r="L511" s="1"/>
      <c r="M511" s="319"/>
      <c r="N511" s="319">
        <v>2050028</v>
      </c>
      <c r="O511" s="319"/>
      <c r="P511" s="319"/>
      <c r="Q511" s="319"/>
      <c r="R511" s="319"/>
      <c r="S511" s="319"/>
      <c r="T511" s="319"/>
      <c r="U511" s="319"/>
      <c r="V511" s="319"/>
      <c r="W511" s="319"/>
      <c r="X511" s="319"/>
      <c r="Y511" s="319"/>
      <c r="Z511" s="319"/>
      <c r="AA511" s="319"/>
      <c r="AB511" s="319"/>
      <c r="AC511" s="319"/>
      <c r="AD511" s="319"/>
      <c r="AE511" s="319"/>
      <c r="AF511" s="319"/>
      <c r="AG511" s="319"/>
      <c r="AH511" s="319"/>
      <c r="AI511" s="319"/>
      <c r="AJ511" s="319"/>
      <c r="AK511" s="319"/>
      <c r="AL511" s="319"/>
      <c r="AM511" s="319"/>
      <c r="AN511" s="319"/>
      <c r="AO511" s="319"/>
      <c r="AP511" s="319"/>
      <c r="AQ511" s="319"/>
      <c r="AR511" s="319"/>
      <c r="AS511" s="319"/>
      <c r="AT511" s="319"/>
      <c r="AU511" s="319"/>
      <c r="AV511" s="319"/>
      <c r="AW511" s="319"/>
      <c r="AX511" s="319"/>
      <c r="AY511" s="319"/>
      <c r="AZ511" s="319"/>
      <c r="BA511" s="319"/>
      <c r="BB511" s="319"/>
      <c r="BC511" s="319"/>
      <c r="BD511" s="319"/>
      <c r="BE511" s="319"/>
      <c r="BF511" s="319"/>
      <c r="BG511" s="319"/>
      <c r="BH511" s="319"/>
      <c r="BI511" s="319"/>
      <c r="BJ511" s="319"/>
      <c r="BK511" s="319"/>
      <c r="BL511" s="319"/>
      <c r="BM511" s="319"/>
      <c r="BN511" s="319"/>
      <c r="BO511" s="319"/>
      <c r="BP511" s="319"/>
      <c r="BQ511" s="319"/>
      <c r="BR511" s="319"/>
      <c r="BS511" s="319"/>
      <c r="BT511" s="319"/>
      <c r="BU511" s="319"/>
      <c r="BV511" s="319"/>
      <c r="BW511" s="319"/>
      <c r="BX511" s="319"/>
      <c r="BY511" s="319"/>
      <c r="BZ511" s="319"/>
      <c r="CA511" s="319"/>
      <c r="CB511" s="319"/>
      <c r="CC511" s="319"/>
      <c r="CD511" s="319"/>
      <c r="CE511" s="319"/>
      <c r="CF511" s="319"/>
      <c r="CG511" s="319"/>
      <c r="CH511" s="319"/>
      <c r="CI511" s="319"/>
      <c r="CJ511" s="319"/>
      <c r="CK511" s="319"/>
    </row>
    <row r="512" spans="1:89" ht="13.5" hidden="1" customHeight="1">
      <c r="A512" s="12"/>
      <c r="B512" s="1" t="str">
        <f>Language!C426</f>
        <v>Combustível necessário</v>
      </c>
      <c r="C512" s="29" t="s">
        <v>5250</v>
      </c>
      <c r="D512" s="140">
        <f>D505*R509/10^6</f>
        <v>0</v>
      </c>
      <c r="E512" s="1"/>
      <c r="F512" s="1"/>
      <c r="G512" s="1"/>
      <c r="H512" s="1"/>
      <c r="I512" s="1"/>
      <c r="J512" s="1"/>
      <c r="K512" s="9"/>
      <c r="L512" s="1"/>
      <c r="M512" s="319"/>
      <c r="N512" s="319">
        <v>2050032</v>
      </c>
      <c r="O512" s="319"/>
      <c r="P512" s="319"/>
      <c r="Q512" s="319"/>
      <c r="R512" s="319"/>
      <c r="S512" s="319"/>
      <c r="T512" s="319"/>
      <c r="U512" s="319"/>
      <c r="V512" s="319"/>
      <c r="W512" s="319"/>
      <c r="X512" s="319"/>
      <c r="Y512" s="319"/>
      <c r="Z512" s="319"/>
      <c r="AA512" s="319"/>
      <c r="AB512" s="319"/>
      <c r="AC512" s="319"/>
      <c r="AD512" s="319"/>
      <c r="AE512" s="319"/>
      <c r="AF512" s="319"/>
      <c r="AG512" s="319"/>
      <c r="AH512" s="319"/>
      <c r="AI512" s="319"/>
      <c r="AJ512" s="319"/>
      <c r="AK512" s="319"/>
      <c r="AL512" s="319"/>
      <c r="AM512" s="319"/>
      <c r="AN512" s="319"/>
      <c r="AO512" s="319"/>
      <c r="AP512" s="319"/>
      <c r="AQ512" s="319"/>
      <c r="AR512" s="319"/>
      <c r="AS512" s="319"/>
      <c r="AT512" s="319"/>
      <c r="AU512" s="319"/>
      <c r="AV512" s="319"/>
      <c r="AW512" s="319"/>
      <c r="AX512" s="319"/>
      <c r="AY512" s="319"/>
      <c r="AZ512" s="319"/>
      <c r="BA512" s="319"/>
      <c r="BB512" s="319"/>
      <c r="BC512" s="319"/>
      <c r="BD512" s="319"/>
      <c r="BE512" s="319"/>
      <c r="BF512" s="319"/>
      <c r="BG512" s="319"/>
      <c r="BH512" s="319"/>
      <c r="BI512" s="319"/>
      <c r="BJ512" s="319"/>
      <c r="BK512" s="319"/>
      <c r="BL512" s="319"/>
      <c r="BM512" s="319"/>
      <c r="BN512" s="319"/>
      <c r="BO512" s="319"/>
      <c r="BP512" s="319"/>
      <c r="BQ512" s="319"/>
      <c r="BR512" s="319"/>
      <c r="BS512" s="319"/>
      <c r="BT512" s="319"/>
      <c r="BU512" s="319"/>
      <c r="BV512" s="319"/>
      <c r="BW512" s="319"/>
      <c r="BX512" s="319"/>
      <c r="BY512" s="319"/>
      <c r="BZ512" s="319"/>
      <c r="CA512" s="319"/>
      <c r="CB512" s="319"/>
      <c r="CC512" s="319"/>
      <c r="CD512" s="319"/>
      <c r="CE512" s="319"/>
      <c r="CF512" s="319"/>
      <c r="CG512" s="319"/>
      <c r="CH512" s="319"/>
      <c r="CI512" s="319"/>
      <c r="CJ512" s="319"/>
      <c r="CK512" s="319"/>
    </row>
    <row r="513" spans="1:89" ht="13.5" hidden="1" customHeight="1">
      <c r="A513" s="12"/>
      <c r="B513" s="1" t="str">
        <f>Language!C431</f>
        <v>Capacidade térmica</v>
      </c>
      <c r="C513" s="29" t="str">
        <f>$F$1169</f>
        <v>kW</v>
      </c>
      <c r="D513" s="140">
        <f>(R509*D505/10^3/3.6-D505)*D511</f>
        <v>0</v>
      </c>
      <c r="E513" s="1" t="s">
        <v>1883</v>
      </c>
      <c r="F513" s="1"/>
      <c r="G513" s="1"/>
      <c r="H513" s="1"/>
      <c r="I513" s="1"/>
      <c r="J513" s="1"/>
      <c r="K513" s="9"/>
      <c r="L513" s="1"/>
      <c r="M513" s="319"/>
      <c r="N513" s="319">
        <v>2050034</v>
      </c>
      <c r="O513" s="319"/>
      <c r="P513" s="319"/>
      <c r="Q513" s="319"/>
      <c r="R513" s="319"/>
      <c r="S513" s="319"/>
      <c r="T513" s="319"/>
      <c r="U513" s="319"/>
      <c r="V513" s="319"/>
      <c r="W513" s="319"/>
      <c r="X513" s="319"/>
      <c r="Y513" s="319"/>
      <c r="Z513" s="319"/>
      <c r="AA513" s="319"/>
      <c r="AB513" s="319"/>
      <c r="AC513" s="319"/>
      <c r="AD513" s="319"/>
      <c r="AE513" s="319"/>
      <c r="AF513" s="319"/>
      <c r="AG513" s="319"/>
      <c r="AH513" s="319"/>
      <c r="AI513" s="319"/>
      <c r="AJ513" s="319"/>
      <c r="AK513" s="319"/>
      <c r="AL513" s="319"/>
      <c r="AM513" s="319"/>
      <c r="AN513" s="319"/>
      <c r="AO513" s="319"/>
      <c r="AP513" s="319"/>
      <c r="AQ513" s="319"/>
      <c r="AR513" s="319"/>
      <c r="AS513" s="319"/>
      <c r="AT513" s="319"/>
      <c r="AU513" s="319"/>
      <c r="AV513" s="319"/>
      <c r="AW513" s="319"/>
      <c r="AX513" s="319"/>
      <c r="AY513" s="319"/>
      <c r="AZ513" s="319"/>
      <c r="BA513" s="319"/>
      <c r="BB513" s="319"/>
      <c r="BC513" s="319"/>
      <c r="BD513" s="319"/>
      <c r="BE513" s="319"/>
      <c r="BF513" s="319"/>
      <c r="BG513" s="319"/>
      <c r="BH513" s="319"/>
      <c r="BI513" s="319"/>
      <c r="BJ513" s="319"/>
      <c r="BK513" s="319"/>
      <c r="BL513" s="319"/>
      <c r="BM513" s="319"/>
      <c r="BN513" s="319"/>
      <c r="BO513" s="319"/>
      <c r="BP513" s="319"/>
      <c r="BQ513" s="319"/>
      <c r="BR513" s="319"/>
      <c r="BS513" s="319"/>
      <c r="BT513" s="319"/>
      <c r="BU513" s="319"/>
      <c r="BV513" s="319"/>
      <c r="BW513" s="319"/>
      <c r="BX513" s="319"/>
      <c r="BY513" s="319"/>
      <c r="BZ513" s="319"/>
      <c r="CA513" s="319"/>
      <c r="CB513" s="319"/>
      <c r="CC513" s="319"/>
      <c r="CD513" s="319"/>
      <c r="CE513" s="319"/>
      <c r="CF513" s="319"/>
      <c r="CG513" s="319"/>
      <c r="CH513" s="319"/>
      <c r="CI513" s="319"/>
      <c r="CJ513" s="319"/>
      <c r="CK513" s="319"/>
    </row>
    <row r="514" spans="1:89" ht="12.75" hidden="1" customHeight="1">
      <c r="A514" s="12"/>
      <c r="B514" s="329"/>
      <c r="C514" s="329"/>
      <c r="D514" s="329"/>
      <c r="E514" s="329"/>
      <c r="F514" s="1"/>
      <c r="G514" s="1"/>
      <c r="H514" s="1"/>
      <c r="I514" s="1"/>
      <c r="J514" s="1"/>
      <c r="K514" s="9"/>
      <c r="L514" s="1"/>
      <c r="M514" s="319"/>
      <c r="N514" s="319">
        <v>5060000</v>
      </c>
      <c r="O514" s="319"/>
      <c r="P514" s="319"/>
      <c r="Q514" s="319"/>
      <c r="R514" s="319"/>
      <c r="S514" s="319"/>
      <c r="T514" s="319"/>
      <c r="U514" s="319"/>
      <c r="V514" s="319"/>
      <c r="W514" s="319"/>
      <c r="X514" s="319"/>
      <c r="Y514" s="319"/>
      <c r="Z514" s="319"/>
      <c r="AA514" s="319"/>
      <c r="AB514" s="319"/>
      <c r="AC514" s="319"/>
      <c r="AD514" s="319"/>
      <c r="AE514" s="319"/>
      <c r="AF514" s="319"/>
      <c r="AG514" s="319"/>
      <c r="AH514" s="319"/>
      <c r="AI514" s="319"/>
      <c r="AJ514" s="319"/>
      <c r="AK514" s="319"/>
      <c r="AL514" s="319"/>
      <c r="AM514" s="319"/>
      <c r="AN514" s="319"/>
      <c r="AO514" s="319"/>
      <c r="AP514" s="319"/>
      <c r="AQ514" s="319"/>
      <c r="AR514" s="319"/>
      <c r="AS514" s="319"/>
      <c r="AT514" s="319"/>
      <c r="AU514" s="319"/>
      <c r="AV514" s="319"/>
      <c r="AW514" s="319"/>
      <c r="AX514" s="319"/>
      <c r="AY514" s="319"/>
      <c r="AZ514" s="319"/>
      <c r="BA514" s="319"/>
      <c r="BB514" s="319"/>
      <c r="BC514" s="319"/>
      <c r="BD514" s="319"/>
      <c r="BE514" s="319"/>
      <c r="BF514" s="319"/>
      <c r="BG514" s="319"/>
      <c r="BH514" s="319"/>
      <c r="BI514" s="319"/>
      <c r="BJ514" s="319"/>
      <c r="BK514" s="319"/>
      <c r="BL514" s="319"/>
      <c r="BM514" s="319"/>
      <c r="BN514" s="319"/>
      <c r="BO514" s="319"/>
      <c r="BP514" s="319"/>
      <c r="BQ514" s="319"/>
      <c r="BR514" s="319"/>
      <c r="BS514" s="319"/>
      <c r="BT514" s="319"/>
      <c r="BU514" s="319"/>
      <c r="BV514" s="319"/>
      <c r="BW514" s="319"/>
      <c r="BX514" s="319"/>
      <c r="BY514" s="319"/>
      <c r="BZ514" s="319"/>
      <c r="CA514" s="319"/>
      <c r="CB514" s="319"/>
      <c r="CC514" s="319"/>
      <c r="CD514" s="319"/>
      <c r="CE514" s="319"/>
      <c r="CF514" s="319"/>
      <c r="CG514" s="319"/>
      <c r="CH514" s="319"/>
      <c r="CI514" s="319"/>
      <c r="CJ514" s="319"/>
      <c r="CK514" s="319"/>
    </row>
    <row r="515" spans="1:89" ht="12.75" hidden="1" customHeight="1">
      <c r="A515" s="12"/>
      <c r="B515" s="791" t="str">
        <f>B1163</f>
        <v>Outro</v>
      </c>
      <c r="C515" s="29"/>
      <c r="D515" s="329"/>
      <c r="E515" s="329"/>
      <c r="F515" s="1"/>
      <c r="G515" s="82"/>
      <c r="H515" s="1"/>
      <c r="I515" s="1"/>
      <c r="J515" s="1"/>
      <c r="K515" s="9"/>
      <c r="L515" s="1"/>
      <c r="M515" s="319"/>
      <c r="N515" s="319">
        <v>5060024</v>
      </c>
      <c r="O515" s="319"/>
      <c r="P515" s="319"/>
      <c r="Q515" s="319"/>
      <c r="R515" s="319"/>
      <c r="S515" s="319"/>
      <c r="T515" s="319"/>
      <c r="U515" s="319"/>
      <c r="V515" s="319"/>
      <c r="W515" s="319"/>
      <c r="X515" s="319"/>
      <c r="Y515" s="319"/>
      <c r="Z515" s="319"/>
      <c r="AA515" s="319"/>
      <c r="AB515" s="319"/>
      <c r="AC515" s="319"/>
      <c r="AD515" s="319"/>
      <c r="AE515" s="319"/>
      <c r="AF515" s="319"/>
      <c r="AG515" s="319"/>
      <c r="AH515" s="319"/>
      <c r="AI515" s="319"/>
      <c r="AJ515" s="319"/>
      <c r="AK515" s="319"/>
      <c r="AL515" s="319"/>
      <c r="AM515" s="319"/>
      <c r="AN515" s="319"/>
      <c r="AO515" s="319"/>
      <c r="AP515" s="319"/>
      <c r="AQ515" s="319"/>
      <c r="AR515" s="319"/>
      <c r="AS515" s="319"/>
      <c r="AT515" s="319"/>
      <c r="AU515" s="319"/>
      <c r="AV515" s="319"/>
      <c r="AW515" s="319"/>
      <c r="AX515" s="319"/>
      <c r="AY515" s="319"/>
      <c r="AZ515" s="319"/>
      <c r="BA515" s="319"/>
      <c r="BB515" s="319"/>
      <c r="BC515" s="319"/>
      <c r="BD515" s="319"/>
      <c r="BE515" s="319"/>
      <c r="BF515" s="319"/>
      <c r="BG515" s="319"/>
      <c r="BH515" s="319"/>
      <c r="BI515" s="319"/>
      <c r="BJ515" s="319"/>
      <c r="BK515" s="319"/>
      <c r="BL515" s="319"/>
      <c r="BM515" s="319"/>
      <c r="BN515" s="319"/>
      <c r="BO515" s="319"/>
      <c r="BP515" s="319"/>
      <c r="BQ515" s="319"/>
      <c r="BR515" s="319"/>
      <c r="BS515" s="319"/>
      <c r="BT515" s="319"/>
      <c r="BU515" s="319"/>
      <c r="BV515" s="319"/>
      <c r="BW515" s="319"/>
      <c r="BX515" s="319"/>
      <c r="BY515" s="319"/>
      <c r="BZ515" s="319"/>
      <c r="CA515" s="319"/>
      <c r="CB515" s="319"/>
      <c r="CC515" s="319"/>
      <c r="CD515" s="319"/>
      <c r="CE515" s="319"/>
      <c r="CF515" s="319"/>
      <c r="CG515" s="319"/>
      <c r="CH515" s="319"/>
      <c r="CI515" s="319"/>
      <c r="CJ515" s="319"/>
      <c r="CK515" s="319"/>
    </row>
    <row r="516" spans="1:89" ht="13.5" hidden="1" customHeight="1">
      <c r="A516" s="12"/>
      <c r="B516" s="329" t="str">
        <f>B206</f>
        <v>Descrição</v>
      </c>
      <c r="C516" s="1152"/>
      <c r="D516" s="1153"/>
      <c r="E516" s="1154"/>
      <c r="F516" s="1"/>
      <c r="G516" s="1"/>
      <c r="H516" s="1"/>
      <c r="I516" s="1"/>
      <c r="J516" s="1"/>
      <c r="K516" s="9"/>
      <c r="L516" s="1"/>
      <c r="M516" s="319"/>
      <c r="N516" s="319">
        <v>2050000</v>
      </c>
      <c r="O516" s="319"/>
      <c r="P516" s="319"/>
      <c r="Q516" s="319"/>
      <c r="R516" s="319"/>
      <c r="S516" s="319"/>
      <c r="T516" s="319"/>
      <c r="U516" s="319"/>
      <c r="V516" s="319"/>
      <c r="W516" s="319"/>
      <c r="X516" s="319"/>
      <c r="Y516" s="319"/>
      <c r="Z516" s="319"/>
      <c r="AA516" s="319"/>
      <c r="AB516" s="319"/>
      <c r="AC516" s="319"/>
      <c r="AD516" s="319"/>
      <c r="AE516" s="319"/>
      <c r="AF516" s="319"/>
      <c r="AG516" s="319"/>
      <c r="AH516" s="319"/>
      <c r="AI516" s="319"/>
      <c r="AJ516" s="319"/>
      <c r="AK516" s="319"/>
      <c r="AL516" s="319"/>
      <c r="AM516" s="319"/>
      <c r="AN516" s="319"/>
      <c r="AO516" s="319"/>
      <c r="AP516" s="319"/>
      <c r="AQ516" s="319"/>
      <c r="AR516" s="319"/>
      <c r="AS516" s="319"/>
      <c r="AT516" s="319"/>
      <c r="AU516" s="319"/>
      <c r="AV516" s="319"/>
      <c r="AW516" s="319"/>
      <c r="AX516" s="319"/>
      <c r="AY516" s="319"/>
      <c r="AZ516" s="319"/>
      <c r="BA516" s="319"/>
      <c r="BB516" s="319"/>
      <c r="BC516" s="319"/>
      <c r="BD516" s="319"/>
      <c r="BE516" s="319"/>
      <c r="BF516" s="319"/>
      <c r="BG516" s="319"/>
      <c r="BH516" s="319"/>
      <c r="BI516" s="319"/>
      <c r="BJ516" s="319"/>
      <c r="BK516" s="319"/>
      <c r="BL516" s="319"/>
      <c r="BM516" s="319"/>
      <c r="BN516" s="319"/>
      <c r="BO516" s="319"/>
      <c r="BP516" s="319"/>
      <c r="BQ516" s="319"/>
      <c r="BR516" s="319"/>
      <c r="BS516" s="319"/>
      <c r="BT516" s="319"/>
      <c r="BU516" s="319"/>
      <c r="BV516" s="319"/>
      <c r="BW516" s="319"/>
      <c r="BX516" s="319"/>
      <c r="BY516" s="319"/>
      <c r="BZ516" s="319"/>
      <c r="CA516" s="319"/>
      <c r="CB516" s="319"/>
      <c r="CC516" s="319"/>
      <c r="CD516" s="319"/>
      <c r="CE516" s="319"/>
      <c r="CF516" s="319"/>
      <c r="CG516" s="319"/>
      <c r="CH516" s="319"/>
      <c r="CI516" s="319"/>
      <c r="CJ516" s="319"/>
      <c r="CK516" s="319"/>
    </row>
    <row r="517" spans="1:89" ht="13.5" hidden="1" customHeight="1">
      <c r="A517" s="12"/>
      <c r="B517" s="329" t="str">
        <f>$B$801</f>
        <v>Tipo de Combustível</v>
      </c>
      <c r="C517" s="1133" t="s">
        <v>7046</v>
      </c>
      <c r="D517" s="1134"/>
      <c r="E517" s="1135"/>
      <c r="F517" s="1"/>
      <c r="G517" s="1"/>
      <c r="H517" s="1"/>
      <c r="I517" s="1"/>
      <c r="J517" s="1"/>
      <c r="K517" s="9"/>
      <c r="L517" s="1"/>
      <c r="M517" s="319"/>
      <c r="N517" s="319">
        <v>2010106</v>
      </c>
      <c r="O517" s="319"/>
      <c r="P517" s="319"/>
      <c r="Q517" s="319"/>
      <c r="R517" s="319">
        <f>D518/VLOOKUP(C517,LN_FuelList,4,FALSE)*1000/3.6</f>
        <v>0</v>
      </c>
      <c r="S517" s="319" t="s">
        <v>1044</v>
      </c>
      <c r="T517" s="319"/>
      <c r="U517" s="319"/>
      <c r="V517" s="319"/>
      <c r="W517" s="319"/>
      <c r="X517" s="319"/>
      <c r="Y517" s="319"/>
      <c r="Z517" s="319"/>
      <c r="AA517" s="319"/>
      <c r="AB517" s="319"/>
      <c r="AC517" s="319"/>
      <c r="AD517" s="319"/>
      <c r="AE517" s="319"/>
      <c r="AF517" s="319"/>
      <c r="AG517" s="319"/>
      <c r="AH517" s="319"/>
      <c r="AI517" s="319"/>
      <c r="AJ517" s="319"/>
      <c r="AK517" s="319"/>
      <c r="AL517" s="319"/>
      <c r="AM517" s="319"/>
      <c r="AN517" s="319"/>
      <c r="AO517" s="319"/>
      <c r="AP517" s="319"/>
      <c r="AQ517" s="319"/>
      <c r="AR517" s="319"/>
      <c r="AS517" s="319"/>
      <c r="AT517" s="319"/>
      <c r="AU517" s="319"/>
      <c r="AV517" s="319"/>
      <c r="AW517" s="319"/>
      <c r="AX517" s="319"/>
      <c r="AY517" s="319"/>
      <c r="AZ517" s="319"/>
      <c r="BA517" s="319"/>
      <c r="BB517" s="319"/>
      <c r="BC517" s="319"/>
      <c r="BD517" s="319"/>
      <c r="BE517" s="319"/>
      <c r="BF517" s="319"/>
      <c r="BG517" s="319"/>
      <c r="BH517" s="319"/>
      <c r="BI517" s="319"/>
      <c r="BJ517" s="319"/>
      <c r="BK517" s="319"/>
      <c r="BL517" s="319"/>
      <c r="BM517" s="319"/>
      <c r="BN517" s="319"/>
      <c r="BO517" s="319"/>
      <c r="BP517" s="319"/>
      <c r="BQ517" s="319"/>
      <c r="BR517" s="319"/>
      <c r="BS517" s="319"/>
      <c r="BT517" s="319"/>
      <c r="BU517" s="319"/>
      <c r="BV517" s="319"/>
      <c r="BW517" s="319"/>
      <c r="BX517" s="319"/>
      <c r="BY517" s="319"/>
      <c r="BZ517" s="319"/>
      <c r="CA517" s="319"/>
      <c r="CB517" s="319"/>
      <c r="CC517" s="319"/>
      <c r="CD517" s="319"/>
      <c r="CE517" s="319"/>
      <c r="CF517" s="319"/>
      <c r="CG517" s="319"/>
      <c r="CH517" s="319"/>
      <c r="CI517" s="319"/>
      <c r="CJ517" s="319"/>
      <c r="CK517" s="319"/>
    </row>
    <row r="518" spans="1:89" ht="13.5" hidden="1" customHeight="1">
      <c r="A518" s="12"/>
      <c r="B518" s="329" t="str">
        <f>$B$804</f>
        <v>Preço do combustível</v>
      </c>
      <c r="C518" s="29" t="str">
        <f>VLOOKUP(C517,LN_FuelList,5,FALSE)</f>
        <v>€/m³</v>
      </c>
      <c r="D518" s="410"/>
      <c r="E518" s="1"/>
      <c r="F518" s="1"/>
      <c r="G518" s="1"/>
      <c r="H518" s="1"/>
      <c r="I518" s="1"/>
      <c r="J518" s="1"/>
      <c r="K518" s="9"/>
      <c r="L518" s="1"/>
      <c r="M518" s="319"/>
      <c r="N518" s="319">
        <v>2010108</v>
      </c>
      <c r="O518" s="319"/>
      <c r="P518" s="319"/>
      <c r="Q518" s="319"/>
      <c r="R518" s="319"/>
      <c r="S518" s="319"/>
      <c r="T518" s="319"/>
      <c r="U518" s="319"/>
      <c r="V518" s="319"/>
      <c r="W518" s="319"/>
      <c r="X518" s="319"/>
      <c r="Y518" s="319"/>
      <c r="Z518" s="319"/>
      <c r="AA518" s="319"/>
      <c r="AB518" s="319"/>
      <c r="AC518" s="319"/>
      <c r="AD518" s="319"/>
      <c r="AE518" s="319"/>
      <c r="AF518" s="319"/>
      <c r="AG518" s="319"/>
      <c r="AH518" s="319"/>
      <c r="AI518" s="319"/>
      <c r="AJ518" s="319"/>
      <c r="AK518" s="319"/>
      <c r="AL518" s="319"/>
      <c r="AM518" s="319"/>
      <c r="AN518" s="319"/>
      <c r="AO518" s="319"/>
      <c r="AP518" s="319"/>
      <c r="AQ518" s="319"/>
      <c r="AR518" s="319"/>
      <c r="AS518" s="319"/>
      <c r="AT518" s="319"/>
      <c r="AU518" s="319"/>
      <c r="AV518" s="319"/>
      <c r="AW518" s="319"/>
      <c r="AX518" s="319"/>
      <c r="AY518" s="319"/>
      <c r="AZ518" s="319"/>
      <c r="BA518" s="319"/>
      <c r="BB518" s="319"/>
      <c r="BC518" s="319"/>
      <c r="BD518" s="319"/>
      <c r="BE518" s="319"/>
      <c r="BF518" s="319"/>
      <c r="BG518" s="319"/>
      <c r="BH518" s="319"/>
      <c r="BI518" s="319"/>
      <c r="BJ518" s="319"/>
      <c r="BK518" s="319"/>
      <c r="BL518" s="319"/>
      <c r="BM518" s="319"/>
      <c r="BN518" s="319"/>
      <c r="BO518" s="319"/>
      <c r="BP518" s="319"/>
      <c r="BQ518" s="319"/>
      <c r="BR518" s="319"/>
      <c r="BS518" s="319"/>
      <c r="BT518" s="319"/>
      <c r="BU518" s="319"/>
      <c r="BV518" s="319"/>
      <c r="BW518" s="319"/>
      <c r="BX518" s="319"/>
      <c r="BY518" s="319"/>
      <c r="BZ518" s="319"/>
      <c r="CA518" s="319"/>
      <c r="CB518" s="319"/>
      <c r="CC518" s="319"/>
      <c r="CD518" s="319"/>
      <c r="CE518" s="319"/>
      <c r="CF518" s="319"/>
      <c r="CG518" s="319"/>
      <c r="CH518" s="319"/>
      <c r="CI518" s="319"/>
      <c r="CJ518" s="319"/>
      <c r="CK518" s="319"/>
    </row>
    <row r="519" spans="1:89" ht="13.5" hidden="1" customHeight="1">
      <c r="A519" s="12"/>
      <c r="B519" s="329" t="str">
        <f>B853</f>
        <v>Potência elétrica</v>
      </c>
      <c r="C519" s="29" t="str">
        <f>$F$1169</f>
        <v>kW</v>
      </c>
      <c r="D519" s="797"/>
      <c r="E519" s="40" t="e">
        <f>D519/E247</f>
        <v>#DIV/0!</v>
      </c>
      <c r="F519" s="1"/>
      <c r="G519" s="1346"/>
      <c r="H519" s="1"/>
      <c r="I519" s="1209" t="str">
        <f>$I$636</f>
        <v>Ver banco de dados de produtos</v>
      </c>
      <c r="J519" s="1191"/>
      <c r="K519" s="1210"/>
      <c r="L519" s="1"/>
      <c r="M519" s="319"/>
      <c r="N519" s="319">
        <v>5030024</v>
      </c>
      <c r="O519" s="319"/>
      <c r="P519" s="319"/>
      <c r="Q519" s="319"/>
      <c r="R519" s="319"/>
      <c r="S519" s="319"/>
      <c r="T519" s="319"/>
      <c r="U519" s="319"/>
      <c r="V519" s="319"/>
      <c r="W519" s="319"/>
      <c r="X519" s="319"/>
      <c r="Y519" s="319"/>
      <c r="Z519" s="319"/>
      <c r="AA519" s="319"/>
      <c r="AB519" s="319"/>
      <c r="AC519" s="319"/>
      <c r="AD519" s="319"/>
      <c r="AE519" s="319"/>
      <c r="AF519" s="319"/>
      <c r="AG519" s="319"/>
      <c r="AH519" s="319"/>
      <c r="AI519" s="319"/>
      <c r="AJ519" s="319"/>
      <c r="AK519" s="319"/>
      <c r="AL519" s="319"/>
      <c r="AM519" s="319"/>
      <c r="AN519" s="319"/>
      <c r="AO519" s="319"/>
      <c r="AP519" s="319"/>
      <c r="AQ519" s="319"/>
      <c r="AR519" s="319"/>
      <c r="AS519" s="319"/>
      <c r="AT519" s="319"/>
      <c r="AU519" s="319"/>
      <c r="AV519" s="319"/>
      <c r="AW519" s="319"/>
      <c r="AX519" s="319"/>
      <c r="AY519" s="319"/>
      <c r="AZ519" s="319"/>
      <c r="BA519" s="319"/>
      <c r="BB519" s="319"/>
      <c r="BC519" s="319"/>
      <c r="BD519" s="319"/>
      <c r="BE519" s="319"/>
      <c r="BF519" s="319"/>
      <c r="BG519" s="319"/>
      <c r="BH519" s="319"/>
      <c r="BI519" s="319"/>
      <c r="BJ519" s="319"/>
      <c r="BK519" s="319"/>
      <c r="BL519" s="319"/>
      <c r="BM519" s="319"/>
      <c r="BN519" s="319"/>
      <c r="BO519" s="319"/>
      <c r="BP519" s="319"/>
      <c r="BQ519" s="319"/>
      <c r="BR519" s="319"/>
      <c r="BS519" s="319"/>
      <c r="BT519" s="319"/>
      <c r="BU519" s="319"/>
      <c r="BV519" s="319"/>
      <c r="BW519" s="319"/>
      <c r="BX519" s="319"/>
      <c r="BY519" s="319"/>
      <c r="BZ519" s="319"/>
      <c r="CA519" s="319"/>
      <c r="CB519" s="319"/>
      <c r="CC519" s="319"/>
      <c r="CD519" s="319"/>
      <c r="CE519" s="319"/>
      <c r="CF519" s="319"/>
      <c r="CG519" s="319"/>
      <c r="CH519" s="319"/>
      <c r="CI519" s="319"/>
      <c r="CJ519" s="319"/>
      <c r="CK519" s="319"/>
    </row>
    <row r="520" spans="1:89" ht="13.5" hidden="1" customHeight="1">
      <c r="A520" s="12"/>
      <c r="B520" s="329" t="str">
        <f>B506</f>
        <v>Disponibilidade</v>
      </c>
      <c r="C520" s="29" t="str">
        <f>$C$254</f>
        <v>%</v>
      </c>
      <c r="D520" s="339"/>
      <c r="E520" s="329"/>
      <c r="F520" s="1"/>
      <c r="G520" s="1"/>
      <c r="H520" s="1"/>
      <c r="I520" s="1"/>
      <c r="J520" s="1"/>
      <c r="K520" s="9"/>
      <c r="L520" s="1"/>
      <c r="M520" s="319"/>
      <c r="N520" s="319">
        <v>2030010</v>
      </c>
      <c r="O520" s="319"/>
      <c r="P520" s="319"/>
      <c r="Q520" s="319"/>
      <c r="R520" s="319"/>
      <c r="S520" s="319"/>
      <c r="T520" s="319"/>
      <c r="U520" s="319"/>
      <c r="V520" s="319"/>
      <c r="W520" s="319"/>
      <c r="X520" s="319"/>
      <c r="Y520" s="319"/>
      <c r="Z520" s="319"/>
      <c r="AA520" s="319"/>
      <c r="AB520" s="319"/>
      <c r="AC520" s="319"/>
      <c r="AD520" s="319"/>
      <c r="AE520" s="319"/>
      <c r="AF520" s="319"/>
      <c r="AG520" s="319"/>
      <c r="AH520" s="319"/>
      <c r="AI520" s="319"/>
      <c r="AJ520" s="319"/>
      <c r="AK520" s="319"/>
      <c r="AL520" s="319"/>
      <c r="AM520" s="319"/>
      <c r="AN520" s="319"/>
      <c r="AO520" s="319"/>
      <c r="AP520" s="319"/>
      <c r="AQ520" s="319"/>
      <c r="AR520" s="319"/>
      <c r="AS520" s="319"/>
      <c r="AT520" s="319"/>
      <c r="AU520" s="319"/>
      <c r="AV520" s="319"/>
      <c r="AW520" s="319"/>
      <c r="AX520" s="319"/>
      <c r="AY520" s="319"/>
      <c r="AZ520" s="319"/>
      <c r="BA520" s="319"/>
      <c r="BB520" s="319"/>
      <c r="BC520" s="319"/>
      <c r="BD520" s="319"/>
      <c r="BE520" s="319"/>
      <c r="BF520" s="319"/>
      <c r="BG520" s="319"/>
      <c r="BH520" s="319"/>
      <c r="BI520" s="319"/>
      <c r="BJ520" s="319"/>
      <c r="BK520" s="319"/>
      <c r="BL520" s="319"/>
      <c r="BM520" s="319"/>
      <c r="BN520" s="319"/>
      <c r="BO520" s="319"/>
      <c r="BP520" s="319"/>
      <c r="BQ520" s="319"/>
      <c r="BR520" s="319"/>
      <c r="BS520" s="319"/>
      <c r="BT520" s="319"/>
      <c r="BU520" s="319"/>
      <c r="BV520" s="319"/>
      <c r="BW520" s="319"/>
      <c r="BX520" s="319"/>
      <c r="BY520" s="319"/>
      <c r="BZ520" s="319"/>
      <c r="CA520" s="319"/>
      <c r="CB520" s="319"/>
      <c r="CC520" s="319"/>
      <c r="CD520" s="319"/>
      <c r="CE520" s="319"/>
      <c r="CF520" s="319"/>
      <c r="CG520" s="319"/>
      <c r="CH520" s="319"/>
      <c r="CI520" s="319"/>
      <c r="CJ520" s="319"/>
      <c r="CK520" s="319"/>
    </row>
    <row r="521" spans="1:89" ht="13.5" hidden="1" customHeight="1">
      <c r="A521" s="12"/>
      <c r="B521" s="329" t="str">
        <f>B500</f>
        <v>Eletricidade fornecida à carga</v>
      </c>
      <c r="C521" s="29" t="str">
        <f>$J$1184</f>
        <v>MWh</v>
      </c>
      <c r="D521" s="140">
        <f>(E245+E246)*D520</f>
        <v>0</v>
      </c>
      <c r="E521" s="96" t="e">
        <f>D521/(E245+E246)</f>
        <v>#DIV/0!</v>
      </c>
      <c r="F521" s="1"/>
      <c r="G521" s="1"/>
      <c r="H521" s="1"/>
      <c r="I521" s="1"/>
      <c r="J521" s="1"/>
      <c r="K521" s="9"/>
      <c r="L521" s="1"/>
      <c r="M521" s="319"/>
      <c r="N521" s="319">
        <v>5030044</v>
      </c>
      <c r="O521" s="319"/>
      <c r="P521" s="319"/>
      <c r="Q521" s="319"/>
      <c r="R521" s="319"/>
      <c r="S521" s="319"/>
      <c r="T521" s="319"/>
      <c r="U521" s="319"/>
      <c r="V521" s="319"/>
      <c r="W521" s="319"/>
      <c r="X521" s="319"/>
      <c r="Y521" s="319"/>
      <c r="Z521" s="319"/>
      <c r="AA521" s="319"/>
      <c r="AB521" s="319"/>
      <c r="AC521" s="319"/>
      <c r="AD521" s="319"/>
      <c r="AE521" s="319"/>
      <c r="AF521" s="319"/>
      <c r="AG521" s="319"/>
      <c r="AH521" s="319"/>
      <c r="AI521" s="319"/>
      <c r="AJ521" s="319"/>
      <c r="AK521" s="319"/>
      <c r="AL521" s="319"/>
      <c r="AM521" s="319"/>
      <c r="AN521" s="319"/>
      <c r="AO521" s="319"/>
      <c r="AP521" s="319"/>
      <c r="AQ521" s="319"/>
      <c r="AR521" s="319"/>
      <c r="AS521" s="319"/>
      <c r="AT521" s="319"/>
      <c r="AU521" s="319"/>
      <c r="AV521" s="319"/>
      <c r="AW521" s="319"/>
      <c r="AX521" s="319"/>
      <c r="AY521" s="319"/>
      <c r="AZ521" s="319"/>
      <c r="BA521" s="319"/>
      <c r="BB521" s="319"/>
      <c r="BC521" s="319"/>
      <c r="BD521" s="319"/>
      <c r="BE521" s="319"/>
      <c r="BF521" s="319"/>
      <c r="BG521" s="319"/>
      <c r="BH521" s="319"/>
      <c r="BI521" s="319"/>
      <c r="BJ521" s="319"/>
      <c r="BK521" s="319"/>
      <c r="BL521" s="319"/>
      <c r="BM521" s="319"/>
      <c r="BN521" s="319"/>
      <c r="BO521" s="319"/>
      <c r="BP521" s="319"/>
      <c r="BQ521" s="319"/>
      <c r="BR521" s="319"/>
      <c r="BS521" s="319"/>
      <c r="BT521" s="319"/>
      <c r="BU521" s="319"/>
      <c r="BV521" s="319"/>
      <c r="BW521" s="319"/>
      <c r="BX521" s="319"/>
      <c r="BY521" s="319"/>
      <c r="BZ521" s="319"/>
      <c r="CA521" s="319"/>
      <c r="CB521" s="319"/>
      <c r="CC521" s="319"/>
      <c r="CD521" s="319"/>
      <c r="CE521" s="319"/>
      <c r="CF521" s="319"/>
      <c r="CG521" s="319"/>
      <c r="CH521" s="319"/>
      <c r="CI521" s="319"/>
      <c r="CJ521" s="319"/>
      <c r="CK521" s="319"/>
    </row>
    <row r="522" spans="1:89" ht="13.5" hidden="1" customHeight="1">
      <c r="A522" s="12"/>
      <c r="B522" s="1" t="str">
        <f>B760</f>
        <v>Fabricante</v>
      </c>
      <c r="C522" s="1152"/>
      <c r="D522" s="1153"/>
      <c r="E522" s="1154"/>
      <c r="F522" s="1"/>
      <c r="G522" s="1"/>
      <c r="H522" s="1"/>
      <c r="I522" s="1"/>
      <c r="J522" s="1"/>
      <c r="K522" s="9"/>
      <c r="L522" s="1"/>
      <c r="M522" s="319"/>
      <c r="N522" s="319">
        <v>2050012</v>
      </c>
      <c r="O522" s="319"/>
      <c r="P522" s="319"/>
      <c r="Q522" s="319"/>
      <c r="R522" s="319"/>
      <c r="S522" s="319"/>
      <c r="T522" s="319"/>
      <c r="U522" s="319"/>
      <c r="V522" s="319"/>
      <c r="W522" s="319"/>
      <c r="X522" s="319"/>
      <c r="Y522" s="319"/>
      <c r="Z522" s="319"/>
      <c r="AA522" s="319"/>
      <c r="AB522" s="319"/>
      <c r="AC522" s="319"/>
      <c r="AD522" s="319"/>
      <c r="AE522" s="319"/>
      <c r="AF522" s="319"/>
      <c r="AG522" s="319"/>
      <c r="AH522" s="319"/>
      <c r="AI522" s="319"/>
      <c r="AJ522" s="319"/>
      <c r="AK522" s="319"/>
      <c r="AL522" s="319"/>
      <c r="AM522" s="319"/>
      <c r="AN522" s="319"/>
      <c r="AO522" s="319"/>
      <c r="AP522" s="319"/>
      <c r="AQ522" s="319"/>
      <c r="AR522" s="319"/>
      <c r="AS522" s="319"/>
      <c r="AT522" s="319"/>
      <c r="AU522" s="319"/>
      <c r="AV522" s="319"/>
      <c r="AW522" s="319"/>
      <c r="AX522" s="319"/>
      <c r="AY522" s="319"/>
      <c r="AZ522" s="319"/>
      <c r="BA522" s="319"/>
      <c r="BB522" s="319"/>
      <c r="BC522" s="319"/>
      <c r="BD522" s="319"/>
      <c r="BE522" s="319"/>
      <c r="BF522" s="319"/>
      <c r="BG522" s="319"/>
      <c r="BH522" s="319"/>
      <c r="BI522" s="319"/>
      <c r="BJ522" s="319"/>
      <c r="BK522" s="319"/>
      <c r="BL522" s="319"/>
      <c r="BM522" s="319"/>
      <c r="BN522" s="319"/>
      <c r="BO522" s="319"/>
      <c r="BP522" s="319"/>
      <c r="BQ522" s="319"/>
      <c r="BR522" s="319"/>
      <c r="BS522" s="319"/>
      <c r="BT522" s="319"/>
      <c r="BU522" s="319"/>
      <c r="BV522" s="319"/>
      <c r="BW522" s="319"/>
      <c r="BX522" s="319"/>
      <c r="BY522" s="319"/>
      <c r="BZ522" s="319"/>
      <c r="CA522" s="319"/>
      <c r="CB522" s="319"/>
      <c r="CC522" s="319"/>
      <c r="CD522" s="319"/>
      <c r="CE522" s="319"/>
      <c r="CF522" s="319"/>
      <c r="CG522" s="319"/>
      <c r="CH522" s="319"/>
      <c r="CI522" s="319"/>
      <c r="CJ522" s="319"/>
      <c r="CK522" s="319"/>
    </row>
    <row r="523" spans="1:89" ht="13.2" hidden="1">
      <c r="A523" s="12"/>
      <c r="B523" s="1" t="str">
        <f>B343</f>
        <v>Modelo</v>
      </c>
      <c r="C523" s="1152"/>
      <c r="D523" s="1153"/>
      <c r="E523" s="1154"/>
      <c r="F523" s="1" t="str">
        <f>$I$1197 &amp; Lang_Unit</f>
        <v>8 unidade(s)</v>
      </c>
      <c r="G523" s="1"/>
      <c r="H523" s="1"/>
      <c r="I523" s="1"/>
      <c r="J523" s="1"/>
      <c r="K523" s="9"/>
      <c r="L523" s="1"/>
      <c r="M523" s="319"/>
      <c r="N523" s="319">
        <v>2050014</v>
      </c>
      <c r="O523" s="319"/>
      <c r="P523" s="319"/>
      <c r="Q523" s="319"/>
      <c r="R523" s="319">
        <f>IF(C524=$C$1174,D524,$D$1175*D524)</f>
        <v>0</v>
      </c>
      <c r="S523" s="319" t="s">
        <v>568</v>
      </c>
      <c r="T523" s="319"/>
      <c r="U523" s="319"/>
      <c r="V523" s="319"/>
      <c r="W523" s="319"/>
      <c r="X523" s="319"/>
      <c r="Y523" s="319"/>
      <c r="Z523" s="319"/>
      <c r="AA523" s="319"/>
      <c r="AB523" s="319"/>
      <c r="AC523" s="319"/>
      <c r="AD523" s="319"/>
      <c r="AE523" s="319"/>
      <c r="AF523" s="319"/>
      <c r="AG523" s="319"/>
      <c r="AH523" s="319"/>
      <c r="AI523" s="319"/>
      <c r="AJ523" s="319"/>
      <c r="AK523" s="319"/>
      <c r="AL523" s="319"/>
      <c r="AM523" s="319"/>
      <c r="AN523" s="319"/>
      <c r="AO523" s="319"/>
      <c r="AP523" s="319"/>
      <c r="AQ523" s="319"/>
      <c r="AR523" s="319"/>
      <c r="AS523" s="319"/>
      <c r="AT523" s="319"/>
      <c r="AU523" s="319"/>
      <c r="AV523" s="319"/>
      <c r="AW523" s="319"/>
      <c r="AX523" s="319"/>
      <c r="AY523" s="319"/>
      <c r="AZ523" s="319"/>
      <c r="BA523" s="319"/>
      <c r="BB523" s="319"/>
      <c r="BC523" s="319"/>
      <c r="BD523" s="319"/>
      <c r="BE523" s="319"/>
      <c r="BF523" s="319"/>
      <c r="BG523" s="319"/>
      <c r="BH523" s="319"/>
      <c r="BI523" s="319"/>
      <c r="BJ523" s="319"/>
      <c r="BK523" s="319"/>
      <c r="BL523" s="319"/>
      <c r="BM523" s="319"/>
      <c r="BN523" s="319"/>
      <c r="BO523" s="319"/>
      <c r="BP523" s="319"/>
      <c r="BQ523" s="319"/>
      <c r="BR523" s="319"/>
      <c r="BS523" s="319"/>
      <c r="BT523" s="319"/>
      <c r="BU523" s="319"/>
      <c r="BV523" s="319"/>
      <c r="BW523" s="319"/>
      <c r="BX523" s="319"/>
      <c r="BY523" s="319"/>
      <c r="BZ523" s="319"/>
      <c r="CA523" s="319"/>
      <c r="CB523" s="319"/>
      <c r="CC523" s="319"/>
      <c r="CD523" s="319"/>
      <c r="CE523" s="319"/>
      <c r="CF523" s="319"/>
      <c r="CG523" s="319"/>
      <c r="CH523" s="319"/>
      <c r="CI523" s="319"/>
      <c r="CJ523" s="319"/>
      <c r="CK523" s="319"/>
    </row>
    <row r="524" spans="1:89" ht="13.5" hidden="1" customHeight="1">
      <c r="A524" s="12"/>
      <c r="B524" s="1" t="str">
        <f>B198</f>
        <v>Preço do calor</v>
      </c>
      <c r="C524" s="303" t="s">
        <v>4213</v>
      </c>
      <c r="D524" s="307"/>
      <c r="E524" s="1"/>
      <c r="F524" s="1"/>
      <c r="G524" s="1"/>
      <c r="H524" s="1"/>
      <c r="I524" s="1"/>
      <c r="J524" s="1"/>
      <c r="K524" s="9"/>
      <c r="L524" s="1"/>
      <c r="M524" s="319"/>
      <c r="N524" s="319">
        <v>2050018</v>
      </c>
      <c r="O524" s="319"/>
      <c r="P524" s="319"/>
      <c r="Q524" s="319"/>
      <c r="R524" s="319">
        <f>R523*(D521)/3600</f>
        <v>0</v>
      </c>
      <c r="S524" s="319" t="s">
        <v>1445</v>
      </c>
      <c r="T524" s="319"/>
      <c r="U524" s="319"/>
      <c r="V524" s="319"/>
      <c r="W524" s="319"/>
      <c r="X524" s="319"/>
      <c r="Y524" s="319"/>
      <c r="Z524" s="319"/>
      <c r="AA524" s="319"/>
      <c r="AB524" s="319"/>
      <c r="AC524" s="319"/>
      <c r="AD524" s="319"/>
      <c r="AE524" s="319"/>
      <c r="AF524" s="319"/>
      <c r="AG524" s="319"/>
      <c r="AH524" s="319"/>
      <c r="AI524" s="319"/>
      <c r="AJ524" s="319"/>
      <c r="AK524" s="319"/>
      <c r="AL524" s="319"/>
      <c r="AM524" s="319"/>
      <c r="AN524" s="319"/>
      <c r="AO524" s="319"/>
      <c r="AP524" s="319"/>
      <c r="AQ524" s="319"/>
      <c r="AR524" s="319"/>
      <c r="AS524" s="319"/>
      <c r="AT524" s="319"/>
      <c r="AU524" s="319"/>
      <c r="AV524" s="319"/>
      <c r="AW524" s="319"/>
      <c r="AX524" s="319"/>
      <c r="AY524" s="319"/>
      <c r="AZ524" s="319"/>
      <c r="BA524" s="319"/>
      <c r="BB524" s="319"/>
      <c r="BC524" s="319"/>
      <c r="BD524" s="319"/>
      <c r="BE524" s="319"/>
      <c r="BF524" s="319"/>
      <c r="BG524" s="319"/>
      <c r="BH524" s="319"/>
      <c r="BI524" s="319"/>
      <c r="BJ524" s="319"/>
      <c r="BK524" s="319"/>
      <c r="BL524" s="319"/>
      <c r="BM524" s="319"/>
      <c r="BN524" s="319"/>
      <c r="BO524" s="319"/>
      <c r="BP524" s="319"/>
      <c r="BQ524" s="319"/>
      <c r="BR524" s="319"/>
      <c r="BS524" s="319"/>
      <c r="BT524" s="319"/>
      <c r="BU524" s="319"/>
      <c r="BV524" s="319"/>
      <c r="BW524" s="319"/>
      <c r="BX524" s="319"/>
      <c r="BY524" s="319"/>
      <c r="BZ524" s="319"/>
      <c r="CA524" s="319"/>
      <c r="CB524" s="319"/>
      <c r="CC524" s="319"/>
      <c r="CD524" s="319"/>
      <c r="CE524" s="319"/>
      <c r="CF524" s="319"/>
      <c r="CG524" s="319"/>
      <c r="CH524" s="319"/>
      <c r="CI524" s="319"/>
      <c r="CJ524" s="319"/>
      <c r="CK524" s="319"/>
    </row>
    <row r="525" spans="1:89" ht="13.5" hidden="1" customHeight="1">
      <c r="A525" s="12"/>
      <c r="B525" s="1" t="str">
        <f>B511</f>
        <v>Taxa de recuperação de calor</v>
      </c>
      <c r="C525" s="29" t="str">
        <f>$C$254</f>
        <v>%</v>
      </c>
      <c r="D525" s="339"/>
      <c r="E525" s="1"/>
      <c r="F525" s="1"/>
      <c r="G525" s="1"/>
      <c r="H525" s="1"/>
      <c r="I525" s="1"/>
      <c r="J525" s="1"/>
      <c r="K525" s="9"/>
      <c r="L525" s="1"/>
      <c r="M525" s="319"/>
      <c r="N525" s="319">
        <v>2050030</v>
      </c>
      <c r="O525" s="319"/>
      <c r="P525" s="319"/>
      <c r="Q525" s="319"/>
      <c r="R525" s="319"/>
      <c r="S525" s="319"/>
      <c r="T525" s="319"/>
      <c r="U525" s="319"/>
      <c r="V525" s="319"/>
      <c r="W525" s="319"/>
      <c r="X525" s="319"/>
      <c r="Y525" s="319"/>
      <c r="Z525" s="319"/>
      <c r="AA525" s="319"/>
      <c r="AB525" s="319"/>
      <c r="AC525" s="319"/>
      <c r="AD525" s="319"/>
      <c r="AE525" s="319"/>
      <c r="AF525" s="319"/>
      <c r="AG525" s="319"/>
      <c r="AH525" s="319"/>
      <c r="AI525" s="319"/>
      <c r="AJ525" s="319"/>
      <c r="AK525" s="319"/>
      <c r="AL525" s="319"/>
      <c r="AM525" s="319"/>
      <c r="AN525" s="319"/>
      <c r="AO525" s="319"/>
      <c r="AP525" s="319"/>
      <c r="AQ525" s="319"/>
      <c r="AR525" s="319"/>
      <c r="AS525" s="319"/>
      <c r="AT525" s="319"/>
      <c r="AU525" s="319"/>
      <c r="AV525" s="319"/>
      <c r="AW525" s="319"/>
      <c r="AX525" s="319"/>
      <c r="AY525" s="319"/>
      <c r="AZ525" s="319"/>
      <c r="BA525" s="319"/>
      <c r="BB525" s="319"/>
      <c r="BC525" s="319"/>
      <c r="BD525" s="319"/>
      <c r="BE525" s="319"/>
      <c r="BF525" s="319"/>
      <c r="BG525" s="319"/>
      <c r="BH525" s="319"/>
      <c r="BI525" s="319"/>
      <c r="BJ525" s="319"/>
      <c r="BK525" s="319"/>
      <c r="BL525" s="319"/>
      <c r="BM525" s="319"/>
      <c r="BN525" s="319"/>
      <c r="BO525" s="319"/>
      <c r="BP525" s="319"/>
      <c r="BQ525" s="319"/>
      <c r="BR525" s="319"/>
      <c r="BS525" s="319"/>
      <c r="BT525" s="319"/>
      <c r="BU525" s="319"/>
      <c r="BV525" s="319"/>
      <c r="BW525" s="319"/>
      <c r="BX525" s="319"/>
      <c r="BY525" s="319"/>
      <c r="BZ525" s="319"/>
      <c r="CA525" s="319"/>
      <c r="CB525" s="319"/>
      <c r="CC525" s="319"/>
      <c r="CD525" s="319"/>
      <c r="CE525" s="319"/>
      <c r="CF525" s="319"/>
      <c r="CG525" s="319"/>
      <c r="CH525" s="319"/>
      <c r="CI525" s="319"/>
      <c r="CJ525" s="319"/>
      <c r="CK525" s="319"/>
    </row>
    <row r="526" spans="1:89" ht="13.5" hidden="1" customHeight="1">
      <c r="A526" s="12"/>
      <c r="B526" s="1" t="str">
        <f>B512</f>
        <v>Combustível necessário</v>
      </c>
      <c r="C526" s="29" t="s">
        <v>5250</v>
      </c>
      <c r="D526" s="140">
        <f>D519*R523/10^6</f>
        <v>0</v>
      </c>
      <c r="E526" s="1"/>
      <c r="F526" s="1"/>
      <c r="G526" s="1"/>
      <c r="H526" s="1"/>
      <c r="I526" s="1"/>
      <c r="J526" s="1"/>
      <c r="K526" s="9"/>
      <c r="L526" s="1"/>
      <c r="M526" s="319"/>
      <c r="N526" s="319">
        <v>2050032</v>
      </c>
      <c r="O526" s="319"/>
      <c r="P526" s="319"/>
      <c r="Q526" s="319"/>
      <c r="R526" s="319"/>
      <c r="S526" s="319"/>
      <c r="T526" s="319"/>
      <c r="U526" s="319"/>
      <c r="V526" s="319"/>
      <c r="W526" s="319"/>
      <c r="X526" s="319"/>
      <c r="Y526" s="319"/>
      <c r="Z526" s="319"/>
      <c r="AA526" s="319"/>
      <c r="AB526" s="319"/>
      <c r="AC526" s="319"/>
      <c r="AD526" s="319"/>
      <c r="AE526" s="319"/>
      <c r="AF526" s="319"/>
      <c r="AG526" s="319"/>
      <c r="AH526" s="319"/>
      <c r="AI526" s="319"/>
      <c r="AJ526" s="319"/>
      <c r="AK526" s="319"/>
      <c r="AL526" s="319"/>
      <c r="AM526" s="319"/>
      <c r="AN526" s="319"/>
      <c r="AO526" s="319"/>
      <c r="AP526" s="319"/>
      <c r="AQ526" s="319"/>
      <c r="AR526" s="319"/>
      <c r="AS526" s="319"/>
      <c r="AT526" s="319"/>
      <c r="AU526" s="319"/>
      <c r="AV526" s="319"/>
      <c r="AW526" s="319"/>
      <c r="AX526" s="319"/>
      <c r="AY526" s="319"/>
      <c r="AZ526" s="319"/>
      <c r="BA526" s="319"/>
      <c r="BB526" s="319"/>
      <c r="BC526" s="319"/>
      <c r="BD526" s="319"/>
      <c r="BE526" s="319"/>
      <c r="BF526" s="319"/>
      <c r="BG526" s="319"/>
      <c r="BH526" s="319"/>
      <c r="BI526" s="319"/>
      <c r="BJ526" s="319"/>
      <c r="BK526" s="319"/>
      <c r="BL526" s="319"/>
      <c r="BM526" s="319"/>
      <c r="BN526" s="319"/>
      <c r="BO526" s="319"/>
      <c r="BP526" s="319"/>
      <c r="BQ526" s="319"/>
      <c r="BR526" s="319"/>
      <c r="BS526" s="319"/>
      <c r="BT526" s="319"/>
      <c r="BU526" s="319"/>
      <c r="BV526" s="319"/>
      <c r="BW526" s="319"/>
      <c r="BX526" s="319"/>
      <c r="BY526" s="319"/>
      <c r="BZ526" s="319"/>
      <c r="CA526" s="319"/>
      <c r="CB526" s="319"/>
      <c r="CC526" s="319"/>
      <c r="CD526" s="319"/>
      <c r="CE526" s="319"/>
      <c r="CF526" s="319"/>
      <c r="CG526" s="319"/>
      <c r="CH526" s="319"/>
      <c r="CI526" s="319"/>
      <c r="CJ526" s="319"/>
      <c r="CK526" s="319"/>
    </row>
    <row r="527" spans="1:89" ht="13.5" hidden="1" customHeight="1">
      <c r="A527" s="12"/>
      <c r="B527" s="1" t="str">
        <f>B513</f>
        <v>Capacidade térmica</v>
      </c>
      <c r="C527" s="29" t="str">
        <f>$F$1169</f>
        <v>kW</v>
      </c>
      <c r="D527" s="140">
        <f>(R523*D519/10^3/3.6-D519)*D525</f>
        <v>0</v>
      </c>
      <c r="E527" s="1" t="s">
        <v>1883</v>
      </c>
      <c r="F527" s="1"/>
      <c r="G527" s="1"/>
      <c r="H527" s="1"/>
      <c r="I527" s="1"/>
      <c r="J527" s="1"/>
      <c r="K527" s="9"/>
      <c r="L527" s="1"/>
      <c r="M527" s="319"/>
      <c r="N527" s="319">
        <v>2050034</v>
      </c>
      <c r="O527" s="319"/>
      <c r="P527" s="319"/>
      <c r="Q527" s="319"/>
      <c r="R527" s="319"/>
      <c r="S527" s="319"/>
      <c r="T527" s="319"/>
      <c r="U527" s="319"/>
      <c r="V527" s="319"/>
      <c r="W527" s="319"/>
      <c r="X527" s="319"/>
      <c r="Y527" s="319"/>
      <c r="Z527" s="319"/>
      <c r="AA527" s="319"/>
      <c r="AB527" s="319"/>
      <c r="AC527" s="319"/>
      <c r="AD527" s="319"/>
      <c r="AE527" s="319"/>
      <c r="AF527" s="319"/>
      <c r="AG527" s="319"/>
      <c r="AH527" s="319"/>
      <c r="AI527" s="319"/>
      <c r="AJ527" s="319"/>
      <c r="AK527" s="319"/>
      <c r="AL527" s="319"/>
      <c r="AM527" s="319"/>
      <c r="AN527" s="319"/>
      <c r="AO527" s="319"/>
      <c r="AP527" s="319"/>
      <c r="AQ527" s="319"/>
      <c r="AR527" s="319"/>
      <c r="AS527" s="319"/>
      <c r="AT527" s="319"/>
      <c r="AU527" s="319"/>
      <c r="AV527" s="319"/>
      <c r="AW527" s="319"/>
      <c r="AX527" s="319"/>
      <c r="AY527" s="319"/>
      <c r="AZ527" s="319"/>
      <c r="BA527" s="319"/>
      <c r="BB527" s="319"/>
      <c r="BC527" s="319"/>
      <c r="BD527" s="319"/>
      <c r="BE527" s="319"/>
      <c r="BF527" s="319"/>
      <c r="BG527" s="319"/>
      <c r="BH527" s="319"/>
      <c r="BI527" s="319"/>
      <c r="BJ527" s="319"/>
      <c r="BK527" s="319"/>
      <c r="BL527" s="319"/>
      <c r="BM527" s="319"/>
      <c r="BN527" s="319"/>
      <c r="BO527" s="319"/>
      <c r="BP527" s="319"/>
      <c r="BQ527" s="319"/>
      <c r="BR527" s="319"/>
      <c r="BS527" s="319"/>
      <c r="BT527" s="319"/>
      <c r="BU527" s="319"/>
      <c r="BV527" s="319"/>
      <c r="BW527" s="319"/>
      <c r="BX527" s="319"/>
      <c r="BY527" s="319"/>
      <c r="BZ527" s="319"/>
      <c r="CA527" s="319"/>
      <c r="CB527" s="319"/>
      <c r="CC527" s="319"/>
      <c r="CD527" s="319"/>
      <c r="CE527" s="319"/>
      <c r="CF527" s="319"/>
      <c r="CG527" s="319"/>
      <c r="CH527" s="319"/>
      <c r="CI527" s="319"/>
      <c r="CJ527" s="319"/>
      <c r="CK527" s="319"/>
    </row>
    <row r="528" spans="1:89" ht="12.75" hidden="1" customHeight="1">
      <c r="A528" s="12"/>
      <c r="B528" s="329"/>
      <c r="C528" s="329"/>
      <c r="D528" s="329"/>
      <c r="E528" s="329"/>
      <c r="F528" s="1"/>
      <c r="G528" s="1"/>
      <c r="H528" s="1"/>
      <c r="I528" s="1"/>
      <c r="J528" s="1"/>
      <c r="K528" s="9"/>
      <c r="L528" s="1"/>
      <c r="M528" s="319"/>
      <c r="N528" s="319">
        <v>5060024</v>
      </c>
      <c r="O528" s="319"/>
      <c r="P528" s="319"/>
      <c r="Q528" s="319"/>
      <c r="R528" s="319"/>
      <c r="S528" s="319"/>
      <c r="T528" s="319"/>
      <c r="U528" s="319"/>
      <c r="V528" s="319"/>
      <c r="W528" s="319"/>
      <c r="X528" s="319"/>
      <c r="Y528" s="319"/>
      <c r="Z528" s="319"/>
      <c r="AA528" s="319"/>
      <c r="AB528" s="319"/>
      <c r="AC528" s="319"/>
      <c r="AD528" s="319"/>
      <c r="AE528" s="319"/>
      <c r="AF528" s="319"/>
      <c r="AG528" s="319"/>
      <c r="AH528" s="319"/>
      <c r="AI528" s="319"/>
      <c r="AJ528" s="319"/>
      <c r="AK528" s="319"/>
      <c r="AL528" s="319"/>
      <c r="AM528" s="319"/>
      <c r="AN528" s="319"/>
      <c r="AO528" s="319"/>
      <c r="AP528" s="319"/>
      <c r="AQ528" s="319"/>
      <c r="AR528" s="319"/>
      <c r="AS528" s="319"/>
      <c r="AT528" s="319"/>
      <c r="AU528" s="319"/>
      <c r="AV528" s="319"/>
      <c r="AW528" s="319"/>
      <c r="AX528" s="319"/>
      <c r="AY528" s="319"/>
      <c r="AZ528" s="319"/>
      <c r="BA528" s="319"/>
      <c r="BB528" s="319"/>
      <c r="BC528" s="319"/>
      <c r="BD528" s="319"/>
      <c r="BE528" s="319"/>
      <c r="BF528" s="319"/>
      <c r="BG528" s="319"/>
      <c r="BH528" s="319"/>
      <c r="BI528" s="319"/>
      <c r="BJ528" s="319"/>
      <c r="BK528" s="319"/>
      <c r="BL528" s="319"/>
      <c r="BM528" s="319"/>
      <c r="BN528" s="319"/>
      <c r="BO528" s="319"/>
      <c r="BP528" s="319"/>
      <c r="BQ528" s="319"/>
      <c r="BR528" s="319"/>
      <c r="BS528" s="319"/>
      <c r="BT528" s="319"/>
      <c r="BU528" s="319"/>
      <c r="BV528" s="319"/>
      <c r="BW528" s="319"/>
      <c r="BX528" s="319"/>
      <c r="BY528" s="319"/>
      <c r="BZ528" s="319"/>
      <c r="CA528" s="319"/>
      <c r="CB528" s="319"/>
      <c r="CC528" s="319"/>
      <c r="CD528" s="319"/>
      <c r="CE528" s="319"/>
      <c r="CF528" s="319"/>
      <c r="CG528" s="319"/>
      <c r="CH528" s="319"/>
      <c r="CI528" s="319"/>
      <c r="CJ528" s="319"/>
      <c r="CK528" s="319"/>
    </row>
    <row r="529" spans="1:89" ht="12.75" hidden="1" customHeight="1">
      <c r="A529" s="12"/>
      <c r="B529" s="28" t="str">
        <f>Language!C210</f>
        <v>Carga de ponta do sistema elétrico</v>
      </c>
      <c r="C529" s="29"/>
      <c r="D529" s="29"/>
      <c r="E529" s="1" t="s">
        <v>1883</v>
      </c>
      <c r="F529" s="329"/>
      <c r="G529" s="82"/>
      <c r="H529" s="1"/>
      <c r="I529" s="1"/>
      <c r="J529" s="1"/>
      <c r="K529" s="9"/>
      <c r="L529" s="1"/>
      <c r="M529" s="319"/>
      <c r="N529" s="319">
        <v>5060050</v>
      </c>
      <c r="O529" s="319"/>
      <c r="P529" s="319"/>
      <c r="Q529" s="319"/>
      <c r="R529" s="319"/>
      <c r="S529" s="319"/>
      <c r="T529" s="319"/>
      <c r="U529" s="319"/>
      <c r="V529" s="319"/>
      <c r="W529" s="319"/>
      <c r="X529" s="319"/>
      <c r="Y529" s="319"/>
      <c r="Z529" s="319"/>
      <c r="AA529" s="319"/>
      <c r="AB529" s="319"/>
      <c r="AC529" s="319"/>
      <c r="AD529" s="319"/>
      <c r="AE529" s="319"/>
      <c r="AF529" s="319"/>
      <c r="AG529" s="319"/>
      <c r="AH529" s="319"/>
      <c r="AI529" s="319"/>
      <c r="AJ529" s="319"/>
      <c r="AK529" s="319"/>
      <c r="AL529" s="319"/>
      <c r="AM529" s="319"/>
      <c r="AN529" s="319"/>
      <c r="AO529" s="319"/>
      <c r="AP529" s="319"/>
      <c r="AQ529" s="319"/>
      <c r="AR529" s="319"/>
      <c r="AS529" s="319"/>
      <c r="AT529" s="319"/>
      <c r="AU529" s="319"/>
      <c r="AV529" s="319"/>
      <c r="AW529" s="319"/>
      <c r="AX529" s="319"/>
      <c r="AY529" s="319"/>
      <c r="AZ529" s="319"/>
      <c r="BA529" s="319"/>
      <c r="BB529" s="319"/>
      <c r="BC529" s="319"/>
      <c r="BD529" s="319"/>
      <c r="BE529" s="319"/>
      <c r="BF529" s="319"/>
      <c r="BG529" s="319"/>
      <c r="BH529" s="319"/>
      <c r="BI529" s="319"/>
      <c r="BJ529" s="319"/>
      <c r="BK529" s="319"/>
      <c r="BL529" s="319"/>
      <c r="BM529" s="319"/>
      <c r="BN529" s="319"/>
      <c r="BO529" s="319"/>
      <c r="BP529" s="319"/>
      <c r="BQ529" s="319"/>
      <c r="BR529" s="319"/>
      <c r="BS529" s="319"/>
      <c r="BT529" s="319"/>
      <c r="BU529" s="319"/>
      <c r="BV529" s="319"/>
      <c r="BW529" s="319"/>
      <c r="BX529" s="319"/>
      <c r="BY529" s="319"/>
      <c r="BZ529" s="319"/>
      <c r="CA529" s="319"/>
      <c r="CB529" s="319"/>
      <c r="CC529" s="319"/>
      <c r="CD529" s="319"/>
      <c r="CE529" s="319"/>
      <c r="CF529" s="319"/>
      <c r="CG529" s="319"/>
      <c r="CH529" s="319"/>
      <c r="CI529" s="319"/>
      <c r="CJ529" s="319"/>
      <c r="CK529" s="319"/>
    </row>
    <row r="530" spans="1:89" ht="13.5" hidden="1" customHeight="1">
      <c r="A530" s="12"/>
      <c r="B530" s="329" t="str">
        <f>B194</f>
        <v>Tecnologia</v>
      </c>
      <c r="C530" s="1133" t="s">
        <v>6107</v>
      </c>
      <c r="D530" s="1134"/>
      <c r="E530" s="1135"/>
      <c r="F530" s="329"/>
      <c r="G530" s="1"/>
      <c r="H530" s="1"/>
      <c r="I530" s="1"/>
      <c r="J530" s="1"/>
      <c r="K530" s="9"/>
      <c r="L530" s="1"/>
      <c r="M530" s="319">
        <f>IF(AND(C530=J1156,D536=0),0,IF(C530=J1152,1,2))</f>
        <v>1</v>
      </c>
      <c r="N530" s="319">
        <v>3011028</v>
      </c>
      <c r="O530" s="319"/>
      <c r="P530" s="319"/>
      <c r="Q530" s="319"/>
      <c r="R530" s="319"/>
      <c r="S530" s="319"/>
      <c r="T530" s="319"/>
      <c r="U530" s="319"/>
      <c r="V530" s="319"/>
      <c r="W530" s="319"/>
      <c r="X530" s="319"/>
      <c r="Y530" s="319"/>
      <c r="Z530" s="319"/>
      <c r="AA530" s="319"/>
      <c r="AB530" s="319"/>
      <c r="AC530" s="319"/>
      <c r="AD530" s="319"/>
      <c r="AE530" s="319"/>
      <c r="AF530" s="319"/>
      <c r="AG530" s="319"/>
      <c r="AH530" s="319"/>
      <c r="AI530" s="319"/>
      <c r="AJ530" s="319"/>
      <c r="AK530" s="319"/>
      <c r="AL530" s="319"/>
      <c r="AM530" s="319"/>
      <c r="AN530" s="319"/>
      <c r="AO530" s="319"/>
      <c r="AP530" s="319"/>
      <c r="AQ530" s="319"/>
      <c r="AR530" s="319"/>
      <c r="AS530" s="319"/>
      <c r="AT530" s="319"/>
      <c r="AU530" s="319"/>
      <c r="AV530" s="319"/>
      <c r="AW530" s="319"/>
      <c r="AX530" s="319"/>
      <c r="AY530" s="319"/>
      <c r="AZ530" s="319"/>
      <c r="BA530" s="319"/>
      <c r="BB530" s="319"/>
      <c r="BC530" s="319"/>
      <c r="BD530" s="319"/>
      <c r="BE530" s="319"/>
      <c r="BF530" s="319"/>
      <c r="BG530" s="319"/>
      <c r="BH530" s="319"/>
      <c r="BI530" s="319"/>
      <c r="BJ530" s="319"/>
      <c r="BK530" s="319"/>
      <c r="BL530" s="319"/>
      <c r="BM530" s="319"/>
      <c r="BN530" s="319"/>
      <c r="BO530" s="319"/>
      <c r="BP530" s="319"/>
      <c r="BQ530" s="319"/>
      <c r="BR530" s="319"/>
      <c r="BS530" s="319"/>
      <c r="BT530" s="319"/>
      <c r="BU530" s="319"/>
      <c r="BV530" s="319"/>
      <c r="BW530" s="319"/>
      <c r="BX530" s="319"/>
      <c r="BY530" s="319"/>
      <c r="BZ530" s="319"/>
      <c r="CA530" s="319"/>
      <c r="CB530" s="319"/>
      <c r="CC530" s="319"/>
      <c r="CD530" s="319"/>
      <c r="CE530" s="319"/>
      <c r="CF530" s="319"/>
      <c r="CG530" s="319"/>
      <c r="CH530" s="319"/>
      <c r="CI530" s="319"/>
      <c r="CJ530" s="319"/>
      <c r="CK530" s="319"/>
    </row>
    <row r="531" spans="1:89" ht="13.5" hidden="1" customHeight="1">
      <c r="A531" s="12"/>
      <c r="B531" s="329" t="str">
        <f>$B$801</f>
        <v>Tipo de Combustível</v>
      </c>
      <c r="C531" s="1133" t="s">
        <v>7046</v>
      </c>
      <c r="D531" s="1134"/>
      <c r="E531" s="1135"/>
      <c r="F531" s="329"/>
      <c r="G531" s="1"/>
      <c r="H531" s="1"/>
      <c r="I531" s="1"/>
      <c r="J531" s="1"/>
      <c r="K531" s="9"/>
      <c r="L531" s="1"/>
      <c r="M531" s="319"/>
      <c r="N531" s="319">
        <v>2010106</v>
      </c>
      <c r="O531" s="319"/>
      <c r="P531" s="319"/>
      <c r="Q531" s="319" t="str">
        <f>IF(C530=J1152,F1098,C531)</f>
        <v>Eletricidade</v>
      </c>
      <c r="R531" s="319">
        <f>D532/VLOOKUP(Q531,LN_FuelList,4,FALSE)*1000/3.6*IF(EE_Hydro_PL=1,1000,1)</f>
        <v>0</v>
      </c>
      <c r="S531" s="319" t="s">
        <v>1044</v>
      </c>
      <c r="T531" s="319"/>
      <c r="U531" s="319"/>
      <c r="V531" s="319"/>
      <c r="W531" s="319"/>
      <c r="X531" s="319"/>
      <c r="Y531" s="319"/>
      <c r="Z531" s="319"/>
      <c r="AA531" s="319"/>
      <c r="AB531" s="319"/>
      <c r="AC531" s="319"/>
      <c r="AD531" s="319"/>
      <c r="AE531" s="319"/>
      <c r="AF531" s="319"/>
      <c r="AG531" s="319"/>
      <c r="AH531" s="319"/>
      <c r="AI531" s="319"/>
      <c r="AJ531" s="319"/>
      <c r="AK531" s="319"/>
      <c r="AL531" s="319"/>
      <c r="AM531" s="319"/>
      <c r="AN531" s="319"/>
      <c r="AO531" s="319"/>
      <c r="AP531" s="319"/>
      <c r="AQ531" s="319"/>
      <c r="AR531" s="319"/>
      <c r="AS531" s="319"/>
      <c r="AT531" s="319"/>
      <c r="AU531" s="319"/>
      <c r="AV531" s="319"/>
      <c r="AW531" s="319"/>
      <c r="AX531" s="319"/>
      <c r="AY531" s="319"/>
      <c r="AZ531" s="319"/>
      <c r="BA531" s="319"/>
      <c r="BB531" s="319"/>
      <c r="BC531" s="319"/>
      <c r="BD531" s="319"/>
      <c r="BE531" s="319"/>
      <c r="BF531" s="319"/>
      <c r="BG531" s="319"/>
      <c r="BH531" s="319"/>
      <c r="BI531" s="319"/>
      <c r="BJ531" s="319"/>
      <c r="BK531" s="319"/>
      <c r="BL531" s="319"/>
      <c r="BM531" s="319"/>
      <c r="BN531" s="319"/>
      <c r="BO531" s="319"/>
      <c r="BP531" s="319"/>
      <c r="BQ531" s="319"/>
      <c r="BR531" s="319"/>
      <c r="BS531" s="319"/>
      <c r="BT531" s="319"/>
      <c r="BU531" s="319"/>
      <c r="BV531" s="319"/>
      <c r="BW531" s="319"/>
      <c r="BX531" s="319"/>
      <c r="BY531" s="319"/>
      <c r="BZ531" s="319"/>
      <c r="CA531" s="319"/>
      <c r="CB531" s="319"/>
      <c r="CC531" s="319"/>
      <c r="CD531" s="319"/>
      <c r="CE531" s="319"/>
      <c r="CF531" s="319"/>
      <c r="CG531" s="319"/>
      <c r="CH531" s="319"/>
      <c r="CI531" s="319"/>
      <c r="CJ531" s="319"/>
      <c r="CK531" s="319"/>
    </row>
    <row r="532" spans="1:89" ht="13.5" hidden="1" customHeight="1">
      <c r="A532" s="12"/>
      <c r="B532" s="329" t="str">
        <f>$B$804</f>
        <v>Preço do combustível</v>
      </c>
      <c r="C532" s="29" t="str">
        <f>VLOOKUP(Q531,LN_FuelList,5,FALSE)</f>
        <v>€/kWh</v>
      </c>
      <c r="D532" s="410"/>
      <c r="E532" s="1"/>
      <c r="F532" s="329"/>
      <c r="G532" s="1"/>
      <c r="H532" s="1"/>
      <c r="I532" s="1"/>
      <c r="J532" s="1"/>
      <c r="K532" s="9"/>
      <c r="L532" s="1"/>
      <c r="M532" s="319"/>
      <c r="N532" s="319">
        <v>2010108</v>
      </c>
      <c r="O532" s="319"/>
      <c r="P532" s="319"/>
      <c r="Q532" s="319"/>
      <c r="R532" s="319"/>
      <c r="S532" s="319"/>
      <c r="T532" s="319"/>
      <c r="U532" s="319"/>
      <c r="V532" s="319"/>
      <c r="W532" s="319"/>
      <c r="X532" s="319"/>
      <c r="Y532" s="319"/>
      <c r="Z532" s="319"/>
      <c r="AA532" s="319"/>
      <c r="AB532" s="319"/>
      <c r="AC532" s="319"/>
      <c r="AD532" s="319"/>
      <c r="AE532" s="319"/>
      <c r="AF532" s="319"/>
      <c r="AG532" s="319"/>
      <c r="AH532" s="319"/>
      <c r="AI532" s="319"/>
      <c r="AJ532" s="319"/>
      <c r="AK532" s="319"/>
      <c r="AL532" s="319"/>
      <c r="AM532" s="319"/>
      <c r="AN532" s="319"/>
      <c r="AO532" s="319"/>
      <c r="AP532" s="319"/>
      <c r="AQ532" s="319"/>
      <c r="AR532" s="319"/>
      <c r="AS532" s="319"/>
      <c r="AT532" s="319"/>
      <c r="AU532" s="319"/>
      <c r="AV532" s="319"/>
      <c r="AW532" s="319"/>
      <c r="AX532" s="319"/>
      <c r="AY532" s="319"/>
      <c r="AZ532" s="319"/>
      <c r="BA532" s="319"/>
      <c r="BB532" s="319"/>
      <c r="BC532" s="319"/>
      <c r="BD532" s="319"/>
      <c r="BE532" s="319"/>
      <c r="BF532" s="319"/>
      <c r="BG532" s="319"/>
      <c r="BH532" s="319"/>
      <c r="BI532" s="319"/>
      <c r="BJ532" s="319"/>
      <c r="BK532" s="319"/>
      <c r="BL532" s="319"/>
      <c r="BM532" s="319"/>
      <c r="BN532" s="319"/>
      <c r="BO532" s="319"/>
      <c r="BP532" s="319"/>
      <c r="BQ532" s="319"/>
      <c r="BR532" s="319"/>
      <c r="BS532" s="319"/>
      <c r="BT532" s="319"/>
      <c r="BU532" s="319"/>
      <c r="BV532" s="319"/>
      <c r="BW532" s="319"/>
      <c r="BX532" s="319"/>
      <c r="BY532" s="319"/>
      <c r="BZ532" s="319"/>
      <c r="CA532" s="319"/>
      <c r="CB532" s="319"/>
      <c r="CC532" s="319"/>
      <c r="CD532" s="319"/>
      <c r="CE532" s="319"/>
      <c r="CF532" s="319"/>
      <c r="CG532" s="319"/>
      <c r="CH532" s="319"/>
      <c r="CI532" s="319"/>
      <c r="CJ532" s="319"/>
      <c r="CK532" s="319"/>
    </row>
    <row r="533" spans="1:89" ht="13.5" hidden="1" customHeight="1">
      <c r="A533" s="12"/>
      <c r="B533" s="329" t="str">
        <f>Language!C1526</f>
        <v>Eficiência do carregador</v>
      </c>
      <c r="C533" s="29" t="str">
        <f>$C$254</f>
        <v>%</v>
      </c>
      <c r="D533" s="422"/>
      <c r="E533" s="1"/>
      <c r="F533" s="329"/>
      <c r="G533" s="1"/>
      <c r="H533" s="1"/>
      <c r="I533" s="1"/>
      <c r="J533" s="1"/>
      <c r="K533" s="9"/>
      <c r="L533" s="1"/>
      <c r="M533" s="319"/>
      <c r="N533" s="319">
        <v>5060058</v>
      </c>
      <c r="O533" s="319"/>
      <c r="P533" s="319"/>
      <c r="Q533" s="319"/>
      <c r="R533" s="319"/>
      <c r="S533" s="319"/>
      <c r="T533" s="319"/>
      <c r="U533" s="319"/>
      <c r="V533" s="319"/>
      <c r="W533" s="319"/>
      <c r="X533" s="319"/>
      <c r="Y533" s="319"/>
      <c r="Z533" s="319"/>
      <c r="AA533" s="319"/>
      <c r="AB533" s="319"/>
      <c r="AC533" s="319"/>
      <c r="AD533" s="319"/>
      <c r="AE533" s="319"/>
      <c r="AF533" s="319"/>
      <c r="AG533" s="319"/>
      <c r="AH533" s="319"/>
      <c r="AI533" s="319"/>
      <c r="AJ533" s="319"/>
      <c r="AK533" s="319"/>
      <c r="AL533" s="319"/>
      <c r="AM533" s="319"/>
      <c r="AN533" s="319"/>
      <c r="AO533" s="319"/>
      <c r="AP533" s="319"/>
      <c r="AQ533" s="319"/>
      <c r="AR533" s="319"/>
      <c r="AS533" s="319"/>
      <c r="AT533" s="319"/>
      <c r="AU533" s="319"/>
      <c r="AV533" s="319"/>
      <c r="AW533" s="319"/>
      <c r="AX533" s="319"/>
      <c r="AY533" s="319"/>
      <c r="AZ533" s="319"/>
      <c r="BA533" s="319"/>
      <c r="BB533" s="319"/>
      <c r="BC533" s="319"/>
      <c r="BD533" s="319"/>
      <c r="BE533" s="319"/>
      <c r="BF533" s="319"/>
      <c r="BG533" s="319"/>
      <c r="BH533" s="319"/>
      <c r="BI533" s="319"/>
      <c r="BJ533" s="319"/>
      <c r="BK533" s="319"/>
      <c r="BL533" s="319"/>
      <c r="BM533" s="319"/>
      <c r="BN533" s="319"/>
      <c r="BO533" s="319"/>
      <c r="BP533" s="319"/>
      <c r="BQ533" s="319"/>
      <c r="BR533" s="319"/>
      <c r="BS533" s="319"/>
      <c r="BT533" s="319"/>
      <c r="BU533" s="319"/>
      <c r="BV533" s="319"/>
      <c r="BW533" s="319"/>
      <c r="BX533" s="319"/>
      <c r="BY533" s="319"/>
      <c r="BZ533" s="319"/>
      <c r="CA533" s="319"/>
      <c r="CB533" s="319"/>
      <c r="CC533" s="319"/>
      <c r="CD533" s="319"/>
      <c r="CE533" s="319"/>
      <c r="CF533" s="319"/>
      <c r="CG533" s="319"/>
      <c r="CH533" s="319"/>
      <c r="CI533" s="319"/>
      <c r="CJ533" s="319"/>
      <c r="CK533" s="319"/>
    </row>
    <row r="534" spans="1:89" ht="13.5" hidden="1" customHeight="1">
      <c r="A534" s="12"/>
      <c r="B534" s="329" t="str">
        <f>Language!C215</f>
        <v>Capacidade sugerida</v>
      </c>
      <c r="C534" s="29" t="str">
        <f>$F$1169</f>
        <v>kW</v>
      </c>
      <c r="D534" s="140">
        <f>E247</f>
        <v>0</v>
      </c>
      <c r="E534" s="1"/>
      <c r="F534" s="329"/>
      <c r="G534" s="1"/>
      <c r="H534" s="1"/>
      <c r="I534" s="1"/>
      <c r="J534" s="1"/>
      <c r="K534" s="9"/>
      <c r="L534" s="1"/>
      <c r="M534" s="319"/>
      <c r="N534" s="319">
        <v>3011034</v>
      </c>
      <c r="O534" s="319"/>
      <c r="P534" s="319"/>
      <c r="Q534" s="319"/>
      <c r="R534" s="319"/>
      <c r="S534" s="319"/>
      <c r="T534" s="319"/>
      <c r="U534" s="319"/>
      <c r="V534" s="319"/>
      <c r="W534" s="319"/>
      <c r="X534" s="319"/>
      <c r="Y534" s="319"/>
      <c r="Z534" s="319"/>
      <c r="AA534" s="319"/>
      <c r="AB534" s="319"/>
      <c r="AC534" s="319"/>
      <c r="AD534" s="319"/>
      <c r="AE534" s="319"/>
      <c r="AF534" s="319"/>
      <c r="AG534" s="319"/>
      <c r="AH534" s="319"/>
      <c r="AI534" s="319"/>
      <c r="AJ534" s="319"/>
      <c r="AK534" s="319"/>
      <c r="AL534" s="319"/>
      <c r="AM534" s="319"/>
      <c r="AN534" s="319"/>
      <c r="AO534" s="319"/>
      <c r="AP534" s="319"/>
      <c r="AQ534" s="319"/>
      <c r="AR534" s="319"/>
      <c r="AS534" s="319"/>
      <c r="AT534" s="319"/>
      <c r="AU534" s="319"/>
      <c r="AV534" s="319"/>
      <c r="AW534" s="319"/>
      <c r="AX534" s="319"/>
      <c r="AY534" s="319"/>
      <c r="AZ534" s="319"/>
      <c r="BA534" s="319"/>
      <c r="BB534" s="319"/>
      <c r="BC534" s="319"/>
      <c r="BD534" s="319"/>
      <c r="BE534" s="319"/>
      <c r="BF534" s="319"/>
      <c r="BG534" s="319"/>
      <c r="BH534" s="319"/>
      <c r="BI534" s="319"/>
      <c r="BJ534" s="319"/>
      <c r="BK534" s="319"/>
      <c r="BL534" s="319"/>
      <c r="BM534" s="319"/>
      <c r="BN534" s="319"/>
      <c r="BO534" s="319"/>
      <c r="BP534" s="319"/>
      <c r="BQ534" s="319"/>
      <c r="BR534" s="319"/>
      <c r="BS534" s="319"/>
      <c r="BT534" s="319"/>
      <c r="BU534" s="319"/>
      <c r="BV534" s="319"/>
      <c r="BW534" s="319"/>
      <c r="BX534" s="319"/>
      <c r="BY534" s="319"/>
      <c r="BZ534" s="319"/>
      <c r="CA534" s="319"/>
      <c r="CB534" s="319"/>
      <c r="CC534" s="319"/>
      <c r="CD534" s="319"/>
      <c r="CE534" s="319"/>
      <c r="CF534" s="319"/>
      <c r="CG534" s="319"/>
      <c r="CH534" s="319"/>
      <c r="CI534" s="319"/>
      <c r="CJ534" s="319"/>
      <c r="CK534" s="319"/>
    </row>
    <row r="535" spans="1:89" ht="13.5" hidden="1" customHeight="1">
      <c r="A535" s="12"/>
      <c r="B535" s="329" t="str">
        <f>B886</f>
        <v>Capacidade</v>
      </c>
      <c r="C535" s="29" t="str">
        <f>$F$1169</f>
        <v>kW</v>
      </c>
      <c r="D535" s="412"/>
      <c r="E535" s="55" t="str">
        <f>IF(OR(E247=0,E247=""),"",D535/E247)</f>
        <v/>
      </c>
      <c r="F535" s="329"/>
      <c r="G535" s="1346"/>
      <c r="H535" s="1"/>
      <c r="I535" s="1209" t="str">
        <f>$I$636</f>
        <v>Ver banco de dados de produtos</v>
      </c>
      <c r="J535" s="1246"/>
      <c r="K535" s="1247"/>
      <c r="L535" s="1"/>
      <c r="M535" s="319"/>
      <c r="N535" s="319">
        <v>3011036</v>
      </c>
      <c r="O535" s="319"/>
      <c r="P535" s="319"/>
      <c r="Q535" s="319"/>
      <c r="R535" s="319"/>
      <c r="S535" s="319"/>
      <c r="T535" s="319"/>
      <c r="U535" s="319"/>
      <c r="V535" s="319"/>
      <c r="W535" s="319"/>
      <c r="X535" s="319"/>
      <c r="Y535" s="319"/>
      <c r="Z535" s="319"/>
      <c r="AA535" s="319"/>
      <c r="AB535" s="319"/>
      <c r="AC535" s="319"/>
      <c r="AD535" s="319"/>
      <c r="AE535" s="319"/>
      <c r="AF535" s="319"/>
      <c r="AG535" s="319"/>
      <c r="AH535" s="319"/>
      <c r="AI535" s="319"/>
      <c r="AJ535" s="319"/>
      <c r="AK535" s="319"/>
      <c r="AL535" s="319"/>
      <c r="AM535" s="319"/>
      <c r="AN535" s="319"/>
      <c r="AO535" s="319"/>
      <c r="AP535" s="319"/>
      <c r="AQ535" s="319"/>
      <c r="AR535" s="319"/>
      <c r="AS535" s="319"/>
      <c r="AT535" s="319"/>
      <c r="AU535" s="319"/>
      <c r="AV535" s="319"/>
      <c r="AW535" s="319"/>
      <c r="AX535" s="319"/>
      <c r="AY535" s="319"/>
      <c r="AZ535" s="319"/>
      <c r="BA535" s="319"/>
      <c r="BB535" s="319"/>
      <c r="BC535" s="319"/>
      <c r="BD535" s="319"/>
      <c r="BE535" s="319"/>
      <c r="BF535" s="319"/>
      <c r="BG535" s="319"/>
      <c r="BH535" s="319"/>
      <c r="BI535" s="319"/>
      <c r="BJ535" s="319"/>
      <c r="BK535" s="319"/>
      <c r="BL535" s="319"/>
      <c r="BM535" s="319"/>
      <c r="BN535" s="319"/>
      <c r="BO535" s="319"/>
      <c r="BP535" s="319"/>
      <c r="BQ535" s="319"/>
      <c r="BR535" s="319"/>
      <c r="BS535" s="319"/>
      <c r="BT535" s="319"/>
      <c r="BU535" s="319"/>
      <c r="BV535" s="319"/>
      <c r="BW535" s="319"/>
      <c r="BX535" s="319"/>
      <c r="BY535" s="319"/>
      <c r="BZ535" s="319"/>
      <c r="CA535" s="319"/>
      <c r="CB535" s="319"/>
      <c r="CC535" s="319"/>
      <c r="CD535" s="319"/>
      <c r="CE535" s="319"/>
      <c r="CF535" s="319"/>
      <c r="CG535" s="319"/>
      <c r="CH535" s="319"/>
      <c r="CI535" s="319"/>
      <c r="CJ535" s="319"/>
      <c r="CK535" s="319"/>
    </row>
    <row r="536" spans="1:89" ht="13.5" hidden="1" customHeight="1">
      <c r="A536" s="12"/>
      <c r="B536" s="329" t="str">
        <f>B500</f>
        <v>Eletricidade fornecida à carga</v>
      </c>
      <c r="C536" s="29" t="str">
        <f>$J$1184</f>
        <v>MWh</v>
      </c>
      <c r="D536" s="140">
        <f>IF(ISERROR(IF((E245+E246)-SUM(F1058:F1061)&lt;0,0,(E245+E246)-SUM(F1058:F1061))*IF(M1090+E535&lt;1,D535/(E247-D505),1)),0,IF((E245+E246)-SUM(F1058:F1061)&lt;0,0,(E245+E246)-SUM(F1058:F1061))*IF(M1090+E535&lt;1,D535/(E247-D505),1))</f>
        <v>0</v>
      </c>
      <c r="E536" s="55" t="e">
        <f>D536/(E245+E246)</f>
        <v>#DIV/0!</v>
      </c>
      <c r="F536" s="329"/>
      <c r="G536" s="1"/>
      <c r="H536" s="1"/>
      <c r="I536" s="1"/>
      <c r="J536" s="1"/>
      <c r="K536" s="9"/>
      <c r="L536" s="1"/>
      <c r="M536" s="319"/>
      <c r="N536" s="319">
        <v>5030044</v>
      </c>
      <c r="O536" s="319"/>
      <c r="P536" s="319"/>
      <c r="Q536" s="319"/>
      <c r="R536" s="319"/>
      <c r="S536" s="319"/>
      <c r="T536" s="319"/>
      <c r="U536" s="319"/>
      <c r="V536" s="319"/>
      <c r="W536" s="319"/>
      <c r="X536" s="319"/>
      <c r="Y536" s="319"/>
      <c r="Z536" s="319"/>
      <c r="AA536" s="319"/>
      <c r="AB536" s="319"/>
      <c r="AC536" s="319"/>
      <c r="AD536" s="319"/>
      <c r="AE536" s="319"/>
      <c r="AF536" s="319"/>
      <c r="AG536" s="319"/>
      <c r="AH536" s="319"/>
      <c r="AI536" s="319"/>
      <c r="AJ536" s="319"/>
      <c r="AK536" s="319"/>
      <c r="AL536" s="319"/>
      <c r="AM536" s="319"/>
      <c r="AN536" s="319"/>
      <c r="AO536" s="319"/>
      <c r="AP536" s="319"/>
      <c r="AQ536" s="319"/>
      <c r="AR536" s="319"/>
      <c r="AS536" s="319"/>
      <c r="AT536" s="319"/>
      <c r="AU536" s="319"/>
      <c r="AV536" s="319"/>
      <c r="AW536" s="319"/>
      <c r="AX536" s="319"/>
      <c r="AY536" s="319"/>
      <c r="AZ536" s="319"/>
      <c r="BA536" s="319"/>
      <c r="BB536" s="319"/>
      <c r="BC536" s="319"/>
      <c r="BD536" s="319"/>
      <c r="BE536" s="319"/>
      <c r="BF536" s="319"/>
      <c r="BG536" s="319"/>
      <c r="BH536" s="319"/>
      <c r="BI536" s="319"/>
      <c r="BJ536" s="319"/>
      <c r="BK536" s="319"/>
      <c r="BL536" s="319"/>
      <c r="BM536" s="319"/>
      <c r="BN536" s="319"/>
      <c r="BO536" s="319"/>
      <c r="BP536" s="319"/>
      <c r="BQ536" s="319"/>
      <c r="BR536" s="319"/>
      <c r="BS536" s="319"/>
      <c r="BT536" s="319"/>
      <c r="BU536" s="319"/>
      <c r="BV536" s="319"/>
      <c r="BW536" s="319"/>
      <c r="BX536" s="319"/>
      <c r="BY536" s="319"/>
      <c r="BZ536" s="319"/>
      <c r="CA536" s="319"/>
      <c r="CB536" s="319"/>
      <c r="CC536" s="319"/>
      <c r="CD536" s="319"/>
      <c r="CE536" s="319"/>
      <c r="CF536" s="319"/>
      <c r="CG536" s="319"/>
      <c r="CH536" s="319"/>
      <c r="CI536" s="319"/>
      <c r="CJ536" s="319"/>
      <c r="CK536" s="319"/>
    </row>
    <row r="537" spans="1:89" ht="13.5" hidden="1" customHeight="1">
      <c r="A537" s="12"/>
      <c r="B537" s="329" t="str">
        <f>B760</f>
        <v>Fabricante</v>
      </c>
      <c r="C537" s="1152"/>
      <c r="D537" s="1153"/>
      <c r="E537" s="1154"/>
      <c r="F537" s="1"/>
      <c r="G537" s="1"/>
      <c r="H537" s="1"/>
      <c r="I537" s="1"/>
      <c r="J537" s="1"/>
      <c r="K537" s="9"/>
      <c r="L537" s="1"/>
      <c r="M537" s="319"/>
      <c r="N537" s="319">
        <v>2050012</v>
      </c>
      <c r="O537" s="319"/>
      <c r="P537" s="319"/>
      <c r="Q537" s="319"/>
      <c r="R537" s="319"/>
      <c r="S537" s="319"/>
      <c r="T537" s="319"/>
      <c r="U537" s="319"/>
      <c r="V537" s="319"/>
      <c r="W537" s="319"/>
      <c r="X537" s="319"/>
      <c r="Y537" s="319"/>
      <c r="Z537" s="319"/>
      <c r="AA537" s="319"/>
      <c r="AB537" s="319"/>
      <c r="AC537" s="319"/>
      <c r="AD537" s="319"/>
      <c r="AE537" s="319"/>
      <c r="AF537" s="319"/>
      <c r="AG537" s="319"/>
      <c r="AH537" s="319"/>
      <c r="AI537" s="319"/>
      <c r="AJ537" s="319"/>
      <c r="AK537" s="319"/>
      <c r="AL537" s="319"/>
      <c r="AM537" s="319"/>
      <c r="AN537" s="319"/>
      <c r="AO537" s="319"/>
      <c r="AP537" s="319"/>
      <c r="AQ537" s="319"/>
      <c r="AR537" s="319"/>
      <c r="AS537" s="319"/>
      <c r="AT537" s="319"/>
      <c r="AU537" s="319"/>
      <c r="AV537" s="319"/>
      <c r="AW537" s="319"/>
      <c r="AX537" s="319"/>
      <c r="AY537" s="319"/>
      <c r="AZ537" s="319"/>
      <c r="BA537" s="319"/>
      <c r="BB537" s="319"/>
      <c r="BC537" s="319"/>
      <c r="BD537" s="319"/>
      <c r="BE537" s="319"/>
      <c r="BF537" s="319"/>
      <c r="BG537" s="319"/>
      <c r="BH537" s="319"/>
      <c r="BI537" s="319"/>
      <c r="BJ537" s="319"/>
      <c r="BK537" s="319"/>
      <c r="BL537" s="319"/>
      <c r="BM537" s="319"/>
      <c r="BN537" s="319"/>
      <c r="BO537" s="319"/>
      <c r="BP537" s="319"/>
      <c r="BQ537" s="319"/>
      <c r="BR537" s="319"/>
      <c r="BS537" s="319"/>
      <c r="BT537" s="319"/>
      <c r="BU537" s="319"/>
      <c r="BV537" s="319"/>
      <c r="BW537" s="319"/>
      <c r="BX537" s="319"/>
      <c r="BY537" s="319"/>
      <c r="BZ537" s="319"/>
      <c r="CA537" s="319"/>
      <c r="CB537" s="319"/>
      <c r="CC537" s="319"/>
      <c r="CD537" s="319"/>
      <c r="CE537" s="319"/>
      <c r="CF537" s="319"/>
      <c r="CG537" s="319"/>
      <c r="CH537" s="319"/>
      <c r="CI537" s="319"/>
      <c r="CJ537" s="319"/>
      <c r="CK537" s="319"/>
    </row>
    <row r="538" spans="1:89" ht="13.5" hidden="1" customHeight="1">
      <c r="A538" s="12"/>
      <c r="B538" s="329" t="str">
        <f>B343</f>
        <v>Modelo</v>
      </c>
      <c r="C538" s="1152"/>
      <c r="D538" s="1153"/>
      <c r="E538" s="1154"/>
      <c r="F538" s="1" t="str">
        <f>$I$1193 &amp; Lang_Unit</f>
        <v>1 unidade(s)</v>
      </c>
      <c r="G538" s="1"/>
      <c r="H538" s="1"/>
      <c r="I538" s="1"/>
      <c r="J538" s="1"/>
      <c r="K538" s="9"/>
      <c r="L538" s="1"/>
      <c r="M538" s="319"/>
      <c r="N538" s="319">
        <v>2050014</v>
      </c>
      <c r="O538" s="319"/>
      <c r="P538" s="319"/>
      <c r="Q538" s="319"/>
      <c r="R538" s="319">
        <f>IF(OR(D533=0,D533=""),3600,IF(EE_Hydro_PL=1,3600,IF(C539=$C$1174,D539,$D$1175*D539))/D533)</f>
        <v>3600</v>
      </c>
      <c r="S538" s="319" t="s">
        <v>568</v>
      </c>
      <c r="T538" s="319"/>
      <c r="U538" s="319"/>
      <c r="V538" s="319"/>
      <c r="W538" s="319"/>
      <c r="X538" s="319"/>
      <c r="Y538" s="319"/>
      <c r="Z538" s="319"/>
      <c r="AA538" s="319"/>
      <c r="AB538" s="319"/>
      <c r="AC538" s="319"/>
      <c r="AD538" s="319"/>
      <c r="AE538" s="319"/>
      <c r="AF538" s="319"/>
      <c r="AG538" s="319"/>
      <c r="AH538" s="319"/>
      <c r="AI538" s="319"/>
      <c r="AJ538" s="319"/>
      <c r="AK538" s="319"/>
      <c r="AL538" s="319"/>
      <c r="AM538" s="319"/>
      <c r="AN538" s="319"/>
      <c r="AO538" s="319"/>
      <c r="AP538" s="319"/>
      <c r="AQ538" s="319"/>
      <c r="AR538" s="319"/>
      <c r="AS538" s="319"/>
      <c r="AT538" s="319"/>
      <c r="AU538" s="319"/>
      <c r="AV538" s="319"/>
      <c r="AW538" s="319"/>
      <c r="AX538" s="319"/>
      <c r="AY538" s="319"/>
      <c r="AZ538" s="319"/>
      <c r="BA538" s="319"/>
      <c r="BB538" s="319"/>
      <c r="BC538" s="319"/>
      <c r="BD538" s="319"/>
      <c r="BE538" s="319"/>
      <c r="BF538" s="319"/>
      <c r="BG538" s="319"/>
      <c r="BH538" s="319"/>
      <c r="BI538" s="319"/>
      <c r="BJ538" s="319"/>
      <c r="BK538" s="319"/>
      <c r="BL538" s="319"/>
      <c r="BM538" s="319"/>
      <c r="BN538" s="319"/>
      <c r="BO538" s="319"/>
      <c r="BP538" s="319"/>
      <c r="BQ538" s="319"/>
      <c r="BR538" s="319"/>
      <c r="BS538" s="319"/>
      <c r="BT538" s="319"/>
      <c r="BU538" s="319"/>
      <c r="BV538" s="319"/>
      <c r="BW538" s="319"/>
      <c r="BX538" s="319"/>
      <c r="BY538" s="319"/>
      <c r="BZ538" s="319"/>
      <c r="CA538" s="319"/>
      <c r="CB538" s="319"/>
      <c r="CC538" s="319"/>
      <c r="CD538" s="319"/>
      <c r="CE538" s="319"/>
      <c r="CF538" s="319"/>
      <c r="CG538" s="319"/>
      <c r="CH538" s="319"/>
      <c r="CI538" s="319"/>
      <c r="CJ538" s="319"/>
      <c r="CK538" s="319"/>
    </row>
    <row r="539" spans="1:89" ht="13.5" hidden="1" customHeight="1">
      <c r="A539" s="12"/>
      <c r="B539" s="329" t="str">
        <f>B198</f>
        <v>Preço do calor</v>
      </c>
      <c r="C539" s="303" t="s">
        <v>4213</v>
      </c>
      <c r="D539" s="307"/>
      <c r="E539" s="1"/>
      <c r="F539" s="1"/>
      <c r="G539" s="1"/>
      <c r="H539" s="1"/>
      <c r="I539" s="1"/>
      <c r="J539" s="1"/>
      <c r="K539" s="9"/>
      <c r="L539" s="1"/>
      <c r="M539" s="319"/>
      <c r="N539" s="319">
        <v>3011044</v>
      </c>
      <c r="O539" s="319"/>
      <c r="P539" s="319"/>
      <c r="Q539" s="319"/>
      <c r="R539" s="319">
        <f>IF(AND(HideCode_projectType=2,EM_gridtype=5),1,0)*R538*(D536)/3600</f>
        <v>0</v>
      </c>
      <c r="S539" s="319" t="s">
        <v>1445</v>
      </c>
      <c r="T539" s="319"/>
      <c r="U539" s="319"/>
      <c r="V539" s="319"/>
      <c r="W539" s="319"/>
      <c r="X539" s="319"/>
      <c r="Y539" s="319"/>
      <c r="Z539" s="319"/>
      <c r="AA539" s="319"/>
      <c r="AB539" s="319"/>
      <c r="AC539" s="319"/>
      <c r="AD539" s="319"/>
      <c r="AE539" s="319"/>
      <c r="AF539" s="319"/>
      <c r="AG539" s="319"/>
      <c r="AH539" s="319"/>
      <c r="AI539" s="319"/>
      <c r="AJ539" s="319"/>
      <c r="AK539" s="319"/>
      <c r="AL539" s="319"/>
      <c r="AM539" s="319"/>
      <c r="AN539" s="319"/>
      <c r="AO539" s="319"/>
      <c r="AP539" s="319"/>
      <c r="AQ539" s="319"/>
      <c r="AR539" s="319"/>
      <c r="AS539" s="319"/>
      <c r="AT539" s="319"/>
      <c r="AU539" s="319"/>
      <c r="AV539" s="319"/>
      <c r="AW539" s="319"/>
      <c r="AX539" s="319"/>
      <c r="AY539" s="319"/>
      <c r="AZ539" s="319"/>
      <c r="BA539" s="319"/>
      <c r="BB539" s="319"/>
      <c r="BC539" s="319"/>
      <c r="BD539" s="319"/>
      <c r="BE539" s="319"/>
      <c r="BF539" s="319"/>
      <c r="BG539" s="319"/>
      <c r="BH539" s="319"/>
      <c r="BI539" s="319"/>
      <c r="BJ539" s="319"/>
      <c r="BK539" s="319"/>
      <c r="BL539" s="319"/>
      <c r="BM539" s="319"/>
      <c r="BN539" s="319"/>
      <c r="BO539" s="319"/>
      <c r="BP539" s="319"/>
      <c r="BQ539" s="319"/>
      <c r="BR539" s="319"/>
      <c r="BS539" s="319"/>
      <c r="BT539" s="319"/>
      <c r="BU539" s="319"/>
      <c r="BV539" s="319"/>
      <c r="BW539" s="319"/>
      <c r="BX539" s="319"/>
      <c r="BY539" s="319"/>
      <c r="BZ539" s="319"/>
      <c r="CA539" s="319"/>
      <c r="CB539" s="319"/>
      <c r="CC539" s="319"/>
      <c r="CD539" s="319"/>
      <c r="CE539" s="319"/>
      <c r="CF539" s="319"/>
      <c r="CG539" s="319"/>
      <c r="CH539" s="319"/>
      <c r="CI539" s="319"/>
      <c r="CJ539" s="319"/>
      <c r="CK539" s="319"/>
    </row>
    <row r="540" spans="1:89" ht="12.75" hidden="1" customHeight="1">
      <c r="A540" s="14"/>
      <c r="B540" s="15"/>
      <c r="C540" s="15"/>
      <c r="D540" s="15"/>
      <c r="E540" s="15"/>
      <c r="F540" s="15"/>
      <c r="G540" s="15"/>
      <c r="H540" s="15"/>
      <c r="I540" s="15"/>
      <c r="J540" s="15"/>
      <c r="K540" s="11"/>
      <c r="L540" s="1"/>
      <c r="M540" s="319"/>
      <c r="N540" s="319">
        <v>5060050</v>
      </c>
      <c r="O540" s="319"/>
      <c r="P540" s="319"/>
      <c r="Q540" s="319"/>
      <c r="R540" s="319"/>
      <c r="S540" s="319"/>
      <c r="T540" s="319"/>
      <c r="U540" s="319"/>
      <c r="V540" s="319"/>
      <c r="W540" s="319"/>
      <c r="X540" s="319"/>
      <c r="Y540" s="319"/>
      <c r="Z540" s="319"/>
      <c r="AA540" s="319"/>
      <c r="AB540" s="319"/>
      <c r="AC540" s="319"/>
      <c r="AD540" s="319"/>
      <c r="AE540" s="319"/>
      <c r="AF540" s="319"/>
      <c r="AG540" s="319"/>
      <c r="AH540" s="319"/>
      <c r="AI540" s="319"/>
      <c r="AJ540" s="319"/>
      <c r="AK540" s="319"/>
      <c r="AL540" s="319"/>
      <c r="AM540" s="319"/>
      <c r="AN540" s="319"/>
      <c r="AO540" s="319"/>
      <c r="AP540" s="319"/>
      <c r="AQ540" s="319"/>
      <c r="AR540" s="319"/>
      <c r="AS540" s="319"/>
      <c r="AT540" s="319"/>
      <c r="AU540" s="319"/>
      <c r="AV540" s="319"/>
      <c r="AW540" s="319"/>
      <c r="AX540" s="319"/>
      <c r="AY540" s="319"/>
      <c r="AZ540" s="319"/>
      <c r="BA540" s="319"/>
      <c r="BB540" s="319"/>
      <c r="BC540" s="319"/>
      <c r="BD540" s="319"/>
      <c r="BE540" s="319"/>
      <c r="BF540" s="319"/>
      <c r="BG540" s="319"/>
      <c r="BH540" s="319"/>
      <c r="BI540" s="319"/>
      <c r="BJ540" s="319"/>
      <c r="BK540" s="319"/>
      <c r="BL540" s="319"/>
      <c r="BM540" s="319"/>
      <c r="BN540" s="319"/>
      <c r="BO540" s="319"/>
      <c r="BP540" s="319"/>
      <c r="BQ540" s="319"/>
      <c r="BR540" s="319"/>
      <c r="BS540" s="319"/>
      <c r="BT540" s="319"/>
      <c r="BU540" s="319"/>
      <c r="BV540" s="319"/>
      <c r="BW540" s="319"/>
      <c r="BX540" s="319"/>
      <c r="BY540" s="319"/>
      <c r="BZ540" s="319"/>
      <c r="CA540" s="319"/>
      <c r="CB540" s="319"/>
      <c r="CC540" s="319"/>
      <c r="CD540" s="319"/>
      <c r="CE540" s="319"/>
      <c r="CF540" s="319"/>
      <c r="CG540" s="319"/>
      <c r="CH540" s="319"/>
      <c r="CI540" s="319"/>
      <c r="CJ540" s="319"/>
      <c r="CK540" s="319"/>
    </row>
    <row r="541" spans="1:89" ht="13.5" hidden="1" customHeight="1">
      <c r="A541" s="12"/>
      <c r="B541" s="329" t="str">
        <f>B194</f>
        <v>Tecnologia</v>
      </c>
      <c r="C541" s="1"/>
      <c r="D541" s="1227" t="str">
        <f>Language!C1979</f>
        <v>Aquecedor de ar solar</v>
      </c>
      <c r="E541" s="1228"/>
      <c r="F541" s="1"/>
      <c r="G541" s="52"/>
      <c r="H541" s="1"/>
      <c r="I541" s="1"/>
      <c r="J541" s="1"/>
      <c r="K541" s="9"/>
      <c r="L541" s="1"/>
      <c r="M541" s="319"/>
      <c r="N541" s="319">
        <v>13190</v>
      </c>
      <c r="O541" s="319"/>
      <c r="P541" s="319"/>
      <c r="Q541" s="319"/>
      <c r="R541" s="319"/>
      <c r="S541" s="319"/>
      <c r="T541" s="319"/>
      <c r="U541" s="319"/>
      <c r="V541" s="319"/>
      <c r="W541" s="319"/>
      <c r="X541" s="319"/>
      <c r="Y541" s="319"/>
      <c r="Z541" s="319"/>
      <c r="AA541" s="319"/>
      <c r="AB541" s="319"/>
      <c r="AC541" s="319"/>
      <c r="AD541" s="319"/>
      <c r="AE541" s="319"/>
      <c r="AF541" s="319"/>
      <c r="AG541" s="319"/>
      <c r="AH541" s="319"/>
      <c r="AI541" s="319"/>
      <c r="AJ541" s="319"/>
      <c r="AK541" s="319"/>
      <c r="AL541" s="319"/>
      <c r="AM541" s="319"/>
      <c r="AN541" s="319"/>
      <c r="AO541" s="319"/>
      <c r="AP541" s="319"/>
      <c r="AQ541" s="319"/>
      <c r="AR541" s="319"/>
      <c r="AS541" s="319"/>
      <c r="AT541" s="319"/>
      <c r="AU541" s="319"/>
      <c r="AV541" s="319"/>
      <c r="AW541" s="319"/>
      <c r="AX541" s="319"/>
      <c r="AY541" s="319"/>
      <c r="AZ541" s="319"/>
      <c r="BA541" s="319"/>
      <c r="BB541" s="319"/>
      <c r="BC541" s="319"/>
      <c r="BD541" s="319"/>
      <c r="BE541" s="319"/>
      <c r="BF541" s="319"/>
      <c r="BG541" s="319"/>
      <c r="BH541" s="319"/>
      <c r="BI541" s="319"/>
      <c r="BJ541" s="319"/>
      <c r="BK541" s="319"/>
      <c r="BL541" s="319"/>
      <c r="BM541" s="319"/>
      <c r="BN541" s="319"/>
      <c r="BO541" s="319"/>
      <c r="BP541" s="319"/>
      <c r="BQ541" s="319"/>
      <c r="BR541" s="319"/>
      <c r="BS541" s="319"/>
      <c r="BT541" s="319"/>
      <c r="BU541" s="319"/>
      <c r="BV541" s="319"/>
      <c r="BW541" s="319"/>
      <c r="BX541" s="319"/>
      <c r="BY541" s="319"/>
      <c r="BZ541" s="319"/>
      <c r="CA541" s="319"/>
      <c r="CB541" s="319"/>
      <c r="CC541" s="319"/>
      <c r="CD541" s="319"/>
      <c r="CE541" s="319"/>
      <c r="CF541" s="319"/>
      <c r="CG541" s="319"/>
      <c r="CH541" s="319"/>
      <c r="CI541" s="319"/>
      <c r="CJ541" s="319"/>
      <c r="CK541" s="319"/>
    </row>
    <row r="542" spans="1:89" ht="13.5" hidden="1" customHeight="1">
      <c r="A542" s="12"/>
      <c r="B542" s="28" t="str">
        <f>B203</f>
        <v>Características da carga</v>
      </c>
      <c r="C542" s="1"/>
      <c r="D542" s="1"/>
      <c r="E542" s="1"/>
      <c r="F542" s="1"/>
      <c r="G542" s="1"/>
      <c r="H542" s="1"/>
      <c r="I542" s="1"/>
      <c r="J542" s="1"/>
      <c r="K542" s="9"/>
      <c r="L542" s="1"/>
      <c r="M542" s="319"/>
      <c r="N542" s="319">
        <v>5070004</v>
      </c>
      <c r="O542" s="319"/>
      <c r="P542" s="319"/>
      <c r="Q542" s="3" t="b">
        <v>1</v>
      </c>
      <c r="R542" s="319"/>
      <c r="S542" s="319"/>
      <c r="T542" s="319"/>
      <c r="U542" s="319"/>
      <c r="V542" s="319"/>
      <c r="W542" s="319"/>
      <c r="X542" s="319"/>
      <c r="Y542" s="319"/>
      <c r="Z542" s="319"/>
      <c r="AA542" s="319"/>
      <c r="AB542" s="319"/>
      <c r="AC542" s="319"/>
      <c r="AD542" s="319"/>
      <c r="AE542" s="319"/>
      <c r="AF542" s="319"/>
      <c r="AG542" s="319"/>
      <c r="AH542" s="319"/>
      <c r="AI542" s="319"/>
      <c r="AJ542" s="319"/>
      <c r="AK542" s="319"/>
      <c r="AL542" s="319"/>
      <c r="AM542" s="319"/>
      <c r="AN542" s="319"/>
      <c r="AO542" s="319"/>
      <c r="AP542" s="319"/>
      <c r="AQ542" s="319"/>
      <c r="AR542" s="319"/>
      <c r="AS542" s="319"/>
      <c r="AT542" s="319"/>
      <c r="AU542" s="319"/>
      <c r="AV542" s="319"/>
      <c r="AW542" s="319"/>
      <c r="AX542" s="319"/>
      <c r="AY542" s="319"/>
      <c r="AZ542" s="319"/>
      <c r="BA542" s="319"/>
      <c r="BB542" s="319"/>
      <c r="BC542" s="319"/>
      <c r="BD542" s="319"/>
      <c r="BE542" s="319"/>
      <c r="BF542" s="319"/>
      <c r="BG542" s="319"/>
      <c r="BH542" s="319"/>
      <c r="BI542" s="319"/>
      <c r="BJ542" s="319"/>
      <c r="BK542" s="319"/>
      <c r="BL542" s="319"/>
      <c r="BM542" s="319"/>
      <c r="BN542" s="319"/>
      <c r="BO542" s="319"/>
      <c r="BP542" s="319"/>
      <c r="BQ542" s="319"/>
      <c r="BR542" s="319"/>
      <c r="BS542" s="319"/>
      <c r="BT542" s="319"/>
      <c r="BU542" s="319"/>
      <c r="BV542" s="319"/>
      <c r="BW542" s="319"/>
      <c r="BX542" s="319"/>
      <c r="BY542" s="319"/>
      <c r="BZ542" s="319"/>
      <c r="CA542" s="319"/>
      <c r="CB542" s="319"/>
      <c r="CC542" s="319"/>
      <c r="CD542" s="319"/>
      <c r="CE542" s="319"/>
      <c r="CF542" s="319"/>
      <c r="CG542" s="319"/>
      <c r="CH542" s="319"/>
      <c r="CI542" s="319"/>
      <c r="CJ542" s="319"/>
      <c r="CK542" s="319"/>
    </row>
    <row r="543" spans="1:89" ht="13.5" hidden="1" customHeight="1">
      <c r="A543" s="12"/>
      <c r="B543" s="329" t="str">
        <f>Language!C1484</f>
        <v>Aplicação</v>
      </c>
      <c r="C543" s="1011" t="s">
        <v>942</v>
      </c>
      <c r="D543" s="1" t="str">
        <f>Language!C2062</f>
        <v>Ventilação</v>
      </c>
      <c r="E543" s="1"/>
      <c r="F543" s="1"/>
      <c r="G543" s="1"/>
      <c r="H543" s="1"/>
      <c r="I543" s="1"/>
      <c r="J543" s="1"/>
      <c r="K543" s="9"/>
      <c r="L543" s="1"/>
      <c r="M543" s="319">
        <f>IF(EE_CB14_1=TRUE,10,0)</f>
        <v>10</v>
      </c>
      <c r="N543" s="319">
        <v>5070006</v>
      </c>
      <c r="O543" s="319"/>
      <c r="P543" s="319"/>
      <c r="Q543" s="3" t="b">
        <v>0</v>
      </c>
      <c r="R543" s="319"/>
      <c r="S543" s="319"/>
      <c r="T543" s="319"/>
      <c r="U543" s="319"/>
      <c r="V543" s="319"/>
      <c r="W543" s="319"/>
      <c r="X543" s="319"/>
      <c r="Y543" s="319"/>
      <c r="Z543" s="319"/>
      <c r="AA543" s="319"/>
      <c r="AB543" s="319"/>
      <c r="AC543" s="319"/>
      <c r="AD543" s="319"/>
      <c r="AE543" s="319"/>
      <c r="AF543" s="319"/>
      <c r="AG543" s="319"/>
      <c r="AH543" s="319"/>
      <c r="AI543" s="319"/>
      <c r="AJ543" s="319"/>
      <c r="AK543" s="319"/>
      <c r="AL543" s="319"/>
      <c r="AM543" s="319"/>
      <c r="AN543" s="319"/>
      <c r="AO543" s="319"/>
      <c r="AP543" s="319"/>
      <c r="AQ543" s="319"/>
      <c r="AR543" s="319"/>
      <c r="AS543" s="319"/>
      <c r="AT543" s="319"/>
      <c r="AU543" s="319"/>
      <c r="AV543" s="319"/>
      <c r="AW543" s="319"/>
      <c r="AX543" s="319"/>
      <c r="AY543" s="319"/>
      <c r="AZ543" s="319"/>
      <c r="BA543" s="319"/>
      <c r="BB543" s="319"/>
      <c r="BC543" s="319"/>
      <c r="BD543" s="319"/>
      <c r="BE543" s="319"/>
      <c r="BF543" s="319"/>
      <c r="BG543" s="319"/>
      <c r="BH543" s="319"/>
      <c r="BI543" s="319"/>
      <c r="BJ543" s="319"/>
      <c r="BK543" s="319"/>
      <c r="BL543" s="319"/>
      <c r="BM543" s="319"/>
      <c r="BN543" s="319"/>
      <c r="BO543" s="319"/>
      <c r="BP543" s="319"/>
      <c r="BQ543" s="319"/>
      <c r="BR543" s="319"/>
      <c r="BS543" s="319"/>
      <c r="BT543" s="319"/>
      <c r="BU543" s="319"/>
      <c r="BV543" s="319"/>
      <c r="BW543" s="319"/>
      <c r="BX543" s="319"/>
      <c r="BY543" s="319"/>
      <c r="BZ543" s="319"/>
      <c r="CA543" s="319"/>
      <c r="CB543" s="319"/>
      <c r="CC543" s="319"/>
      <c r="CD543" s="319"/>
      <c r="CE543" s="319"/>
      <c r="CF543" s="319"/>
      <c r="CG543" s="319"/>
      <c r="CH543" s="319"/>
      <c r="CI543" s="319"/>
      <c r="CJ543" s="319"/>
      <c r="CK543" s="319"/>
    </row>
    <row r="544" spans="1:89" ht="13.5" hidden="1" customHeight="1">
      <c r="A544" s="12"/>
      <c r="B544" s="329"/>
      <c r="C544" s="1011" t="s">
        <v>943</v>
      </c>
      <c r="D544" s="1" t="str">
        <f>Language!C1908</f>
        <v>Processo</v>
      </c>
      <c r="E544" s="1"/>
      <c r="F544" s="1"/>
      <c r="G544" s="1"/>
      <c r="H544" s="1"/>
      <c r="I544" s="1"/>
      <c r="J544" s="1"/>
      <c r="K544" s="9"/>
      <c r="L544" s="1"/>
      <c r="M544" s="319"/>
      <c r="N544" s="319">
        <v>5070006</v>
      </c>
      <c r="O544" s="319"/>
      <c r="P544" s="319"/>
      <c r="Q544" s="319"/>
      <c r="R544" s="319"/>
      <c r="S544" s="319"/>
      <c r="T544" s="319"/>
      <c r="U544" s="319"/>
      <c r="V544" s="319"/>
      <c r="W544" s="319"/>
      <c r="X544" s="319"/>
      <c r="Y544" s="319"/>
      <c r="Z544" s="319"/>
      <c r="AA544" s="319"/>
      <c r="AB544" s="319"/>
      <c r="AC544" s="319"/>
      <c r="AD544" s="319"/>
      <c r="AE544" s="319"/>
      <c r="AF544" s="319"/>
      <c r="AG544" s="319"/>
      <c r="AH544" s="319"/>
      <c r="AI544" s="319"/>
      <c r="AJ544" s="319"/>
      <c r="AK544" s="319"/>
      <c r="AL544" s="319"/>
      <c r="AM544" s="319"/>
      <c r="AN544" s="319"/>
      <c r="AO544" s="319"/>
      <c r="AP544" s="319"/>
      <c r="AQ544" s="319"/>
      <c r="AR544" s="319"/>
      <c r="AS544" s="319"/>
      <c r="AT544" s="319"/>
      <c r="AU544" s="319"/>
      <c r="AV544" s="319"/>
      <c r="AW544" s="319"/>
      <c r="AX544" s="319"/>
      <c r="AY544" s="319"/>
      <c r="AZ544" s="319"/>
      <c r="BA544" s="319"/>
      <c r="BB544" s="319"/>
      <c r="BC544" s="319"/>
      <c r="BD544" s="319"/>
      <c r="BE544" s="319"/>
      <c r="BF544" s="319"/>
      <c r="BG544" s="319"/>
      <c r="BH544" s="319"/>
      <c r="BI544" s="319"/>
      <c r="BJ544" s="319"/>
      <c r="BK544" s="319"/>
      <c r="BL544" s="319"/>
      <c r="BM544" s="319"/>
      <c r="BN544" s="319"/>
      <c r="BO544" s="319"/>
      <c r="BP544" s="319"/>
      <c r="BQ544" s="319"/>
      <c r="BR544" s="319"/>
      <c r="BS544" s="319"/>
      <c r="BT544" s="319"/>
      <c r="BU544" s="319"/>
      <c r="BV544" s="319"/>
      <c r="BW544" s="319"/>
      <c r="BX544" s="319"/>
      <c r="BY544" s="319"/>
      <c r="BZ544" s="319"/>
      <c r="CA544" s="319"/>
      <c r="CB544" s="319"/>
      <c r="CC544" s="319"/>
      <c r="CD544" s="319"/>
      <c r="CE544" s="319"/>
      <c r="CF544" s="319"/>
      <c r="CG544" s="319"/>
      <c r="CH544" s="319"/>
      <c r="CI544" s="319"/>
      <c r="CJ544" s="319"/>
      <c r="CK544" s="319"/>
    </row>
    <row r="545" spans="1:89" ht="12.75" hidden="1" customHeight="1">
      <c r="A545" s="12"/>
      <c r="B545" s="329"/>
      <c r="C545" s="1"/>
      <c r="D545" s="1"/>
      <c r="E545" s="1"/>
      <c r="F545" s="1"/>
      <c r="G545" s="1"/>
      <c r="H545" s="1"/>
      <c r="I545" s="1"/>
      <c r="J545" s="1"/>
      <c r="K545" s="9"/>
      <c r="L545" s="1"/>
      <c r="M545" s="319"/>
      <c r="N545" s="319">
        <v>5070006</v>
      </c>
      <c r="O545" s="319"/>
      <c r="P545" s="319"/>
      <c r="Q545" s="319"/>
      <c r="R545" s="319"/>
      <c r="S545" s="319"/>
      <c r="T545" s="319"/>
      <c r="U545" s="319"/>
      <c r="V545" s="319"/>
      <c r="W545" s="319"/>
      <c r="X545" s="319"/>
      <c r="Y545" s="319"/>
      <c r="Z545" s="319"/>
      <c r="AA545" s="319"/>
      <c r="AB545" s="319"/>
      <c r="AC545" s="319"/>
      <c r="AD545" s="319"/>
      <c r="AE545" s="319"/>
      <c r="AF545" s="319"/>
      <c r="AG545" s="319"/>
      <c r="AH545" s="319"/>
      <c r="AI545" s="319"/>
      <c r="AJ545" s="319"/>
      <c r="AK545" s="319"/>
      <c r="AL545" s="319"/>
      <c r="AM545" s="319"/>
      <c r="AN545" s="319"/>
      <c r="AO545" s="319"/>
      <c r="AP545" s="319"/>
      <c r="AQ545" s="319"/>
      <c r="AR545" s="319"/>
      <c r="AS545" s="319"/>
      <c r="AT545" s="319"/>
      <c r="AU545" s="319"/>
      <c r="AV545" s="319"/>
      <c r="AW545" s="319"/>
      <c r="AX545" s="319"/>
      <c r="AY545" s="319"/>
      <c r="AZ545" s="319"/>
      <c r="BA545" s="319"/>
      <c r="BB545" s="319"/>
      <c r="BC545" s="319"/>
      <c r="BD545" s="319"/>
      <c r="BE545" s="319"/>
      <c r="BF545" s="319"/>
      <c r="BG545" s="319"/>
      <c r="BH545" s="319"/>
      <c r="BI545" s="319"/>
      <c r="BJ545" s="319"/>
      <c r="BK545" s="319"/>
      <c r="BL545" s="319"/>
      <c r="BM545" s="319"/>
      <c r="BN545" s="319"/>
      <c r="BO545" s="319"/>
      <c r="BP545" s="319"/>
      <c r="BQ545" s="319"/>
      <c r="BR545" s="319"/>
      <c r="BS545" s="319"/>
      <c r="BT545" s="319"/>
      <c r="BU545" s="319"/>
      <c r="BV545" s="319"/>
      <c r="BW545" s="319"/>
      <c r="BX545" s="319"/>
      <c r="BY545" s="319"/>
      <c r="BZ545" s="319"/>
      <c r="CA545" s="319"/>
      <c r="CB545" s="319"/>
      <c r="CC545" s="319"/>
      <c r="CD545" s="319"/>
      <c r="CE545" s="319"/>
      <c r="CF545" s="319"/>
      <c r="CG545" s="319"/>
      <c r="CH545" s="319"/>
      <c r="CI545" s="319"/>
      <c r="CJ545" s="319"/>
      <c r="CK545" s="319"/>
    </row>
    <row r="546" spans="1:89" ht="25.5" hidden="1" customHeight="1">
      <c r="A546" s="12"/>
      <c r="B546" s="28"/>
      <c r="C546" s="45" t="str">
        <f>C221</f>
        <v>Unidade</v>
      </c>
      <c r="D546" s="82" t="str">
        <f>D221</f>
        <v>Caso de referência</v>
      </c>
      <c r="E546" s="82" t="str">
        <f>E221</f>
        <v>Caso proposto</v>
      </c>
      <c r="F546" s="82"/>
      <c r="G546" s="82"/>
      <c r="H546" s="1"/>
      <c r="I546" s="1"/>
      <c r="J546" s="1"/>
      <c r="K546" s="9"/>
      <c r="L546" s="1"/>
      <c r="M546" s="319"/>
      <c r="N546" s="319">
        <v>13190</v>
      </c>
      <c r="O546" s="319"/>
      <c r="P546" s="319"/>
      <c r="Q546" s="319"/>
      <c r="R546" s="319"/>
      <c r="S546" s="319"/>
      <c r="T546" s="319"/>
      <c r="U546" s="319"/>
      <c r="V546" s="319"/>
      <c r="W546" s="319"/>
      <c r="X546" s="319"/>
      <c r="Y546" s="319"/>
      <c r="Z546" s="319"/>
      <c r="AA546" s="319"/>
      <c r="AB546" s="319"/>
      <c r="AC546" s="319"/>
      <c r="AD546" s="319"/>
      <c r="AE546" s="319"/>
      <c r="AF546" s="319"/>
      <c r="AG546" s="319"/>
      <c r="AH546" s="319"/>
      <c r="AI546" s="319"/>
      <c r="AJ546" s="319"/>
      <c r="AK546" s="319"/>
      <c r="AL546" s="319"/>
      <c r="AM546" s="319"/>
      <c r="AN546" s="319"/>
      <c r="AO546" s="319"/>
      <c r="AP546" s="319"/>
      <c r="AQ546" s="319"/>
      <c r="AR546" s="319"/>
      <c r="AS546" s="319"/>
      <c r="AT546" s="319"/>
      <c r="AU546" s="319"/>
      <c r="AV546" s="319"/>
      <c r="AW546" s="319"/>
      <c r="AX546" s="319"/>
      <c r="AY546" s="319"/>
      <c r="AZ546" s="319"/>
      <c r="BA546" s="319"/>
      <c r="BB546" s="319"/>
      <c r="BC546" s="319"/>
      <c r="BD546" s="319"/>
      <c r="BE546" s="319"/>
      <c r="BF546" s="319"/>
      <c r="BG546" s="319"/>
      <c r="BH546" s="319"/>
      <c r="BI546" s="319"/>
      <c r="BJ546" s="319"/>
      <c r="BK546" s="319"/>
      <c r="BL546" s="319"/>
      <c r="BM546" s="319"/>
      <c r="BN546" s="319"/>
      <c r="BO546" s="319"/>
      <c r="BP546" s="319"/>
      <c r="BQ546" s="319"/>
      <c r="BR546" s="319"/>
      <c r="BS546" s="319"/>
      <c r="BT546" s="319"/>
      <c r="BU546" s="319"/>
      <c r="BV546" s="319"/>
      <c r="BW546" s="319"/>
      <c r="BX546" s="319"/>
      <c r="BY546" s="319"/>
      <c r="BZ546" s="319"/>
      <c r="CA546" s="319"/>
      <c r="CB546" s="319"/>
      <c r="CC546" s="319"/>
      <c r="CD546" s="319"/>
      <c r="CE546" s="319"/>
      <c r="CF546" s="319"/>
      <c r="CG546" s="319"/>
      <c r="CH546" s="319"/>
      <c r="CI546" s="319"/>
      <c r="CJ546" s="319"/>
      <c r="CK546" s="319"/>
    </row>
    <row r="547" spans="1:89" ht="13.5" hidden="1" customHeight="1">
      <c r="A547" s="12"/>
      <c r="B547" s="1" t="str">
        <f>Language!C1647</f>
        <v>Tipo de instalação</v>
      </c>
      <c r="C547" s="1"/>
      <c r="D547" s="1226" t="s">
        <v>1771</v>
      </c>
      <c r="E547" s="1226"/>
      <c r="F547" s="1"/>
      <c r="G547" s="1"/>
      <c r="H547" s="1"/>
      <c r="I547" s="1"/>
      <c r="J547" s="1"/>
      <c r="K547" s="9"/>
      <c r="L547" s="1"/>
      <c r="M547" s="319">
        <f>IF(EE_CB14_2=FALSE,IF(OR(D547="",D547=B1170,D547=B1172),1,IF(D547=B1170,2,3)),4)</f>
        <v>1</v>
      </c>
      <c r="N547" s="319">
        <v>5070009</v>
      </c>
      <c r="O547" s="319"/>
      <c r="P547" s="319"/>
      <c r="Q547" s="319" t="s">
        <v>144</v>
      </c>
      <c r="R547" s="319">
        <f t="shared" ref="R547:S549" si="48">IF(OR($C548=$C$1178,$C548=""),D548,(D548-32)/1.8)</f>
        <v>0</v>
      </c>
      <c r="S547" s="319">
        <f t="shared" si="48"/>
        <v>0</v>
      </c>
      <c r="T547" s="319"/>
      <c r="U547" s="319"/>
      <c r="V547" s="319"/>
      <c r="W547" s="319"/>
      <c r="X547" s="319"/>
      <c r="Y547" s="319"/>
      <c r="Z547" s="319"/>
      <c r="AA547" s="319"/>
      <c r="AB547" s="319"/>
      <c r="AC547" s="319"/>
      <c r="AD547" s="319"/>
      <c r="AE547" s="319"/>
      <c r="AF547" s="319"/>
      <c r="AG547" s="319"/>
      <c r="AH547" s="319"/>
      <c r="AI547" s="319"/>
      <c r="AJ547" s="319"/>
      <c r="AK547" s="319"/>
      <c r="AL547" s="319"/>
      <c r="AM547" s="319"/>
      <c r="AN547" s="319"/>
      <c r="AO547" s="319"/>
      <c r="AP547" s="319"/>
      <c r="AQ547" s="319"/>
      <c r="AR547" s="319"/>
      <c r="AS547" s="319"/>
      <c r="AT547" s="319"/>
      <c r="AU547" s="319"/>
      <c r="AV547" s="319"/>
      <c r="AW547" s="319"/>
      <c r="AX547" s="319"/>
      <c r="AY547" s="319"/>
      <c r="AZ547" s="319"/>
      <c r="BA547" s="319"/>
      <c r="BB547" s="319"/>
      <c r="BC547" s="319"/>
      <c r="BD547" s="319"/>
      <c r="BE547" s="319"/>
      <c r="BF547" s="319"/>
      <c r="BG547" s="319"/>
      <c r="BH547" s="319"/>
      <c r="BI547" s="319"/>
      <c r="BJ547" s="319"/>
      <c r="BK547" s="319"/>
      <c r="BL547" s="319"/>
      <c r="BM547" s="319"/>
      <c r="BN547" s="319"/>
      <c r="BO547" s="319"/>
      <c r="BP547" s="319"/>
      <c r="BQ547" s="319"/>
      <c r="BR547" s="319"/>
      <c r="BS547" s="319"/>
      <c r="BT547" s="319"/>
      <c r="BU547" s="319"/>
      <c r="BV547" s="319"/>
      <c r="BW547" s="319"/>
      <c r="BX547" s="319"/>
      <c r="BY547" s="319"/>
      <c r="BZ547" s="319"/>
      <c r="CA547" s="319"/>
      <c r="CB547" s="319"/>
      <c r="CC547" s="319"/>
      <c r="CD547" s="319"/>
      <c r="CE547" s="319"/>
      <c r="CF547" s="319"/>
      <c r="CG547" s="319"/>
      <c r="CH547" s="319"/>
      <c r="CI547" s="319"/>
      <c r="CJ547" s="319"/>
      <c r="CK547" s="319"/>
    </row>
    <row r="548" spans="1:89" ht="13.5" hidden="1" customHeight="1">
      <c r="A548" s="12"/>
      <c r="B548" s="1" t="str">
        <f>B582</f>
        <v>Temperatura Interior</v>
      </c>
      <c r="C548" s="303" t="s">
        <v>5568</v>
      </c>
      <c r="D548" s="814"/>
      <c r="E548" s="395"/>
      <c r="F548" s="1"/>
      <c r="G548" s="1"/>
      <c r="H548" s="1"/>
      <c r="I548" s="1"/>
      <c r="J548" s="1"/>
      <c r="K548" s="9"/>
      <c r="L548" s="1"/>
      <c r="M548" s="319"/>
      <c r="N548" s="319">
        <v>5070010</v>
      </c>
      <c r="O548" s="319"/>
      <c r="P548" s="319"/>
      <c r="Q548" s="319" t="s">
        <v>144</v>
      </c>
      <c r="R548" s="319">
        <f t="shared" si="48"/>
        <v>0</v>
      </c>
      <c r="S548" s="319">
        <f t="shared" si="48"/>
        <v>0</v>
      </c>
      <c r="T548" s="319"/>
      <c r="U548" s="319"/>
      <c r="V548" s="319"/>
      <c r="W548" s="319"/>
      <c r="X548" s="319"/>
      <c r="Y548" s="319"/>
      <c r="Z548" s="319"/>
      <c r="AA548" s="319"/>
      <c r="AB548" s="319"/>
      <c r="AC548" s="319"/>
      <c r="AD548" s="319"/>
      <c r="AE548" s="319"/>
      <c r="AF548" s="319"/>
      <c r="AG548" s="319"/>
      <c r="AH548" s="319"/>
      <c r="AI548" s="319"/>
      <c r="AJ548" s="319"/>
      <c r="AK548" s="319"/>
      <c r="AL548" s="319"/>
      <c r="AM548" s="319"/>
      <c r="AN548" s="319"/>
      <c r="AO548" s="319"/>
      <c r="AP548" s="319"/>
      <c r="AQ548" s="319"/>
      <c r="AR548" s="319"/>
      <c r="AS548" s="319"/>
      <c r="AT548" s="319"/>
      <c r="AU548" s="319"/>
      <c r="AV548" s="319"/>
      <c r="AW548" s="319"/>
      <c r="AX548" s="319"/>
      <c r="AY548" s="319"/>
      <c r="AZ548" s="319"/>
      <c r="BA548" s="319"/>
      <c r="BB548" s="319"/>
      <c r="BC548" s="319"/>
      <c r="BD548" s="319"/>
      <c r="BE548" s="319"/>
      <c r="BF548" s="319"/>
      <c r="BG548" s="319"/>
      <c r="BH548" s="319"/>
      <c r="BI548" s="319"/>
      <c r="BJ548" s="319"/>
      <c r="BK548" s="319"/>
      <c r="BL548" s="319"/>
      <c r="BM548" s="319"/>
      <c r="BN548" s="319"/>
      <c r="BO548" s="319"/>
      <c r="BP548" s="319"/>
      <c r="BQ548" s="319"/>
      <c r="BR548" s="319"/>
      <c r="BS548" s="319"/>
      <c r="BT548" s="319"/>
      <c r="BU548" s="319"/>
      <c r="BV548" s="319"/>
      <c r="BW548" s="319"/>
      <c r="BX548" s="319"/>
      <c r="BY548" s="319"/>
      <c r="BZ548" s="319"/>
      <c r="CA548" s="319"/>
      <c r="CB548" s="319"/>
      <c r="CC548" s="319"/>
      <c r="CD548" s="319"/>
      <c r="CE548" s="319"/>
      <c r="CF548" s="319"/>
      <c r="CG548" s="319"/>
      <c r="CH548" s="319"/>
      <c r="CI548" s="319"/>
      <c r="CJ548" s="319"/>
      <c r="CK548" s="319"/>
    </row>
    <row r="549" spans="1:89" ht="13.5" hidden="1" customHeight="1">
      <c r="A549" s="12"/>
      <c r="B549" s="1" t="str">
        <f>Language!C1469</f>
        <v>Temperatura do ar - mínima</v>
      </c>
      <c r="C549" s="303" t="s">
        <v>5568</v>
      </c>
      <c r="D549" s="236">
        <f>E549</f>
        <v>0</v>
      </c>
      <c r="E549" s="395"/>
      <c r="F549" s="1"/>
      <c r="G549" s="1"/>
      <c r="H549" s="1"/>
      <c r="I549" s="1"/>
      <c r="J549" s="1"/>
      <c r="K549" s="9"/>
      <c r="L549" s="1"/>
      <c r="M549" s="319"/>
      <c r="N549" s="319">
        <v>5070012</v>
      </c>
      <c r="O549" s="319"/>
      <c r="P549" s="319"/>
      <c r="Q549" s="319" t="s">
        <v>144</v>
      </c>
      <c r="R549" s="319">
        <f t="shared" si="48"/>
        <v>0</v>
      </c>
      <c r="S549" s="319">
        <f t="shared" si="48"/>
        <v>0</v>
      </c>
      <c r="T549" s="319"/>
      <c r="U549" s="319"/>
      <c r="V549" s="319"/>
      <c r="W549" s="319"/>
      <c r="X549" s="319"/>
      <c r="Y549" s="319"/>
      <c r="Z549" s="319"/>
      <c r="AA549" s="319"/>
      <c r="AB549" s="319"/>
      <c r="AC549" s="319"/>
      <c r="AD549" s="319"/>
      <c r="AE549" s="319"/>
      <c r="AF549" s="319"/>
      <c r="AG549" s="319"/>
      <c r="AH549" s="319"/>
      <c r="AI549" s="319"/>
      <c r="AJ549" s="319"/>
      <c r="AK549" s="319"/>
      <c r="AL549" s="319"/>
      <c r="AM549" s="319"/>
      <c r="AN549" s="319"/>
      <c r="AO549" s="319"/>
      <c r="AP549" s="319"/>
      <c r="AQ549" s="319"/>
      <c r="AR549" s="319"/>
      <c r="AS549" s="319"/>
      <c r="AT549" s="319"/>
      <c r="AU549" s="319"/>
      <c r="AV549" s="319"/>
      <c r="AW549" s="319"/>
      <c r="AX549" s="319"/>
      <c r="AY549" s="319"/>
      <c r="AZ549" s="319"/>
      <c r="BA549" s="319"/>
      <c r="BB549" s="319"/>
      <c r="BC549" s="319"/>
      <c r="BD549" s="319"/>
      <c r="BE549" s="319"/>
      <c r="BF549" s="319"/>
      <c r="BG549" s="319"/>
      <c r="BH549" s="319"/>
      <c r="BI549" s="319"/>
      <c r="BJ549" s="319"/>
      <c r="BK549" s="319"/>
      <c r="BL549" s="319"/>
      <c r="BM549" s="319"/>
      <c r="BN549" s="319"/>
      <c r="BO549" s="319"/>
      <c r="BP549" s="319"/>
      <c r="BQ549" s="319"/>
      <c r="BR549" s="319"/>
      <c r="BS549" s="319"/>
      <c r="BT549" s="319"/>
      <c r="BU549" s="319"/>
      <c r="BV549" s="319"/>
      <c r="BW549" s="319"/>
      <c r="BX549" s="319"/>
      <c r="BY549" s="319"/>
      <c r="BZ549" s="319"/>
      <c r="CA549" s="319"/>
      <c r="CB549" s="319"/>
      <c r="CC549" s="319"/>
      <c r="CD549" s="319"/>
      <c r="CE549" s="319"/>
      <c r="CF549" s="319"/>
      <c r="CG549" s="319"/>
      <c r="CH549" s="319"/>
      <c r="CI549" s="319"/>
      <c r="CJ549" s="319"/>
      <c r="CK549" s="319"/>
    </row>
    <row r="550" spans="1:89" ht="13.5" hidden="1" customHeight="1">
      <c r="A550" s="12"/>
      <c r="B550" s="1" t="str">
        <f>Language!C1468</f>
        <v>Temperatura do ar - máxima</v>
      </c>
      <c r="C550" s="303" t="s">
        <v>5568</v>
      </c>
      <c r="D550" s="236">
        <f>E550</f>
        <v>0</v>
      </c>
      <c r="E550" s="395"/>
      <c r="F550" s="1"/>
      <c r="G550" s="1"/>
      <c r="H550" s="1"/>
      <c r="I550" s="1"/>
      <c r="J550" s="1"/>
      <c r="K550" s="9"/>
      <c r="L550" s="1"/>
      <c r="M550" s="319"/>
      <c r="N550" s="319">
        <v>5070014</v>
      </c>
      <c r="O550" s="319"/>
      <c r="P550" s="319"/>
      <c r="Q550" s="319" t="s">
        <v>144</v>
      </c>
      <c r="R550" s="319">
        <f>S550</f>
        <v>0</v>
      </c>
      <c r="S550" s="319">
        <f>IF(OR($C551=$C$1178,$C551=""),E551,(E551)/1.8)</f>
        <v>0</v>
      </c>
      <c r="T550" s="319"/>
      <c r="U550" s="319"/>
      <c r="V550" s="319"/>
      <c r="W550" s="319"/>
      <c r="X550" s="319"/>
      <c r="Y550" s="319"/>
      <c r="Z550" s="319"/>
      <c r="AA550" s="319"/>
      <c r="AB550" s="319"/>
      <c r="AC550" s="319"/>
      <c r="AD550" s="319"/>
      <c r="AE550" s="319"/>
      <c r="AF550" s="319"/>
      <c r="AG550" s="319"/>
      <c r="AH550" s="319"/>
      <c r="AI550" s="319"/>
      <c r="AJ550" s="319"/>
      <c r="AK550" s="319"/>
      <c r="AL550" s="319"/>
      <c r="AM550" s="319"/>
      <c r="AN550" s="319"/>
      <c r="AO550" s="319"/>
      <c r="AP550" s="319"/>
      <c r="AQ550" s="319"/>
      <c r="AR550" s="319"/>
      <c r="AS550" s="319"/>
      <c r="AT550" s="319"/>
      <c r="AU550" s="319"/>
      <c r="AV550" s="319"/>
      <c r="AW550" s="319"/>
      <c r="AX550" s="319"/>
      <c r="AY550" s="319"/>
      <c r="AZ550" s="319"/>
      <c r="BA550" s="319"/>
      <c r="BB550" s="319"/>
      <c r="BC550" s="319"/>
      <c r="BD550" s="319"/>
      <c r="BE550" s="319"/>
      <c r="BF550" s="319"/>
      <c r="BG550" s="319"/>
      <c r="BH550" s="319"/>
      <c r="BI550" s="319"/>
      <c r="BJ550" s="319"/>
      <c r="BK550" s="319"/>
      <c r="BL550" s="319"/>
      <c r="BM550" s="319"/>
      <c r="BN550" s="319"/>
      <c r="BO550" s="319"/>
      <c r="BP550" s="319"/>
      <c r="BQ550" s="319"/>
      <c r="BR550" s="319"/>
      <c r="BS550" s="319"/>
      <c r="BT550" s="319"/>
      <c r="BU550" s="319"/>
      <c r="BV550" s="319"/>
      <c r="BW550" s="319"/>
      <c r="BX550" s="319"/>
      <c r="BY550" s="319"/>
      <c r="BZ550" s="319"/>
      <c r="CA550" s="319"/>
      <c r="CB550" s="319"/>
      <c r="CC550" s="319"/>
      <c r="CD550" s="319"/>
      <c r="CE550" s="319"/>
      <c r="CF550" s="319"/>
      <c r="CG550" s="319"/>
      <c r="CH550" s="319"/>
      <c r="CI550" s="319"/>
      <c r="CJ550" s="319"/>
      <c r="CK550" s="319"/>
    </row>
    <row r="551" spans="1:89" ht="13.5" hidden="1" customHeight="1">
      <c r="A551" s="12"/>
      <c r="B551" s="1" t="str">
        <f>Language!C1751</f>
        <v>Temperatura Interior - estratificação do prédio</v>
      </c>
      <c r="C551" s="303" t="s">
        <v>5568</v>
      </c>
      <c r="D551" s="1"/>
      <c r="E551" s="395"/>
      <c r="F551" s="1"/>
      <c r="G551" s="1"/>
      <c r="H551" s="1"/>
      <c r="I551" s="1"/>
      <c r="J551" s="1"/>
      <c r="K551" s="9"/>
      <c r="L551" s="1"/>
      <c r="M551" s="319"/>
      <c r="N551" s="319">
        <v>5070016</v>
      </c>
      <c r="O551" s="319"/>
      <c r="P551" s="319"/>
      <c r="Q551" s="319"/>
      <c r="R551" s="319"/>
      <c r="S551" s="319"/>
      <c r="T551" s="319"/>
      <c r="U551" s="319"/>
      <c r="V551" s="319"/>
      <c r="W551" s="319"/>
      <c r="X551" s="319"/>
      <c r="Y551" s="319"/>
      <c r="Z551" s="319"/>
      <c r="AA551" s="319"/>
      <c r="AB551" s="319"/>
      <c r="AC551" s="319"/>
      <c r="AD551" s="319"/>
      <c r="AE551" s="319"/>
      <c r="AF551" s="319"/>
      <c r="AG551" s="319"/>
      <c r="AH551" s="319"/>
      <c r="AI551" s="319"/>
      <c r="AJ551" s="319"/>
      <c r="AK551" s="319"/>
      <c r="AL551" s="319"/>
      <c r="AM551" s="319"/>
      <c r="AN551" s="319"/>
      <c r="AO551" s="319"/>
      <c r="AP551" s="319"/>
      <c r="AQ551" s="319"/>
      <c r="AR551" s="319"/>
      <c r="AS551" s="319"/>
      <c r="AT551" s="319"/>
      <c r="AU551" s="319"/>
      <c r="AV551" s="319"/>
      <c r="AW551" s="319"/>
      <c r="AX551" s="319"/>
      <c r="AY551" s="319"/>
      <c r="AZ551" s="319"/>
      <c r="BA551" s="319"/>
      <c r="BB551" s="319"/>
      <c r="BC551" s="319"/>
      <c r="BD551" s="319"/>
      <c r="BE551" s="319"/>
      <c r="BF551" s="319"/>
      <c r="BG551" s="319"/>
      <c r="BH551" s="319"/>
      <c r="BI551" s="319"/>
      <c r="BJ551" s="319"/>
      <c r="BK551" s="319"/>
      <c r="BL551" s="319"/>
      <c r="BM551" s="319"/>
      <c r="BN551" s="319"/>
      <c r="BO551" s="319"/>
      <c r="BP551" s="319"/>
      <c r="BQ551" s="319"/>
      <c r="BR551" s="319"/>
      <c r="BS551" s="319"/>
      <c r="BT551" s="319"/>
      <c r="BU551" s="319"/>
      <c r="BV551" s="319"/>
      <c r="BW551" s="319"/>
      <c r="BX551" s="319"/>
      <c r="BY551" s="319"/>
      <c r="BZ551" s="319"/>
      <c r="CA551" s="319"/>
      <c r="CB551" s="319"/>
      <c r="CC551" s="319"/>
      <c r="CD551" s="319"/>
      <c r="CE551" s="319"/>
      <c r="CF551" s="319"/>
      <c r="CG551" s="319"/>
      <c r="CH551" s="319"/>
      <c r="CI551" s="319"/>
      <c r="CJ551" s="319"/>
      <c r="CK551" s="319"/>
    </row>
    <row r="552" spans="1:89" ht="13.5" hidden="1" customHeight="1">
      <c r="A552" s="12"/>
      <c r="B552" s="1" t="str">
        <f>Language!C1664</f>
        <v>Área do piso</v>
      </c>
      <c r="C552" s="303" t="s">
        <v>5430</v>
      </c>
      <c r="D552" s="88">
        <f>E552</f>
        <v>0</v>
      </c>
      <c r="E552" s="307"/>
      <c r="F552" s="1"/>
      <c r="G552" s="1"/>
      <c r="H552" s="1"/>
      <c r="I552" s="1"/>
      <c r="J552" s="1"/>
      <c r="K552" s="9"/>
      <c r="L552" s="1"/>
      <c r="M552" s="319"/>
      <c r="N552" s="319">
        <v>5070018</v>
      </c>
      <c r="O552" s="319"/>
      <c r="P552" s="319"/>
      <c r="Q552" s="319"/>
      <c r="R552" s="319"/>
      <c r="S552" s="319"/>
      <c r="T552" s="319"/>
      <c r="U552" s="319"/>
      <c r="V552" s="319"/>
      <c r="W552" s="319"/>
      <c r="X552" s="319"/>
      <c r="Y552" s="319"/>
      <c r="Z552" s="319"/>
      <c r="AA552" s="319"/>
      <c r="AB552" s="319"/>
      <c r="AC552" s="319"/>
      <c r="AD552" s="319"/>
      <c r="AE552" s="319"/>
      <c r="AF552" s="319"/>
      <c r="AG552" s="319"/>
      <c r="AH552" s="319"/>
      <c r="AI552" s="319"/>
      <c r="AJ552" s="319"/>
      <c r="AK552" s="319"/>
      <c r="AL552" s="319"/>
      <c r="AM552" s="319"/>
      <c r="AN552" s="319"/>
      <c r="AO552" s="319"/>
      <c r="AP552" s="319"/>
      <c r="AQ552" s="319"/>
      <c r="AR552" s="319"/>
      <c r="AS552" s="319"/>
      <c r="AT552" s="319"/>
      <c r="AU552" s="319"/>
      <c r="AV552" s="319"/>
      <c r="AW552" s="319"/>
      <c r="AX552" s="319"/>
      <c r="AY552" s="319"/>
      <c r="AZ552" s="319"/>
      <c r="BA552" s="319"/>
      <c r="BB552" s="319"/>
      <c r="BC552" s="319"/>
      <c r="BD552" s="319"/>
      <c r="BE552" s="319"/>
      <c r="BF552" s="319"/>
      <c r="BG552" s="319"/>
      <c r="BH552" s="319"/>
      <c r="BI552" s="319"/>
      <c r="BJ552" s="319"/>
      <c r="BK552" s="319"/>
      <c r="BL552" s="319"/>
      <c r="BM552" s="319"/>
      <c r="BN552" s="319"/>
      <c r="BO552" s="319"/>
      <c r="BP552" s="319"/>
      <c r="BQ552" s="319"/>
      <c r="BR552" s="319"/>
      <c r="BS552" s="319"/>
      <c r="BT552" s="319"/>
      <c r="BU552" s="319"/>
      <c r="BV552" s="319"/>
      <c r="BW552" s="319"/>
      <c r="BX552" s="319"/>
      <c r="BY552" s="319"/>
      <c r="BZ552" s="319"/>
      <c r="CA552" s="319"/>
      <c r="CB552" s="319"/>
      <c r="CC552" s="319"/>
      <c r="CD552" s="319"/>
      <c r="CE552" s="319"/>
      <c r="CF552" s="319"/>
      <c r="CG552" s="319"/>
      <c r="CH552" s="319"/>
      <c r="CI552" s="319"/>
      <c r="CJ552" s="319"/>
      <c r="CK552" s="319"/>
    </row>
    <row r="553" spans="1:89" ht="13.2" hidden="1">
      <c r="A553" s="12"/>
      <c r="B553" s="1" t="str">
        <f>Language!C1949</f>
        <v xml:space="preserve">Valor-R - telhado </v>
      </c>
      <c r="C553" s="419" t="s">
        <v>4592</v>
      </c>
      <c r="D553" s="236">
        <f>E553</f>
        <v>0</v>
      </c>
      <c r="E553" s="395"/>
      <c r="F553" s="1"/>
      <c r="G553" s="1"/>
      <c r="H553" s="1"/>
      <c r="I553" s="1"/>
      <c r="J553" s="1"/>
      <c r="K553" s="9"/>
      <c r="L553" s="1"/>
      <c r="M553" s="319"/>
      <c r="N553" s="319">
        <v>5070020</v>
      </c>
      <c r="O553" s="319"/>
      <c r="P553" s="319"/>
      <c r="Q553" s="319"/>
      <c r="R553" s="319"/>
      <c r="S553" s="319"/>
      <c r="T553" s="319"/>
      <c r="U553" s="319"/>
      <c r="V553" s="319"/>
      <c r="W553" s="319"/>
      <c r="X553" s="319"/>
      <c r="Y553" s="319"/>
      <c r="Z553" s="319"/>
      <c r="AA553" s="319"/>
      <c r="AB553" s="319"/>
      <c r="AC553" s="319"/>
      <c r="AD553" s="319"/>
      <c r="AE553" s="319"/>
      <c r="AF553" s="319"/>
      <c r="AG553" s="319"/>
      <c r="AH553" s="319"/>
      <c r="AI553" s="319"/>
      <c r="AJ553" s="319"/>
      <c r="AK553" s="319"/>
      <c r="AL553" s="319"/>
      <c r="AM553" s="319"/>
      <c r="AN553" s="319"/>
      <c r="AO553" s="319"/>
      <c r="AP553" s="319"/>
      <c r="AQ553" s="319"/>
      <c r="AR553" s="319"/>
      <c r="AS553" s="319"/>
      <c r="AT553" s="319"/>
      <c r="AU553" s="319"/>
      <c r="AV553" s="319"/>
      <c r="AW553" s="319"/>
      <c r="AX553" s="319"/>
      <c r="AY553" s="319"/>
      <c r="AZ553" s="319"/>
      <c r="BA553" s="319"/>
      <c r="BB553" s="319"/>
      <c r="BC553" s="319"/>
      <c r="BD553" s="319"/>
      <c r="BE553" s="319"/>
      <c r="BF553" s="319"/>
      <c r="BG553" s="319"/>
      <c r="BH553" s="319"/>
      <c r="BI553" s="319"/>
      <c r="BJ553" s="319"/>
      <c r="BK553" s="319"/>
      <c r="BL553" s="319"/>
      <c r="BM553" s="319"/>
      <c r="BN553" s="319"/>
      <c r="BO553" s="319"/>
      <c r="BP553" s="319"/>
      <c r="BQ553" s="319"/>
      <c r="BR553" s="319"/>
      <c r="BS553" s="319"/>
      <c r="BT553" s="319"/>
      <c r="BU553" s="319"/>
      <c r="BV553" s="319"/>
      <c r="BW553" s="319"/>
      <c r="BX553" s="319"/>
      <c r="BY553" s="319"/>
      <c r="BZ553" s="319"/>
      <c r="CA553" s="319"/>
      <c r="CB553" s="319"/>
      <c r="CC553" s="319"/>
      <c r="CD553" s="319"/>
      <c r="CE553" s="319"/>
      <c r="CF553" s="319"/>
      <c r="CG553" s="319"/>
      <c r="CH553" s="319"/>
      <c r="CI553" s="319"/>
      <c r="CJ553" s="319"/>
      <c r="CK553" s="319"/>
    </row>
    <row r="554" spans="1:89" ht="13.2" hidden="1">
      <c r="A554" s="12"/>
      <c r="B554" s="1" t="str">
        <f>Language!C1950</f>
        <v>Valor-R - muro</v>
      </c>
      <c r="C554" s="419" t="s">
        <v>4592</v>
      </c>
      <c r="D554" s="236">
        <f>E554</f>
        <v>0</v>
      </c>
      <c r="E554" s="395"/>
      <c r="F554" s="1"/>
      <c r="G554" s="1"/>
      <c r="H554" s="1"/>
      <c r="I554" s="1"/>
      <c r="J554" s="1"/>
      <c r="K554" s="9"/>
      <c r="L554" s="1"/>
      <c r="M554" s="319"/>
      <c r="N554" s="319">
        <v>5070022</v>
      </c>
      <c r="O554" s="319"/>
      <c r="P554" s="319"/>
      <c r="Q554" s="319"/>
      <c r="R554" s="319"/>
      <c r="S554" s="319"/>
      <c r="T554" s="319"/>
      <c r="U554" s="319"/>
      <c r="V554" s="319"/>
      <c r="W554" s="319"/>
      <c r="X554" s="319"/>
      <c r="Y554" s="319"/>
      <c r="Z554" s="319"/>
      <c r="AA554" s="319"/>
      <c r="AB554" s="319"/>
      <c r="AC554" s="319"/>
      <c r="AD554" s="319"/>
      <c r="AE554" s="319"/>
      <c r="AF554" s="319"/>
      <c r="AG554" s="319"/>
      <c r="AH554" s="319"/>
      <c r="AI554" s="319"/>
      <c r="AJ554" s="319"/>
      <c r="AK554" s="319"/>
      <c r="AL554" s="319"/>
      <c r="AM554" s="319"/>
      <c r="AN554" s="319"/>
      <c r="AO554" s="319"/>
      <c r="AP554" s="319"/>
      <c r="AQ554" s="319"/>
      <c r="AR554" s="319"/>
      <c r="AS554" s="319"/>
      <c r="AT554" s="319"/>
      <c r="AU554" s="319"/>
      <c r="AV554" s="319"/>
      <c r="AW554" s="319"/>
      <c r="AX554" s="319"/>
      <c r="AY554" s="319"/>
      <c r="AZ554" s="319"/>
      <c r="BA554" s="319"/>
      <c r="BB554" s="319"/>
      <c r="BC554" s="319"/>
      <c r="BD554" s="319"/>
      <c r="BE554" s="319"/>
      <c r="BF554" s="319"/>
      <c r="BG554" s="319"/>
      <c r="BH554" s="319"/>
      <c r="BI554" s="319"/>
      <c r="BJ554" s="319"/>
      <c r="BK554" s="319"/>
      <c r="BL554" s="319"/>
      <c r="BM554" s="319"/>
      <c r="BN554" s="319"/>
      <c r="BO554" s="319"/>
      <c r="BP554" s="319"/>
      <c r="BQ554" s="319"/>
      <c r="BR554" s="319"/>
      <c r="BS554" s="319"/>
      <c r="BT554" s="319"/>
      <c r="BU554" s="319"/>
      <c r="BV554" s="319"/>
      <c r="BW554" s="319"/>
      <c r="BX554" s="319"/>
      <c r="BY554" s="319"/>
      <c r="BZ554" s="319"/>
      <c r="CA554" s="319"/>
      <c r="CB554" s="319"/>
      <c r="CC554" s="319"/>
      <c r="CD554" s="319"/>
      <c r="CE554" s="319"/>
      <c r="CF554" s="319"/>
      <c r="CG554" s="319"/>
      <c r="CH554" s="319"/>
      <c r="CI554" s="319"/>
      <c r="CJ554" s="319"/>
      <c r="CK554" s="319"/>
    </row>
    <row r="555" spans="1:89" ht="13.5" hidden="1" customHeight="1">
      <c r="A555" s="12"/>
      <c r="B555" s="1"/>
      <c r="C555" s="1"/>
      <c r="D555" s="1"/>
      <c r="E555" s="1"/>
      <c r="F555" s="1"/>
      <c r="G555" s="1"/>
      <c r="H555" s="1"/>
      <c r="I555" s="1"/>
      <c r="J555" s="1"/>
      <c r="K555" s="9"/>
      <c r="L555" s="1"/>
      <c r="M555" s="319"/>
      <c r="N555" s="319">
        <v>13190</v>
      </c>
      <c r="O555" s="319"/>
      <c r="P555" s="319"/>
      <c r="Q555" s="319" t="s">
        <v>4140</v>
      </c>
      <c r="R555" s="319">
        <f>D556*$Q$556</f>
        <v>0</v>
      </c>
      <c r="S555" s="319">
        <f>E556*$Q$556</f>
        <v>0</v>
      </c>
      <c r="T555" s="319"/>
      <c r="U555" s="319"/>
      <c r="V555" s="319" t="s">
        <v>4139</v>
      </c>
      <c r="W555" s="319"/>
      <c r="X555" s="319" t="s">
        <v>5966</v>
      </c>
      <c r="Y555" s="319"/>
      <c r="Z555" s="319"/>
      <c r="AA555" s="319"/>
      <c r="AB555" s="319"/>
      <c r="AC555" s="319"/>
      <c r="AD555" s="319"/>
      <c r="AE555" s="319"/>
      <c r="AF555" s="319"/>
      <c r="AG555" s="319"/>
      <c r="AH555" s="319"/>
      <c r="AI555" s="319"/>
      <c r="AJ555" s="319"/>
      <c r="AK555" s="319"/>
      <c r="AL555" s="319"/>
      <c r="AM555" s="319"/>
      <c r="AN555" s="319"/>
      <c r="AO555" s="319"/>
      <c r="AP555" s="319"/>
      <c r="AQ555" s="319"/>
      <c r="AR555" s="319"/>
      <c r="AS555" s="319"/>
      <c r="AT555" s="319"/>
      <c r="AU555" s="319"/>
      <c r="AV555" s="319"/>
      <c r="AW555" s="319"/>
      <c r="AX555" s="319"/>
      <c r="AY555" s="319"/>
      <c r="AZ555" s="319"/>
      <c r="BA555" s="319"/>
      <c r="BB555" s="319"/>
      <c r="BC555" s="319"/>
      <c r="BD555" s="319"/>
      <c r="BE555" s="319"/>
      <c r="BF555" s="319"/>
      <c r="BG555" s="319"/>
      <c r="BH555" s="319"/>
      <c r="BI555" s="319"/>
      <c r="BJ555" s="319"/>
      <c r="BK555" s="319"/>
      <c r="BL555" s="319"/>
      <c r="BM555" s="319"/>
      <c r="BN555" s="319"/>
      <c r="BO555" s="319"/>
      <c r="BP555" s="319"/>
      <c r="BQ555" s="319"/>
      <c r="BR555" s="319"/>
      <c r="BS555" s="319"/>
      <c r="BT555" s="319"/>
      <c r="BU555" s="319"/>
      <c r="BV555" s="319"/>
      <c r="BW555" s="319"/>
      <c r="BX555" s="319"/>
      <c r="BY555" s="319"/>
      <c r="BZ555" s="319"/>
      <c r="CA555" s="319"/>
      <c r="CB555" s="319"/>
      <c r="CC555" s="319"/>
      <c r="CD555" s="319"/>
      <c r="CE555" s="319"/>
      <c r="CF555" s="319"/>
      <c r="CG555" s="319"/>
      <c r="CH555" s="319"/>
      <c r="CI555" s="319"/>
      <c r="CJ555" s="319"/>
      <c r="CK555" s="319"/>
    </row>
    <row r="556" spans="1:89" ht="13.5" hidden="1" customHeight="1">
      <c r="A556" s="12"/>
      <c r="B556" s="1" t="str">
        <f>Language!C1589</f>
        <v>Taxa de vazão de ar projetada</v>
      </c>
      <c r="C556" s="303" t="s">
        <v>99</v>
      </c>
      <c r="D556" s="307"/>
      <c r="E556" s="307"/>
      <c r="F556" s="1"/>
      <c r="G556" s="1"/>
      <c r="H556" s="1"/>
      <c r="I556" s="1"/>
      <c r="J556" s="1"/>
      <c r="K556" s="9"/>
      <c r="L556" s="1"/>
      <c r="M556" s="319"/>
      <c r="N556" s="319">
        <v>5070026</v>
      </c>
      <c r="O556" s="319"/>
      <c r="P556" s="319"/>
      <c r="Q556" s="319">
        <f>IF(C556="",1,VLOOKUP(C556,$J$1196:$K$1199,2,FALSE))</f>
        <v>0.27777777777777779</v>
      </c>
      <c r="R556" s="319"/>
      <c r="S556" s="319"/>
      <c r="T556" s="319"/>
      <c r="U556" s="319"/>
      <c r="V556" s="319"/>
      <c r="W556" s="319"/>
      <c r="X556" s="319"/>
      <c r="Y556" s="319"/>
      <c r="Z556" s="319"/>
      <c r="AA556" s="319"/>
      <c r="AB556" s="319"/>
      <c r="AC556" s="319"/>
      <c r="AD556" s="319"/>
      <c r="AE556" s="319"/>
      <c r="AF556" s="319"/>
      <c r="AG556" s="319"/>
      <c r="AH556" s="319"/>
      <c r="AI556" s="319"/>
      <c r="AJ556" s="319"/>
      <c r="AK556" s="319"/>
      <c r="AL556" s="319"/>
      <c r="AM556" s="319"/>
      <c r="AN556" s="319"/>
      <c r="AO556" s="319"/>
      <c r="AP556" s="319"/>
      <c r="AQ556" s="319"/>
      <c r="AR556" s="319"/>
      <c r="AS556" s="319"/>
      <c r="AT556" s="319"/>
      <c r="AU556" s="319"/>
      <c r="AV556" s="319"/>
      <c r="AW556" s="319"/>
      <c r="AX556" s="319"/>
      <c r="AY556" s="319"/>
      <c r="AZ556" s="319"/>
      <c r="BA556" s="319"/>
      <c r="BB556" s="319"/>
      <c r="BC556" s="319"/>
      <c r="BD556" s="319"/>
      <c r="BE556" s="319"/>
      <c r="BF556" s="319"/>
      <c r="BG556" s="319"/>
      <c r="BH556" s="319"/>
      <c r="BI556" s="319"/>
      <c r="BJ556" s="319"/>
      <c r="BK556" s="319"/>
      <c r="BL556" s="319"/>
      <c r="BM556" s="319"/>
      <c r="BN556" s="319"/>
      <c r="BO556" s="319"/>
      <c r="BP556" s="319"/>
      <c r="BQ556" s="319"/>
      <c r="BR556" s="319"/>
      <c r="BS556" s="319"/>
      <c r="BT556" s="319"/>
      <c r="BU556" s="319"/>
      <c r="BV556" s="319"/>
      <c r="BW556" s="319"/>
      <c r="BX556" s="319"/>
      <c r="BY556" s="319"/>
      <c r="BZ556" s="319"/>
      <c r="CA556" s="319"/>
      <c r="CB556" s="319"/>
      <c r="CC556" s="319"/>
      <c r="CD556" s="319"/>
      <c r="CE556" s="319"/>
      <c r="CF556" s="319"/>
      <c r="CG556" s="319"/>
      <c r="CH556" s="319"/>
      <c r="CI556" s="319"/>
      <c r="CJ556" s="319"/>
      <c r="CK556" s="319"/>
    </row>
    <row r="557" spans="1:89" ht="13.5" hidden="1" customHeight="1">
      <c r="A557" s="12"/>
      <c r="B557" s="1" t="str">
        <f>Language!C1856</f>
        <v>Dias de operação por semana - dias úteis</v>
      </c>
      <c r="C557" s="29" t="str">
        <f>Language!C2199</f>
        <v>d/sem</v>
      </c>
      <c r="D557" s="382"/>
      <c r="E557" s="382"/>
      <c r="F557" s="1"/>
      <c r="G557" s="1"/>
      <c r="H557" s="1"/>
      <c r="I557" s="1"/>
      <c r="J557" s="1"/>
      <c r="K557" s="9"/>
      <c r="L557" s="1"/>
      <c r="M557" s="319"/>
      <c r="N557" s="319">
        <v>5070028</v>
      </c>
      <c r="O557" s="319"/>
      <c r="P557" s="319"/>
      <c r="Q557" s="319">
        <f>IF(D557&gt;5,5,D557)</f>
        <v>0</v>
      </c>
      <c r="R557" s="319">
        <f>IF(E557&gt;5,5,E557)</f>
        <v>0</v>
      </c>
      <c r="S557" s="319"/>
      <c r="T557" s="319"/>
      <c r="U557" s="319"/>
      <c r="V557" s="319"/>
      <c r="W557" s="319"/>
      <c r="X557" s="319"/>
      <c r="Y557" s="319"/>
      <c r="Z557" s="319"/>
      <c r="AA557" s="319"/>
      <c r="AB557" s="319"/>
      <c r="AC557" s="319"/>
      <c r="AD557" s="319"/>
      <c r="AE557" s="319"/>
      <c r="AF557" s="319"/>
      <c r="AG557" s="319"/>
      <c r="AH557" s="319"/>
      <c r="AI557" s="319"/>
      <c r="AJ557" s="319"/>
      <c r="AK557" s="319"/>
      <c r="AL557" s="319"/>
      <c r="AM557" s="319"/>
      <c r="AN557" s="319"/>
      <c r="AO557" s="319"/>
      <c r="AP557" s="319"/>
      <c r="AQ557" s="319"/>
      <c r="AR557" s="319"/>
      <c r="AS557" s="319"/>
      <c r="AT557" s="319"/>
      <c r="AU557" s="319"/>
      <c r="AV557" s="319"/>
      <c r="AW557" s="319"/>
      <c r="AX557" s="319"/>
      <c r="AY557" s="319"/>
      <c r="AZ557" s="319"/>
      <c r="BA557" s="319"/>
      <c r="BB557" s="319"/>
      <c r="BC557" s="319"/>
      <c r="BD557" s="319"/>
      <c r="BE557" s="319"/>
      <c r="BF557" s="319"/>
      <c r="BG557" s="319"/>
      <c r="BH557" s="319"/>
      <c r="BI557" s="319"/>
      <c r="BJ557" s="319"/>
      <c r="BK557" s="319"/>
      <c r="BL557" s="319"/>
      <c r="BM557" s="319"/>
      <c r="BN557" s="319"/>
      <c r="BO557" s="319"/>
      <c r="BP557" s="319"/>
      <c r="BQ557" s="319"/>
      <c r="BR557" s="319"/>
      <c r="BS557" s="319"/>
      <c r="BT557" s="319"/>
      <c r="BU557" s="319"/>
      <c r="BV557" s="319"/>
      <c r="BW557" s="319"/>
      <c r="BX557" s="319"/>
      <c r="BY557" s="319"/>
      <c r="BZ557" s="319"/>
      <c r="CA557" s="319"/>
      <c r="CB557" s="319"/>
      <c r="CC557" s="319"/>
      <c r="CD557" s="319"/>
      <c r="CE557" s="319"/>
      <c r="CF557" s="319"/>
      <c r="CG557" s="319"/>
      <c r="CH557" s="319"/>
      <c r="CI557" s="319"/>
      <c r="CJ557" s="319"/>
      <c r="CK557" s="319"/>
    </row>
    <row r="558" spans="1:89" ht="13.5" hidden="1" customHeight="1">
      <c r="A558" s="12"/>
      <c r="B558" s="1" t="str">
        <f>Language!C1859</f>
        <v>Horas de operação por dia - dias úteis</v>
      </c>
      <c r="C558" s="29" t="str">
        <f>Language!C2208</f>
        <v>h/d</v>
      </c>
      <c r="D558" s="382"/>
      <c r="E558" s="382"/>
      <c r="F558" s="1"/>
      <c r="G558" s="1"/>
      <c r="H558" s="1"/>
      <c r="I558" s="1"/>
      <c r="J558" s="1"/>
      <c r="K558" s="9"/>
      <c r="L558" s="1"/>
      <c r="M558" s="319"/>
      <c r="N558" s="319">
        <v>5070030</v>
      </c>
      <c r="O558" s="319"/>
      <c r="P558" s="319"/>
      <c r="Q558" s="319">
        <f>IF(D558&gt;24,24,D558)</f>
        <v>0</v>
      </c>
      <c r="R558" s="319">
        <f>IF(E558&gt;24,24,E558)</f>
        <v>0</v>
      </c>
      <c r="S558" s="319"/>
      <c r="T558" s="319"/>
      <c r="U558" s="319"/>
      <c r="V558" s="319"/>
      <c r="W558" s="319"/>
      <c r="X558" s="319"/>
      <c r="Y558" s="319"/>
      <c r="Z558" s="319"/>
      <c r="AA558" s="319"/>
      <c r="AB558" s="319"/>
      <c r="AC558" s="319"/>
      <c r="AD558" s="319"/>
      <c r="AE558" s="319"/>
      <c r="AF558" s="319"/>
      <c r="AG558" s="319"/>
      <c r="AH558" s="319"/>
      <c r="AI558" s="319"/>
      <c r="AJ558" s="319"/>
      <c r="AK558" s="319"/>
      <c r="AL558" s="319"/>
      <c r="AM558" s="319"/>
      <c r="AN558" s="319"/>
      <c r="AO558" s="319"/>
      <c r="AP558" s="319"/>
      <c r="AQ558" s="319"/>
      <c r="AR558" s="319"/>
      <c r="AS558" s="319"/>
      <c r="AT558" s="319"/>
      <c r="AU558" s="319"/>
      <c r="AV558" s="319"/>
      <c r="AW558" s="319"/>
      <c r="AX558" s="319"/>
      <c r="AY558" s="319"/>
      <c r="AZ558" s="319"/>
      <c r="BA558" s="319"/>
      <c r="BB558" s="319"/>
      <c r="BC558" s="319"/>
      <c r="BD558" s="319"/>
      <c r="BE558" s="319"/>
      <c r="BF558" s="319"/>
      <c r="BG558" s="319"/>
      <c r="BH558" s="319"/>
      <c r="BI558" s="319"/>
      <c r="BJ558" s="319"/>
      <c r="BK558" s="319"/>
      <c r="BL558" s="319"/>
      <c r="BM558" s="319"/>
      <c r="BN558" s="319"/>
      <c r="BO558" s="319"/>
      <c r="BP558" s="319"/>
      <c r="BQ558" s="319"/>
      <c r="BR558" s="319"/>
      <c r="BS558" s="319"/>
      <c r="BT558" s="319"/>
      <c r="BU558" s="319"/>
      <c r="BV558" s="319"/>
      <c r="BW558" s="319"/>
      <c r="BX558" s="319"/>
      <c r="BY558" s="319"/>
      <c r="BZ558" s="319"/>
      <c r="CA558" s="319"/>
      <c r="CB558" s="319"/>
      <c r="CC558" s="319"/>
      <c r="CD558" s="319"/>
      <c r="CE558" s="319"/>
      <c r="CF558" s="319"/>
      <c r="CG558" s="319"/>
      <c r="CH558" s="319"/>
      <c r="CI558" s="319"/>
      <c r="CJ558" s="319"/>
      <c r="CK558" s="319"/>
    </row>
    <row r="559" spans="1:89" ht="13.5" hidden="1" customHeight="1">
      <c r="A559" s="12"/>
      <c r="B559" s="1" t="str">
        <f>Language!C1857</f>
        <v>Dias de operação por semana - fins de semana</v>
      </c>
      <c r="C559" s="29" t="str">
        <f>C557</f>
        <v>d/sem</v>
      </c>
      <c r="D559" s="382"/>
      <c r="E559" s="382"/>
      <c r="F559" s="1"/>
      <c r="G559" s="1"/>
      <c r="H559" s="1"/>
      <c r="I559" s="1"/>
      <c r="J559" s="1"/>
      <c r="K559" s="9"/>
      <c r="L559" s="1"/>
      <c r="M559" s="319"/>
      <c r="N559" s="319">
        <v>5070032</v>
      </c>
      <c r="O559" s="319"/>
      <c r="P559" s="319"/>
      <c r="Q559" s="319">
        <f>IF(D559&gt;2,2,D559)</f>
        <v>0</v>
      </c>
      <c r="R559" s="319">
        <f>IF(E559&gt;2,2,E559)</f>
        <v>0</v>
      </c>
      <c r="S559" s="319"/>
      <c r="T559" s="319"/>
      <c r="U559" s="319"/>
      <c r="V559" s="319"/>
      <c r="W559" s="319"/>
      <c r="X559" s="319"/>
      <c r="Y559" s="319"/>
      <c r="Z559" s="319"/>
      <c r="AA559" s="319"/>
      <c r="AB559" s="319"/>
      <c r="AC559" s="319"/>
      <c r="AD559" s="319"/>
      <c r="AE559" s="319"/>
      <c r="AF559" s="319"/>
      <c r="AG559" s="319"/>
      <c r="AH559" s="319"/>
      <c r="AI559" s="319"/>
      <c r="AJ559" s="319"/>
      <c r="AK559" s="319"/>
      <c r="AL559" s="319"/>
      <c r="AM559" s="319"/>
      <c r="AN559" s="319"/>
      <c r="AO559" s="319"/>
      <c r="AP559" s="319"/>
      <c r="AQ559" s="319"/>
      <c r="AR559" s="319"/>
      <c r="AS559" s="319"/>
      <c r="AT559" s="319"/>
      <c r="AU559" s="319"/>
      <c r="AV559" s="319"/>
      <c r="AW559" s="319"/>
      <c r="AX559" s="319"/>
      <c r="AY559" s="319"/>
      <c r="AZ559" s="319"/>
      <c r="BA559" s="319"/>
      <c r="BB559" s="319"/>
      <c r="BC559" s="319"/>
      <c r="BD559" s="319"/>
      <c r="BE559" s="319"/>
      <c r="BF559" s="319"/>
      <c r="BG559" s="319"/>
      <c r="BH559" s="319"/>
      <c r="BI559" s="319"/>
      <c r="BJ559" s="319"/>
      <c r="BK559" s="319"/>
      <c r="BL559" s="319"/>
      <c r="BM559" s="319"/>
      <c r="BN559" s="319"/>
      <c r="BO559" s="319"/>
      <c r="BP559" s="319"/>
      <c r="BQ559" s="319"/>
      <c r="BR559" s="319"/>
      <c r="BS559" s="319"/>
      <c r="BT559" s="319"/>
      <c r="BU559" s="319"/>
      <c r="BV559" s="319"/>
      <c r="BW559" s="319"/>
      <c r="BX559" s="319"/>
      <c r="BY559" s="319"/>
      <c r="BZ559" s="319"/>
      <c r="CA559" s="319"/>
      <c r="CB559" s="319"/>
      <c r="CC559" s="319"/>
      <c r="CD559" s="319"/>
      <c r="CE559" s="319"/>
      <c r="CF559" s="319"/>
      <c r="CG559" s="319"/>
      <c r="CH559" s="319"/>
      <c r="CI559" s="319"/>
      <c r="CJ559" s="319"/>
      <c r="CK559" s="319"/>
    </row>
    <row r="560" spans="1:89" ht="13.5" hidden="1" customHeight="1">
      <c r="A560" s="12"/>
      <c r="B560" s="1" t="str">
        <f>Language!C1860</f>
        <v>Horas de operação por dia - fins de semana</v>
      </c>
      <c r="C560" s="29" t="str">
        <f>C558</f>
        <v>h/d</v>
      </c>
      <c r="D560" s="382"/>
      <c r="E560" s="382"/>
      <c r="F560" s="1"/>
      <c r="G560" s="1"/>
      <c r="H560" s="1"/>
      <c r="I560" s="1"/>
      <c r="J560" s="1"/>
      <c r="K560" s="9"/>
      <c r="L560" s="1"/>
      <c r="M560" s="319"/>
      <c r="N560" s="319">
        <v>5070034</v>
      </c>
      <c r="O560" s="319"/>
      <c r="P560" s="319"/>
      <c r="Q560" s="319">
        <f>IF(D560&gt;24,24,D560)</f>
        <v>0</v>
      </c>
      <c r="R560" s="319">
        <f>IF(E560&gt;24,24,E560)</f>
        <v>0</v>
      </c>
      <c r="S560" s="319"/>
      <c r="T560" s="319"/>
      <c r="U560" s="319"/>
      <c r="V560" s="319"/>
      <c r="W560" s="319"/>
      <c r="X560" s="319"/>
      <c r="Y560" s="319"/>
      <c r="Z560" s="319"/>
      <c r="AA560" s="319"/>
      <c r="AB560" s="319"/>
      <c r="AC560" s="319"/>
      <c r="AD560" s="319"/>
      <c r="AE560" s="319"/>
      <c r="AF560" s="319"/>
      <c r="AG560" s="319"/>
      <c r="AH560" s="319"/>
      <c r="AI560" s="319"/>
      <c r="AJ560" s="319"/>
      <c r="AK560" s="319"/>
      <c r="AL560" s="319"/>
      <c r="AM560" s="319"/>
      <c r="AN560" s="319"/>
      <c r="AO560" s="319"/>
      <c r="AP560" s="319"/>
      <c r="AQ560" s="319"/>
      <c r="AR560" s="319"/>
      <c r="AS560" s="319"/>
      <c r="AT560" s="319"/>
      <c r="AU560" s="319"/>
      <c r="AV560" s="319"/>
      <c r="AW560" s="319"/>
      <c r="AX560" s="319"/>
      <c r="AY560" s="319"/>
      <c r="AZ560" s="319"/>
      <c r="BA560" s="319"/>
      <c r="BB560" s="319"/>
      <c r="BC560" s="319"/>
      <c r="BD560" s="319"/>
      <c r="BE560" s="319"/>
      <c r="BF560" s="319"/>
      <c r="BG560" s="319"/>
      <c r="BH560" s="319"/>
      <c r="BI560" s="319"/>
      <c r="BJ560" s="319"/>
      <c r="BK560" s="319"/>
      <c r="BL560" s="319"/>
      <c r="BM560" s="319"/>
      <c r="BN560" s="319"/>
      <c r="BO560" s="319"/>
      <c r="BP560" s="319"/>
      <c r="BQ560" s="319"/>
      <c r="BR560" s="319"/>
      <c r="BS560" s="319"/>
      <c r="BT560" s="319"/>
      <c r="BU560" s="319"/>
      <c r="BV560" s="319"/>
      <c r="BW560" s="319"/>
      <c r="BX560" s="319"/>
      <c r="BY560" s="319"/>
      <c r="BZ560" s="319"/>
      <c r="CA560" s="319"/>
      <c r="CB560" s="319"/>
      <c r="CC560" s="319"/>
      <c r="CD560" s="319"/>
      <c r="CE560" s="319"/>
      <c r="CF560" s="319"/>
      <c r="CG560" s="319"/>
      <c r="CH560" s="319"/>
      <c r="CI560" s="319"/>
      <c r="CJ560" s="319"/>
      <c r="CK560" s="319"/>
    </row>
    <row r="561" spans="1:89" ht="13.5" hidden="1" customHeight="1">
      <c r="A561" s="12"/>
      <c r="B561" s="1"/>
      <c r="C561" s="29"/>
      <c r="D561" s="88"/>
      <c r="E561" s="88"/>
      <c r="F561" s="1"/>
      <c r="G561" s="1"/>
      <c r="H561" s="1"/>
      <c r="I561" s="1"/>
      <c r="J561" s="1"/>
      <c r="K561" s="9"/>
      <c r="L561" s="1"/>
      <c r="M561" s="319"/>
      <c r="N561" s="319">
        <v>13190</v>
      </c>
      <c r="O561" s="319"/>
      <c r="P561" s="319" t="b">
        <v>0</v>
      </c>
      <c r="Q561" s="3" t="b">
        <v>0</v>
      </c>
      <c r="R561" s="319" t="s">
        <v>4702</v>
      </c>
      <c r="S561" s="319" t="s">
        <v>4702</v>
      </c>
      <c r="T561" s="319" t="s">
        <v>1043</v>
      </c>
      <c r="U561" s="319" t="s">
        <v>1043</v>
      </c>
      <c r="V561" s="319" t="s">
        <v>1615</v>
      </c>
      <c r="W561" s="319" t="s">
        <v>5048</v>
      </c>
      <c r="X561" s="319" t="s">
        <v>1615</v>
      </c>
      <c r="Y561" s="319" t="s">
        <v>5048</v>
      </c>
      <c r="Z561" s="319"/>
      <c r="AA561" s="319"/>
      <c r="AB561" s="319"/>
      <c r="AC561" s="319"/>
      <c r="AD561" s="319"/>
      <c r="AE561" s="319"/>
      <c r="AF561" s="319"/>
      <c r="AG561" s="319"/>
      <c r="AH561" s="319"/>
      <c r="AI561" s="319"/>
      <c r="AJ561" s="319"/>
      <c r="AK561" s="319"/>
      <c r="AL561" s="319"/>
      <c r="AM561" s="319"/>
      <c r="AN561" s="319"/>
      <c r="AO561" s="319"/>
      <c r="AP561" s="319"/>
      <c r="AQ561" s="319"/>
      <c r="AR561" s="319"/>
      <c r="AS561" s="319"/>
      <c r="AT561" s="319"/>
      <c r="AU561" s="319"/>
      <c r="AV561" s="319"/>
      <c r="AW561" s="319"/>
      <c r="AX561" s="319"/>
      <c r="AY561" s="319"/>
      <c r="AZ561" s="319"/>
      <c r="BA561" s="319"/>
      <c r="BB561" s="319"/>
      <c r="BC561" s="319"/>
      <c r="BD561" s="319"/>
      <c r="BE561" s="319"/>
      <c r="BF561" s="319"/>
      <c r="BG561" s="319"/>
      <c r="BH561" s="319"/>
      <c r="BI561" s="319"/>
      <c r="BJ561" s="319"/>
      <c r="BK561" s="319"/>
      <c r="BL561" s="319"/>
      <c r="BM561" s="319"/>
      <c r="BN561" s="319"/>
      <c r="BO561" s="319"/>
      <c r="BP561" s="319"/>
      <c r="BQ561" s="319"/>
      <c r="BR561" s="319"/>
      <c r="BS561" s="319"/>
      <c r="BT561" s="319"/>
      <c r="BU561" s="319"/>
      <c r="BV561" s="319"/>
      <c r="BW561" s="319"/>
      <c r="BX561" s="319"/>
      <c r="BY561" s="319"/>
      <c r="BZ561" s="319"/>
      <c r="CA561" s="319"/>
      <c r="CB561" s="319"/>
      <c r="CC561" s="319"/>
      <c r="CD561" s="319"/>
      <c r="CE561" s="319"/>
      <c r="CF561" s="319"/>
      <c r="CG561" s="319"/>
      <c r="CH561" s="319"/>
      <c r="CI561" s="319"/>
      <c r="CJ561" s="319"/>
      <c r="CK561" s="319"/>
    </row>
    <row r="562" spans="1:89" ht="13.5" hidden="1" customHeight="1">
      <c r="A562" s="1009" t="s">
        <v>4189</v>
      </c>
      <c r="B562" s="134" t="str">
        <f>$B$229</f>
        <v>Percentual de utilização do mês</v>
      </c>
      <c r="C562" s="333" t="str">
        <f t="shared" ref="C562:C574" si="49">C740</f>
        <v>Mês</v>
      </c>
      <c r="D562" s="1"/>
      <c r="E562" s="1"/>
      <c r="F562" s="1"/>
      <c r="G562" s="1"/>
      <c r="H562" s="1"/>
      <c r="I562" s="1"/>
      <c r="J562" s="1"/>
      <c r="K562" s="9"/>
      <c r="L562" s="1"/>
      <c r="M562" s="319"/>
      <c r="N562" s="319">
        <v>5012026</v>
      </c>
      <c r="O562" s="319"/>
      <c r="P562" s="319"/>
      <c r="Q562" s="319"/>
      <c r="R562" s="319">
        <f t="shared" ref="R562:S573" si="50">IF($R678&gt;R$547,0,R$547-$R678)</f>
        <v>0</v>
      </c>
      <c r="S562" s="319">
        <f t="shared" si="50"/>
        <v>0</v>
      </c>
      <c r="T562" s="319">
        <v>21</v>
      </c>
      <c r="U562" s="319">
        <v>10</v>
      </c>
      <c r="V562" s="319">
        <f>$T562*Q$557/5*Q$558</f>
        <v>0</v>
      </c>
      <c r="W562" s="319">
        <f>$U562*Q$559/2*Q$560</f>
        <v>0</v>
      </c>
      <c r="X562" s="319">
        <f>$T562*R$557/5*R$558</f>
        <v>0</v>
      </c>
      <c r="Y562" s="319">
        <f>$U562*R$559/2*R$560</f>
        <v>0</v>
      </c>
      <c r="Z562" s="319"/>
      <c r="AA562" s="319"/>
      <c r="AB562" s="319"/>
      <c r="AC562" s="319"/>
      <c r="AD562" s="319"/>
      <c r="AE562" s="319"/>
      <c r="AF562" s="319"/>
      <c r="AG562" s="319"/>
      <c r="AH562" s="319"/>
      <c r="AI562" s="319"/>
      <c r="AJ562" s="319"/>
      <c r="AK562" s="319"/>
      <c r="AL562" s="319"/>
      <c r="AM562" s="319"/>
      <c r="AN562" s="476"/>
      <c r="AO562" s="476"/>
      <c r="AP562" s="476"/>
      <c r="AQ562" s="476"/>
      <c r="AR562" s="319"/>
      <c r="AS562" s="319"/>
      <c r="AT562" s="319"/>
      <c r="AU562" s="319"/>
      <c r="AV562" s="319"/>
      <c r="AW562" s="319"/>
      <c r="AX562" s="319"/>
      <c r="AY562" s="319"/>
      <c r="AZ562" s="319"/>
      <c r="BA562" s="319"/>
      <c r="BB562" s="319"/>
      <c r="BC562" s="319"/>
      <c r="BD562" s="319"/>
      <c r="BE562" s="319"/>
      <c r="BF562" s="319"/>
      <c r="BG562" s="319"/>
      <c r="BH562" s="319"/>
      <c r="BI562" s="319"/>
      <c r="BJ562" s="319"/>
      <c r="BK562" s="319"/>
      <c r="BL562" s="319"/>
      <c r="BM562" s="319"/>
      <c r="BN562" s="319"/>
      <c r="BO562" s="319"/>
      <c r="BP562" s="319"/>
      <c r="BQ562" s="319"/>
      <c r="BR562" s="319"/>
      <c r="BS562" s="319"/>
      <c r="BT562" s="319"/>
      <c r="BU562" s="319"/>
      <c r="BV562" s="319"/>
      <c r="BW562" s="319"/>
      <c r="BX562" s="319"/>
      <c r="BY562" s="319"/>
      <c r="BZ562" s="319"/>
      <c r="CA562" s="319"/>
      <c r="CB562" s="319"/>
      <c r="CC562" s="319"/>
      <c r="CD562" s="319"/>
      <c r="CE562" s="319"/>
      <c r="CF562" s="319"/>
      <c r="CG562" s="319"/>
      <c r="CH562" s="319"/>
      <c r="CI562" s="319"/>
      <c r="CJ562" s="319"/>
      <c r="CK562" s="319"/>
    </row>
    <row r="563" spans="1:89" ht="13.5" hidden="1" customHeight="1">
      <c r="A563" s="12"/>
      <c r="B563" s="329"/>
      <c r="C563" s="83" t="str">
        <f t="shared" si="49"/>
        <v>Janeiro</v>
      </c>
      <c r="D563" s="339"/>
      <c r="E563" s="339"/>
      <c r="F563" s="1"/>
      <c r="G563" s="1"/>
      <c r="H563" s="1"/>
      <c r="I563" s="1"/>
      <c r="J563" s="1"/>
      <c r="K563" s="9"/>
      <c r="L563" s="1"/>
      <c r="M563" s="319"/>
      <c r="N563" s="319">
        <v>5012026</v>
      </c>
      <c r="O563" s="319"/>
      <c r="P563" s="319"/>
      <c r="Q563" s="319"/>
      <c r="R563" s="319">
        <f t="shared" si="50"/>
        <v>0</v>
      </c>
      <c r="S563" s="319">
        <f t="shared" si="50"/>
        <v>0</v>
      </c>
      <c r="T563" s="319">
        <v>20</v>
      </c>
      <c r="U563" s="319">
        <v>8</v>
      </c>
      <c r="V563" s="319">
        <f t="shared" ref="V563:V573" si="51">$T563*Q$557/5*Q$558</f>
        <v>0</v>
      </c>
      <c r="W563" s="319">
        <f t="shared" ref="W563:W573" si="52">$U563*Q$559/2*Q$560</f>
        <v>0</v>
      </c>
      <c r="X563" s="319">
        <f t="shared" ref="X563:X573" si="53">$T563*R$557/5*R$558</f>
        <v>0</v>
      </c>
      <c r="Y563" s="319">
        <f t="shared" ref="Y563:Y573" si="54">$U563*R$559/2*R$560</f>
        <v>0</v>
      </c>
      <c r="Z563" s="319"/>
      <c r="AA563" s="319"/>
      <c r="AB563" s="319"/>
      <c r="AC563" s="319"/>
      <c r="AD563" s="319"/>
      <c r="AE563" s="319"/>
      <c r="AF563" s="319"/>
      <c r="AG563" s="319"/>
      <c r="AH563" s="319"/>
      <c r="AI563" s="319"/>
      <c r="AJ563" s="319"/>
      <c r="AK563" s="319"/>
      <c r="AL563" s="319"/>
      <c r="AM563" s="319"/>
      <c r="AN563" s="476"/>
      <c r="AO563" s="476"/>
      <c r="AP563" s="476"/>
      <c r="AQ563" s="476"/>
      <c r="AR563" s="319"/>
      <c r="AS563" s="319"/>
      <c r="AT563" s="319"/>
      <c r="AU563" s="319"/>
      <c r="AV563" s="319"/>
      <c r="AW563" s="319"/>
      <c r="AX563" s="319"/>
      <c r="AY563" s="319"/>
      <c r="AZ563" s="319"/>
      <c r="BA563" s="319"/>
      <c r="BB563" s="319"/>
      <c r="BC563" s="319"/>
      <c r="BD563" s="319"/>
      <c r="BE563" s="319"/>
      <c r="BF563" s="319"/>
      <c r="BG563" s="319"/>
      <c r="BH563" s="319"/>
      <c r="BI563" s="319"/>
      <c r="BJ563" s="319"/>
      <c r="BK563" s="319"/>
      <c r="BL563" s="319"/>
      <c r="BM563" s="319"/>
      <c r="BN563" s="319"/>
      <c r="BO563" s="319"/>
      <c r="BP563" s="319"/>
      <c r="BQ563" s="319"/>
      <c r="BR563" s="319"/>
      <c r="BS563" s="319"/>
      <c r="BT563" s="319"/>
      <c r="BU563" s="319"/>
      <c r="BV563" s="319"/>
      <c r="BW563" s="319"/>
      <c r="BX563" s="319"/>
      <c r="BY563" s="319"/>
      <c r="BZ563" s="319"/>
      <c r="CA563" s="319"/>
      <c r="CB563" s="319"/>
      <c r="CC563" s="319"/>
      <c r="CD563" s="319"/>
      <c r="CE563" s="319"/>
      <c r="CF563" s="319"/>
      <c r="CG563" s="319"/>
      <c r="CH563" s="319"/>
      <c r="CI563" s="319"/>
      <c r="CJ563" s="319"/>
      <c r="CK563" s="319"/>
    </row>
    <row r="564" spans="1:89" ht="13.5" hidden="1" customHeight="1">
      <c r="A564" s="12"/>
      <c r="B564" s="329"/>
      <c r="C564" s="83" t="str">
        <f t="shared" si="49"/>
        <v>Fevereiro</v>
      </c>
      <c r="D564" s="339"/>
      <c r="E564" s="339"/>
      <c r="F564" s="1"/>
      <c r="G564" s="1"/>
      <c r="H564" s="1"/>
      <c r="I564" s="1"/>
      <c r="J564" s="1"/>
      <c r="K564" s="9"/>
      <c r="L564" s="1"/>
      <c r="M564" s="319"/>
      <c r="N564" s="319">
        <v>5012026</v>
      </c>
      <c r="O564" s="319"/>
      <c r="P564" s="319"/>
      <c r="Q564" s="319"/>
      <c r="R564" s="319">
        <f t="shared" si="50"/>
        <v>0</v>
      </c>
      <c r="S564" s="319">
        <f t="shared" si="50"/>
        <v>0</v>
      </c>
      <c r="T564" s="319">
        <v>23</v>
      </c>
      <c r="U564" s="319">
        <v>8</v>
      </c>
      <c r="V564" s="319">
        <f t="shared" si="51"/>
        <v>0</v>
      </c>
      <c r="W564" s="319">
        <f t="shared" si="52"/>
        <v>0</v>
      </c>
      <c r="X564" s="319">
        <f t="shared" si="53"/>
        <v>0</v>
      </c>
      <c r="Y564" s="319">
        <f t="shared" si="54"/>
        <v>0</v>
      </c>
      <c r="Z564" s="319"/>
      <c r="AA564" s="319"/>
      <c r="AB564" s="319"/>
      <c r="AC564" s="319"/>
      <c r="AD564" s="319"/>
      <c r="AE564" s="319"/>
      <c r="AF564" s="319"/>
      <c r="AG564" s="319"/>
      <c r="AH564" s="319"/>
      <c r="AI564" s="319"/>
      <c r="AJ564" s="319"/>
      <c r="AK564" s="319"/>
      <c r="AL564" s="319"/>
      <c r="AM564" s="319"/>
      <c r="AN564" s="476"/>
      <c r="AO564" s="476"/>
      <c r="AP564" s="476"/>
      <c r="AQ564" s="476"/>
      <c r="AR564" s="319"/>
      <c r="AS564" s="319"/>
      <c r="AT564" s="319"/>
      <c r="AU564" s="319"/>
      <c r="AV564" s="319"/>
      <c r="AW564" s="319"/>
      <c r="AX564" s="319"/>
      <c r="AY564" s="319"/>
      <c r="AZ564" s="319"/>
      <c r="BA564" s="319"/>
      <c r="BB564" s="319"/>
      <c r="BC564" s="319"/>
      <c r="BD564" s="319"/>
      <c r="BE564" s="319"/>
      <c r="BF564" s="319"/>
      <c r="BG564" s="319"/>
      <c r="BH564" s="319"/>
      <c r="BI564" s="319"/>
      <c r="BJ564" s="319"/>
      <c r="BK564" s="319"/>
      <c r="BL564" s="319"/>
      <c r="BM564" s="319"/>
      <c r="BN564" s="319"/>
      <c r="BO564" s="319"/>
      <c r="BP564" s="319"/>
      <c r="BQ564" s="319"/>
      <c r="BR564" s="319"/>
      <c r="BS564" s="319"/>
      <c r="BT564" s="319"/>
      <c r="BU564" s="319"/>
      <c r="BV564" s="319"/>
      <c r="BW564" s="319"/>
      <c r="BX564" s="319"/>
      <c r="BY564" s="319"/>
      <c r="BZ564" s="319"/>
      <c r="CA564" s="319"/>
      <c r="CB564" s="319"/>
      <c r="CC564" s="319"/>
      <c r="CD564" s="319"/>
      <c r="CE564" s="319"/>
      <c r="CF564" s="319"/>
      <c r="CG564" s="319"/>
      <c r="CH564" s="319"/>
      <c r="CI564" s="319"/>
      <c r="CJ564" s="319"/>
      <c r="CK564" s="319"/>
    </row>
    <row r="565" spans="1:89" ht="13.5" hidden="1" customHeight="1">
      <c r="A565" s="12"/>
      <c r="B565" s="329"/>
      <c r="C565" s="83" t="str">
        <f t="shared" si="49"/>
        <v>Março</v>
      </c>
      <c r="D565" s="339"/>
      <c r="E565" s="339"/>
      <c r="F565" s="1"/>
      <c r="G565" s="1"/>
      <c r="H565" s="1"/>
      <c r="I565" s="1"/>
      <c r="J565" s="1"/>
      <c r="K565" s="9"/>
      <c r="L565" s="1"/>
      <c r="M565" s="319"/>
      <c r="N565" s="319">
        <v>5012026</v>
      </c>
      <c r="O565" s="319"/>
      <c r="P565" s="319"/>
      <c r="Q565" s="319"/>
      <c r="R565" s="319">
        <f t="shared" si="50"/>
        <v>0</v>
      </c>
      <c r="S565" s="319">
        <f t="shared" si="50"/>
        <v>0</v>
      </c>
      <c r="T565" s="319">
        <v>21</v>
      </c>
      <c r="U565" s="319">
        <v>9</v>
      </c>
      <c r="V565" s="319">
        <f t="shared" si="51"/>
        <v>0</v>
      </c>
      <c r="W565" s="319">
        <f t="shared" si="52"/>
        <v>0</v>
      </c>
      <c r="X565" s="319">
        <f t="shared" si="53"/>
        <v>0</v>
      </c>
      <c r="Y565" s="319">
        <f t="shared" si="54"/>
        <v>0</v>
      </c>
      <c r="Z565" s="319"/>
      <c r="AA565" s="319"/>
      <c r="AB565" s="319"/>
      <c r="AC565" s="319"/>
      <c r="AD565" s="319"/>
      <c r="AE565" s="319"/>
      <c r="AF565" s="319"/>
      <c r="AG565" s="319"/>
      <c r="AH565" s="319"/>
      <c r="AI565" s="319"/>
      <c r="AJ565" s="319"/>
      <c r="AK565" s="319"/>
      <c r="AL565" s="319"/>
      <c r="AM565" s="319"/>
      <c r="AN565" s="476"/>
      <c r="AO565" s="476"/>
      <c r="AP565" s="476"/>
      <c r="AQ565" s="476"/>
      <c r="AR565" s="319"/>
      <c r="AS565" s="319"/>
      <c r="AT565" s="319"/>
      <c r="AU565" s="319"/>
      <c r="AV565" s="319"/>
      <c r="AW565" s="319"/>
      <c r="AX565" s="319"/>
      <c r="AY565" s="319"/>
      <c r="AZ565" s="319"/>
      <c r="BA565" s="319"/>
      <c r="BB565" s="319"/>
      <c r="BC565" s="319"/>
      <c r="BD565" s="319"/>
      <c r="BE565" s="319"/>
      <c r="BF565" s="319"/>
      <c r="BG565" s="319"/>
      <c r="BH565" s="319"/>
      <c r="BI565" s="319"/>
      <c r="BJ565" s="319"/>
      <c r="BK565" s="319"/>
      <c r="BL565" s="319"/>
      <c r="BM565" s="319"/>
      <c r="BN565" s="319"/>
      <c r="BO565" s="319"/>
      <c r="BP565" s="319"/>
      <c r="BQ565" s="319"/>
      <c r="BR565" s="319"/>
      <c r="BS565" s="319"/>
      <c r="BT565" s="319"/>
      <c r="BU565" s="319"/>
      <c r="BV565" s="319"/>
      <c r="BW565" s="319"/>
      <c r="BX565" s="319"/>
      <c r="BY565" s="319"/>
      <c r="BZ565" s="319"/>
      <c r="CA565" s="319"/>
      <c r="CB565" s="319"/>
      <c r="CC565" s="319"/>
      <c r="CD565" s="319"/>
      <c r="CE565" s="319"/>
      <c r="CF565" s="319"/>
      <c r="CG565" s="319"/>
      <c r="CH565" s="319"/>
      <c r="CI565" s="319"/>
      <c r="CJ565" s="319"/>
      <c r="CK565" s="319"/>
    </row>
    <row r="566" spans="1:89" ht="13.5" hidden="1" customHeight="1">
      <c r="A566" s="12"/>
      <c r="B566" s="329"/>
      <c r="C566" s="83" t="str">
        <f t="shared" si="49"/>
        <v>Abril</v>
      </c>
      <c r="D566" s="339"/>
      <c r="E566" s="339"/>
      <c r="F566" s="1"/>
      <c r="G566" s="1"/>
      <c r="H566" s="1"/>
      <c r="I566" s="1"/>
      <c r="J566" s="1"/>
      <c r="K566" s="9"/>
      <c r="L566" s="1"/>
      <c r="M566" s="319"/>
      <c r="N566" s="319">
        <v>5012026</v>
      </c>
      <c r="O566" s="319"/>
      <c r="P566" s="319"/>
      <c r="Q566" s="319"/>
      <c r="R566" s="319">
        <f t="shared" si="50"/>
        <v>0</v>
      </c>
      <c r="S566" s="319">
        <f t="shared" si="50"/>
        <v>0</v>
      </c>
      <c r="T566" s="319">
        <v>22</v>
      </c>
      <c r="U566" s="319">
        <v>9</v>
      </c>
      <c r="V566" s="319">
        <f t="shared" si="51"/>
        <v>0</v>
      </c>
      <c r="W566" s="319">
        <f t="shared" si="52"/>
        <v>0</v>
      </c>
      <c r="X566" s="319">
        <f t="shared" si="53"/>
        <v>0</v>
      </c>
      <c r="Y566" s="319">
        <f t="shared" si="54"/>
        <v>0</v>
      </c>
      <c r="Z566" s="319"/>
      <c r="AA566" s="319"/>
      <c r="AB566" s="319"/>
      <c r="AC566" s="319"/>
      <c r="AD566" s="319"/>
      <c r="AE566" s="319"/>
      <c r="AF566" s="319"/>
      <c r="AG566" s="319"/>
      <c r="AH566" s="319"/>
      <c r="AI566" s="319"/>
      <c r="AJ566" s="319"/>
      <c r="AK566" s="319"/>
      <c r="AL566" s="319"/>
      <c r="AM566" s="319"/>
      <c r="AN566" s="476"/>
      <c r="AO566" s="476"/>
      <c r="AP566" s="476"/>
      <c r="AQ566" s="476"/>
      <c r="AR566" s="319"/>
      <c r="AS566" s="319"/>
      <c r="AT566" s="319"/>
      <c r="AU566" s="319"/>
      <c r="AV566" s="319"/>
      <c r="AW566" s="319"/>
      <c r="AX566" s="319"/>
      <c r="AY566" s="319"/>
      <c r="AZ566" s="319"/>
      <c r="BA566" s="319"/>
      <c r="BB566" s="319"/>
      <c r="BC566" s="319"/>
      <c r="BD566" s="319"/>
      <c r="BE566" s="319"/>
      <c r="BF566" s="319"/>
      <c r="BG566" s="319"/>
      <c r="BH566" s="319"/>
      <c r="BI566" s="319"/>
      <c r="BJ566" s="319"/>
      <c r="BK566" s="319"/>
      <c r="BL566" s="319"/>
      <c r="BM566" s="319"/>
      <c r="BN566" s="319"/>
      <c r="BO566" s="319"/>
      <c r="BP566" s="319"/>
      <c r="BQ566" s="319"/>
      <c r="BR566" s="319"/>
      <c r="BS566" s="319"/>
      <c r="BT566" s="319"/>
      <c r="BU566" s="319"/>
      <c r="BV566" s="319"/>
      <c r="BW566" s="319"/>
      <c r="BX566" s="319"/>
      <c r="BY566" s="319"/>
      <c r="BZ566" s="319"/>
      <c r="CA566" s="319"/>
      <c r="CB566" s="319"/>
      <c r="CC566" s="319"/>
      <c r="CD566" s="319"/>
      <c r="CE566" s="319"/>
      <c r="CF566" s="319"/>
      <c r="CG566" s="319"/>
      <c r="CH566" s="319"/>
      <c r="CI566" s="319"/>
      <c r="CJ566" s="319"/>
      <c r="CK566" s="319"/>
    </row>
    <row r="567" spans="1:89" ht="13.5" hidden="1" customHeight="1">
      <c r="A567" s="12"/>
      <c r="B567" s="329"/>
      <c r="C567" s="83" t="str">
        <f t="shared" si="49"/>
        <v>Maio</v>
      </c>
      <c r="D567" s="339"/>
      <c r="E567" s="339"/>
      <c r="F567" s="1"/>
      <c r="G567" s="1"/>
      <c r="H567" s="1"/>
      <c r="I567" s="1"/>
      <c r="J567" s="1"/>
      <c r="K567" s="9"/>
      <c r="L567" s="1"/>
      <c r="M567" s="319"/>
      <c r="N567" s="319">
        <v>5012026</v>
      </c>
      <c r="O567" s="319"/>
      <c r="P567" s="319"/>
      <c r="Q567" s="319"/>
      <c r="R567" s="319">
        <f t="shared" si="50"/>
        <v>0</v>
      </c>
      <c r="S567" s="319">
        <f t="shared" si="50"/>
        <v>0</v>
      </c>
      <c r="T567" s="319">
        <v>22</v>
      </c>
      <c r="U567" s="319">
        <v>8</v>
      </c>
      <c r="V567" s="319">
        <f t="shared" si="51"/>
        <v>0</v>
      </c>
      <c r="W567" s="319">
        <f t="shared" si="52"/>
        <v>0</v>
      </c>
      <c r="X567" s="319">
        <f t="shared" si="53"/>
        <v>0</v>
      </c>
      <c r="Y567" s="319">
        <f t="shared" si="54"/>
        <v>0</v>
      </c>
      <c r="Z567" s="319"/>
      <c r="AA567" s="319"/>
      <c r="AB567" s="319"/>
      <c r="AC567" s="319"/>
      <c r="AD567" s="319"/>
      <c r="AE567" s="319"/>
      <c r="AF567" s="319"/>
      <c r="AG567" s="319"/>
      <c r="AH567" s="319"/>
      <c r="AI567" s="319"/>
      <c r="AJ567" s="319"/>
      <c r="AK567" s="319"/>
      <c r="AL567" s="319"/>
      <c r="AM567" s="319"/>
      <c r="AN567" s="476"/>
      <c r="AO567" s="476"/>
      <c r="AP567" s="476"/>
      <c r="AQ567" s="476"/>
      <c r="AR567" s="319"/>
      <c r="AS567" s="319"/>
      <c r="AT567" s="319"/>
      <c r="AU567" s="319"/>
      <c r="AV567" s="319"/>
      <c r="AW567" s="319"/>
      <c r="AX567" s="319"/>
      <c r="AY567" s="319"/>
      <c r="AZ567" s="319"/>
      <c r="BA567" s="319"/>
      <c r="BB567" s="319"/>
      <c r="BC567" s="319"/>
      <c r="BD567" s="319"/>
      <c r="BE567" s="319"/>
      <c r="BF567" s="319"/>
      <c r="BG567" s="319"/>
      <c r="BH567" s="319"/>
      <c r="BI567" s="319"/>
      <c r="BJ567" s="319"/>
      <c r="BK567" s="319"/>
      <c r="BL567" s="319"/>
      <c r="BM567" s="319"/>
      <c r="BN567" s="319"/>
      <c r="BO567" s="319"/>
      <c r="BP567" s="319"/>
      <c r="BQ567" s="319"/>
      <c r="BR567" s="319"/>
      <c r="BS567" s="319"/>
      <c r="BT567" s="319"/>
      <c r="BU567" s="319"/>
      <c r="BV567" s="319"/>
      <c r="BW567" s="319"/>
      <c r="BX567" s="319"/>
      <c r="BY567" s="319"/>
      <c r="BZ567" s="319"/>
      <c r="CA567" s="319"/>
      <c r="CB567" s="319"/>
      <c r="CC567" s="319"/>
      <c r="CD567" s="319"/>
      <c r="CE567" s="319"/>
      <c r="CF567" s="319"/>
      <c r="CG567" s="319"/>
      <c r="CH567" s="319"/>
      <c r="CI567" s="319"/>
      <c r="CJ567" s="319"/>
      <c r="CK567" s="319"/>
    </row>
    <row r="568" spans="1:89" ht="13.5" hidden="1" customHeight="1">
      <c r="A568" s="12"/>
      <c r="B568" s="329"/>
      <c r="C568" s="83" t="str">
        <f t="shared" si="49"/>
        <v>Junho</v>
      </c>
      <c r="D568" s="339"/>
      <c r="E568" s="339"/>
      <c r="F568" s="1"/>
      <c r="G568" s="1"/>
      <c r="H568" s="1"/>
      <c r="I568" s="1"/>
      <c r="J568" s="1"/>
      <c r="K568" s="9"/>
      <c r="L568" s="1"/>
      <c r="M568" s="319"/>
      <c r="N568" s="319">
        <v>5012026</v>
      </c>
      <c r="O568" s="319"/>
      <c r="P568" s="319"/>
      <c r="Q568" s="319"/>
      <c r="R568" s="319">
        <f t="shared" si="50"/>
        <v>0</v>
      </c>
      <c r="S568" s="319">
        <f t="shared" si="50"/>
        <v>0</v>
      </c>
      <c r="T568" s="319">
        <v>21</v>
      </c>
      <c r="U568" s="319">
        <v>10</v>
      </c>
      <c r="V568" s="319">
        <f t="shared" si="51"/>
        <v>0</v>
      </c>
      <c r="W568" s="319">
        <f t="shared" si="52"/>
        <v>0</v>
      </c>
      <c r="X568" s="319">
        <f t="shared" si="53"/>
        <v>0</v>
      </c>
      <c r="Y568" s="319">
        <f t="shared" si="54"/>
        <v>0</v>
      </c>
      <c r="Z568" s="319"/>
      <c r="AA568" s="319"/>
      <c r="AB568" s="319"/>
      <c r="AC568" s="319"/>
      <c r="AD568" s="319"/>
      <c r="AE568" s="319"/>
      <c r="AF568" s="319"/>
      <c r="AG568" s="319"/>
      <c r="AH568" s="319"/>
      <c r="AI568" s="319"/>
      <c r="AJ568" s="319"/>
      <c r="AK568" s="319"/>
      <c r="AL568" s="319"/>
      <c r="AM568" s="319"/>
      <c r="AN568" s="476"/>
      <c r="AO568" s="476"/>
      <c r="AP568" s="476"/>
      <c r="AQ568" s="476"/>
      <c r="AR568" s="319"/>
      <c r="AS568" s="319"/>
      <c r="AT568" s="319"/>
      <c r="AU568" s="319"/>
      <c r="AV568" s="319"/>
      <c r="AW568" s="319"/>
      <c r="AX568" s="319"/>
      <c r="AY568" s="319"/>
      <c r="AZ568" s="319"/>
      <c r="BA568" s="319"/>
      <c r="BB568" s="319"/>
      <c r="BC568" s="319"/>
      <c r="BD568" s="319"/>
      <c r="BE568" s="319"/>
      <c r="BF568" s="319"/>
      <c r="BG568" s="319"/>
      <c r="BH568" s="319"/>
      <c r="BI568" s="319"/>
      <c r="BJ568" s="319"/>
      <c r="BK568" s="319"/>
      <c r="BL568" s="319"/>
      <c r="BM568" s="319"/>
      <c r="BN568" s="319"/>
      <c r="BO568" s="319"/>
      <c r="BP568" s="319"/>
      <c r="BQ568" s="319"/>
      <c r="BR568" s="319"/>
      <c r="BS568" s="319"/>
      <c r="BT568" s="319"/>
      <c r="BU568" s="319"/>
      <c r="BV568" s="319"/>
      <c r="BW568" s="319"/>
      <c r="BX568" s="319"/>
      <c r="BY568" s="319"/>
      <c r="BZ568" s="319"/>
      <c r="CA568" s="319"/>
      <c r="CB568" s="319"/>
      <c r="CC568" s="319"/>
      <c r="CD568" s="319"/>
      <c r="CE568" s="319"/>
      <c r="CF568" s="319"/>
      <c r="CG568" s="319"/>
      <c r="CH568" s="319"/>
      <c r="CI568" s="319"/>
      <c r="CJ568" s="319"/>
      <c r="CK568" s="319"/>
    </row>
    <row r="569" spans="1:89" ht="13.5" hidden="1" customHeight="1">
      <c r="A569" s="12"/>
      <c r="B569" s="329"/>
      <c r="C569" s="83" t="str">
        <f t="shared" si="49"/>
        <v>Julho</v>
      </c>
      <c r="D569" s="339"/>
      <c r="E569" s="339"/>
      <c r="F569" s="1"/>
      <c r="G569" s="1"/>
      <c r="H569" s="1"/>
      <c r="I569" s="1"/>
      <c r="J569" s="1"/>
      <c r="K569" s="9"/>
      <c r="L569" s="1"/>
      <c r="M569" s="319"/>
      <c r="N569" s="319">
        <v>5012026</v>
      </c>
      <c r="O569" s="319"/>
      <c r="P569" s="319"/>
      <c r="Q569" s="319"/>
      <c r="R569" s="319">
        <f t="shared" si="50"/>
        <v>0</v>
      </c>
      <c r="S569" s="319">
        <f t="shared" si="50"/>
        <v>0</v>
      </c>
      <c r="T569" s="319">
        <v>23</v>
      </c>
      <c r="U569" s="319">
        <v>8</v>
      </c>
      <c r="V569" s="319">
        <f t="shared" si="51"/>
        <v>0</v>
      </c>
      <c r="W569" s="319">
        <f t="shared" si="52"/>
        <v>0</v>
      </c>
      <c r="X569" s="319">
        <f t="shared" si="53"/>
        <v>0</v>
      </c>
      <c r="Y569" s="319">
        <f t="shared" si="54"/>
        <v>0</v>
      </c>
      <c r="Z569" s="319"/>
      <c r="AA569" s="319"/>
      <c r="AB569" s="319"/>
      <c r="AC569" s="319"/>
      <c r="AD569" s="319"/>
      <c r="AE569" s="319"/>
      <c r="AF569" s="319"/>
      <c r="AG569" s="319"/>
      <c r="AH569" s="319"/>
      <c r="AI569" s="319"/>
      <c r="AJ569" s="319"/>
      <c r="AK569" s="319"/>
      <c r="AL569" s="319"/>
      <c r="AM569" s="319"/>
      <c r="AN569" s="476"/>
      <c r="AO569" s="476"/>
      <c r="AP569" s="476"/>
      <c r="AQ569" s="476"/>
      <c r="AR569" s="319"/>
      <c r="AS569" s="319"/>
      <c r="AT569" s="319"/>
      <c r="AU569" s="319"/>
      <c r="AV569" s="319"/>
      <c r="AW569" s="319"/>
      <c r="AX569" s="319"/>
      <c r="AY569" s="319"/>
      <c r="AZ569" s="319"/>
      <c r="BA569" s="319"/>
      <c r="BB569" s="319"/>
      <c r="BC569" s="319"/>
      <c r="BD569" s="319"/>
      <c r="BE569" s="319"/>
      <c r="BF569" s="319"/>
      <c r="BG569" s="319"/>
      <c r="BH569" s="319"/>
      <c r="BI569" s="319"/>
      <c r="BJ569" s="319"/>
      <c r="BK569" s="319"/>
      <c r="BL569" s="319"/>
      <c r="BM569" s="319"/>
      <c r="BN569" s="319"/>
      <c r="BO569" s="319"/>
      <c r="BP569" s="319"/>
      <c r="BQ569" s="319"/>
      <c r="BR569" s="319"/>
      <c r="BS569" s="319"/>
      <c r="BT569" s="319"/>
      <c r="BU569" s="319"/>
      <c r="BV569" s="319"/>
      <c r="BW569" s="319"/>
      <c r="BX569" s="319"/>
      <c r="BY569" s="319"/>
      <c r="BZ569" s="319"/>
      <c r="CA569" s="319"/>
      <c r="CB569" s="319"/>
      <c r="CC569" s="319"/>
      <c r="CD569" s="319"/>
      <c r="CE569" s="319"/>
      <c r="CF569" s="319"/>
      <c r="CG569" s="319"/>
      <c r="CH569" s="319"/>
      <c r="CI569" s="319"/>
      <c r="CJ569" s="319"/>
      <c r="CK569" s="319"/>
    </row>
    <row r="570" spans="1:89" ht="13.2" hidden="1">
      <c r="A570" s="12"/>
      <c r="B570" s="329"/>
      <c r="C570" s="83" t="str">
        <f t="shared" si="49"/>
        <v>Agosto</v>
      </c>
      <c r="D570" s="339"/>
      <c r="E570" s="339"/>
      <c r="F570" s="1"/>
      <c r="G570" s="1"/>
      <c r="H570" s="1"/>
      <c r="I570" s="1"/>
      <c r="J570" s="1"/>
      <c r="K570" s="9"/>
      <c r="L570" s="1"/>
      <c r="M570" s="319"/>
      <c r="N570" s="319">
        <v>5012026</v>
      </c>
      <c r="O570" s="319"/>
      <c r="P570" s="319"/>
      <c r="Q570" s="319"/>
      <c r="R570" s="319">
        <f t="shared" si="50"/>
        <v>0</v>
      </c>
      <c r="S570" s="319">
        <f t="shared" si="50"/>
        <v>0</v>
      </c>
      <c r="T570" s="319">
        <v>22</v>
      </c>
      <c r="U570" s="319">
        <v>8</v>
      </c>
      <c r="V570" s="319">
        <f t="shared" si="51"/>
        <v>0</v>
      </c>
      <c r="W570" s="319">
        <f t="shared" si="52"/>
        <v>0</v>
      </c>
      <c r="X570" s="319">
        <f t="shared" si="53"/>
        <v>0</v>
      </c>
      <c r="Y570" s="319">
        <f t="shared" si="54"/>
        <v>0</v>
      </c>
      <c r="Z570" s="319"/>
      <c r="AA570" s="319"/>
      <c r="AB570" s="319"/>
      <c r="AC570" s="319"/>
      <c r="AD570" s="319"/>
      <c r="AE570" s="319"/>
      <c r="AF570" s="319"/>
      <c r="AG570" s="319"/>
      <c r="AH570" s="319"/>
      <c r="AI570" s="319"/>
      <c r="AJ570" s="319"/>
      <c r="AK570" s="319"/>
      <c r="AL570" s="319"/>
      <c r="AM570" s="319"/>
      <c r="AN570" s="476"/>
      <c r="AO570" s="476"/>
      <c r="AP570" s="476"/>
      <c r="AQ570" s="476"/>
      <c r="AR570" s="319"/>
      <c r="AS570" s="319"/>
      <c r="AT570" s="319"/>
      <c r="AU570" s="319"/>
      <c r="AV570" s="319"/>
      <c r="AW570" s="319"/>
      <c r="AX570" s="319"/>
      <c r="AY570" s="319"/>
      <c r="AZ570" s="319"/>
      <c r="BA570" s="319"/>
      <c r="BB570" s="319"/>
      <c r="BC570" s="319"/>
      <c r="BD570" s="319"/>
      <c r="BE570" s="319"/>
      <c r="BF570" s="319"/>
      <c r="BG570" s="319"/>
      <c r="BH570" s="319"/>
      <c r="BI570" s="319"/>
      <c r="BJ570" s="319"/>
      <c r="BK570" s="319"/>
      <c r="BL570" s="319"/>
      <c r="BM570" s="319"/>
      <c r="BN570" s="319"/>
      <c r="BO570" s="319"/>
      <c r="BP570" s="319"/>
      <c r="BQ570" s="319"/>
      <c r="BR570" s="319"/>
      <c r="BS570" s="319"/>
      <c r="BT570" s="319"/>
      <c r="BU570" s="319"/>
      <c r="BV570" s="319"/>
      <c r="BW570" s="319"/>
      <c r="BX570" s="319"/>
      <c r="BY570" s="319"/>
      <c r="BZ570" s="319"/>
      <c r="CA570" s="319"/>
      <c r="CB570" s="319"/>
      <c r="CC570" s="319"/>
      <c r="CD570" s="319"/>
      <c r="CE570" s="319"/>
      <c r="CF570" s="319"/>
      <c r="CG570" s="319"/>
      <c r="CH570" s="319"/>
      <c r="CI570" s="319"/>
      <c r="CJ570" s="319"/>
      <c r="CK570" s="319"/>
    </row>
    <row r="571" spans="1:89" ht="13.5" hidden="1" customHeight="1">
      <c r="A571" s="12"/>
      <c r="B571" s="329"/>
      <c r="C571" s="83" t="str">
        <f t="shared" si="49"/>
        <v>Setembro</v>
      </c>
      <c r="D571" s="339"/>
      <c r="E571" s="339"/>
      <c r="F571" s="1"/>
      <c r="G571" s="1"/>
      <c r="H571" s="1"/>
      <c r="I571" s="1"/>
      <c r="J571" s="1"/>
      <c r="K571" s="9"/>
      <c r="L571" s="1"/>
      <c r="M571" s="319"/>
      <c r="N571" s="319">
        <v>5012026</v>
      </c>
      <c r="O571" s="319"/>
      <c r="P571" s="319"/>
      <c r="Q571" s="319"/>
      <c r="R571" s="319">
        <f t="shared" si="50"/>
        <v>0</v>
      </c>
      <c r="S571" s="319">
        <f t="shared" si="50"/>
        <v>0</v>
      </c>
      <c r="T571" s="319">
        <v>21</v>
      </c>
      <c r="U571" s="319">
        <v>10</v>
      </c>
      <c r="V571" s="319">
        <f t="shared" si="51"/>
        <v>0</v>
      </c>
      <c r="W571" s="319">
        <f t="shared" si="52"/>
        <v>0</v>
      </c>
      <c r="X571" s="319">
        <f t="shared" si="53"/>
        <v>0</v>
      </c>
      <c r="Y571" s="319">
        <f t="shared" si="54"/>
        <v>0</v>
      </c>
      <c r="Z571" s="319"/>
      <c r="AA571" s="319"/>
      <c r="AB571" s="319"/>
      <c r="AC571" s="319"/>
      <c r="AD571" s="319"/>
      <c r="AE571" s="319"/>
      <c r="AF571" s="319"/>
      <c r="AG571" s="319"/>
      <c r="AH571" s="319"/>
      <c r="AI571" s="319"/>
      <c r="AJ571" s="319"/>
      <c r="AK571" s="319"/>
      <c r="AL571" s="319"/>
      <c r="AM571" s="319"/>
      <c r="AN571" s="476"/>
      <c r="AO571" s="476"/>
      <c r="AP571" s="476"/>
      <c r="AQ571" s="476"/>
      <c r="AR571" s="319"/>
      <c r="AS571" s="319"/>
      <c r="AT571" s="319"/>
      <c r="AU571" s="319"/>
      <c r="AV571" s="319"/>
      <c r="AW571" s="319"/>
      <c r="AX571" s="319"/>
      <c r="AY571" s="319"/>
      <c r="AZ571" s="319"/>
      <c r="BA571" s="319"/>
      <c r="BB571" s="319"/>
      <c r="BC571" s="319"/>
      <c r="BD571" s="319"/>
      <c r="BE571" s="319"/>
      <c r="BF571" s="319"/>
      <c r="BG571" s="319"/>
      <c r="BH571" s="319"/>
      <c r="BI571" s="319"/>
      <c r="BJ571" s="319"/>
      <c r="BK571" s="319"/>
      <c r="BL571" s="319"/>
      <c r="BM571" s="319"/>
      <c r="BN571" s="319"/>
      <c r="BO571" s="319"/>
      <c r="BP571" s="319"/>
      <c r="BQ571" s="319"/>
      <c r="BR571" s="319"/>
      <c r="BS571" s="319"/>
      <c r="BT571" s="319"/>
      <c r="BU571" s="319"/>
      <c r="BV571" s="319"/>
      <c r="BW571" s="319"/>
      <c r="BX571" s="319"/>
      <c r="BY571" s="319"/>
      <c r="BZ571" s="319"/>
      <c r="CA571" s="319"/>
      <c r="CB571" s="319"/>
      <c r="CC571" s="319"/>
      <c r="CD571" s="319"/>
      <c r="CE571" s="319"/>
      <c r="CF571" s="319"/>
      <c r="CG571" s="319"/>
      <c r="CH571" s="319"/>
      <c r="CI571" s="319"/>
      <c r="CJ571" s="319"/>
      <c r="CK571" s="319"/>
    </row>
    <row r="572" spans="1:89" ht="13.5" hidden="1" customHeight="1">
      <c r="A572" s="12"/>
      <c r="B572" s="329"/>
      <c r="C572" s="83" t="str">
        <f t="shared" si="49"/>
        <v>Outubro</v>
      </c>
      <c r="D572" s="339"/>
      <c r="E572" s="339"/>
      <c r="F572" s="1"/>
      <c r="G572" s="1"/>
      <c r="H572" s="1"/>
      <c r="I572" s="1"/>
      <c r="J572" s="1"/>
      <c r="K572" s="9"/>
      <c r="L572" s="1"/>
      <c r="M572" s="319"/>
      <c r="N572" s="319">
        <v>5012026</v>
      </c>
      <c r="O572" s="319"/>
      <c r="P572" s="319"/>
      <c r="Q572" s="319"/>
      <c r="R572" s="319">
        <f t="shared" si="50"/>
        <v>0</v>
      </c>
      <c r="S572" s="319">
        <f t="shared" si="50"/>
        <v>0</v>
      </c>
      <c r="T572" s="319">
        <v>22</v>
      </c>
      <c r="U572" s="319">
        <v>8</v>
      </c>
      <c r="V572" s="319">
        <f t="shared" si="51"/>
        <v>0</v>
      </c>
      <c r="W572" s="319">
        <f t="shared" si="52"/>
        <v>0</v>
      </c>
      <c r="X572" s="319">
        <f t="shared" si="53"/>
        <v>0</v>
      </c>
      <c r="Y572" s="319">
        <f t="shared" si="54"/>
        <v>0</v>
      </c>
      <c r="Z572" s="319"/>
      <c r="AA572" s="319"/>
      <c r="AB572" s="319"/>
      <c r="AC572" s="319"/>
      <c r="AD572" s="319"/>
      <c r="AE572" s="319"/>
      <c r="AF572" s="319"/>
      <c r="AG572" s="319"/>
      <c r="AH572" s="319"/>
      <c r="AI572" s="319"/>
      <c r="AJ572" s="319"/>
      <c r="AK572" s="319"/>
      <c r="AL572" s="319"/>
      <c r="AM572" s="319"/>
      <c r="AN572" s="476"/>
      <c r="AO572" s="476"/>
      <c r="AP572" s="476"/>
      <c r="AQ572" s="476"/>
      <c r="AR572" s="319"/>
      <c r="AS572" s="319"/>
      <c r="AT572" s="319"/>
      <c r="AU572" s="319"/>
      <c r="AV572" s="319"/>
      <c r="AW572" s="319"/>
      <c r="AX572" s="319"/>
      <c r="AY572" s="319"/>
      <c r="AZ572" s="319"/>
      <c r="BA572" s="319"/>
      <c r="BB572" s="319"/>
      <c r="BC572" s="319"/>
      <c r="BD572" s="319"/>
      <c r="BE572" s="319"/>
      <c r="BF572" s="319"/>
      <c r="BG572" s="319"/>
      <c r="BH572" s="319"/>
      <c r="BI572" s="319"/>
      <c r="BJ572" s="319"/>
      <c r="BK572" s="319"/>
      <c r="BL572" s="319"/>
      <c r="BM572" s="319"/>
      <c r="BN572" s="319"/>
      <c r="BO572" s="319"/>
      <c r="BP572" s="319"/>
      <c r="BQ572" s="319"/>
      <c r="BR572" s="319"/>
      <c r="BS572" s="319"/>
      <c r="BT572" s="319"/>
      <c r="BU572" s="319"/>
      <c r="BV572" s="319"/>
      <c r="BW572" s="319"/>
      <c r="BX572" s="319"/>
      <c r="BY572" s="319"/>
      <c r="BZ572" s="319"/>
      <c r="CA572" s="319"/>
      <c r="CB572" s="319"/>
      <c r="CC572" s="319"/>
      <c r="CD572" s="319"/>
      <c r="CE572" s="319"/>
      <c r="CF572" s="319"/>
      <c r="CG572" s="319"/>
      <c r="CH572" s="319"/>
      <c r="CI572" s="319"/>
      <c r="CJ572" s="319"/>
      <c r="CK572" s="319"/>
    </row>
    <row r="573" spans="1:89" ht="13.5" hidden="1" customHeight="1">
      <c r="A573" s="12"/>
      <c r="B573" s="329"/>
      <c r="C573" s="83" t="str">
        <f t="shared" si="49"/>
        <v>Novembro</v>
      </c>
      <c r="D573" s="339"/>
      <c r="E573" s="339"/>
      <c r="F573" s="1"/>
      <c r="G573" s="1"/>
      <c r="H573" s="1"/>
      <c r="I573" s="1"/>
      <c r="J573" s="1"/>
      <c r="K573" s="9"/>
      <c r="L573" s="1"/>
      <c r="M573" s="319"/>
      <c r="N573" s="319">
        <v>5012026</v>
      </c>
      <c r="O573" s="319"/>
      <c r="P573" s="319"/>
      <c r="Q573" s="319"/>
      <c r="R573" s="319">
        <f t="shared" si="50"/>
        <v>0</v>
      </c>
      <c r="S573" s="319">
        <f t="shared" si="50"/>
        <v>0</v>
      </c>
      <c r="T573" s="319">
        <v>22</v>
      </c>
      <c r="U573" s="319">
        <v>9</v>
      </c>
      <c r="V573" s="319">
        <f t="shared" si="51"/>
        <v>0</v>
      </c>
      <c r="W573" s="319">
        <f t="shared" si="52"/>
        <v>0</v>
      </c>
      <c r="X573" s="319">
        <f t="shared" si="53"/>
        <v>0</v>
      </c>
      <c r="Y573" s="319">
        <f t="shared" si="54"/>
        <v>0</v>
      </c>
      <c r="Z573" s="319"/>
      <c r="AA573" s="319"/>
      <c r="AB573" s="319"/>
      <c r="AC573" s="319"/>
      <c r="AD573" s="319"/>
      <c r="AE573" s="319"/>
      <c r="AF573" s="319"/>
      <c r="AG573" s="319"/>
      <c r="AH573" s="319"/>
      <c r="AI573" s="319"/>
      <c r="AJ573" s="319"/>
      <c r="AK573" s="319"/>
      <c r="AL573" s="319"/>
      <c r="AM573" s="319"/>
      <c r="AN573" s="476"/>
      <c r="AO573" s="476"/>
      <c r="AP573" s="476"/>
      <c r="AQ573" s="476"/>
      <c r="AR573" s="319"/>
      <c r="AS573" s="319"/>
      <c r="AT573" s="319"/>
      <c r="AU573" s="319"/>
      <c r="AV573" s="319"/>
      <c r="AW573" s="319"/>
      <c r="AX573" s="319"/>
      <c r="AY573" s="319"/>
      <c r="AZ573" s="319"/>
      <c r="BA573" s="319"/>
      <c r="BB573" s="319"/>
      <c r="BC573" s="319"/>
      <c r="BD573" s="319"/>
      <c r="BE573" s="319"/>
      <c r="BF573" s="319"/>
      <c r="BG573" s="319"/>
      <c r="BH573" s="319"/>
      <c r="BI573" s="319"/>
      <c r="BJ573" s="319"/>
      <c r="BK573" s="319"/>
      <c r="BL573" s="319"/>
      <c r="BM573" s="319"/>
      <c r="BN573" s="319"/>
      <c r="BO573" s="319"/>
      <c r="BP573" s="319"/>
      <c r="BQ573" s="319"/>
      <c r="BR573" s="319"/>
      <c r="BS573" s="319"/>
      <c r="BT573" s="319"/>
      <c r="BU573" s="319"/>
      <c r="BV573" s="319"/>
      <c r="BW573" s="319"/>
      <c r="BX573" s="319"/>
      <c r="BY573" s="319"/>
      <c r="BZ573" s="319"/>
      <c r="CA573" s="319"/>
      <c r="CB573" s="319"/>
      <c r="CC573" s="319"/>
      <c r="CD573" s="319"/>
      <c r="CE573" s="319"/>
      <c r="CF573" s="319"/>
      <c r="CG573" s="319"/>
      <c r="CH573" s="319"/>
      <c r="CI573" s="319"/>
      <c r="CJ573" s="319"/>
      <c r="CK573" s="319"/>
    </row>
    <row r="574" spans="1:89" ht="12.75" hidden="1" customHeight="1">
      <c r="A574" s="12"/>
      <c r="B574" s="329"/>
      <c r="C574" s="83" t="str">
        <f t="shared" si="49"/>
        <v>Dezembro</v>
      </c>
      <c r="D574" s="339"/>
      <c r="E574" s="339"/>
      <c r="F574" s="1"/>
      <c r="G574" s="1"/>
      <c r="H574" s="1"/>
      <c r="I574" s="1"/>
      <c r="J574" s="1"/>
      <c r="K574" s="9"/>
      <c r="L574" s="1"/>
      <c r="M574" s="319"/>
      <c r="N574" s="319">
        <v>5012026</v>
      </c>
      <c r="O574" s="319"/>
      <c r="P574" s="319"/>
      <c r="Q574" s="319"/>
      <c r="R574" s="319"/>
      <c r="S574" s="319"/>
      <c r="T574" s="319"/>
      <c r="U574" s="319"/>
      <c r="V574" s="319"/>
      <c r="W574" s="319"/>
      <c r="X574" s="319"/>
      <c r="Y574" s="319"/>
      <c r="Z574" s="319"/>
      <c r="AA574" s="319"/>
      <c r="AB574" s="319"/>
      <c r="AC574" s="319"/>
      <c r="AD574" s="319"/>
      <c r="AE574" s="319"/>
      <c r="AF574" s="319"/>
      <c r="AG574" s="319"/>
      <c r="AH574" s="319"/>
      <c r="AI574" s="319"/>
      <c r="AJ574" s="319"/>
      <c r="AK574" s="319"/>
      <c r="AL574" s="319"/>
      <c r="AM574" s="319"/>
      <c r="AN574" s="319"/>
      <c r="AO574" s="319"/>
      <c r="AP574" s="319"/>
      <c r="AQ574" s="319"/>
      <c r="AR574" s="319"/>
      <c r="AS574" s="319"/>
      <c r="AT574" s="319"/>
      <c r="AU574" s="319"/>
      <c r="AV574" s="319"/>
      <c r="AW574" s="319"/>
      <c r="AX574" s="319"/>
      <c r="AY574" s="319"/>
      <c r="AZ574" s="319"/>
      <c r="BA574" s="319"/>
      <c r="BB574" s="319"/>
      <c r="BC574" s="319"/>
      <c r="BD574" s="319"/>
      <c r="BE574" s="319"/>
      <c r="BF574" s="319"/>
      <c r="BG574" s="319"/>
      <c r="BH574" s="319"/>
      <c r="BI574" s="319"/>
      <c r="BJ574" s="319"/>
      <c r="BK574" s="319"/>
      <c r="BL574" s="319"/>
      <c r="BM574" s="319"/>
      <c r="BN574" s="319"/>
      <c r="BO574" s="319"/>
      <c r="BP574" s="319"/>
      <c r="BQ574" s="319"/>
      <c r="BR574" s="319"/>
      <c r="BS574" s="319"/>
      <c r="BT574" s="319"/>
      <c r="BU574" s="319"/>
      <c r="BV574" s="319"/>
      <c r="BW574" s="319"/>
      <c r="BX574" s="319"/>
      <c r="BY574" s="319"/>
      <c r="BZ574" s="319"/>
      <c r="CA574" s="319"/>
      <c r="CB574" s="319"/>
      <c r="CC574" s="319"/>
      <c r="CD574" s="319"/>
      <c r="CE574" s="319"/>
      <c r="CF574" s="319"/>
      <c r="CG574" s="319"/>
      <c r="CH574" s="319"/>
      <c r="CI574" s="319"/>
      <c r="CJ574" s="319"/>
      <c r="CK574" s="319"/>
    </row>
    <row r="575" spans="1:89" ht="12.75" hidden="1" customHeight="1">
      <c r="A575" s="12"/>
      <c r="B575" s="28"/>
      <c r="C575" s="1"/>
      <c r="D575" s="1"/>
      <c r="E575" s="1"/>
      <c r="F575" s="1"/>
      <c r="G575" s="1"/>
      <c r="H575" s="1"/>
      <c r="I575" s="1"/>
      <c r="J575" s="1"/>
      <c r="K575" s="9"/>
      <c r="L575" s="1"/>
      <c r="M575" s="319"/>
      <c r="N575" s="319">
        <v>5012026</v>
      </c>
      <c r="O575" s="319"/>
      <c r="P575" s="319"/>
      <c r="Q575" s="319"/>
      <c r="R575" s="319"/>
      <c r="S575" s="319"/>
      <c r="T575" s="319"/>
      <c r="U575" s="319"/>
      <c r="V575" s="319"/>
      <c r="W575" s="319"/>
      <c r="X575" s="319"/>
      <c r="Y575" s="319"/>
      <c r="Z575" s="319"/>
      <c r="AA575" s="319"/>
      <c r="AB575" s="319"/>
      <c r="AC575" s="319"/>
      <c r="AD575" s="319"/>
      <c r="AE575" s="319"/>
      <c r="AF575" s="319"/>
      <c r="AG575" s="319"/>
      <c r="AH575" s="319"/>
      <c r="AI575" s="319"/>
      <c r="AJ575" s="319"/>
      <c r="AK575" s="319"/>
      <c r="AL575" s="319"/>
      <c r="AM575" s="319"/>
      <c r="AN575" s="476"/>
      <c r="AO575" s="476"/>
      <c r="AP575" s="476"/>
      <c r="AQ575" s="476"/>
      <c r="AR575" s="319"/>
      <c r="AS575" s="319"/>
      <c r="AT575" s="319"/>
      <c r="AU575" s="319"/>
      <c r="AV575" s="319"/>
      <c r="AW575" s="319"/>
      <c r="AX575" s="319"/>
      <c r="AY575" s="319"/>
      <c r="AZ575" s="319"/>
      <c r="BA575" s="319"/>
      <c r="BB575" s="319"/>
      <c r="BC575" s="319"/>
      <c r="BD575" s="319"/>
      <c r="BE575" s="319"/>
      <c r="BF575" s="319"/>
      <c r="BG575" s="319"/>
      <c r="BH575" s="319"/>
      <c r="BI575" s="319"/>
      <c r="BJ575" s="319"/>
      <c r="BK575" s="319"/>
      <c r="BL575" s="319"/>
      <c r="BM575" s="319"/>
      <c r="BN575" s="319"/>
      <c r="BO575" s="319"/>
      <c r="BP575" s="319"/>
      <c r="BQ575" s="319"/>
      <c r="BR575" s="319"/>
      <c r="BS575" s="319"/>
      <c r="BT575" s="319"/>
      <c r="BU575" s="319"/>
      <c r="BV575" s="319"/>
      <c r="BW575" s="319"/>
      <c r="BX575" s="319"/>
      <c r="BY575" s="319"/>
      <c r="BZ575" s="319"/>
      <c r="CA575" s="319"/>
      <c r="CB575" s="319"/>
      <c r="CC575" s="319"/>
      <c r="CD575" s="319"/>
      <c r="CE575" s="319"/>
      <c r="CF575" s="319"/>
      <c r="CG575" s="319"/>
      <c r="CH575" s="319"/>
      <c r="CI575" s="319"/>
      <c r="CJ575" s="319"/>
      <c r="CK575" s="319"/>
    </row>
    <row r="576" spans="1:89" ht="25.5" hidden="1" customHeight="1">
      <c r="A576" s="12"/>
      <c r="B576" s="329"/>
      <c r="C576" s="82" t="str">
        <f>C221</f>
        <v>Unidade</v>
      </c>
      <c r="D576" s="82" t="str">
        <f>D221</f>
        <v>Caso de referência</v>
      </c>
      <c r="E576" s="82" t="str">
        <f>E221</f>
        <v>Caso proposto</v>
      </c>
      <c r="F576" s="82" t="str">
        <f>Language!C1635</f>
        <v>Economia de energia</v>
      </c>
      <c r="G576" s="82" t="str">
        <f>G244</f>
        <v>Custo inicial incremental</v>
      </c>
      <c r="H576" s="1"/>
      <c r="I576" s="1"/>
      <c r="J576" s="1"/>
      <c r="K576" s="9"/>
      <c r="L576" s="1"/>
      <c r="M576" s="319"/>
      <c r="N576" s="319">
        <v>5070038</v>
      </c>
      <c r="O576" s="319"/>
      <c r="P576" s="319"/>
      <c r="Q576" s="319"/>
      <c r="R576" s="319"/>
      <c r="S576" s="319"/>
      <c r="T576" s="319"/>
      <c r="U576" s="319"/>
      <c r="V576" s="319"/>
      <c r="W576" s="319"/>
      <c r="X576" s="319"/>
      <c r="Y576" s="319"/>
      <c r="Z576" s="319"/>
      <c r="AA576" s="319"/>
      <c r="AB576" s="319"/>
      <c r="AC576" s="319"/>
      <c r="AD576" s="319"/>
      <c r="AE576" s="319"/>
      <c r="AF576" s="319"/>
      <c r="AG576" s="319"/>
      <c r="AH576" s="319"/>
      <c r="AI576" s="319"/>
      <c r="AJ576" s="319"/>
      <c r="AK576" s="319"/>
      <c r="AL576" s="319"/>
      <c r="AM576" s="319"/>
      <c r="AN576" s="319"/>
      <c r="AO576" s="319"/>
      <c r="AP576" s="319"/>
      <c r="AQ576" s="319"/>
      <c r="AR576" s="319"/>
      <c r="AS576" s="319"/>
      <c r="AT576" s="319"/>
      <c r="AU576" s="319"/>
      <c r="AV576" s="319"/>
      <c r="AW576" s="319"/>
      <c r="AX576" s="319"/>
      <c r="AY576" s="319"/>
      <c r="AZ576" s="319"/>
      <c r="BA576" s="319"/>
      <c r="BB576" s="319"/>
      <c r="BC576" s="319"/>
      <c r="BD576" s="319"/>
      <c r="BE576" s="319"/>
      <c r="BF576" s="319"/>
      <c r="BG576" s="319"/>
      <c r="BH576" s="319"/>
      <c r="BI576" s="319"/>
      <c r="BJ576" s="319"/>
      <c r="BK576" s="319"/>
      <c r="BL576" s="319"/>
      <c r="BM576" s="319"/>
      <c r="BN576" s="319"/>
      <c r="BO576" s="319"/>
      <c r="BP576" s="319"/>
      <c r="BQ576" s="319"/>
      <c r="BR576" s="319"/>
      <c r="BS576" s="319"/>
      <c r="BT576" s="319"/>
      <c r="BU576" s="319"/>
      <c r="BV576" s="319"/>
      <c r="BW576" s="319"/>
      <c r="BX576" s="319"/>
      <c r="BY576" s="319"/>
      <c r="BZ576" s="319"/>
      <c r="CA576" s="319"/>
      <c r="CB576" s="319"/>
      <c r="CC576" s="319"/>
      <c r="CD576" s="319"/>
      <c r="CE576" s="319"/>
      <c r="CF576" s="319"/>
      <c r="CG576" s="319"/>
      <c r="CH576" s="319"/>
      <c r="CI576" s="319"/>
      <c r="CJ576" s="319"/>
      <c r="CK576" s="319"/>
    </row>
    <row r="577" spans="1:89" ht="13.5" hidden="1" customHeight="1">
      <c r="A577" s="12"/>
      <c r="B577" s="28" t="str">
        <f>Language!C1719</f>
        <v>Demanda de calor</v>
      </c>
      <c r="C577" s="29" t="str">
        <f>IF(Unit=TRUE,$J$1184,$J$1185)</f>
        <v>MWh</v>
      </c>
      <c r="D577" s="30">
        <f>IF(Unit=TRUE,1,K1185)*R578</f>
        <v>0</v>
      </c>
      <c r="E577" s="30">
        <f>IF(Unit=TRUE,1,K1185)*S578</f>
        <v>0</v>
      </c>
      <c r="F577" s="356" t="e">
        <f>1-S578/R578</f>
        <v>#DIV/0!</v>
      </c>
      <c r="G577" s="1346"/>
      <c r="H577" s="1"/>
      <c r="I577" s="1"/>
      <c r="J577" s="1"/>
      <c r="K577" s="9"/>
      <c r="L577" s="1"/>
      <c r="M577" s="319"/>
      <c r="N577" s="319">
        <v>5070038</v>
      </c>
      <c r="O577" s="319"/>
      <c r="P577" s="319"/>
      <c r="Q577" s="319"/>
      <c r="R577" s="319"/>
      <c r="S577" s="319"/>
      <c r="T577" s="319">
        <f>SUM(T574:T576)</f>
        <v>0</v>
      </c>
      <c r="U577" s="319">
        <f>SUM(U574:U576)</f>
        <v>0</v>
      </c>
      <c r="V577" s="319">
        <f>SUM(V562:V576)</f>
        <v>0</v>
      </c>
      <c r="W577" s="319">
        <f>SUM(W562:W576)</f>
        <v>0</v>
      </c>
      <c r="X577" s="319"/>
      <c r="Y577" s="319"/>
      <c r="Z577" s="319"/>
      <c r="AA577" s="319"/>
      <c r="AB577" s="319"/>
      <c r="AC577" s="319"/>
      <c r="AD577" s="319"/>
      <c r="AE577" s="319"/>
      <c r="AF577" s="319"/>
      <c r="AG577" s="319"/>
      <c r="AH577" s="319"/>
      <c r="AI577" s="319"/>
      <c r="AJ577" s="319"/>
      <c r="AK577" s="319"/>
      <c r="AL577" s="319"/>
      <c r="AM577" s="319"/>
      <c r="AN577" s="319"/>
      <c r="AO577" s="319"/>
      <c r="AP577" s="319"/>
      <c r="AQ577" s="319"/>
      <c r="AR577" s="319"/>
      <c r="AS577" s="319"/>
      <c r="AT577" s="319"/>
      <c r="AU577" s="319"/>
      <c r="AV577" s="319"/>
      <c r="AW577" s="319"/>
      <c r="AX577" s="319"/>
      <c r="AY577" s="319"/>
      <c r="AZ577" s="319"/>
      <c r="BA577" s="319"/>
      <c r="BB577" s="319"/>
      <c r="BC577" s="319"/>
      <c r="BD577" s="319"/>
      <c r="BE577" s="319"/>
      <c r="BF577" s="319"/>
      <c r="BG577" s="319"/>
      <c r="BH577" s="319"/>
      <c r="BI577" s="319"/>
      <c r="BJ577" s="319"/>
      <c r="BK577" s="319"/>
      <c r="BL577" s="319"/>
      <c r="BM577" s="319"/>
      <c r="BN577" s="319"/>
      <c r="BO577" s="319"/>
      <c r="BP577" s="319"/>
      <c r="BQ577" s="319"/>
      <c r="BR577" s="319"/>
      <c r="BS577" s="319"/>
      <c r="BT577" s="319"/>
      <c r="BU577" s="319"/>
      <c r="BV577" s="319"/>
      <c r="BW577" s="319"/>
      <c r="BX577" s="319"/>
      <c r="BY577" s="319"/>
      <c r="BZ577" s="319"/>
      <c r="CA577" s="319"/>
      <c r="CB577" s="319"/>
      <c r="CC577" s="319"/>
      <c r="CD577" s="319"/>
      <c r="CE577" s="319"/>
      <c r="CF577" s="319"/>
      <c r="CG577" s="319"/>
      <c r="CH577" s="319"/>
      <c r="CI577" s="319"/>
      <c r="CJ577" s="319"/>
      <c r="CK577" s="319"/>
    </row>
    <row r="578" spans="1:89" ht="13.5" hidden="1" customHeight="1">
      <c r="A578" s="12"/>
      <c r="B578" s="329"/>
      <c r="C578" s="357"/>
      <c r="D578" s="835"/>
      <c r="E578" s="835"/>
      <c r="F578" s="357"/>
      <c r="G578" s="357"/>
      <c r="H578" s="1"/>
      <c r="I578" s="1"/>
      <c r="J578" s="1"/>
      <c r="K578" s="9"/>
      <c r="L578" s="1"/>
      <c r="M578" s="319"/>
      <c r="N578" s="319">
        <v>5070038</v>
      </c>
      <c r="O578" s="319"/>
      <c r="P578" s="319"/>
      <c r="Q578" s="319" t="s">
        <v>2745</v>
      </c>
      <c r="R578" s="319">
        <f>IF(EE_10_M=TRUE,SUMPRODUCT(D563:D574,V562:V573,R562:R573)+SUMPRODUCT(D563:D574,W562:W573,R562:R573),SUMPRODUCT(V562:V573,R562:R573)+SUMPRODUCT(W562:W573,R562:R573))*0.00432*R555/3600</f>
        <v>0</v>
      </c>
      <c r="S578" s="319">
        <f>IF(EE_10_M=TRUE,SUMPRODUCT(E563:E574,X562:X573,S562:S573)+SUMPRODUCT(E563:E574,Y562:Y573,S562:S573),SUMPRODUCT(X562:X573,S562:S573)+SUMPRODUCT(Y562:Y573,S562:S573))*0.00432*S555/3600</f>
        <v>0</v>
      </c>
      <c r="T578" s="319"/>
      <c r="U578" s="319"/>
      <c r="V578" s="319"/>
      <c r="W578" s="319"/>
      <c r="X578" s="319"/>
      <c r="Y578" s="319"/>
      <c r="Z578" s="319"/>
      <c r="AA578" s="319"/>
      <c r="AB578" s="319"/>
      <c r="AC578" s="319"/>
      <c r="AD578" s="319"/>
      <c r="AE578" s="319"/>
      <c r="AF578" s="319"/>
      <c r="AG578" s="319"/>
      <c r="AH578" s="319"/>
      <c r="AI578" s="319"/>
      <c r="AJ578" s="319"/>
      <c r="AK578" s="319"/>
      <c r="AL578" s="319"/>
      <c r="AM578" s="319"/>
      <c r="AN578" s="319"/>
      <c r="AO578" s="319"/>
      <c r="AP578" s="319"/>
      <c r="AQ578" s="319"/>
      <c r="AR578" s="319"/>
      <c r="AS578" s="319"/>
      <c r="AT578" s="319"/>
      <c r="AU578" s="319"/>
      <c r="AV578" s="319"/>
      <c r="AW578" s="319"/>
      <c r="AX578" s="319"/>
      <c r="AY578" s="319"/>
      <c r="AZ578" s="319"/>
      <c r="BA578" s="319"/>
      <c r="BB578" s="319"/>
      <c r="BC578" s="319"/>
      <c r="BD578" s="319"/>
      <c r="BE578" s="319"/>
      <c r="BF578" s="319"/>
      <c r="BG578" s="319"/>
      <c r="BH578" s="319"/>
      <c r="BI578" s="319"/>
      <c r="BJ578" s="319"/>
      <c r="BK578" s="319"/>
      <c r="BL578" s="319"/>
      <c r="BM578" s="319"/>
      <c r="BN578" s="319"/>
      <c r="BO578" s="319"/>
      <c r="BP578" s="319"/>
      <c r="BQ578" s="319"/>
      <c r="BR578" s="319"/>
      <c r="BS578" s="319"/>
      <c r="BT578" s="319"/>
      <c r="BU578" s="319"/>
      <c r="BV578" s="319"/>
      <c r="BW578" s="319"/>
      <c r="BX578" s="319"/>
      <c r="BY578" s="319"/>
      <c r="BZ578" s="319"/>
      <c r="CA578" s="319"/>
      <c r="CB578" s="319"/>
      <c r="CC578" s="319"/>
      <c r="CD578" s="319"/>
      <c r="CE578" s="319"/>
      <c r="CF578" s="319"/>
      <c r="CG578" s="319"/>
      <c r="CH578" s="319"/>
      <c r="CI578" s="319"/>
      <c r="CJ578" s="319"/>
      <c r="CK578" s="319"/>
    </row>
    <row r="579" spans="1:89" ht="12.75" hidden="1" customHeight="1">
      <c r="A579" s="12"/>
      <c r="B579" s="329"/>
      <c r="C579" s="329"/>
      <c r="D579" s="836"/>
      <c r="E579" s="836"/>
      <c r="F579" s="329"/>
      <c r="G579" s="329"/>
      <c r="H579" s="1"/>
      <c r="I579" s="1"/>
      <c r="J579" s="1"/>
      <c r="K579" s="9"/>
      <c r="L579" s="1"/>
      <c r="M579" s="319"/>
      <c r="N579" s="319">
        <v>5070038</v>
      </c>
      <c r="O579" s="319"/>
      <c r="P579" s="319"/>
      <c r="Q579" s="319"/>
      <c r="R579" s="319"/>
      <c r="S579" s="319"/>
      <c r="T579" s="319"/>
      <c r="U579" s="319"/>
      <c r="V579" s="319"/>
      <c r="W579" s="319"/>
      <c r="X579" s="319"/>
      <c r="Y579" s="319"/>
      <c r="Z579" s="319"/>
      <c r="AA579" s="319"/>
      <c r="AB579" s="319"/>
      <c r="AC579" s="319"/>
      <c r="AD579" s="319"/>
      <c r="AE579" s="319"/>
      <c r="AF579" s="319"/>
      <c r="AG579" s="319"/>
      <c r="AH579" s="319"/>
      <c r="AI579" s="319"/>
      <c r="AJ579" s="319"/>
      <c r="AK579" s="319"/>
      <c r="AL579" s="319"/>
      <c r="AM579" s="319"/>
      <c r="AN579" s="319"/>
      <c r="AO579" s="319"/>
      <c r="AP579" s="319"/>
      <c r="AQ579" s="319"/>
      <c r="AR579" s="319"/>
      <c r="AS579" s="319"/>
      <c r="AT579" s="319"/>
      <c r="AU579" s="319"/>
      <c r="AV579" s="319"/>
      <c r="AW579" s="319"/>
      <c r="AX579" s="319"/>
      <c r="AY579" s="319"/>
      <c r="AZ579" s="319"/>
      <c r="BA579" s="319"/>
      <c r="BB579" s="319"/>
      <c r="BC579" s="319"/>
      <c r="BD579" s="319"/>
      <c r="BE579" s="319"/>
      <c r="BF579" s="319"/>
      <c r="BG579" s="319"/>
      <c r="BH579" s="319"/>
      <c r="BI579" s="319"/>
      <c r="BJ579" s="319"/>
      <c r="BK579" s="319"/>
      <c r="BL579" s="319"/>
      <c r="BM579" s="319"/>
      <c r="BN579" s="319"/>
      <c r="BO579" s="319"/>
      <c r="BP579" s="319"/>
      <c r="BQ579" s="319"/>
      <c r="BR579" s="319"/>
      <c r="BS579" s="319"/>
      <c r="BT579" s="319"/>
      <c r="BU579" s="319"/>
      <c r="BV579" s="319"/>
      <c r="BW579" s="319"/>
      <c r="BX579" s="319"/>
      <c r="BY579" s="319"/>
      <c r="BZ579" s="319"/>
      <c r="CA579" s="319"/>
      <c r="CB579" s="319"/>
      <c r="CC579" s="319"/>
      <c r="CD579" s="319"/>
      <c r="CE579" s="319"/>
      <c r="CF579" s="319"/>
      <c r="CG579" s="319"/>
      <c r="CH579" s="319"/>
      <c r="CI579" s="319"/>
      <c r="CJ579" s="319"/>
      <c r="CK579" s="319"/>
    </row>
    <row r="580" spans="1:89" ht="12.75" hidden="1" customHeight="1">
      <c r="A580" s="12"/>
      <c r="B580" s="28"/>
      <c r="C580" s="45" t="str">
        <f>Language!C180</f>
        <v>Unidade</v>
      </c>
      <c r="D580" s="359" t="str">
        <f>D221</f>
        <v>Caso de referência</v>
      </c>
      <c r="E580" s="359" t="str">
        <f>E221</f>
        <v>Caso proposto</v>
      </c>
      <c r="F580" s="82"/>
      <c r="G580" s="82"/>
      <c r="H580" s="1"/>
      <c r="I580" s="1"/>
      <c r="J580" s="1"/>
      <c r="K580" s="9"/>
      <c r="L580" s="1"/>
      <c r="M580" s="319"/>
      <c r="N580" s="319">
        <v>13190</v>
      </c>
      <c r="O580" s="319"/>
      <c r="P580" s="319"/>
      <c r="Q580" s="319"/>
      <c r="R580" s="319"/>
      <c r="S580" s="319"/>
      <c r="T580" s="319"/>
      <c r="U580" s="319"/>
      <c r="V580" s="319"/>
      <c r="W580" s="319"/>
      <c r="X580" s="319"/>
      <c r="Y580" s="319"/>
      <c r="Z580" s="319"/>
      <c r="AA580" s="319"/>
      <c r="AB580" s="319"/>
      <c r="AC580" s="319"/>
      <c r="AD580" s="319"/>
      <c r="AE580" s="319"/>
      <c r="AF580" s="319"/>
      <c r="AG580" s="319"/>
      <c r="AH580" s="319"/>
      <c r="AI580" s="319"/>
      <c r="AJ580" s="319"/>
      <c r="AK580" s="319"/>
      <c r="AL580" s="319"/>
      <c r="AM580" s="319"/>
      <c r="AN580" s="319"/>
      <c r="AO580" s="319"/>
      <c r="AP580" s="319"/>
      <c r="AQ580" s="319"/>
      <c r="AR580" s="319"/>
      <c r="AS580" s="319"/>
      <c r="AT580" s="319"/>
      <c r="AU580" s="319"/>
      <c r="AV580" s="319"/>
      <c r="AW580" s="319"/>
      <c r="AX580" s="319"/>
      <c r="AY580" s="319"/>
      <c r="AZ580" s="319"/>
      <c r="BA580" s="319"/>
      <c r="BB580" s="319"/>
      <c r="BC580" s="319"/>
      <c r="BD580" s="319"/>
      <c r="BE580" s="319"/>
      <c r="BF580" s="319"/>
      <c r="BG580" s="319"/>
      <c r="BH580" s="319"/>
      <c r="BI580" s="319"/>
      <c r="BJ580" s="319"/>
      <c r="BK580" s="319"/>
      <c r="BL580" s="319"/>
      <c r="BM580" s="319"/>
      <c r="BN580" s="319"/>
      <c r="BO580" s="319"/>
      <c r="BP580" s="319"/>
      <c r="BQ580" s="319"/>
      <c r="BR580" s="319"/>
      <c r="BS580" s="319"/>
      <c r="BT580" s="319"/>
      <c r="BU580" s="319"/>
      <c r="BV580" s="319"/>
      <c r="BW580" s="319"/>
      <c r="BX580" s="319"/>
      <c r="BY580" s="319"/>
      <c r="BZ580" s="319"/>
      <c r="CA580" s="319"/>
      <c r="CB580" s="319"/>
      <c r="CC580" s="319"/>
      <c r="CD580" s="319"/>
      <c r="CE580" s="319"/>
      <c r="CF580" s="319"/>
      <c r="CG580" s="319"/>
      <c r="CH580" s="319"/>
      <c r="CI580" s="319"/>
      <c r="CJ580" s="319"/>
      <c r="CK580" s="319"/>
    </row>
    <row r="581" spans="1:89" ht="13.5" hidden="1" customHeight="1">
      <c r="A581" s="12"/>
      <c r="B581" s="1" t="str">
        <f>B759</f>
        <v>Tipo</v>
      </c>
      <c r="C581" s="29"/>
      <c r="D581" s="1239" t="s">
        <v>7337</v>
      </c>
      <c r="E581" s="1239"/>
      <c r="F581" s="1"/>
      <c r="G581" s="1"/>
      <c r="H581" s="1"/>
      <c r="I581" s="1"/>
      <c r="J581" s="1"/>
      <c r="K581" s="9"/>
      <c r="L581" s="1"/>
      <c r="M581" s="319"/>
      <c r="N581" s="319">
        <v>5070009</v>
      </c>
      <c r="O581" s="319"/>
      <c r="P581" s="319"/>
      <c r="Q581" s="319" t="s">
        <v>144</v>
      </c>
      <c r="R581" s="319">
        <f>IF(OR($C582=$C$1178,$C582=""),D582,(D582-32)/1.8)</f>
        <v>0</v>
      </c>
      <c r="S581" s="319">
        <f>IF(OR($C582=$C$1178,$C582=""),E582,(E582-32)/1.8)</f>
        <v>0</v>
      </c>
      <c r="T581" s="319"/>
      <c r="U581" s="319"/>
      <c r="V581" s="319"/>
      <c r="W581" s="319"/>
      <c r="X581" s="319"/>
      <c r="Y581" s="319"/>
      <c r="Z581" s="319"/>
      <c r="AA581" s="319"/>
      <c r="AB581" s="319"/>
      <c r="AC581" s="319"/>
      <c r="AD581" s="319"/>
      <c r="AE581" s="319"/>
      <c r="AF581" s="319"/>
      <c r="AG581" s="319"/>
      <c r="AH581" s="319"/>
      <c r="AI581" s="319"/>
      <c r="AJ581" s="319"/>
      <c r="AK581" s="319"/>
      <c r="AL581" s="319"/>
      <c r="AM581" s="319"/>
      <c r="AN581" s="319"/>
      <c r="AO581" s="319"/>
      <c r="AP581" s="319"/>
      <c r="AQ581" s="319"/>
      <c r="AR581" s="319"/>
      <c r="AS581" s="319"/>
      <c r="AT581" s="319"/>
      <c r="AU581" s="319"/>
      <c r="AV581" s="319"/>
      <c r="AW581" s="319"/>
      <c r="AX581" s="319"/>
      <c r="AY581" s="319"/>
      <c r="AZ581" s="319"/>
      <c r="BA581" s="319"/>
      <c r="BB581" s="319"/>
      <c r="BC581" s="319"/>
      <c r="BD581" s="319"/>
      <c r="BE581" s="319"/>
      <c r="BF581" s="319"/>
      <c r="BG581" s="319"/>
      <c r="BH581" s="319"/>
      <c r="BI581" s="319"/>
      <c r="BJ581" s="319"/>
      <c r="BK581" s="319"/>
      <c r="BL581" s="319"/>
      <c r="BM581" s="319"/>
      <c r="BN581" s="319"/>
      <c r="BO581" s="319"/>
      <c r="BP581" s="319"/>
      <c r="BQ581" s="319"/>
      <c r="BR581" s="319"/>
      <c r="BS581" s="319"/>
      <c r="BT581" s="319"/>
      <c r="BU581" s="319"/>
      <c r="BV581" s="319"/>
      <c r="BW581" s="319"/>
      <c r="BX581" s="319"/>
      <c r="BY581" s="319"/>
      <c r="BZ581" s="319"/>
      <c r="CA581" s="319"/>
      <c r="CB581" s="319"/>
      <c r="CC581" s="319"/>
      <c r="CD581" s="319"/>
      <c r="CE581" s="319"/>
      <c r="CF581" s="319"/>
      <c r="CG581" s="319"/>
      <c r="CH581" s="319"/>
      <c r="CI581" s="319"/>
      <c r="CJ581" s="319"/>
      <c r="CK581" s="319"/>
    </row>
    <row r="582" spans="1:89" ht="13.5" hidden="1" customHeight="1">
      <c r="A582" s="12"/>
      <c r="B582" s="1" t="str">
        <f>Language!C1750</f>
        <v>Temperatura Interior</v>
      </c>
      <c r="C582" s="303" t="s">
        <v>5568</v>
      </c>
      <c r="D582" s="816">
        <f>E582</f>
        <v>0</v>
      </c>
      <c r="E582" s="414"/>
      <c r="F582" s="1"/>
      <c r="G582" s="1"/>
      <c r="H582" s="1"/>
      <c r="I582" s="1"/>
      <c r="J582" s="1"/>
      <c r="K582" s="9"/>
      <c r="L582" s="1"/>
      <c r="M582" s="319"/>
      <c r="N582" s="319">
        <v>5070010</v>
      </c>
      <c r="O582" s="319"/>
      <c r="P582" s="319"/>
      <c r="Q582" s="319" t="s">
        <v>144</v>
      </c>
      <c r="R582" s="319">
        <f>IF(OR($C583=$C$1178,$C583=""),D583,(D583-32)/1.8)</f>
        <v>0</v>
      </c>
      <c r="S582" s="319">
        <f>IF(OR($C583=$C$1178,$C583=""),E583,(E583-32)/1.8)</f>
        <v>0</v>
      </c>
      <c r="T582" s="319"/>
      <c r="U582" s="319"/>
      <c r="V582" s="319"/>
      <c r="W582" s="319"/>
      <c r="X582" s="319"/>
      <c r="Y582" s="319"/>
      <c r="Z582" s="319"/>
      <c r="AA582" s="319"/>
      <c r="AB582" s="319"/>
      <c r="AC582" s="319"/>
      <c r="AD582" s="319"/>
      <c r="AE582" s="319"/>
      <c r="AF582" s="319"/>
      <c r="AG582" s="319"/>
      <c r="AH582" s="319"/>
      <c r="AI582" s="319"/>
      <c r="AJ582" s="319"/>
      <c r="AK582" s="319"/>
      <c r="AL582" s="319"/>
      <c r="AM582" s="319"/>
      <c r="AN582" s="319"/>
      <c r="AO582" s="319"/>
      <c r="AP582" s="319"/>
      <c r="AQ582" s="319"/>
      <c r="AR582" s="319"/>
      <c r="AS582" s="319"/>
      <c r="AT582" s="319"/>
      <c r="AU582" s="319"/>
      <c r="AV582" s="319"/>
      <c r="AW582" s="319"/>
      <c r="AX582" s="319"/>
      <c r="AY582" s="319"/>
      <c r="AZ582" s="319"/>
      <c r="BA582" s="319"/>
      <c r="BB582" s="319"/>
      <c r="BC582" s="319"/>
      <c r="BD582" s="319"/>
      <c r="BE582" s="319"/>
      <c r="BF582" s="319"/>
      <c r="BG582" s="319"/>
      <c r="BH582" s="319"/>
      <c r="BI582" s="319"/>
      <c r="BJ582" s="319"/>
      <c r="BK582" s="319"/>
      <c r="BL582" s="319"/>
      <c r="BM582" s="319"/>
      <c r="BN582" s="319"/>
      <c r="BO582" s="319"/>
      <c r="BP582" s="319"/>
      <c r="BQ582" s="319"/>
      <c r="BR582" s="319"/>
      <c r="BS582" s="319"/>
      <c r="BT582" s="319"/>
      <c r="BU582" s="319"/>
      <c r="BV582" s="319"/>
      <c r="BW582" s="319"/>
      <c r="BX582" s="319"/>
      <c r="BY582" s="319"/>
      <c r="BZ582" s="319"/>
      <c r="CA582" s="319"/>
      <c r="CB582" s="319"/>
      <c r="CC582" s="319"/>
      <c r="CD582" s="319"/>
      <c r="CE582" s="319"/>
      <c r="CF582" s="319"/>
      <c r="CG582" s="319"/>
      <c r="CH582" s="319"/>
      <c r="CI582" s="319"/>
      <c r="CJ582" s="319"/>
      <c r="CK582" s="319"/>
    </row>
    <row r="583" spans="1:89" ht="13.5" hidden="1" customHeight="1">
      <c r="A583" s="12"/>
      <c r="B583" s="1" t="str">
        <f>B550</f>
        <v>Temperatura do ar - máxima</v>
      </c>
      <c r="C583" s="303" t="s">
        <v>5568</v>
      </c>
      <c r="D583" s="414"/>
      <c r="E583" s="414"/>
      <c r="F583" s="1"/>
      <c r="G583" s="1"/>
      <c r="H583" s="1"/>
      <c r="I583" s="1"/>
      <c r="J583" s="1"/>
      <c r="K583" s="9"/>
      <c r="L583" s="1"/>
      <c r="M583" s="319"/>
      <c r="N583" s="319">
        <v>5070014</v>
      </c>
      <c r="O583" s="319"/>
      <c r="P583" s="319"/>
      <c r="Q583" s="319"/>
      <c r="R583" s="319"/>
      <c r="S583" s="319"/>
      <c r="T583" s="319"/>
      <c r="U583" s="319"/>
      <c r="V583" s="319"/>
      <c r="W583" s="319"/>
      <c r="X583" s="319"/>
      <c r="Y583" s="319"/>
      <c r="Z583" s="319"/>
      <c r="AA583" s="319"/>
      <c r="AB583" s="319"/>
      <c r="AC583" s="319"/>
      <c r="AD583" s="319"/>
      <c r="AE583" s="319"/>
      <c r="AF583" s="319"/>
      <c r="AG583" s="319"/>
      <c r="AH583" s="319"/>
      <c r="AI583" s="319"/>
      <c r="AJ583" s="319"/>
      <c r="AK583" s="319"/>
      <c r="AL583" s="319"/>
      <c r="AM583" s="319"/>
      <c r="AN583" s="319"/>
      <c r="AO583" s="319"/>
      <c r="AP583" s="319"/>
      <c r="AQ583" s="319"/>
      <c r="AR583" s="319"/>
      <c r="AS583" s="319"/>
      <c r="AT583" s="319"/>
      <c r="AU583" s="319"/>
      <c r="AV583" s="319"/>
      <c r="AW583" s="319"/>
      <c r="AX583" s="319"/>
      <c r="AY583" s="319"/>
      <c r="AZ583" s="319"/>
      <c r="BA583" s="319"/>
      <c r="BB583" s="319"/>
      <c r="BC583" s="319"/>
      <c r="BD583" s="319"/>
      <c r="BE583" s="319"/>
      <c r="BF583" s="319"/>
      <c r="BG583" s="319"/>
      <c r="BH583" s="319"/>
      <c r="BI583" s="319"/>
      <c r="BJ583" s="319"/>
      <c r="BK583" s="319"/>
      <c r="BL583" s="319"/>
      <c r="BM583" s="319"/>
      <c r="BN583" s="319"/>
      <c r="BO583" s="319"/>
      <c r="BP583" s="319"/>
      <c r="BQ583" s="319"/>
      <c r="BR583" s="319"/>
      <c r="BS583" s="319"/>
      <c r="BT583" s="319"/>
      <c r="BU583" s="319"/>
      <c r="BV583" s="319"/>
      <c r="BW583" s="319"/>
      <c r="BX583" s="319"/>
      <c r="BY583" s="319"/>
      <c r="BZ583" s="319"/>
      <c r="CA583" s="319"/>
      <c r="CB583" s="319"/>
      <c r="CC583" s="319"/>
      <c r="CD583" s="319"/>
      <c r="CE583" s="319"/>
      <c r="CF583" s="319"/>
      <c r="CG583" s="319"/>
      <c r="CH583" s="319"/>
      <c r="CI583" s="319"/>
      <c r="CJ583" s="319"/>
      <c r="CK583" s="319"/>
    </row>
    <row r="584" spans="1:89" ht="12.75" hidden="1" customHeight="1">
      <c r="A584" s="12"/>
      <c r="B584" s="1" t="str">
        <f>Language!C1948</f>
        <v>Valor-R - telhado ou muro</v>
      </c>
      <c r="C584" s="419" t="s">
        <v>4592</v>
      </c>
      <c r="D584" s="815">
        <f>E584</f>
        <v>0</v>
      </c>
      <c r="E584" s="408"/>
      <c r="F584" s="1"/>
      <c r="G584" s="1"/>
      <c r="H584" s="1"/>
      <c r="I584" s="1"/>
      <c r="J584" s="1"/>
      <c r="K584" s="9"/>
      <c r="L584" s="1"/>
      <c r="M584" s="319"/>
      <c r="N584" s="319">
        <v>5070024</v>
      </c>
      <c r="O584" s="319"/>
      <c r="P584" s="319"/>
      <c r="Q584" s="319"/>
      <c r="R584" s="319"/>
      <c r="S584" s="319"/>
      <c r="T584" s="319"/>
      <c r="U584" s="319"/>
      <c r="V584" s="319"/>
      <c r="W584" s="319"/>
      <c r="X584" s="319"/>
      <c r="Y584" s="319"/>
      <c r="Z584" s="319"/>
      <c r="AA584" s="319"/>
      <c r="AB584" s="319"/>
      <c r="AC584" s="319"/>
      <c r="AD584" s="319"/>
      <c r="AE584" s="319"/>
      <c r="AF584" s="319"/>
      <c r="AG584" s="319"/>
      <c r="AH584" s="319"/>
      <c r="AI584" s="319"/>
      <c r="AJ584" s="319"/>
      <c r="AK584" s="319"/>
      <c r="AL584" s="319"/>
      <c r="AM584" s="319"/>
      <c r="AN584" s="319"/>
      <c r="AO584" s="319"/>
      <c r="AP584" s="319"/>
      <c r="AQ584" s="319"/>
      <c r="AR584" s="319"/>
      <c r="AS584" s="319"/>
      <c r="AT584" s="319"/>
      <c r="AU584" s="319"/>
      <c r="AV584" s="319"/>
      <c r="AW584" s="319"/>
      <c r="AX584" s="319"/>
      <c r="AY584" s="319"/>
      <c r="AZ584" s="319"/>
      <c r="BA584" s="319"/>
      <c r="BB584" s="319"/>
      <c r="BC584" s="319"/>
      <c r="BD584" s="319"/>
      <c r="BE584" s="319"/>
      <c r="BF584" s="319"/>
      <c r="BG584" s="319"/>
      <c r="BH584" s="319"/>
      <c r="BI584" s="319"/>
      <c r="BJ584" s="319"/>
      <c r="BK584" s="319"/>
      <c r="BL584" s="319"/>
      <c r="BM584" s="319"/>
      <c r="BN584" s="319"/>
      <c r="BO584" s="319"/>
      <c r="BP584" s="319"/>
      <c r="BQ584" s="319"/>
      <c r="BR584" s="319"/>
      <c r="BS584" s="319"/>
      <c r="BT584" s="319"/>
      <c r="BU584" s="319"/>
      <c r="BV584" s="319"/>
      <c r="BW584" s="319"/>
      <c r="BX584" s="319"/>
      <c r="BY584" s="319"/>
      <c r="BZ584" s="319"/>
      <c r="CA584" s="319"/>
      <c r="CB584" s="319"/>
      <c r="CC584" s="319"/>
      <c r="CD584" s="319"/>
      <c r="CE584" s="319"/>
      <c r="CF584" s="319"/>
      <c r="CG584" s="319"/>
      <c r="CH584" s="319"/>
      <c r="CI584" s="319"/>
      <c r="CJ584" s="319"/>
      <c r="CK584" s="319"/>
    </row>
    <row r="585" spans="1:89" ht="13.5" hidden="1" customHeight="1">
      <c r="A585" s="12"/>
      <c r="B585" s="1"/>
      <c r="C585" s="1"/>
      <c r="D585" s="360"/>
      <c r="E585" s="360"/>
      <c r="F585" s="1"/>
      <c r="G585" s="1"/>
      <c r="H585" s="1"/>
      <c r="I585" s="1"/>
      <c r="J585" s="1"/>
      <c r="K585" s="9"/>
      <c r="L585" s="1"/>
      <c r="M585" s="319"/>
      <c r="N585" s="319">
        <v>13190</v>
      </c>
      <c r="O585" s="319"/>
      <c r="P585" s="319"/>
      <c r="Q585" s="319" t="s">
        <v>4140</v>
      </c>
      <c r="R585" s="319">
        <f>D586*$Q$586</f>
        <v>0</v>
      </c>
      <c r="S585" s="319">
        <f>E586*$Q$586</f>
        <v>0</v>
      </c>
      <c r="T585" s="319"/>
      <c r="U585" s="319"/>
      <c r="V585" s="319" t="s">
        <v>4139</v>
      </c>
      <c r="W585" s="319"/>
      <c r="X585" s="319" t="s">
        <v>5966</v>
      </c>
      <c r="Y585" s="319"/>
      <c r="Z585" s="319"/>
      <c r="AA585" s="319"/>
      <c r="AB585" s="319"/>
      <c r="AC585" s="319"/>
      <c r="AD585" s="319"/>
      <c r="AE585" s="319"/>
      <c r="AF585" s="319"/>
      <c r="AG585" s="319"/>
      <c r="AH585" s="319"/>
      <c r="AI585" s="319"/>
      <c r="AJ585" s="319"/>
      <c r="AK585" s="319"/>
      <c r="AL585" s="319"/>
      <c r="AM585" s="319"/>
      <c r="AN585" s="319"/>
      <c r="AO585" s="319"/>
      <c r="AP585" s="319"/>
      <c r="AQ585" s="319"/>
      <c r="AR585" s="319"/>
      <c r="AS585" s="319"/>
      <c r="AT585" s="319"/>
      <c r="AU585" s="319"/>
      <c r="AV585" s="319"/>
      <c r="AW585" s="319"/>
      <c r="AX585" s="319"/>
      <c r="AY585" s="319"/>
      <c r="AZ585" s="319"/>
      <c r="BA585" s="319"/>
      <c r="BB585" s="319"/>
      <c r="BC585" s="319"/>
      <c r="BD585" s="319"/>
      <c r="BE585" s="319"/>
      <c r="BF585" s="319"/>
      <c r="BG585" s="319"/>
      <c r="BH585" s="319"/>
      <c r="BI585" s="319"/>
      <c r="BJ585" s="319"/>
      <c r="BK585" s="319"/>
      <c r="BL585" s="319"/>
      <c r="BM585" s="319"/>
      <c r="BN585" s="319"/>
      <c r="BO585" s="319"/>
      <c r="BP585" s="319"/>
      <c r="BQ585" s="319"/>
      <c r="BR585" s="319"/>
      <c r="BS585" s="319"/>
      <c r="BT585" s="319"/>
      <c r="BU585" s="319"/>
      <c r="BV585" s="319"/>
      <c r="BW585" s="319"/>
      <c r="BX585" s="319"/>
      <c r="BY585" s="319"/>
      <c r="BZ585" s="319"/>
      <c r="CA585" s="319"/>
      <c r="CB585" s="319"/>
      <c r="CC585" s="319"/>
      <c r="CD585" s="319"/>
      <c r="CE585" s="319"/>
      <c r="CF585" s="319"/>
      <c r="CG585" s="319"/>
      <c r="CH585" s="319"/>
      <c r="CI585" s="319"/>
      <c r="CJ585" s="319"/>
      <c r="CK585" s="319"/>
    </row>
    <row r="586" spans="1:89" ht="13.5" hidden="1" customHeight="1">
      <c r="A586" s="12"/>
      <c r="B586" s="1" t="str">
        <f t="shared" ref="B586:C588" si="55">B556</f>
        <v>Taxa de vazão de ar projetada</v>
      </c>
      <c r="C586" s="303" t="s">
        <v>99</v>
      </c>
      <c r="D586" s="415"/>
      <c r="E586" s="415"/>
      <c r="F586" s="1"/>
      <c r="G586" s="1"/>
      <c r="H586" s="1"/>
      <c r="I586" s="1"/>
      <c r="J586" s="1"/>
      <c r="K586" s="9"/>
      <c r="L586" s="1"/>
      <c r="M586" s="319"/>
      <c r="N586" s="319">
        <v>5070026</v>
      </c>
      <c r="O586" s="319"/>
      <c r="P586" s="319"/>
      <c r="Q586" s="319">
        <f>IF(C586="",1,VLOOKUP(C586,$J$1196:$K$1199,2,FALSE))</f>
        <v>0.27777777777777779</v>
      </c>
      <c r="R586" s="319"/>
      <c r="S586" s="319"/>
      <c r="T586" s="319"/>
      <c r="U586" s="319"/>
      <c r="V586" s="319"/>
      <c r="W586" s="319"/>
      <c r="X586" s="319"/>
      <c r="Y586" s="319"/>
      <c r="Z586" s="319"/>
      <c r="AA586" s="319"/>
      <c r="AB586" s="319"/>
      <c r="AC586" s="319"/>
      <c r="AD586" s="319"/>
      <c r="AE586" s="319"/>
      <c r="AF586" s="319"/>
      <c r="AG586" s="319"/>
      <c r="AH586" s="319"/>
      <c r="AI586" s="319"/>
      <c r="AJ586" s="319"/>
      <c r="AK586" s="319"/>
      <c r="AL586" s="319"/>
      <c r="AM586" s="319"/>
      <c r="AN586" s="319"/>
      <c r="AO586" s="319"/>
      <c r="AP586" s="319"/>
      <c r="AQ586" s="319"/>
      <c r="AR586" s="319"/>
      <c r="AS586" s="319"/>
      <c r="AT586" s="319"/>
      <c r="AU586" s="319"/>
      <c r="AV586" s="319"/>
      <c r="AW586" s="319"/>
      <c r="AX586" s="319"/>
      <c r="AY586" s="319"/>
      <c r="AZ586" s="319"/>
      <c r="BA586" s="319"/>
      <c r="BB586" s="319"/>
      <c r="BC586" s="319"/>
      <c r="BD586" s="319"/>
      <c r="BE586" s="319"/>
      <c r="BF586" s="319"/>
      <c r="BG586" s="319"/>
      <c r="BH586" s="319"/>
      <c r="BI586" s="319"/>
      <c r="BJ586" s="319"/>
      <c r="BK586" s="319"/>
      <c r="BL586" s="319"/>
      <c r="BM586" s="319"/>
      <c r="BN586" s="319"/>
      <c r="BO586" s="319"/>
      <c r="BP586" s="319"/>
      <c r="BQ586" s="319"/>
      <c r="BR586" s="319"/>
      <c r="BS586" s="319"/>
      <c r="BT586" s="319"/>
      <c r="BU586" s="319"/>
      <c r="BV586" s="319"/>
      <c r="BW586" s="319"/>
      <c r="BX586" s="319"/>
      <c r="BY586" s="319"/>
      <c r="BZ586" s="319"/>
      <c r="CA586" s="319"/>
      <c r="CB586" s="319"/>
      <c r="CC586" s="319"/>
      <c r="CD586" s="319"/>
      <c r="CE586" s="319"/>
      <c r="CF586" s="319"/>
      <c r="CG586" s="319"/>
      <c r="CH586" s="319"/>
      <c r="CI586" s="319"/>
      <c r="CJ586" s="319"/>
      <c r="CK586" s="319"/>
    </row>
    <row r="587" spans="1:89" ht="13.5" hidden="1" customHeight="1">
      <c r="A587" s="12"/>
      <c r="B587" s="56" t="str">
        <f t="shared" si="55"/>
        <v>Dias de operação por semana - dias úteis</v>
      </c>
      <c r="C587" s="29" t="str">
        <f t="shared" si="55"/>
        <v>d/sem</v>
      </c>
      <c r="D587" s="414"/>
      <c r="E587" s="414"/>
      <c r="F587" s="1"/>
      <c r="G587" s="1"/>
      <c r="H587" s="1"/>
      <c r="I587" s="1"/>
      <c r="J587" s="1"/>
      <c r="K587" s="9"/>
      <c r="L587" s="1"/>
      <c r="M587" s="319"/>
      <c r="N587" s="319">
        <v>5070028</v>
      </c>
      <c r="O587" s="319"/>
      <c r="P587" s="319"/>
      <c r="Q587" s="319"/>
      <c r="R587" s="319"/>
      <c r="S587" s="319"/>
      <c r="T587" s="319"/>
      <c r="U587" s="319"/>
      <c r="V587" s="319"/>
      <c r="W587" s="319"/>
      <c r="X587" s="319"/>
      <c r="Y587" s="319"/>
      <c r="Z587" s="319"/>
      <c r="AA587" s="319"/>
      <c r="AB587" s="319"/>
      <c r="AC587" s="319"/>
      <c r="AD587" s="319"/>
      <c r="AE587" s="319"/>
      <c r="AF587" s="319"/>
      <c r="AG587" s="319"/>
      <c r="AH587" s="319"/>
      <c r="AI587" s="319"/>
      <c r="AJ587" s="319"/>
      <c r="AK587" s="319"/>
      <c r="AL587" s="319"/>
      <c r="AM587" s="319"/>
      <c r="AN587" s="319"/>
      <c r="AO587" s="319"/>
      <c r="AP587" s="319"/>
      <c r="AQ587" s="319"/>
      <c r="AR587" s="319"/>
      <c r="AS587" s="319"/>
      <c r="AT587" s="319"/>
      <c r="AU587" s="319"/>
      <c r="AV587" s="319"/>
      <c r="AW587" s="319"/>
      <c r="AX587" s="319"/>
      <c r="AY587" s="319"/>
      <c r="AZ587" s="319"/>
      <c r="BA587" s="319"/>
      <c r="BB587" s="319"/>
      <c r="BC587" s="319"/>
      <c r="BD587" s="319"/>
      <c r="BE587" s="319"/>
      <c r="BF587" s="319"/>
      <c r="BG587" s="319"/>
      <c r="BH587" s="319"/>
      <c r="BI587" s="319"/>
      <c r="BJ587" s="319"/>
      <c r="BK587" s="319"/>
      <c r="BL587" s="319"/>
      <c r="BM587" s="319"/>
      <c r="BN587" s="319"/>
      <c r="BO587" s="319"/>
      <c r="BP587" s="319"/>
      <c r="BQ587" s="319"/>
      <c r="BR587" s="319"/>
      <c r="BS587" s="319"/>
      <c r="BT587" s="319"/>
      <c r="BU587" s="319"/>
      <c r="BV587" s="319"/>
      <c r="BW587" s="319"/>
      <c r="BX587" s="319"/>
      <c r="BY587" s="319"/>
      <c r="BZ587" s="319"/>
      <c r="CA587" s="319"/>
      <c r="CB587" s="319"/>
      <c r="CC587" s="319"/>
      <c r="CD587" s="319"/>
      <c r="CE587" s="319"/>
      <c r="CF587" s="319"/>
      <c r="CG587" s="319"/>
      <c r="CH587" s="319"/>
      <c r="CI587" s="319"/>
      <c r="CJ587" s="319"/>
      <c r="CK587" s="319"/>
    </row>
    <row r="588" spans="1:89" ht="13.5" hidden="1" customHeight="1">
      <c r="A588" s="12"/>
      <c r="B588" s="56" t="str">
        <f t="shared" si="55"/>
        <v>Horas de operação por dia - dias úteis</v>
      </c>
      <c r="C588" s="29" t="str">
        <f t="shared" si="55"/>
        <v>h/d</v>
      </c>
      <c r="D588" s="414"/>
      <c r="E588" s="414"/>
      <c r="F588" s="1"/>
      <c r="G588" s="1"/>
      <c r="H588" s="1"/>
      <c r="I588" s="1"/>
      <c r="J588" s="1"/>
      <c r="K588" s="9"/>
      <c r="L588" s="1"/>
      <c r="M588" s="319"/>
      <c r="N588" s="319">
        <v>5070030</v>
      </c>
      <c r="O588" s="319"/>
      <c r="P588" s="319"/>
      <c r="Q588" s="319"/>
      <c r="R588" s="319"/>
      <c r="S588" s="319"/>
      <c r="T588" s="319"/>
      <c r="U588" s="319"/>
      <c r="V588" s="319"/>
      <c r="W588" s="319"/>
      <c r="X588" s="319"/>
      <c r="Y588" s="319"/>
      <c r="Z588" s="319"/>
      <c r="AA588" s="319"/>
      <c r="AB588" s="319"/>
      <c r="AC588" s="319"/>
      <c r="AD588" s="319"/>
      <c r="AE588" s="319"/>
      <c r="AF588" s="319"/>
      <c r="AG588" s="319"/>
      <c r="AH588" s="319"/>
      <c r="AI588" s="319"/>
      <c r="AJ588" s="319"/>
      <c r="AK588" s="319"/>
      <c r="AL588" s="319"/>
      <c r="AM588" s="319"/>
      <c r="AN588" s="319"/>
      <c r="AO588" s="319"/>
      <c r="AP588" s="319"/>
      <c r="AQ588" s="319"/>
      <c r="AR588" s="319"/>
      <c r="AS588" s="319"/>
      <c r="AT588" s="319"/>
      <c r="AU588" s="319"/>
      <c r="AV588" s="319"/>
      <c r="AW588" s="319"/>
      <c r="AX588" s="319"/>
      <c r="AY588" s="319"/>
      <c r="AZ588" s="319"/>
      <c r="BA588" s="319"/>
      <c r="BB588" s="319"/>
      <c r="BC588" s="319"/>
      <c r="BD588" s="319"/>
      <c r="BE588" s="319"/>
      <c r="BF588" s="319"/>
      <c r="BG588" s="319"/>
      <c r="BH588" s="319"/>
      <c r="BI588" s="319"/>
      <c r="BJ588" s="319"/>
      <c r="BK588" s="319"/>
      <c r="BL588" s="319"/>
      <c r="BM588" s="319"/>
      <c r="BN588" s="319"/>
      <c r="BO588" s="319"/>
      <c r="BP588" s="319"/>
      <c r="BQ588" s="319"/>
      <c r="BR588" s="319"/>
      <c r="BS588" s="319"/>
      <c r="BT588" s="319"/>
      <c r="BU588" s="319"/>
      <c r="BV588" s="319"/>
      <c r="BW588" s="319"/>
      <c r="BX588" s="319"/>
      <c r="BY588" s="319"/>
      <c r="BZ588" s="319"/>
      <c r="CA588" s="319"/>
      <c r="CB588" s="319"/>
      <c r="CC588" s="319"/>
      <c r="CD588" s="319"/>
      <c r="CE588" s="319"/>
      <c r="CF588" s="319"/>
      <c r="CG588" s="319"/>
      <c r="CH588" s="319"/>
      <c r="CI588" s="319"/>
      <c r="CJ588" s="319"/>
      <c r="CK588" s="319"/>
    </row>
    <row r="589" spans="1:89" ht="13.5" hidden="1" customHeight="1">
      <c r="A589" s="12"/>
      <c r="B589" s="56" t="str">
        <f>B559</f>
        <v>Dias de operação por semana - fins de semana</v>
      </c>
      <c r="C589" s="29" t="str">
        <f>C557</f>
        <v>d/sem</v>
      </c>
      <c r="D589" s="414"/>
      <c r="E589" s="414"/>
      <c r="F589" s="1"/>
      <c r="G589" s="1"/>
      <c r="H589" s="1"/>
      <c r="I589" s="1"/>
      <c r="J589" s="1"/>
      <c r="K589" s="9"/>
      <c r="L589" s="1"/>
      <c r="M589" s="319"/>
      <c r="N589" s="319">
        <v>5070032</v>
      </c>
      <c r="O589" s="319"/>
      <c r="P589" s="319"/>
      <c r="Q589" s="319"/>
      <c r="R589" s="319"/>
      <c r="S589" s="319"/>
      <c r="T589" s="319"/>
      <c r="U589" s="319"/>
      <c r="V589" s="319"/>
      <c r="W589" s="319"/>
      <c r="X589" s="319"/>
      <c r="Y589" s="319"/>
      <c r="Z589" s="319"/>
      <c r="AA589" s="319"/>
      <c r="AB589" s="319"/>
      <c r="AC589" s="319"/>
      <c r="AD589" s="319"/>
      <c r="AE589" s="319"/>
      <c r="AF589" s="319"/>
      <c r="AG589" s="319"/>
      <c r="AH589" s="319"/>
      <c r="AI589" s="319"/>
      <c r="AJ589" s="319"/>
      <c r="AK589" s="319"/>
      <c r="AL589" s="319"/>
      <c r="AM589" s="319"/>
      <c r="AN589" s="319"/>
      <c r="AO589" s="319"/>
      <c r="AP589" s="319"/>
      <c r="AQ589" s="319"/>
      <c r="AR589" s="319"/>
      <c r="AS589" s="319"/>
      <c r="AT589" s="319"/>
      <c r="AU589" s="319"/>
      <c r="AV589" s="319"/>
      <c r="AW589" s="319"/>
      <c r="AX589" s="319"/>
      <c r="AY589" s="319"/>
      <c r="AZ589" s="319"/>
      <c r="BA589" s="319"/>
      <c r="BB589" s="319"/>
      <c r="BC589" s="319"/>
      <c r="BD589" s="319"/>
      <c r="BE589" s="319"/>
      <c r="BF589" s="319"/>
      <c r="BG589" s="319"/>
      <c r="BH589" s="319"/>
      <c r="BI589" s="319"/>
      <c r="BJ589" s="319"/>
      <c r="BK589" s="319"/>
      <c r="BL589" s="319"/>
      <c r="BM589" s="319"/>
      <c r="BN589" s="319"/>
      <c r="BO589" s="319"/>
      <c r="BP589" s="319"/>
      <c r="BQ589" s="319"/>
      <c r="BR589" s="319"/>
      <c r="BS589" s="319"/>
      <c r="BT589" s="319"/>
      <c r="BU589" s="319"/>
      <c r="BV589" s="319"/>
      <c r="BW589" s="319"/>
      <c r="BX589" s="319"/>
      <c r="BY589" s="319"/>
      <c r="BZ589" s="319"/>
      <c r="CA589" s="319"/>
      <c r="CB589" s="319"/>
      <c r="CC589" s="319"/>
      <c r="CD589" s="319"/>
      <c r="CE589" s="319"/>
      <c r="CF589" s="319"/>
      <c r="CG589" s="319"/>
      <c r="CH589" s="319"/>
      <c r="CI589" s="319"/>
      <c r="CJ589" s="319"/>
      <c r="CK589" s="319"/>
    </row>
    <row r="590" spans="1:89" ht="13.5" hidden="1" customHeight="1">
      <c r="A590" s="12"/>
      <c r="B590" s="56" t="str">
        <f>B560</f>
        <v>Horas de operação por dia - fins de semana</v>
      </c>
      <c r="C590" s="29" t="str">
        <f>C558</f>
        <v>h/d</v>
      </c>
      <c r="D590" s="414"/>
      <c r="E590" s="414"/>
      <c r="F590" s="1"/>
      <c r="G590" s="1"/>
      <c r="H590" s="1"/>
      <c r="I590" s="1"/>
      <c r="J590" s="1"/>
      <c r="K590" s="9"/>
      <c r="L590" s="1"/>
      <c r="M590" s="319"/>
      <c r="N590" s="319">
        <v>5070034</v>
      </c>
      <c r="O590" s="319"/>
      <c r="P590" s="319"/>
      <c r="Q590" s="319"/>
      <c r="R590" s="319"/>
      <c r="S590" s="319"/>
      <c r="T590" s="319"/>
      <c r="U590" s="319"/>
      <c r="V590" s="319"/>
      <c r="W590" s="319"/>
      <c r="X590" s="319"/>
      <c r="Y590" s="319"/>
      <c r="Z590" s="319"/>
      <c r="AA590" s="319"/>
      <c r="AB590" s="319"/>
      <c r="AC590" s="319"/>
      <c r="AD590" s="319"/>
      <c r="AE590" s="319"/>
      <c r="AF590" s="319"/>
      <c r="AG590" s="319"/>
      <c r="AH590" s="319"/>
      <c r="AI590" s="319"/>
      <c r="AJ590" s="319"/>
      <c r="AK590" s="319"/>
      <c r="AL590" s="319"/>
      <c r="AM590" s="319"/>
      <c r="AN590" s="319"/>
      <c r="AO590" s="319"/>
      <c r="AP590" s="319"/>
      <c r="AQ590" s="319"/>
      <c r="AR590" s="319"/>
      <c r="AS590" s="319"/>
      <c r="AT590" s="319"/>
      <c r="AU590" s="319"/>
      <c r="AV590" s="319"/>
      <c r="AW590" s="319"/>
      <c r="AX590" s="319"/>
      <c r="AY590" s="319"/>
      <c r="AZ590" s="319"/>
      <c r="BA590" s="319"/>
      <c r="BB590" s="319"/>
      <c r="BC590" s="319"/>
      <c r="BD590" s="319"/>
      <c r="BE590" s="319"/>
      <c r="BF590" s="319"/>
      <c r="BG590" s="319"/>
      <c r="BH590" s="319"/>
      <c r="BI590" s="319"/>
      <c r="BJ590" s="319"/>
      <c r="BK590" s="319"/>
      <c r="BL590" s="319"/>
      <c r="BM590" s="319"/>
      <c r="BN590" s="319"/>
      <c r="BO590" s="319"/>
      <c r="BP590" s="319"/>
      <c r="BQ590" s="319"/>
      <c r="BR590" s="319"/>
      <c r="BS590" s="319"/>
      <c r="BT590" s="319"/>
      <c r="BU590" s="319"/>
      <c r="BV590" s="319"/>
      <c r="BW590" s="319"/>
      <c r="BX590" s="319"/>
      <c r="BY590" s="319"/>
      <c r="BZ590" s="319"/>
      <c r="CA590" s="319"/>
      <c r="CB590" s="319"/>
      <c r="CC590" s="319"/>
      <c r="CD590" s="319"/>
      <c r="CE590" s="319"/>
      <c r="CF590" s="319"/>
      <c r="CG590" s="319"/>
      <c r="CH590" s="319"/>
      <c r="CI590" s="319"/>
      <c r="CJ590" s="319"/>
      <c r="CK590" s="319"/>
    </row>
    <row r="591" spans="1:89" ht="13.5" hidden="1" customHeight="1">
      <c r="A591" s="12"/>
      <c r="B591" s="1"/>
      <c r="C591" s="29"/>
      <c r="D591" s="462"/>
      <c r="E591" s="462"/>
      <c r="F591" s="1"/>
      <c r="G591" s="1"/>
      <c r="H591" s="1"/>
      <c r="I591" s="1"/>
      <c r="J591" s="1"/>
      <c r="K591" s="9"/>
      <c r="L591" s="1"/>
      <c r="M591" s="319"/>
      <c r="N591" s="319">
        <v>13190</v>
      </c>
      <c r="O591" s="319"/>
      <c r="P591" s="319" t="b">
        <v>0</v>
      </c>
      <c r="Q591" s="3" t="b">
        <v>0</v>
      </c>
      <c r="R591" s="319" t="s">
        <v>4702</v>
      </c>
      <c r="S591" s="319" t="s">
        <v>4702</v>
      </c>
      <c r="T591" s="319"/>
      <c r="U591" s="319"/>
      <c r="V591" s="319" t="s">
        <v>1615</v>
      </c>
      <c r="W591" s="319" t="s">
        <v>5048</v>
      </c>
      <c r="X591" s="319" t="s">
        <v>1615</v>
      </c>
      <c r="Y591" s="319" t="s">
        <v>5048</v>
      </c>
      <c r="Z591" s="319"/>
      <c r="AA591" s="319"/>
      <c r="AB591" s="319"/>
      <c r="AC591" s="319"/>
      <c r="AD591" s="319"/>
      <c r="AE591" s="319"/>
      <c r="AF591" s="319"/>
      <c r="AG591" s="319"/>
      <c r="AH591" s="319"/>
      <c r="AI591" s="319"/>
      <c r="AJ591" s="319"/>
      <c r="AK591" s="319"/>
      <c r="AL591" s="319"/>
      <c r="AM591" s="319"/>
      <c r="AN591" s="319"/>
      <c r="AO591" s="319"/>
      <c r="AP591" s="319"/>
      <c r="AQ591" s="319"/>
      <c r="AR591" s="319"/>
      <c r="AS591" s="319"/>
      <c r="AT591" s="319"/>
      <c r="AU591" s="319"/>
      <c r="AV591" s="319"/>
      <c r="AW591" s="319"/>
      <c r="AX591" s="319"/>
      <c r="AY591" s="319"/>
      <c r="AZ591" s="319"/>
      <c r="BA591" s="319"/>
      <c r="BB591" s="319"/>
      <c r="BC591" s="319"/>
      <c r="BD591" s="319"/>
      <c r="BE591" s="319"/>
      <c r="BF591" s="319"/>
      <c r="BG591" s="319"/>
      <c r="BH591" s="319"/>
      <c r="BI591" s="319"/>
      <c r="BJ591" s="319"/>
      <c r="BK591" s="319"/>
      <c r="BL591" s="319"/>
      <c r="BM591" s="319"/>
      <c r="BN591" s="319"/>
      <c r="BO591" s="319"/>
      <c r="BP591" s="319"/>
      <c r="BQ591" s="319"/>
      <c r="BR591" s="319"/>
      <c r="BS591" s="319"/>
      <c r="BT591" s="319"/>
      <c r="BU591" s="319"/>
      <c r="BV591" s="319"/>
      <c r="BW591" s="319"/>
      <c r="BX591" s="319"/>
      <c r="BY591" s="319"/>
      <c r="BZ591" s="319"/>
      <c r="CA591" s="319"/>
      <c r="CB591" s="319"/>
      <c r="CC591" s="319"/>
      <c r="CD591" s="319"/>
      <c r="CE591" s="319"/>
      <c r="CF591" s="319"/>
      <c r="CG591" s="319"/>
      <c r="CH591" s="319"/>
      <c r="CI591" s="319"/>
      <c r="CJ591" s="319"/>
      <c r="CK591" s="319"/>
    </row>
    <row r="592" spans="1:89" ht="13.5" hidden="1" customHeight="1">
      <c r="A592" s="1009" t="s">
        <v>4189</v>
      </c>
      <c r="B592" s="134" t="str">
        <f>$B$229</f>
        <v>Percentual de utilização do mês</v>
      </c>
      <c r="C592" s="333" t="str">
        <f t="shared" ref="C592:C604" si="56">C740</f>
        <v>Mês</v>
      </c>
      <c r="D592" s="360"/>
      <c r="E592" s="360"/>
      <c r="F592" s="1"/>
      <c r="G592" s="1"/>
      <c r="H592" s="1"/>
      <c r="I592" s="1"/>
      <c r="J592" s="1"/>
      <c r="K592" s="9"/>
      <c r="L592" s="1"/>
      <c r="M592" s="319"/>
      <c r="N592" s="319">
        <v>5012026</v>
      </c>
      <c r="O592" s="319"/>
      <c r="P592" s="319"/>
      <c r="Q592" s="319"/>
      <c r="R592" s="319">
        <f t="shared" ref="R592:S603" si="57">IF($R678&gt;R$582,0,R$582-$R678)</f>
        <v>0</v>
      </c>
      <c r="S592" s="319">
        <f t="shared" si="57"/>
        <v>0</v>
      </c>
      <c r="T592" s="319"/>
      <c r="U592" s="319"/>
      <c r="V592" s="319">
        <f>$T562*IF(D$587&gt;5,5,D$587)/5*(IF(D$588&gt;24,24,D$588))</f>
        <v>0</v>
      </c>
      <c r="W592" s="319">
        <f>$U562*IF(D$589&gt;2,2,D$589)/2*IF(D$590&gt;24,24,D$590)</f>
        <v>0</v>
      </c>
      <c r="X592" s="319">
        <f>$T562*IF(E$587&gt;5,5,E$587)/5*IF(E$588&gt;24,24,E$588)</f>
        <v>0</v>
      </c>
      <c r="Y592" s="319">
        <f>$U562*IF(E$589&gt;2,2,E$589)/2*IF(E$590&gt;24,24,E$590)</f>
        <v>0</v>
      </c>
      <c r="Z592" s="319"/>
      <c r="AA592" s="319"/>
      <c r="AB592" s="319"/>
      <c r="AC592" s="319"/>
      <c r="AD592" s="319"/>
      <c r="AE592" s="319"/>
      <c r="AF592" s="319"/>
      <c r="AG592" s="319"/>
      <c r="AH592" s="319"/>
      <c r="AI592" s="319"/>
      <c r="AJ592" s="319"/>
      <c r="AK592" s="319"/>
      <c r="AL592" s="319"/>
      <c r="AM592" s="319"/>
      <c r="AN592" s="319"/>
      <c r="AO592" s="319"/>
      <c r="AP592" s="319"/>
      <c r="AQ592" s="319"/>
      <c r="AR592" s="319"/>
      <c r="AS592" s="319"/>
      <c r="AT592" s="319"/>
      <c r="AU592" s="319"/>
      <c r="AV592" s="319"/>
      <c r="AW592" s="319"/>
      <c r="AX592" s="319"/>
      <c r="AY592" s="319"/>
      <c r="AZ592" s="319"/>
      <c r="BA592" s="319"/>
      <c r="BB592" s="319"/>
      <c r="BC592" s="319"/>
      <c r="BD592" s="319"/>
      <c r="BE592" s="319"/>
      <c r="BF592" s="319"/>
      <c r="BG592" s="319"/>
      <c r="BH592" s="319"/>
      <c r="BI592" s="319"/>
      <c r="BJ592" s="319"/>
      <c r="BK592" s="319"/>
      <c r="BL592" s="319"/>
      <c r="BM592" s="319"/>
      <c r="BN592" s="319"/>
      <c r="BO592" s="319"/>
      <c r="BP592" s="319"/>
      <c r="BQ592" s="319"/>
      <c r="BR592" s="319"/>
      <c r="BS592" s="319"/>
      <c r="BT592" s="319"/>
      <c r="BU592" s="319"/>
      <c r="BV592" s="319"/>
      <c r="BW592" s="319"/>
      <c r="BX592" s="319"/>
      <c r="BY592" s="319"/>
      <c r="BZ592" s="319"/>
      <c r="CA592" s="319"/>
      <c r="CB592" s="319"/>
      <c r="CC592" s="319"/>
      <c r="CD592" s="319"/>
      <c r="CE592" s="319"/>
      <c r="CF592" s="319"/>
      <c r="CG592" s="319"/>
      <c r="CH592" s="319"/>
      <c r="CI592" s="319"/>
      <c r="CJ592" s="319"/>
      <c r="CK592" s="319"/>
    </row>
    <row r="593" spans="1:89" ht="13.5" hidden="1" customHeight="1">
      <c r="A593" s="12"/>
      <c r="B593" s="329"/>
      <c r="C593" s="83" t="str">
        <f t="shared" si="56"/>
        <v>Janeiro</v>
      </c>
      <c r="D593" s="416"/>
      <c r="E593" s="416"/>
      <c r="F593" s="1"/>
      <c r="G593" s="1"/>
      <c r="H593" s="1"/>
      <c r="I593" s="1"/>
      <c r="J593" s="1"/>
      <c r="K593" s="9"/>
      <c r="L593" s="1"/>
      <c r="M593" s="319"/>
      <c r="N593" s="319">
        <v>5012026</v>
      </c>
      <c r="O593" s="319"/>
      <c r="P593" s="319"/>
      <c r="Q593" s="319"/>
      <c r="R593" s="319">
        <f t="shared" si="57"/>
        <v>0</v>
      </c>
      <c r="S593" s="319">
        <f t="shared" si="57"/>
        <v>0</v>
      </c>
      <c r="T593" s="319"/>
      <c r="U593" s="319"/>
      <c r="V593" s="319">
        <f t="shared" ref="V593:V603" si="58">$T563*IF(D$587&gt;5,5,D$587)/5*(IF(D$588&gt;24,24,D$588))</f>
        <v>0</v>
      </c>
      <c r="W593" s="319">
        <f t="shared" ref="W593:W603" si="59">$U563*IF(D$589&gt;2,2,D$589)/2*IF(D$590&gt;24,24,D$590)</f>
        <v>0</v>
      </c>
      <c r="X593" s="319">
        <f t="shared" ref="X593:X603" si="60">$T563*IF(E$587&gt;5,5,E$587)/5*IF(E$588&gt;24,24,E$588)</f>
        <v>0</v>
      </c>
      <c r="Y593" s="319">
        <f t="shared" ref="Y593:Y603" si="61">$U563*IF(E$589&gt;2,2,E$589)/2*IF(E$590&gt;24,24,E$590)</f>
        <v>0</v>
      </c>
      <c r="Z593" s="319"/>
      <c r="AA593" s="319"/>
      <c r="AB593" s="319"/>
      <c r="AC593" s="319"/>
      <c r="AD593" s="319"/>
      <c r="AE593" s="319"/>
      <c r="AF593" s="319"/>
      <c r="AG593" s="319"/>
      <c r="AH593" s="319"/>
      <c r="AI593" s="319"/>
      <c r="AJ593" s="319"/>
      <c r="AK593" s="319"/>
      <c r="AL593" s="319"/>
      <c r="AM593" s="319"/>
      <c r="AN593" s="319"/>
      <c r="AO593" s="319"/>
      <c r="AP593" s="319"/>
      <c r="AQ593" s="319"/>
      <c r="AR593" s="319"/>
      <c r="AS593" s="319"/>
      <c r="AT593" s="319"/>
      <c r="AU593" s="319"/>
      <c r="AV593" s="319"/>
      <c r="AW593" s="319"/>
      <c r="AX593" s="319"/>
      <c r="AY593" s="319"/>
      <c r="AZ593" s="319"/>
      <c r="BA593" s="319"/>
      <c r="BB593" s="319"/>
      <c r="BC593" s="319"/>
      <c r="BD593" s="319"/>
      <c r="BE593" s="319"/>
      <c r="BF593" s="319"/>
      <c r="BG593" s="319"/>
      <c r="BH593" s="319"/>
      <c r="BI593" s="319"/>
      <c r="BJ593" s="319"/>
      <c r="BK593" s="319"/>
      <c r="BL593" s="319"/>
      <c r="BM593" s="319"/>
      <c r="BN593" s="319"/>
      <c r="BO593" s="319"/>
      <c r="BP593" s="319"/>
      <c r="BQ593" s="319"/>
      <c r="BR593" s="319"/>
      <c r="BS593" s="319"/>
      <c r="BT593" s="319"/>
      <c r="BU593" s="319"/>
      <c r="BV593" s="319"/>
      <c r="BW593" s="319"/>
      <c r="BX593" s="319"/>
      <c r="BY593" s="319"/>
      <c r="BZ593" s="319"/>
      <c r="CA593" s="319"/>
      <c r="CB593" s="319"/>
      <c r="CC593" s="319"/>
      <c r="CD593" s="319"/>
      <c r="CE593" s="319"/>
      <c r="CF593" s="319"/>
      <c r="CG593" s="319"/>
      <c r="CH593" s="319"/>
      <c r="CI593" s="319"/>
      <c r="CJ593" s="319"/>
      <c r="CK593" s="319"/>
    </row>
    <row r="594" spans="1:89" ht="13.5" hidden="1" customHeight="1">
      <c r="A594" s="12"/>
      <c r="B594" s="329"/>
      <c r="C594" s="83" t="str">
        <f t="shared" si="56"/>
        <v>Fevereiro</v>
      </c>
      <c r="D594" s="416"/>
      <c r="E594" s="416"/>
      <c r="F594" s="1"/>
      <c r="G594" s="1"/>
      <c r="H594" s="1"/>
      <c r="I594" s="1"/>
      <c r="J594" s="1"/>
      <c r="K594" s="9"/>
      <c r="L594" s="1"/>
      <c r="M594" s="319"/>
      <c r="N594" s="319">
        <v>5012026</v>
      </c>
      <c r="O594" s="319"/>
      <c r="P594" s="319"/>
      <c r="Q594" s="319"/>
      <c r="R594" s="319">
        <f t="shared" si="57"/>
        <v>0</v>
      </c>
      <c r="S594" s="319">
        <f t="shared" si="57"/>
        <v>0</v>
      </c>
      <c r="T594" s="319"/>
      <c r="U594" s="319"/>
      <c r="V594" s="319">
        <f t="shared" si="58"/>
        <v>0</v>
      </c>
      <c r="W594" s="319">
        <f t="shared" si="59"/>
        <v>0</v>
      </c>
      <c r="X594" s="319">
        <f t="shared" si="60"/>
        <v>0</v>
      </c>
      <c r="Y594" s="319">
        <f t="shared" si="61"/>
        <v>0</v>
      </c>
      <c r="Z594" s="319"/>
      <c r="AA594" s="319"/>
      <c r="AB594" s="319"/>
      <c r="AC594" s="319"/>
      <c r="AD594" s="319"/>
      <c r="AE594" s="319"/>
      <c r="AF594" s="319"/>
      <c r="AG594" s="319"/>
      <c r="AH594" s="319"/>
      <c r="AI594" s="319"/>
      <c r="AJ594" s="319"/>
      <c r="AK594" s="319"/>
      <c r="AL594" s="319"/>
      <c r="AM594" s="319"/>
      <c r="AN594" s="319"/>
      <c r="AO594" s="319"/>
      <c r="AP594" s="319"/>
      <c r="AQ594" s="319"/>
      <c r="AR594" s="319"/>
      <c r="AS594" s="319"/>
      <c r="AT594" s="319"/>
      <c r="AU594" s="319"/>
      <c r="AV594" s="319"/>
      <c r="AW594" s="319"/>
      <c r="AX594" s="319"/>
      <c r="AY594" s="319"/>
      <c r="AZ594" s="319"/>
      <c r="BA594" s="319"/>
      <c r="BB594" s="319"/>
      <c r="BC594" s="319"/>
      <c r="BD594" s="319"/>
      <c r="BE594" s="319"/>
      <c r="BF594" s="319"/>
      <c r="BG594" s="319"/>
      <c r="BH594" s="319"/>
      <c r="BI594" s="319"/>
      <c r="BJ594" s="319"/>
      <c r="BK594" s="319"/>
      <c r="BL594" s="319"/>
      <c r="BM594" s="319"/>
      <c r="BN594" s="319"/>
      <c r="BO594" s="319"/>
      <c r="BP594" s="319"/>
      <c r="BQ594" s="319"/>
      <c r="BR594" s="319"/>
      <c r="BS594" s="319"/>
      <c r="BT594" s="319"/>
      <c r="BU594" s="319"/>
      <c r="BV594" s="319"/>
      <c r="BW594" s="319"/>
      <c r="BX594" s="319"/>
      <c r="BY594" s="319"/>
      <c r="BZ594" s="319"/>
      <c r="CA594" s="319"/>
      <c r="CB594" s="319"/>
      <c r="CC594" s="319"/>
      <c r="CD594" s="319"/>
      <c r="CE594" s="319"/>
      <c r="CF594" s="319"/>
      <c r="CG594" s="319"/>
      <c r="CH594" s="319"/>
      <c r="CI594" s="319"/>
      <c r="CJ594" s="319"/>
      <c r="CK594" s="319"/>
    </row>
    <row r="595" spans="1:89" ht="13.5" hidden="1" customHeight="1">
      <c r="A595" s="12"/>
      <c r="B595" s="329"/>
      <c r="C595" s="83" t="str">
        <f t="shared" si="56"/>
        <v>Março</v>
      </c>
      <c r="D595" s="416"/>
      <c r="E595" s="416"/>
      <c r="F595" s="1"/>
      <c r="G595" s="1"/>
      <c r="H595" s="1"/>
      <c r="I595" s="1"/>
      <c r="J595" s="1"/>
      <c r="K595" s="9"/>
      <c r="L595" s="1"/>
      <c r="M595" s="319"/>
      <c r="N595" s="319">
        <v>5012026</v>
      </c>
      <c r="O595" s="319"/>
      <c r="P595" s="319"/>
      <c r="Q595" s="319"/>
      <c r="R595" s="319">
        <f t="shared" si="57"/>
        <v>0</v>
      </c>
      <c r="S595" s="319">
        <f t="shared" si="57"/>
        <v>0</v>
      </c>
      <c r="T595" s="319"/>
      <c r="U595" s="319"/>
      <c r="V595" s="319">
        <f t="shared" si="58"/>
        <v>0</v>
      </c>
      <c r="W595" s="319">
        <f t="shared" si="59"/>
        <v>0</v>
      </c>
      <c r="X595" s="319">
        <f t="shared" si="60"/>
        <v>0</v>
      </c>
      <c r="Y595" s="319">
        <f t="shared" si="61"/>
        <v>0</v>
      </c>
      <c r="Z595" s="319"/>
      <c r="AA595" s="319"/>
      <c r="AB595" s="319"/>
      <c r="AC595" s="319"/>
      <c r="AD595" s="319"/>
      <c r="AE595" s="319"/>
      <c r="AF595" s="319"/>
      <c r="AG595" s="319"/>
      <c r="AH595" s="319"/>
      <c r="AI595" s="319"/>
      <c r="AJ595" s="319"/>
      <c r="AK595" s="319"/>
      <c r="AL595" s="319"/>
      <c r="AM595" s="319"/>
      <c r="AN595" s="319"/>
      <c r="AO595" s="319"/>
      <c r="AP595" s="319"/>
      <c r="AQ595" s="319"/>
      <c r="AR595" s="319"/>
      <c r="AS595" s="319"/>
      <c r="AT595" s="319"/>
      <c r="AU595" s="319"/>
      <c r="AV595" s="319"/>
      <c r="AW595" s="319"/>
      <c r="AX595" s="319"/>
      <c r="AY595" s="319"/>
      <c r="AZ595" s="319"/>
      <c r="BA595" s="319"/>
      <c r="BB595" s="319"/>
      <c r="BC595" s="319"/>
      <c r="BD595" s="319"/>
      <c r="BE595" s="319"/>
      <c r="BF595" s="319"/>
      <c r="BG595" s="319"/>
      <c r="BH595" s="319"/>
      <c r="BI595" s="319"/>
      <c r="BJ595" s="319"/>
      <c r="BK595" s="319"/>
      <c r="BL595" s="319"/>
      <c r="BM595" s="319"/>
      <c r="BN595" s="319"/>
      <c r="BO595" s="319"/>
      <c r="BP595" s="319"/>
      <c r="BQ595" s="319"/>
      <c r="BR595" s="319"/>
      <c r="BS595" s="319"/>
      <c r="BT595" s="319"/>
      <c r="BU595" s="319"/>
      <c r="BV595" s="319"/>
      <c r="BW595" s="319"/>
      <c r="BX595" s="319"/>
      <c r="BY595" s="319"/>
      <c r="BZ595" s="319"/>
      <c r="CA595" s="319"/>
      <c r="CB595" s="319"/>
      <c r="CC595" s="319"/>
      <c r="CD595" s="319"/>
      <c r="CE595" s="319"/>
      <c r="CF595" s="319"/>
      <c r="CG595" s="319"/>
      <c r="CH595" s="319"/>
      <c r="CI595" s="319"/>
      <c r="CJ595" s="319"/>
      <c r="CK595" s="319"/>
    </row>
    <row r="596" spans="1:89" ht="13.5" hidden="1" customHeight="1">
      <c r="A596" s="12"/>
      <c r="B596" s="329"/>
      <c r="C596" s="83" t="str">
        <f t="shared" si="56"/>
        <v>Abril</v>
      </c>
      <c r="D596" s="416"/>
      <c r="E596" s="416"/>
      <c r="F596" s="1"/>
      <c r="G596" s="1"/>
      <c r="H596" s="1"/>
      <c r="I596" s="1"/>
      <c r="J596" s="1"/>
      <c r="K596" s="9"/>
      <c r="L596" s="1"/>
      <c r="M596" s="319"/>
      <c r="N596" s="319">
        <v>5012026</v>
      </c>
      <c r="O596" s="319"/>
      <c r="P596" s="319"/>
      <c r="Q596" s="319"/>
      <c r="R596" s="319">
        <f t="shared" si="57"/>
        <v>0</v>
      </c>
      <c r="S596" s="319">
        <f t="shared" si="57"/>
        <v>0</v>
      </c>
      <c r="T596" s="319"/>
      <c r="U596" s="319"/>
      <c r="V596" s="319">
        <f t="shared" si="58"/>
        <v>0</v>
      </c>
      <c r="W596" s="319">
        <f t="shared" si="59"/>
        <v>0</v>
      </c>
      <c r="X596" s="319">
        <f t="shared" si="60"/>
        <v>0</v>
      </c>
      <c r="Y596" s="319">
        <f t="shared" si="61"/>
        <v>0</v>
      </c>
      <c r="Z596" s="319"/>
      <c r="AA596" s="319"/>
      <c r="AB596" s="319"/>
      <c r="AC596" s="319"/>
      <c r="AD596" s="319"/>
      <c r="AE596" s="319"/>
      <c r="AF596" s="319"/>
      <c r="AG596" s="319"/>
      <c r="AH596" s="319"/>
      <c r="AI596" s="319"/>
      <c r="AJ596" s="319"/>
      <c r="AK596" s="319"/>
      <c r="AL596" s="319"/>
      <c r="AM596" s="319"/>
      <c r="AN596" s="319"/>
      <c r="AO596" s="319"/>
      <c r="AP596" s="319"/>
      <c r="AQ596" s="319"/>
      <c r="AR596" s="319"/>
      <c r="AS596" s="319"/>
      <c r="AT596" s="319"/>
      <c r="AU596" s="319"/>
      <c r="AV596" s="319"/>
      <c r="AW596" s="319"/>
      <c r="AX596" s="319"/>
      <c r="AY596" s="319"/>
      <c r="AZ596" s="319"/>
      <c r="BA596" s="319"/>
      <c r="BB596" s="319"/>
      <c r="BC596" s="319"/>
      <c r="BD596" s="319"/>
      <c r="BE596" s="319"/>
      <c r="BF596" s="319"/>
      <c r="BG596" s="319"/>
      <c r="BH596" s="319"/>
      <c r="BI596" s="319"/>
      <c r="BJ596" s="319"/>
      <c r="BK596" s="319"/>
      <c r="BL596" s="319"/>
      <c r="BM596" s="319"/>
      <c r="BN596" s="319"/>
      <c r="BO596" s="319"/>
      <c r="BP596" s="319"/>
      <c r="BQ596" s="319"/>
      <c r="BR596" s="319"/>
      <c r="BS596" s="319"/>
      <c r="BT596" s="319"/>
      <c r="BU596" s="319"/>
      <c r="BV596" s="319"/>
      <c r="BW596" s="319"/>
      <c r="BX596" s="319"/>
      <c r="BY596" s="319"/>
      <c r="BZ596" s="319"/>
      <c r="CA596" s="319"/>
      <c r="CB596" s="319"/>
      <c r="CC596" s="319"/>
      <c r="CD596" s="319"/>
      <c r="CE596" s="319"/>
      <c r="CF596" s="319"/>
      <c r="CG596" s="319"/>
      <c r="CH596" s="319"/>
      <c r="CI596" s="319"/>
      <c r="CJ596" s="319"/>
      <c r="CK596" s="319"/>
    </row>
    <row r="597" spans="1:89" ht="13.5" hidden="1" customHeight="1">
      <c r="A597" s="12"/>
      <c r="B597" s="329"/>
      <c r="C597" s="83" t="str">
        <f t="shared" si="56"/>
        <v>Maio</v>
      </c>
      <c r="D597" s="416"/>
      <c r="E597" s="416"/>
      <c r="F597" s="1"/>
      <c r="G597" s="1"/>
      <c r="H597" s="1"/>
      <c r="I597" s="1"/>
      <c r="J597" s="1"/>
      <c r="K597" s="9"/>
      <c r="L597" s="1"/>
      <c r="M597" s="319"/>
      <c r="N597" s="319">
        <v>5012026</v>
      </c>
      <c r="O597" s="319"/>
      <c r="P597" s="319"/>
      <c r="Q597" s="319"/>
      <c r="R597" s="319">
        <f t="shared" si="57"/>
        <v>0</v>
      </c>
      <c r="S597" s="319">
        <f t="shared" si="57"/>
        <v>0</v>
      </c>
      <c r="T597" s="319"/>
      <c r="U597" s="319"/>
      <c r="V597" s="319">
        <f t="shared" si="58"/>
        <v>0</v>
      </c>
      <c r="W597" s="319">
        <f t="shared" si="59"/>
        <v>0</v>
      </c>
      <c r="X597" s="319">
        <f t="shared" si="60"/>
        <v>0</v>
      </c>
      <c r="Y597" s="319">
        <f t="shared" si="61"/>
        <v>0</v>
      </c>
      <c r="Z597" s="319"/>
      <c r="AA597" s="319"/>
      <c r="AB597" s="319"/>
      <c r="AC597" s="319"/>
      <c r="AD597" s="319"/>
      <c r="AE597" s="319"/>
      <c r="AF597" s="319"/>
      <c r="AG597" s="319"/>
      <c r="AH597" s="319"/>
      <c r="AI597" s="319"/>
      <c r="AJ597" s="319"/>
      <c r="AK597" s="319"/>
      <c r="AL597" s="319"/>
      <c r="AM597" s="319"/>
      <c r="AN597" s="319"/>
      <c r="AO597" s="319"/>
      <c r="AP597" s="319"/>
      <c r="AQ597" s="319"/>
      <c r="AR597" s="319"/>
      <c r="AS597" s="319"/>
      <c r="AT597" s="319"/>
      <c r="AU597" s="319"/>
      <c r="AV597" s="319"/>
      <c r="AW597" s="319"/>
      <c r="AX597" s="319"/>
      <c r="AY597" s="319"/>
      <c r="AZ597" s="319"/>
      <c r="BA597" s="319"/>
      <c r="BB597" s="319"/>
      <c r="BC597" s="319"/>
      <c r="BD597" s="319"/>
      <c r="BE597" s="319"/>
      <c r="BF597" s="319"/>
      <c r="BG597" s="319"/>
      <c r="BH597" s="319"/>
      <c r="BI597" s="319"/>
      <c r="BJ597" s="319"/>
      <c r="BK597" s="319"/>
      <c r="BL597" s="319"/>
      <c r="BM597" s="319"/>
      <c r="BN597" s="319"/>
      <c r="BO597" s="319"/>
      <c r="BP597" s="319"/>
      <c r="BQ597" s="319"/>
      <c r="BR597" s="319"/>
      <c r="BS597" s="319"/>
      <c r="BT597" s="319"/>
      <c r="BU597" s="319"/>
      <c r="BV597" s="319"/>
      <c r="BW597" s="319"/>
      <c r="BX597" s="319"/>
      <c r="BY597" s="319"/>
      <c r="BZ597" s="319"/>
      <c r="CA597" s="319"/>
      <c r="CB597" s="319"/>
      <c r="CC597" s="319"/>
      <c r="CD597" s="319"/>
      <c r="CE597" s="319"/>
      <c r="CF597" s="319"/>
      <c r="CG597" s="319"/>
      <c r="CH597" s="319"/>
      <c r="CI597" s="319"/>
      <c r="CJ597" s="319"/>
      <c r="CK597" s="319"/>
    </row>
    <row r="598" spans="1:89" ht="13.5" hidden="1" customHeight="1">
      <c r="A598" s="12"/>
      <c r="B598" s="329"/>
      <c r="C598" s="83" t="str">
        <f t="shared" si="56"/>
        <v>Junho</v>
      </c>
      <c r="D598" s="416"/>
      <c r="E598" s="416"/>
      <c r="F598" s="1"/>
      <c r="G598" s="1"/>
      <c r="H598" s="1"/>
      <c r="I598" s="1"/>
      <c r="J598" s="1"/>
      <c r="K598" s="9"/>
      <c r="L598" s="1"/>
      <c r="M598" s="319"/>
      <c r="N598" s="319">
        <v>5012026</v>
      </c>
      <c r="O598" s="319"/>
      <c r="P598" s="319"/>
      <c r="Q598" s="319"/>
      <c r="R598" s="319">
        <f t="shared" si="57"/>
        <v>0</v>
      </c>
      <c r="S598" s="319">
        <f t="shared" si="57"/>
        <v>0</v>
      </c>
      <c r="T598" s="319"/>
      <c r="U598" s="319"/>
      <c r="V598" s="319">
        <f t="shared" si="58"/>
        <v>0</v>
      </c>
      <c r="W598" s="319">
        <f t="shared" si="59"/>
        <v>0</v>
      </c>
      <c r="X598" s="319">
        <f t="shared" si="60"/>
        <v>0</v>
      </c>
      <c r="Y598" s="319">
        <f t="shared" si="61"/>
        <v>0</v>
      </c>
      <c r="Z598" s="319"/>
      <c r="AA598" s="319"/>
      <c r="AB598" s="319"/>
      <c r="AC598" s="319"/>
      <c r="AD598" s="319"/>
      <c r="AE598" s="319"/>
      <c r="AF598" s="319"/>
      <c r="AG598" s="319"/>
      <c r="AH598" s="319"/>
      <c r="AI598" s="319"/>
      <c r="AJ598" s="319"/>
      <c r="AK598" s="319"/>
      <c r="AL598" s="319"/>
      <c r="AM598" s="319"/>
      <c r="AN598" s="319"/>
      <c r="AO598" s="319"/>
      <c r="AP598" s="319"/>
      <c r="AQ598" s="319"/>
      <c r="AR598" s="319"/>
      <c r="AS598" s="319"/>
      <c r="AT598" s="319"/>
      <c r="AU598" s="319"/>
      <c r="AV598" s="319"/>
      <c r="AW598" s="319"/>
      <c r="AX598" s="319"/>
      <c r="AY598" s="319"/>
      <c r="AZ598" s="319"/>
      <c r="BA598" s="319"/>
      <c r="BB598" s="319"/>
      <c r="BC598" s="319"/>
      <c r="BD598" s="319"/>
      <c r="BE598" s="319"/>
      <c r="BF598" s="319"/>
      <c r="BG598" s="319"/>
      <c r="BH598" s="319"/>
      <c r="BI598" s="319"/>
      <c r="BJ598" s="319"/>
      <c r="BK598" s="319"/>
      <c r="BL598" s="319"/>
      <c r="BM598" s="319"/>
      <c r="BN598" s="319"/>
      <c r="BO598" s="319"/>
      <c r="BP598" s="319"/>
      <c r="BQ598" s="319"/>
      <c r="BR598" s="319"/>
      <c r="BS598" s="319"/>
      <c r="BT598" s="319"/>
      <c r="BU598" s="319"/>
      <c r="BV598" s="319"/>
      <c r="BW598" s="319"/>
      <c r="BX598" s="319"/>
      <c r="BY598" s="319"/>
      <c r="BZ598" s="319"/>
      <c r="CA598" s="319"/>
      <c r="CB598" s="319"/>
      <c r="CC598" s="319"/>
      <c r="CD598" s="319"/>
      <c r="CE598" s="319"/>
      <c r="CF598" s="319"/>
      <c r="CG598" s="319"/>
      <c r="CH598" s="319"/>
      <c r="CI598" s="319"/>
      <c r="CJ598" s="319"/>
      <c r="CK598" s="319"/>
    </row>
    <row r="599" spans="1:89" ht="13.5" hidden="1" customHeight="1">
      <c r="A599" s="12"/>
      <c r="B599" s="329"/>
      <c r="C599" s="83" t="str">
        <f t="shared" si="56"/>
        <v>Julho</v>
      </c>
      <c r="D599" s="416"/>
      <c r="E599" s="416"/>
      <c r="F599" s="1"/>
      <c r="G599" s="1"/>
      <c r="H599" s="1"/>
      <c r="I599" s="1"/>
      <c r="J599" s="1"/>
      <c r="K599" s="9"/>
      <c r="L599" s="1"/>
      <c r="M599" s="319"/>
      <c r="N599" s="319">
        <v>5012026</v>
      </c>
      <c r="O599" s="319"/>
      <c r="P599" s="319"/>
      <c r="Q599" s="319"/>
      <c r="R599" s="319">
        <f t="shared" si="57"/>
        <v>0</v>
      </c>
      <c r="S599" s="319">
        <f t="shared" si="57"/>
        <v>0</v>
      </c>
      <c r="T599" s="319"/>
      <c r="U599" s="319"/>
      <c r="V599" s="319">
        <f t="shared" si="58"/>
        <v>0</v>
      </c>
      <c r="W599" s="319">
        <f t="shared" si="59"/>
        <v>0</v>
      </c>
      <c r="X599" s="319">
        <f t="shared" si="60"/>
        <v>0</v>
      </c>
      <c r="Y599" s="319">
        <f t="shared" si="61"/>
        <v>0</v>
      </c>
      <c r="Z599" s="319"/>
      <c r="AA599" s="319"/>
      <c r="AB599" s="319"/>
      <c r="AC599" s="319"/>
      <c r="AD599" s="319"/>
      <c r="AE599" s="319"/>
      <c r="AF599" s="319"/>
      <c r="AG599" s="319"/>
      <c r="AH599" s="319"/>
      <c r="AI599" s="319"/>
      <c r="AJ599" s="319"/>
      <c r="AK599" s="319"/>
      <c r="AL599" s="319"/>
      <c r="AM599" s="319"/>
      <c r="AN599" s="319"/>
      <c r="AO599" s="319"/>
      <c r="AP599" s="319"/>
      <c r="AQ599" s="319"/>
      <c r="AR599" s="319"/>
      <c r="AS599" s="319"/>
      <c r="AT599" s="319"/>
      <c r="AU599" s="319"/>
      <c r="AV599" s="319"/>
      <c r="AW599" s="319"/>
      <c r="AX599" s="319"/>
      <c r="AY599" s="319"/>
      <c r="AZ599" s="319"/>
      <c r="BA599" s="319"/>
      <c r="BB599" s="319"/>
      <c r="BC599" s="319"/>
      <c r="BD599" s="319"/>
      <c r="BE599" s="319"/>
      <c r="BF599" s="319"/>
      <c r="BG599" s="319"/>
      <c r="BH599" s="319"/>
      <c r="BI599" s="319"/>
      <c r="BJ599" s="319"/>
      <c r="BK599" s="319"/>
      <c r="BL599" s="319"/>
      <c r="BM599" s="319"/>
      <c r="BN599" s="319"/>
      <c r="BO599" s="319"/>
      <c r="BP599" s="319"/>
      <c r="BQ599" s="319"/>
      <c r="BR599" s="319"/>
      <c r="BS599" s="319"/>
      <c r="BT599" s="319"/>
      <c r="BU599" s="319"/>
      <c r="BV599" s="319"/>
      <c r="BW599" s="319"/>
      <c r="BX599" s="319"/>
      <c r="BY599" s="319"/>
      <c r="BZ599" s="319"/>
      <c r="CA599" s="319"/>
      <c r="CB599" s="319"/>
      <c r="CC599" s="319"/>
      <c r="CD599" s="319"/>
      <c r="CE599" s="319"/>
      <c r="CF599" s="319"/>
      <c r="CG599" s="319"/>
      <c r="CH599" s="319"/>
      <c r="CI599" s="319"/>
      <c r="CJ599" s="319"/>
      <c r="CK599" s="319"/>
    </row>
    <row r="600" spans="1:89" ht="13.2" hidden="1">
      <c r="A600" s="12"/>
      <c r="B600" s="329"/>
      <c r="C600" s="83" t="str">
        <f t="shared" si="56"/>
        <v>Agosto</v>
      </c>
      <c r="D600" s="416"/>
      <c r="E600" s="416"/>
      <c r="F600" s="1"/>
      <c r="G600" s="1"/>
      <c r="H600" s="1"/>
      <c r="I600" s="1"/>
      <c r="J600" s="1"/>
      <c r="K600" s="9"/>
      <c r="L600" s="1"/>
      <c r="M600" s="319"/>
      <c r="N600" s="319">
        <v>5012026</v>
      </c>
      <c r="O600" s="319"/>
      <c r="P600" s="319"/>
      <c r="Q600" s="319"/>
      <c r="R600" s="319">
        <f t="shared" si="57"/>
        <v>0</v>
      </c>
      <c r="S600" s="319">
        <f t="shared" si="57"/>
        <v>0</v>
      </c>
      <c r="T600" s="319"/>
      <c r="U600" s="319"/>
      <c r="V600" s="319">
        <f t="shared" si="58"/>
        <v>0</v>
      </c>
      <c r="W600" s="319">
        <f t="shared" si="59"/>
        <v>0</v>
      </c>
      <c r="X600" s="319">
        <f t="shared" si="60"/>
        <v>0</v>
      </c>
      <c r="Y600" s="319">
        <f t="shared" si="61"/>
        <v>0</v>
      </c>
      <c r="Z600" s="319"/>
      <c r="AA600" s="319"/>
      <c r="AB600" s="319"/>
      <c r="AC600" s="319"/>
      <c r="AD600" s="319"/>
      <c r="AE600" s="319"/>
      <c r="AF600" s="319"/>
      <c r="AG600" s="319"/>
      <c r="AH600" s="319"/>
      <c r="AI600" s="319"/>
      <c r="AJ600" s="319"/>
      <c r="AK600" s="319"/>
      <c r="AL600" s="319"/>
      <c r="AM600" s="319"/>
      <c r="AN600" s="319"/>
      <c r="AO600" s="319"/>
      <c r="AP600" s="319"/>
      <c r="AQ600" s="319"/>
      <c r="AR600" s="319"/>
      <c r="AS600" s="319"/>
      <c r="AT600" s="319"/>
      <c r="AU600" s="319"/>
      <c r="AV600" s="319"/>
      <c r="AW600" s="319"/>
      <c r="AX600" s="319"/>
      <c r="AY600" s="319"/>
      <c r="AZ600" s="319"/>
      <c r="BA600" s="319"/>
      <c r="BB600" s="319"/>
      <c r="BC600" s="319"/>
      <c r="BD600" s="319"/>
      <c r="BE600" s="319"/>
      <c r="BF600" s="319"/>
      <c r="BG600" s="319"/>
      <c r="BH600" s="319"/>
      <c r="BI600" s="319"/>
      <c r="BJ600" s="319"/>
      <c r="BK600" s="319"/>
      <c r="BL600" s="319"/>
      <c r="BM600" s="319"/>
      <c r="BN600" s="319"/>
      <c r="BO600" s="319"/>
      <c r="BP600" s="319"/>
      <c r="BQ600" s="319"/>
      <c r="BR600" s="319"/>
      <c r="BS600" s="319"/>
      <c r="BT600" s="319"/>
      <c r="BU600" s="319"/>
      <c r="BV600" s="319"/>
      <c r="BW600" s="319"/>
      <c r="BX600" s="319"/>
      <c r="BY600" s="319"/>
      <c r="BZ600" s="319"/>
      <c r="CA600" s="319"/>
      <c r="CB600" s="319"/>
      <c r="CC600" s="319"/>
      <c r="CD600" s="319"/>
      <c r="CE600" s="319"/>
      <c r="CF600" s="319"/>
      <c r="CG600" s="319"/>
      <c r="CH600" s="319"/>
      <c r="CI600" s="319"/>
      <c r="CJ600" s="319"/>
      <c r="CK600" s="319"/>
    </row>
    <row r="601" spans="1:89" ht="13.5" hidden="1" customHeight="1">
      <c r="A601" s="12"/>
      <c r="B601" s="329"/>
      <c r="C601" s="83" t="str">
        <f t="shared" si="56"/>
        <v>Setembro</v>
      </c>
      <c r="D601" s="416"/>
      <c r="E601" s="416"/>
      <c r="F601" s="1"/>
      <c r="G601" s="1"/>
      <c r="H601" s="1"/>
      <c r="I601" s="1"/>
      <c r="J601" s="1"/>
      <c r="K601" s="9"/>
      <c r="L601" s="1"/>
      <c r="M601" s="319"/>
      <c r="N601" s="319">
        <v>5012026</v>
      </c>
      <c r="O601" s="319"/>
      <c r="P601" s="319"/>
      <c r="Q601" s="319"/>
      <c r="R601" s="319">
        <f t="shared" si="57"/>
        <v>0</v>
      </c>
      <c r="S601" s="319">
        <f t="shared" si="57"/>
        <v>0</v>
      </c>
      <c r="T601" s="319"/>
      <c r="U601" s="319"/>
      <c r="V601" s="319">
        <f t="shared" si="58"/>
        <v>0</v>
      </c>
      <c r="W601" s="319">
        <f t="shared" si="59"/>
        <v>0</v>
      </c>
      <c r="X601" s="319">
        <f t="shared" si="60"/>
        <v>0</v>
      </c>
      <c r="Y601" s="319">
        <f t="shared" si="61"/>
        <v>0</v>
      </c>
      <c r="Z601" s="319"/>
      <c r="AA601" s="319"/>
      <c r="AB601" s="319"/>
      <c r="AC601" s="319"/>
      <c r="AD601" s="319"/>
      <c r="AE601" s="319"/>
      <c r="AF601" s="319"/>
      <c r="AG601" s="319"/>
      <c r="AH601" s="319"/>
      <c r="AI601" s="319"/>
      <c r="AJ601" s="319"/>
      <c r="AK601" s="319"/>
      <c r="AL601" s="319"/>
      <c r="AM601" s="319"/>
      <c r="AN601" s="319"/>
      <c r="AO601" s="319"/>
      <c r="AP601" s="319"/>
      <c r="AQ601" s="319"/>
      <c r="AR601" s="319"/>
      <c r="AS601" s="319"/>
      <c r="AT601" s="319"/>
      <c r="AU601" s="319"/>
      <c r="AV601" s="319"/>
      <c r="AW601" s="319"/>
      <c r="AX601" s="319"/>
      <c r="AY601" s="319"/>
      <c r="AZ601" s="319"/>
      <c r="BA601" s="319"/>
      <c r="BB601" s="319"/>
      <c r="BC601" s="319"/>
      <c r="BD601" s="319"/>
      <c r="BE601" s="319"/>
      <c r="BF601" s="319"/>
      <c r="BG601" s="319"/>
      <c r="BH601" s="319"/>
      <c r="BI601" s="319"/>
      <c r="BJ601" s="319"/>
      <c r="BK601" s="319"/>
      <c r="BL601" s="319"/>
      <c r="BM601" s="319"/>
      <c r="BN601" s="319"/>
      <c r="BO601" s="319"/>
      <c r="BP601" s="319"/>
      <c r="BQ601" s="319"/>
      <c r="BR601" s="319"/>
      <c r="BS601" s="319"/>
      <c r="BT601" s="319"/>
      <c r="BU601" s="319"/>
      <c r="BV601" s="319"/>
      <c r="BW601" s="319"/>
      <c r="BX601" s="319"/>
      <c r="BY601" s="319"/>
      <c r="BZ601" s="319"/>
      <c r="CA601" s="319"/>
      <c r="CB601" s="319"/>
      <c r="CC601" s="319"/>
      <c r="CD601" s="319"/>
      <c r="CE601" s="319"/>
      <c r="CF601" s="319"/>
      <c r="CG601" s="319"/>
      <c r="CH601" s="319"/>
      <c r="CI601" s="319"/>
      <c r="CJ601" s="319"/>
      <c r="CK601" s="319"/>
    </row>
    <row r="602" spans="1:89" ht="13.5" hidden="1" customHeight="1">
      <c r="A602" s="12"/>
      <c r="B602" s="329"/>
      <c r="C602" s="83" t="str">
        <f t="shared" si="56"/>
        <v>Outubro</v>
      </c>
      <c r="D602" s="416"/>
      <c r="E602" s="416"/>
      <c r="F602" s="1"/>
      <c r="G602" s="1"/>
      <c r="H602" s="1"/>
      <c r="I602" s="1"/>
      <c r="J602" s="1"/>
      <c r="K602" s="9"/>
      <c r="L602" s="1"/>
      <c r="M602" s="319"/>
      <c r="N602" s="319">
        <v>5012026</v>
      </c>
      <c r="O602" s="319"/>
      <c r="P602" s="319"/>
      <c r="Q602" s="319"/>
      <c r="R602" s="319">
        <f t="shared" si="57"/>
        <v>0</v>
      </c>
      <c r="S602" s="319">
        <f t="shared" si="57"/>
        <v>0</v>
      </c>
      <c r="T602" s="319"/>
      <c r="U602" s="319"/>
      <c r="V602" s="319">
        <f t="shared" si="58"/>
        <v>0</v>
      </c>
      <c r="W602" s="319">
        <f t="shared" si="59"/>
        <v>0</v>
      </c>
      <c r="X602" s="319">
        <f t="shared" si="60"/>
        <v>0</v>
      </c>
      <c r="Y602" s="319">
        <f t="shared" si="61"/>
        <v>0</v>
      </c>
      <c r="Z602" s="319"/>
      <c r="AA602" s="319"/>
      <c r="AB602" s="319"/>
      <c r="AC602" s="319"/>
      <c r="AD602" s="319"/>
      <c r="AE602" s="319"/>
      <c r="AF602" s="319"/>
      <c r="AG602" s="319"/>
      <c r="AH602" s="319"/>
      <c r="AI602" s="319"/>
      <c r="AJ602" s="319"/>
      <c r="AK602" s="319"/>
      <c r="AL602" s="319"/>
      <c r="AM602" s="319"/>
      <c r="AN602" s="319"/>
      <c r="AO602" s="319"/>
      <c r="AP602" s="319"/>
      <c r="AQ602" s="319"/>
      <c r="AR602" s="319"/>
      <c r="AS602" s="319"/>
      <c r="AT602" s="319"/>
      <c r="AU602" s="319"/>
      <c r="AV602" s="319"/>
      <c r="AW602" s="319"/>
      <c r="AX602" s="319"/>
      <c r="AY602" s="319"/>
      <c r="AZ602" s="319"/>
      <c r="BA602" s="319"/>
      <c r="BB602" s="319"/>
      <c r="BC602" s="319"/>
      <c r="BD602" s="319"/>
      <c r="BE602" s="319"/>
      <c r="BF602" s="319"/>
      <c r="BG602" s="319"/>
      <c r="BH602" s="319"/>
      <c r="BI602" s="319"/>
      <c r="BJ602" s="319"/>
      <c r="BK602" s="319"/>
      <c r="BL602" s="319"/>
      <c r="BM602" s="319"/>
      <c r="BN602" s="319"/>
      <c r="BO602" s="319"/>
      <c r="BP602" s="319"/>
      <c r="BQ602" s="319"/>
      <c r="BR602" s="319"/>
      <c r="BS602" s="319"/>
      <c r="BT602" s="319"/>
      <c r="BU602" s="319"/>
      <c r="BV602" s="319"/>
      <c r="BW602" s="319"/>
      <c r="BX602" s="319"/>
      <c r="BY602" s="319"/>
      <c r="BZ602" s="319"/>
      <c r="CA602" s="319"/>
      <c r="CB602" s="319"/>
      <c r="CC602" s="319"/>
      <c r="CD602" s="319"/>
      <c r="CE602" s="319"/>
      <c r="CF602" s="319"/>
      <c r="CG602" s="319"/>
      <c r="CH602" s="319"/>
      <c r="CI602" s="319"/>
      <c r="CJ602" s="319"/>
      <c r="CK602" s="319"/>
    </row>
    <row r="603" spans="1:89" ht="13.5" hidden="1" customHeight="1">
      <c r="A603" s="12"/>
      <c r="B603" s="329"/>
      <c r="C603" s="83" t="str">
        <f t="shared" si="56"/>
        <v>Novembro</v>
      </c>
      <c r="D603" s="416"/>
      <c r="E603" s="416"/>
      <c r="F603" s="1"/>
      <c r="G603" s="1"/>
      <c r="H603" s="1"/>
      <c r="I603" s="1"/>
      <c r="J603" s="1"/>
      <c r="K603" s="9"/>
      <c r="L603" s="1"/>
      <c r="M603" s="319"/>
      <c r="N603" s="319">
        <v>5012026</v>
      </c>
      <c r="O603" s="319"/>
      <c r="P603" s="319"/>
      <c r="Q603" s="319"/>
      <c r="R603" s="319">
        <f t="shared" si="57"/>
        <v>0</v>
      </c>
      <c r="S603" s="319">
        <f t="shared" si="57"/>
        <v>0</v>
      </c>
      <c r="T603" s="319"/>
      <c r="U603" s="319"/>
      <c r="V603" s="319">
        <f t="shared" si="58"/>
        <v>0</v>
      </c>
      <c r="W603" s="319">
        <f t="shared" si="59"/>
        <v>0</v>
      </c>
      <c r="X603" s="319">
        <f t="shared" si="60"/>
        <v>0</v>
      </c>
      <c r="Y603" s="319">
        <f t="shared" si="61"/>
        <v>0</v>
      </c>
      <c r="Z603" s="319"/>
      <c r="AA603" s="319"/>
      <c r="AB603" s="319"/>
      <c r="AC603" s="319"/>
      <c r="AD603" s="319"/>
      <c r="AE603" s="319"/>
      <c r="AF603" s="319"/>
      <c r="AG603" s="319"/>
      <c r="AH603" s="319"/>
      <c r="AI603" s="319"/>
      <c r="AJ603" s="319"/>
      <c r="AK603" s="319"/>
      <c r="AL603" s="319"/>
      <c r="AM603" s="319"/>
      <c r="AN603" s="319"/>
      <c r="AO603" s="319"/>
      <c r="AP603" s="319"/>
      <c r="AQ603" s="319"/>
      <c r="AR603" s="319"/>
      <c r="AS603" s="319"/>
      <c r="AT603" s="319"/>
      <c r="AU603" s="319"/>
      <c r="AV603" s="319"/>
      <c r="AW603" s="319"/>
      <c r="AX603" s="319"/>
      <c r="AY603" s="319"/>
      <c r="AZ603" s="319"/>
      <c r="BA603" s="319"/>
      <c r="BB603" s="319"/>
      <c r="BC603" s="319"/>
      <c r="BD603" s="319"/>
      <c r="BE603" s="319"/>
      <c r="BF603" s="319"/>
      <c r="BG603" s="319"/>
      <c r="BH603" s="319"/>
      <c r="BI603" s="319"/>
      <c r="BJ603" s="319"/>
      <c r="BK603" s="319"/>
      <c r="BL603" s="319"/>
      <c r="BM603" s="319"/>
      <c r="BN603" s="319"/>
      <c r="BO603" s="319"/>
      <c r="BP603" s="319"/>
      <c r="BQ603" s="319"/>
      <c r="BR603" s="319"/>
      <c r="BS603" s="319"/>
      <c r="BT603" s="319"/>
      <c r="BU603" s="319"/>
      <c r="BV603" s="319"/>
      <c r="BW603" s="319"/>
      <c r="BX603" s="319"/>
      <c r="BY603" s="319"/>
      <c r="BZ603" s="319"/>
      <c r="CA603" s="319"/>
      <c r="CB603" s="319"/>
      <c r="CC603" s="319"/>
      <c r="CD603" s="319"/>
      <c r="CE603" s="319"/>
      <c r="CF603" s="319"/>
      <c r="CG603" s="319"/>
      <c r="CH603" s="319"/>
      <c r="CI603" s="319"/>
      <c r="CJ603" s="319"/>
      <c r="CK603" s="319"/>
    </row>
    <row r="604" spans="1:89" ht="13.5" hidden="1" customHeight="1">
      <c r="A604" s="12"/>
      <c r="B604" s="329"/>
      <c r="C604" s="83" t="str">
        <f t="shared" si="56"/>
        <v>Dezembro</v>
      </c>
      <c r="D604" s="416"/>
      <c r="E604" s="416"/>
      <c r="F604" s="1"/>
      <c r="G604" s="1"/>
      <c r="H604" s="1"/>
      <c r="I604" s="1"/>
      <c r="J604" s="1"/>
      <c r="K604" s="9"/>
      <c r="L604" s="1"/>
      <c r="M604" s="319"/>
      <c r="N604" s="319">
        <v>5012026</v>
      </c>
      <c r="O604" s="319"/>
      <c r="P604" s="319"/>
      <c r="Q604" s="319"/>
      <c r="R604" s="319"/>
      <c r="S604" s="319"/>
      <c r="T604" s="319"/>
      <c r="U604" s="319"/>
      <c r="V604" s="319"/>
      <c r="W604" s="319"/>
      <c r="X604" s="319"/>
      <c r="Y604" s="319"/>
      <c r="Z604" s="319"/>
      <c r="AA604" s="319"/>
      <c r="AB604" s="319"/>
      <c r="AC604" s="319"/>
      <c r="AD604" s="319"/>
      <c r="AE604" s="319"/>
      <c r="AF604" s="319"/>
      <c r="AG604" s="319"/>
      <c r="AH604" s="319"/>
      <c r="AI604" s="319"/>
      <c r="AJ604" s="319"/>
      <c r="AK604" s="319"/>
      <c r="AL604" s="319"/>
      <c r="AM604" s="319"/>
      <c r="AN604" s="319"/>
      <c r="AO604" s="319"/>
      <c r="AP604" s="319"/>
      <c r="AQ604" s="319"/>
      <c r="AR604" s="319"/>
      <c r="AS604" s="319"/>
      <c r="AT604" s="319"/>
      <c r="AU604" s="319"/>
      <c r="AV604" s="319"/>
      <c r="AW604" s="319"/>
      <c r="AX604" s="319"/>
      <c r="AY604" s="319"/>
      <c r="AZ604" s="319"/>
      <c r="BA604" s="319"/>
      <c r="BB604" s="319"/>
      <c r="BC604" s="319"/>
      <c r="BD604" s="319"/>
      <c r="BE604" s="319"/>
      <c r="BF604" s="319"/>
      <c r="BG604" s="319"/>
      <c r="BH604" s="319"/>
      <c r="BI604" s="319"/>
      <c r="BJ604" s="319"/>
      <c r="BK604" s="319"/>
      <c r="BL604" s="319"/>
      <c r="BM604" s="319"/>
      <c r="BN604" s="319"/>
      <c r="BO604" s="319"/>
      <c r="BP604" s="319"/>
      <c r="BQ604" s="319"/>
      <c r="BR604" s="319"/>
      <c r="BS604" s="319"/>
      <c r="BT604" s="319"/>
      <c r="BU604" s="319"/>
      <c r="BV604" s="319"/>
      <c r="BW604" s="319"/>
      <c r="BX604" s="319"/>
      <c r="BY604" s="319"/>
      <c r="BZ604" s="319"/>
      <c r="CA604" s="319"/>
      <c r="CB604" s="319"/>
      <c r="CC604" s="319"/>
      <c r="CD604" s="319"/>
      <c r="CE604" s="319"/>
      <c r="CF604" s="319"/>
      <c r="CG604" s="319"/>
      <c r="CH604" s="319"/>
      <c r="CI604" s="319"/>
      <c r="CJ604" s="319"/>
      <c r="CK604" s="319"/>
    </row>
    <row r="605" spans="1:89" ht="12.75" hidden="1" customHeight="1">
      <c r="A605" s="12"/>
      <c r="B605" s="56"/>
      <c r="C605" s="1"/>
      <c r="D605" s="358"/>
      <c r="E605" s="358"/>
      <c r="F605" s="1"/>
      <c r="G605" s="1"/>
      <c r="H605" s="1"/>
      <c r="I605" s="1"/>
      <c r="J605" s="1"/>
      <c r="K605" s="9"/>
      <c r="L605" s="1"/>
      <c r="M605" s="319"/>
      <c r="N605" s="319">
        <v>5012026</v>
      </c>
      <c r="O605" s="319"/>
      <c r="P605" s="319"/>
      <c r="Q605" s="319"/>
      <c r="R605" s="319"/>
      <c r="S605" s="319"/>
      <c r="T605" s="319"/>
      <c r="U605" s="319"/>
      <c r="V605" s="319"/>
      <c r="W605" s="319"/>
      <c r="X605" s="319"/>
      <c r="Y605" s="319"/>
      <c r="Z605" s="319"/>
      <c r="AA605" s="319"/>
      <c r="AB605" s="319"/>
      <c r="AC605" s="319"/>
      <c r="AD605" s="319"/>
      <c r="AE605" s="319"/>
      <c r="AF605" s="319"/>
      <c r="AG605" s="319"/>
      <c r="AH605" s="319"/>
      <c r="AI605" s="319"/>
      <c r="AJ605" s="319"/>
      <c r="AK605" s="319"/>
      <c r="AL605" s="319"/>
      <c r="AM605" s="319"/>
      <c r="AN605" s="319"/>
      <c r="AO605" s="319"/>
      <c r="AP605" s="319"/>
      <c r="AQ605" s="319"/>
      <c r="AR605" s="319"/>
      <c r="AS605" s="319"/>
      <c r="AT605" s="319"/>
      <c r="AU605" s="319"/>
      <c r="AV605" s="319"/>
      <c r="AW605" s="319"/>
      <c r="AX605" s="319"/>
      <c r="AY605" s="319"/>
      <c r="AZ605" s="319"/>
      <c r="BA605" s="319"/>
      <c r="BB605" s="319"/>
      <c r="BC605" s="319"/>
      <c r="BD605" s="319"/>
      <c r="BE605" s="319"/>
      <c r="BF605" s="319"/>
      <c r="BG605" s="319"/>
      <c r="BH605" s="319"/>
      <c r="BI605" s="319"/>
      <c r="BJ605" s="319"/>
      <c r="BK605" s="319"/>
      <c r="BL605" s="319"/>
      <c r="BM605" s="319"/>
      <c r="BN605" s="319"/>
      <c r="BO605" s="319"/>
      <c r="BP605" s="319"/>
      <c r="BQ605" s="319"/>
      <c r="BR605" s="319"/>
      <c r="BS605" s="319"/>
      <c r="BT605" s="319"/>
      <c r="BU605" s="319"/>
      <c r="BV605" s="319"/>
      <c r="BW605" s="319"/>
      <c r="BX605" s="319"/>
      <c r="BY605" s="319"/>
      <c r="BZ605" s="319"/>
      <c r="CA605" s="319"/>
      <c r="CB605" s="319"/>
      <c r="CC605" s="319"/>
      <c r="CD605" s="319"/>
      <c r="CE605" s="319"/>
      <c r="CF605" s="319"/>
      <c r="CG605" s="319"/>
      <c r="CH605" s="319"/>
      <c r="CI605" s="319"/>
      <c r="CJ605" s="319"/>
      <c r="CK605" s="319"/>
    </row>
    <row r="606" spans="1:89" ht="25.5" hidden="1" customHeight="1">
      <c r="A606" s="12"/>
      <c r="B606" s="329"/>
      <c r="C606" s="82" t="str">
        <f>C576</f>
        <v>Unidade</v>
      </c>
      <c r="D606" s="359" t="str">
        <f>D576</f>
        <v>Caso de referência</v>
      </c>
      <c r="E606" s="359" t="str">
        <f>E576</f>
        <v>Caso proposto</v>
      </c>
      <c r="F606" s="82" t="str">
        <f>F576</f>
        <v>Economia de energia</v>
      </c>
      <c r="G606" s="82" t="str">
        <f>G576</f>
        <v>Custo inicial incremental</v>
      </c>
      <c r="H606" s="1"/>
      <c r="I606" s="1"/>
      <c r="J606" s="1"/>
      <c r="K606" s="9"/>
      <c r="L606" s="1"/>
      <c r="M606" s="319"/>
      <c r="N606" s="319">
        <v>5070038</v>
      </c>
      <c r="O606" s="319"/>
      <c r="P606" s="319"/>
      <c r="Q606" s="319"/>
      <c r="R606" s="319"/>
      <c r="S606" s="319"/>
      <c r="T606" s="319"/>
      <c r="U606" s="319"/>
      <c r="V606" s="319"/>
      <c r="W606" s="319"/>
      <c r="X606" s="319"/>
      <c r="Y606" s="319"/>
      <c r="Z606" s="319"/>
      <c r="AA606" s="319"/>
      <c r="AB606" s="319"/>
      <c r="AC606" s="319"/>
      <c r="AD606" s="319"/>
      <c r="AE606" s="319"/>
      <c r="AF606" s="319"/>
      <c r="AG606" s="319"/>
      <c r="AH606" s="319"/>
      <c r="AI606" s="319"/>
      <c r="AJ606" s="319"/>
      <c r="AK606" s="319"/>
      <c r="AL606" s="319"/>
      <c r="AM606" s="319"/>
      <c r="AN606" s="319"/>
      <c r="AO606" s="319"/>
      <c r="AP606" s="319"/>
      <c r="AQ606" s="319"/>
      <c r="AR606" s="319"/>
      <c r="AS606" s="319"/>
      <c r="AT606" s="319"/>
      <c r="AU606" s="319"/>
      <c r="AV606" s="319"/>
      <c r="AW606" s="319"/>
      <c r="AX606" s="319"/>
      <c r="AY606" s="319"/>
      <c r="AZ606" s="319"/>
      <c r="BA606" s="319"/>
      <c r="BB606" s="319"/>
      <c r="BC606" s="319"/>
      <c r="BD606" s="319"/>
      <c r="BE606" s="319"/>
      <c r="BF606" s="319"/>
      <c r="BG606" s="319"/>
      <c r="BH606" s="319"/>
      <c r="BI606" s="319"/>
      <c r="BJ606" s="319"/>
      <c r="BK606" s="319"/>
      <c r="BL606" s="319"/>
      <c r="BM606" s="319"/>
      <c r="BN606" s="319"/>
      <c r="BO606" s="319"/>
      <c r="BP606" s="319"/>
      <c r="BQ606" s="319"/>
      <c r="BR606" s="319"/>
      <c r="BS606" s="319"/>
      <c r="BT606" s="319"/>
      <c r="BU606" s="319"/>
      <c r="BV606" s="319"/>
      <c r="BW606" s="319"/>
      <c r="BX606" s="319"/>
      <c r="BY606" s="319"/>
      <c r="BZ606" s="319"/>
      <c r="CA606" s="319"/>
      <c r="CB606" s="319"/>
      <c r="CC606" s="319"/>
      <c r="CD606" s="319"/>
      <c r="CE606" s="319"/>
      <c r="CF606" s="319"/>
      <c r="CG606" s="319"/>
      <c r="CH606" s="319"/>
      <c r="CI606" s="319"/>
      <c r="CJ606" s="319"/>
      <c r="CK606" s="319"/>
    </row>
    <row r="607" spans="1:89" ht="13.5" hidden="1" customHeight="1">
      <c r="A607" s="12"/>
      <c r="B607" s="56" t="str">
        <f>B577</f>
        <v>Demanda de calor</v>
      </c>
      <c r="C607" s="29" t="str">
        <f>C577</f>
        <v>MWh</v>
      </c>
      <c r="D607" s="745">
        <f>IF(Unit=TRUE,1,K1185)*R607</f>
        <v>0</v>
      </c>
      <c r="E607" s="745">
        <f>IF(Unit=TRUE,1,K1185)*S607</f>
        <v>0</v>
      </c>
      <c r="F607" s="96" t="e">
        <f>1-S607/R607</f>
        <v>#DIV/0!</v>
      </c>
      <c r="G607" s="1346"/>
      <c r="H607" s="1"/>
      <c r="I607" s="1"/>
      <c r="J607" s="1"/>
      <c r="K607" s="9"/>
      <c r="L607" s="1"/>
      <c r="M607" s="319"/>
      <c r="N607" s="319">
        <v>5070038</v>
      </c>
      <c r="O607" s="319"/>
      <c r="P607" s="319"/>
      <c r="Q607" s="319" t="s">
        <v>2745</v>
      </c>
      <c r="R607" s="319">
        <f>IF(EE_11_M=TRUE,SUMPRODUCT(D593:D604,V592:V603,R592:R603)+SUMPRODUCT(D593:D604,W592:W603,R592:R603),SUMPRODUCT(V592:V603,R592:R603)+SUMPRODUCT(W592:W603,R592:R603))*0.00432*R585/3600</f>
        <v>0</v>
      </c>
      <c r="S607" s="319">
        <f>IF(EE_11_M=TRUE,SUMPRODUCT(E593:E604,X592:X603,S592:S603)+SUMPRODUCT(E593:E604,Y592:Y603,S592:S603),SUMPRODUCT(X592:X603,S592:S603)+SUMPRODUCT(Y592:Y603,S592:S603))*0.00432*S585/3600</f>
        <v>0</v>
      </c>
      <c r="T607" s="319"/>
      <c r="U607" s="319"/>
      <c r="V607" s="319"/>
      <c r="W607" s="319"/>
      <c r="X607" s="319"/>
      <c r="Y607" s="319"/>
      <c r="Z607" s="319"/>
      <c r="AA607" s="319"/>
      <c r="AB607" s="319"/>
      <c r="AC607" s="319"/>
      <c r="AD607" s="319"/>
      <c r="AE607" s="319"/>
      <c r="AF607" s="319"/>
      <c r="AG607" s="319"/>
      <c r="AH607" s="319"/>
      <c r="AI607" s="319"/>
      <c r="AJ607" s="319"/>
      <c r="AK607" s="319"/>
      <c r="AL607" s="319"/>
      <c r="AM607" s="319"/>
      <c r="AN607" s="319"/>
      <c r="AO607" s="319"/>
      <c r="AP607" s="319"/>
      <c r="AQ607" s="319"/>
      <c r="AR607" s="319"/>
      <c r="AS607" s="319"/>
      <c r="AT607" s="319"/>
      <c r="AU607" s="319"/>
      <c r="AV607" s="319"/>
      <c r="AW607" s="319"/>
      <c r="AX607" s="319"/>
      <c r="AY607" s="319"/>
      <c r="AZ607" s="319"/>
      <c r="BA607" s="319"/>
      <c r="BB607" s="319"/>
      <c r="BC607" s="319"/>
      <c r="BD607" s="319"/>
      <c r="BE607" s="319"/>
      <c r="BF607" s="319"/>
      <c r="BG607" s="319"/>
      <c r="BH607" s="319"/>
      <c r="BI607" s="319"/>
      <c r="BJ607" s="319"/>
      <c r="BK607" s="319"/>
      <c r="BL607" s="319"/>
      <c r="BM607" s="319"/>
      <c r="BN607" s="319"/>
      <c r="BO607" s="319"/>
      <c r="BP607" s="319"/>
      <c r="BQ607" s="319"/>
      <c r="BR607" s="319"/>
      <c r="BS607" s="319"/>
      <c r="BT607" s="319"/>
      <c r="BU607" s="319"/>
      <c r="BV607" s="319"/>
      <c r="BW607" s="319"/>
      <c r="BX607" s="319"/>
      <c r="BY607" s="319"/>
      <c r="BZ607" s="319"/>
      <c r="CA607" s="319"/>
      <c r="CB607" s="319"/>
      <c r="CC607" s="319"/>
      <c r="CD607" s="319"/>
      <c r="CE607" s="319"/>
      <c r="CF607" s="319"/>
      <c r="CG607" s="319"/>
      <c r="CH607" s="319"/>
      <c r="CI607" s="319"/>
      <c r="CJ607" s="319"/>
      <c r="CK607" s="319"/>
    </row>
    <row r="608" spans="1:89" ht="13.2" hidden="1">
      <c r="A608" s="12"/>
      <c r="B608" s="329"/>
      <c r="C608" s="329"/>
      <c r="D608" s="837"/>
      <c r="E608" s="837"/>
      <c r="F608" s="329"/>
      <c r="G608" s="329"/>
      <c r="H608" s="1"/>
      <c r="I608" s="1"/>
      <c r="J608" s="1"/>
      <c r="K608" s="9"/>
      <c r="L608" s="1"/>
      <c r="M608" s="319"/>
      <c r="N608" s="319">
        <v>5070038</v>
      </c>
      <c r="O608" s="319"/>
      <c r="P608" s="319"/>
      <c r="Q608" s="319"/>
      <c r="R608" s="319"/>
      <c r="S608" s="319"/>
      <c r="T608" s="319"/>
      <c r="U608" s="319"/>
      <c r="V608" s="319"/>
      <c r="W608" s="319"/>
      <c r="X608" s="319"/>
      <c r="Y608" s="319"/>
      <c r="Z608" s="319"/>
      <c r="AA608" s="319"/>
      <c r="AB608" s="319"/>
      <c r="AC608" s="319"/>
      <c r="AD608" s="319"/>
      <c r="AE608" s="319"/>
      <c r="AF608" s="319"/>
      <c r="AG608" s="319"/>
      <c r="AH608" s="319"/>
      <c r="AI608" s="319"/>
      <c r="AJ608" s="319"/>
      <c r="AK608" s="319"/>
      <c r="AL608" s="319"/>
      <c r="AM608" s="319"/>
      <c r="AN608" s="319"/>
      <c r="AO608" s="319"/>
      <c r="AP608" s="319"/>
      <c r="AQ608" s="319"/>
      <c r="AR608" s="319"/>
      <c r="AS608" s="319"/>
      <c r="AT608" s="319"/>
      <c r="AU608" s="319"/>
      <c r="AV608" s="319"/>
      <c r="AW608" s="319"/>
      <c r="AX608" s="319"/>
      <c r="AY608" s="319"/>
      <c r="AZ608" s="319"/>
      <c r="BA608" s="319"/>
      <c r="BB608" s="319"/>
      <c r="BC608" s="319"/>
      <c r="BD608" s="319"/>
      <c r="BE608" s="319"/>
      <c r="BF608" s="319"/>
      <c r="BG608" s="319"/>
      <c r="BH608" s="319"/>
      <c r="BI608" s="319"/>
      <c r="BJ608" s="319"/>
      <c r="BK608" s="319"/>
      <c r="BL608" s="319"/>
      <c r="BM608" s="319"/>
      <c r="BN608" s="319"/>
      <c r="BO608" s="319"/>
      <c r="BP608" s="319"/>
      <c r="BQ608" s="319"/>
      <c r="BR608" s="319"/>
      <c r="BS608" s="319"/>
      <c r="BT608" s="319"/>
      <c r="BU608" s="319"/>
      <c r="BV608" s="319"/>
      <c r="BW608" s="319"/>
      <c r="BX608" s="319"/>
      <c r="BY608" s="319"/>
      <c r="BZ608" s="319"/>
      <c r="CA608" s="319"/>
      <c r="CB608" s="319"/>
      <c r="CC608" s="319"/>
      <c r="CD608" s="319"/>
      <c r="CE608" s="319"/>
      <c r="CF608" s="319"/>
      <c r="CG608" s="319"/>
      <c r="CH608" s="319"/>
      <c r="CI608" s="319"/>
      <c r="CJ608" s="319"/>
      <c r="CK608" s="319"/>
    </row>
    <row r="609" spans="1:100" ht="13.5" hidden="1" customHeight="1">
      <c r="A609" s="12"/>
      <c r="B609" s="791" t="str">
        <f>B272</f>
        <v>Avaliação de recursos</v>
      </c>
      <c r="C609" s="329"/>
      <c r="D609" s="836"/>
      <c r="E609" s="836"/>
      <c r="F609" s="329"/>
      <c r="G609" s="329"/>
      <c r="H609" s="1"/>
      <c r="I609" s="1"/>
      <c r="J609" s="1"/>
      <c r="K609" s="9"/>
      <c r="L609" s="1"/>
      <c r="M609" s="319"/>
      <c r="N609" s="319">
        <v>5070040</v>
      </c>
      <c r="O609" s="319"/>
      <c r="P609" s="319"/>
      <c r="Q609" s="319"/>
      <c r="R609" s="319"/>
      <c r="S609" s="319"/>
      <c r="T609" s="319"/>
      <c r="U609" s="319"/>
      <c r="V609" s="319"/>
      <c r="W609" s="319"/>
      <c r="X609" s="319"/>
      <c r="Y609" s="319"/>
      <c r="Z609" s="319"/>
      <c r="AA609" s="319"/>
      <c r="AB609" s="319"/>
      <c r="AC609" s="319"/>
      <c r="AD609" s="319"/>
      <c r="AE609" s="319"/>
      <c r="AF609" s="319"/>
      <c r="AG609" s="319"/>
      <c r="AH609" s="319"/>
      <c r="AI609" s="319"/>
      <c r="AJ609" s="319"/>
      <c r="AK609" s="319"/>
      <c r="AL609" s="319"/>
      <c r="AM609" s="319"/>
      <c r="AN609" s="319"/>
      <c r="AO609" s="319"/>
      <c r="AP609" s="319"/>
      <c r="AQ609" s="319"/>
      <c r="AR609" s="319"/>
      <c r="AS609" s="319"/>
      <c r="AT609" s="319"/>
      <c r="AU609" s="319"/>
      <c r="AV609" s="319"/>
      <c r="AW609" s="319"/>
      <c r="AX609" s="319"/>
      <c r="AY609" s="319"/>
      <c r="AZ609" s="319"/>
      <c r="BA609" s="319"/>
      <c r="BB609" s="319"/>
      <c r="BC609" s="319"/>
      <c r="BD609" s="319"/>
      <c r="BE609" s="319"/>
      <c r="BF609" s="319"/>
      <c r="BG609" s="319"/>
      <c r="BH609" s="319"/>
      <c r="BI609" s="319"/>
      <c r="BJ609" s="319"/>
      <c r="BK609" s="319"/>
      <c r="BL609" s="319"/>
      <c r="BM609" s="319"/>
      <c r="BN609" s="319"/>
      <c r="BO609" s="319"/>
      <c r="BP609" s="319"/>
      <c r="BQ609" s="319"/>
      <c r="BR609" s="319"/>
      <c r="BS609" s="319"/>
      <c r="BT609" s="319"/>
      <c r="BU609" s="319"/>
      <c r="BV609" s="319"/>
      <c r="BW609" s="319"/>
      <c r="BX609" s="319"/>
      <c r="BY609" s="319"/>
      <c r="BZ609" s="319"/>
      <c r="CA609" s="319"/>
      <c r="CB609" s="319"/>
      <c r="CC609" s="319"/>
      <c r="CD609" s="319"/>
      <c r="CE609" s="319"/>
      <c r="CF609" s="319"/>
      <c r="CG609" s="319"/>
      <c r="CH609" s="319"/>
      <c r="CI609" s="319"/>
      <c r="CJ609" s="319"/>
      <c r="CK609" s="319"/>
    </row>
    <row r="610" spans="1:100" ht="13.5" hidden="1" customHeight="1">
      <c r="A610" s="12"/>
      <c r="B610" s="329" t="str">
        <f>B273</f>
        <v>Sistema de posicionamento solar</v>
      </c>
      <c r="C610" s="329"/>
      <c r="D610" s="303" t="s">
        <v>7361</v>
      </c>
      <c r="E610" s="836"/>
      <c r="F610" s="329"/>
      <c r="G610" s="329"/>
      <c r="H610" s="1"/>
      <c r="I610" s="1"/>
      <c r="J610" s="1"/>
      <c r="K610" s="9"/>
      <c r="L610" s="1"/>
      <c r="M610" s="319">
        <f>IF(D610="",1,MATCH(D610,PVTracking,0))-1</f>
        <v>0</v>
      </c>
      <c r="N610" s="319">
        <v>2121002</v>
      </c>
      <c r="O610" s="319"/>
      <c r="P610" s="319"/>
      <c r="Q610" s="319"/>
      <c r="R610" s="319"/>
      <c r="S610" s="319"/>
      <c r="T610" s="319"/>
      <c r="U610" s="319"/>
      <c r="V610" s="319"/>
      <c r="W610" s="319"/>
      <c r="X610" s="319"/>
      <c r="Y610" s="319"/>
      <c r="Z610" s="319"/>
      <c r="AA610" s="319"/>
      <c r="AB610" s="319"/>
      <c r="AC610" s="319"/>
      <c r="AD610" s="319"/>
      <c r="AE610" s="319"/>
      <c r="AF610" s="319"/>
      <c r="AG610" s="319"/>
      <c r="AH610" s="319"/>
      <c r="AI610" s="319"/>
      <c r="AJ610" s="319"/>
      <c r="AK610" s="319"/>
      <c r="AL610" s="319"/>
      <c r="AM610" s="319"/>
      <c r="AN610" s="319"/>
      <c r="AO610" s="319"/>
      <c r="AP610" s="319"/>
      <c r="AQ610" s="319"/>
      <c r="AR610" s="319"/>
      <c r="AS610" s="319"/>
      <c r="AT610" s="319"/>
      <c r="AU610" s="319"/>
      <c r="AV610" s="319"/>
      <c r="AW610" s="319"/>
      <c r="AX610" s="319"/>
      <c r="AY610" s="319"/>
      <c r="AZ610" s="319"/>
      <c r="BA610" s="319"/>
      <c r="BB610" s="319"/>
      <c r="BC610" s="319"/>
      <c r="BD610" s="319"/>
      <c r="BE610" s="319"/>
      <c r="BF610" s="319"/>
      <c r="BG610" s="319"/>
      <c r="BH610" s="319"/>
      <c r="BI610" s="319"/>
      <c r="BJ610" s="319"/>
      <c r="BK610" s="319"/>
      <c r="BL610" s="319"/>
      <c r="BM610" s="319"/>
      <c r="BN610" s="319"/>
      <c r="BO610" s="319"/>
      <c r="BP610" s="319"/>
      <c r="BQ610" s="319"/>
      <c r="BR610" s="319"/>
      <c r="BS610" s="319"/>
      <c r="BT610" s="319"/>
      <c r="BU610" s="319"/>
      <c r="BV610" s="319"/>
      <c r="BW610" s="319"/>
      <c r="BX610" s="319"/>
      <c r="BY610" s="319"/>
      <c r="BZ610" s="319"/>
      <c r="CA610" s="319"/>
      <c r="CB610" s="319"/>
      <c r="CC610" s="319"/>
      <c r="CD610" s="319"/>
      <c r="CE610" s="319"/>
      <c r="CF610" s="319"/>
      <c r="CG610" s="319"/>
      <c r="CH610" s="319"/>
      <c r="CI610" s="319"/>
      <c r="CJ610" s="319"/>
      <c r="CK610" s="319"/>
    </row>
    <row r="611" spans="1:100" ht="13.5" hidden="1" customHeight="1">
      <c r="A611" s="12"/>
      <c r="B611" s="329" t="str">
        <f>B274</f>
        <v>Inclinação</v>
      </c>
      <c r="C611" s="29" t="str">
        <f>$C$274</f>
        <v>˚</v>
      </c>
      <c r="D611" s="417"/>
      <c r="E611" s="836"/>
      <c r="F611" s="329"/>
      <c r="G611" s="329"/>
      <c r="H611" s="1"/>
      <c r="I611" s="1"/>
      <c r="J611" s="1"/>
      <c r="K611" s="9"/>
      <c r="L611" s="1"/>
      <c r="M611" s="319"/>
      <c r="N611" s="319">
        <v>2121004</v>
      </c>
      <c r="O611" s="319"/>
      <c r="P611" s="319"/>
      <c r="Q611" s="319" t="s">
        <v>4920</v>
      </c>
      <c r="R611" s="319">
        <f>D611*PI()/180</f>
        <v>0</v>
      </c>
      <c r="S611" s="319"/>
      <c r="T611" s="319"/>
      <c r="U611" s="319"/>
      <c r="V611" s="319"/>
      <c r="W611" s="319"/>
      <c r="X611" s="319"/>
      <c r="Y611" s="319"/>
      <c r="Z611" s="319"/>
      <c r="AA611" s="319"/>
      <c r="AB611" s="319"/>
      <c r="AC611" s="319"/>
      <c r="AD611" s="319"/>
      <c r="AE611" s="319"/>
      <c r="AF611" s="319"/>
      <c r="AG611" s="319"/>
      <c r="AH611" s="319"/>
      <c r="AI611" s="319"/>
      <c r="AJ611" s="319"/>
      <c r="AK611" s="319"/>
      <c r="AL611" s="319"/>
      <c r="AM611" s="319"/>
      <c r="AN611" s="319"/>
      <c r="AO611" s="319"/>
      <c r="AP611" s="319"/>
      <c r="AQ611" s="319"/>
      <c r="AR611" s="319"/>
      <c r="AS611" s="319"/>
      <c r="AT611" s="319"/>
      <c r="AU611" s="319"/>
      <c r="AV611" s="319"/>
      <c r="AW611" s="319"/>
      <c r="AX611" s="319"/>
      <c r="AY611" s="319"/>
      <c r="AZ611" s="319"/>
      <c r="BA611" s="319"/>
      <c r="BB611" s="319"/>
      <c r="BC611" s="319"/>
      <c r="BD611" s="319"/>
      <c r="BE611" s="319"/>
      <c r="BF611" s="319"/>
      <c r="BG611" s="319"/>
      <c r="BH611" s="319"/>
      <c r="BI611" s="319"/>
      <c r="BJ611" s="319"/>
      <c r="BK611" s="319"/>
      <c r="BL611" s="319"/>
      <c r="BM611" s="319"/>
      <c r="BN611" s="319"/>
      <c r="BO611" s="319"/>
      <c r="BP611" s="319"/>
      <c r="BQ611" s="319"/>
      <c r="BR611" s="319"/>
      <c r="BS611" s="319"/>
      <c r="BT611" s="319"/>
      <c r="BU611" s="319"/>
      <c r="BV611" s="319"/>
      <c r="BW611" s="319"/>
      <c r="BX611" s="319"/>
      <c r="BY611" s="319"/>
      <c r="BZ611" s="319"/>
      <c r="CA611" s="319"/>
      <c r="CB611" s="319"/>
      <c r="CC611" s="319"/>
      <c r="CD611" s="319"/>
      <c r="CE611" s="319"/>
      <c r="CF611" s="319"/>
      <c r="CG611" s="319"/>
      <c r="CH611" s="319"/>
      <c r="CI611" s="319"/>
      <c r="CJ611" s="319"/>
      <c r="CK611" s="319"/>
    </row>
    <row r="612" spans="1:100" ht="13.5" hidden="1" customHeight="1">
      <c r="A612" s="12"/>
      <c r="B612" s="329" t="str">
        <f>B275</f>
        <v>Azimut</v>
      </c>
      <c r="C612" s="29" t="str">
        <f>$C$274</f>
        <v>˚</v>
      </c>
      <c r="D612" s="417"/>
      <c r="E612" s="836"/>
      <c r="F612" s="329"/>
      <c r="G612" s="329"/>
      <c r="H612" s="1"/>
      <c r="I612" s="1"/>
      <c r="J612" s="1"/>
      <c r="K612" s="9"/>
      <c r="L612" s="1"/>
      <c r="M612" s="319"/>
      <c r="N612" s="319">
        <v>2121006</v>
      </c>
      <c r="O612" s="319"/>
      <c r="P612" s="319"/>
      <c r="Q612" s="319" t="s">
        <v>4920</v>
      </c>
      <c r="R612" s="319">
        <f>D612*PI()/180</f>
        <v>0</v>
      </c>
      <c r="S612" s="319"/>
      <c r="T612" s="319"/>
      <c r="U612" s="319"/>
      <c r="V612" s="319"/>
      <c r="W612" s="319"/>
      <c r="X612" s="319"/>
      <c r="Y612" s="319"/>
      <c r="Z612" s="319"/>
      <c r="AA612" s="319"/>
      <c r="AB612" s="319"/>
      <c r="AC612" s="319"/>
      <c r="AD612" s="319"/>
      <c r="AE612" s="319"/>
      <c r="AF612" s="319"/>
      <c r="AG612" s="319"/>
      <c r="AH612" s="319"/>
      <c r="AI612" s="319"/>
      <c r="AJ612" s="319"/>
      <c r="AK612" s="319"/>
      <c r="AL612" s="319"/>
      <c r="AM612" s="319"/>
      <c r="AN612" s="319"/>
      <c r="AO612" s="319"/>
      <c r="AP612" s="319"/>
      <c r="AQ612" s="319"/>
      <c r="AR612" s="319"/>
      <c r="AS612" s="319"/>
      <c r="AT612" s="319"/>
      <c r="AU612" s="319"/>
      <c r="AV612" s="319"/>
      <c r="AW612" s="319"/>
      <c r="AX612" s="319"/>
      <c r="AY612" s="319"/>
      <c r="AZ612" s="319"/>
      <c r="BA612" s="319"/>
      <c r="BB612" s="319"/>
      <c r="BC612" s="319"/>
      <c r="BD612" s="319"/>
      <c r="BE612" s="319"/>
      <c r="BF612" s="319"/>
      <c r="BG612" s="319"/>
      <c r="BH612" s="319"/>
      <c r="BI612" s="319"/>
      <c r="BJ612" s="319"/>
      <c r="BK612" s="319"/>
      <c r="BL612" s="319"/>
      <c r="BM612" s="319"/>
      <c r="BN612" s="319"/>
      <c r="BO612" s="319"/>
      <c r="BP612" s="319"/>
      <c r="BQ612" s="319"/>
      <c r="BR612" s="319"/>
      <c r="BS612" s="319"/>
      <c r="BT612" s="319"/>
      <c r="BU612" s="319"/>
      <c r="BV612" s="319"/>
      <c r="BW612" s="319"/>
      <c r="BX612" s="319"/>
      <c r="BY612" s="319"/>
      <c r="BZ612" s="319"/>
      <c r="CA612" s="319"/>
      <c r="CB612" s="319"/>
      <c r="CC612" s="319"/>
      <c r="CD612" s="319"/>
      <c r="CE612" s="319"/>
      <c r="CF612" s="319"/>
      <c r="CG612" s="319"/>
      <c r="CH612" s="319"/>
      <c r="CI612" s="319"/>
      <c r="CJ612" s="319"/>
      <c r="CK612" s="319"/>
    </row>
    <row r="613" spans="1:100" ht="12.75" hidden="1" customHeight="1">
      <c r="A613" s="12"/>
      <c r="B613" s="329"/>
      <c r="C613" s="329"/>
      <c r="D613" s="329"/>
      <c r="E613" s="329"/>
      <c r="F613" s="329"/>
      <c r="G613" s="329"/>
      <c r="H613" s="1"/>
      <c r="I613" s="1"/>
      <c r="J613" s="1"/>
      <c r="K613" s="9"/>
      <c r="L613" s="1"/>
      <c r="M613" s="319"/>
      <c r="N613" s="319">
        <v>13190</v>
      </c>
      <c r="O613" s="319"/>
      <c r="P613" s="319"/>
      <c r="Q613" s="319"/>
      <c r="R613" s="319"/>
      <c r="S613" s="319"/>
      <c r="T613" s="319"/>
      <c r="U613" s="319"/>
      <c r="V613" s="319"/>
      <c r="W613" s="319"/>
      <c r="X613" s="319"/>
      <c r="Y613" s="319"/>
      <c r="Z613" s="319"/>
      <c r="AA613" s="319"/>
      <c r="AB613" s="319"/>
      <c r="AC613" s="319"/>
      <c r="AD613" s="319"/>
      <c r="AE613" s="319"/>
      <c r="AF613" s="319"/>
      <c r="AG613" s="319"/>
      <c r="AH613" s="319"/>
      <c r="AI613" s="319"/>
      <c r="AJ613" s="319"/>
      <c r="AK613" s="319"/>
      <c r="AL613" s="319"/>
      <c r="AM613" s="319"/>
      <c r="AN613" s="319"/>
      <c r="AO613" s="319"/>
      <c r="AP613" s="319"/>
      <c r="AQ613" s="319"/>
      <c r="AR613" s="319"/>
      <c r="AS613" s="319"/>
      <c r="AT613" s="319"/>
      <c r="AU613" s="319"/>
      <c r="AV613" s="319"/>
      <c r="AW613" s="319"/>
      <c r="AX613" s="319"/>
      <c r="AY613" s="319"/>
      <c r="AZ613" s="319"/>
      <c r="BA613" s="319"/>
      <c r="BB613" s="319"/>
      <c r="BC613" s="319"/>
      <c r="BD613" s="319"/>
      <c r="BE613" s="319"/>
      <c r="BF613" s="319"/>
      <c r="BG613" s="319"/>
      <c r="BH613" s="319"/>
      <c r="BI613" s="319"/>
      <c r="BJ613" s="319"/>
      <c r="BK613" s="319"/>
      <c r="BL613" s="319"/>
      <c r="BM613" s="319"/>
      <c r="BN613" s="319"/>
      <c r="BO613" s="319"/>
      <c r="BP613" s="319"/>
      <c r="BQ613" s="319"/>
      <c r="BR613" s="319"/>
      <c r="BS613" s="319"/>
      <c r="BT613" s="319"/>
      <c r="BU613" s="319"/>
      <c r="BV613" s="319"/>
      <c r="BW613" s="319"/>
      <c r="BX613" s="319"/>
      <c r="BY613" s="319"/>
      <c r="BZ613" s="319"/>
      <c r="CA613" s="319"/>
      <c r="CB613" s="319"/>
      <c r="CC613" s="319"/>
      <c r="CD613" s="319"/>
      <c r="CE613" s="319"/>
      <c r="CF613" s="319"/>
      <c r="CG613" s="319"/>
      <c r="CH613" s="319"/>
      <c r="CI613" s="319"/>
      <c r="CJ613" s="319"/>
      <c r="CK613" s="319"/>
    </row>
    <row r="614" spans="1:100" ht="51" hidden="1" customHeight="1">
      <c r="A614" s="1018" t="s">
        <v>4190</v>
      </c>
      <c r="B614" s="967" t="str">
        <f>G384</f>
        <v>Mostrar dado</v>
      </c>
      <c r="C614" s="805"/>
      <c r="D614" s="920" t="str">
        <f>D278</f>
        <v>Radiação solar diária - horizontal</v>
      </c>
      <c r="E614" s="920" t="str">
        <f>Language!C1578</f>
        <v>Radiação solar diária - inclinada</v>
      </c>
      <c r="F614" s="329"/>
      <c r="G614" s="329"/>
      <c r="H614" s="1"/>
      <c r="I614" s="1"/>
      <c r="J614" s="1"/>
      <c r="K614" s="9"/>
      <c r="L614" s="1"/>
      <c r="M614" s="319"/>
      <c r="N614" s="319">
        <v>5070048</v>
      </c>
      <c r="O614" s="319"/>
      <c r="P614" s="319">
        <f>EE_SAH_show*1</f>
        <v>1</v>
      </c>
      <c r="Q614" s="3" t="b">
        <v>1</v>
      </c>
      <c r="R614" s="319" t="b">
        <v>1</v>
      </c>
      <c r="S614" s="319"/>
      <c r="T614" s="319"/>
      <c r="U614" s="319"/>
      <c r="V614" s="319"/>
      <c r="W614" s="319"/>
      <c r="X614" s="319"/>
      <c r="Y614" s="319"/>
      <c r="Z614" s="319"/>
      <c r="AA614" s="319"/>
      <c r="AB614" s="319"/>
      <c r="AC614" s="319"/>
      <c r="AD614" s="319"/>
      <c r="AE614" s="319"/>
      <c r="AF614" s="319"/>
      <c r="AG614" s="319"/>
      <c r="AH614" s="319"/>
      <c r="AI614" s="319"/>
      <c r="AJ614" s="319"/>
      <c r="AK614" s="319"/>
      <c r="AL614" s="319"/>
      <c r="AM614" s="319"/>
      <c r="AN614" s="319"/>
      <c r="AO614" s="319"/>
      <c r="AP614" s="319"/>
      <c r="AQ614" s="319"/>
      <c r="AR614" s="319"/>
      <c r="AS614" s="319"/>
      <c r="AT614" s="319"/>
      <c r="AU614" s="319"/>
      <c r="AV614" s="319"/>
      <c r="AW614" s="319"/>
      <c r="AX614" s="319"/>
      <c r="AY614" s="319"/>
      <c r="AZ614" s="319"/>
      <c r="BA614" s="319"/>
      <c r="BB614" s="319"/>
      <c r="BC614" s="319"/>
      <c r="BD614" s="319"/>
      <c r="BE614" s="319"/>
      <c r="BF614" s="319"/>
      <c r="BG614" s="319"/>
      <c r="BH614" s="319"/>
      <c r="BI614" s="319"/>
      <c r="BJ614" s="319"/>
      <c r="BK614" s="319"/>
      <c r="BL614" s="319"/>
      <c r="BM614" s="319"/>
      <c r="BN614" s="319"/>
      <c r="BO614" s="319"/>
      <c r="BP614" s="319"/>
      <c r="BQ614" s="319"/>
      <c r="BR614" s="319"/>
      <c r="BS614" s="319"/>
      <c r="BT614" s="319"/>
      <c r="BU614" s="319"/>
      <c r="BV614" s="319"/>
      <c r="BW614" s="319"/>
      <c r="BX614" s="319"/>
      <c r="BY614" s="319"/>
      <c r="BZ614" s="319"/>
      <c r="CA614" s="319"/>
      <c r="CB614" s="319"/>
      <c r="CC614" s="319"/>
      <c r="CD614" s="319"/>
      <c r="CE614" s="319"/>
      <c r="CF614" s="319"/>
      <c r="CG614" s="319"/>
      <c r="CH614" s="319"/>
      <c r="CI614" s="319"/>
      <c r="CJ614" s="319"/>
      <c r="CK614" s="319"/>
    </row>
    <row r="615" spans="1:100" ht="13.5" hidden="1" customHeight="1">
      <c r="A615" s="12"/>
      <c r="B615" s="791"/>
      <c r="C615" s="333" t="str">
        <f t="shared" ref="C615:C627" si="62">C740</f>
        <v>Mês</v>
      </c>
      <c r="D615" s="82" t="str">
        <f>D279</f>
        <v>kWh/m²/d</v>
      </c>
      <c r="E615" s="82" t="str">
        <f>E279</f>
        <v>kWh/m²/d</v>
      </c>
      <c r="F615" s="329"/>
      <c r="G615" s="329"/>
      <c r="H615" s="1"/>
      <c r="I615" s="1"/>
      <c r="J615" s="1"/>
      <c r="K615" s="9"/>
      <c r="L615" s="1"/>
      <c r="M615" s="319"/>
      <c r="N615" s="319">
        <v>5070048</v>
      </c>
      <c r="O615" s="319"/>
      <c r="P615" s="319"/>
      <c r="Q615" s="319"/>
      <c r="R615" s="319"/>
      <c r="S615" s="319"/>
      <c r="W615" s="319"/>
      <c r="X615" s="319"/>
      <c r="Y615" s="318" t="s">
        <v>2940</v>
      </c>
      <c r="Z615" s="319"/>
      <c r="AA615" s="319"/>
      <c r="AB615" s="319"/>
      <c r="AC615" s="319"/>
      <c r="AD615" s="319"/>
      <c r="AE615" s="319" t="s">
        <v>4069</v>
      </c>
      <c r="AF615" s="319" t="s">
        <v>50</v>
      </c>
      <c r="AG615" s="319" t="s">
        <v>5548</v>
      </c>
      <c r="AH615" s="319" t="s">
        <v>4697</v>
      </c>
      <c r="AI615" s="319" t="s">
        <v>4698</v>
      </c>
      <c r="AJ615" s="319" t="s">
        <v>2976</v>
      </c>
      <c r="AN615" s="319" t="s">
        <v>3381</v>
      </c>
      <c r="AO615" s="319" t="s">
        <v>5841</v>
      </c>
      <c r="AP615" s="319" t="s">
        <v>4269</v>
      </c>
      <c r="AS615" s="319" t="s">
        <v>2405</v>
      </c>
      <c r="AU615" s="319" t="s">
        <v>3275</v>
      </c>
      <c r="AV615" s="319" t="s">
        <v>3871</v>
      </c>
      <c r="AW615" s="319" t="s">
        <v>2325</v>
      </c>
      <c r="AX615" s="319"/>
      <c r="AY615" s="319"/>
      <c r="AZ615" s="319" t="s">
        <v>3342</v>
      </c>
      <c r="BA615" s="319" t="s">
        <v>533</v>
      </c>
      <c r="BB615" s="319" t="s">
        <v>3956</v>
      </c>
      <c r="BC615" s="319" t="s">
        <v>716</v>
      </c>
      <c r="BD615" s="605" t="s">
        <v>4351</v>
      </c>
      <c r="BE615" s="319" t="s">
        <v>735</v>
      </c>
      <c r="BF615" s="319" t="s">
        <v>5917</v>
      </c>
      <c r="BG615" s="319" t="s">
        <v>5918</v>
      </c>
      <c r="CV615" s="319"/>
    </row>
    <row r="616" spans="1:100" ht="13.5" hidden="1" customHeight="1">
      <c r="A616" s="12"/>
      <c r="B616" s="329"/>
      <c r="C616" s="83" t="str">
        <f t="shared" si="62"/>
        <v>Janeiro</v>
      </c>
      <c r="D616" s="100">
        <f>D280</f>
        <v>1.98</v>
      </c>
      <c r="E616" s="100">
        <f t="shared" ref="E616:E627" si="63">AB638/3.6</f>
        <v>1.98</v>
      </c>
      <c r="F616" s="329"/>
      <c r="G616" s="329"/>
      <c r="H616" s="1"/>
      <c r="I616" s="1"/>
      <c r="J616" s="1"/>
      <c r="K616" s="9"/>
      <c r="L616" s="1"/>
      <c r="M616" s="319"/>
      <c r="N616" s="319">
        <v>5070048</v>
      </c>
      <c r="O616" s="319"/>
      <c r="P616" s="319"/>
      <c r="Q616" s="319"/>
      <c r="R616" s="319"/>
      <c r="S616" s="319"/>
      <c r="W616" s="319"/>
      <c r="X616" s="319"/>
      <c r="AD616" s="319">
        <v>1</v>
      </c>
      <c r="AE616" s="476">
        <f xml:space="preserve"> $D$643+0.54*$R$645*(1+1.4*$D$643-0.09*$R$644-12.1*$R$645)</f>
        <v>0</v>
      </c>
      <c r="AF616" s="476">
        <f>$R$644+80.3*$R$645*(1+0.64*$D$643-0.07*$R$644-8.3*$R$645)</f>
        <v>0</v>
      </c>
      <c r="AG616" s="476">
        <f>1/(1+140*AF616/3850*(1/AA624-1))</f>
        <v>1</v>
      </c>
      <c r="AH616" s="476">
        <f>AE616*AG616*(1-$D$648)*0.95</f>
        <v>0</v>
      </c>
      <c r="AI616" s="476">
        <f>AF616/AG616</f>
        <v>0</v>
      </c>
      <c r="AJ616" s="319"/>
      <c r="AN616" s="476">
        <f>surfslopenoon($U$4,Iniciar!Y58,$M$610,$R$611,$R$612)</f>
        <v>0</v>
      </c>
      <c r="AO616" s="476">
        <f>GetCosIncidenceAngle(ACOS(Y230),0,$R$611, $R$612)*0+cosIncidenceAnglenoon($U$4,Iniciar!Y58,$M$610,$R$611, $R$612)</f>
        <v>0.48301996208824399</v>
      </c>
      <c r="AP616" s="476">
        <f t="shared" ref="AP616:AP627" si="64">AO616/Y230</f>
        <v>0.99999334133519546</v>
      </c>
      <c r="AS616" s="476">
        <f>(1-AB230/AA230*Y678)*AP616+AB230/AA230*Y678*(1+COS(AN616))/2+Iniciar!AE58*(1-COS(AN616))/2</f>
        <v>0.99999738787954684</v>
      </c>
      <c r="AT616" s="203"/>
      <c r="AU616" s="476" t="e">
        <f t="shared" ref="AU616:AU627" si="65">MAX($AI$616*(-R678-5)/$AH$616,0)</f>
        <v>#DIV/0!</v>
      </c>
      <c r="AV616" s="476" t="e">
        <f t="shared" ref="AV616:AV627" si="66">IF(Q678&lt;&gt;0,AU616/AA230/AS616/Q678/1000,0)</f>
        <v>#DIV/0!</v>
      </c>
      <c r="AW616" s="476">
        <f>IF(Q678&gt;0,AB638/Iniciar!AB58,1)</f>
        <v>1</v>
      </c>
      <c r="AX616" s="319"/>
      <c r="AY616" s="319"/>
      <c r="AZ616" s="319">
        <f>(W638+X638)/(AA638*V678)</f>
        <v>0</v>
      </c>
      <c r="BA616" s="476" t="e">
        <f>IF(W678,EXP((Iniciar!AF58+Iniciar!AG58*AS616/AW616)*AV616*(1+AV616*Iniciar!AH58)),0)</f>
        <v>#DIV/0!</v>
      </c>
      <c r="BB616" s="476" t="e">
        <f>(AB638+0)*BA616*V678*$R$647*$AH$616*(1-$AA$625)*U638*AZ616</f>
        <v>#DIV/0!</v>
      </c>
      <c r="BC616" s="476" t="e">
        <f>BB616/$R$660/V678/$R$633/$R$656/0.0036/AA638</f>
        <v>#DIV/0!</v>
      </c>
      <c r="BD616" s="476" t="e">
        <f>MIN($R$654,R678+$R$657+BC616)</f>
        <v>#DIV/0!</v>
      </c>
      <c r="BE616" s="476" t="e">
        <f>MAX(0,BD616-R678-$R$657)</f>
        <v>#DIV/0!</v>
      </c>
      <c r="BF616" s="78" t="e">
        <f>IF(BC616=0,0,BE616/BC616)</f>
        <v>#DIV/0!</v>
      </c>
      <c r="BG616" t="e">
        <f>BB616*BF616</f>
        <v>#DIV/0!</v>
      </c>
      <c r="CV616" s="319"/>
    </row>
    <row r="617" spans="1:100" ht="13.5" hidden="1" customHeight="1">
      <c r="A617" s="12"/>
      <c r="B617" s="329"/>
      <c r="C617" s="83" t="str">
        <f t="shared" si="62"/>
        <v>Fevereiro</v>
      </c>
      <c r="D617" s="100">
        <f t="shared" ref="D617:D628" si="67">D281</f>
        <v>2.9</v>
      </c>
      <c r="E617" s="100">
        <f t="shared" si="63"/>
        <v>2.8999999999999995</v>
      </c>
      <c r="F617" s="329"/>
      <c r="G617" s="329"/>
      <c r="H617" s="1"/>
      <c r="I617" s="1"/>
      <c r="J617" s="1"/>
      <c r="K617" s="9"/>
      <c r="L617" s="1"/>
      <c r="M617" s="319"/>
      <c r="N617" s="319">
        <v>5070048</v>
      </c>
      <c r="O617" s="319"/>
      <c r="P617" s="319"/>
      <c r="Q617" s="319"/>
      <c r="R617" s="319"/>
      <c r="S617" s="319"/>
      <c r="T617" s="319"/>
      <c r="U617" s="319"/>
      <c r="V617" s="319"/>
      <c r="W617" s="319"/>
      <c r="X617" s="319"/>
      <c r="AD617" s="319">
        <v>2</v>
      </c>
      <c r="AE617" s="319"/>
      <c r="AF617" s="319"/>
      <c r="AG617" s="319"/>
      <c r="AH617" s="319"/>
      <c r="AI617" s="319"/>
      <c r="AJ617" s="319"/>
      <c r="AN617" s="476">
        <f>surfslopenoon($U$4,Iniciar!Y59,$M$610,$R$611,$R$612)</f>
        <v>0</v>
      </c>
      <c r="AO617" s="476">
        <f>GetCosIncidenceAngle(ACOS(Y231),0,$R$611, $R$612)*0+cosIncidenceAnglenoon($U$4,Iniciar!Y59,$M$610,$R$611, $R$612)</f>
        <v>0.59965484094667731</v>
      </c>
      <c r="AP617" s="476">
        <f t="shared" si="64"/>
        <v>0.99999509801992748</v>
      </c>
      <c r="AS617" s="476">
        <f>(1-AB231/AA231*Y679)*AP617+AB231/AA231*Y679*(1+COS(AN617))/2+Iniciar!AE59*(1-COS(AN617))/2</f>
        <v>0.99999774277708853</v>
      </c>
      <c r="AT617" s="203"/>
      <c r="AU617" s="476" t="e">
        <f t="shared" si="65"/>
        <v>#DIV/0!</v>
      </c>
      <c r="AV617" s="476" t="e">
        <f t="shared" si="66"/>
        <v>#DIV/0!</v>
      </c>
      <c r="AW617" s="476">
        <f>IF(Q679&gt;0,AB639/Iniciar!AB59,1)</f>
        <v>0.99999999999999978</v>
      </c>
      <c r="AX617" s="319"/>
      <c r="AY617" s="319"/>
      <c r="AZ617" s="319">
        <f t="shared" ref="AZ617:AZ627" si="68">(W639+X639)/(AA639*V679)</f>
        <v>0</v>
      </c>
      <c r="BA617" s="476" t="e">
        <f>IF(W679,EXP((Iniciar!AF59+Iniciar!AG59*AS617/AW617)*AV617*(1+AV617*Iniciar!AH59)),0)</f>
        <v>#DIV/0!</v>
      </c>
      <c r="BB617" s="476" t="e">
        <f t="shared" ref="BB617:BB627" si="69">(AB639+0)*BA617*V679*$R$647*$AH$616*(1-$AA$625)*U639*AZ617</f>
        <v>#DIV/0!</v>
      </c>
      <c r="BC617" s="476" t="e">
        <f t="shared" ref="BC617:BC627" si="70">BB617/$R$660/V679/$R$633/$R$656/0.0036/AA639</f>
        <v>#DIV/0!</v>
      </c>
      <c r="BD617" s="476" t="e">
        <f t="shared" ref="BD617:BD627" si="71">MIN($R$654,R679+$R$657+BC617)</f>
        <v>#DIV/0!</v>
      </c>
      <c r="BE617" s="476" t="e">
        <f t="shared" ref="BE617:BE627" si="72">MAX(0,BD617-R679-$R$657)</f>
        <v>#DIV/0!</v>
      </c>
      <c r="BF617" s="78" t="e">
        <f t="shared" ref="BF617:BF627" si="73">IF(BC617=0,0,BE617/BC617)</f>
        <v>#DIV/0!</v>
      </c>
      <c r="BG617" t="e">
        <f t="shared" ref="BG617:BG627" si="74">BB617*BF617</f>
        <v>#DIV/0!</v>
      </c>
      <c r="CV617" s="319"/>
    </row>
    <row r="618" spans="1:100" ht="13.5" hidden="1" customHeight="1">
      <c r="A618" s="12"/>
      <c r="B618" s="329"/>
      <c r="C618" s="83" t="str">
        <f t="shared" si="62"/>
        <v>Março</v>
      </c>
      <c r="D618" s="100">
        <f t="shared" si="67"/>
        <v>4.38</v>
      </c>
      <c r="E618" s="100">
        <f t="shared" si="63"/>
        <v>4.3800000000000008</v>
      </c>
      <c r="F618" s="329"/>
      <c r="G618" s="329"/>
      <c r="H618" s="1"/>
      <c r="I618" s="1"/>
      <c r="J618" s="1"/>
      <c r="K618" s="9"/>
      <c r="L618" s="1"/>
      <c r="M618" s="319"/>
      <c r="N618" s="319">
        <v>5070048</v>
      </c>
      <c r="O618" s="319"/>
      <c r="P618" s="319"/>
      <c r="Q618" s="319"/>
      <c r="R618" s="319"/>
      <c r="S618" s="319"/>
      <c r="T618" s="319"/>
      <c r="U618" s="319"/>
      <c r="V618" s="319"/>
      <c r="W618" s="319"/>
      <c r="X618" s="319"/>
      <c r="AD618" s="319">
        <v>3</v>
      </c>
      <c r="AE618" s="476"/>
      <c r="AF618" s="476"/>
      <c r="AG618" s="476"/>
      <c r="AH618" s="476"/>
      <c r="AI618" s="476"/>
      <c r="AJ618" s="319"/>
      <c r="AN618" s="476">
        <f>surfslopenoon($U$4,Iniciar!Y60,$M$610,$R$611,$R$612)</f>
        <v>0</v>
      </c>
      <c r="AO618" s="476">
        <f>GetCosIncidenceAngle(ACOS(Y232),0,$R$611, $R$612)*0+cosIncidenceAnglenoon($U$4,Iniciar!Y60,$M$610,$R$611, $R$612)</f>
        <v>0.73588505079359989</v>
      </c>
      <c r="AP618" s="476">
        <f t="shared" si="64"/>
        <v>0.99999662020906255</v>
      </c>
      <c r="AS618" s="476">
        <f>(1-AB232/AA232*Y680)*AP618+AB232/AA232*Y680*(1+COS(AN618))/2+Iniciar!AE60*(1-COS(AN618))/2</f>
        <v>0.99999804206966803</v>
      </c>
      <c r="AT618" s="203"/>
      <c r="AU618" s="476" t="e">
        <f t="shared" si="65"/>
        <v>#DIV/0!</v>
      </c>
      <c r="AV618" s="476" t="e">
        <f t="shared" si="66"/>
        <v>#DIV/0!</v>
      </c>
      <c r="AW618" s="476">
        <f>IF(Q680&gt;0,AB640/Iniciar!AB60,1)</f>
        <v>1.0000000000000002</v>
      </c>
      <c r="AX618" s="319"/>
      <c r="AY618" s="319"/>
      <c r="AZ618" s="319">
        <f t="shared" si="68"/>
        <v>0</v>
      </c>
      <c r="BA618" s="476" t="e">
        <f>IF(W680,EXP((Iniciar!AF60+Iniciar!AG60*AS618/AW618)*AV618*(1+AV618*Iniciar!AH60)),0)</f>
        <v>#DIV/0!</v>
      </c>
      <c r="BB618" s="476" t="e">
        <f t="shared" si="69"/>
        <v>#DIV/0!</v>
      </c>
      <c r="BC618" s="476" t="e">
        <f t="shared" si="70"/>
        <v>#DIV/0!</v>
      </c>
      <c r="BD618" s="476" t="e">
        <f t="shared" si="71"/>
        <v>#DIV/0!</v>
      </c>
      <c r="BE618" s="476" t="e">
        <f t="shared" si="72"/>
        <v>#DIV/0!</v>
      </c>
      <c r="BF618" s="78" t="e">
        <f t="shared" si="73"/>
        <v>#DIV/0!</v>
      </c>
      <c r="BG618" t="e">
        <f t="shared" si="74"/>
        <v>#DIV/0!</v>
      </c>
      <c r="CV618" s="319"/>
    </row>
    <row r="619" spans="1:100" ht="13.5" hidden="1" customHeight="1">
      <c r="A619" s="12"/>
      <c r="B619" s="329"/>
      <c r="C619" s="83" t="str">
        <f t="shared" si="62"/>
        <v>Abril</v>
      </c>
      <c r="D619" s="100">
        <f t="shared" si="67"/>
        <v>5.45</v>
      </c>
      <c r="E619" s="100">
        <f t="shared" si="63"/>
        <v>5.45</v>
      </c>
      <c r="F619" s="329"/>
      <c r="G619" s="329"/>
      <c r="H619" s="1"/>
      <c r="I619" s="1"/>
      <c r="J619" s="1"/>
      <c r="K619" s="9"/>
      <c r="L619" s="1"/>
      <c r="M619" s="319"/>
      <c r="N619" s="319">
        <v>5070048</v>
      </c>
      <c r="O619" s="319"/>
      <c r="P619" s="319"/>
      <c r="Q619" s="319"/>
      <c r="R619" s="319"/>
      <c r="S619" s="319"/>
      <c r="T619" s="319"/>
      <c r="U619" s="319" t="s">
        <v>2620</v>
      </c>
      <c r="V619" s="319"/>
      <c r="W619" s="319"/>
      <c r="X619" s="319"/>
      <c r="AD619" s="319">
        <v>4</v>
      </c>
      <c r="AE619" s="319"/>
      <c r="AF619" s="319"/>
      <c r="AG619" s="319"/>
      <c r="AH619" s="319"/>
      <c r="AI619" s="319"/>
      <c r="AJ619" s="319"/>
      <c r="AN619" s="476">
        <f>surfslopenoon($U$4,Iniciar!Y61,$M$610,$R$611,$R$612)</f>
        <v>0</v>
      </c>
      <c r="AO619" s="476">
        <f>GetCosIncidenceAngle(ACOS(Y233),0,$R$611, $R$612)*0+cosIncidenceAnglenoon($U$4,Iniciar!Y61,$M$610,$R$611, $R$612)</f>
        <v>0.85909108725354455</v>
      </c>
      <c r="AP619" s="476">
        <f t="shared" si="64"/>
        <v>0.99999781161745172</v>
      </c>
      <c r="AS619" s="476">
        <f>(1-AB233/AA233*Y681)*AP619+AB233/AA233*Y681*(1+COS(AN619))/2+Iniciar!AE61*(1-COS(AN619))/2</f>
        <v>0.99999876454193881</v>
      </c>
      <c r="AT619" s="203"/>
      <c r="AU619" s="476" t="e">
        <f t="shared" si="65"/>
        <v>#DIV/0!</v>
      </c>
      <c r="AV619" s="476" t="e">
        <f t="shared" si="66"/>
        <v>#DIV/0!</v>
      </c>
      <c r="AW619" s="476">
        <f>IF(Q681&gt;0,AB641/Iniciar!AB61,1)</f>
        <v>1</v>
      </c>
      <c r="AX619" s="319"/>
      <c r="AY619" s="319"/>
      <c r="AZ619" s="319">
        <f t="shared" si="68"/>
        <v>0</v>
      </c>
      <c r="BA619" s="476" t="e">
        <f>IF(W681,EXP((Iniciar!AF61+Iniciar!AG61*AS619/AW619)*AV619*(1+AV619*Iniciar!AH61)),0)</f>
        <v>#DIV/0!</v>
      </c>
      <c r="BB619" s="476" t="e">
        <f t="shared" si="69"/>
        <v>#DIV/0!</v>
      </c>
      <c r="BC619" s="476" t="e">
        <f t="shared" si="70"/>
        <v>#DIV/0!</v>
      </c>
      <c r="BD619" s="476" t="e">
        <f t="shared" si="71"/>
        <v>#DIV/0!</v>
      </c>
      <c r="BE619" s="476" t="e">
        <f t="shared" si="72"/>
        <v>#DIV/0!</v>
      </c>
      <c r="BF619" s="78" t="e">
        <f t="shared" si="73"/>
        <v>#DIV/0!</v>
      </c>
      <c r="BG619" t="e">
        <f t="shared" si="74"/>
        <v>#DIV/0!</v>
      </c>
      <c r="CV619" s="319"/>
    </row>
    <row r="620" spans="1:100" ht="13.5" hidden="1" customHeight="1">
      <c r="A620" s="12"/>
      <c r="B620" s="329"/>
      <c r="C620" s="83" t="str">
        <f t="shared" si="62"/>
        <v>Maio</v>
      </c>
      <c r="D620" s="100">
        <f t="shared" si="67"/>
        <v>6.07</v>
      </c>
      <c r="E620" s="100">
        <f t="shared" si="63"/>
        <v>6.0700000000000012</v>
      </c>
      <c r="F620" s="329"/>
      <c r="G620" s="329"/>
      <c r="H620" s="1"/>
      <c r="I620" s="1"/>
      <c r="J620" s="1"/>
      <c r="K620" s="9"/>
      <c r="L620" s="1"/>
      <c r="M620" s="319"/>
      <c r="N620" s="319">
        <v>5070048</v>
      </c>
      <c r="O620" s="319"/>
      <c r="P620" s="319"/>
      <c r="Q620" s="319"/>
      <c r="R620" s="319"/>
      <c r="S620" s="319"/>
      <c r="T620" s="319" t="str">
        <f>I1168</f>
        <v>Sem revestimento</v>
      </c>
      <c r="U620" s="319">
        <v>1</v>
      </c>
      <c r="V620" s="319" t="s">
        <v>1724</v>
      </c>
      <c r="W620" s="481">
        <f>VLOOKUP(C634,$T$620:$U$623,2,FALSE)</f>
        <v>1</v>
      </c>
      <c r="X620" s="319"/>
      <c r="AD620" s="319">
        <v>5</v>
      </c>
      <c r="AE620" s="319"/>
      <c r="AF620" s="319"/>
      <c r="AG620" s="319"/>
      <c r="AH620" s="319"/>
      <c r="AI620" s="319"/>
      <c r="AJ620" s="319"/>
      <c r="AN620" s="476">
        <f>surfslopenoon($U$4,Iniciar!Y62,$M$610,$R$611,$R$612)</f>
        <v>0</v>
      </c>
      <c r="AO620" s="476">
        <f>GetCosIncidenceAngle(ACOS(Y234),0,$R$611, $R$612)*0+cosIncidenceAnglenoon($U$4,Iniciar!Y62,$M$610,$R$611, $R$612)</f>
        <v>0.93100299416079368</v>
      </c>
      <c r="AP620" s="476">
        <f t="shared" si="64"/>
        <v>0.99999855988213671</v>
      </c>
      <c r="AS620" s="476">
        <f>(1-AB234/AA234*Y682)*AP620+AB234/AA234*Y682*(1+COS(AN620))/2+Iniciar!AE62*(1-COS(AN620))/2</f>
        <v>0.99999922852912149</v>
      </c>
      <c r="AT620" s="203"/>
      <c r="AU620" s="476" t="e">
        <f t="shared" si="65"/>
        <v>#DIV/0!</v>
      </c>
      <c r="AV620" s="476" t="e">
        <f t="shared" si="66"/>
        <v>#DIV/0!</v>
      </c>
      <c r="AW620" s="476">
        <f>IF(Q682&gt;0,AB642/Iniciar!AB62,1)</f>
        <v>1.0000000000000002</v>
      </c>
      <c r="AX620" s="319"/>
      <c r="AY620" s="319"/>
      <c r="AZ620" s="319">
        <f t="shared" si="68"/>
        <v>0</v>
      </c>
      <c r="BA620" s="476" t="e">
        <f>IF(W682,EXP((Iniciar!AF62+Iniciar!AG62*AS620/AW620)*AV620*(1+AV620*Iniciar!AH62)),0)</f>
        <v>#DIV/0!</v>
      </c>
      <c r="BB620" s="476" t="e">
        <f t="shared" si="69"/>
        <v>#DIV/0!</v>
      </c>
      <c r="BC620" s="476" t="e">
        <f t="shared" si="70"/>
        <v>#DIV/0!</v>
      </c>
      <c r="BD620" s="476" t="e">
        <f t="shared" si="71"/>
        <v>#DIV/0!</v>
      </c>
      <c r="BE620" s="476" t="e">
        <f t="shared" si="72"/>
        <v>#DIV/0!</v>
      </c>
      <c r="BF620" s="78" t="e">
        <f t="shared" si="73"/>
        <v>#DIV/0!</v>
      </c>
      <c r="BG620" t="e">
        <f t="shared" si="74"/>
        <v>#DIV/0!</v>
      </c>
      <c r="CV620" s="319"/>
    </row>
    <row r="621" spans="1:100" ht="13.5" hidden="1" customHeight="1">
      <c r="A621" s="12"/>
      <c r="B621" s="329"/>
      <c r="C621" s="83" t="str">
        <f t="shared" si="62"/>
        <v>Junho</v>
      </c>
      <c r="D621" s="100">
        <f t="shared" si="67"/>
        <v>6.42</v>
      </c>
      <c r="E621" s="100">
        <f t="shared" si="63"/>
        <v>6.4200000000000026</v>
      </c>
      <c r="F621" s="329"/>
      <c r="G621" s="329"/>
      <c r="H621" s="1"/>
      <c r="I621" s="1"/>
      <c r="J621" s="1"/>
      <c r="K621" s="9"/>
      <c r="L621" s="1"/>
      <c r="M621" s="319"/>
      <c r="N621" s="319">
        <v>5070048</v>
      </c>
      <c r="O621" s="319"/>
      <c r="P621" s="319"/>
      <c r="Q621" s="319"/>
      <c r="R621" s="319"/>
      <c r="S621" s="319"/>
      <c r="T621" s="319" t="str">
        <f>I1169</f>
        <v>Vitrificado</v>
      </c>
      <c r="U621" s="319">
        <v>1</v>
      </c>
      <c r="V621" s="319" t="s">
        <v>2621</v>
      </c>
      <c r="X621" s="319"/>
      <c r="AD621" s="319">
        <v>6</v>
      </c>
      <c r="AE621" s="319"/>
      <c r="AF621" s="319"/>
      <c r="AG621" s="319"/>
      <c r="AH621" s="319"/>
      <c r="AI621" s="319"/>
      <c r="AJ621" s="319"/>
      <c r="AN621" s="476">
        <f>surfslopenoon($U$4,Iniciar!Y63,$M$610,$R$611,$R$612)</f>
        <v>0</v>
      </c>
      <c r="AO621" s="476">
        <f>GetCosIncidenceAngle(ACOS(Y235),0,$R$611, $R$612)*0+cosIncidenceAnglenoon($U$4,Iniciar!Y63,$M$610,$R$611, $R$612)</f>
        <v>0.9557196006259373</v>
      </c>
      <c r="AP621" s="476">
        <f t="shared" si="64"/>
        <v>0.99999886897901413</v>
      </c>
      <c r="AS621" s="476">
        <f>(1-AB235/AA235*Y683)*AP621+AB235/AA235*Y683*(1+COS(AN621))/2+Iniciar!AE63*(1-COS(AN621))/2</f>
        <v>0.99999938800305244</v>
      </c>
      <c r="AT621" s="203"/>
      <c r="AU621" s="476" t="e">
        <f t="shared" si="65"/>
        <v>#DIV/0!</v>
      </c>
      <c r="AV621" s="476" t="e">
        <f t="shared" si="66"/>
        <v>#DIV/0!</v>
      </c>
      <c r="AW621" s="476">
        <f>IF(Q683&gt;0,AB643/Iniciar!AB63,1)</f>
        <v>1.0000000000000002</v>
      </c>
      <c r="AX621" s="319"/>
      <c r="AY621" s="319"/>
      <c r="AZ621" s="319">
        <f t="shared" si="68"/>
        <v>0</v>
      </c>
      <c r="BA621" s="476" t="e">
        <f>IF(W683,EXP((Iniciar!AF63+Iniciar!AG63*AS621/AW621)*AV621*(1+AV621*Iniciar!AH63)),0)</f>
        <v>#DIV/0!</v>
      </c>
      <c r="BB621" s="476" t="e">
        <f t="shared" si="69"/>
        <v>#DIV/0!</v>
      </c>
      <c r="BC621" s="476" t="e">
        <f t="shared" si="70"/>
        <v>#DIV/0!</v>
      </c>
      <c r="BD621" s="476" t="e">
        <f t="shared" si="71"/>
        <v>#DIV/0!</v>
      </c>
      <c r="BE621" s="476" t="e">
        <f t="shared" si="72"/>
        <v>#DIV/0!</v>
      </c>
      <c r="BF621" s="78" t="e">
        <f t="shared" si="73"/>
        <v>#DIV/0!</v>
      </c>
      <c r="BG621" t="e">
        <f t="shared" si="74"/>
        <v>#DIV/0!</v>
      </c>
      <c r="CV621" s="319"/>
    </row>
    <row r="622" spans="1:100" ht="13.5" hidden="1" customHeight="1">
      <c r="A622" s="12"/>
      <c r="B622" s="329"/>
      <c r="C622" s="83" t="str">
        <f t="shared" si="62"/>
        <v>Julho</v>
      </c>
      <c r="D622" s="100">
        <f t="shared" si="67"/>
        <v>6.81</v>
      </c>
      <c r="E622" s="100">
        <f t="shared" si="63"/>
        <v>6.8099999999999987</v>
      </c>
      <c r="F622" s="329"/>
      <c r="G622" s="329"/>
      <c r="H622" s="1"/>
      <c r="I622" s="1"/>
      <c r="J622" s="1"/>
      <c r="K622" s="9"/>
      <c r="L622" s="1"/>
      <c r="M622" s="319"/>
      <c r="N622" s="319">
        <v>5070048</v>
      </c>
      <c r="O622" s="319"/>
      <c r="P622" s="319"/>
      <c r="Q622" s="319"/>
      <c r="R622" s="319"/>
      <c r="S622" s="319"/>
      <c r="T622" s="319" t="str">
        <f>I1170</f>
        <v>Placa porosa</v>
      </c>
      <c r="U622" s="319">
        <v>1</v>
      </c>
      <c r="W622" s="319"/>
      <c r="X622" s="319"/>
      <c r="AD622" s="319">
        <v>7</v>
      </c>
      <c r="AE622" s="319"/>
      <c r="AF622" s="319"/>
      <c r="AG622" s="319"/>
      <c r="AH622" s="319"/>
      <c r="AI622" s="319"/>
      <c r="AJ622" s="319"/>
      <c r="AN622" s="476">
        <f>surfslopenoon($U$4,Iniciar!Y64,$M$610,$R$611,$R$612)</f>
        <v>0</v>
      </c>
      <c r="AO622" s="476">
        <f>GetCosIncidenceAngle(ACOS(Y236),0,$R$611, $R$612)*0+cosIncidenceAnglenoon($U$4,Iniciar!Y64,$M$610,$R$611, $R$612)</f>
        <v>0.94542468341615815</v>
      </c>
      <c r="AP622" s="476">
        <f t="shared" si="64"/>
        <v>0.99999873403785111</v>
      </c>
      <c r="AS622" s="476">
        <f>(1-AB236/AA236*Y684)*AP622+AB236/AA236*Y684*(1+COS(AN622))/2+Iniciar!AE64*(1-COS(AN622))/2</f>
        <v>0.99999920516057261</v>
      </c>
      <c r="AT622" s="203"/>
      <c r="AU622" s="476" t="e">
        <f t="shared" si="65"/>
        <v>#DIV/0!</v>
      </c>
      <c r="AV622" s="476" t="e">
        <f t="shared" si="66"/>
        <v>#DIV/0!</v>
      </c>
      <c r="AW622" s="476">
        <f>IF(Q684&gt;0,AB644/Iniciar!AB64,1)</f>
        <v>0.99999999999999989</v>
      </c>
      <c r="AX622" s="319"/>
      <c r="AY622" s="319"/>
      <c r="AZ622" s="319">
        <f t="shared" si="68"/>
        <v>0</v>
      </c>
      <c r="BA622" s="476" t="e">
        <f>IF(W684,EXP((Iniciar!AF64+Iniciar!AG64*AS622/AW622)*AV622*(1+AV622*Iniciar!AH64)),0)</f>
        <v>#DIV/0!</v>
      </c>
      <c r="BB622" s="476" t="e">
        <f t="shared" si="69"/>
        <v>#DIV/0!</v>
      </c>
      <c r="BC622" s="476" t="e">
        <f t="shared" si="70"/>
        <v>#DIV/0!</v>
      </c>
      <c r="BD622" s="476" t="e">
        <f t="shared" si="71"/>
        <v>#DIV/0!</v>
      </c>
      <c r="BE622" s="476" t="e">
        <f t="shared" si="72"/>
        <v>#DIV/0!</v>
      </c>
      <c r="BF622" s="78" t="e">
        <f t="shared" si="73"/>
        <v>#DIV/0!</v>
      </c>
      <c r="BG622" t="e">
        <f t="shared" si="74"/>
        <v>#DIV/0!</v>
      </c>
      <c r="CV622" s="319"/>
    </row>
    <row r="623" spans="1:100" ht="13.5" hidden="1" customHeight="1">
      <c r="A623" s="12"/>
      <c r="B623" s="329"/>
      <c r="C623" s="83" t="str">
        <f t="shared" si="62"/>
        <v>Agosto</v>
      </c>
      <c r="D623" s="100">
        <f t="shared" si="67"/>
        <v>6.23</v>
      </c>
      <c r="E623" s="100">
        <f t="shared" si="63"/>
        <v>6.2300000000000013</v>
      </c>
      <c r="F623" s="329"/>
      <c r="G623" s="329"/>
      <c r="H623" s="1"/>
      <c r="I623" s="1"/>
      <c r="J623" s="1"/>
      <c r="K623" s="9"/>
      <c r="L623" s="1"/>
      <c r="M623" s="319"/>
      <c r="N623" s="319">
        <v>5070048</v>
      </c>
      <c r="O623" s="319"/>
      <c r="P623" s="319"/>
      <c r="Q623" s="319"/>
      <c r="R623" s="319"/>
      <c r="S623" s="319"/>
      <c r="T623" s="319" t="str">
        <f>I1171</f>
        <v>Outro</v>
      </c>
      <c r="U623" s="319">
        <v>1</v>
      </c>
      <c r="V623" s="319"/>
      <c r="W623" s="319"/>
      <c r="X623" s="319"/>
      <c r="AB623" s="319"/>
      <c r="AC623" s="319"/>
      <c r="AD623" s="319">
        <v>8</v>
      </c>
      <c r="AE623" s="319"/>
      <c r="AF623" s="319"/>
      <c r="AG623" s="319"/>
      <c r="AH623" s="319"/>
      <c r="AI623" s="319"/>
      <c r="AJ623" s="319"/>
      <c r="AN623" s="476">
        <f>surfslopenoon($U$4,Iniciar!Y65,$M$610,$R$611,$R$612)</f>
        <v>0</v>
      </c>
      <c r="AO623" s="476">
        <f>GetCosIncidenceAngle(ACOS(Y237),0,$R$611, $R$612)*0+cosIncidenceAnglenoon($U$4,Iniciar!Y65,$M$610,$R$611, $R$612)</f>
        <v>0.89301624881490382</v>
      </c>
      <c r="AP623" s="476">
        <f t="shared" si="64"/>
        <v>0.99999814894419092</v>
      </c>
      <c r="AS623" s="476">
        <f>(1-AB237/AA237*Y685)*AP623+AB237/AA237*Y685*(1+COS(AN623))/2+Iniciar!AE65*(1-COS(AN623))/2</f>
        <v>0.99999880306864886</v>
      </c>
      <c r="AT623" s="203"/>
      <c r="AU623" s="476" t="e">
        <f t="shared" si="65"/>
        <v>#DIV/0!</v>
      </c>
      <c r="AV623" s="476" t="e">
        <f t="shared" si="66"/>
        <v>#DIV/0!</v>
      </c>
      <c r="AW623" s="476">
        <f>IF(Q685&gt;0,AB645/Iniciar!AB65,1)</f>
        <v>1.0000000000000002</v>
      </c>
      <c r="AX623" s="319"/>
      <c r="AY623" s="319"/>
      <c r="AZ623" s="319">
        <f t="shared" si="68"/>
        <v>0</v>
      </c>
      <c r="BA623" s="476" t="e">
        <f>IF(W685,EXP((Iniciar!AF65+Iniciar!AG65*AS623/AW623)*AV623*(1+AV623*Iniciar!AH65)),0)</f>
        <v>#DIV/0!</v>
      </c>
      <c r="BB623" s="476" t="e">
        <f t="shared" si="69"/>
        <v>#DIV/0!</v>
      </c>
      <c r="BC623" s="476" t="e">
        <f t="shared" si="70"/>
        <v>#DIV/0!</v>
      </c>
      <c r="BD623" s="476" t="e">
        <f t="shared" si="71"/>
        <v>#DIV/0!</v>
      </c>
      <c r="BE623" s="476" t="e">
        <f t="shared" si="72"/>
        <v>#DIV/0!</v>
      </c>
      <c r="BF623" s="78" t="e">
        <f t="shared" si="73"/>
        <v>#DIV/0!</v>
      </c>
      <c r="BG623" t="e">
        <f t="shared" si="74"/>
        <v>#DIV/0!</v>
      </c>
      <c r="CV623" s="319"/>
    </row>
    <row r="624" spans="1:100" ht="13.5" hidden="1" customHeight="1">
      <c r="A624" s="12"/>
      <c r="B624" s="329"/>
      <c r="C624" s="83" t="str">
        <f t="shared" si="62"/>
        <v>Setembro</v>
      </c>
      <c r="D624" s="100">
        <f t="shared" si="67"/>
        <v>4.7</v>
      </c>
      <c r="E624" s="100">
        <f t="shared" si="63"/>
        <v>4.7</v>
      </c>
      <c r="F624" s="329"/>
      <c r="G624" s="329"/>
      <c r="H624" s="1"/>
      <c r="I624" s="1"/>
      <c r="J624" s="1"/>
      <c r="K624" s="9"/>
      <c r="L624" s="1"/>
      <c r="M624" s="319"/>
      <c r="N624" s="319">
        <v>5070048</v>
      </c>
      <c r="O624" s="319"/>
      <c r="P624" s="319"/>
      <c r="Q624" s="319"/>
      <c r="R624" s="319"/>
      <c r="S624" s="319"/>
      <c r="Y624" s="319" t="str">
        <f>B779</f>
        <v>Eficiência do trocador de calor</v>
      </c>
      <c r="Z624" s="29" t="str">
        <f>$C$254</f>
        <v>%</v>
      </c>
      <c r="AA624" s="954">
        <v>1</v>
      </c>
      <c r="AB624" s="319"/>
      <c r="AC624" s="319"/>
      <c r="AD624" s="319">
        <v>9</v>
      </c>
      <c r="AE624" s="319"/>
      <c r="AF624" s="319"/>
      <c r="AG624" s="319"/>
      <c r="AH624" s="319"/>
      <c r="AI624" s="319"/>
      <c r="AJ624" s="319"/>
      <c r="AN624" s="476">
        <f>surfslopenoon($U$4,Iniciar!Y66,$M$610,$R$611,$R$612)</f>
        <v>0</v>
      </c>
      <c r="AO624" s="476">
        <f>GetCosIncidenceAngle(ACOS(Y238),0,$R$611, $R$612)*0+cosIncidenceAnglenoon($U$4,Iniciar!Y66,$M$610,$R$611, $R$612)</f>
        <v>0.78818991266177352</v>
      </c>
      <c r="AP624" s="476">
        <f t="shared" si="64"/>
        <v>0.99999713191393469</v>
      </c>
      <c r="AS624" s="476">
        <f>(1-AB238/AA238*Y686)*AP624+AB238/AA238*Y686*(1+COS(AN624))/2+Iniciar!AE66*(1-COS(AN624))/2</f>
        <v>0.9999983932601213</v>
      </c>
      <c r="AT624" s="203"/>
      <c r="AU624" s="476" t="e">
        <f t="shared" si="65"/>
        <v>#DIV/0!</v>
      </c>
      <c r="AV624" s="476" t="e">
        <f t="shared" si="66"/>
        <v>#DIV/0!</v>
      </c>
      <c r="AW624" s="476">
        <f>IF(Q686&gt;0,AB646/Iniciar!AB66,1)</f>
        <v>1</v>
      </c>
      <c r="AX624" s="319"/>
      <c r="AY624" s="319"/>
      <c r="AZ624" s="319">
        <f t="shared" si="68"/>
        <v>0</v>
      </c>
      <c r="BA624" s="476" t="e">
        <f>IF(W686,EXP((Iniciar!AF66+Iniciar!AG66*AS624/AW624)*AV624*(1+AV624*Iniciar!AH66)),0)</f>
        <v>#DIV/0!</v>
      </c>
      <c r="BB624" s="476" t="e">
        <f t="shared" si="69"/>
        <v>#DIV/0!</v>
      </c>
      <c r="BC624" s="476" t="e">
        <f t="shared" si="70"/>
        <v>#DIV/0!</v>
      </c>
      <c r="BD624" s="476" t="e">
        <f t="shared" si="71"/>
        <v>#DIV/0!</v>
      </c>
      <c r="BE624" s="476" t="e">
        <f t="shared" si="72"/>
        <v>#DIV/0!</v>
      </c>
      <c r="BF624" s="78" t="e">
        <f t="shared" si="73"/>
        <v>#DIV/0!</v>
      </c>
      <c r="BG624" t="e">
        <f t="shared" si="74"/>
        <v>#DIV/0!</v>
      </c>
      <c r="CV624" s="319"/>
    </row>
    <row r="625" spans="1:100" ht="13.5" hidden="1" customHeight="1">
      <c r="A625" s="12"/>
      <c r="B625" s="329"/>
      <c r="C625" s="83" t="str">
        <f t="shared" si="62"/>
        <v>Outubro</v>
      </c>
      <c r="D625" s="100">
        <f t="shared" si="67"/>
        <v>3.55</v>
      </c>
      <c r="E625" s="100">
        <f t="shared" si="63"/>
        <v>3.5499999999999994</v>
      </c>
      <c r="F625" s="329"/>
      <c r="G625" s="329"/>
      <c r="H625" s="1"/>
      <c r="I625" s="1"/>
      <c r="J625" s="1"/>
      <c r="K625" s="9"/>
      <c r="L625" s="1"/>
      <c r="M625" s="319"/>
      <c r="N625" s="319">
        <v>5070048</v>
      </c>
      <c r="O625" s="319"/>
      <c r="P625" s="319"/>
      <c r="Q625" s="319"/>
      <c r="R625" s="319"/>
      <c r="S625" s="319"/>
      <c r="Y625" s="319" t="str">
        <f>B780</f>
        <v>Perdas diversas</v>
      </c>
      <c r="Z625" s="319"/>
      <c r="AA625" s="954">
        <v>0</v>
      </c>
      <c r="AB625" s="319"/>
      <c r="AC625" s="319"/>
      <c r="AD625" s="319">
        <v>10</v>
      </c>
      <c r="AE625" s="319"/>
      <c r="AF625" s="319"/>
      <c r="AG625" s="319"/>
      <c r="AH625" s="319"/>
      <c r="AI625" s="319"/>
      <c r="AJ625" s="319"/>
      <c r="AN625" s="476">
        <f>surfslopenoon($U$4,Iniciar!Y67,$M$610,$R$611,$R$612)</f>
        <v>0</v>
      </c>
      <c r="AO625" s="476">
        <f>GetCosIncidenceAngle(ACOS(Y239),0,$R$611, $R$612)*0+cosIncidenceAnglenoon($U$4,Iniciar!Y67,$M$610,$R$611, $R$612)</f>
        <v>0.64546291745231776</v>
      </c>
      <c r="AP625" s="476">
        <f t="shared" si="64"/>
        <v>0.99999565343474939</v>
      </c>
      <c r="AS625" s="476">
        <f>(1-AB239/AA239*Y687)*AP625+AB239/AA239*Y687*(1+COS(AN625))/2+Iniciar!AE67*(1-COS(AN625))/2</f>
        <v>0.9999975380837034</v>
      </c>
      <c r="AT625" s="203"/>
      <c r="AU625" s="476" t="e">
        <f t="shared" si="65"/>
        <v>#DIV/0!</v>
      </c>
      <c r="AV625" s="476" t="e">
        <f t="shared" si="66"/>
        <v>#DIV/0!</v>
      </c>
      <c r="AW625" s="476">
        <f>IF(Q687&gt;0,AB647/Iniciar!AB67,1)</f>
        <v>0.99999999999999989</v>
      </c>
      <c r="AX625" s="319"/>
      <c r="AY625" s="319"/>
      <c r="AZ625" s="319">
        <f t="shared" si="68"/>
        <v>0</v>
      </c>
      <c r="BA625" s="476" t="e">
        <f>IF(W687,EXP((Iniciar!AF67+Iniciar!AG67*AS625/AW625)*AV625*(1+AV625*Iniciar!AH67)),0)</f>
        <v>#DIV/0!</v>
      </c>
      <c r="BB625" s="476" t="e">
        <f t="shared" si="69"/>
        <v>#DIV/0!</v>
      </c>
      <c r="BC625" s="476" t="e">
        <f t="shared" si="70"/>
        <v>#DIV/0!</v>
      </c>
      <c r="BD625" s="476" t="e">
        <f t="shared" si="71"/>
        <v>#DIV/0!</v>
      </c>
      <c r="BE625" s="476" t="e">
        <f t="shared" si="72"/>
        <v>#DIV/0!</v>
      </c>
      <c r="BF625" s="78" t="e">
        <f t="shared" si="73"/>
        <v>#DIV/0!</v>
      </c>
      <c r="BG625" t="e">
        <f t="shared" si="74"/>
        <v>#DIV/0!</v>
      </c>
      <c r="CV625" s="319"/>
    </row>
    <row r="626" spans="1:100" ht="13.5" hidden="1" customHeight="1">
      <c r="A626" s="12"/>
      <c r="B626" s="329"/>
      <c r="C626" s="83" t="str">
        <f t="shared" si="62"/>
        <v>Novembro</v>
      </c>
      <c r="D626" s="100">
        <f t="shared" si="67"/>
        <v>2.46</v>
      </c>
      <c r="E626" s="100">
        <f t="shared" si="63"/>
        <v>2.4600000000000004</v>
      </c>
      <c r="F626" s="329"/>
      <c r="G626" s="329"/>
      <c r="H626" s="1"/>
      <c r="I626" s="1"/>
      <c r="J626" s="1"/>
      <c r="K626" s="9"/>
      <c r="L626" s="1"/>
      <c r="M626" s="319"/>
      <c r="N626" s="319">
        <v>5070048</v>
      </c>
      <c r="O626" s="319"/>
      <c r="P626" s="319"/>
      <c r="Q626" s="319"/>
      <c r="R626" s="319"/>
      <c r="S626" s="319"/>
      <c r="Y626" s="319"/>
      <c r="Z626" s="319"/>
      <c r="AA626" s="319"/>
      <c r="AB626" s="319"/>
      <c r="AC626" s="319"/>
      <c r="AD626" s="319">
        <v>11</v>
      </c>
      <c r="AE626" s="319"/>
      <c r="AF626" s="319"/>
      <c r="AG626" s="319"/>
      <c r="AH626" s="319"/>
      <c r="AI626" s="319"/>
      <c r="AJ626" s="319"/>
      <c r="AN626" s="476">
        <f>surfslopenoon($U$4,Iniciar!Y68,$M$610,$R$611,$R$612)</f>
        <v>0</v>
      </c>
      <c r="AO626" s="476">
        <f>GetCosIncidenceAngle(ACOS(Y240),0,$R$611, $R$612)*0+cosIncidenceAnglenoon($U$4,Iniciar!Y68,$M$610,$R$611, $R$612)</f>
        <v>0.51335905373992341</v>
      </c>
      <c r="AP626" s="476">
        <f t="shared" si="64"/>
        <v>0.99999385960763532</v>
      </c>
      <c r="AS626" s="476">
        <f>(1-AB240/AA240*Y688)*AP626+AB240/AA240*Y688*(1+COS(AN626))/2+Iniciar!AE68*(1-COS(AN626))/2</f>
        <v>0.99999683358239722</v>
      </c>
      <c r="AT626" s="203"/>
      <c r="AU626" s="476" t="e">
        <f t="shared" si="65"/>
        <v>#DIV/0!</v>
      </c>
      <c r="AV626" s="476" t="e">
        <f t="shared" si="66"/>
        <v>#DIV/0!</v>
      </c>
      <c r="AW626" s="476">
        <f>IF(Q688&gt;0,AB648/Iniciar!AB68,1)</f>
        <v>1.0000000000000002</v>
      </c>
      <c r="AX626" s="319"/>
      <c r="AY626" s="319"/>
      <c r="AZ626" s="319">
        <f t="shared" si="68"/>
        <v>0</v>
      </c>
      <c r="BA626" s="476" t="e">
        <f>IF(W688,EXP((Iniciar!AF68+Iniciar!AG68*AS626/AW626)*AV626*(1+AV626*Iniciar!AH68)),0)</f>
        <v>#DIV/0!</v>
      </c>
      <c r="BB626" s="476" t="e">
        <f t="shared" si="69"/>
        <v>#DIV/0!</v>
      </c>
      <c r="BC626" s="476" t="e">
        <f t="shared" si="70"/>
        <v>#DIV/0!</v>
      </c>
      <c r="BD626" s="476" t="e">
        <f t="shared" si="71"/>
        <v>#DIV/0!</v>
      </c>
      <c r="BE626" s="476" t="e">
        <f t="shared" si="72"/>
        <v>#DIV/0!</v>
      </c>
      <c r="BF626" s="78" t="e">
        <f t="shared" si="73"/>
        <v>#DIV/0!</v>
      </c>
      <c r="BG626" t="e">
        <f t="shared" si="74"/>
        <v>#DIV/0!</v>
      </c>
      <c r="CV626" s="319"/>
    </row>
    <row r="627" spans="1:100" ht="13.5" hidden="1" customHeight="1">
      <c r="A627" s="12"/>
      <c r="B627" s="329"/>
      <c r="C627" s="83" t="str">
        <f t="shared" si="62"/>
        <v>Dezembro</v>
      </c>
      <c r="D627" s="100">
        <f t="shared" si="67"/>
        <v>2.17</v>
      </c>
      <c r="E627" s="100">
        <f t="shared" si="63"/>
        <v>2.17</v>
      </c>
      <c r="F627" s="329"/>
      <c r="G627" s="329"/>
      <c r="H627" s="1"/>
      <c r="I627" s="1"/>
      <c r="J627" s="1"/>
      <c r="K627" s="9"/>
      <c r="L627" s="1"/>
      <c r="M627" s="319"/>
      <c r="N627" s="319">
        <v>5070048</v>
      </c>
      <c r="O627" s="319"/>
      <c r="P627" s="319"/>
      <c r="Q627" s="319"/>
      <c r="R627" s="319"/>
      <c r="S627" s="319"/>
      <c r="Y627" s="319"/>
      <c r="Z627" s="319"/>
      <c r="AA627" s="319"/>
      <c r="AB627" s="319"/>
      <c r="AC627" s="319"/>
      <c r="AD627" s="319">
        <v>12</v>
      </c>
      <c r="AE627" s="319"/>
      <c r="AF627" s="319"/>
      <c r="AG627" s="319"/>
      <c r="AH627" s="319"/>
      <c r="AI627" s="319"/>
      <c r="AJ627" s="319"/>
      <c r="AN627" s="476">
        <f>surfslopenoon($U$4,Iniciar!Y69,$M$610,$R$611,$R$612)</f>
        <v>0</v>
      </c>
      <c r="AO627" s="476">
        <f>GetCosIncidenceAngle(ACOS(Y241),0,$R$611, $R$612)*0+cosIncidenceAnglenoon($U$4,Iniciar!Y69,$M$610,$R$611, $R$612)</f>
        <v>0.45010096426749646</v>
      </c>
      <c r="AP627" s="476">
        <f t="shared" si="64"/>
        <v>0.99999271260570166</v>
      </c>
      <c r="AS627" s="476">
        <f>(1-AB241/AA241*Y689)*AP627+AB241/AA241*Y689*(1+COS(AN627))/2+Iniciar!AE69*(1-COS(AN627))/2</f>
        <v>0.99999584809480857</v>
      </c>
      <c r="AT627" s="203"/>
      <c r="AU627" s="476" t="e">
        <f t="shared" si="65"/>
        <v>#DIV/0!</v>
      </c>
      <c r="AV627" s="476" t="e">
        <f t="shared" si="66"/>
        <v>#DIV/0!</v>
      </c>
      <c r="AW627" s="476">
        <f>IF(Q689&gt;0,AB649/Iniciar!AB69,1)</f>
        <v>1</v>
      </c>
      <c r="AX627" s="319"/>
      <c r="AY627" s="319"/>
      <c r="AZ627" s="319">
        <f t="shared" si="68"/>
        <v>0</v>
      </c>
      <c r="BA627" s="476" t="e">
        <f>IF(W689,EXP((Iniciar!AF69+Iniciar!AG69*AS627/AW627)*AV627*(1+AV627*Iniciar!AH69)),0)</f>
        <v>#DIV/0!</v>
      </c>
      <c r="BB627" s="476" t="e">
        <f t="shared" si="69"/>
        <v>#DIV/0!</v>
      </c>
      <c r="BC627" s="476" t="e">
        <f t="shared" si="70"/>
        <v>#DIV/0!</v>
      </c>
      <c r="BD627" s="476" t="e">
        <f t="shared" si="71"/>
        <v>#DIV/0!</v>
      </c>
      <c r="BE627" s="476" t="e">
        <f t="shared" si="72"/>
        <v>#DIV/0!</v>
      </c>
      <c r="BF627" s="78" t="e">
        <f t="shared" si="73"/>
        <v>#DIV/0!</v>
      </c>
      <c r="BG627" t="e">
        <f t="shared" si="74"/>
        <v>#DIV/0!</v>
      </c>
      <c r="CV627" s="319"/>
    </row>
    <row r="628" spans="1:100" ht="13.5" hidden="1" customHeight="1">
      <c r="A628" s="12"/>
      <c r="B628" s="329"/>
      <c r="C628" s="333" t="str">
        <f>B331</f>
        <v>Anual</v>
      </c>
      <c r="D628" s="806">
        <f t="shared" si="67"/>
        <v>4.4355890410958905</v>
      </c>
      <c r="E628" s="806">
        <f>SUMPRODUCT(E616:E627,P476:P487)/365</f>
        <v>4.4355890410958905</v>
      </c>
      <c r="F628" s="329"/>
      <c r="G628" s="329"/>
      <c r="H628" s="1"/>
      <c r="I628" s="1"/>
      <c r="J628" s="1"/>
      <c r="K628" s="9"/>
      <c r="L628" s="1"/>
      <c r="M628" s="319"/>
      <c r="N628" s="319">
        <v>5070048</v>
      </c>
      <c r="O628" s="319"/>
      <c r="P628" s="319"/>
      <c r="Q628" s="319"/>
      <c r="R628" s="319"/>
      <c r="S628" s="319"/>
      <c r="AG628" s="319"/>
      <c r="AH628" s="319"/>
      <c r="AI628" s="319"/>
      <c r="AJ628" s="319"/>
      <c r="AK628" s="319"/>
      <c r="AL628" s="319"/>
      <c r="AM628" s="319"/>
      <c r="AN628" s="846"/>
      <c r="AO628" s="846"/>
      <c r="AP628" s="846"/>
      <c r="AQ628" s="319"/>
      <c r="AR628" s="319"/>
      <c r="AS628" s="846"/>
      <c r="AT628" s="846"/>
      <c r="AU628" s="846"/>
      <c r="AV628" s="846"/>
      <c r="AW628" s="846"/>
      <c r="AX628" s="319"/>
      <c r="AY628" s="319"/>
      <c r="AZ628" s="319"/>
      <c r="BA628" s="846"/>
      <c r="BB628" s="846"/>
      <c r="BD628" s="319"/>
      <c r="BE628" s="476" t="e">
        <f>SUMPRODUCT(U638:U649,BE616:BE627)/SUM(U638:U649)</f>
        <v>#DIV/0!</v>
      </c>
      <c r="CV628" s="319"/>
    </row>
    <row r="629" spans="1:100" ht="13.5" hidden="1" customHeight="1">
      <c r="A629" s="12"/>
      <c r="B629" s="329"/>
      <c r="C629" s="333"/>
      <c r="D629" s="100"/>
      <c r="E629" s="100"/>
      <c r="F629" s="329"/>
      <c r="G629" s="329"/>
      <c r="H629" s="1"/>
      <c r="I629" s="1"/>
      <c r="J629" s="1"/>
      <c r="K629" s="9"/>
      <c r="L629" s="1"/>
      <c r="M629" s="319"/>
      <c r="N629" s="319">
        <v>5070048</v>
      </c>
      <c r="O629" s="319"/>
      <c r="P629" s="319"/>
      <c r="Q629" s="319"/>
      <c r="R629" s="319"/>
      <c r="S629" s="319"/>
      <c r="AG629" s="319"/>
      <c r="AH629" s="319"/>
      <c r="AI629" s="319"/>
      <c r="AJ629" s="319"/>
      <c r="AK629" s="319"/>
      <c r="AL629" s="319"/>
      <c r="AM629" s="319"/>
      <c r="AN629" s="319"/>
      <c r="AO629" s="319"/>
      <c r="AP629" s="319"/>
      <c r="AQ629" s="319"/>
      <c r="AR629" s="319"/>
      <c r="AS629" s="319"/>
      <c r="AT629" s="319"/>
      <c r="AU629" s="319"/>
      <c r="AV629" s="319"/>
      <c r="AW629" s="319"/>
      <c r="AX629" s="319"/>
      <c r="AY629" s="319"/>
      <c r="AZ629" s="319"/>
      <c r="BA629" s="319"/>
      <c r="BB629" s="476" t="e">
        <f>SUM(BB616:BB627)/3600</f>
        <v>#DIV/0!</v>
      </c>
      <c r="BC629" s="319" t="s">
        <v>2745</v>
      </c>
      <c r="BD629" s="319"/>
      <c r="BE629" s="319"/>
      <c r="BG629" s="476">
        <f>IF(ISERROR(SUM(BG616:BG628)),0,SUM(BG616:BG628)/3600)</f>
        <v>0</v>
      </c>
      <c r="BH629" t="s">
        <v>2745</v>
      </c>
      <c r="CV629" s="319"/>
    </row>
    <row r="630" spans="1:100" ht="13.5" hidden="1" customHeight="1">
      <c r="A630" s="12"/>
      <c r="B630" s="329" t="str">
        <f>B294</f>
        <v>Radiação Solar anual - horizontal</v>
      </c>
      <c r="C630" s="29" t="str">
        <f>$C$294</f>
        <v>MWh/m²</v>
      </c>
      <c r="D630" s="217">
        <f>D294</f>
        <v>1.6189900000000002</v>
      </c>
      <c r="E630" s="329"/>
      <c r="F630" s="329"/>
      <c r="G630" s="329"/>
      <c r="H630" s="1"/>
      <c r="I630" s="1"/>
      <c r="J630" s="1"/>
      <c r="K630" s="9"/>
      <c r="L630" s="1"/>
      <c r="M630" s="319"/>
      <c r="N630" s="319">
        <v>2122014</v>
      </c>
      <c r="O630" s="319"/>
      <c r="P630" s="319"/>
      <c r="Q630" s="319"/>
      <c r="R630" s="319"/>
      <c r="S630" s="319"/>
      <c r="AG630" s="319"/>
      <c r="AH630" s="319"/>
      <c r="AI630" s="319"/>
      <c r="AJ630" s="319"/>
      <c r="AK630" s="319"/>
      <c r="AL630" s="319"/>
      <c r="AM630" s="319"/>
      <c r="AN630" s="319"/>
      <c r="AO630" s="319"/>
      <c r="AP630" s="319"/>
      <c r="AQ630" s="319"/>
      <c r="AR630" s="319"/>
      <c r="AS630" s="319"/>
      <c r="AT630" s="319"/>
      <c r="AU630" s="319"/>
      <c r="AV630" s="319"/>
      <c r="AW630" s="319"/>
      <c r="AX630" s="319"/>
      <c r="AY630" s="319"/>
      <c r="AZ630" s="319"/>
      <c r="BA630" s="319"/>
      <c r="BB630" s="319"/>
      <c r="BC630" s="319"/>
      <c r="BD630" s="319"/>
      <c r="BE630" s="319"/>
      <c r="BF630" s="319"/>
      <c r="BG630" s="319"/>
      <c r="BH630" s="319"/>
      <c r="BI630" s="319"/>
      <c r="BJ630" s="319"/>
      <c r="BK630" s="319"/>
      <c r="BL630" s="319"/>
      <c r="BM630" s="319"/>
      <c r="BN630" s="319"/>
      <c r="BO630" s="319"/>
      <c r="BP630" s="319"/>
      <c r="BQ630" s="319"/>
      <c r="BR630" s="319"/>
      <c r="BS630" s="319"/>
      <c r="BT630" s="319"/>
      <c r="BU630" s="319"/>
      <c r="BV630" s="319"/>
      <c r="BW630" s="319"/>
      <c r="BX630" s="319"/>
      <c r="BY630" s="319"/>
      <c r="BZ630" s="319"/>
      <c r="CA630" s="319"/>
      <c r="CB630" s="319"/>
      <c r="CC630" s="319"/>
      <c r="CD630" s="319"/>
      <c r="CE630" s="319"/>
      <c r="CF630" s="319"/>
      <c r="CG630" s="319"/>
      <c r="CH630" s="319"/>
      <c r="CI630" s="319"/>
      <c r="CJ630" s="319"/>
      <c r="CK630" s="319"/>
    </row>
    <row r="631" spans="1:100" ht="13.5" hidden="1" customHeight="1">
      <c r="A631" s="12"/>
      <c r="B631" s="329" t="str">
        <f>B756</f>
        <v>Radiação Solar anual - inclinado</v>
      </c>
      <c r="C631" s="29" t="str">
        <f>$C$294</f>
        <v>MWh/m²</v>
      </c>
      <c r="D631" s="238">
        <f>SUMPRODUCT(AB638:AB649,V678:V689)/3600</f>
        <v>1.6189900000000002</v>
      </c>
      <c r="E631" s="329"/>
      <c r="F631" s="329"/>
      <c r="G631" s="329"/>
      <c r="H631" s="1"/>
      <c r="I631" s="1"/>
      <c r="J631" s="1"/>
      <c r="K631" s="9"/>
      <c r="L631" s="1"/>
      <c r="M631" s="319"/>
      <c r="N631" s="319">
        <v>2122016</v>
      </c>
      <c r="O631" s="319"/>
      <c r="P631" s="319"/>
      <c r="Q631" s="481"/>
      <c r="R631" s="319"/>
      <c r="S631" s="319"/>
      <c r="T631" s="319"/>
      <c r="U631" s="319"/>
      <c r="V631" s="319"/>
      <c r="W631" s="319"/>
      <c r="X631" s="319"/>
      <c r="AG631" s="319"/>
      <c r="AH631" s="319"/>
      <c r="AI631" s="319"/>
      <c r="AJ631" s="319"/>
      <c r="AK631" s="319"/>
      <c r="AL631" s="319"/>
      <c r="AM631" s="319"/>
      <c r="AN631" s="319"/>
      <c r="AO631" s="319"/>
      <c r="AP631" s="319"/>
      <c r="AQ631" s="319"/>
      <c r="AR631" s="319"/>
      <c r="AS631" s="319"/>
      <c r="AT631" s="319"/>
      <c r="AU631" s="319"/>
      <c r="AV631" s="319"/>
      <c r="AW631" s="319"/>
      <c r="AX631" s="319"/>
      <c r="AY631" s="319"/>
      <c r="AZ631" s="319"/>
      <c r="BA631" s="319"/>
      <c r="BB631" s="319"/>
      <c r="BC631" s="319"/>
      <c r="BD631" s="319"/>
      <c r="BE631" s="319"/>
      <c r="BF631" s="319"/>
      <c r="BG631" s="319"/>
      <c r="BH631" s="319"/>
      <c r="BI631" s="319"/>
      <c r="BJ631" s="319"/>
      <c r="BK631" s="319"/>
      <c r="BL631" s="319"/>
      <c r="BM631" s="319"/>
      <c r="BN631" s="319"/>
      <c r="BO631" s="319"/>
      <c r="BP631" s="319"/>
      <c r="BQ631" s="319"/>
      <c r="BR631" s="319"/>
      <c r="BS631" s="319"/>
      <c r="BT631" s="319"/>
      <c r="BU631" s="319"/>
      <c r="BV631" s="319"/>
      <c r="BW631" s="319"/>
      <c r="BX631" s="319"/>
      <c r="BY631" s="319"/>
      <c r="BZ631" s="319"/>
      <c r="CA631" s="319"/>
      <c r="CB631" s="319"/>
      <c r="CC631" s="319"/>
      <c r="CD631" s="319"/>
      <c r="CE631" s="319"/>
      <c r="CF631" s="319"/>
      <c r="CG631" s="319"/>
      <c r="CH631" s="319"/>
      <c r="CI631" s="319"/>
      <c r="CJ631" s="319"/>
      <c r="CK631" s="319"/>
    </row>
    <row r="632" spans="1:100" ht="13.5" hidden="1" customHeight="1">
      <c r="A632" s="12"/>
      <c r="B632" s="329"/>
      <c r="C632" s="329"/>
      <c r="D632" s="329"/>
      <c r="E632" s="329"/>
      <c r="F632" s="329"/>
      <c r="G632" s="329"/>
      <c r="H632" s="1"/>
      <c r="I632" s="1"/>
      <c r="J632" s="1"/>
      <c r="K632" s="9"/>
      <c r="L632" s="1"/>
      <c r="M632" s="319"/>
      <c r="N632" s="319">
        <v>13190</v>
      </c>
      <c r="O632" s="319"/>
      <c r="P632" s="319"/>
      <c r="Q632" s="392" t="b">
        <v>0</v>
      </c>
      <c r="R632" s="319"/>
      <c r="S632" s="319"/>
      <c r="BK632" s="319"/>
      <c r="BL632" s="319"/>
      <c r="BM632" s="319"/>
      <c r="BN632" s="319"/>
      <c r="BO632" s="319"/>
      <c r="BP632" s="319"/>
      <c r="BQ632" s="319"/>
      <c r="BR632" s="319"/>
      <c r="BS632" s="319"/>
      <c r="BT632" s="319"/>
      <c r="BU632" s="319"/>
      <c r="BV632" s="319"/>
      <c r="BW632" s="319"/>
      <c r="BX632" s="319"/>
      <c r="BY632" s="319"/>
      <c r="BZ632" s="319"/>
      <c r="CA632" s="319"/>
      <c r="CB632" s="319"/>
      <c r="CC632" s="319"/>
      <c r="CD632" s="319"/>
      <c r="CE632" s="319"/>
      <c r="CF632" s="319"/>
      <c r="CG632" s="319"/>
      <c r="CH632" s="319"/>
      <c r="CI632" s="319"/>
      <c r="CJ632" s="319"/>
      <c r="CK632" s="319"/>
    </row>
    <row r="633" spans="1:100" ht="12.75" hidden="1" customHeight="1">
      <c r="A633" s="12"/>
      <c r="B633" s="28" t="str">
        <f>D541</f>
        <v>Aquecedor de ar solar</v>
      </c>
      <c r="C633" s="1"/>
      <c r="D633" s="1"/>
      <c r="E633" s="1"/>
      <c r="F633" s="1"/>
      <c r="G633" s="82"/>
      <c r="H633" s="1"/>
      <c r="I633" s="1"/>
      <c r="J633" s="1"/>
      <c r="K633" s="9"/>
      <c r="L633" s="1"/>
      <c r="M633" s="319">
        <f>IF(ISERROR(MATCH(C634,$I$1168:$I$1171,0)),1,MATCH(C634,$I$1168:$I$1171,0))*100</f>
        <v>300</v>
      </c>
      <c r="N633" s="319">
        <v>5070058</v>
      </c>
      <c r="O633" s="319"/>
      <c r="P633" s="319"/>
      <c r="Q633" s="481" t="s">
        <v>5486</v>
      </c>
      <c r="R633" s="319" t="e">
        <f>R655/R660/3.6</f>
        <v>#DIV/0!</v>
      </c>
      <c r="S633" s="319"/>
      <c r="BK633" s="319"/>
      <c r="BL633" s="319"/>
      <c r="BM633" s="319"/>
      <c r="BN633" s="319"/>
      <c r="BO633" s="319"/>
      <c r="BP633" s="319"/>
      <c r="BQ633" s="319"/>
      <c r="BR633" s="319"/>
      <c r="BS633" s="319"/>
      <c r="BT633" s="319"/>
      <c r="BU633" s="319"/>
      <c r="BV633" s="319"/>
      <c r="BW633" s="319"/>
      <c r="BX633" s="319"/>
      <c r="BY633" s="319"/>
      <c r="BZ633" s="319"/>
      <c r="CA633" s="319"/>
      <c r="CB633" s="319"/>
      <c r="CC633" s="319"/>
      <c r="CD633" s="319"/>
      <c r="CE633" s="319"/>
      <c r="CF633" s="319"/>
      <c r="CG633" s="319"/>
      <c r="CH633" s="319"/>
      <c r="CI633" s="319"/>
      <c r="CJ633" s="319"/>
      <c r="CK633" s="319"/>
    </row>
    <row r="634" spans="1:100" ht="13.5" hidden="1" customHeight="1">
      <c r="A634" s="12"/>
      <c r="B634" s="329" t="str">
        <f>B759</f>
        <v>Tipo</v>
      </c>
      <c r="C634" s="1133" t="s">
        <v>7799</v>
      </c>
      <c r="D634" s="1134"/>
      <c r="E634" s="1135"/>
      <c r="F634" s="1"/>
      <c r="G634" s="1367"/>
      <c r="H634" s="8"/>
      <c r="I634" s="8"/>
      <c r="J634" s="8"/>
      <c r="K634" s="9"/>
      <c r="L634" s="1"/>
      <c r="M634" s="319">
        <f>IF(OR(C634=$I$1170,C634=$I$1168),1,2)</f>
        <v>1</v>
      </c>
      <c r="N634" s="319">
        <v>5070060</v>
      </c>
      <c r="O634" s="319"/>
      <c r="P634" s="319"/>
      <c r="Q634" s="481" t="s">
        <v>1045</v>
      </c>
      <c r="R634" s="319">
        <f>IF($Q$542=TRUE,IF(C553=J1194,K1194,1)*E553,IF(C584=J1194,K1194,1)*$E$584)</f>
        <v>0</v>
      </c>
      <c r="S634" s="319"/>
      <c r="BK634" s="319"/>
      <c r="BL634" s="319"/>
      <c r="BM634" s="319"/>
      <c r="BN634" s="319"/>
      <c r="BO634" s="319"/>
      <c r="BP634" s="319"/>
      <c r="BQ634" s="319"/>
      <c r="BR634" s="319"/>
      <c r="BS634" s="319"/>
      <c r="BT634" s="319"/>
      <c r="BU634" s="319"/>
      <c r="BV634" s="319"/>
      <c r="BW634" s="319"/>
      <c r="BX634" s="319"/>
      <c r="BY634" s="319"/>
      <c r="BZ634" s="319"/>
      <c r="CA634" s="319"/>
      <c r="CB634" s="319"/>
      <c r="CC634" s="319"/>
      <c r="CD634" s="319"/>
      <c r="CE634" s="319"/>
      <c r="CF634" s="319"/>
      <c r="CG634" s="319"/>
      <c r="CH634" s="319"/>
      <c r="CI634" s="319"/>
      <c r="CJ634" s="319"/>
      <c r="CK634" s="319"/>
    </row>
    <row r="635" spans="1:100" ht="13.5" hidden="1" customHeight="1">
      <c r="A635" s="12"/>
      <c r="B635" s="1" t="str">
        <f>Language!C1593</f>
        <v>Objetivo do projeto</v>
      </c>
      <c r="C635" s="1133" t="s">
        <v>7493</v>
      </c>
      <c r="D635" s="1134"/>
      <c r="E635" s="1135"/>
      <c r="F635" s="1"/>
      <c r="G635" s="526"/>
      <c r="H635" s="526"/>
      <c r="I635" s="526"/>
      <c r="J635" s="526"/>
      <c r="K635" s="838"/>
      <c r="L635" s="1"/>
      <c r="M635" s="319"/>
      <c r="N635" s="319">
        <v>5070062</v>
      </c>
      <c r="O635" s="319"/>
      <c r="P635" s="319"/>
      <c r="Q635" s="481" t="s">
        <v>1217</v>
      </c>
      <c r="R635" s="319">
        <f>IF($Q$542=TRUE,IF(C554=J1194,K1194,1)*E554,IF(C584=J1194,K1194,1)*$E$584)</f>
        <v>0</v>
      </c>
      <c r="S635" s="319"/>
      <c r="BK635" s="319"/>
      <c r="BL635" s="319"/>
      <c r="BM635" s="319"/>
      <c r="BN635" s="319"/>
      <c r="BO635" s="319"/>
      <c r="BP635" s="319"/>
      <c r="BQ635" s="319"/>
      <c r="BR635" s="319"/>
      <c r="BS635" s="319"/>
      <c r="BT635" s="319"/>
      <c r="BU635" s="319"/>
      <c r="BV635" s="319"/>
      <c r="BW635" s="319"/>
      <c r="BX635" s="319"/>
      <c r="BY635" s="319"/>
      <c r="BZ635" s="319"/>
      <c r="CA635" s="319"/>
      <c r="CB635" s="319"/>
      <c r="CC635" s="319"/>
      <c r="CD635" s="319"/>
      <c r="CE635" s="319"/>
      <c r="CF635" s="319"/>
      <c r="CG635" s="319"/>
      <c r="CH635" s="319"/>
      <c r="CI635" s="319"/>
      <c r="CJ635" s="319"/>
      <c r="CK635" s="319"/>
    </row>
    <row r="636" spans="1:100" ht="13.5" hidden="1" customHeight="1">
      <c r="A636" s="12"/>
      <c r="B636" s="1" t="str">
        <f>B760</f>
        <v>Fabricante</v>
      </c>
      <c r="C636" s="1152"/>
      <c r="D636" s="1235"/>
      <c r="E636" s="1236"/>
      <c r="F636" s="1"/>
      <c r="G636" s="526"/>
      <c r="H636" s="526"/>
      <c r="I636" s="1209" t="str">
        <f>Language!C61</f>
        <v>Ver banco de dados de produtos</v>
      </c>
      <c r="J636" s="1191"/>
      <c r="K636" s="1210"/>
      <c r="L636" s="1"/>
      <c r="M636" s="319"/>
      <c r="N636" s="319">
        <v>2050012</v>
      </c>
      <c r="O636" s="319"/>
      <c r="P636" s="319"/>
      <c r="Q636" s="481" t="s">
        <v>1109</v>
      </c>
      <c r="R636" s="319">
        <f>IF(C552=J1191,K1191,1)*E552</f>
        <v>0</v>
      </c>
      <c r="S636" s="319"/>
      <c r="U636" s="319" t="s">
        <v>3671</v>
      </c>
      <c r="V636" s="319"/>
      <c r="W636" s="319"/>
      <c r="X636" s="319"/>
      <c r="Y636" s="319"/>
      <c r="Z636" s="319"/>
      <c r="AA636" s="319"/>
      <c r="AB636" s="319"/>
      <c r="AC636" s="319"/>
      <c r="AD636" s="319"/>
      <c r="AE636" s="319" t="s">
        <v>5169</v>
      </c>
      <c r="AF636" s="319"/>
      <c r="AG636" s="319"/>
      <c r="AH636" s="319"/>
      <c r="AI636" s="319"/>
      <c r="AJ636" s="319"/>
      <c r="AK636" s="319"/>
      <c r="AL636" s="319" t="s">
        <v>5168</v>
      </c>
      <c r="AM636" s="319"/>
      <c r="AN636" s="319"/>
      <c r="AO636" s="319"/>
      <c r="AP636" s="319"/>
      <c r="AQ636" s="319" t="s">
        <v>5916</v>
      </c>
      <c r="AR636" s="319"/>
      <c r="AS636" s="319"/>
      <c r="AT636" s="319"/>
      <c r="AU636" s="319"/>
      <c r="AV636" s="319"/>
      <c r="AW636" s="319"/>
      <c r="AX636" s="319"/>
      <c r="AY636" s="319" t="s">
        <v>5167</v>
      </c>
      <c r="AZ636" s="319"/>
      <c r="BA636" s="319"/>
      <c r="BB636" s="319"/>
      <c r="BC636" s="319"/>
      <c r="BD636" s="319" t="s">
        <v>584</v>
      </c>
      <c r="BE636" s="319"/>
      <c r="BF636" s="319"/>
      <c r="BG636" s="319"/>
      <c r="BH636" s="319"/>
      <c r="BI636" s="319"/>
      <c r="BJ636" s="319"/>
      <c r="BK636" s="319"/>
      <c r="BL636" s="319"/>
      <c r="BM636" s="319"/>
      <c r="BN636" s="319"/>
      <c r="BO636" s="319"/>
      <c r="BP636" s="319"/>
      <c r="BQ636" s="319"/>
      <c r="BR636" s="319"/>
      <c r="BS636" s="319"/>
      <c r="BT636" s="319"/>
      <c r="BU636" s="319"/>
      <c r="BV636" s="319"/>
      <c r="BW636" s="319"/>
      <c r="BX636" s="319"/>
      <c r="BY636" s="319"/>
      <c r="BZ636" s="319"/>
      <c r="CA636" s="319"/>
      <c r="CB636" s="319"/>
      <c r="CC636" s="319"/>
      <c r="CD636" s="319"/>
      <c r="CE636" s="319"/>
      <c r="CF636" s="319"/>
      <c r="CG636" s="319"/>
      <c r="CH636" s="319"/>
      <c r="CI636" s="319"/>
      <c r="CJ636" s="319"/>
      <c r="CK636" s="319"/>
    </row>
    <row r="637" spans="1:100" ht="13.5" hidden="1" customHeight="1">
      <c r="A637" s="12"/>
      <c r="B637" s="329" t="str">
        <f>B343</f>
        <v>Modelo</v>
      </c>
      <c r="C637" s="1152"/>
      <c r="D637" s="1235"/>
      <c r="E637" s="1236"/>
      <c r="F637" s="1"/>
      <c r="G637" s="932"/>
      <c r="H637" s="526"/>
      <c r="I637" s="526"/>
      <c r="J637" s="526"/>
      <c r="K637" s="838"/>
      <c r="L637" s="1"/>
      <c r="M637" s="319"/>
      <c r="N637" s="319">
        <v>5070068</v>
      </c>
      <c r="O637" s="319"/>
      <c r="P637" s="319"/>
      <c r="Q637" s="481" t="s">
        <v>3017</v>
      </c>
      <c r="R637" s="319">
        <f>IF(R652&lt;3,0.75*R652,MIN(5,(R652-3)*0.25+2.25))</f>
        <v>0</v>
      </c>
      <c r="S637" s="319"/>
      <c r="U637" s="319" t="s">
        <v>3936</v>
      </c>
      <c r="V637" s="319" t="s">
        <v>110</v>
      </c>
      <c r="W637" s="319" t="s">
        <v>2074</v>
      </c>
      <c r="X637" s="319" t="s">
        <v>499</v>
      </c>
      <c r="Y637" s="319" t="s">
        <v>3993</v>
      </c>
      <c r="Z637" s="319" t="s">
        <v>5378</v>
      </c>
      <c r="AA637" s="319" t="s">
        <v>1111</v>
      </c>
      <c r="AB637" s="319" t="s">
        <v>5605</v>
      </c>
      <c r="AC637" s="319" t="s">
        <v>2990</v>
      </c>
      <c r="AD637" s="319" t="s">
        <v>2599</v>
      </c>
      <c r="AE637" s="319" t="s">
        <v>1048</v>
      </c>
      <c r="AF637" s="319" t="s">
        <v>2305</v>
      </c>
      <c r="AG637" s="319" t="s">
        <v>3893</v>
      </c>
      <c r="AH637" s="605" t="s">
        <v>1557</v>
      </c>
      <c r="AI637" s="319" t="s">
        <v>669</v>
      </c>
      <c r="AJ637" s="319" t="s">
        <v>5629</v>
      </c>
      <c r="AK637" s="319" t="s">
        <v>4294</v>
      </c>
      <c r="AL637" s="319" t="s">
        <v>5921</v>
      </c>
      <c r="AM637" s="319" t="s">
        <v>1091</v>
      </c>
      <c r="AN637" s="605" t="s">
        <v>1558</v>
      </c>
      <c r="AO637" s="319" t="s">
        <v>1189</v>
      </c>
      <c r="AP637" s="319" t="s">
        <v>3019</v>
      </c>
      <c r="AQ637" s="319" t="s">
        <v>5981</v>
      </c>
      <c r="AR637" s="319" t="s">
        <v>68</v>
      </c>
      <c r="AS637" s="319" t="s">
        <v>95</v>
      </c>
      <c r="AT637" s="605" t="s">
        <v>3802</v>
      </c>
      <c r="AU637" s="319" t="s">
        <v>2522</v>
      </c>
      <c r="AV637" s="319" t="s">
        <v>3375</v>
      </c>
      <c r="AW637" s="605" t="s">
        <v>4843</v>
      </c>
      <c r="AX637" s="319" t="s">
        <v>4884</v>
      </c>
      <c r="AY637" s="319" t="s">
        <v>1284</v>
      </c>
      <c r="AZ637" s="319" t="s">
        <v>716</v>
      </c>
      <c r="BA637" s="605" t="s">
        <v>4351</v>
      </c>
      <c r="BB637" s="319" t="s">
        <v>735</v>
      </c>
      <c r="BC637" s="605" t="s">
        <v>395</v>
      </c>
      <c r="BD637" s="319" t="s">
        <v>2284</v>
      </c>
      <c r="BE637" s="319" t="s">
        <v>1112</v>
      </c>
      <c r="BF637" s="319" t="s">
        <v>2285</v>
      </c>
      <c r="BG637" s="319" t="s">
        <v>5251</v>
      </c>
      <c r="BH637" s="319" t="s">
        <v>1617</v>
      </c>
      <c r="BI637" s="319" t="s">
        <v>5989</v>
      </c>
      <c r="BJ637" s="319" t="s">
        <v>4593</v>
      </c>
      <c r="BK637" s="319"/>
      <c r="BL637" s="319"/>
      <c r="BM637" s="319"/>
      <c r="BN637" s="319"/>
      <c r="BO637" s="319"/>
      <c r="BP637" s="319"/>
      <c r="BQ637" s="319"/>
      <c r="BR637" s="319"/>
      <c r="BS637" s="319"/>
      <c r="BT637" s="319"/>
      <c r="BU637" s="319"/>
      <c r="BV637" s="319"/>
      <c r="BW637" s="319"/>
      <c r="BX637" s="319"/>
      <c r="BY637" s="319"/>
      <c r="BZ637" s="319"/>
      <c r="CA637" s="319"/>
      <c r="CB637" s="319"/>
      <c r="CC637" s="319"/>
      <c r="CD637" s="319"/>
      <c r="CE637" s="319"/>
      <c r="CF637" s="319"/>
      <c r="CG637" s="319"/>
      <c r="CH637" s="319"/>
      <c r="CI637" s="319"/>
      <c r="CJ637" s="319"/>
      <c r="CK637" s="319"/>
    </row>
    <row r="638" spans="1:100" ht="13.5" hidden="1" customHeight="1">
      <c r="A638" s="12"/>
      <c r="B638" s="1" t="str">
        <f>Language!C1982</f>
        <v>Cor do coletor solar</v>
      </c>
      <c r="C638" s="1"/>
      <c r="D638" s="418"/>
      <c r="E638" s="1"/>
      <c r="F638" s="1"/>
      <c r="G638" s="329"/>
      <c r="H638" s="329"/>
      <c r="I638" s="329"/>
      <c r="J638" s="329"/>
      <c r="K638" s="838"/>
      <c r="L638" s="1"/>
      <c r="M638" s="319"/>
      <c r="N638" s="319"/>
      <c r="O638" s="319"/>
      <c r="P638" s="319"/>
      <c r="Q638" s="319">
        <f>VLOOKUP(C635,R638:S640,2,FALSE)</f>
        <v>10</v>
      </c>
      <c r="R638" s="468" t="str">
        <f>Language!C1731</f>
        <v>Incremento da alta temperatura</v>
      </c>
      <c r="S638" s="470">
        <v>10</v>
      </c>
      <c r="U638" s="319">
        <f t="shared" ref="U638:U649" si="75">IF($Q$542=TRUE,IF(EE_10_M=TRUE,E563,1),IF(EE_11_M=TRUE,E593,1))</f>
        <v>1</v>
      </c>
      <c r="V638" s="319">
        <f t="shared" ref="V638:V649" si="76">IF($Q$542=TRUE,X562+Y562,X592+Y592)</f>
        <v>0</v>
      </c>
      <c r="W638" s="476">
        <f>MIN(IF($Q$542=TRUE,X562,X592),IF($Q$542=TRUE,$R$557,IF($E$587&gt;5,5,$E$587))*AA638*T562/5)</f>
        <v>0</v>
      </c>
      <c r="X638" s="476">
        <f>MIN(IF($Q$542=TRUE,Y562,Y592),IF($Q$542=TRUE,$R$559,IF($E$589&gt;2,2,$E$589))*AA638*U562/2)</f>
        <v>0</v>
      </c>
      <c r="Y638" s="476">
        <f t="shared" ref="Y638:Y649" si="77">IF($Q$542=TRUE,X562,X592)-W638</f>
        <v>0</v>
      </c>
      <c r="Z638" s="476">
        <f t="shared" ref="Z638:Z649" si="78">IF($Q$542=TRUE,Y562,Y592)-X638</f>
        <v>0</v>
      </c>
      <c r="AA638" s="476">
        <f>MAX(1, IF(SAH_track=0,Daylength(Iniciar!X58, $T$4,$D$611,$D$612),Iniciar!AA58))</f>
        <v>9.4875490860215113</v>
      </c>
      <c r="AB638" s="476">
        <f xml:space="preserve"> GetMonthlyTrackingRadiation($U$4,$M$610,$D$611*PI()/180,$D$612*PI()/180,Iniciar!X58,Iniciar!AB58*1000000,Iniciar!AE58)*(1-$D$650)/1000000</f>
        <v>7.1280000000000001</v>
      </c>
      <c r="AC638" s="476">
        <f t="shared" ref="AC638:AC649" si="79">AB638/3600*V678*$R$660/(1-$D$650)</f>
        <v>0</v>
      </c>
      <c r="AD638" s="476">
        <f t="shared" ref="AD638:AD649" si="80">AB638/3600*U638*V678*$R$660*(W638+X638)/(AA638*V678)</f>
        <v>0</v>
      </c>
      <c r="AE638" s="476" t="e">
        <f>IF($BA638&gt;=$R$653,1,IF($R$653&lt;=$R678,1,MIN(1,7.5/(MAX(0,$R$653-$R678)))))*$R$633</f>
        <v>#VALUE!</v>
      </c>
      <c r="AF638" s="849" t="e">
        <f t="shared" ref="AF638:AF649" si="81">saheff($R$649,AE638,$T678,$W$620)*$Q$640</f>
        <v>#VALUE!</v>
      </c>
      <c r="AG638" s="476" t="e">
        <f t="shared" ref="AG638:AG649" si="82">$AB638*AF638/AE638/CpAir/0.0036/$AA638</f>
        <v>#VALUE!</v>
      </c>
      <c r="AH638" s="476" t="e">
        <f>MIN($R$654,$R678+$R$657+AG638)</f>
        <v>#VALUE!</v>
      </c>
      <c r="AI638" s="476" t="e">
        <f>MAX(0,AH638-$R678-$R$657)</f>
        <v>#VALUE!</v>
      </c>
      <c r="AJ638" s="476" t="e">
        <f>(AH638*AE638+($R$651+$S$650/2)*($R$633-AE638))/$R$633</f>
        <v>#VALUE!</v>
      </c>
      <c r="AK638" s="476" t="e">
        <f t="shared" ref="AK638:AK649" si="83">IF((AJ638-$BA638)=0,AE638,$R$633+($R$653-$BA638)/(AJ638-$BA638)*(AE638-$R$633))</f>
        <v>#VALUE!</v>
      </c>
      <c r="AL638" s="849" t="e">
        <f t="shared" ref="AL638:AL649" si="84">saheff($R$649,AK638,$T678,$W$620)*$Q$640</f>
        <v>#VALUE!</v>
      </c>
      <c r="AM638" s="476" t="e">
        <f t="shared" ref="AM638:AM649" si="85">$AB638*AL638/AK638/CpAir/0.0036/$AA638</f>
        <v>#VALUE!</v>
      </c>
      <c r="AN638" s="476" t="e">
        <f t="shared" ref="AN638:AN649" si="86">MIN($R$654,$R678+$R$657+AM638)</f>
        <v>#VALUE!</v>
      </c>
      <c r="AO638" s="476" t="e">
        <f t="shared" ref="AO638:AO649" si="87">MAX(0,AN638-$R678-$R$657)</f>
        <v>#VALUE!</v>
      </c>
      <c r="AP638" s="476" t="e">
        <f t="shared" ref="AP638:AP649" si="88">(AN638*AK638+($R$651+$S$650/2)*($R$633-AK638))/$R$633</f>
        <v>#VALUE!</v>
      </c>
      <c r="AQ638" s="476" t="e">
        <f t="shared" ref="AQ638:AQ649" si="89">IF((AP638-AJ638)=0,AK638,AE638+($R$653-AJ638)/(AP638-AJ638)*(AK638-AE638))</f>
        <v>#VALUE!</v>
      </c>
      <c r="AR638" s="849" t="e">
        <f t="shared" ref="AR638:AR649" si="90">saheff($R$649,AQ638,$T678,$W$620)*$Q$640</f>
        <v>#VALUE!</v>
      </c>
      <c r="AS638" s="476" t="e">
        <f t="shared" ref="AS638:AS649" si="91">$AB638*AR638/AQ638/CpAir/0.0036/$AA638</f>
        <v>#VALUE!</v>
      </c>
      <c r="AT638" s="476" t="e">
        <f t="shared" ref="AT638:AT649" si="92">MIN($R$654,$R678+$R$657+AS638)</f>
        <v>#VALUE!</v>
      </c>
      <c r="AU638" s="476" t="e">
        <f t="shared" ref="AU638:AU649" si="93">MAX(0,AT638-$R678-$R$657)</f>
        <v>#VALUE!</v>
      </c>
      <c r="AV638" s="476" t="e">
        <f t="shared" ref="AV638:AV649" si="94">(AT638*AQ638+($R$651+$S$650/2)*($R$633-AQ638))/$R$633</f>
        <v>#VALUE!</v>
      </c>
      <c r="AW638" s="476" t="e">
        <f t="shared" ref="AW638:AW649" si="95">IF(AU638&lt;=0,0,AU638/AS638)</f>
        <v>#VALUE!</v>
      </c>
      <c r="AX638" s="476" t="e">
        <f t="shared" ref="AX638:AX649" si="96">AQ638*AW638*U638</f>
        <v>#VALUE!</v>
      </c>
      <c r="AY638" s="849" t="e">
        <f t="shared" ref="AY638:AY649" si="97">saheff($R$649,$R$633,T678,$W$620)*$Q$640</f>
        <v>#VALUE!</v>
      </c>
      <c r="AZ638" s="476" t="e">
        <f t="shared" ref="AZ638:AZ649" si="98">AB638*AY638/$R$633/$R$656/0.0036/AA638</f>
        <v>#VALUE!</v>
      </c>
      <c r="BA638" s="476" t="e">
        <f t="shared" ref="BA638:BA649" si="99">MIN($R$654,R678+$R$657+AZ638)</f>
        <v>#VALUE!</v>
      </c>
      <c r="BB638" s="476" t="e">
        <f t="shared" ref="BB638:BB649" si="100">MAX(0,BA638-R678-$R$657)</f>
        <v>#VALUE!</v>
      </c>
      <c r="BC638" s="476" t="e">
        <f t="shared" ref="BC638:BC649" si="101">IF(AZ638&lt;=0,0,BB638/AZ638)</f>
        <v>#VALUE!</v>
      </c>
      <c r="BD638" s="476" t="e">
        <f t="shared" ref="BD638:BD649" si="102">IF(EE_SAH_type=1,IF(OR($M$547=1,$M$547=2),AR638,AY638),$D$653)</f>
        <v>#VALUE!</v>
      </c>
      <c r="BE638" s="476" t="e">
        <f t="shared" ref="BE638:BE649" si="103">IF($M$547=1,AW638,BC638)</f>
        <v>#VALUE!</v>
      </c>
      <c r="BF638" s="476" t="e">
        <f t="shared" ref="BF638:BF649" si="104">IF($M$547=1,AU638,BB638)</f>
        <v>#VALUE!</v>
      </c>
      <c r="BG638" s="476">
        <f t="shared" ref="BG638:BG649" si="105">U638*$D$654*IF($C$654=$J$1202,1/$K$1191,1)*$R$660/10^6*IF($Q$542=TRUE,X562+Y562,X592+Y592)</f>
        <v>0</v>
      </c>
      <c r="BH638" s="476" t="e">
        <f t="shared" ref="BH638:BH649" si="106">BD638*BE638*AD638</f>
        <v>#VALUE!</v>
      </c>
      <c r="BI638" s="476" t="e">
        <f t="shared" ref="BI638:BI649" si="107">(U638*((W638+X638)*$R$660/$R$635*($R$651-(0.66*BF638+R678))+(Y638+Z638)*$R$660/$R$635*($R$651-R678))+U638*(V678*24-V638)*($R$660/$R$635-($R$660/($R$635+0.33)))*($R$651-R678)+(1-U638)*(V678*24)*($R$660/$R$635-($R$660/($R$635+0.33)))*($R$651-R678))/10^6</f>
        <v>#DIV/0!</v>
      </c>
      <c r="BJ638" s="476" t="e">
        <f t="shared" ref="BJ638:BJ649" si="108">IF(OR($M$547&gt;1, $Q$542=FALSE),0,(($R$633*$R$660*CpAir + $R$636/$R$634)*$R$637)*U638*V638/1000000)</f>
        <v>#DIV/0!</v>
      </c>
      <c r="BK638" s="319"/>
      <c r="BL638" s="319"/>
      <c r="BM638" s="319"/>
      <c r="BN638" s="319"/>
      <c r="BO638" s="319"/>
      <c r="BP638" s="319"/>
      <c r="BQ638" s="319"/>
      <c r="BR638" s="319"/>
      <c r="BS638" s="319"/>
      <c r="BT638" s="319"/>
      <c r="BU638" s="319"/>
      <c r="BV638" s="319"/>
      <c r="BW638" s="319"/>
      <c r="BX638" s="319"/>
      <c r="BY638" s="319"/>
      <c r="BZ638" s="319"/>
      <c r="CA638" s="319"/>
      <c r="CB638" s="319"/>
      <c r="CC638" s="319"/>
      <c r="CD638" s="319"/>
      <c r="CE638" s="319"/>
      <c r="CF638" s="319"/>
      <c r="CG638" s="319"/>
      <c r="CH638" s="319"/>
      <c r="CI638" s="319"/>
      <c r="CJ638" s="319"/>
      <c r="CK638" s="319"/>
    </row>
    <row r="639" spans="1:100" ht="13.5" hidden="1" customHeight="1">
      <c r="A639" s="12"/>
      <c r="B639" s="1" t="str">
        <f>Language!C1980</f>
        <v>Absorção do coletor solar</v>
      </c>
      <c r="C639" s="29"/>
      <c r="D639" s="332"/>
      <c r="E639" s="1"/>
      <c r="F639" s="1"/>
      <c r="G639" s="933"/>
      <c r="H639" s="329"/>
      <c r="I639" s="329"/>
      <c r="J639" s="329"/>
      <c r="K639" s="838"/>
      <c r="L639" s="1"/>
      <c r="M639" s="319"/>
      <c r="N639" s="319">
        <v>5070070</v>
      </c>
      <c r="O639" s="319"/>
      <c r="R639" s="450" t="str">
        <f>Language!C1998</f>
        <v>Operação padrão</v>
      </c>
      <c r="S639" s="471">
        <f>91/3.6</f>
        <v>25.277777777777779</v>
      </c>
      <c r="U639" s="319">
        <f t="shared" si="75"/>
        <v>1</v>
      </c>
      <c r="V639" s="319">
        <f t="shared" si="76"/>
        <v>0</v>
      </c>
      <c r="W639" s="476">
        <f t="shared" ref="W639:W649" si="109">MIN(IF($Q$542=TRUE,X563,X593),IF($Q$542=TRUE,$R$557,$E$587)*AA639*T563/5)</f>
        <v>0</v>
      </c>
      <c r="X639" s="476">
        <f t="shared" ref="X639:X649" si="110">MIN(IF($Q$542=TRUE,Y563,Y593),IF($Q$542=TRUE,$R$559,$E$589)*AA639*U563/2)</f>
        <v>0</v>
      </c>
      <c r="Y639" s="476">
        <f t="shared" si="77"/>
        <v>0</v>
      </c>
      <c r="Z639" s="476">
        <f t="shared" si="78"/>
        <v>0</v>
      </c>
      <c r="AA639" s="476">
        <f>MAX(1, IF(SAH_track=0,Daylength(Iniciar!X59, $T$4,$D$611,$D$612),Iniciar!AA59))</f>
        <v>10.505453743479636</v>
      </c>
      <c r="AB639" s="476">
        <f xml:space="preserve"> GetMonthlyTrackingRadiation($U$4,$M$610,$D$611*PI()/180,$D$612*PI()/180,Iniciar!X59,Iniciar!AB59*1000000,Iniciar!AE59)*(1-$D$650)/1000000</f>
        <v>10.439999999999998</v>
      </c>
      <c r="AC639" s="476">
        <f t="shared" si="79"/>
        <v>0</v>
      </c>
      <c r="AD639" s="476">
        <f t="shared" si="80"/>
        <v>0</v>
      </c>
      <c r="AE639" s="476" t="e">
        <f t="shared" ref="AE639:AE649" si="111">IF(BA639&gt;=$R$653,1,IF($R$653&lt;=R679,1,MIN(1,7.5/(MAX(0,$R$653-R679)))))*$R$633</f>
        <v>#VALUE!</v>
      </c>
      <c r="AF639" s="849" t="e">
        <f t="shared" si="81"/>
        <v>#VALUE!</v>
      </c>
      <c r="AG639" s="476" t="e">
        <f t="shared" si="82"/>
        <v>#VALUE!</v>
      </c>
      <c r="AH639" s="476" t="e">
        <f t="shared" ref="AH639:AH649" si="112">MIN($R$654,R679+$R$657+AG639)</f>
        <v>#VALUE!</v>
      </c>
      <c r="AI639" s="476" t="e">
        <f t="shared" ref="AI639:AI649" si="113">MAX(0,AH639-R679-$R$657)</f>
        <v>#VALUE!</v>
      </c>
      <c r="AJ639" s="476" t="e">
        <f t="shared" ref="AJ639:AJ649" si="114">(AH639*AE639+($R$651+$S$650/2)*($R$633-AE639))/$R$633</f>
        <v>#VALUE!</v>
      </c>
      <c r="AK639" s="476" t="e">
        <f t="shared" si="83"/>
        <v>#VALUE!</v>
      </c>
      <c r="AL639" s="849" t="e">
        <f t="shared" si="84"/>
        <v>#VALUE!</v>
      </c>
      <c r="AM639" s="476" t="e">
        <f t="shared" si="85"/>
        <v>#VALUE!</v>
      </c>
      <c r="AN639" s="476" t="e">
        <f t="shared" si="86"/>
        <v>#VALUE!</v>
      </c>
      <c r="AO639" s="476" t="e">
        <f t="shared" si="87"/>
        <v>#VALUE!</v>
      </c>
      <c r="AP639" s="476" t="e">
        <f t="shared" si="88"/>
        <v>#VALUE!</v>
      </c>
      <c r="AQ639" s="476" t="e">
        <f t="shared" si="89"/>
        <v>#VALUE!</v>
      </c>
      <c r="AR639" s="849" t="e">
        <f t="shared" si="90"/>
        <v>#VALUE!</v>
      </c>
      <c r="AS639" s="476" t="e">
        <f t="shared" si="91"/>
        <v>#VALUE!</v>
      </c>
      <c r="AT639" s="476" t="e">
        <f t="shared" si="92"/>
        <v>#VALUE!</v>
      </c>
      <c r="AU639" s="476" t="e">
        <f t="shared" si="93"/>
        <v>#VALUE!</v>
      </c>
      <c r="AV639" s="476" t="e">
        <f t="shared" si="94"/>
        <v>#VALUE!</v>
      </c>
      <c r="AW639" s="476" t="e">
        <f t="shared" si="95"/>
        <v>#VALUE!</v>
      </c>
      <c r="AX639" s="476" t="e">
        <f t="shared" si="96"/>
        <v>#VALUE!</v>
      </c>
      <c r="AY639" s="849" t="e">
        <f t="shared" si="97"/>
        <v>#VALUE!</v>
      </c>
      <c r="AZ639" s="476" t="e">
        <f t="shared" si="98"/>
        <v>#VALUE!</v>
      </c>
      <c r="BA639" s="476" t="e">
        <f t="shared" si="99"/>
        <v>#VALUE!</v>
      </c>
      <c r="BB639" s="476" t="e">
        <f t="shared" si="100"/>
        <v>#VALUE!</v>
      </c>
      <c r="BC639" s="476" t="e">
        <f t="shared" si="101"/>
        <v>#VALUE!</v>
      </c>
      <c r="BD639" s="476" t="e">
        <f t="shared" si="102"/>
        <v>#VALUE!</v>
      </c>
      <c r="BE639" s="476" t="e">
        <f t="shared" si="103"/>
        <v>#VALUE!</v>
      </c>
      <c r="BF639" s="476" t="e">
        <f t="shared" si="104"/>
        <v>#VALUE!</v>
      </c>
      <c r="BG639" s="476">
        <f t="shared" si="105"/>
        <v>0</v>
      </c>
      <c r="BH639" s="476" t="e">
        <f t="shared" si="106"/>
        <v>#VALUE!</v>
      </c>
      <c r="BI639" s="476" t="e">
        <f t="shared" si="107"/>
        <v>#DIV/0!</v>
      </c>
      <c r="BJ639" s="476" t="e">
        <f t="shared" si="108"/>
        <v>#DIV/0!</v>
      </c>
      <c r="BK639" s="319"/>
      <c r="BL639" s="319"/>
      <c r="BM639" s="319"/>
      <c r="BN639" s="319"/>
      <c r="BO639" s="319"/>
      <c r="BP639" s="319"/>
      <c r="BQ639" s="319"/>
      <c r="BR639" s="319"/>
      <c r="BS639" s="319"/>
      <c r="BT639" s="319"/>
      <c r="BU639" s="319"/>
      <c r="BV639" s="319"/>
      <c r="BW639" s="319"/>
      <c r="BX639" s="319"/>
      <c r="BY639" s="319"/>
      <c r="BZ639" s="319"/>
      <c r="CA639" s="319"/>
      <c r="CB639" s="319"/>
      <c r="CC639" s="319"/>
      <c r="CD639" s="319"/>
      <c r="CE639" s="319"/>
      <c r="CF639" s="319"/>
      <c r="CG639" s="319"/>
      <c r="CH639" s="319"/>
      <c r="CI639" s="319"/>
      <c r="CJ639" s="319"/>
      <c r="CK639" s="319"/>
    </row>
    <row r="640" spans="1:100" ht="13.5" hidden="1" customHeight="1">
      <c r="A640" s="12"/>
      <c r="B640" s="335" t="str">
        <f>Language!C2887</f>
        <v>Fator de desempenho</v>
      </c>
      <c r="C640" s="29"/>
      <c r="D640" s="332">
        <v>1</v>
      </c>
      <c r="E640" s="1"/>
      <c r="F640" s="1"/>
      <c r="G640" s="933"/>
      <c r="H640" s="329"/>
      <c r="I640" s="329"/>
      <c r="J640" s="329"/>
      <c r="K640" s="838"/>
      <c r="L640" s="1"/>
      <c r="M640" s="319"/>
      <c r="N640" s="319">
        <v>5070072</v>
      </c>
      <c r="O640" s="319"/>
      <c r="Q640" s="231">
        <f>IF(D640="",1,D640)</f>
        <v>1</v>
      </c>
      <c r="R640" s="472" t="str">
        <f>Language!C1730</f>
        <v>Volume de ar alto</v>
      </c>
      <c r="S640" s="473">
        <v>40</v>
      </c>
      <c r="U640" s="319">
        <f t="shared" si="75"/>
        <v>1</v>
      </c>
      <c r="V640" s="319">
        <f t="shared" si="76"/>
        <v>0</v>
      </c>
      <c r="W640" s="476">
        <f t="shared" si="109"/>
        <v>0</v>
      </c>
      <c r="X640" s="476">
        <f t="shared" si="110"/>
        <v>0</v>
      </c>
      <c r="Y640" s="476">
        <f t="shared" si="77"/>
        <v>0</v>
      </c>
      <c r="Z640" s="476">
        <f t="shared" si="78"/>
        <v>0</v>
      </c>
      <c r="AA640" s="476">
        <f>MAX(1, IF(SAH_track=0,Daylength(Iniciar!X60, $T$4,$D$611,$D$612),Iniciar!AA60))</f>
        <v>11.727389140281385</v>
      </c>
      <c r="AB640" s="476">
        <f xml:space="preserve"> GetMonthlyTrackingRadiation($U$4,$M$610,$D$611*PI()/180,$D$612*PI()/180,Iniciar!X60,Iniciar!AB60*1000000,Iniciar!AE60)*(1-$D$650)/1000000</f>
        <v>15.768000000000002</v>
      </c>
      <c r="AC640" s="476">
        <f t="shared" si="79"/>
        <v>0</v>
      </c>
      <c r="AD640" s="476">
        <f t="shared" si="80"/>
        <v>0</v>
      </c>
      <c r="AE640" s="476" t="e">
        <f t="shared" si="111"/>
        <v>#VALUE!</v>
      </c>
      <c r="AF640" s="849" t="e">
        <f t="shared" si="81"/>
        <v>#VALUE!</v>
      </c>
      <c r="AG640" s="476" t="e">
        <f t="shared" si="82"/>
        <v>#VALUE!</v>
      </c>
      <c r="AH640" s="476" t="e">
        <f t="shared" si="112"/>
        <v>#VALUE!</v>
      </c>
      <c r="AI640" s="476" t="e">
        <f t="shared" si="113"/>
        <v>#VALUE!</v>
      </c>
      <c r="AJ640" s="476" t="e">
        <f t="shared" si="114"/>
        <v>#VALUE!</v>
      </c>
      <c r="AK640" s="476" t="e">
        <f t="shared" si="83"/>
        <v>#VALUE!</v>
      </c>
      <c r="AL640" s="849" t="e">
        <f t="shared" si="84"/>
        <v>#VALUE!</v>
      </c>
      <c r="AM640" s="476" t="e">
        <f t="shared" si="85"/>
        <v>#VALUE!</v>
      </c>
      <c r="AN640" s="476" t="e">
        <f t="shared" si="86"/>
        <v>#VALUE!</v>
      </c>
      <c r="AO640" s="476" t="e">
        <f t="shared" si="87"/>
        <v>#VALUE!</v>
      </c>
      <c r="AP640" s="476" t="e">
        <f t="shared" si="88"/>
        <v>#VALUE!</v>
      </c>
      <c r="AQ640" s="476" t="e">
        <f t="shared" si="89"/>
        <v>#VALUE!</v>
      </c>
      <c r="AR640" s="849" t="e">
        <f t="shared" si="90"/>
        <v>#VALUE!</v>
      </c>
      <c r="AS640" s="476" t="e">
        <f t="shared" si="91"/>
        <v>#VALUE!</v>
      </c>
      <c r="AT640" s="476" t="e">
        <f t="shared" si="92"/>
        <v>#VALUE!</v>
      </c>
      <c r="AU640" s="476" t="e">
        <f t="shared" si="93"/>
        <v>#VALUE!</v>
      </c>
      <c r="AV640" s="476" t="e">
        <f t="shared" si="94"/>
        <v>#VALUE!</v>
      </c>
      <c r="AW640" s="476" t="e">
        <f t="shared" si="95"/>
        <v>#VALUE!</v>
      </c>
      <c r="AX640" s="476" t="e">
        <f t="shared" si="96"/>
        <v>#VALUE!</v>
      </c>
      <c r="AY640" s="849" t="e">
        <f t="shared" si="97"/>
        <v>#VALUE!</v>
      </c>
      <c r="AZ640" s="476" t="e">
        <f t="shared" si="98"/>
        <v>#VALUE!</v>
      </c>
      <c r="BA640" s="476" t="e">
        <f t="shared" si="99"/>
        <v>#VALUE!</v>
      </c>
      <c r="BB640" s="476" t="e">
        <f t="shared" si="100"/>
        <v>#VALUE!</v>
      </c>
      <c r="BC640" s="476" t="e">
        <f t="shared" si="101"/>
        <v>#VALUE!</v>
      </c>
      <c r="BD640" s="476" t="e">
        <f t="shared" si="102"/>
        <v>#VALUE!</v>
      </c>
      <c r="BE640" s="476" t="e">
        <f t="shared" si="103"/>
        <v>#VALUE!</v>
      </c>
      <c r="BF640" s="476" t="e">
        <f t="shared" si="104"/>
        <v>#VALUE!</v>
      </c>
      <c r="BG640" s="476">
        <f t="shared" si="105"/>
        <v>0</v>
      </c>
      <c r="BH640" s="476" t="e">
        <f t="shared" si="106"/>
        <v>#VALUE!</v>
      </c>
      <c r="BI640" s="476" t="e">
        <f t="shared" si="107"/>
        <v>#DIV/0!</v>
      </c>
      <c r="BJ640" s="476" t="e">
        <f t="shared" si="108"/>
        <v>#DIV/0!</v>
      </c>
      <c r="BK640" s="319"/>
      <c r="BL640" s="319"/>
      <c r="BM640" s="319"/>
      <c r="BN640" s="319"/>
      <c r="BO640" s="319"/>
      <c r="BP640" s="319"/>
      <c r="BQ640" s="319"/>
      <c r="BR640" s="319"/>
      <c r="BS640" s="319"/>
      <c r="BT640" s="319"/>
      <c r="BU640" s="319"/>
      <c r="BV640" s="319"/>
      <c r="BW640" s="319"/>
      <c r="BX640" s="319"/>
      <c r="BY640" s="319"/>
      <c r="BZ640" s="319"/>
      <c r="CA640" s="319"/>
      <c r="CB640" s="319"/>
      <c r="CC640" s="319"/>
      <c r="CD640" s="319"/>
      <c r="CE640" s="319"/>
      <c r="CF640" s="319"/>
      <c r="CG640" s="319"/>
      <c r="CH640" s="319"/>
      <c r="CI640" s="319"/>
      <c r="CJ640" s="319"/>
      <c r="CK640" s="319"/>
    </row>
    <row r="641" spans="1:89" ht="13.5" hidden="1" customHeight="1">
      <c r="A641" s="12"/>
      <c r="B641" s="329" t="str">
        <f>B762</f>
        <v>Área bruta por coletor solar</v>
      </c>
      <c r="C641" s="303" t="s">
        <v>5430</v>
      </c>
      <c r="D641" s="332"/>
      <c r="E641" s="1"/>
      <c r="F641" s="1"/>
      <c r="G641" s="933"/>
      <c r="H641" s="329"/>
      <c r="I641" s="329"/>
      <c r="J641" s="329"/>
      <c r="K641" s="838"/>
      <c r="L641" s="1"/>
      <c r="M641" s="319"/>
      <c r="N641" s="319">
        <v>5070074</v>
      </c>
      <c r="O641" s="319"/>
      <c r="Q641" s="319" t="s">
        <v>2575</v>
      </c>
      <c r="R641" s="319">
        <f>D641*IF(C641=$J$1191,$K$1191,1)</f>
        <v>0</v>
      </c>
      <c r="S641" s="319"/>
      <c r="U641" s="319">
        <f t="shared" si="75"/>
        <v>1</v>
      </c>
      <c r="V641" s="319">
        <f t="shared" si="76"/>
        <v>0</v>
      </c>
      <c r="W641" s="476">
        <f t="shared" si="109"/>
        <v>0</v>
      </c>
      <c r="X641" s="476">
        <f t="shared" si="110"/>
        <v>0</v>
      </c>
      <c r="Y641" s="476">
        <f t="shared" si="77"/>
        <v>0</v>
      </c>
      <c r="Z641" s="476">
        <f t="shared" si="78"/>
        <v>0</v>
      </c>
      <c r="AA641" s="476">
        <f>MAX(1, IF(SAH_track=0,Daylength(Iniciar!X61, $T$4,$D$611,$D$612),Iniciar!AA61))</f>
        <v>13.074041627384817</v>
      </c>
      <c r="AB641" s="476">
        <f xml:space="preserve"> GetMonthlyTrackingRadiation($U$4,$M$610,$D$611*PI()/180,$D$612*PI()/180,Iniciar!X61,Iniciar!AB61*1000000,Iniciar!AE61)*(1-$D$650)/1000000</f>
        <v>19.62</v>
      </c>
      <c r="AC641" s="476">
        <f t="shared" si="79"/>
        <v>0</v>
      </c>
      <c r="AD641" s="476">
        <f t="shared" si="80"/>
        <v>0</v>
      </c>
      <c r="AE641" s="476" t="e">
        <f t="shared" si="111"/>
        <v>#VALUE!</v>
      </c>
      <c r="AF641" s="849" t="e">
        <f t="shared" si="81"/>
        <v>#VALUE!</v>
      </c>
      <c r="AG641" s="476" t="e">
        <f t="shared" si="82"/>
        <v>#VALUE!</v>
      </c>
      <c r="AH641" s="476" t="e">
        <f t="shared" si="112"/>
        <v>#VALUE!</v>
      </c>
      <c r="AI641" s="476" t="e">
        <f t="shared" si="113"/>
        <v>#VALUE!</v>
      </c>
      <c r="AJ641" s="476" t="e">
        <f t="shared" si="114"/>
        <v>#VALUE!</v>
      </c>
      <c r="AK641" s="476" t="e">
        <f t="shared" si="83"/>
        <v>#VALUE!</v>
      </c>
      <c r="AL641" s="849" t="e">
        <f t="shared" si="84"/>
        <v>#VALUE!</v>
      </c>
      <c r="AM641" s="476" t="e">
        <f t="shared" si="85"/>
        <v>#VALUE!</v>
      </c>
      <c r="AN641" s="476" t="e">
        <f t="shared" si="86"/>
        <v>#VALUE!</v>
      </c>
      <c r="AO641" s="476" t="e">
        <f t="shared" si="87"/>
        <v>#VALUE!</v>
      </c>
      <c r="AP641" s="476" t="e">
        <f t="shared" si="88"/>
        <v>#VALUE!</v>
      </c>
      <c r="AQ641" s="476" t="e">
        <f t="shared" si="89"/>
        <v>#VALUE!</v>
      </c>
      <c r="AR641" s="849" t="e">
        <f t="shared" si="90"/>
        <v>#VALUE!</v>
      </c>
      <c r="AS641" s="476" t="e">
        <f t="shared" si="91"/>
        <v>#VALUE!</v>
      </c>
      <c r="AT641" s="476" t="e">
        <f t="shared" si="92"/>
        <v>#VALUE!</v>
      </c>
      <c r="AU641" s="476" t="e">
        <f t="shared" si="93"/>
        <v>#VALUE!</v>
      </c>
      <c r="AV641" s="476" t="e">
        <f t="shared" si="94"/>
        <v>#VALUE!</v>
      </c>
      <c r="AW641" s="476" t="e">
        <f t="shared" si="95"/>
        <v>#VALUE!</v>
      </c>
      <c r="AX641" s="476" t="e">
        <f t="shared" si="96"/>
        <v>#VALUE!</v>
      </c>
      <c r="AY641" s="849" t="e">
        <f t="shared" si="97"/>
        <v>#VALUE!</v>
      </c>
      <c r="AZ641" s="476" t="e">
        <f t="shared" si="98"/>
        <v>#VALUE!</v>
      </c>
      <c r="BA641" s="476" t="e">
        <f t="shared" si="99"/>
        <v>#VALUE!</v>
      </c>
      <c r="BB641" s="476" t="e">
        <f t="shared" si="100"/>
        <v>#VALUE!</v>
      </c>
      <c r="BC641" s="476" t="e">
        <f t="shared" si="101"/>
        <v>#VALUE!</v>
      </c>
      <c r="BD641" s="476" t="e">
        <f t="shared" si="102"/>
        <v>#VALUE!</v>
      </c>
      <c r="BE641" s="476" t="e">
        <f t="shared" si="103"/>
        <v>#VALUE!</v>
      </c>
      <c r="BF641" s="476" t="e">
        <f t="shared" si="104"/>
        <v>#VALUE!</v>
      </c>
      <c r="BG641" s="476">
        <f t="shared" si="105"/>
        <v>0</v>
      </c>
      <c r="BH641" s="476" t="e">
        <f t="shared" si="106"/>
        <v>#VALUE!</v>
      </c>
      <c r="BI641" s="476" t="e">
        <f t="shared" si="107"/>
        <v>#DIV/0!</v>
      </c>
      <c r="BJ641" s="476" t="e">
        <f t="shared" si="108"/>
        <v>#DIV/0!</v>
      </c>
      <c r="BK641" s="319"/>
      <c r="BL641" s="319"/>
      <c r="BM641" s="319"/>
      <c r="BN641" s="319"/>
      <c r="BO641" s="319"/>
      <c r="BP641" s="319"/>
      <c r="BQ641" s="319"/>
      <c r="BR641" s="319"/>
      <c r="BS641" s="319"/>
      <c r="BT641" s="319"/>
      <c r="BU641" s="319"/>
      <c r="BV641" s="319"/>
      <c r="BW641" s="319"/>
      <c r="BX641" s="319"/>
      <c r="BY641" s="319"/>
      <c r="BZ641" s="319"/>
      <c r="CA641" s="319"/>
      <c r="CB641" s="319"/>
      <c r="CC641" s="319"/>
      <c r="CD641" s="319"/>
      <c r="CE641" s="319"/>
      <c r="CF641" s="319"/>
      <c r="CG641" s="319"/>
      <c r="CH641" s="319"/>
      <c r="CI641" s="319"/>
      <c r="CJ641" s="319"/>
      <c r="CK641" s="319"/>
    </row>
    <row r="642" spans="1:89" ht="13.5" hidden="1" customHeight="1">
      <c r="A642" s="12"/>
      <c r="B642" s="329" t="str">
        <f>B763</f>
        <v>Área de Captação por coletor solar</v>
      </c>
      <c r="C642" s="29" t="str">
        <f>C641</f>
        <v>m²</v>
      </c>
      <c r="D642" s="332"/>
      <c r="E642" s="1"/>
      <c r="F642" s="1"/>
      <c r="G642" s="933"/>
      <c r="H642" s="329"/>
      <c r="I642" s="329"/>
      <c r="J642" s="329"/>
      <c r="K642" s="838"/>
      <c r="L642" s="1"/>
      <c r="M642" s="319"/>
      <c r="N642" s="319">
        <v>5070076</v>
      </c>
      <c r="O642" s="319"/>
      <c r="Q642" s="319" t="s">
        <v>2575</v>
      </c>
      <c r="R642" s="319">
        <f>D642*IF(C642=$J$1191,$K$1191,1)</f>
        <v>0</v>
      </c>
      <c r="S642" s="319"/>
      <c r="U642" s="319">
        <f t="shared" si="75"/>
        <v>1</v>
      </c>
      <c r="V642" s="319">
        <f t="shared" si="76"/>
        <v>0</v>
      </c>
      <c r="W642" s="476">
        <f t="shared" si="109"/>
        <v>0</v>
      </c>
      <c r="X642" s="476">
        <f t="shared" si="110"/>
        <v>0</v>
      </c>
      <c r="Y642" s="476">
        <f t="shared" si="77"/>
        <v>0</v>
      </c>
      <c r="Z642" s="476">
        <f t="shared" si="78"/>
        <v>0</v>
      </c>
      <c r="AA642" s="476">
        <f>MAX(1, IF(SAH_track=0,Daylength(Iniciar!X62, $T$4,$D$611,$D$612),Iniciar!AA62))</f>
        <v>14.228212019242635</v>
      </c>
      <c r="AB642" s="476">
        <f xml:space="preserve"> GetMonthlyTrackingRadiation($U$4,$M$610,$D$611*PI()/180,$D$612*PI()/180,Iniciar!X62,Iniciar!AB62*1000000,Iniciar!AE62)*(1-$D$650)/1000000</f>
        <v>21.852000000000004</v>
      </c>
      <c r="AC642" s="476">
        <f t="shared" si="79"/>
        <v>0</v>
      </c>
      <c r="AD642" s="476">
        <f t="shared" si="80"/>
        <v>0</v>
      </c>
      <c r="AE642" s="476" t="e">
        <f t="shared" si="111"/>
        <v>#VALUE!</v>
      </c>
      <c r="AF642" s="849" t="e">
        <f t="shared" si="81"/>
        <v>#VALUE!</v>
      </c>
      <c r="AG642" s="476" t="e">
        <f t="shared" si="82"/>
        <v>#VALUE!</v>
      </c>
      <c r="AH642" s="476" t="e">
        <f t="shared" si="112"/>
        <v>#VALUE!</v>
      </c>
      <c r="AI642" s="476" t="e">
        <f t="shared" si="113"/>
        <v>#VALUE!</v>
      </c>
      <c r="AJ642" s="476" t="e">
        <f t="shared" si="114"/>
        <v>#VALUE!</v>
      </c>
      <c r="AK642" s="476" t="e">
        <f t="shared" si="83"/>
        <v>#VALUE!</v>
      </c>
      <c r="AL642" s="849" t="e">
        <f t="shared" si="84"/>
        <v>#VALUE!</v>
      </c>
      <c r="AM642" s="476" t="e">
        <f t="shared" si="85"/>
        <v>#VALUE!</v>
      </c>
      <c r="AN642" s="476" t="e">
        <f t="shared" si="86"/>
        <v>#VALUE!</v>
      </c>
      <c r="AO642" s="476" t="e">
        <f t="shared" si="87"/>
        <v>#VALUE!</v>
      </c>
      <c r="AP642" s="476" t="e">
        <f t="shared" si="88"/>
        <v>#VALUE!</v>
      </c>
      <c r="AQ642" s="476" t="e">
        <f t="shared" si="89"/>
        <v>#VALUE!</v>
      </c>
      <c r="AR642" s="849" t="e">
        <f t="shared" si="90"/>
        <v>#VALUE!</v>
      </c>
      <c r="AS642" s="476" t="e">
        <f t="shared" si="91"/>
        <v>#VALUE!</v>
      </c>
      <c r="AT642" s="476" t="e">
        <f t="shared" si="92"/>
        <v>#VALUE!</v>
      </c>
      <c r="AU642" s="476" t="e">
        <f t="shared" si="93"/>
        <v>#VALUE!</v>
      </c>
      <c r="AV642" s="476" t="e">
        <f t="shared" si="94"/>
        <v>#VALUE!</v>
      </c>
      <c r="AW642" s="476" t="e">
        <f t="shared" si="95"/>
        <v>#VALUE!</v>
      </c>
      <c r="AX642" s="476" t="e">
        <f t="shared" si="96"/>
        <v>#VALUE!</v>
      </c>
      <c r="AY642" s="849" t="e">
        <f t="shared" si="97"/>
        <v>#VALUE!</v>
      </c>
      <c r="AZ642" s="476" t="e">
        <f t="shared" si="98"/>
        <v>#VALUE!</v>
      </c>
      <c r="BA642" s="476" t="e">
        <f t="shared" si="99"/>
        <v>#VALUE!</v>
      </c>
      <c r="BB642" s="476" t="e">
        <f t="shared" si="100"/>
        <v>#VALUE!</v>
      </c>
      <c r="BC642" s="476" t="e">
        <f t="shared" si="101"/>
        <v>#VALUE!</v>
      </c>
      <c r="BD642" s="476" t="e">
        <f t="shared" si="102"/>
        <v>#VALUE!</v>
      </c>
      <c r="BE642" s="476" t="e">
        <f t="shared" si="103"/>
        <v>#VALUE!</v>
      </c>
      <c r="BF642" s="476" t="e">
        <f t="shared" si="104"/>
        <v>#VALUE!</v>
      </c>
      <c r="BG642" s="476">
        <f t="shared" si="105"/>
        <v>0</v>
      </c>
      <c r="BH642" s="476" t="e">
        <f t="shared" si="106"/>
        <v>#VALUE!</v>
      </c>
      <c r="BI642" s="476" t="e">
        <f t="shared" si="107"/>
        <v>#DIV/0!</v>
      </c>
      <c r="BJ642" s="476" t="e">
        <f t="shared" si="108"/>
        <v>#DIV/0!</v>
      </c>
      <c r="BK642" s="319"/>
      <c r="BL642" s="319"/>
      <c r="BM642" s="319"/>
      <c r="BN642" s="319"/>
      <c r="BO642" s="319"/>
      <c r="BP642" s="319"/>
      <c r="BQ642" s="319"/>
      <c r="BR642" s="319"/>
      <c r="BS642" s="319"/>
      <c r="BT642" s="319"/>
      <c r="BU642" s="319"/>
      <c r="BV642" s="319"/>
      <c r="BW642" s="319"/>
      <c r="BX642" s="319"/>
      <c r="BY642" s="319"/>
      <c r="BZ642" s="319"/>
      <c r="CA642" s="319"/>
      <c r="CB642" s="319"/>
      <c r="CC642" s="319"/>
      <c r="CD642" s="319"/>
      <c r="CE642" s="319"/>
      <c r="CF642" s="319"/>
      <c r="CG642" s="319"/>
      <c r="CH642" s="319"/>
      <c r="CI642" s="319"/>
      <c r="CJ642" s="319"/>
      <c r="CK642" s="319"/>
    </row>
    <row r="643" spans="1:89" ht="13.5" hidden="1" customHeight="1">
      <c r="A643" s="12"/>
      <c r="B643" s="329" t="str">
        <f>B764</f>
        <v>Coeficiente Fr (tau alpha)</v>
      </c>
      <c r="C643" s="1"/>
      <c r="D643" s="332"/>
      <c r="E643" s="1"/>
      <c r="F643" s="1"/>
      <c r="G643" s="933"/>
      <c r="H643" s="329"/>
      <c r="I643" s="329"/>
      <c r="J643" s="329"/>
      <c r="K643" s="838"/>
      <c r="L643" s="1"/>
      <c r="M643" s="319"/>
      <c r="N643" s="319">
        <v>5070078</v>
      </c>
      <c r="O643" s="319"/>
      <c r="R643" s="319"/>
      <c r="S643" s="319"/>
      <c r="U643" s="319">
        <f t="shared" si="75"/>
        <v>1</v>
      </c>
      <c r="V643" s="319">
        <f t="shared" si="76"/>
        <v>0</v>
      </c>
      <c r="W643" s="476">
        <f t="shared" si="109"/>
        <v>0</v>
      </c>
      <c r="X643" s="476">
        <f t="shared" si="110"/>
        <v>0</v>
      </c>
      <c r="Y643" s="476">
        <f t="shared" si="77"/>
        <v>0</v>
      </c>
      <c r="Z643" s="476">
        <f t="shared" si="78"/>
        <v>0</v>
      </c>
      <c r="AA643" s="476">
        <f>MAX(1, IF(SAH_track=0,Daylength(Iniciar!X63, $T$4,$D$611,$D$612),Iniciar!AA63))</f>
        <v>14.815069582175651</v>
      </c>
      <c r="AB643" s="476">
        <f xml:space="preserve"> GetMonthlyTrackingRadiation($U$4,$M$610,$D$611*PI()/180,$D$612*PI()/180,Iniciar!X63,Iniciar!AB63*1000000,Iniciar!AE63)*(1-$D$650)/1000000</f>
        <v>23.112000000000009</v>
      </c>
      <c r="AC643" s="476">
        <f t="shared" si="79"/>
        <v>0</v>
      </c>
      <c r="AD643" s="476">
        <f t="shared" si="80"/>
        <v>0</v>
      </c>
      <c r="AE643" s="476" t="e">
        <f t="shared" si="111"/>
        <v>#VALUE!</v>
      </c>
      <c r="AF643" s="849" t="e">
        <f t="shared" si="81"/>
        <v>#VALUE!</v>
      </c>
      <c r="AG643" s="476" t="e">
        <f t="shared" si="82"/>
        <v>#VALUE!</v>
      </c>
      <c r="AH643" s="476" t="e">
        <f t="shared" si="112"/>
        <v>#VALUE!</v>
      </c>
      <c r="AI643" s="476" t="e">
        <f t="shared" si="113"/>
        <v>#VALUE!</v>
      </c>
      <c r="AJ643" s="476" t="e">
        <f t="shared" si="114"/>
        <v>#VALUE!</v>
      </c>
      <c r="AK643" s="476" t="e">
        <f t="shared" si="83"/>
        <v>#VALUE!</v>
      </c>
      <c r="AL643" s="849" t="e">
        <f t="shared" si="84"/>
        <v>#VALUE!</v>
      </c>
      <c r="AM643" s="476" t="e">
        <f t="shared" si="85"/>
        <v>#VALUE!</v>
      </c>
      <c r="AN643" s="476" t="e">
        <f t="shared" si="86"/>
        <v>#VALUE!</v>
      </c>
      <c r="AO643" s="476" t="e">
        <f t="shared" si="87"/>
        <v>#VALUE!</v>
      </c>
      <c r="AP643" s="476" t="e">
        <f t="shared" si="88"/>
        <v>#VALUE!</v>
      </c>
      <c r="AQ643" s="476" t="e">
        <f t="shared" si="89"/>
        <v>#VALUE!</v>
      </c>
      <c r="AR643" s="849" t="e">
        <f t="shared" si="90"/>
        <v>#VALUE!</v>
      </c>
      <c r="AS643" s="476" t="e">
        <f t="shared" si="91"/>
        <v>#VALUE!</v>
      </c>
      <c r="AT643" s="476" t="e">
        <f t="shared" si="92"/>
        <v>#VALUE!</v>
      </c>
      <c r="AU643" s="476" t="e">
        <f t="shared" si="93"/>
        <v>#VALUE!</v>
      </c>
      <c r="AV643" s="476" t="e">
        <f t="shared" si="94"/>
        <v>#VALUE!</v>
      </c>
      <c r="AW643" s="476" t="e">
        <f t="shared" si="95"/>
        <v>#VALUE!</v>
      </c>
      <c r="AX643" s="476" t="e">
        <f t="shared" si="96"/>
        <v>#VALUE!</v>
      </c>
      <c r="AY643" s="849" t="e">
        <f t="shared" si="97"/>
        <v>#VALUE!</v>
      </c>
      <c r="AZ643" s="476" t="e">
        <f t="shared" si="98"/>
        <v>#VALUE!</v>
      </c>
      <c r="BA643" s="476" t="e">
        <f t="shared" si="99"/>
        <v>#VALUE!</v>
      </c>
      <c r="BB643" s="476" t="e">
        <f t="shared" si="100"/>
        <v>#VALUE!</v>
      </c>
      <c r="BC643" s="476" t="e">
        <f t="shared" si="101"/>
        <v>#VALUE!</v>
      </c>
      <c r="BD643" s="476" t="e">
        <f t="shared" si="102"/>
        <v>#VALUE!</v>
      </c>
      <c r="BE643" s="476" t="e">
        <f t="shared" si="103"/>
        <v>#VALUE!</v>
      </c>
      <c r="BF643" s="476" t="e">
        <f t="shared" si="104"/>
        <v>#VALUE!</v>
      </c>
      <c r="BG643" s="476">
        <f t="shared" si="105"/>
        <v>0</v>
      </c>
      <c r="BH643" s="476" t="e">
        <f t="shared" si="106"/>
        <v>#VALUE!</v>
      </c>
      <c r="BI643" s="476" t="e">
        <f t="shared" si="107"/>
        <v>#DIV/0!</v>
      </c>
      <c r="BJ643" s="476" t="e">
        <f t="shared" si="108"/>
        <v>#DIV/0!</v>
      </c>
      <c r="BK643" s="319"/>
      <c r="BL643" s="319"/>
      <c r="BM643" s="319"/>
      <c r="BN643" s="319"/>
      <c r="BO643" s="319"/>
      <c r="BP643" s="319"/>
      <c r="BQ643" s="319"/>
      <c r="BR643" s="319"/>
      <c r="BS643" s="319"/>
      <c r="BT643" s="319"/>
      <c r="BU643" s="319"/>
      <c r="BV643" s="319"/>
      <c r="BW643" s="319"/>
      <c r="BX643" s="319"/>
      <c r="BY643" s="319"/>
      <c r="BZ643" s="319"/>
      <c r="CA643" s="319"/>
      <c r="CB643" s="319"/>
      <c r="CC643" s="319"/>
      <c r="CD643" s="319"/>
      <c r="CE643" s="319"/>
      <c r="CF643" s="319"/>
      <c r="CG643" s="319"/>
      <c r="CH643" s="319"/>
      <c r="CI643" s="319"/>
      <c r="CJ643" s="319"/>
      <c r="CK643" s="319"/>
    </row>
    <row r="644" spans="1:89" ht="13.5" hidden="1" customHeight="1">
      <c r="A644" s="12"/>
      <c r="B644" s="329" t="str">
        <f>B766</f>
        <v>Coeficiente Fr UL</v>
      </c>
      <c r="C644" s="419" t="s">
        <v>4938</v>
      </c>
      <c r="D644" s="332"/>
      <c r="E644" s="1"/>
      <c r="F644" s="1"/>
      <c r="G644" s="933"/>
      <c r="H644" s="329"/>
      <c r="I644" s="329"/>
      <c r="J644" s="329"/>
      <c r="K644" s="838"/>
      <c r="L644" s="1"/>
      <c r="M644" s="319"/>
      <c r="N644" s="319">
        <v>5070080</v>
      </c>
      <c r="O644" s="319"/>
      <c r="Q644" s="319" t="s">
        <v>4938</v>
      </c>
      <c r="R644">
        <f>D644/IF(C644=G1175,H1175,1)</f>
        <v>0</v>
      </c>
      <c r="S644" s="319"/>
      <c r="U644" s="319">
        <f t="shared" si="75"/>
        <v>1</v>
      </c>
      <c r="V644" s="319">
        <f t="shared" si="76"/>
        <v>0</v>
      </c>
      <c r="W644" s="476">
        <f t="shared" si="109"/>
        <v>0</v>
      </c>
      <c r="X644" s="476">
        <f t="shared" si="110"/>
        <v>0</v>
      </c>
      <c r="Y644" s="476">
        <f t="shared" si="77"/>
        <v>0</v>
      </c>
      <c r="Z644" s="476">
        <f t="shared" si="78"/>
        <v>0</v>
      </c>
      <c r="AA644" s="476">
        <f>MAX(1, IF(SAH_track=0,Daylength(Iniciar!X64, $T$4,$D$611,$D$612),Iniciar!AA64))</f>
        <v>14.5489969477545</v>
      </c>
      <c r="AB644" s="476">
        <f xml:space="preserve"> GetMonthlyTrackingRadiation($U$4,$M$610,$D$611*PI()/180,$D$612*PI()/180,Iniciar!X64,Iniciar!AB64*1000000,Iniciar!AE64)*(1-$D$650)/1000000</f>
        <v>24.515999999999995</v>
      </c>
      <c r="AC644" s="476">
        <f t="shared" si="79"/>
        <v>0</v>
      </c>
      <c r="AD644" s="476">
        <f t="shared" si="80"/>
        <v>0</v>
      </c>
      <c r="AE644" s="476" t="e">
        <f t="shared" si="111"/>
        <v>#VALUE!</v>
      </c>
      <c r="AF644" s="849" t="e">
        <f t="shared" si="81"/>
        <v>#VALUE!</v>
      </c>
      <c r="AG644" s="476" t="e">
        <f t="shared" si="82"/>
        <v>#VALUE!</v>
      </c>
      <c r="AH644" s="476" t="e">
        <f t="shared" si="112"/>
        <v>#VALUE!</v>
      </c>
      <c r="AI644" s="476" t="e">
        <f t="shared" si="113"/>
        <v>#VALUE!</v>
      </c>
      <c r="AJ644" s="476" t="e">
        <f t="shared" si="114"/>
        <v>#VALUE!</v>
      </c>
      <c r="AK644" s="476" t="e">
        <f t="shared" si="83"/>
        <v>#VALUE!</v>
      </c>
      <c r="AL644" s="849" t="e">
        <f t="shared" si="84"/>
        <v>#VALUE!</v>
      </c>
      <c r="AM644" s="476" t="e">
        <f t="shared" si="85"/>
        <v>#VALUE!</v>
      </c>
      <c r="AN644" s="476" t="e">
        <f t="shared" si="86"/>
        <v>#VALUE!</v>
      </c>
      <c r="AO644" s="476" t="e">
        <f t="shared" si="87"/>
        <v>#VALUE!</v>
      </c>
      <c r="AP644" s="476" t="e">
        <f t="shared" si="88"/>
        <v>#VALUE!</v>
      </c>
      <c r="AQ644" s="476" t="e">
        <f t="shared" si="89"/>
        <v>#VALUE!</v>
      </c>
      <c r="AR644" s="849" t="e">
        <f t="shared" si="90"/>
        <v>#VALUE!</v>
      </c>
      <c r="AS644" s="476" t="e">
        <f t="shared" si="91"/>
        <v>#VALUE!</v>
      </c>
      <c r="AT644" s="476" t="e">
        <f t="shared" si="92"/>
        <v>#VALUE!</v>
      </c>
      <c r="AU644" s="476" t="e">
        <f t="shared" si="93"/>
        <v>#VALUE!</v>
      </c>
      <c r="AV644" s="476" t="e">
        <f t="shared" si="94"/>
        <v>#VALUE!</v>
      </c>
      <c r="AW644" s="476" t="e">
        <f t="shared" si="95"/>
        <v>#VALUE!</v>
      </c>
      <c r="AX644" s="476" t="e">
        <f t="shared" si="96"/>
        <v>#VALUE!</v>
      </c>
      <c r="AY644" s="849" t="e">
        <f t="shared" si="97"/>
        <v>#VALUE!</v>
      </c>
      <c r="AZ644" s="476" t="e">
        <f t="shared" si="98"/>
        <v>#VALUE!</v>
      </c>
      <c r="BA644" s="476" t="e">
        <f t="shared" si="99"/>
        <v>#VALUE!</v>
      </c>
      <c r="BB644" s="476" t="e">
        <f t="shared" si="100"/>
        <v>#VALUE!</v>
      </c>
      <c r="BC644" s="476" t="e">
        <f t="shared" si="101"/>
        <v>#VALUE!</v>
      </c>
      <c r="BD644" s="476" t="e">
        <f t="shared" si="102"/>
        <v>#VALUE!</v>
      </c>
      <c r="BE644" s="476" t="e">
        <f t="shared" si="103"/>
        <v>#VALUE!</v>
      </c>
      <c r="BF644" s="476" t="e">
        <f t="shared" si="104"/>
        <v>#VALUE!</v>
      </c>
      <c r="BG644" s="476">
        <f t="shared" si="105"/>
        <v>0</v>
      </c>
      <c r="BH644" s="476" t="e">
        <f t="shared" si="106"/>
        <v>#VALUE!</v>
      </c>
      <c r="BI644" s="476" t="e">
        <f t="shared" si="107"/>
        <v>#DIV/0!</v>
      </c>
      <c r="BJ644" s="476" t="e">
        <f t="shared" si="108"/>
        <v>#DIV/0!</v>
      </c>
      <c r="BK644" s="319"/>
      <c r="BL644" s="319"/>
      <c r="BM644" s="319"/>
      <c r="BN644" s="319"/>
      <c r="BO644" s="319"/>
      <c r="BP644" s="319"/>
      <c r="BQ644" s="319"/>
      <c r="BR644" s="319"/>
      <c r="BS644" s="319"/>
      <c r="BT644" s="319"/>
      <c r="BU644" s="319"/>
      <c r="BV644" s="319"/>
      <c r="BW644" s="319"/>
      <c r="BX644" s="319"/>
      <c r="BY644" s="319"/>
      <c r="BZ644" s="319"/>
      <c r="CA644" s="319"/>
      <c r="CB644" s="319"/>
      <c r="CC644" s="319"/>
      <c r="CD644" s="319"/>
      <c r="CE644" s="319"/>
      <c r="CF644" s="319"/>
      <c r="CG644" s="319"/>
      <c r="CH644" s="319"/>
      <c r="CI644" s="319"/>
      <c r="CJ644" s="319"/>
      <c r="CK644" s="319"/>
    </row>
    <row r="645" spans="1:89" ht="13.5" hidden="1" customHeight="1">
      <c r="A645" s="12"/>
      <c r="B645" s="329" t="str">
        <f>B768</f>
        <v>Coeficiente de Temperatura de Fr UL</v>
      </c>
      <c r="C645" s="419" t="s">
        <v>2410</v>
      </c>
      <c r="D645" s="963"/>
      <c r="E645" s="1"/>
      <c r="F645" s="1"/>
      <c r="G645" s="933"/>
      <c r="H645" s="329"/>
      <c r="I645" s="329"/>
      <c r="J645" s="329"/>
      <c r="K645" s="838"/>
      <c r="L645" s="1"/>
      <c r="M645" s="319"/>
      <c r="N645" s="319">
        <v>5070082</v>
      </c>
      <c r="O645" s="319"/>
      <c r="Q645" s="319" t="s">
        <v>3641</v>
      </c>
      <c r="R645" s="319">
        <f>D645/IF(C645=G1179,H1179,1)</f>
        <v>0</v>
      </c>
      <c r="S645" s="319"/>
      <c r="U645" s="319">
        <f t="shared" si="75"/>
        <v>1</v>
      </c>
      <c r="V645" s="319">
        <f t="shared" si="76"/>
        <v>0</v>
      </c>
      <c r="W645" s="476">
        <f t="shared" si="109"/>
        <v>0</v>
      </c>
      <c r="X645" s="476">
        <f t="shared" si="110"/>
        <v>0</v>
      </c>
      <c r="Y645" s="476">
        <f t="shared" si="77"/>
        <v>0</v>
      </c>
      <c r="Z645" s="476">
        <f t="shared" si="78"/>
        <v>0</v>
      </c>
      <c r="AA645" s="476">
        <f>MAX(1, IF(SAH_track=0,Daylength(Iniciar!X65, $T$4,$D$611,$D$612),Iniciar!AA65))</f>
        <v>13.555289103181055</v>
      </c>
      <c r="AB645" s="476">
        <f xml:space="preserve"> GetMonthlyTrackingRadiation($U$4,$M$610,$D$611*PI()/180,$D$612*PI()/180,Iniciar!X65,Iniciar!AB65*1000000,Iniciar!AE65)*(1-$D$650)/1000000</f>
        <v>22.428000000000004</v>
      </c>
      <c r="AC645" s="476">
        <f t="shared" si="79"/>
        <v>0</v>
      </c>
      <c r="AD645" s="476">
        <f t="shared" si="80"/>
        <v>0</v>
      </c>
      <c r="AE645" s="476" t="e">
        <f t="shared" si="111"/>
        <v>#VALUE!</v>
      </c>
      <c r="AF645" s="849" t="e">
        <f t="shared" si="81"/>
        <v>#VALUE!</v>
      </c>
      <c r="AG645" s="476" t="e">
        <f t="shared" si="82"/>
        <v>#VALUE!</v>
      </c>
      <c r="AH645" s="476" t="e">
        <f t="shared" si="112"/>
        <v>#VALUE!</v>
      </c>
      <c r="AI645" s="476" t="e">
        <f t="shared" si="113"/>
        <v>#VALUE!</v>
      </c>
      <c r="AJ645" s="476" t="e">
        <f t="shared" si="114"/>
        <v>#VALUE!</v>
      </c>
      <c r="AK645" s="476" t="e">
        <f t="shared" si="83"/>
        <v>#VALUE!</v>
      </c>
      <c r="AL645" s="849" t="e">
        <f t="shared" si="84"/>
        <v>#VALUE!</v>
      </c>
      <c r="AM645" s="476" t="e">
        <f t="shared" si="85"/>
        <v>#VALUE!</v>
      </c>
      <c r="AN645" s="476" t="e">
        <f t="shared" si="86"/>
        <v>#VALUE!</v>
      </c>
      <c r="AO645" s="476" t="e">
        <f t="shared" si="87"/>
        <v>#VALUE!</v>
      </c>
      <c r="AP645" s="476" t="e">
        <f t="shared" si="88"/>
        <v>#VALUE!</v>
      </c>
      <c r="AQ645" s="476" t="e">
        <f t="shared" si="89"/>
        <v>#VALUE!</v>
      </c>
      <c r="AR645" s="849" t="e">
        <f t="shared" si="90"/>
        <v>#VALUE!</v>
      </c>
      <c r="AS645" s="476" t="e">
        <f t="shared" si="91"/>
        <v>#VALUE!</v>
      </c>
      <c r="AT645" s="476" t="e">
        <f t="shared" si="92"/>
        <v>#VALUE!</v>
      </c>
      <c r="AU645" s="476" t="e">
        <f t="shared" si="93"/>
        <v>#VALUE!</v>
      </c>
      <c r="AV645" s="476" t="e">
        <f t="shared" si="94"/>
        <v>#VALUE!</v>
      </c>
      <c r="AW645" s="476" t="e">
        <f t="shared" si="95"/>
        <v>#VALUE!</v>
      </c>
      <c r="AX645" s="476" t="e">
        <f t="shared" si="96"/>
        <v>#VALUE!</v>
      </c>
      <c r="AY645" s="849" t="e">
        <f t="shared" si="97"/>
        <v>#VALUE!</v>
      </c>
      <c r="AZ645" s="476" t="e">
        <f t="shared" si="98"/>
        <v>#VALUE!</v>
      </c>
      <c r="BA645" s="476" t="e">
        <f t="shared" si="99"/>
        <v>#VALUE!</v>
      </c>
      <c r="BB645" s="476" t="e">
        <f t="shared" si="100"/>
        <v>#VALUE!</v>
      </c>
      <c r="BC645" s="476" t="e">
        <f t="shared" si="101"/>
        <v>#VALUE!</v>
      </c>
      <c r="BD645" s="476" t="e">
        <f t="shared" si="102"/>
        <v>#VALUE!</v>
      </c>
      <c r="BE645" s="476" t="e">
        <f t="shared" si="103"/>
        <v>#VALUE!</v>
      </c>
      <c r="BF645" s="476" t="e">
        <f t="shared" si="104"/>
        <v>#VALUE!</v>
      </c>
      <c r="BG645" s="476">
        <f t="shared" si="105"/>
        <v>0</v>
      </c>
      <c r="BH645" s="476" t="e">
        <f t="shared" si="106"/>
        <v>#VALUE!</v>
      </c>
      <c r="BI645" s="476" t="e">
        <f t="shared" si="107"/>
        <v>#DIV/0!</v>
      </c>
      <c r="BJ645" s="476" t="e">
        <f t="shared" si="108"/>
        <v>#DIV/0!</v>
      </c>
      <c r="BK645" s="319"/>
      <c r="BL645" s="319"/>
      <c r="BM645" s="319"/>
      <c r="BN645" s="319"/>
      <c r="BO645" s="319"/>
      <c r="BP645" s="319"/>
      <c r="BQ645" s="319"/>
      <c r="BR645" s="319"/>
      <c r="BS645" s="319"/>
      <c r="BT645" s="319"/>
      <c r="BU645" s="319"/>
      <c r="BV645" s="319"/>
      <c r="BW645" s="319"/>
      <c r="BX645" s="319"/>
      <c r="BY645" s="319"/>
      <c r="BZ645" s="319"/>
      <c r="CA645" s="319"/>
      <c r="CB645" s="319"/>
      <c r="CC645" s="319"/>
      <c r="CD645" s="319"/>
      <c r="CE645" s="319"/>
      <c r="CF645" s="319"/>
      <c r="CG645" s="319"/>
      <c r="CH645" s="319"/>
      <c r="CI645" s="319"/>
      <c r="CJ645" s="319"/>
      <c r="CK645" s="319"/>
    </row>
    <row r="646" spans="1:89" ht="13.5" hidden="1" customHeight="1">
      <c r="A646" s="12"/>
      <c r="B646" s="1" t="str">
        <f>B769</f>
        <v>Número de coletores</v>
      </c>
      <c r="C646" s="1"/>
      <c r="D646" s="307"/>
      <c r="E646" s="1"/>
      <c r="F646" s="1"/>
      <c r="G646" s="933"/>
      <c r="H646" s="329"/>
      <c r="I646" s="329"/>
      <c r="J646" s="329"/>
      <c r="K646" s="838"/>
      <c r="L646" s="1"/>
      <c r="M646" s="319"/>
      <c r="N646" s="319">
        <v>5070084</v>
      </c>
      <c r="O646" s="319"/>
      <c r="Q646" s="319"/>
      <c r="R646" s="319"/>
      <c r="S646" s="319"/>
      <c r="U646" s="319">
        <f t="shared" si="75"/>
        <v>1</v>
      </c>
      <c r="V646" s="319">
        <f t="shared" si="76"/>
        <v>0</v>
      </c>
      <c r="W646" s="476">
        <f t="shared" si="109"/>
        <v>0</v>
      </c>
      <c r="X646" s="476">
        <f t="shared" si="110"/>
        <v>0</v>
      </c>
      <c r="Y646" s="476">
        <f t="shared" si="77"/>
        <v>0</v>
      </c>
      <c r="Z646" s="476">
        <f t="shared" si="78"/>
        <v>0</v>
      </c>
      <c r="AA646" s="476">
        <f>MAX(1, IF(SAH_track=0,Daylength(Iniciar!X66, $T$4,$D$611,$D$612),Iniciar!AA66))</f>
        <v>12.249985993751508</v>
      </c>
      <c r="AB646" s="476">
        <f xml:space="preserve"> GetMonthlyTrackingRadiation($U$4,$M$610,$D$611*PI()/180,$D$612*PI()/180,Iniciar!X66,Iniciar!AB66*1000000,Iniciar!AE66)*(1-$D$650)/1000000</f>
        <v>16.920000000000002</v>
      </c>
      <c r="AC646" s="476">
        <f t="shared" si="79"/>
        <v>0</v>
      </c>
      <c r="AD646" s="476">
        <f t="shared" si="80"/>
        <v>0</v>
      </c>
      <c r="AE646" s="476" t="e">
        <f t="shared" si="111"/>
        <v>#VALUE!</v>
      </c>
      <c r="AF646" s="849" t="e">
        <f t="shared" si="81"/>
        <v>#VALUE!</v>
      </c>
      <c r="AG646" s="476" t="e">
        <f t="shared" si="82"/>
        <v>#VALUE!</v>
      </c>
      <c r="AH646" s="476" t="e">
        <f t="shared" si="112"/>
        <v>#VALUE!</v>
      </c>
      <c r="AI646" s="476" t="e">
        <f t="shared" si="113"/>
        <v>#VALUE!</v>
      </c>
      <c r="AJ646" s="476" t="e">
        <f t="shared" si="114"/>
        <v>#VALUE!</v>
      </c>
      <c r="AK646" s="476" t="e">
        <f t="shared" si="83"/>
        <v>#VALUE!</v>
      </c>
      <c r="AL646" s="849" t="e">
        <f t="shared" si="84"/>
        <v>#VALUE!</v>
      </c>
      <c r="AM646" s="476" t="e">
        <f t="shared" si="85"/>
        <v>#VALUE!</v>
      </c>
      <c r="AN646" s="476" t="e">
        <f t="shared" si="86"/>
        <v>#VALUE!</v>
      </c>
      <c r="AO646" s="476" t="e">
        <f t="shared" si="87"/>
        <v>#VALUE!</v>
      </c>
      <c r="AP646" s="476" t="e">
        <f t="shared" si="88"/>
        <v>#VALUE!</v>
      </c>
      <c r="AQ646" s="476" t="e">
        <f t="shared" si="89"/>
        <v>#VALUE!</v>
      </c>
      <c r="AR646" s="849" t="e">
        <f t="shared" si="90"/>
        <v>#VALUE!</v>
      </c>
      <c r="AS646" s="476" t="e">
        <f t="shared" si="91"/>
        <v>#VALUE!</v>
      </c>
      <c r="AT646" s="476" t="e">
        <f t="shared" si="92"/>
        <v>#VALUE!</v>
      </c>
      <c r="AU646" s="476" t="e">
        <f t="shared" si="93"/>
        <v>#VALUE!</v>
      </c>
      <c r="AV646" s="476" t="e">
        <f t="shared" si="94"/>
        <v>#VALUE!</v>
      </c>
      <c r="AW646" s="476" t="e">
        <f t="shared" si="95"/>
        <v>#VALUE!</v>
      </c>
      <c r="AX646" s="476" t="e">
        <f t="shared" si="96"/>
        <v>#VALUE!</v>
      </c>
      <c r="AY646" s="849" t="e">
        <f t="shared" si="97"/>
        <v>#VALUE!</v>
      </c>
      <c r="AZ646" s="476" t="e">
        <f t="shared" si="98"/>
        <v>#VALUE!</v>
      </c>
      <c r="BA646" s="476" t="e">
        <f t="shared" si="99"/>
        <v>#VALUE!</v>
      </c>
      <c r="BB646" s="476" t="e">
        <f t="shared" si="100"/>
        <v>#VALUE!</v>
      </c>
      <c r="BC646" s="476" t="e">
        <f t="shared" si="101"/>
        <v>#VALUE!</v>
      </c>
      <c r="BD646" s="476" t="e">
        <f t="shared" si="102"/>
        <v>#VALUE!</v>
      </c>
      <c r="BE646" s="476" t="e">
        <f t="shared" si="103"/>
        <v>#VALUE!</v>
      </c>
      <c r="BF646" s="476" t="e">
        <f t="shared" si="104"/>
        <v>#VALUE!</v>
      </c>
      <c r="BG646" s="476">
        <f t="shared" si="105"/>
        <v>0</v>
      </c>
      <c r="BH646" s="476" t="e">
        <f t="shared" si="106"/>
        <v>#VALUE!</v>
      </c>
      <c r="BI646" s="476" t="e">
        <f t="shared" si="107"/>
        <v>#DIV/0!</v>
      </c>
      <c r="BJ646" s="476" t="e">
        <f t="shared" si="108"/>
        <v>#DIV/0!</v>
      </c>
      <c r="BK646" s="319"/>
      <c r="BL646" s="319"/>
      <c r="BM646" s="319"/>
      <c r="BN646" s="319"/>
      <c r="BO646" s="319"/>
      <c r="BP646" s="319"/>
      <c r="BQ646" s="319"/>
      <c r="BR646" s="319"/>
      <c r="BS646" s="319"/>
      <c r="BT646" s="319"/>
      <c r="BU646" s="319"/>
      <c r="BV646" s="319"/>
      <c r="BW646" s="319"/>
      <c r="BX646" s="319"/>
      <c r="BY646" s="319"/>
      <c r="BZ646" s="319"/>
      <c r="CA646" s="319"/>
      <c r="CB646" s="319"/>
      <c r="CC646" s="319"/>
      <c r="CD646" s="319"/>
      <c r="CE646" s="319"/>
      <c r="CF646" s="319"/>
      <c r="CG646" s="319"/>
      <c r="CH646" s="319"/>
      <c r="CI646" s="319"/>
      <c r="CJ646" s="319"/>
      <c r="CK646" s="319"/>
    </row>
    <row r="647" spans="1:89" ht="13.5" hidden="1" customHeight="1">
      <c r="A647" s="12"/>
      <c r="B647" s="1" t="str">
        <f>B770</f>
        <v>Àrea do coletor solar</v>
      </c>
      <c r="C647" s="29" t="str">
        <f>C641</f>
        <v>m²</v>
      </c>
      <c r="D647" s="284">
        <f>D641*D646</f>
        <v>0</v>
      </c>
      <c r="E647" s="1"/>
      <c r="F647" s="1"/>
      <c r="G647" s="933"/>
      <c r="H647" s="329"/>
      <c r="I647" s="329"/>
      <c r="J647" s="329"/>
      <c r="K647" s="838"/>
      <c r="L647" s="1"/>
      <c r="M647" s="319"/>
      <c r="N647" s="319">
        <v>5070086</v>
      </c>
      <c r="O647" s="319"/>
      <c r="Q647" s="319" t="s">
        <v>2575</v>
      </c>
      <c r="R647" s="319">
        <f>R641*D646</f>
        <v>0</v>
      </c>
      <c r="S647" s="319"/>
      <c r="U647" s="319">
        <f t="shared" si="75"/>
        <v>1</v>
      </c>
      <c r="V647" s="319">
        <f t="shared" si="76"/>
        <v>0</v>
      </c>
      <c r="W647" s="476">
        <f t="shared" si="109"/>
        <v>0</v>
      </c>
      <c r="X647" s="476">
        <f t="shared" si="110"/>
        <v>0</v>
      </c>
      <c r="Y647" s="476">
        <f t="shared" si="77"/>
        <v>0</v>
      </c>
      <c r="Z647" s="476">
        <f t="shared" si="78"/>
        <v>0</v>
      </c>
      <c r="AA647" s="476">
        <f>MAX(1, IF(SAH_track=0,Daylength(Iniciar!X67, $T$4,$D$611,$D$612),Iniciar!AA67))</f>
        <v>10.904425056106584</v>
      </c>
      <c r="AB647" s="476">
        <f xml:space="preserve"> GetMonthlyTrackingRadiation($U$4,$M$610,$D$611*PI()/180,$D$612*PI()/180,Iniciar!X67,Iniciar!AB67*1000000,Iniciar!AE67)*(1-$D$650)/1000000</f>
        <v>12.779999999999998</v>
      </c>
      <c r="AC647" s="476">
        <f t="shared" si="79"/>
        <v>0</v>
      </c>
      <c r="AD647" s="476">
        <f t="shared" si="80"/>
        <v>0</v>
      </c>
      <c r="AE647" s="476" t="e">
        <f t="shared" si="111"/>
        <v>#VALUE!</v>
      </c>
      <c r="AF647" s="849" t="e">
        <f t="shared" si="81"/>
        <v>#VALUE!</v>
      </c>
      <c r="AG647" s="476" t="e">
        <f t="shared" si="82"/>
        <v>#VALUE!</v>
      </c>
      <c r="AH647" s="476" t="e">
        <f t="shared" si="112"/>
        <v>#VALUE!</v>
      </c>
      <c r="AI647" s="476" t="e">
        <f t="shared" si="113"/>
        <v>#VALUE!</v>
      </c>
      <c r="AJ647" s="476" t="e">
        <f t="shared" si="114"/>
        <v>#VALUE!</v>
      </c>
      <c r="AK647" s="476" t="e">
        <f t="shared" si="83"/>
        <v>#VALUE!</v>
      </c>
      <c r="AL647" s="849" t="e">
        <f t="shared" si="84"/>
        <v>#VALUE!</v>
      </c>
      <c r="AM647" s="476" t="e">
        <f t="shared" si="85"/>
        <v>#VALUE!</v>
      </c>
      <c r="AN647" s="476" t="e">
        <f t="shared" si="86"/>
        <v>#VALUE!</v>
      </c>
      <c r="AO647" s="476" t="e">
        <f t="shared" si="87"/>
        <v>#VALUE!</v>
      </c>
      <c r="AP647" s="476" t="e">
        <f t="shared" si="88"/>
        <v>#VALUE!</v>
      </c>
      <c r="AQ647" s="476" t="e">
        <f t="shared" si="89"/>
        <v>#VALUE!</v>
      </c>
      <c r="AR647" s="849" t="e">
        <f t="shared" si="90"/>
        <v>#VALUE!</v>
      </c>
      <c r="AS647" s="476" t="e">
        <f t="shared" si="91"/>
        <v>#VALUE!</v>
      </c>
      <c r="AT647" s="476" t="e">
        <f t="shared" si="92"/>
        <v>#VALUE!</v>
      </c>
      <c r="AU647" s="476" t="e">
        <f t="shared" si="93"/>
        <v>#VALUE!</v>
      </c>
      <c r="AV647" s="476" t="e">
        <f t="shared" si="94"/>
        <v>#VALUE!</v>
      </c>
      <c r="AW647" s="476" t="e">
        <f t="shared" si="95"/>
        <v>#VALUE!</v>
      </c>
      <c r="AX647" s="476" t="e">
        <f t="shared" si="96"/>
        <v>#VALUE!</v>
      </c>
      <c r="AY647" s="849" t="e">
        <f t="shared" si="97"/>
        <v>#VALUE!</v>
      </c>
      <c r="AZ647" s="476" t="e">
        <f t="shared" si="98"/>
        <v>#VALUE!</v>
      </c>
      <c r="BA647" s="476" t="e">
        <f t="shared" si="99"/>
        <v>#VALUE!</v>
      </c>
      <c r="BB647" s="476" t="e">
        <f t="shared" si="100"/>
        <v>#VALUE!</v>
      </c>
      <c r="BC647" s="476" t="e">
        <f t="shared" si="101"/>
        <v>#VALUE!</v>
      </c>
      <c r="BD647" s="476" t="e">
        <f t="shared" si="102"/>
        <v>#VALUE!</v>
      </c>
      <c r="BE647" s="476" t="e">
        <f t="shared" si="103"/>
        <v>#VALUE!</v>
      </c>
      <c r="BF647" s="476" t="e">
        <f t="shared" si="104"/>
        <v>#VALUE!</v>
      </c>
      <c r="BG647" s="476">
        <f t="shared" si="105"/>
        <v>0</v>
      </c>
      <c r="BH647" s="476" t="e">
        <f t="shared" si="106"/>
        <v>#VALUE!</v>
      </c>
      <c r="BI647" s="476" t="e">
        <f t="shared" si="107"/>
        <v>#DIV/0!</v>
      </c>
      <c r="BJ647" s="476" t="e">
        <f t="shared" si="108"/>
        <v>#DIV/0!</v>
      </c>
      <c r="BK647" s="319"/>
      <c r="BL647" s="319"/>
      <c r="BM647" s="319"/>
      <c r="BN647" s="319"/>
      <c r="BO647" s="319"/>
      <c r="BP647" s="319"/>
      <c r="BQ647" s="319"/>
      <c r="BR647" s="319"/>
      <c r="BS647" s="319"/>
      <c r="BT647" s="319"/>
      <c r="BU647" s="319"/>
      <c r="BV647" s="319"/>
      <c r="BW647" s="319"/>
      <c r="BX647" s="319"/>
      <c r="BY647" s="319"/>
      <c r="BZ647" s="319"/>
      <c r="CA647" s="319"/>
      <c r="CB647" s="319"/>
      <c r="CC647" s="319"/>
      <c r="CD647" s="319"/>
      <c r="CE647" s="319"/>
      <c r="CF647" s="319"/>
      <c r="CG647" s="319"/>
      <c r="CH647" s="319"/>
      <c r="CI647" s="319"/>
      <c r="CJ647" s="319"/>
      <c r="CK647" s="319"/>
    </row>
    <row r="648" spans="1:89" ht="13.5" hidden="1" customHeight="1">
      <c r="A648" s="12"/>
      <c r="B648" s="1" t="str">
        <f>B772</f>
        <v>Perdas diversas</v>
      </c>
      <c r="C648" s="29" t="str">
        <f>$C$254</f>
        <v>%</v>
      </c>
      <c r="D648" s="366"/>
      <c r="E648" s="1"/>
      <c r="F648" s="1"/>
      <c r="G648" s="933"/>
      <c r="H648" s="329"/>
      <c r="I648" s="329"/>
      <c r="J648" s="329"/>
      <c r="K648" s="838"/>
      <c r="L648" s="1"/>
      <c r="M648" s="319"/>
      <c r="N648" s="319">
        <v>5070088</v>
      </c>
      <c r="O648" s="319"/>
      <c r="Q648" s="319"/>
      <c r="R648" s="319"/>
      <c r="S648" s="319"/>
      <c r="U648" s="319">
        <f t="shared" si="75"/>
        <v>1</v>
      </c>
      <c r="V648" s="319">
        <f t="shared" si="76"/>
        <v>0</v>
      </c>
      <c r="W648" s="476">
        <f t="shared" si="109"/>
        <v>0</v>
      </c>
      <c r="X648" s="476">
        <f t="shared" si="110"/>
        <v>0</v>
      </c>
      <c r="Y648" s="476">
        <f t="shared" si="77"/>
        <v>0</v>
      </c>
      <c r="Z648" s="476">
        <f t="shared" si="78"/>
        <v>0</v>
      </c>
      <c r="AA648" s="476">
        <f>MAX(1, IF(SAH_track=0,Daylength(Iniciar!X68, $T$4,$D$611,$D$612),Iniciar!AA68))</f>
        <v>9.7560712124869173</v>
      </c>
      <c r="AB648" s="476">
        <f xml:space="preserve"> GetMonthlyTrackingRadiation($U$4,$M$610,$D$611*PI()/180,$D$612*PI()/180,Iniciar!X68,Iniciar!AB68*1000000,Iniciar!AE68)*(1-$D$650)/1000000</f>
        <v>8.8560000000000016</v>
      </c>
      <c r="AC648" s="476">
        <f t="shared" si="79"/>
        <v>0</v>
      </c>
      <c r="AD648" s="476">
        <f t="shared" si="80"/>
        <v>0</v>
      </c>
      <c r="AE648" s="476" t="e">
        <f t="shared" si="111"/>
        <v>#VALUE!</v>
      </c>
      <c r="AF648" s="849" t="e">
        <f t="shared" si="81"/>
        <v>#VALUE!</v>
      </c>
      <c r="AG648" s="476" t="e">
        <f t="shared" si="82"/>
        <v>#VALUE!</v>
      </c>
      <c r="AH648" s="476" t="e">
        <f t="shared" si="112"/>
        <v>#VALUE!</v>
      </c>
      <c r="AI648" s="476" t="e">
        <f t="shared" si="113"/>
        <v>#VALUE!</v>
      </c>
      <c r="AJ648" s="476" t="e">
        <f t="shared" si="114"/>
        <v>#VALUE!</v>
      </c>
      <c r="AK648" s="476" t="e">
        <f t="shared" si="83"/>
        <v>#VALUE!</v>
      </c>
      <c r="AL648" s="849" t="e">
        <f t="shared" si="84"/>
        <v>#VALUE!</v>
      </c>
      <c r="AM648" s="476" t="e">
        <f t="shared" si="85"/>
        <v>#VALUE!</v>
      </c>
      <c r="AN648" s="476" t="e">
        <f t="shared" si="86"/>
        <v>#VALUE!</v>
      </c>
      <c r="AO648" s="476" t="e">
        <f t="shared" si="87"/>
        <v>#VALUE!</v>
      </c>
      <c r="AP648" s="476" t="e">
        <f t="shared" si="88"/>
        <v>#VALUE!</v>
      </c>
      <c r="AQ648" s="476" t="e">
        <f t="shared" si="89"/>
        <v>#VALUE!</v>
      </c>
      <c r="AR648" s="849" t="e">
        <f t="shared" si="90"/>
        <v>#VALUE!</v>
      </c>
      <c r="AS648" s="476" t="e">
        <f t="shared" si="91"/>
        <v>#VALUE!</v>
      </c>
      <c r="AT648" s="476" t="e">
        <f t="shared" si="92"/>
        <v>#VALUE!</v>
      </c>
      <c r="AU648" s="476" t="e">
        <f t="shared" si="93"/>
        <v>#VALUE!</v>
      </c>
      <c r="AV648" s="476" t="e">
        <f t="shared" si="94"/>
        <v>#VALUE!</v>
      </c>
      <c r="AW648" s="476" t="e">
        <f t="shared" si="95"/>
        <v>#VALUE!</v>
      </c>
      <c r="AX648" s="476" t="e">
        <f t="shared" si="96"/>
        <v>#VALUE!</v>
      </c>
      <c r="AY648" s="849" t="e">
        <f t="shared" si="97"/>
        <v>#VALUE!</v>
      </c>
      <c r="AZ648" s="476" t="e">
        <f t="shared" si="98"/>
        <v>#VALUE!</v>
      </c>
      <c r="BA648" s="476" t="e">
        <f t="shared" si="99"/>
        <v>#VALUE!</v>
      </c>
      <c r="BB648" s="476" t="e">
        <f t="shared" si="100"/>
        <v>#VALUE!</v>
      </c>
      <c r="BC648" s="476" t="e">
        <f t="shared" si="101"/>
        <v>#VALUE!</v>
      </c>
      <c r="BD648" s="476" t="e">
        <f t="shared" si="102"/>
        <v>#VALUE!</v>
      </c>
      <c r="BE648" s="476" t="e">
        <f t="shared" si="103"/>
        <v>#VALUE!</v>
      </c>
      <c r="BF648" s="476" t="e">
        <f t="shared" si="104"/>
        <v>#VALUE!</v>
      </c>
      <c r="BG648" s="476">
        <f t="shared" si="105"/>
        <v>0</v>
      </c>
      <c r="BH648" s="476" t="e">
        <f t="shared" si="106"/>
        <v>#VALUE!</v>
      </c>
      <c r="BI648" s="476" t="e">
        <f t="shared" si="107"/>
        <v>#DIV/0!</v>
      </c>
      <c r="BJ648" s="476" t="e">
        <f t="shared" si="108"/>
        <v>#DIV/0!</v>
      </c>
      <c r="BK648" s="319"/>
      <c r="BL648" s="319"/>
      <c r="BM648" s="319"/>
      <c r="BN648" s="319"/>
      <c r="BO648" s="319"/>
      <c r="BP648" s="319"/>
      <c r="BQ648" s="319"/>
      <c r="BR648" s="319"/>
      <c r="BS648" s="319"/>
      <c r="BT648" s="319"/>
      <c r="BU648" s="319"/>
      <c r="BV648" s="319"/>
      <c r="BW648" s="319"/>
      <c r="BX648" s="319"/>
      <c r="BY648" s="319"/>
      <c r="BZ648" s="319"/>
      <c r="CA648" s="319"/>
      <c r="CB648" s="319"/>
      <c r="CC648" s="319"/>
      <c r="CD648" s="319"/>
      <c r="CE648" s="319"/>
      <c r="CF648" s="319"/>
      <c r="CG648" s="319"/>
      <c r="CH648" s="319"/>
      <c r="CI648" s="319"/>
      <c r="CJ648" s="319"/>
      <c r="CK648" s="319"/>
    </row>
    <row r="649" spans="1:89" ht="13.5" hidden="1" customHeight="1">
      <c r="A649" s="12"/>
      <c r="B649" s="1" t="str">
        <f>Language!C1981</f>
        <v>Àrea do coletor solar</v>
      </c>
      <c r="C649" s="303" t="s">
        <v>5430</v>
      </c>
      <c r="D649" s="307"/>
      <c r="E649" s="30">
        <f>R655/Q638/3.6/(IF(C649=J1191,K1191,1))</f>
        <v>0</v>
      </c>
      <c r="F649" s="1"/>
      <c r="G649" s="2"/>
      <c r="H649" s="2"/>
      <c r="I649" s="2"/>
      <c r="K649" s="838"/>
      <c r="L649" s="1"/>
      <c r="M649" s="319"/>
      <c r="N649" s="319">
        <v>5070086</v>
      </c>
      <c r="O649" s="319"/>
      <c r="Q649" s="319" t="s">
        <v>3724</v>
      </c>
      <c r="R649" s="372">
        <f>IF(EE_SAH_type=1,D639,1)</f>
        <v>0</v>
      </c>
      <c r="U649" s="319">
        <f t="shared" si="75"/>
        <v>1</v>
      </c>
      <c r="V649" s="319">
        <f t="shared" si="76"/>
        <v>0</v>
      </c>
      <c r="W649" s="476">
        <f t="shared" si="109"/>
        <v>0</v>
      </c>
      <c r="X649" s="476">
        <f t="shared" si="110"/>
        <v>0</v>
      </c>
      <c r="Y649" s="476">
        <f t="shared" si="77"/>
        <v>0</v>
      </c>
      <c r="Z649" s="476">
        <f t="shared" si="78"/>
        <v>0</v>
      </c>
      <c r="AA649" s="476">
        <f>MAX(1, IF(SAH_track=0,Daylength(Iniciar!X69, $T$4,$D$611,$D$612),Iniciar!AA69))</f>
        <v>9.1901631086914328</v>
      </c>
      <c r="AB649" s="476">
        <f xml:space="preserve"> GetMonthlyTrackingRadiation($U$4,$M$610,$D$611*PI()/180,$D$612*PI()/180,Iniciar!X69,Iniciar!AB69*1000000,Iniciar!AE69)*(1-$D$650)/1000000</f>
        <v>7.8120000000000003</v>
      </c>
      <c r="AC649" s="476">
        <f t="shared" si="79"/>
        <v>0</v>
      </c>
      <c r="AD649" s="476">
        <f t="shared" si="80"/>
        <v>0</v>
      </c>
      <c r="AE649" s="476" t="e">
        <f t="shared" si="111"/>
        <v>#VALUE!</v>
      </c>
      <c r="AF649" s="849" t="e">
        <f t="shared" si="81"/>
        <v>#VALUE!</v>
      </c>
      <c r="AG649" s="476" t="e">
        <f t="shared" si="82"/>
        <v>#VALUE!</v>
      </c>
      <c r="AH649" s="476" t="e">
        <f t="shared" si="112"/>
        <v>#VALUE!</v>
      </c>
      <c r="AI649" s="476" t="e">
        <f t="shared" si="113"/>
        <v>#VALUE!</v>
      </c>
      <c r="AJ649" s="476" t="e">
        <f t="shared" si="114"/>
        <v>#VALUE!</v>
      </c>
      <c r="AK649" s="476" t="e">
        <f t="shared" si="83"/>
        <v>#VALUE!</v>
      </c>
      <c r="AL649" s="849" t="e">
        <f t="shared" si="84"/>
        <v>#VALUE!</v>
      </c>
      <c r="AM649" s="476" t="e">
        <f t="shared" si="85"/>
        <v>#VALUE!</v>
      </c>
      <c r="AN649" s="476" t="e">
        <f t="shared" si="86"/>
        <v>#VALUE!</v>
      </c>
      <c r="AO649" s="476" t="e">
        <f t="shared" si="87"/>
        <v>#VALUE!</v>
      </c>
      <c r="AP649" s="476" t="e">
        <f t="shared" si="88"/>
        <v>#VALUE!</v>
      </c>
      <c r="AQ649" s="476" t="e">
        <f t="shared" si="89"/>
        <v>#VALUE!</v>
      </c>
      <c r="AR649" s="849" t="e">
        <f t="shared" si="90"/>
        <v>#VALUE!</v>
      </c>
      <c r="AS649" s="476" t="e">
        <f t="shared" si="91"/>
        <v>#VALUE!</v>
      </c>
      <c r="AT649" s="476" t="e">
        <f t="shared" si="92"/>
        <v>#VALUE!</v>
      </c>
      <c r="AU649" s="476" t="e">
        <f t="shared" si="93"/>
        <v>#VALUE!</v>
      </c>
      <c r="AV649" s="476" t="e">
        <f t="shared" si="94"/>
        <v>#VALUE!</v>
      </c>
      <c r="AW649" s="476" t="e">
        <f t="shared" si="95"/>
        <v>#VALUE!</v>
      </c>
      <c r="AX649" s="476" t="e">
        <f t="shared" si="96"/>
        <v>#VALUE!</v>
      </c>
      <c r="AY649" s="849" t="e">
        <f t="shared" si="97"/>
        <v>#VALUE!</v>
      </c>
      <c r="AZ649" s="476" t="e">
        <f t="shared" si="98"/>
        <v>#VALUE!</v>
      </c>
      <c r="BA649" s="476" t="e">
        <f t="shared" si="99"/>
        <v>#VALUE!</v>
      </c>
      <c r="BB649" s="476" t="e">
        <f t="shared" si="100"/>
        <v>#VALUE!</v>
      </c>
      <c r="BC649" s="476" t="e">
        <f t="shared" si="101"/>
        <v>#VALUE!</v>
      </c>
      <c r="BD649" s="476" t="e">
        <f t="shared" si="102"/>
        <v>#VALUE!</v>
      </c>
      <c r="BE649" s="476" t="e">
        <f t="shared" si="103"/>
        <v>#VALUE!</v>
      </c>
      <c r="BF649" s="476" t="e">
        <f t="shared" si="104"/>
        <v>#VALUE!</v>
      </c>
      <c r="BG649" s="476">
        <f t="shared" si="105"/>
        <v>0</v>
      </c>
      <c r="BH649" s="476" t="e">
        <f t="shared" si="106"/>
        <v>#VALUE!</v>
      </c>
      <c r="BI649" s="476" t="e">
        <f t="shared" si="107"/>
        <v>#DIV/0!</v>
      </c>
      <c r="BJ649" s="476" t="e">
        <f t="shared" si="108"/>
        <v>#DIV/0!</v>
      </c>
      <c r="BK649" s="319"/>
      <c r="BL649" s="319"/>
      <c r="BM649" s="319"/>
      <c r="BN649" s="319"/>
      <c r="BO649" s="319"/>
      <c r="BP649" s="319"/>
      <c r="BQ649" s="319"/>
      <c r="BR649" s="319"/>
      <c r="BS649" s="319"/>
      <c r="BT649" s="319"/>
      <c r="BU649" s="319"/>
      <c r="BV649" s="319"/>
      <c r="BW649" s="319"/>
      <c r="BX649" s="319"/>
      <c r="BY649" s="319"/>
      <c r="BZ649" s="319"/>
      <c r="CA649" s="319"/>
      <c r="CB649" s="319"/>
      <c r="CC649" s="319"/>
      <c r="CD649" s="319"/>
      <c r="CE649" s="319"/>
      <c r="CF649" s="319"/>
      <c r="CG649" s="319"/>
      <c r="CH649" s="319"/>
      <c r="CI649" s="319"/>
      <c r="CJ649" s="319"/>
      <c r="CK649" s="319"/>
    </row>
    <row r="650" spans="1:89" ht="13.5" hidden="1" customHeight="1">
      <c r="A650" s="12"/>
      <c r="B650" s="1" t="str">
        <f>Language!C1988</f>
        <v>Sombreamento do coletor solar - estações de uso</v>
      </c>
      <c r="C650" s="29" t="str">
        <f>Language!C1306</f>
        <v>%</v>
      </c>
      <c r="D650" s="339"/>
      <c r="E650" s="362" t="str">
        <f>Language!C1148</f>
        <v>Velocidade do Vento</v>
      </c>
      <c r="F650" s="1011" t="s">
        <v>4189</v>
      </c>
      <c r="G650" s="134" t="str">
        <f>$G$384</f>
        <v>Mostrar dado</v>
      </c>
      <c r="H650" s="526"/>
      <c r="I650" s="526"/>
      <c r="J650" s="526"/>
      <c r="K650" s="838"/>
      <c r="L650" s="1"/>
      <c r="M650" s="319"/>
      <c r="N650" s="319">
        <v>5070090</v>
      </c>
      <c r="O650" s="319">
        <v>5070098</v>
      </c>
      <c r="P650" s="319"/>
      <c r="Q650" s="319" t="s">
        <v>129</v>
      </c>
      <c r="R650" s="319"/>
      <c r="S650" s="319">
        <f>IF(R652&lt;3,0.75*R652,MIN(5,(R652-3)*0.25+2.25))</f>
        <v>0</v>
      </c>
      <c r="U650" s="319"/>
      <c r="V650" s="556"/>
      <c r="W650" s="556"/>
      <c r="X650" s="476"/>
      <c r="Y650" s="556"/>
      <c r="Z650" s="556"/>
      <c r="AA650" s="556"/>
      <c r="AB650" s="556"/>
      <c r="AC650" s="476"/>
      <c r="AD650" s="476"/>
      <c r="AE650" s="476"/>
      <c r="AF650" s="476"/>
      <c r="AG650" s="476"/>
      <c r="AH650" s="476"/>
      <c r="AI650" s="476"/>
      <c r="AJ650" s="476"/>
      <c r="AK650" s="476"/>
      <c r="AL650" s="476"/>
      <c r="AM650" s="476"/>
      <c r="AN650" s="476"/>
      <c r="AO650" s="476"/>
      <c r="AP650" s="476"/>
      <c r="AQ650" s="476"/>
      <c r="AR650" s="476"/>
      <c r="AS650" s="476"/>
      <c r="AT650" s="476"/>
      <c r="AU650" s="476"/>
      <c r="AV650" s="476"/>
      <c r="AW650" s="476" t="e">
        <f>SUM(AW638:AW649)</f>
        <v>#VALUE!</v>
      </c>
      <c r="AX650" s="476" t="e">
        <f>SUM(AX638:AX649)</f>
        <v>#VALUE!</v>
      </c>
      <c r="AY650" s="476"/>
      <c r="AZ650" s="476"/>
      <c r="BA650" s="476"/>
      <c r="BB650" s="476"/>
      <c r="BC650" s="476"/>
      <c r="BD650" s="476"/>
      <c r="BE650" s="476"/>
      <c r="BF650" s="476" t="e">
        <f>SUMPRODUCT(U638:U649,BF638:BF649)/SUM(U638:U649)</f>
        <v>#VALUE!</v>
      </c>
      <c r="BG650" s="476">
        <f>SUM(BG638:BG649)</f>
        <v>0</v>
      </c>
      <c r="BH650" s="476">
        <f>IF(ISERROR(SUM(BH638:BH649)),0,SUM(BH638:BH649))</f>
        <v>0</v>
      </c>
      <c r="BI650" s="476" t="e">
        <f>MAX(0,SUM(BI638:BI649))*IF(SAH_track=0,1,0)</f>
        <v>#DIV/0!</v>
      </c>
      <c r="BJ650" s="476" t="e">
        <f>SUM(BJ638:BJ649)</f>
        <v>#DIV/0!</v>
      </c>
      <c r="BK650" s="319"/>
      <c r="BL650" s="319"/>
      <c r="BM650" s="319"/>
      <c r="BN650" s="319"/>
      <c r="BO650" s="319"/>
      <c r="BP650" s="319"/>
      <c r="BQ650" s="319"/>
      <c r="BR650" s="319"/>
      <c r="BS650" s="319"/>
      <c r="BT650" s="319"/>
      <c r="BU650" s="319"/>
      <c r="BV650" s="319"/>
      <c r="BW650" s="319"/>
      <c r="BX650" s="319"/>
      <c r="BY650" s="319"/>
      <c r="BZ650" s="319"/>
      <c r="CA650" s="319"/>
      <c r="CB650" s="319"/>
      <c r="CC650" s="319"/>
      <c r="CD650" s="319"/>
      <c r="CE650" s="319"/>
      <c r="CF650" s="319"/>
      <c r="CG650" s="319"/>
      <c r="CH650" s="319"/>
      <c r="CI650" s="319"/>
      <c r="CJ650" s="319"/>
      <c r="CK650" s="319"/>
    </row>
    <row r="651" spans="1:89" ht="13.5" hidden="1" customHeight="1">
      <c r="A651" s="12"/>
      <c r="B651" s="1" t="str">
        <f>Language!C1983</f>
        <v>Eficiência do coletor solar</v>
      </c>
      <c r="C651" s="29" t="str">
        <f>$C$650</f>
        <v>%</v>
      </c>
      <c r="D651" s="227" t="str">
        <f>IF(ISERROR((P658/R660)/D294),"",(P658/R660)/D294)</f>
        <v/>
      </c>
      <c r="E651" s="1"/>
      <c r="F651" s="1"/>
      <c r="G651" s="1" t="str">
        <f>Language!C1984</f>
        <v>Vazão do ventilador do coletor solar</v>
      </c>
      <c r="H651" s="1"/>
      <c r="I651" s="1"/>
      <c r="J651" s="29" t="str">
        <f>Language!C2236</f>
        <v>m³/h/m²</v>
      </c>
      <c r="K651" s="260" t="e">
        <f>R633*3.6</f>
        <v>#DIV/0!</v>
      </c>
      <c r="L651" s="1"/>
      <c r="M651" s="319"/>
      <c r="N651" s="319">
        <v>5070092</v>
      </c>
      <c r="O651" s="319">
        <v>5070098</v>
      </c>
      <c r="P651" s="319"/>
      <c r="Q651" s="319" t="s">
        <v>144</v>
      </c>
      <c r="R651" s="319">
        <f>IF($Q$542=TRUE,S547,S581)</f>
        <v>0</v>
      </c>
      <c r="S651" s="319"/>
      <c r="BK651" s="319"/>
      <c r="BL651" s="319"/>
      <c r="BM651" s="319"/>
      <c r="BN651" s="319"/>
      <c r="BO651" s="319"/>
      <c r="BP651" s="319"/>
      <c r="BQ651" s="319"/>
      <c r="BR651" s="319"/>
      <c r="BS651" s="319"/>
      <c r="BT651" s="319"/>
      <c r="BU651" s="319"/>
      <c r="BV651" s="319"/>
      <c r="BW651" s="319"/>
      <c r="BX651" s="319"/>
      <c r="BY651" s="319"/>
      <c r="BZ651" s="319"/>
      <c r="CA651" s="319"/>
      <c r="CB651" s="319"/>
      <c r="CC651" s="319"/>
      <c r="CD651" s="319"/>
      <c r="CE651" s="319"/>
      <c r="CF651" s="319"/>
      <c r="CG651" s="319"/>
      <c r="CH651" s="319"/>
      <c r="CI651" s="319"/>
      <c r="CJ651" s="319"/>
      <c r="CK651" s="319"/>
    </row>
    <row r="652" spans="1:89" ht="13.5" hidden="1" customHeight="1">
      <c r="A652" s="12"/>
      <c r="B652" s="329"/>
      <c r="C652" s="29"/>
      <c r="D652" s="140"/>
      <c r="E652" s="329"/>
      <c r="F652" s="329"/>
      <c r="G652" s="1" t="str">
        <f>Language!C1985</f>
        <v xml:space="preserve">Vazão do coletor solar </v>
      </c>
      <c r="H652" s="1"/>
      <c r="I652" s="1"/>
      <c r="J652" s="29" t="str">
        <f>J651</f>
        <v>m³/h/m²</v>
      </c>
      <c r="K652" s="141" t="e">
        <f>IF($M$547=1,AX650/AW650,R633)*3.6</f>
        <v>#VALUE!</v>
      </c>
      <c r="L652" s="1"/>
      <c r="M652" s="319"/>
      <c r="N652" s="319">
        <v>13190</v>
      </c>
      <c r="O652" s="319">
        <v>5070098</v>
      </c>
      <c r="P652" s="319"/>
      <c r="Q652" s="319" t="s">
        <v>144</v>
      </c>
      <c r="R652" s="319">
        <f>IF($Q$542=TRUE,S550,0)</f>
        <v>0</v>
      </c>
      <c r="S652" s="319"/>
      <c r="BK652" s="319"/>
      <c r="BL652" s="319"/>
      <c r="BM652" s="319"/>
      <c r="BN652" s="319"/>
      <c r="BO652" s="319"/>
      <c r="BP652" s="319"/>
      <c r="BQ652" s="319"/>
      <c r="BR652" s="319"/>
      <c r="BS652" s="319"/>
      <c r="BT652" s="319"/>
      <c r="BU652" s="319"/>
      <c r="BV652" s="319"/>
      <c r="BW652" s="319"/>
      <c r="BX652" s="319"/>
      <c r="BY652" s="319"/>
      <c r="BZ652" s="319"/>
      <c r="CA652" s="319"/>
      <c r="CB652" s="319"/>
      <c r="CC652" s="319"/>
      <c r="CD652" s="319"/>
      <c r="CE652" s="319"/>
      <c r="CF652" s="319"/>
      <c r="CG652" s="319"/>
      <c r="CH652" s="319"/>
      <c r="CI652" s="319"/>
      <c r="CJ652" s="319"/>
      <c r="CK652" s="319"/>
    </row>
    <row r="653" spans="1:89" ht="13.5" hidden="1" customHeight="1">
      <c r="A653" s="12"/>
      <c r="B653" s="329" t="str">
        <f>B651</f>
        <v>Eficiência do coletor solar</v>
      </c>
      <c r="C653" s="29" t="str">
        <f>$C$650</f>
        <v>%</v>
      </c>
      <c r="D653" s="422"/>
      <c r="E653" s="1"/>
      <c r="F653" s="1"/>
      <c r="G653" s="1" t="str">
        <f>G651</f>
        <v>Vazão do ventilador do coletor solar</v>
      </c>
      <c r="H653" s="2"/>
      <c r="I653" s="2"/>
      <c r="J653" s="29" t="str">
        <f>J651</f>
        <v>m³/h/m²</v>
      </c>
      <c r="K653" s="260" t="e">
        <f>K651</f>
        <v>#DIV/0!</v>
      </c>
      <c r="L653" s="1"/>
      <c r="M653" s="319"/>
      <c r="N653" s="319">
        <v>5070092</v>
      </c>
      <c r="O653" s="319">
        <v>5070098</v>
      </c>
      <c r="P653" s="319"/>
      <c r="Q653" s="319" t="s">
        <v>144</v>
      </c>
      <c r="R653" s="319">
        <f>IF($Q$542=TRUE,S548,S581)</f>
        <v>0</v>
      </c>
      <c r="S653" s="319"/>
      <c r="BK653" s="319"/>
      <c r="BL653" s="319"/>
      <c r="BM653" s="319"/>
      <c r="BN653" s="319"/>
      <c r="BO653" s="319"/>
      <c r="BP653" s="319"/>
      <c r="BQ653" s="319"/>
      <c r="BR653" s="319"/>
      <c r="BS653" s="319"/>
      <c r="BT653" s="319"/>
      <c r="BU653" s="319"/>
      <c r="BV653" s="319"/>
      <c r="BW653" s="319"/>
      <c r="BX653" s="319"/>
      <c r="BY653" s="319"/>
      <c r="BZ653" s="319"/>
      <c r="CA653" s="319"/>
      <c r="CB653" s="319"/>
      <c r="CC653" s="319"/>
      <c r="CD653" s="319"/>
      <c r="CE653" s="319"/>
      <c r="CF653" s="319"/>
      <c r="CG653" s="319"/>
      <c r="CH653" s="319"/>
      <c r="CI653" s="319"/>
      <c r="CJ653" s="319"/>
      <c r="CK653" s="319"/>
    </row>
    <row r="654" spans="1:89" ht="13.5" hidden="1" customHeight="1">
      <c r="A654" s="12"/>
      <c r="B654" s="1" t="str">
        <f>Language!C1748</f>
        <v>Potência incremental do ventilador</v>
      </c>
      <c r="C654" s="29" t="str">
        <f>IF(C649=J1191,J1202,J1201)</f>
        <v>W/m²</v>
      </c>
      <c r="D654" s="382"/>
      <c r="E654" s="1"/>
      <c r="F654" s="1"/>
      <c r="G654" s="1" t="str">
        <f>IF(EE_SAH_hide=400,G652,G651)</f>
        <v>Vazão do ventilador do coletor solar</v>
      </c>
      <c r="H654" s="1"/>
      <c r="I654" s="1"/>
      <c r="J654" s="29" t="str">
        <f>J651</f>
        <v>m³/h/m²</v>
      </c>
      <c r="K654" s="141" t="e">
        <f>IF(EE_SAH_hide=400,K652,K651)</f>
        <v>#DIV/0!</v>
      </c>
      <c r="L654" s="1"/>
      <c r="M654" s="319"/>
      <c r="N654" s="319">
        <v>5070094</v>
      </c>
      <c r="O654" s="319">
        <v>5070098</v>
      </c>
      <c r="P654" s="319"/>
      <c r="Q654" s="319" t="s">
        <v>144</v>
      </c>
      <c r="R654" s="319">
        <f>IF($Q$542=TRUE,S549,S582)</f>
        <v>0</v>
      </c>
      <c r="S654" s="319"/>
      <c r="BK654" s="319"/>
      <c r="BL654" s="319"/>
      <c r="BM654" s="319"/>
      <c r="BN654" s="319"/>
      <c r="BO654" s="319"/>
      <c r="BP654" s="319"/>
      <c r="BQ654" s="319"/>
      <c r="BR654" s="319"/>
      <c r="BS654" s="319"/>
      <c r="BT654" s="319"/>
      <c r="BU654" s="319"/>
      <c r="BV654" s="319"/>
      <c r="BW654" s="319"/>
      <c r="BX654" s="319"/>
      <c r="BY654" s="319"/>
      <c r="BZ654" s="319"/>
      <c r="CA654" s="319"/>
      <c r="CB654" s="319"/>
      <c r="CC654" s="319"/>
      <c r="CD654" s="319"/>
      <c r="CE654" s="319"/>
      <c r="CF654" s="319"/>
      <c r="CG654" s="319"/>
      <c r="CH654" s="319"/>
      <c r="CI654" s="319"/>
      <c r="CJ654" s="319"/>
      <c r="CK654" s="319"/>
    </row>
    <row r="655" spans="1:89" ht="13.5" hidden="1" customHeight="1">
      <c r="A655" s="12"/>
      <c r="B655" s="329" t="str">
        <f>Language!C467</f>
        <v>Preço da eletricidade</v>
      </c>
      <c r="C655" s="29" t="str">
        <f>E9</f>
        <v>€/kWh</v>
      </c>
      <c r="D655" s="399"/>
      <c r="E655" s="1"/>
      <c r="F655" s="1"/>
      <c r="G655" s="1" t="str">
        <f>IF(EE_SAH_hide=400,Language!C1467,G652)</f>
        <v xml:space="preserve">Vazão do coletor solar </v>
      </c>
      <c r="H655" s="1"/>
      <c r="I655" s="1"/>
      <c r="J655" s="29" t="str">
        <f>IF(EE_SAH_hide=400,IF(Unit=TRUE,C1178,C1179),J651)</f>
        <v>m³/h/m²</v>
      </c>
      <c r="K655" s="141" t="e">
        <f>IF(EE_SAH_hide=400,IF(Unit=TRUE,T656,T656*1.8),K652)</f>
        <v>#VALUE!</v>
      </c>
      <c r="L655" s="1"/>
      <c r="M655" s="319"/>
      <c r="N655" s="319">
        <v>5070096</v>
      </c>
      <c r="O655" s="319">
        <v>5070098</v>
      </c>
      <c r="P655" s="319"/>
      <c r="Q655" s="319" t="s">
        <v>4603</v>
      </c>
      <c r="R655" s="319">
        <f>IF($Q$542=TRUE,S555,S585)*3.6</f>
        <v>0</v>
      </c>
      <c r="S655" s="556"/>
      <c r="BK655" s="319"/>
      <c r="BL655" s="319"/>
      <c r="BM655" s="319"/>
      <c r="BN655" s="319"/>
      <c r="BO655" s="319"/>
      <c r="BP655" s="319"/>
      <c r="BQ655" s="319"/>
      <c r="BR655" s="319"/>
      <c r="BS655" s="319"/>
      <c r="BT655" s="319"/>
      <c r="BU655" s="319"/>
      <c r="BV655" s="319"/>
      <c r="BW655" s="319"/>
      <c r="BX655" s="319"/>
      <c r="BY655" s="319"/>
      <c r="BZ655" s="319"/>
      <c r="CA655" s="319"/>
      <c r="CB655" s="319"/>
      <c r="CC655" s="319"/>
      <c r="CD655" s="319"/>
      <c r="CE655" s="319"/>
      <c r="CF655" s="319"/>
      <c r="CG655" s="319"/>
      <c r="CH655" s="319"/>
      <c r="CI655" s="319"/>
      <c r="CJ655" s="319"/>
      <c r="CK655" s="319"/>
    </row>
    <row r="656" spans="1:89" ht="13.2" hidden="1">
      <c r="A656" s="12"/>
      <c r="B656" s="1"/>
      <c r="C656" s="329"/>
      <c r="D656" s="329"/>
      <c r="E656" s="1"/>
      <c r="F656" s="1"/>
      <c r="G656" s="1" t="str">
        <f>IF(EE_SAH_hide=400,Language!C2888,Language!C1467)</f>
        <v>Temperatura do ar - média superior</v>
      </c>
      <c r="H656" s="1"/>
      <c r="I656" s="1"/>
      <c r="J656" s="29" t="str">
        <f>IF(EE_SAH_hide=400,"",IF(Unit=TRUE,C1178,C1179))</f>
        <v>°C</v>
      </c>
      <c r="K656" s="955" t="e">
        <f>IF(EE_SAH_hide=400,TEXT(D651,"#0.0%"),TEXT(IF(Unit=TRUE,T656,T656*1.8),"##0.0"))</f>
        <v>#VALUE!</v>
      </c>
      <c r="L656" s="1"/>
      <c r="M656" s="319"/>
      <c r="N656" s="319">
        <v>5070058</v>
      </c>
      <c r="O656" s="319">
        <v>5070098</v>
      </c>
      <c r="P656" s="319"/>
      <c r="Q656" s="319" t="s">
        <v>1110</v>
      </c>
      <c r="R656" s="319">
        <v>1.23</v>
      </c>
      <c r="S656" s="319" t="s">
        <v>413</v>
      </c>
      <c r="T656" s="476" t="e">
        <f>IF(EE_SAH_hide=200,BE628,BF650)</f>
        <v>#VALUE!</v>
      </c>
      <c r="U656" s="319"/>
      <c r="V656" s="476"/>
      <c r="W656" s="476"/>
      <c r="X656" s="476"/>
      <c r="Y656" s="476"/>
      <c r="Z656" s="476"/>
      <c r="AA656" s="476"/>
      <c r="AB656" s="476"/>
      <c r="AC656" s="476"/>
      <c r="AD656" s="476"/>
      <c r="AE656" s="476"/>
      <c r="AF656" s="476"/>
      <c r="AG656" s="476"/>
      <c r="AH656" s="476"/>
      <c r="AI656" s="476"/>
      <c r="AJ656" s="476"/>
      <c r="AK656" s="476"/>
      <c r="AL656" s="476"/>
      <c r="AM656" s="476"/>
      <c r="AN656" s="476"/>
      <c r="AO656" s="476"/>
      <c r="AP656" s="476"/>
      <c r="AQ656" s="476"/>
      <c r="AR656" s="476"/>
      <c r="AS656" s="476"/>
      <c r="AT656" s="476"/>
      <c r="AU656" s="476"/>
      <c r="AV656" s="476"/>
      <c r="AW656" s="476"/>
      <c r="AX656" s="476"/>
      <c r="AY656" s="476"/>
      <c r="AZ656" s="476"/>
      <c r="BA656" s="476"/>
      <c r="BB656" s="476"/>
      <c r="BC656" s="476"/>
      <c r="BD656" s="476"/>
      <c r="BE656" s="476"/>
      <c r="BF656" s="476"/>
      <c r="BG656" s="476"/>
      <c r="BH656" s="476"/>
      <c r="BI656" s="476"/>
      <c r="BJ656" s="319"/>
      <c r="BK656" s="319"/>
      <c r="BL656" s="319"/>
      <c r="BM656" s="319"/>
      <c r="BN656" s="319"/>
      <c r="BO656" s="319"/>
      <c r="BP656" s="319"/>
      <c r="BQ656" s="319"/>
      <c r="BR656" s="319"/>
      <c r="BS656" s="319"/>
      <c r="BT656" s="319"/>
      <c r="BU656" s="319"/>
      <c r="BV656" s="319"/>
      <c r="BW656" s="319"/>
      <c r="BX656" s="319"/>
      <c r="BY656" s="319"/>
      <c r="BZ656" s="319"/>
      <c r="CA656" s="319"/>
      <c r="CB656" s="319"/>
      <c r="CC656" s="319"/>
      <c r="CD656" s="319"/>
      <c r="CE656" s="319"/>
      <c r="CF656" s="319"/>
      <c r="CG656" s="319"/>
      <c r="CH656" s="319"/>
      <c r="CI656" s="319"/>
      <c r="CJ656" s="319"/>
      <c r="CK656" s="319"/>
    </row>
    <row r="657" spans="1:89" ht="13.5" hidden="1" customHeight="1">
      <c r="A657" s="12"/>
      <c r="B657" s="791" t="str">
        <f>B496</f>
        <v>Resumo</v>
      </c>
      <c r="C657" s="1"/>
      <c r="D657" s="1"/>
      <c r="E657" s="1"/>
      <c r="F657" s="1"/>
      <c r="G657" s="1" t="str">
        <f>IF(EE_SAH_hide=400,"",Language!C2888)</f>
        <v>Aquecedor de ar solar - eficiência sazonal</v>
      </c>
      <c r="H657" s="1"/>
      <c r="I657" s="1"/>
      <c r="J657" s="1"/>
      <c r="K657" s="131" t="str">
        <f>IF(EE_SAH_hide=400,"",D651)</f>
        <v/>
      </c>
      <c r="L657" s="1"/>
      <c r="M657" s="319"/>
      <c r="N657" s="319">
        <v>5070100</v>
      </c>
      <c r="O657" s="319">
        <v>5070098</v>
      </c>
      <c r="P657" s="393" t="s">
        <v>2745</v>
      </c>
      <c r="Q657" s="319" t="s">
        <v>144</v>
      </c>
      <c r="R657" s="476">
        <v>3</v>
      </c>
      <c r="S657" s="476" t="s">
        <v>4694</v>
      </c>
      <c r="T657" s="319"/>
      <c r="U657" s="319"/>
      <c r="V657" s="476"/>
      <c r="W657" s="476"/>
      <c r="X657" s="476"/>
      <c r="Y657" s="476"/>
      <c r="Z657" s="476"/>
      <c r="AA657" s="476"/>
      <c r="AB657" s="476"/>
      <c r="AC657" s="476"/>
      <c r="AD657" s="476"/>
      <c r="AE657" s="476"/>
      <c r="AF657" s="476"/>
      <c r="AG657" s="476"/>
      <c r="AH657" s="476"/>
      <c r="AI657" s="476"/>
      <c r="AJ657" s="476"/>
      <c r="AK657" s="476"/>
      <c r="AL657" s="476"/>
      <c r="AM657" s="476"/>
      <c r="AN657" s="476"/>
      <c r="AO657" s="476"/>
      <c r="AP657" s="476"/>
      <c r="AQ657" s="476"/>
      <c r="AR657" s="476"/>
      <c r="AS657" s="476"/>
      <c r="AT657" s="476"/>
      <c r="AU657" s="476"/>
      <c r="AV657" s="476"/>
      <c r="AW657" s="476"/>
      <c r="AX657" s="476"/>
      <c r="AY657" s="476"/>
      <c r="AZ657" s="476"/>
      <c r="BA657" s="476"/>
      <c r="BB657" s="476"/>
      <c r="BC657" s="476"/>
      <c r="BD657" s="476"/>
      <c r="BE657" s="476"/>
      <c r="BF657" s="476"/>
      <c r="BG657" s="476"/>
      <c r="BH657" s="476"/>
      <c r="BI657" s="476"/>
      <c r="BJ657" s="319"/>
      <c r="BK657" s="319"/>
      <c r="BL657" s="319"/>
      <c r="BM657" s="319"/>
      <c r="BN657" s="319"/>
      <c r="BO657" s="319"/>
      <c r="BP657" s="319"/>
      <c r="BQ657" s="319"/>
      <c r="BR657" s="319"/>
      <c r="BS657" s="319"/>
      <c r="BT657" s="319"/>
      <c r="BU657" s="319"/>
      <c r="BV657" s="319"/>
      <c r="BW657" s="319"/>
      <c r="BX657" s="319"/>
      <c r="BY657" s="319"/>
      <c r="BZ657" s="319"/>
      <c r="CA657" s="319"/>
      <c r="CB657" s="319"/>
      <c r="CC657" s="319"/>
      <c r="CD657" s="319"/>
      <c r="CE657" s="319"/>
      <c r="CF657" s="319"/>
      <c r="CG657" s="319"/>
      <c r="CH657" s="319"/>
      <c r="CI657" s="319"/>
      <c r="CJ657" s="319"/>
      <c r="CK657" s="319"/>
    </row>
    <row r="658" spans="1:89" ht="13.5" hidden="1" customHeight="1">
      <c r="A658" s="12"/>
      <c r="B658" s="1" t="str">
        <f>Language!C1747</f>
        <v>Demanda incremental de eletricidade - ventilador</v>
      </c>
      <c r="C658" s="29" t="str">
        <f>$J$1184</f>
        <v>MWh</v>
      </c>
      <c r="D658" s="723">
        <f>BG650</f>
        <v>0</v>
      </c>
      <c r="E658" s="1"/>
      <c r="F658" s="8"/>
      <c r="G658" s="8"/>
      <c r="H658" s="8"/>
      <c r="I658" s="8"/>
      <c r="J658" s="8"/>
      <c r="K658" s="9"/>
      <c r="L658" s="1"/>
      <c r="M658" s="319">
        <f>IF(D658=0,10,20)</f>
        <v>10</v>
      </c>
      <c r="N658" s="319">
        <v>5070102</v>
      </c>
      <c r="O658" s="319"/>
      <c r="P658" s="862">
        <f>IF(EE_SAH_hide=200,BG629,IF(OR(D649="",D649=0),0,BH650))</f>
        <v>0</v>
      </c>
      <c r="Q658" s="319" t="s">
        <v>144</v>
      </c>
      <c r="R658" s="476">
        <v>0.35</v>
      </c>
      <c r="S658" s="476" t="s">
        <v>2600</v>
      </c>
      <c r="T658" s="319"/>
      <c r="U658" s="319"/>
      <c r="V658" s="476"/>
      <c r="W658" s="476"/>
      <c r="X658" s="476"/>
      <c r="Y658" s="476"/>
      <c r="Z658" s="476"/>
      <c r="AA658" s="476"/>
      <c r="AB658" s="476"/>
      <c r="AC658" s="476"/>
      <c r="AD658" s="476"/>
      <c r="AE658" s="476"/>
      <c r="AF658" s="476"/>
      <c r="AG658" s="476"/>
      <c r="AH658" s="476"/>
      <c r="AI658" s="476"/>
      <c r="AJ658" s="476"/>
      <c r="AK658" s="476"/>
      <c r="AL658" s="476"/>
      <c r="AM658" s="476"/>
      <c r="AN658" s="476"/>
      <c r="AO658" s="476"/>
      <c r="AP658" s="476"/>
      <c r="AQ658" s="476"/>
      <c r="AR658" s="476"/>
      <c r="AS658" s="476"/>
      <c r="AT658" s="476"/>
      <c r="AU658" s="476"/>
      <c r="AV658" s="476"/>
      <c r="AW658" s="476"/>
      <c r="AX658" s="476"/>
      <c r="AY658" s="476"/>
      <c r="AZ658" s="476"/>
      <c r="BA658" s="476"/>
      <c r="BB658" s="476"/>
      <c r="BC658" s="476"/>
      <c r="BD658" s="476"/>
      <c r="BE658" s="476"/>
      <c r="BF658" s="476"/>
      <c r="BG658" s="476"/>
      <c r="BH658" s="476"/>
      <c r="BI658" s="476"/>
      <c r="BJ658" s="319"/>
      <c r="BK658" s="319"/>
      <c r="BL658" s="319"/>
      <c r="BM658" s="319"/>
      <c r="BN658" s="319"/>
      <c r="BO658" s="319"/>
      <c r="BP658" s="319"/>
      <c r="BQ658" s="319"/>
      <c r="BR658" s="319"/>
      <c r="BS658" s="319"/>
      <c r="BT658" s="319"/>
      <c r="BU658" s="319"/>
      <c r="BV658" s="319"/>
      <c r="BW658" s="319"/>
      <c r="BX658" s="319"/>
      <c r="BY658" s="319"/>
      <c r="BZ658" s="319"/>
      <c r="CA658" s="319"/>
      <c r="CB658" s="319"/>
      <c r="CC658" s="319"/>
      <c r="CD658" s="319"/>
      <c r="CE658" s="319"/>
      <c r="CF658" s="319"/>
      <c r="CG658" s="319"/>
      <c r="CH658" s="319"/>
      <c r="CI658" s="319"/>
      <c r="CJ658" s="319"/>
      <c r="CK658" s="319"/>
    </row>
    <row r="659" spans="1:89" ht="13.5" hidden="1" customHeight="1">
      <c r="A659" s="12"/>
      <c r="B659" s="1" t="str">
        <f>B786</f>
        <v>Calor fornecido</v>
      </c>
      <c r="C659" s="29" t="str">
        <f>$C$577</f>
        <v>MWh</v>
      </c>
      <c r="D659" s="140">
        <f>IF(Unit=TRUE,1,$K$1185)*P658</f>
        <v>0</v>
      </c>
      <c r="E659" s="8"/>
      <c r="F659" s="8"/>
      <c r="G659" s="8"/>
      <c r="H659" s="8"/>
      <c r="I659" s="8"/>
      <c r="J659" s="8"/>
      <c r="K659" s="9"/>
      <c r="L659" s="1"/>
      <c r="M659" s="319"/>
      <c r="N659" s="319">
        <v>5070104</v>
      </c>
      <c r="O659" s="319"/>
      <c r="P659" s="393"/>
      <c r="Q659" s="319" t="s">
        <v>4851</v>
      </c>
      <c r="R659" s="319">
        <v>1.1000000000000001</v>
      </c>
      <c r="S659" s="319" t="s">
        <v>1380</v>
      </c>
      <c r="T659" s="319"/>
      <c r="U659" s="319"/>
      <c r="V659" s="476"/>
      <c r="W659" s="476"/>
      <c r="X659" s="476"/>
      <c r="Y659" s="476"/>
      <c r="Z659" s="476"/>
      <c r="AA659" s="476"/>
      <c r="AB659" s="476"/>
      <c r="AC659" s="476"/>
      <c r="AD659" s="476"/>
      <c r="AE659" s="476"/>
      <c r="AF659" s="476"/>
      <c r="AG659" s="476"/>
      <c r="AH659" s="476"/>
      <c r="AI659" s="476"/>
      <c r="AJ659" s="476"/>
      <c r="AK659" s="476"/>
      <c r="AL659" s="476"/>
      <c r="AM659" s="476"/>
      <c r="AN659" s="476"/>
      <c r="AO659" s="476"/>
      <c r="AP659" s="476"/>
      <c r="AQ659" s="476"/>
      <c r="AR659" s="476"/>
      <c r="AS659" s="476"/>
      <c r="AT659" s="476"/>
      <c r="AU659" s="476"/>
      <c r="AV659" s="476"/>
      <c r="AW659" s="476"/>
      <c r="AX659" s="476"/>
      <c r="AY659" s="476"/>
      <c r="AZ659" s="476"/>
      <c r="BA659" s="476"/>
      <c r="BB659" s="476"/>
      <c r="BC659" s="476"/>
      <c r="BD659" s="476"/>
      <c r="BE659" s="476"/>
      <c r="BF659" s="476"/>
      <c r="BG659" s="476"/>
      <c r="BH659" s="476"/>
      <c r="BI659" s="476"/>
      <c r="BJ659" s="319"/>
      <c r="BK659" s="319"/>
      <c r="BL659" s="319"/>
      <c r="BM659" s="319"/>
      <c r="BN659" s="319"/>
      <c r="BO659" s="319"/>
      <c r="BP659" s="319"/>
      <c r="BQ659" s="319"/>
      <c r="BR659" s="319"/>
      <c r="BS659" s="319"/>
      <c r="BT659" s="319"/>
      <c r="BU659" s="319"/>
      <c r="BV659" s="319"/>
      <c r="BW659" s="319"/>
      <c r="BX659" s="319"/>
      <c r="BY659" s="319"/>
      <c r="BZ659" s="319"/>
      <c r="CA659" s="319"/>
      <c r="CB659" s="319"/>
      <c r="CC659" s="319"/>
      <c r="CD659" s="319"/>
      <c r="CE659" s="319"/>
      <c r="CF659" s="319"/>
      <c r="CG659" s="319"/>
      <c r="CH659" s="319"/>
      <c r="CI659" s="319"/>
      <c r="CJ659" s="319"/>
      <c r="CK659" s="319"/>
    </row>
    <row r="660" spans="1:89" ht="13.5" hidden="1" customHeight="1">
      <c r="A660" s="12"/>
      <c r="B660" s="1" t="str">
        <f>Language!C1511</f>
        <v>Recuperação das perdas de calor do prédio</v>
      </c>
      <c r="C660" s="29" t="str">
        <f>$C$577</f>
        <v>MWh</v>
      </c>
      <c r="D660" s="140">
        <f>IF(Unit=TRUE,1,$K$1185)*P660</f>
        <v>0</v>
      </c>
      <c r="E660" s="339"/>
      <c r="F660" s="8"/>
      <c r="G660" s="1"/>
      <c r="H660" s="8"/>
      <c r="I660" s="8"/>
      <c r="J660" s="8"/>
      <c r="K660" s="9"/>
      <c r="L660" s="1"/>
      <c r="M660" s="319"/>
      <c r="N660" s="319">
        <v>5070106</v>
      </c>
      <c r="O660" s="319"/>
      <c r="P660" s="393">
        <f>IF(OR(R660="",R660=0),0,BI650)*Q661</f>
        <v>0</v>
      </c>
      <c r="Q660" s="319" t="s">
        <v>2575</v>
      </c>
      <c r="R660" s="319">
        <f>IF(EE_SAH_hide=200,R647,D649)*IF(C649=J1191,K1191,1)</f>
        <v>0</v>
      </c>
      <c r="S660" s="319"/>
      <c r="T660" s="319"/>
      <c r="U660" s="319"/>
      <c r="V660" s="476"/>
      <c r="W660" s="476"/>
      <c r="X660" s="476"/>
      <c r="Y660" s="476"/>
      <c r="Z660" s="476"/>
      <c r="AA660" s="476"/>
      <c r="AB660" s="476"/>
      <c r="AC660" s="476"/>
      <c r="AD660" s="476"/>
      <c r="AE660" s="476"/>
      <c r="AF660" s="476"/>
      <c r="AG660" s="476"/>
      <c r="AH660" s="476"/>
      <c r="AI660" s="476"/>
      <c r="AJ660" s="476"/>
      <c r="AK660" s="476"/>
      <c r="AL660" s="476"/>
      <c r="AM660" s="476"/>
      <c r="AN660" s="476"/>
      <c r="AO660" s="476"/>
      <c r="AP660" s="476"/>
      <c r="AQ660" s="476"/>
      <c r="AR660" s="476"/>
      <c r="AS660" s="476"/>
      <c r="AT660" s="476"/>
      <c r="AU660" s="476"/>
      <c r="AV660" s="476"/>
      <c r="AW660" s="476"/>
      <c r="AX660" s="476"/>
      <c r="AY660" s="476"/>
      <c r="AZ660" s="476"/>
      <c r="BA660" s="476"/>
      <c r="BB660" s="476"/>
      <c r="BC660" s="476"/>
      <c r="BD660" s="476"/>
      <c r="BE660" s="476"/>
      <c r="BF660" s="476"/>
      <c r="BG660" s="476"/>
      <c r="BH660" s="476"/>
      <c r="BI660" s="476"/>
      <c r="BJ660" s="319"/>
      <c r="BK660" s="319"/>
      <c r="BL660" s="319"/>
      <c r="BM660" s="319"/>
      <c r="BN660" s="319"/>
      <c r="BO660" s="319"/>
      <c r="BP660" s="319"/>
      <c r="BQ660" s="319"/>
      <c r="BR660" s="319"/>
      <c r="BS660" s="319"/>
      <c r="BT660" s="319"/>
      <c r="BU660" s="319"/>
      <c r="BV660" s="319"/>
      <c r="BW660" s="319"/>
      <c r="BX660" s="319"/>
      <c r="BY660" s="319"/>
      <c r="BZ660" s="319"/>
      <c r="CA660" s="319"/>
      <c r="CB660" s="319"/>
      <c r="CC660" s="319"/>
      <c r="CD660" s="319"/>
      <c r="CE660" s="319"/>
      <c r="CF660" s="319"/>
      <c r="CG660" s="319"/>
      <c r="CH660" s="319"/>
      <c r="CI660" s="319"/>
      <c r="CJ660" s="319"/>
      <c r="CK660" s="319"/>
    </row>
    <row r="661" spans="1:89" ht="13.5" hidden="1" customHeight="1">
      <c r="A661" s="12"/>
      <c r="B661" s="1" t="str">
        <f>Language!C1595</f>
        <v>Extratificação da energia economizada</v>
      </c>
      <c r="C661" s="29" t="str">
        <f>$C$577</f>
        <v>MWh</v>
      </c>
      <c r="D661" s="140">
        <f>IF(Unit=TRUE,1,$K$1185)*P661</f>
        <v>0</v>
      </c>
      <c r="E661" s="8"/>
      <c r="F661" s="21"/>
      <c r="G661" s="1"/>
      <c r="H661" s="8"/>
      <c r="I661" s="8"/>
      <c r="J661" s="8"/>
      <c r="K661" s="9"/>
      <c r="L661" s="1"/>
      <c r="M661" s="319"/>
      <c r="N661" s="319">
        <v>5070108</v>
      </c>
      <c r="O661" s="319"/>
      <c r="P661" s="393">
        <f>IF(OR(R660="",R660=0),0,BJ650)</f>
        <v>0</v>
      </c>
      <c r="Q661" s="841">
        <f>IF(EE_SAH_type=1,1,E660)</f>
        <v>1</v>
      </c>
      <c r="R661" s="319"/>
      <c r="S661" s="319"/>
      <c r="T661" s="319"/>
      <c r="U661" s="319"/>
      <c r="V661" s="319"/>
      <c r="W661" s="319"/>
      <c r="X661" s="319"/>
      <c r="Y661" s="319"/>
      <c r="Z661" s="319"/>
      <c r="AA661" s="319"/>
      <c r="AB661" s="319"/>
      <c r="AC661" s="319"/>
      <c r="AD661" s="319"/>
      <c r="AE661" s="319"/>
      <c r="AF661" s="319"/>
      <c r="AG661" s="319"/>
      <c r="AH661" s="319"/>
      <c r="AI661" s="319"/>
      <c r="AJ661" s="319"/>
      <c r="AK661" s="319"/>
      <c r="AL661" s="319"/>
      <c r="AM661" s="319"/>
      <c r="AN661" s="319"/>
      <c r="AO661" s="319"/>
      <c r="AP661" s="319"/>
      <c r="AQ661" s="319"/>
      <c r="AR661" s="319"/>
      <c r="AS661" s="319"/>
      <c r="AT661" s="319"/>
      <c r="AU661" s="319"/>
      <c r="AV661" s="319"/>
      <c r="AW661" s="319"/>
      <c r="AX661" s="319"/>
      <c r="AY661" s="319"/>
      <c r="AZ661" s="319"/>
      <c r="BA661" s="319"/>
      <c r="BB661" s="319"/>
      <c r="BC661" s="319"/>
      <c r="BD661" s="319"/>
      <c r="BE661" s="319"/>
      <c r="BF661" s="319"/>
      <c r="BG661" s="319"/>
      <c r="BH661" s="319"/>
      <c r="BI661" s="319"/>
      <c r="BJ661" s="319"/>
      <c r="BK661" s="319"/>
      <c r="BL661" s="319"/>
      <c r="BM661" s="319"/>
      <c r="BN661" s="319"/>
      <c r="BO661" s="319"/>
      <c r="BP661" s="319"/>
      <c r="BQ661" s="319"/>
      <c r="BR661" s="319"/>
      <c r="BS661" s="319"/>
      <c r="BT661" s="319"/>
      <c r="BU661" s="319"/>
      <c r="BV661" s="319"/>
      <c r="BW661" s="319"/>
      <c r="BX661" s="319"/>
      <c r="BY661" s="319"/>
      <c r="BZ661" s="319"/>
      <c r="CA661" s="319"/>
      <c r="CB661" s="319"/>
      <c r="CC661" s="319"/>
      <c r="CD661" s="319"/>
      <c r="CE661" s="319"/>
      <c r="CF661" s="319"/>
      <c r="CG661" s="319"/>
      <c r="CH661" s="319"/>
      <c r="CI661" s="319"/>
      <c r="CJ661" s="319"/>
      <c r="CK661" s="319"/>
    </row>
    <row r="662" spans="1:89" ht="12.75" hidden="1" customHeight="1">
      <c r="A662" s="12"/>
      <c r="B662" s="8"/>
      <c r="C662" s="8"/>
      <c r="D662" s="8"/>
      <c r="E662" s="8"/>
      <c r="F662" s="8"/>
      <c r="G662" s="8"/>
      <c r="H662" s="8"/>
      <c r="I662" s="8"/>
      <c r="J662" s="8"/>
      <c r="K662" s="9"/>
      <c r="L662" s="1"/>
      <c r="M662" s="319"/>
      <c r="N662" s="319">
        <v>13190</v>
      </c>
      <c r="O662" s="319"/>
      <c r="P662" s="319"/>
      <c r="Q662" s="319"/>
      <c r="R662" s="319"/>
      <c r="S662" s="319"/>
      <c r="T662" s="319"/>
      <c r="U662" s="319"/>
      <c r="V662" s="319"/>
      <c r="W662" s="319"/>
      <c r="X662" s="319"/>
      <c r="Y662" s="319"/>
      <c r="Z662" s="319"/>
      <c r="AA662" s="319"/>
      <c r="AB662" s="319"/>
      <c r="AC662" s="319"/>
      <c r="AD662" s="319"/>
      <c r="AE662" s="319"/>
      <c r="AF662" s="319"/>
      <c r="AG662" s="319"/>
      <c r="AH662" s="319"/>
      <c r="AI662" s="319"/>
      <c r="AJ662" s="319"/>
      <c r="AK662" s="319"/>
      <c r="AL662" s="319"/>
      <c r="AM662" s="319"/>
      <c r="AN662" s="319"/>
      <c r="AO662" s="319"/>
      <c r="AP662" s="319"/>
      <c r="AQ662" s="319"/>
      <c r="AR662" s="319"/>
      <c r="AS662" s="319"/>
      <c r="AT662" s="319"/>
      <c r="AU662" s="319"/>
      <c r="AV662" s="319"/>
      <c r="AW662" s="319"/>
      <c r="AX662" s="319"/>
      <c r="AY662" s="319"/>
      <c r="AZ662" s="319"/>
      <c r="BA662" s="319"/>
      <c r="BB662" s="319"/>
      <c r="BC662" s="319"/>
      <c r="BD662" s="319"/>
      <c r="BE662" s="319"/>
      <c r="BF662" s="319"/>
      <c r="BG662" s="319"/>
      <c r="BH662" s="319"/>
      <c r="BI662" s="319"/>
      <c r="BJ662" s="319"/>
      <c r="BK662" s="319"/>
      <c r="BL662" s="319"/>
      <c r="BM662" s="319"/>
      <c r="BN662" s="319"/>
      <c r="BO662" s="319"/>
      <c r="BP662" s="319"/>
      <c r="BQ662" s="319"/>
      <c r="BR662" s="319"/>
      <c r="BS662" s="319"/>
      <c r="BT662" s="319"/>
      <c r="BU662" s="319"/>
      <c r="BV662" s="319"/>
      <c r="BW662" s="319"/>
      <c r="BX662" s="319"/>
      <c r="BY662" s="319"/>
      <c r="BZ662" s="319"/>
      <c r="CA662" s="319"/>
      <c r="CB662" s="319"/>
      <c r="CC662" s="319"/>
      <c r="CD662" s="319"/>
      <c r="CE662" s="319"/>
      <c r="CF662" s="319"/>
      <c r="CG662" s="319"/>
      <c r="CH662" s="319"/>
      <c r="CI662" s="319"/>
      <c r="CJ662" s="319"/>
      <c r="CK662" s="319"/>
    </row>
    <row r="663" spans="1:89" ht="13.2" hidden="1">
      <c r="A663" s="12"/>
      <c r="B663" s="329" t="str">
        <f>B194</f>
        <v>Tecnologia</v>
      </c>
      <c r="C663" s="1"/>
      <c r="D663" s="1238" t="str">
        <f>Language!C1992</f>
        <v>Aquecedor solar de água</v>
      </c>
      <c r="E663" s="1156"/>
      <c r="F663" s="1"/>
      <c r="G663" s="1"/>
      <c r="H663" s="1"/>
      <c r="I663" s="1"/>
      <c r="J663" s="1"/>
      <c r="K663" s="9"/>
      <c r="L663" s="1"/>
      <c r="M663" s="319"/>
      <c r="N663" s="319">
        <v>13200</v>
      </c>
      <c r="O663" s="319"/>
      <c r="P663" s="319"/>
      <c r="Q663" s="319"/>
      <c r="R663" s="319"/>
      <c r="S663" s="319"/>
      <c r="T663" s="319"/>
      <c r="U663" s="319"/>
      <c r="V663" s="319"/>
      <c r="W663" s="319"/>
      <c r="X663" s="319"/>
      <c r="Y663" s="319"/>
      <c r="Z663" s="319"/>
      <c r="AA663" s="319"/>
      <c r="AB663" s="319"/>
      <c r="AC663" s="319"/>
      <c r="AD663" s="319"/>
      <c r="AE663" s="319"/>
      <c r="AF663" s="319"/>
      <c r="AG663" s="319"/>
      <c r="AH663" s="319"/>
      <c r="AI663" s="319"/>
      <c r="AJ663" s="319"/>
      <c r="AK663" s="319"/>
      <c r="AL663" s="319"/>
      <c r="AM663" s="319"/>
      <c r="AN663" s="319"/>
      <c r="AO663" s="319"/>
      <c r="AP663" s="319"/>
      <c r="AQ663" s="319"/>
      <c r="AR663" s="319"/>
      <c r="AS663" s="319"/>
      <c r="AT663" s="319"/>
      <c r="AU663" s="319"/>
      <c r="AV663" s="319"/>
      <c r="AW663" s="319"/>
      <c r="AX663" s="319"/>
      <c r="AY663" s="319"/>
      <c r="AZ663" s="319"/>
      <c r="BA663" s="319"/>
      <c r="BB663" s="319"/>
      <c r="BC663" s="319"/>
      <c r="BD663" s="319"/>
      <c r="BE663" s="319"/>
      <c r="BF663" s="319"/>
      <c r="BG663" s="319"/>
      <c r="BH663" s="319"/>
      <c r="BI663" s="319"/>
      <c r="BJ663" s="319"/>
      <c r="BK663" s="319"/>
      <c r="BL663" s="319"/>
      <c r="BM663" s="319"/>
      <c r="BN663" s="319"/>
      <c r="BO663" s="319"/>
      <c r="BP663" s="319"/>
      <c r="BQ663" s="319"/>
      <c r="BR663" s="319"/>
      <c r="BS663" s="319"/>
      <c r="BT663" s="319"/>
      <c r="BU663" s="319"/>
      <c r="BV663" s="319"/>
      <c r="BW663" s="319"/>
      <c r="BX663" s="319"/>
      <c r="BY663" s="319"/>
      <c r="BZ663" s="319"/>
      <c r="CA663" s="319"/>
      <c r="CB663" s="319"/>
      <c r="CC663" s="319"/>
      <c r="CD663" s="319"/>
      <c r="CE663" s="319"/>
      <c r="CF663" s="319"/>
      <c r="CG663" s="319"/>
      <c r="CH663" s="319"/>
      <c r="CI663" s="319"/>
      <c r="CJ663" s="319"/>
      <c r="CK663" s="319"/>
    </row>
    <row r="664" spans="1:89" ht="13.5" hidden="1" customHeight="1">
      <c r="A664" s="12"/>
      <c r="B664" s="28" t="str">
        <f>B203</f>
        <v>Características da carga</v>
      </c>
      <c r="C664" s="1"/>
      <c r="D664" s="1"/>
      <c r="E664" s="1"/>
      <c r="F664" s="1"/>
      <c r="G664" s="1"/>
      <c r="H664" s="1"/>
      <c r="I664" s="1"/>
      <c r="J664" s="1"/>
      <c r="K664" s="9"/>
      <c r="L664" s="1"/>
      <c r="M664" s="319">
        <f>IF(EE_CB15_1=TRUE,10,0)*111</f>
        <v>1110</v>
      </c>
      <c r="N664" s="319">
        <v>5080002</v>
      </c>
      <c r="O664" s="319"/>
      <c r="P664" s="319"/>
      <c r="Q664" s="3" t="b">
        <v>1</v>
      </c>
      <c r="R664" s="319"/>
      <c r="S664" s="319"/>
      <c r="T664" s="319"/>
      <c r="U664" s="319"/>
      <c r="V664" s="319"/>
      <c r="W664" s="319"/>
      <c r="X664" s="319"/>
      <c r="Y664" s="319"/>
      <c r="Z664" s="319"/>
      <c r="AA664" s="319"/>
      <c r="AB664" s="319"/>
      <c r="AC664" s="319"/>
      <c r="AD664" s="319"/>
      <c r="AE664" s="319"/>
      <c r="AF664" s="319"/>
      <c r="AG664" s="319"/>
      <c r="AH664" s="319"/>
      <c r="AI664" s="319"/>
      <c r="AJ664" s="319"/>
      <c r="AK664" s="319"/>
      <c r="AL664" s="319"/>
      <c r="AM664" s="319"/>
      <c r="AN664" s="319"/>
      <c r="AO664" s="319"/>
      <c r="AP664" s="319"/>
      <c r="AQ664" s="319"/>
      <c r="AR664" s="319"/>
      <c r="AS664" s="319"/>
      <c r="AT664" s="319"/>
      <c r="AU664" s="319"/>
      <c r="AV664" s="319"/>
      <c r="AW664" s="319"/>
      <c r="AX664" s="319"/>
      <c r="AY664" s="319"/>
      <c r="AZ664" s="319"/>
      <c r="BA664" s="319"/>
      <c r="BB664" s="319"/>
      <c r="BC664" s="319"/>
      <c r="BD664" s="319"/>
      <c r="BE664" s="319"/>
      <c r="BF664" s="319"/>
      <c r="BG664" s="319"/>
      <c r="BH664" s="319"/>
      <c r="BI664" s="319"/>
      <c r="BJ664" s="319"/>
      <c r="BK664" s="319"/>
      <c r="BL664" s="319"/>
      <c r="BM664" s="319"/>
      <c r="BN664" s="319"/>
      <c r="BO664" s="319"/>
      <c r="BP664" s="319"/>
      <c r="BQ664" s="319"/>
      <c r="BR664" s="319"/>
      <c r="BS664" s="319"/>
      <c r="BT664" s="319"/>
      <c r="BU664" s="319"/>
      <c r="BV664" s="319"/>
      <c r="BW664" s="319"/>
      <c r="BX664" s="319"/>
      <c r="BY664" s="319"/>
      <c r="BZ664" s="319"/>
      <c r="CA664" s="319"/>
      <c r="CB664" s="319"/>
      <c r="CC664" s="319"/>
      <c r="CD664" s="319"/>
      <c r="CE664" s="319"/>
      <c r="CF664" s="319"/>
      <c r="CG664" s="319"/>
      <c r="CH664" s="319"/>
      <c r="CI664" s="319"/>
      <c r="CJ664" s="319"/>
      <c r="CK664" s="319"/>
    </row>
    <row r="665" spans="1:89" ht="13.5" hidden="1" customHeight="1">
      <c r="A665" s="12"/>
      <c r="B665" s="329" t="str">
        <f>B543</f>
        <v>Aplicação</v>
      </c>
      <c r="C665" s="1011" t="s">
        <v>942</v>
      </c>
      <c r="D665" s="265" t="str">
        <f>Language!C1891</f>
        <v>Piscina</v>
      </c>
      <c r="E665" s="1"/>
      <c r="F665" s="1"/>
      <c r="G665" s="1"/>
      <c r="H665" s="1"/>
      <c r="I665" s="1"/>
      <c r="J665" s="1"/>
      <c r="K665" s="9"/>
      <c r="L665" s="1"/>
      <c r="M665" s="319"/>
      <c r="N665" s="319">
        <v>5080004</v>
      </c>
      <c r="O665" s="319"/>
      <c r="P665" s="319"/>
      <c r="Q665" s="3" t="b">
        <v>0</v>
      </c>
      <c r="R665" s="319"/>
      <c r="S665" s="319"/>
      <c r="T665" s="319"/>
      <c r="U665" s="319"/>
      <c r="V665" s="319"/>
      <c r="W665" s="319"/>
      <c r="X665" s="319"/>
      <c r="Y665" s="319"/>
      <c r="Z665" s="319"/>
      <c r="AA665" s="319"/>
      <c r="AB665" s="319"/>
      <c r="AC665" s="319"/>
      <c r="AD665" s="319"/>
      <c r="AE665" s="319"/>
      <c r="AF665" s="319"/>
      <c r="AG665" s="319"/>
      <c r="AH665" s="319"/>
      <c r="AI665" s="319"/>
      <c r="AJ665" s="319"/>
      <c r="AK665" s="319"/>
      <c r="AL665" s="319"/>
      <c r="AM665" s="319"/>
      <c r="AN665" s="319"/>
      <c r="AO665" s="319"/>
      <c r="AP665" s="319"/>
      <c r="AQ665" s="319"/>
      <c r="AR665" s="319"/>
      <c r="AS665" s="319"/>
      <c r="AT665" s="319"/>
      <c r="AU665" s="319"/>
      <c r="AV665" s="319"/>
      <c r="AW665" s="319"/>
      <c r="AX665" s="319"/>
      <c r="AY665" s="319"/>
      <c r="AZ665" s="319"/>
      <c r="BA665" s="319"/>
      <c r="BB665" s="319"/>
      <c r="BC665" s="319"/>
      <c r="BD665" s="319"/>
      <c r="BE665" s="319"/>
      <c r="BF665" s="319"/>
      <c r="BG665" s="319"/>
      <c r="BH665" s="319"/>
      <c r="BI665" s="319"/>
      <c r="BJ665" s="319"/>
      <c r="BK665" s="319"/>
      <c r="BL665" s="319"/>
      <c r="BM665" s="319"/>
      <c r="BN665" s="319"/>
      <c r="BO665" s="319"/>
      <c r="BP665" s="319"/>
      <c r="BQ665" s="319"/>
      <c r="BR665" s="319"/>
      <c r="BS665" s="319"/>
      <c r="BT665" s="319"/>
      <c r="BU665" s="319"/>
      <c r="BV665" s="319"/>
      <c r="BW665" s="319"/>
      <c r="BX665" s="319"/>
      <c r="BY665" s="319"/>
      <c r="BZ665" s="319"/>
      <c r="CA665" s="319"/>
      <c r="CB665" s="319"/>
      <c r="CC665" s="319"/>
      <c r="CD665" s="319"/>
      <c r="CE665" s="319"/>
      <c r="CF665" s="319"/>
      <c r="CG665" s="319"/>
      <c r="CH665" s="319"/>
      <c r="CI665" s="319"/>
      <c r="CJ665" s="319"/>
      <c r="CK665" s="319"/>
    </row>
    <row r="666" spans="1:89" ht="13.5" hidden="1" customHeight="1">
      <c r="A666" s="12"/>
      <c r="B666" s="329"/>
      <c r="C666" s="1011" t="s">
        <v>943</v>
      </c>
      <c r="D666" s="265" t="str">
        <f>B76</f>
        <v>Água quente</v>
      </c>
      <c r="E666" s="1"/>
      <c r="F666" s="1"/>
      <c r="G666" s="1"/>
      <c r="H666" s="1"/>
      <c r="I666" s="1"/>
      <c r="J666" s="1"/>
      <c r="K666" s="9"/>
      <c r="L666" s="1"/>
      <c r="M666" s="319"/>
      <c r="N666" s="319">
        <v>5080004</v>
      </c>
      <c r="O666" s="319"/>
      <c r="P666" s="319"/>
      <c r="Q666" s="319"/>
      <c r="R666" s="319"/>
      <c r="S666" s="319"/>
      <c r="T666" s="319"/>
      <c r="U666" s="319"/>
      <c r="V666" s="319"/>
      <c r="W666" s="319"/>
      <c r="X666" s="319"/>
      <c r="Y666" s="319"/>
      <c r="Z666" s="319"/>
      <c r="AA666" s="319"/>
      <c r="AB666" s="319"/>
      <c r="AC666" s="319"/>
      <c r="AD666" s="319"/>
      <c r="AE666" s="319"/>
      <c r="AF666" s="319"/>
      <c r="AG666" s="319"/>
      <c r="AH666" s="319"/>
      <c r="AI666" s="319"/>
      <c r="AJ666" s="319"/>
      <c r="AK666" s="319"/>
      <c r="AL666" s="319"/>
      <c r="AM666" s="319"/>
      <c r="AN666" s="319"/>
      <c r="AO666" s="319"/>
      <c r="AP666" s="319"/>
      <c r="AQ666" s="319"/>
      <c r="AR666" s="319"/>
      <c r="AS666" s="319"/>
      <c r="AT666" s="319"/>
      <c r="AU666" s="319"/>
      <c r="AV666" s="319"/>
      <c r="AW666" s="319"/>
      <c r="AX666" s="319"/>
      <c r="AY666" s="319"/>
      <c r="AZ666" s="319"/>
      <c r="BA666" s="319"/>
      <c r="BB666" s="319"/>
      <c r="BC666" s="319"/>
      <c r="BD666" s="319"/>
      <c r="BE666" s="319"/>
      <c r="BF666" s="319"/>
      <c r="BG666" s="319"/>
      <c r="BH666" s="319"/>
      <c r="BI666" s="319"/>
      <c r="BJ666" s="319"/>
      <c r="BK666" s="319"/>
      <c r="BL666" s="319"/>
      <c r="BM666" s="319"/>
      <c r="BN666" s="319"/>
      <c r="BO666" s="319"/>
      <c r="BP666" s="319"/>
      <c r="BQ666" s="319"/>
      <c r="BR666" s="319"/>
      <c r="BS666" s="319"/>
      <c r="BT666" s="319"/>
      <c r="BU666" s="319"/>
      <c r="BV666" s="319"/>
      <c r="BW666" s="319"/>
      <c r="BX666" s="319"/>
      <c r="BY666" s="319"/>
      <c r="BZ666" s="319"/>
      <c r="CA666" s="319"/>
      <c r="CB666" s="319"/>
      <c r="CC666" s="319"/>
      <c r="CD666" s="319"/>
      <c r="CE666" s="319"/>
      <c r="CF666" s="319"/>
      <c r="CG666" s="319"/>
      <c r="CH666" s="319"/>
      <c r="CI666" s="319"/>
      <c r="CJ666" s="319"/>
      <c r="CK666" s="319"/>
    </row>
    <row r="667" spans="1:89" ht="13.5" hidden="1" customHeight="1">
      <c r="A667" s="12"/>
      <c r="B667" s="1"/>
      <c r="C667" s="1"/>
      <c r="D667" s="1"/>
      <c r="E667" s="1"/>
      <c r="F667" s="1"/>
      <c r="G667" s="1"/>
      <c r="H667" s="1"/>
      <c r="I667" s="1"/>
      <c r="J667" s="1"/>
      <c r="K667" s="9"/>
      <c r="L667" s="1"/>
      <c r="M667" s="319"/>
      <c r="N667" s="319">
        <v>5080004</v>
      </c>
      <c r="O667" s="319"/>
      <c r="P667" s="319"/>
      <c r="Q667" s="319"/>
      <c r="R667" s="319"/>
      <c r="S667" s="319"/>
      <c r="T667" s="319"/>
      <c r="U667" s="319"/>
      <c r="V667" s="319"/>
      <c r="W667" s="319"/>
      <c r="X667" s="319"/>
      <c r="Y667" s="319"/>
      <c r="Z667" s="319"/>
      <c r="AA667" s="319"/>
      <c r="AB667" s="319"/>
      <c r="AC667" s="319"/>
      <c r="AD667" s="319"/>
      <c r="AE667" s="319"/>
      <c r="AF667" s="319"/>
      <c r="AG667" s="319"/>
      <c r="AH667" s="319"/>
      <c r="AI667" s="319"/>
      <c r="AJ667" s="319"/>
      <c r="AK667" s="319"/>
      <c r="AL667" s="319"/>
      <c r="AM667" s="319"/>
      <c r="AN667" s="319"/>
      <c r="AO667" s="319"/>
      <c r="AP667" s="319"/>
      <c r="AQ667" s="319"/>
      <c r="AR667" s="319"/>
      <c r="AS667" s="319"/>
      <c r="AT667" s="319"/>
      <c r="AU667" s="319"/>
      <c r="AV667" s="319"/>
      <c r="AW667" s="319"/>
      <c r="AX667" s="319"/>
      <c r="AY667" s="319"/>
      <c r="AZ667" s="319"/>
      <c r="BA667" s="319"/>
      <c r="BB667" s="319"/>
      <c r="BC667" s="319"/>
      <c r="BD667" s="319"/>
      <c r="BE667" s="319"/>
      <c r="BF667" s="319"/>
      <c r="BG667" s="319"/>
      <c r="BH667" s="319"/>
      <c r="BI667" s="319"/>
      <c r="BJ667" s="319"/>
      <c r="BK667" s="319"/>
      <c r="BL667" s="319"/>
      <c r="BM667" s="319"/>
      <c r="BN667" s="319"/>
      <c r="BO667" s="319"/>
      <c r="BP667" s="319"/>
      <c r="BQ667" s="319"/>
      <c r="BR667" s="319"/>
      <c r="BS667" s="319"/>
      <c r="BT667" s="319"/>
      <c r="BU667" s="319"/>
      <c r="BV667" s="319"/>
      <c r="BW667" s="319"/>
      <c r="BX667" s="319"/>
      <c r="BY667" s="319"/>
      <c r="BZ667" s="319"/>
      <c r="CA667" s="319"/>
      <c r="CB667" s="319"/>
      <c r="CC667" s="319"/>
      <c r="CD667" s="319"/>
      <c r="CE667" s="319"/>
      <c r="CF667" s="319"/>
      <c r="CG667" s="319"/>
      <c r="CH667" s="319"/>
      <c r="CI667" s="319"/>
      <c r="CJ667" s="319"/>
      <c r="CK667" s="319"/>
    </row>
    <row r="668" spans="1:89" ht="12.75" hidden="1" customHeight="1">
      <c r="A668" s="12"/>
      <c r="B668" s="1"/>
      <c r="C668" s="1"/>
      <c r="D668" s="1"/>
      <c r="E668" s="1"/>
      <c r="F668" s="1"/>
      <c r="G668" s="1"/>
      <c r="H668" s="1"/>
      <c r="I668" s="1"/>
      <c r="J668" s="1"/>
      <c r="K668" s="9"/>
      <c r="L668" s="1"/>
      <c r="M668" s="319"/>
      <c r="N668" s="319">
        <v>5080004</v>
      </c>
      <c r="O668" s="319"/>
      <c r="P668" s="319"/>
      <c r="Q668" s="319"/>
      <c r="R668" s="319"/>
      <c r="S668" s="319"/>
      <c r="T668" s="319"/>
      <c r="U668" s="319"/>
      <c r="V668" s="319"/>
      <c r="W668" s="319"/>
      <c r="X668" s="319"/>
      <c r="Y668" s="319"/>
      <c r="Z668" s="319"/>
      <c r="AA668" s="319"/>
      <c r="AB668" s="319"/>
      <c r="AC668" s="319"/>
      <c r="AD668" s="319"/>
      <c r="AE668" s="319"/>
      <c r="AF668" s="319"/>
      <c r="AG668" s="319"/>
      <c r="AH668" s="319"/>
      <c r="AI668" s="319"/>
      <c r="AJ668" s="319"/>
      <c r="AK668" s="319"/>
      <c r="AL668" s="319"/>
      <c r="AM668" s="319"/>
      <c r="AN668" s="319"/>
      <c r="AO668" s="319"/>
      <c r="AP668" s="319"/>
      <c r="AQ668" s="319"/>
      <c r="AR668" s="319"/>
      <c r="AS668" s="319"/>
      <c r="AT668" s="319"/>
      <c r="AU668" s="319"/>
      <c r="AV668" s="319"/>
      <c r="AW668" s="319"/>
      <c r="AX668" s="319"/>
      <c r="AY668" s="319"/>
      <c r="AZ668" s="319"/>
      <c r="BA668" s="319"/>
      <c r="BB668" s="319"/>
      <c r="BC668" s="319"/>
      <c r="BD668" s="319"/>
      <c r="BE668" s="319"/>
      <c r="BF668" s="319"/>
      <c r="BG668" s="319"/>
      <c r="BH668" s="319"/>
      <c r="BI668" s="319"/>
      <c r="BJ668" s="319"/>
      <c r="BK668" s="319"/>
      <c r="BL668" s="319"/>
      <c r="BM668" s="319"/>
      <c r="BN668" s="319"/>
      <c r="BO668" s="319"/>
      <c r="BP668" s="319"/>
      <c r="BQ668" s="319"/>
      <c r="BR668" s="319"/>
      <c r="BS668" s="319"/>
      <c r="BT668" s="319"/>
      <c r="BU668" s="319"/>
      <c r="BV668" s="319"/>
      <c r="BW668" s="319"/>
      <c r="BX668" s="319"/>
      <c r="BY668" s="319"/>
      <c r="BZ668" s="319"/>
      <c r="CA668" s="319"/>
      <c r="CB668" s="319"/>
      <c r="CC668" s="319"/>
      <c r="CD668" s="319"/>
      <c r="CE668" s="319"/>
      <c r="CF668" s="319"/>
      <c r="CG668" s="319"/>
      <c r="CH668" s="319"/>
      <c r="CI668" s="319"/>
      <c r="CJ668" s="319"/>
      <c r="CK668" s="319"/>
    </row>
    <row r="669" spans="1:89" ht="25.5" hidden="1" customHeight="1">
      <c r="A669" s="12"/>
      <c r="B669" s="28"/>
      <c r="C669" s="45" t="str">
        <f>C221</f>
        <v>Unidade</v>
      </c>
      <c r="D669" s="82" t="str">
        <f>D221</f>
        <v>Caso de referência</v>
      </c>
      <c r="E669" s="82" t="str">
        <f>E221</f>
        <v>Caso proposto</v>
      </c>
      <c r="F669" s="82"/>
      <c r="G669" s="82"/>
      <c r="H669" s="1"/>
      <c r="I669" s="1"/>
      <c r="J669" s="1"/>
      <c r="K669" s="9"/>
      <c r="L669" s="1"/>
      <c r="M669" s="319"/>
      <c r="N669" s="319">
        <v>13200</v>
      </c>
      <c r="O669" s="319"/>
      <c r="P669" s="319"/>
      <c r="Q669" s="319"/>
      <c r="R669" s="319"/>
      <c r="S669" s="319"/>
      <c r="T669" s="319"/>
      <c r="U669" s="319"/>
      <c r="V669" s="319"/>
      <c r="W669" s="319"/>
      <c r="X669" s="319"/>
      <c r="Y669" s="319"/>
      <c r="Z669" s="319"/>
      <c r="AA669" s="319"/>
      <c r="AB669" s="319"/>
      <c r="AC669" s="319"/>
      <c r="AD669" s="319"/>
      <c r="AE669" s="319"/>
      <c r="AF669" s="319"/>
      <c r="AG669" s="319"/>
      <c r="AH669" s="319"/>
      <c r="AI669" s="319"/>
      <c r="AJ669" s="319"/>
      <c r="AK669" s="319"/>
      <c r="AL669" s="319"/>
      <c r="AM669" s="319"/>
      <c r="AN669" s="319"/>
      <c r="AO669" s="319"/>
      <c r="AP669" s="319"/>
      <c r="AQ669" s="319"/>
      <c r="AR669" s="319"/>
      <c r="AS669" s="319"/>
      <c r="AT669" s="319"/>
      <c r="AU669" s="319"/>
      <c r="AV669" s="319"/>
      <c r="AW669" s="319"/>
      <c r="AX669" s="319"/>
      <c r="AY669" s="319"/>
      <c r="AZ669" s="319"/>
      <c r="BA669" s="319"/>
      <c r="BB669" s="319"/>
      <c r="BC669" s="319"/>
      <c r="BD669" s="319"/>
      <c r="BE669" s="319"/>
      <c r="BF669" s="319"/>
      <c r="BG669" s="319"/>
      <c r="BH669" s="319"/>
      <c r="BI669" s="319"/>
      <c r="BJ669" s="319"/>
      <c r="BK669" s="319"/>
      <c r="BL669" s="319"/>
      <c r="BM669" s="319"/>
      <c r="BN669" s="319"/>
      <c r="BO669" s="319"/>
      <c r="BP669" s="319"/>
      <c r="BQ669" s="319"/>
      <c r="BR669" s="319"/>
      <c r="BS669" s="319"/>
      <c r="BT669" s="319"/>
      <c r="BU669" s="319"/>
      <c r="BV669" s="319"/>
      <c r="BW669" s="319"/>
      <c r="BX669" s="319"/>
      <c r="BY669" s="319"/>
      <c r="BZ669" s="319"/>
      <c r="CA669" s="319"/>
      <c r="CB669" s="319"/>
      <c r="CC669" s="319"/>
      <c r="CD669" s="319"/>
      <c r="CE669" s="319"/>
      <c r="CF669" s="319"/>
      <c r="CG669" s="319"/>
      <c r="CH669" s="319"/>
      <c r="CI669" s="319"/>
      <c r="CJ669" s="319"/>
      <c r="CK669" s="319"/>
    </row>
    <row r="670" spans="1:89" ht="13.5" hidden="1" customHeight="1">
      <c r="A670" s="12"/>
      <c r="B670" s="1" t="str">
        <f>B759</f>
        <v>Tipo</v>
      </c>
      <c r="C670" s="1"/>
      <c r="D670" s="310" t="s">
        <v>7530</v>
      </c>
      <c r="E670" s="1"/>
      <c r="F670" s="1"/>
      <c r="G670" s="1"/>
      <c r="H670" s="1"/>
      <c r="I670" s="1"/>
      <c r="J670" s="1"/>
      <c r="K670" s="9"/>
      <c r="L670" s="1"/>
      <c r="M670" s="319">
        <f>IF(D670=F1182,1,2)</f>
        <v>1</v>
      </c>
      <c r="N670" s="319">
        <v>5080008</v>
      </c>
      <c r="O670" s="319"/>
      <c r="P670" s="319"/>
      <c r="Q670" s="319" t="s">
        <v>2575</v>
      </c>
      <c r="R670" s="319">
        <f>IF(OR($C671="",$C671=$J$1190),E671,E671*K1191)</f>
        <v>0</v>
      </c>
      <c r="S670" s="319"/>
      <c r="T670" s="319"/>
      <c r="U670" s="319"/>
      <c r="V670" s="319"/>
      <c r="W670" s="319"/>
      <c r="X670" s="319"/>
      <c r="Y670" s="319"/>
      <c r="Z670" s="319"/>
      <c r="AA670" s="319"/>
      <c r="AB670" s="319"/>
      <c r="AC670" s="319"/>
      <c r="AD670" s="319"/>
      <c r="AE670" s="319"/>
      <c r="AF670" s="319"/>
      <c r="AG670" s="319"/>
      <c r="AH670" s="319"/>
      <c r="AI670" s="319"/>
      <c r="AJ670" s="319"/>
      <c r="AK670" s="319"/>
      <c r="AL670" s="319"/>
      <c r="AM670" s="319"/>
      <c r="AN670" s="319"/>
      <c r="AO670" s="319"/>
      <c r="AP670" s="319"/>
      <c r="AQ670" s="319"/>
      <c r="AR670" s="319"/>
      <c r="AS670" s="319"/>
      <c r="AT670" s="319"/>
      <c r="AU670" s="319"/>
      <c r="AV670" s="319"/>
      <c r="AW670" s="319"/>
      <c r="AX670" s="319"/>
      <c r="AY670" s="319"/>
      <c r="AZ670" s="319"/>
      <c r="BA670" s="319"/>
      <c r="BB670" s="319"/>
      <c r="BC670" s="319"/>
      <c r="BD670" s="319"/>
      <c r="BE670" s="319"/>
      <c r="BF670" s="319"/>
      <c r="BG670" s="319"/>
      <c r="BH670" s="319"/>
      <c r="BI670" s="319"/>
      <c r="BJ670" s="319"/>
      <c r="BK670" s="319"/>
      <c r="BL670" s="319"/>
      <c r="BM670" s="319"/>
      <c r="BN670" s="319"/>
      <c r="BO670" s="319"/>
      <c r="BP670" s="319"/>
      <c r="BQ670" s="319"/>
      <c r="BR670" s="319"/>
      <c r="BS670" s="319"/>
      <c r="BT670" s="319"/>
      <c r="BU670" s="319"/>
      <c r="BV670" s="319"/>
      <c r="BW670" s="319"/>
      <c r="BX670" s="319"/>
      <c r="BY670" s="319"/>
      <c r="BZ670" s="319"/>
      <c r="CA670" s="319"/>
      <c r="CB670" s="319"/>
      <c r="CC670" s="319"/>
      <c r="CD670" s="319"/>
      <c r="CE670" s="319"/>
      <c r="CF670" s="319"/>
      <c r="CG670" s="319"/>
      <c r="CH670" s="319"/>
      <c r="CI670" s="319"/>
      <c r="CJ670" s="319"/>
      <c r="CK670" s="319"/>
    </row>
    <row r="671" spans="1:89" ht="13.5" hidden="1" customHeight="1">
      <c r="A671" s="12"/>
      <c r="B671" s="1" t="str">
        <f>Language!C809</f>
        <v>Área</v>
      </c>
      <c r="C671" s="310" t="s">
        <v>5430</v>
      </c>
      <c r="D671" s="825">
        <f>E671</f>
        <v>0</v>
      </c>
      <c r="E671" s="382"/>
      <c r="F671" s="1"/>
      <c r="G671" s="1"/>
      <c r="H671" s="1"/>
      <c r="I671" s="1"/>
      <c r="J671" s="1"/>
      <c r="K671" s="9"/>
      <c r="L671" s="1"/>
      <c r="M671" s="319"/>
      <c r="N671" s="319">
        <v>5080010</v>
      </c>
      <c r="O671" s="319"/>
      <c r="P671" s="319"/>
      <c r="Q671" s="319"/>
      <c r="R671" s="319"/>
      <c r="S671" s="319"/>
      <c r="T671" s="319"/>
      <c r="U671" s="319"/>
      <c r="V671" s="319"/>
      <c r="W671" s="319"/>
      <c r="X671" s="319"/>
      <c r="Y671" s="319"/>
      <c r="Z671" s="319"/>
      <c r="AA671" s="319"/>
      <c r="AB671" s="319"/>
      <c r="AC671" s="319"/>
      <c r="AD671" s="319"/>
      <c r="AE671" s="319"/>
      <c r="AF671" s="319"/>
      <c r="AG671" s="319"/>
      <c r="AH671" s="319"/>
      <c r="AI671" s="319"/>
      <c r="AJ671" s="319"/>
      <c r="AK671" s="319"/>
      <c r="AL671" s="319"/>
      <c r="AM671" s="319"/>
      <c r="AN671" s="319"/>
      <c r="AO671" s="319"/>
      <c r="AP671" s="319"/>
      <c r="AQ671" s="319"/>
      <c r="AR671" s="319"/>
      <c r="AS671" s="319"/>
      <c r="AT671" s="319"/>
      <c r="AU671" s="319"/>
      <c r="AV671" s="319"/>
      <c r="AW671" s="319"/>
      <c r="AX671" s="319"/>
      <c r="AY671" s="319"/>
      <c r="AZ671" s="319"/>
      <c r="BA671" s="319"/>
      <c r="BB671" s="319"/>
      <c r="BC671" s="319"/>
      <c r="BD671" s="319"/>
      <c r="BE671" s="319"/>
      <c r="BF671" s="319"/>
      <c r="BG671" s="319"/>
      <c r="BH671" s="319"/>
      <c r="BI671" s="319"/>
      <c r="BJ671" s="319"/>
      <c r="BK671" s="319"/>
      <c r="BL671" s="319"/>
      <c r="BM671" s="319"/>
      <c r="BN671" s="319"/>
      <c r="BO671" s="319"/>
      <c r="BP671" s="319"/>
      <c r="BQ671" s="319"/>
      <c r="BR671" s="319"/>
      <c r="BS671" s="319"/>
      <c r="BT671" s="319"/>
      <c r="BU671" s="319"/>
      <c r="BV671" s="319"/>
      <c r="BW671" s="319"/>
      <c r="BX671" s="319"/>
      <c r="BY671" s="319"/>
      <c r="BZ671" s="319"/>
      <c r="CA671" s="319"/>
      <c r="CB671" s="319"/>
      <c r="CC671" s="319"/>
      <c r="CD671" s="319"/>
      <c r="CE671" s="319"/>
      <c r="CF671" s="319"/>
      <c r="CG671" s="319"/>
      <c r="CH671" s="319"/>
      <c r="CI671" s="319"/>
      <c r="CJ671" s="319"/>
      <c r="CK671" s="319"/>
    </row>
    <row r="672" spans="1:89" ht="13.5" hidden="1" customHeight="1">
      <c r="A672" s="12"/>
      <c r="B672" s="1" t="str">
        <f>Language!C1569</f>
        <v>Uso de cobertura</v>
      </c>
      <c r="C672" s="29" t="str">
        <f>Language!C2208</f>
        <v>h/d</v>
      </c>
      <c r="D672" s="382"/>
      <c r="E672" s="382"/>
      <c r="F672" s="1"/>
      <c r="G672" s="1"/>
      <c r="H672" s="1"/>
      <c r="I672" s="1"/>
      <c r="J672" s="1"/>
      <c r="K672" s="9"/>
      <c r="L672" s="1"/>
      <c r="M672" s="319"/>
      <c r="N672" s="319">
        <v>5080012</v>
      </c>
      <c r="O672" s="319"/>
      <c r="P672" s="319"/>
      <c r="Q672" s="319" t="s">
        <v>144</v>
      </c>
      <c r="R672" s="319">
        <f>IF(OR($C673=$C$1178,$C673=""),D673,(D673-32)/1.8)</f>
        <v>0</v>
      </c>
      <c r="S672" s="319">
        <f>IF(OR($C673=$C$1178,$C673=""),E673,(E673-32)/1.8)</f>
        <v>0</v>
      </c>
      <c r="T672" s="319"/>
      <c r="U672" s="319"/>
      <c r="V672" s="319"/>
      <c r="W672" s="319"/>
      <c r="X672" s="319"/>
      <c r="Y672" s="319"/>
      <c r="Z672" s="319"/>
      <c r="AA672" s="319"/>
      <c r="AB672" s="319"/>
      <c r="AC672" s="319"/>
      <c r="AD672" s="319"/>
      <c r="AE672" s="319"/>
      <c r="AF672" s="319"/>
      <c r="AG672" s="319"/>
      <c r="AH672" s="319"/>
      <c r="AI672" s="319"/>
      <c r="AJ672" s="319"/>
      <c r="AK672" s="319"/>
      <c r="AL672" s="319"/>
      <c r="AM672" s="319"/>
      <c r="AN672" s="319"/>
      <c r="AO672" s="319"/>
      <c r="AP672" s="319"/>
      <c r="AQ672" s="319"/>
      <c r="AR672" s="319"/>
      <c r="AS672" s="319"/>
      <c r="AT672" s="319"/>
      <c r="AU672" s="319"/>
      <c r="AV672" s="319"/>
      <c r="AW672" s="319"/>
      <c r="AX672" s="319"/>
      <c r="AY672" s="319"/>
      <c r="AZ672" s="319"/>
      <c r="BA672" s="319"/>
      <c r="BB672" s="319"/>
      <c r="BC672" s="319"/>
      <c r="BD672" s="319"/>
      <c r="BE672" s="319"/>
      <c r="BF672" s="319"/>
      <c r="BG672" s="319"/>
      <c r="BH672" s="319"/>
      <c r="BI672" s="319"/>
      <c r="BJ672" s="319"/>
      <c r="BK672" s="319"/>
      <c r="BL672" s="319"/>
      <c r="BM672" s="319"/>
      <c r="BN672" s="319"/>
      <c r="BO672" s="319"/>
      <c r="BP672" s="319"/>
      <c r="BQ672" s="319"/>
      <c r="BR672" s="319"/>
      <c r="BS672" s="319"/>
      <c r="BT672" s="319"/>
      <c r="BU672" s="319"/>
      <c r="BV672" s="319"/>
      <c r="BW672" s="319"/>
      <c r="BX672" s="319"/>
      <c r="BY672" s="319"/>
      <c r="BZ672" s="319"/>
      <c r="CA672" s="319"/>
      <c r="CB672" s="319"/>
      <c r="CC672" s="319"/>
      <c r="CD672" s="319"/>
      <c r="CE672" s="319"/>
      <c r="CF672" s="319"/>
      <c r="CG672" s="319"/>
      <c r="CH672" s="319"/>
      <c r="CI672" s="319"/>
      <c r="CJ672" s="319"/>
      <c r="CK672" s="319"/>
    </row>
    <row r="673" spans="1:89" ht="13.5" hidden="1" customHeight="1">
      <c r="A673" s="12"/>
      <c r="B673" s="1" t="str">
        <f>B708</f>
        <v>Temperatura</v>
      </c>
      <c r="C673" s="310" t="s">
        <v>5568</v>
      </c>
      <c r="D673" s="382"/>
      <c r="E673" s="382"/>
      <c r="F673" s="1"/>
      <c r="G673" s="1"/>
      <c r="H673" s="1"/>
      <c r="I673" s="1"/>
      <c r="J673" s="1"/>
      <c r="K673" s="9"/>
      <c r="L673" s="1"/>
      <c r="M673" s="319"/>
      <c r="N673" s="319">
        <v>5080014</v>
      </c>
      <c r="O673" s="319"/>
      <c r="P673" s="319"/>
      <c r="Q673" s="319"/>
      <c r="R673" s="319"/>
      <c r="S673" s="319"/>
      <c r="T673" s="319"/>
      <c r="U673" s="319"/>
      <c r="V673" s="319"/>
      <c r="W673" s="319"/>
      <c r="X673" s="319"/>
      <c r="Y673" s="319"/>
      <c r="Z673" s="319"/>
      <c r="AA673" s="319"/>
      <c r="AB673" s="319"/>
      <c r="AC673" s="319"/>
      <c r="AD673" s="319"/>
      <c r="AE673" s="319"/>
      <c r="AF673" s="319"/>
      <c r="AG673" s="319"/>
      <c r="AH673" s="319"/>
      <c r="AI673" s="319"/>
      <c r="AJ673" s="319"/>
      <c r="AK673" s="319"/>
      <c r="AL673" s="319"/>
      <c r="AM673" s="319"/>
      <c r="AN673" s="319"/>
      <c r="AO673" s="319"/>
      <c r="AP673" s="319"/>
      <c r="AQ673" s="319"/>
      <c r="AR673" s="319"/>
      <c r="AS673" s="319"/>
      <c r="AT673" s="319"/>
      <c r="AU673" s="319"/>
      <c r="AV673" s="319"/>
      <c r="AW673" s="319"/>
      <c r="AX673" s="319"/>
      <c r="AY673" s="319"/>
      <c r="AZ673" s="319"/>
      <c r="BA673" s="319"/>
      <c r="BB673" s="319"/>
      <c r="BC673" s="319"/>
      <c r="BD673" s="319"/>
      <c r="BE673" s="319"/>
      <c r="BF673" s="319"/>
      <c r="BG673" s="319"/>
      <c r="BH673" s="319"/>
      <c r="BI673" s="319"/>
      <c r="BJ673" s="319"/>
      <c r="BK673" s="319"/>
      <c r="BL673" s="319"/>
      <c r="BM673" s="319"/>
      <c r="BN673" s="319"/>
      <c r="BO673" s="319"/>
      <c r="BP673" s="319"/>
      <c r="BQ673" s="319"/>
      <c r="BR673" s="319"/>
      <c r="BS673" s="319"/>
      <c r="BT673" s="319"/>
      <c r="BU673" s="319"/>
      <c r="BV673" s="319"/>
      <c r="BW673" s="319"/>
      <c r="BX673" s="319"/>
      <c r="BY673" s="319"/>
      <c r="BZ673" s="319"/>
      <c r="CA673" s="319"/>
      <c r="CB673" s="319"/>
      <c r="CC673" s="319"/>
      <c r="CD673" s="319"/>
      <c r="CE673" s="319"/>
      <c r="CF673" s="319"/>
      <c r="CG673" s="319"/>
      <c r="CH673" s="319"/>
      <c r="CI673" s="319"/>
      <c r="CJ673" s="319"/>
      <c r="CK673" s="319"/>
    </row>
    <row r="674" spans="1:89" ht="13.5" hidden="1" customHeight="1">
      <c r="A674" s="12"/>
      <c r="B674" s="1" t="str">
        <f>Language!C1796</f>
        <v>Água de reposição</v>
      </c>
      <c r="C674" s="29" t="str">
        <f>Language!C2179</f>
        <v>%/sem</v>
      </c>
      <c r="D674" s="159"/>
      <c r="E674" s="159"/>
      <c r="F674" s="1"/>
      <c r="G674" s="1"/>
      <c r="H674" s="1"/>
      <c r="I674" s="1"/>
      <c r="J674" s="1"/>
      <c r="K674" s="9"/>
      <c r="L674" s="1"/>
      <c r="M674" s="319"/>
      <c r="N674" s="319">
        <v>5080016</v>
      </c>
      <c r="O674" s="319"/>
      <c r="P674" s="319"/>
      <c r="Q674" s="319"/>
      <c r="R674" s="319">
        <v>100</v>
      </c>
      <c r="S674" s="319"/>
      <c r="T674" s="319"/>
      <c r="U674" s="319"/>
      <c r="V674" s="319"/>
      <c r="W674" s="319"/>
      <c r="X674" s="319"/>
      <c r="Y674" s="319"/>
      <c r="Z674" s="319"/>
      <c r="AA674" s="319"/>
      <c r="AB674" s="319"/>
      <c r="AC674" s="319"/>
      <c r="AD674" s="319"/>
      <c r="AE674" s="319"/>
      <c r="AF674" s="319"/>
      <c r="AG674" s="319"/>
      <c r="AH674" s="319"/>
      <c r="AI674" s="319"/>
      <c r="AJ674" s="319"/>
      <c r="AK674" s="319"/>
      <c r="AL674" s="319"/>
      <c r="AM674" s="319"/>
      <c r="AN674" s="319"/>
      <c r="AO674" s="319"/>
      <c r="AP674" s="319"/>
      <c r="AQ674" s="319"/>
      <c r="AR674" s="319"/>
      <c r="AS674" s="319"/>
      <c r="AT674" s="319"/>
      <c r="AU674" s="319"/>
      <c r="AV674" s="319"/>
      <c r="AW674" s="319"/>
      <c r="AX674" s="319"/>
      <c r="AY674" s="319"/>
      <c r="AZ674" s="319"/>
      <c r="BA674" s="319"/>
      <c r="BB674" s="319"/>
      <c r="BC674" s="319"/>
      <c r="BD674" s="319"/>
      <c r="BE674" s="319"/>
      <c r="BF674" s="319"/>
      <c r="BG674" s="319"/>
      <c r="BH674" s="319"/>
      <c r="BI674" s="319"/>
      <c r="BJ674" s="319"/>
      <c r="BK674" s="319"/>
      <c r="BL674" s="319"/>
      <c r="BM674" s="319"/>
      <c r="BN674" s="319"/>
      <c r="BO674" s="319"/>
      <c r="BP674" s="319"/>
      <c r="BQ674" s="319"/>
      <c r="BR674" s="319"/>
      <c r="BS674" s="319"/>
      <c r="BT674" s="319"/>
      <c r="BU674" s="319"/>
      <c r="BV674" s="319"/>
      <c r="BW674" s="319"/>
      <c r="BX674" s="319"/>
      <c r="BY674" s="319"/>
      <c r="BZ674" s="319"/>
      <c r="CA674" s="319"/>
      <c r="CB674" s="319"/>
      <c r="CC674" s="319"/>
      <c r="CD674" s="319"/>
      <c r="CE674" s="319"/>
      <c r="CF674" s="319"/>
      <c r="CG674" s="319"/>
      <c r="CH674" s="319"/>
      <c r="CI674" s="319"/>
      <c r="CJ674" s="319"/>
      <c r="CK674" s="319"/>
    </row>
    <row r="675" spans="1:89" ht="13.5" hidden="1" customHeight="1">
      <c r="A675" s="12"/>
      <c r="B675" s="1" t="str">
        <f>Language!C2086</f>
        <v>Atenuação do vento - meses considerados</v>
      </c>
      <c r="C675" s="29" t="str">
        <f>C676</f>
        <v>%</v>
      </c>
      <c r="D675" s="339"/>
      <c r="E675" s="339"/>
      <c r="F675" s="1"/>
      <c r="G675" s="1"/>
      <c r="H675" s="1"/>
      <c r="I675" s="1"/>
      <c r="J675" s="1"/>
      <c r="K675" s="9"/>
      <c r="L675" s="1"/>
      <c r="M675" s="319"/>
      <c r="N675" s="319">
        <v>5080018</v>
      </c>
      <c r="O675" s="319"/>
      <c r="P675" s="319"/>
      <c r="Q675" s="3" t="b">
        <v>0</v>
      </c>
      <c r="R675" s="319" t="b">
        <v>0</v>
      </c>
      <c r="S675" s="319"/>
      <c r="T675" s="319"/>
      <c r="U675" s="319" t="s">
        <v>2933</v>
      </c>
      <c r="V675" s="319"/>
      <c r="W675" s="319" t="s">
        <v>4231</v>
      </c>
      <c r="X675" s="319"/>
      <c r="Y675" s="319"/>
      <c r="Z675" s="319"/>
      <c r="AA675" s="319"/>
      <c r="AB675" s="319"/>
      <c r="AC675" s="319"/>
      <c r="AD675" s="319" t="s">
        <v>257</v>
      </c>
      <c r="AE675" s="319"/>
      <c r="AF675" s="319"/>
      <c r="AG675" s="319"/>
      <c r="AH675" s="319"/>
      <c r="AI675" s="319"/>
      <c r="AJ675" s="319"/>
      <c r="AK675" s="319"/>
      <c r="AL675" s="319" t="s">
        <v>5598</v>
      </c>
      <c r="AM675" s="319"/>
      <c r="AN675" s="319"/>
      <c r="AO675" s="319"/>
      <c r="AP675" s="319"/>
      <c r="AQ675" s="319"/>
      <c r="AR675" s="319"/>
      <c r="AS675" s="319" t="s">
        <v>4034</v>
      </c>
      <c r="AT675" s="319"/>
      <c r="AU675" s="319"/>
      <c r="AV675" s="319"/>
      <c r="AW675" s="319"/>
      <c r="AX675" s="319"/>
      <c r="AY675" s="319"/>
      <c r="AZ675" s="319" t="s">
        <v>5256</v>
      </c>
      <c r="BA675" s="319"/>
      <c r="BB675" s="319"/>
      <c r="BC675" s="319"/>
      <c r="BD675" s="319"/>
      <c r="BE675" s="319"/>
      <c r="BF675" s="319"/>
      <c r="BG675" s="319"/>
      <c r="BH675" s="319"/>
      <c r="BI675" s="319"/>
      <c r="BJ675" s="319"/>
      <c r="BK675" s="319"/>
      <c r="BL675" s="319"/>
      <c r="BM675" s="319"/>
      <c r="BN675" s="319"/>
      <c r="BO675" s="319"/>
      <c r="BP675" s="319"/>
      <c r="BQ675" s="319"/>
      <c r="BR675" s="319" t="s">
        <v>4139</v>
      </c>
      <c r="BS675" s="319"/>
      <c r="BT675" s="319"/>
      <c r="BU675" s="319"/>
      <c r="BV675" s="319"/>
      <c r="BW675" s="319"/>
      <c r="BX675" s="319"/>
      <c r="BY675" s="319"/>
      <c r="BZ675" s="319"/>
      <c r="CA675" s="319"/>
      <c r="CB675" s="319"/>
      <c r="CC675" s="319"/>
      <c r="CD675" s="319"/>
      <c r="CE675" s="319"/>
      <c r="CF675" s="319"/>
      <c r="CG675" s="319"/>
      <c r="CH675" s="319"/>
      <c r="CI675" s="319"/>
      <c r="CJ675" s="319"/>
      <c r="CK675" s="319"/>
    </row>
    <row r="676" spans="1:89" ht="13.5" hidden="1" customHeight="1">
      <c r="A676" s="12"/>
      <c r="B676" s="1" t="str">
        <f>Language!C1990</f>
        <v>Sombreamento solar - estações de uso</v>
      </c>
      <c r="C676" s="29" t="str">
        <f>$C$254</f>
        <v>%</v>
      </c>
      <c r="D676" s="159"/>
      <c r="E676" s="159"/>
      <c r="F676" s="1"/>
      <c r="G676" s="1"/>
      <c r="H676" s="1"/>
      <c r="I676" s="1"/>
      <c r="J676" s="1"/>
      <c r="K676" s="9"/>
      <c r="L676" s="1"/>
      <c r="M676" s="319"/>
      <c r="N676" s="319">
        <v>5080020</v>
      </c>
      <c r="O676" s="319"/>
      <c r="P676" s="319"/>
      <c r="Q676" s="319"/>
      <c r="R676" s="319"/>
      <c r="S676" s="319"/>
      <c r="T676" s="319"/>
      <c r="U676" s="319"/>
      <c r="V676" s="319"/>
      <c r="W676" s="319"/>
      <c r="X676" s="319"/>
      <c r="Y676" s="319"/>
      <c r="Z676" s="319"/>
      <c r="AA676" s="319"/>
      <c r="AB676" s="319"/>
      <c r="AC676" s="319"/>
      <c r="AD676" s="319"/>
      <c r="AE676" s="319"/>
      <c r="AF676" s="319"/>
      <c r="AG676" s="319"/>
      <c r="AH676" s="319"/>
      <c r="AI676" s="319"/>
      <c r="AJ676" s="319"/>
      <c r="AK676" s="319"/>
      <c r="AL676" s="319"/>
      <c r="AM676" s="319"/>
      <c r="AN676" s="319"/>
      <c r="AO676" s="319"/>
      <c r="AP676" s="319"/>
      <c r="AQ676" s="319"/>
      <c r="AR676" s="319"/>
      <c r="AS676" s="319"/>
      <c r="AT676" s="319"/>
      <c r="AU676" s="319"/>
      <c r="AV676" s="319"/>
      <c r="AW676" s="319"/>
      <c r="AX676" s="319"/>
      <c r="AY676" s="319"/>
      <c r="AZ676" s="319"/>
      <c r="BA676" s="319"/>
      <c r="BB676" s="319"/>
      <c r="BC676" s="319"/>
      <c r="BD676" s="319"/>
      <c r="BE676" s="319"/>
      <c r="BF676" s="319"/>
      <c r="BG676" s="319"/>
      <c r="BH676" s="319"/>
      <c r="BI676" s="319"/>
      <c r="BJ676" s="319"/>
      <c r="BK676" s="319"/>
      <c r="BL676" s="319"/>
      <c r="BM676" s="319"/>
      <c r="BN676" s="319"/>
      <c r="BO676" s="319"/>
      <c r="BP676" s="319"/>
      <c r="BQ676" s="319"/>
      <c r="BR676" s="319"/>
      <c r="BS676" s="319"/>
      <c r="BT676" s="319"/>
      <c r="BU676" s="319"/>
      <c r="BV676" s="319"/>
      <c r="BW676" s="319"/>
      <c r="BX676" s="319"/>
      <c r="BY676" s="319"/>
      <c r="BZ676" s="319"/>
      <c r="CA676" s="319"/>
      <c r="CB676" s="319"/>
      <c r="CC676" s="319"/>
      <c r="CD676" s="319"/>
      <c r="CE676" s="319"/>
      <c r="CF676" s="319"/>
      <c r="CG676" s="319"/>
      <c r="CH676" s="319"/>
      <c r="CI676" s="319"/>
      <c r="CJ676" s="319"/>
      <c r="CK676" s="319"/>
    </row>
    <row r="677" spans="1:89" ht="13.5" hidden="1" customHeight="1">
      <c r="A677" s="12"/>
      <c r="B677" s="1"/>
      <c r="C677" s="29"/>
      <c r="D677" s="223"/>
      <c r="E677" s="223"/>
      <c r="F677" s="1"/>
      <c r="G677" s="1"/>
      <c r="H677" s="1"/>
      <c r="I677" s="1"/>
      <c r="J677" s="1"/>
      <c r="K677" s="9"/>
      <c r="L677" s="1"/>
      <c r="M677" s="319"/>
      <c r="N677" s="319">
        <v>13200</v>
      </c>
      <c r="O677" s="319"/>
      <c r="P677" s="319"/>
      <c r="Q677" s="319" t="s">
        <v>851</v>
      </c>
      <c r="R677" s="319" t="s">
        <v>4023</v>
      </c>
      <c r="S677" s="319" t="s">
        <v>1556</v>
      </c>
      <c r="T677" s="319" t="s">
        <v>3007</v>
      </c>
      <c r="U677" s="319" t="s">
        <v>5257</v>
      </c>
      <c r="V677" s="319" t="s">
        <v>5121</v>
      </c>
      <c r="W677" s="319" t="s">
        <v>1757</v>
      </c>
      <c r="X677" s="319" t="s">
        <v>394</v>
      </c>
      <c r="Y677" s="319" t="s">
        <v>3697</v>
      </c>
      <c r="Z677" s="319" t="s">
        <v>1029</v>
      </c>
      <c r="AA677" s="319" t="s">
        <v>2006</v>
      </c>
      <c r="AB677" s="319" t="s">
        <v>1341</v>
      </c>
      <c r="AC677" s="319" t="s">
        <v>5625</v>
      </c>
      <c r="AD677" s="319" t="s">
        <v>2867</v>
      </c>
      <c r="AE677" s="319"/>
      <c r="AF677" s="319" t="s">
        <v>3645</v>
      </c>
      <c r="AG677" s="319"/>
      <c r="AH677" s="319" t="s">
        <v>5086</v>
      </c>
      <c r="AI677" s="319" t="s">
        <v>4486</v>
      </c>
      <c r="AJ677" s="319" t="s">
        <v>1913</v>
      </c>
      <c r="AK677" s="319" t="s">
        <v>2330</v>
      </c>
      <c r="AL677" s="319" t="s">
        <v>4325</v>
      </c>
      <c r="AM677" s="319" t="s">
        <v>3989</v>
      </c>
      <c r="AN677" s="319"/>
      <c r="AO677" s="319" t="s">
        <v>560</v>
      </c>
      <c r="AP677" s="319" t="s">
        <v>2503</v>
      </c>
      <c r="AQ677" s="319" t="s">
        <v>2098</v>
      </c>
      <c r="AR677" s="319" t="s">
        <v>2936</v>
      </c>
      <c r="AS677" s="319" t="s">
        <v>4795</v>
      </c>
      <c r="AT677" s="319" t="s">
        <v>2809</v>
      </c>
      <c r="AU677" s="319"/>
      <c r="AV677" s="319" t="s">
        <v>355</v>
      </c>
      <c r="AW677" s="319" t="s">
        <v>690</v>
      </c>
      <c r="AX677" s="319" t="s">
        <v>729</v>
      </c>
      <c r="AY677" s="319" t="s">
        <v>3793</v>
      </c>
      <c r="AZ677" s="319" t="s">
        <v>5095</v>
      </c>
      <c r="BA677" s="319" t="s">
        <v>1149</v>
      </c>
      <c r="BB677" s="319" t="s">
        <v>930</v>
      </c>
      <c r="BC677" s="319" t="s">
        <v>3278</v>
      </c>
      <c r="BD677" s="319" t="s">
        <v>5696</v>
      </c>
      <c r="BE677" s="319" t="s">
        <v>4628</v>
      </c>
      <c r="BF677" s="319" t="s">
        <v>1302</v>
      </c>
      <c r="BG677" s="319" t="s">
        <v>2801</v>
      </c>
      <c r="BH677" s="319" t="s">
        <v>5502</v>
      </c>
      <c r="BI677" s="319" t="s">
        <v>4062</v>
      </c>
      <c r="BJ677" s="319" t="s">
        <v>5586</v>
      </c>
      <c r="BK677" s="319"/>
      <c r="BL677" s="319" t="s">
        <v>5107</v>
      </c>
      <c r="BM677" s="319"/>
      <c r="BN677" s="319" t="s">
        <v>4486</v>
      </c>
      <c r="BO677" s="319" t="s">
        <v>1913</v>
      </c>
      <c r="BP677" s="319" t="s">
        <v>2330</v>
      </c>
      <c r="BQ677" s="319"/>
      <c r="BR677" s="319" t="s">
        <v>2098</v>
      </c>
      <c r="BS677" s="319" t="s">
        <v>2936</v>
      </c>
      <c r="BT677" s="319" t="s">
        <v>4795</v>
      </c>
      <c r="BU677" s="319" t="s">
        <v>2809</v>
      </c>
      <c r="BV677" s="319" t="s">
        <v>355</v>
      </c>
      <c r="BW677" s="319" t="s">
        <v>729</v>
      </c>
      <c r="BX677" s="319" t="s">
        <v>3793</v>
      </c>
      <c r="BY677" s="319" t="s">
        <v>5095</v>
      </c>
      <c r="BZ677" s="319" t="s">
        <v>1149</v>
      </c>
      <c r="CA677" s="319" t="s">
        <v>930</v>
      </c>
      <c r="CB677" s="319" t="s">
        <v>3278</v>
      </c>
      <c r="CC677" s="319" t="s">
        <v>5696</v>
      </c>
      <c r="CD677" s="319" t="s">
        <v>4628</v>
      </c>
      <c r="CE677" s="319" t="s">
        <v>1302</v>
      </c>
      <c r="CF677" s="319" t="s">
        <v>2801</v>
      </c>
      <c r="CG677" s="319" t="s">
        <v>5502</v>
      </c>
      <c r="CH677" s="319" t="s">
        <v>4062</v>
      </c>
      <c r="CI677" s="319" t="s">
        <v>5586</v>
      </c>
      <c r="CJ677" s="319"/>
      <c r="CK677" s="319" t="s">
        <v>5107</v>
      </c>
    </row>
    <row r="678" spans="1:89" ht="13.5" hidden="1" customHeight="1">
      <c r="A678" s="1009" t="s">
        <v>4189</v>
      </c>
      <c r="B678" s="134" t="str">
        <f>$B$229</f>
        <v>Percentual de utilização do mês</v>
      </c>
      <c r="C678" s="333" t="str">
        <f t="shared" ref="C678:C690" si="115">C740</f>
        <v>Mês</v>
      </c>
      <c r="D678" s="1"/>
      <c r="E678" s="1"/>
      <c r="F678" s="1"/>
      <c r="G678" s="1"/>
      <c r="H678" s="1"/>
      <c r="I678" s="1"/>
      <c r="J678" s="1"/>
      <c r="K678" s="9"/>
      <c r="L678" s="1"/>
      <c r="M678" s="319"/>
      <c r="N678" s="319">
        <v>5012026</v>
      </c>
      <c r="O678" s="319"/>
      <c r="P678" s="319"/>
      <c r="Q678" s="319">
        <f>Iniciar!P58</f>
        <v>1.98</v>
      </c>
      <c r="R678" s="319">
        <f>Iniciar!O58</f>
        <v>10</v>
      </c>
      <c r="S678" s="319">
        <f>Iniciar!E58</f>
        <v>0.8</v>
      </c>
      <c r="T678" s="319">
        <f>Iniciar!R58</f>
        <v>3</v>
      </c>
      <c r="U678" s="319">
        <v>1</v>
      </c>
      <c r="V678" s="319">
        <v>31</v>
      </c>
      <c r="W678" s="477">
        <f>Iniciar!AA58</f>
        <v>9.4875490860223799</v>
      </c>
      <c r="X678" s="477">
        <f>Iniciar!AD58</f>
        <v>0.47242494719479017</v>
      </c>
      <c r="Y678" s="319">
        <f t="shared" ref="Y678:Y689" si="116">GetDailyDiffuseFraction(X678)</f>
        <v>0.65311799533016723</v>
      </c>
      <c r="Z678" s="319">
        <f t="shared" ref="Z678:Z689" si="117">0.000000000000531*(R678+273.2)^6</f>
        <v>273.93909406602017</v>
      </c>
      <c r="AA678" s="319">
        <f t="shared" ref="AA678:AA689" si="118">0.96*0.0000000567*(R678+273.2-5)^4</f>
        <v>326.04894144296236</v>
      </c>
      <c r="AB678" s="319">
        <f t="shared" ref="AB678:AB689" si="119">(Y678-0.165)/0.835</f>
        <v>0.58457244949720621</v>
      </c>
      <c r="AC678" s="319">
        <f t="shared" ref="AC678:AC689" si="120">(1-AB678)*Z678+AB678*AA678</f>
        <v>304.40107519008484</v>
      </c>
      <c r="AD678" s="319">
        <f t="shared" ref="AD678:AD689" si="121">(AC678/0.0000000567)^0.25</f>
        <v>270.68599149365957</v>
      </c>
      <c r="AE678" s="319"/>
      <c r="AF678" s="319">
        <f>IF($M$692=1,V711,$AK$693-$AK$695*$AK$694*COS(2*PI()*(U678-2)/12))</f>
        <v>13.878479452054794</v>
      </c>
      <c r="AG678" s="319"/>
      <c r="AH678" s="319">
        <f t="shared" ref="AH678:AH689" si="122">IF($M$670=2,R678,MAX(27,R678))</f>
        <v>27</v>
      </c>
      <c r="AI678" s="319">
        <f t="shared" ref="AI678:AI689" si="123">IF($M$670=2,T678*$E$675,0.1)</f>
        <v>0.1</v>
      </c>
      <c r="AJ678" s="319">
        <f t="shared" ref="AJ678:AJ689" si="124">IF(AND($M$670=2,$E$672&lt;24),AI678+AI678*8/PI()/(24-$E$672)*SIN(PI()*(24-$E$672)/24),AI678)</f>
        <v>0.1</v>
      </c>
      <c r="AK678" s="319">
        <f t="shared" ref="AK678:AK689" si="125">IF(AND($M$670=2,$E$672&gt;0),AI678-AI678*8/PI()/$E$672*SIN(PI()*$E$672/24),AI678)</f>
        <v>0.1</v>
      </c>
      <c r="AL678" s="319">
        <f t="shared" ref="AL678:AL689" si="126">GetHumRatioFromRelHum(AH678,IF($M$670=2,S678,0.6),101325)</f>
        <v>1.3462532655088361E-2</v>
      </c>
      <c r="AM678" s="319">
        <f t="shared" ref="AM678:AM689" si="127">IF($M$670=2,AD678,AH678+273.2)</f>
        <v>300.2</v>
      </c>
      <c r="AN678" s="319"/>
      <c r="AO678" s="319">
        <f>getcoszenithangle(Iniciar!Y58,37.5*PI()/180,$U$4)</f>
        <v>0.335588852270093</v>
      </c>
      <c r="AP678" s="319">
        <f t="shared" ref="AP678:AP689" si="128">0.0203+0.9797*(1-AO678)^5</f>
        <v>0.14714625830970884</v>
      </c>
      <c r="AQ678" s="319">
        <f t="shared" ref="AQ678:AQ689" si="129">IF(W678&gt;0,((1-AP678)*(1-Y678)*(1-$E$676)+0.94*Y678)*Q678*3.6*$R$670,0)</f>
        <v>0</v>
      </c>
      <c r="AR678" s="319">
        <f t="shared" ref="AR678:AR689" si="130">IF(W678&gt;0,0.9*((1-Y678)*(1-$E$676)+Y678)*Q678*3.6*$R$670,0)</f>
        <v>0</v>
      </c>
      <c r="AS678" s="319">
        <f t="shared" ref="AS678:AS689" si="131">MIN(24-$E$672,W678)</f>
        <v>9.4875490860223799</v>
      </c>
      <c r="AT678" s="319">
        <f t="shared" ref="AT678:AT689" si="132">IF($M$670=2,IF(W678&gt;0,AS678/W678*AQ678+(1-AS678/W678)*AR678,0),0)</f>
        <v>0</v>
      </c>
      <c r="AU678" s="319"/>
      <c r="AV678" s="319">
        <f t="shared" ref="AV678:AV689" si="133">getsatvappres($S$672)</f>
        <v>614.07210529022552</v>
      </c>
      <c r="AW678" s="319">
        <f t="shared" ref="AW678:AW689" si="134">getvappresfromhumratio(AL678,101325)</f>
        <v>2146.6789696578949</v>
      </c>
      <c r="AX678" s="319">
        <f t="shared" ref="AX678:AX689" si="135">0.05058+0.0669*AJ678</f>
        <v>5.7270000000000001E-2</v>
      </c>
      <c r="AY678" s="319">
        <f t="shared" ref="AY678:AY689" si="136">AX678*(AV678-AW678)*86400/1000000*(24-$E$672)/24*$R$670*2</f>
        <v>0</v>
      </c>
      <c r="AZ678" s="319">
        <f t="shared" ref="AZ678:AZ689" si="137">0.05058+0.0669*AK678</f>
        <v>5.7270000000000001E-2</v>
      </c>
      <c r="BA678" s="319">
        <f t="shared" ref="BA678:BA689" si="138">AZ678*(AV678-AW678)*86400/1000000*$E$672/24*$R$670*0.1</f>
        <v>0</v>
      </c>
      <c r="BB678" s="319">
        <f t="shared" ref="BB678:BB689" si="139">AY678+BA678</f>
        <v>0</v>
      </c>
      <c r="BC678" s="319">
        <f t="shared" ref="BC678:BC689" si="140">BB678/2.454</f>
        <v>0</v>
      </c>
      <c r="BD678" s="319">
        <f t="shared" ref="BD678:BD689" si="141">3.1+4.1*AI678</f>
        <v>3.5100000000000002</v>
      </c>
      <c r="BE678" s="319">
        <f t="shared" ref="BE678:BE689" si="142">BD678*($S$672-AH678)*86400/1000000*$R$670</f>
        <v>0</v>
      </c>
      <c r="BF678" s="319">
        <f t="shared" ref="BF678:BF689" si="143">(0.96*(24-$E$672)/24+0.456*$E$672/24)*0.0000000567*(($S$672+273.2)^4-AM678^4)/1000000*86400*$R$670</f>
        <v>0</v>
      </c>
      <c r="BG678" s="319">
        <f t="shared" ref="BG678:BG689" si="144">BC678+$E$674/7*$R$670*1.5*1000</f>
        <v>0</v>
      </c>
      <c r="BH678" s="319">
        <f t="shared" ref="BH678:BH689" si="145">BG678*($S$672-AF678)*4.2/1000</f>
        <v>0</v>
      </c>
      <c r="BI678" s="319">
        <f t="shared" ref="BI678:BI689" si="146">0.05*(BB678+BE678+BF678+BH678)</f>
        <v>0</v>
      </c>
      <c r="BJ678" s="319">
        <f t="shared" ref="BJ678:BJ689" si="147">BB678+BE678+BF678+BH678+BI678</f>
        <v>0</v>
      </c>
      <c r="BK678" s="319"/>
      <c r="BL678" s="319">
        <f t="shared" ref="BL678:BL689" si="148">V678*MAX(BJ678-AT678,0)</f>
        <v>0</v>
      </c>
      <c r="BM678" s="319"/>
      <c r="BN678" s="319">
        <f t="shared" ref="BN678:BN689" si="149">IF($M$670=2,T678*$D$675,0.1)</f>
        <v>0.1</v>
      </c>
      <c r="BO678" s="319">
        <f t="shared" ref="BO678:BO689" si="150">IF(AND($M$670=2,$D$672&lt;24),BN678+BN678*8/PI()/(24-$D$672)*SIN(PI()*(24-$D$672)/24),BN678)</f>
        <v>0.1</v>
      </c>
      <c r="BP678" s="319">
        <f t="shared" ref="BP678:BP689" si="151">IF(AND($M$670=2,$D$672&gt;0),BN678-BN678*8/PI()/$D$672*SIN(PI()*$D$672/24),BN678)</f>
        <v>0.1</v>
      </c>
      <c r="BQ678" s="319"/>
      <c r="BR678" s="319">
        <f t="shared" ref="BR678:BR689" si="152">IF(W678&gt;0,((1-AP678)*(1-Y678)*(1-$D$676)+0.94*Y678)*Q678*3.6*$R$670,0)</f>
        <v>0</v>
      </c>
      <c r="BS678" s="319">
        <f t="shared" ref="BS678:BS689" si="153">IF(W678&gt;0,0.9*((1-Y678)*(1-$D$676)+Y678)*Q678*3.6*$R$670,0)</f>
        <v>0</v>
      </c>
      <c r="BT678" s="319">
        <f t="shared" ref="BT678:BT689" si="154">MIN(24-$D$672,W678)</f>
        <v>9.4875490860223799</v>
      </c>
      <c r="BU678" s="319">
        <f t="shared" ref="BU678:BU689" si="155">IF($M$670=2,IF(W678&gt;0,BT678/W678*BR678+(1-BT678/W678)*BS678,0),0)</f>
        <v>0</v>
      </c>
      <c r="BV678" s="319">
        <f t="shared" ref="BV678:BV689" si="156">getsatvappres($R$672)</f>
        <v>614.07210529022552</v>
      </c>
      <c r="BW678" s="319">
        <f t="shared" ref="BW678:BW689" si="157">0.05058+0.0669*BO678</f>
        <v>5.7270000000000001E-2</v>
      </c>
      <c r="BX678" s="319">
        <f t="shared" ref="BX678:BX689" si="158">BW678*(BV678-AW678)*86400/1000000*(24-$D$672)/24*$R$670*2</f>
        <v>0</v>
      </c>
      <c r="BY678" s="319">
        <f t="shared" ref="BY678:BY689" si="159">0.05058+0.0669*BP678</f>
        <v>5.7270000000000001E-2</v>
      </c>
      <c r="BZ678" s="319">
        <f t="shared" ref="BZ678:BZ689" si="160">BY678*(BV678-AW678)*86400/1000000*$D$672/24*$R$670*0.1</f>
        <v>0</v>
      </c>
      <c r="CA678" s="319">
        <f t="shared" ref="CA678:CA689" si="161">BX678+BZ678</f>
        <v>0</v>
      </c>
      <c r="CB678" s="319">
        <f t="shared" ref="CB678:CB689" si="162">CA678/2.454</f>
        <v>0</v>
      </c>
      <c r="CC678" s="319">
        <f t="shared" ref="CC678:CC689" si="163">3.1+4.1*BN678</f>
        <v>3.5100000000000002</v>
      </c>
      <c r="CD678" s="319">
        <f t="shared" ref="CD678:CD689" si="164">CC678*($R$672-AH678)*86400/1000000*$R$670</f>
        <v>0</v>
      </c>
      <c r="CE678" s="319">
        <f t="shared" ref="CE678:CE689" si="165">(0.96*(24-$D$672)/24+0.456*$D$672/24)*0.0000000567*(($R$672+273.2)^4-AM678^4)/1000000*86400*$R$670</f>
        <v>0</v>
      </c>
      <c r="CF678" s="319">
        <f t="shared" ref="CF678:CF689" si="166">CB678+$D$674/7*$R$670*1.5*1000</f>
        <v>0</v>
      </c>
      <c r="CG678" s="319">
        <f t="shared" ref="CG678:CG689" si="167">CF678*($R$672-AF678)*4.2/1000</f>
        <v>0</v>
      </c>
      <c r="CH678" s="319">
        <f t="shared" ref="CH678:CH689" si="168">0.05*(CA678+CD678+CE678+CG678)</f>
        <v>0</v>
      </c>
      <c r="CI678" s="319">
        <f t="shared" ref="CI678:CI689" si="169">CA678+CD678+CE678+CG678+CH678</f>
        <v>0</v>
      </c>
      <c r="CJ678" s="319"/>
      <c r="CK678" s="319">
        <f t="shared" ref="CK678:CK689" si="170">V678*MAX(CI678-BU678,0)</f>
        <v>0</v>
      </c>
    </row>
    <row r="679" spans="1:89" ht="13.5" hidden="1" customHeight="1">
      <c r="A679" s="12"/>
      <c r="B679" s="329"/>
      <c r="C679" s="83" t="str">
        <f t="shared" si="115"/>
        <v>Janeiro</v>
      </c>
      <c r="D679" s="339"/>
      <c r="E679" s="339"/>
      <c r="F679" s="1"/>
      <c r="G679" s="1"/>
      <c r="H679" s="1"/>
      <c r="I679" s="1"/>
      <c r="J679" s="1"/>
      <c r="K679" s="9"/>
      <c r="L679" s="1"/>
      <c r="M679" s="319"/>
      <c r="N679" s="319">
        <v>5012026</v>
      </c>
      <c r="O679" s="319"/>
      <c r="P679" s="319"/>
      <c r="Q679" s="319">
        <f>Iniciar!P59</f>
        <v>2.9</v>
      </c>
      <c r="R679" s="319">
        <f>Iniciar!O59</f>
        <v>11</v>
      </c>
      <c r="S679" s="319">
        <f>Iniciar!E59</f>
        <v>0.77599999999999991</v>
      </c>
      <c r="T679" s="319">
        <f>Iniciar!R59</f>
        <v>3.1</v>
      </c>
      <c r="U679" s="319">
        <v>2</v>
      </c>
      <c r="V679" s="319">
        <v>28</v>
      </c>
      <c r="W679" s="477">
        <f>Iniciar!AA59</f>
        <v>10.505453743480471</v>
      </c>
      <c r="X679" s="477">
        <f>Iniciar!AD59</f>
        <v>0.51115332408911873</v>
      </c>
      <c r="Y679" s="319">
        <f t="shared" si="116"/>
        <v>0.58156874924269886</v>
      </c>
      <c r="Z679" s="319">
        <f t="shared" si="117"/>
        <v>279.79436434694583</v>
      </c>
      <c r="AA679" s="319">
        <f t="shared" si="118"/>
        <v>330.76225776420119</v>
      </c>
      <c r="AB679" s="319">
        <f t="shared" si="119"/>
        <v>0.49888472963197467</v>
      </c>
      <c r="AC679" s="319">
        <f t="shared" si="120"/>
        <v>305.22146807432455</v>
      </c>
      <c r="AD679" s="319">
        <f t="shared" si="121"/>
        <v>270.86818925384159</v>
      </c>
      <c r="AE679" s="319"/>
      <c r="AF679" s="319">
        <f t="shared" ref="AF679:AF689" si="171">IF($M$692=1,V712,$AK$693-$AK$695*$AK$694*COS(2*PI()*(U679-2)/12))</f>
        <v>13.738479452054793</v>
      </c>
      <c r="AG679" s="319"/>
      <c r="AH679" s="319">
        <f t="shared" si="122"/>
        <v>27</v>
      </c>
      <c r="AI679" s="319">
        <f t="shared" si="123"/>
        <v>0.1</v>
      </c>
      <c r="AJ679" s="319">
        <f t="shared" si="124"/>
        <v>0.1</v>
      </c>
      <c r="AK679" s="319">
        <f t="shared" si="125"/>
        <v>0.1</v>
      </c>
      <c r="AL679" s="319">
        <f t="shared" si="126"/>
        <v>1.3462532655088361E-2</v>
      </c>
      <c r="AM679" s="319">
        <f t="shared" si="127"/>
        <v>300.2</v>
      </c>
      <c r="AN679" s="319"/>
      <c r="AO679" s="319">
        <f>getcoszenithangle(Iniciar!Y59,37.5*PI()/180,$U$4)</f>
        <v>0.44583912585080543</v>
      </c>
      <c r="AP679" s="319">
        <f t="shared" si="128"/>
        <v>7.1500288313913168E-2</v>
      </c>
      <c r="AQ679" s="319">
        <f t="shared" si="129"/>
        <v>0</v>
      </c>
      <c r="AR679" s="319">
        <f t="shared" si="130"/>
        <v>0</v>
      </c>
      <c r="AS679" s="319">
        <f t="shared" si="131"/>
        <v>10.505453743480471</v>
      </c>
      <c r="AT679" s="319">
        <f t="shared" si="132"/>
        <v>0</v>
      </c>
      <c r="AU679" s="319"/>
      <c r="AV679" s="319">
        <f t="shared" si="133"/>
        <v>614.07210529022552</v>
      </c>
      <c r="AW679" s="319">
        <f t="shared" si="134"/>
        <v>2146.6789696578949</v>
      </c>
      <c r="AX679" s="319">
        <f t="shared" si="135"/>
        <v>5.7270000000000001E-2</v>
      </c>
      <c r="AY679" s="319">
        <f t="shared" si="136"/>
        <v>0</v>
      </c>
      <c r="AZ679" s="319">
        <f t="shared" si="137"/>
        <v>5.7270000000000001E-2</v>
      </c>
      <c r="BA679" s="319">
        <f t="shared" si="138"/>
        <v>0</v>
      </c>
      <c r="BB679" s="319">
        <f t="shared" si="139"/>
        <v>0</v>
      </c>
      <c r="BC679" s="319">
        <f t="shared" si="140"/>
        <v>0</v>
      </c>
      <c r="BD679" s="319">
        <f t="shared" si="141"/>
        <v>3.5100000000000002</v>
      </c>
      <c r="BE679" s="319">
        <f t="shared" si="142"/>
        <v>0</v>
      </c>
      <c r="BF679" s="319">
        <f t="shared" si="143"/>
        <v>0</v>
      </c>
      <c r="BG679" s="319">
        <f t="shared" si="144"/>
        <v>0</v>
      </c>
      <c r="BH679" s="319">
        <f t="shared" si="145"/>
        <v>0</v>
      </c>
      <c r="BI679" s="319">
        <f t="shared" si="146"/>
        <v>0</v>
      </c>
      <c r="BJ679" s="319">
        <f t="shared" si="147"/>
        <v>0</v>
      </c>
      <c r="BK679" s="319"/>
      <c r="BL679" s="319">
        <f t="shared" si="148"/>
        <v>0</v>
      </c>
      <c r="BM679" s="319"/>
      <c r="BN679" s="319">
        <f t="shared" si="149"/>
        <v>0.1</v>
      </c>
      <c r="BO679" s="319">
        <f t="shared" si="150"/>
        <v>0.1</v>
      </c>
      <c r="BP679" s="319">
        <f t="shared" si="151"/>
        <v>0.1</v>
      </c>
      <c r="BQ679" s="319"/>
      <c r="BR679" s="319">
        <f t="shared" si="152"/>
        <v>0</v>
      </c>
      <c r="BS679" s="319">
        <f t="shared" si="153"/>
        <v>0</v>
      </c>
      <c r="BT679" s="319">
        <f t="shared" si="154"/>
        <v>10.505453743480471</v>
      </c>
      <c r="BU679" s="319">
        <f t="shared" si="155"/>
        <v>0</v>
      </c>
      <c r="BV679" s="319">
        <f t="shared" si="156"/>
        <v>614.07210529022552</v>
      </c>
      <c r="BW679" s="319">
        <f t="shared" si="157"/>
        <v>5.7270000000000001E-2</v>
      </c>
      <c r="BX679" s="319">
        <f t="shared" si="158"/>
        <v>0</v>
      </c>
      <c r="BY679" s="319">
        <f t="shared" si="159"/>
        <v>5.7270000000000001E-2</v>
      </c>
      <c r="BZ679" s="319">
        <f t="shared" si="160"/>
        <v>0</v>
      </c>
      <c r="CA679" s="319">
        <f t="shared" si="161"/>
        <v>0</v>
      </c>
      <c r="CB679" s="319">
        <f t="shared" si="162"/>
        <v>0</v>
      </c>
      <c r="CC679" s="319">
        <f t="shared" si="163"/>
        <v>3.5100000000000002</v>
      </c>
      <c r="CD679" s="319">
        <f t="shared" si="164"/>
        <v>0</v>
      </c>
      <c r="CE679" s="319">
        <f t="shared" si="165"/>
        <v>0</v>
      </c>
      <c r="CF679" s="319">
        <f t="shared" si="166"/>
        <v>0</v>
      </c>
      <c r="CG679" s="319">
        <f t="shared" si="167"/>
        <v>0</v>
      </c>
      <c r="CH679" s="319">
        <f t="shared" si="168"/>
        <v>0</v>
      </c>
      <c r="CI679" s="319">
        <f t="shared" si="169"/>
        <v>0</v>
      </c>
      <c r="CJ679" s="319"/>
      <c r="CK679" s="319">
        <f t="shared" si="170"/>
        <v>0</v>
      </c>
    </row>
    <row r="680" spans="1:89" ht="13.5" hidden="1" customHeight="1">
      <c r="A680" s="12"/>
      <c r="B680" s="329"/>
      <c r="C680" s="83" t="str">
        <f t="shared" si="115"/>
        <v>Fevereiro</v>
      </c>
      <c r="D680" s="339"/>
      <c r="E680" s="339"/>
      <c r="F680" s="1"/>
      <c r="G680" s="1"/>
      <c r="H680" s="1"/>
      <c r="I680" s="1"/>
      <c r="J680" s="1"/>
      <c r="K680" s="9"/>
      <c r="L680" s="1"/>
      <c r="M680" s="319"/>
      <c r="N680" s="319">
        <v>5012026</v>
      </c>
      <c r="O680" s="319"/>
      <c r="P680" s="319"/>
      <c r="Q680" s="319">
        <f>Iniciar!P60</f>
        <v>4.38</v>
      </c>
      <c r="R680" s="319">
        <f>Iniciar!O60</f>
        <v>12.5</v>
      </c>
      <c r="S680" s="319">
        <f>Iniciar!E60</f>
        <v>0.73299999999999998</v>
      </c>
      <c r="T680" s="319">
        <f>Iniciar!R60</f>
        <v>2.8</v>
      </c>
      <c r="U680" s="319">
        <v>3</v>
      </c>
      <c r="V680" s="319">
        <v>31</v>
      </c>
      <c r="W680" s="477">
        <f>Iniciar!AA60</f>
        <v>11.727389140282183</v>
      </c>
      <c r="X680" s="477">
        <f>Iniciar!AD60</f>
        <v>0.57659584911759465</v>
      </c>
      <c r="Y680" s="319">
        <f t="shared" si="116"/>
        <v>0.45501206661262189</v>
      </c>
      <c r="Z680" s="319">
        <f t="shared" si="117"/>
        <v>288.77258688399417</v>
      </c>
      <c r="AA680" s="319">
        <f t="shared" si="118"/>
        <v>337.92781674113814</v>
      </c>
      <c r="AB680" s="319">
        <f t="shared" si="119"/>
        <v>0.34731984025463702</v>
      </c>
      <c r="AC680" s="319">
        <f t="shared" si="120"/>
        <v>305.84517346565735</v>
      </c>
      <c r="AD680" s="319">
        <f t="shared" si="121"/>
        <v>271.0064598724374</v>
      </c>
      <c r="AE680" s="319"/>
      <c r="AF680" s="319">
        <f t="shared" si="171"/>
        <v>14.088479452054793</v>
      </c>
      <c r="AG680" s="319"/>
      <c r="AH680" s="319">
        <f t="shared" si="122"/>
        <v>27</v>
      </c>
      <c r="AI680" s="319">
        <f t="shared" si="123"/>
        <v>0.1</v>
      </c>
      <c r="AJ680" s="319">
        <f t="shared" si="124"/>
        <v>0.1</v>
      </c>
      <c r="AK680" s="319">
        <f t="shared" si="125"/>
        <v>0.1</v>
      </c>
      <c r="AL680" s="319">
        <f t="shared" si="126"/>
        <v>1.3462532655088361E-2</v>
      </c>
      <c r="AM680" s="319">
        <f t="shared" si="127"/>
        <v>300.2</v>
      </c>
      <c r="AN680" s="319"/>
      <c r="AO680" s="319">
        <f>getcoszenithangle(Iniciar!Y60,37.5*PI()/180,$U$4)</f>
        <v>0.5781921422146129</v>
      </c>
      <c r="AP680" s="319">
        <f t="shared" si="128"/>
        <v>3.3381767837431048E-2</v>
      </c>
      <c r="AQ680" s="319">
        <f t="shared" si="129"/>
        <v>0</v>
      </c>
      <c r="AR680" s="319">
        <f t="shared" si="130"/>
        <v>0</v>
      </c>
      <c r="AS680" s="319">
        <f t="shared" si="131"/>
        <v>11.727389140282183</v>
      </c>
      <c r="AT680" s="319">
        <f t="shared" si="132"/>
        <v>0</v>
      </c>
      <c r="AU680" s="319"/>
      <c r="AV680" s="319">
        <f t="shared" si="133"/>
        <v>614.07210529022552</v>
      </c>
      <c r="AW680" s="319">
        <f t="shared" si="134"/>
        <v>2146.6789696578949</v>
      </c>
      <c r="AX680" s="319">
        <f t="shared" si="135"/>
        <v>5.7270000000000001E-2</v>
      </c>
      <c r="AY680" s="319">
        <f t="shared" si="136"/>
        <v>0</v>
      </c>
      <c r="AZ680" s="319">
        <f t="shared" si="137"/>
        <v>5.7270000000000001E-2</v>
      </c>
      <c r="BA680" s="319">
        <f t="shared" si="138"/>
        <v>0</v>
      </c>
      <c r="BB680" s="319">
        <f t="shared" si="139"/>
        <v>0</v>
      </c>
      <c r="BC680" s="319">
        <f t="shared" si="140"/>
        <v>0</v>
      </c>
      <c r="BD680" s="319">
        <f t="shared" si="141"/>
        <v>3.5100000000000002</v>
      </c>
      <c r="BE680" s="319">
        <f t="shared" si="142"/>
        <v>0</v>
      </c>
      <c r="BF680" s="319">
        <f t="shared" si="143"/>
        <v>0</v>
      </c>
      <c r="BG680" s="319">
        <f t="shared" si="144"/>
        <v>0</v>
      </c>
      <c r="BH680" s="319">
        <f t="shared" si="145"/>
        <v>0</v>
      </c>
      <c r="BI680" s="319">
        <f t="shared" si="146"/>
        <v>0</v>
      </c>
      <c r="BJ680" s="319">
        <f t="shared" si="147"/>
        <v>0</v>
      </c>
      <c r="BK680" s="319"/>
      <c r="BL680" s="319">
        <f t="shared" si="148"/>
        <v>0</v>
      </c>
      <c r="BM680" s="319"/>
      <c r="BN680" s="319">
        <f t="shared" si="149"/>
        <v>0.1</v>
      </c>
      <c r="BO680" s="319">
        <f t="shared" si="150"/>
        <v>0.1</v>
      </c>
      <c r="BP680" s="319">
        <f t="shared" si="151"/>
        <v>0.1</v>
      </c>
      <c r="BQ680" s="319"/>
      <c r="BR680" s="319">
        <f t="shared" si="152"/>
        <v>0</v>
      </c>
      <c r="BS680" s="319">
        <f t="shared" si="153"/>
        <v>0</v>
      </c>
      <c r="BT680" s="319">
        <f t="shared" si="154"/>
        <v>11.727389140282183</v>
      </c>
      <c r="BU680" s="319">
        <f t="shared" si="155"/>
        <v>0</v>
      </c>
      <c r="BV680" s="319">
        <f t="shared" si="156"/>
        <v>614.07210529022552</v>
      </c>
      <c r="BW680" s="319">
        <f t="shared" si="157"/>
        <v>5.7270000000000001E-2</v>
      </c>
      <c r="BX680" s="319">
        <f t="shared" si="158"/>
        <v>0</v>
      </c>
      <c r="BY680" s="319">
        <f t="shared" si="159"/>
        <v>5.7270000000000001E-2</v>
      </c>
      <c r="BZ680" s="319">
        <f t="shared" si="160"/>
        <v>0</v>
      </c>
      <c r="CA680" s="319">
        <f t="shared" si="161"/>
        <v>0</v>
      </c>
      <c r="CB680" s="319">
        <f t="shared" si="162"/>
        <v>0</v>
      </c>
      <c r="CC680" s="319">
        <f t="shared" si="163"/>
        <v>3.5100000000000002</v>
      </c>
      <c r="CD680" s="319">
        <f t="shared" si="164"/>
        <v>0</v>
      </c>
      <c r="CE680" s="319">
        <f t="shared" si="165"/>
        <v>0</v>
      </c>
      <c r="CF680" s="319">
        <f t="shared" si="166"/>
        <v>0</v>
      </c>
      <c r="CG680" s="319">
        <f t="shared" si="167"/>
        <v>0</v>
      </c>
      <c r="CH680" s="319">
        <f t="shared" si="168"/>
        <v>0</v>
      </c>
      <c r="CI680" s="319">
        <f t="shared" si="169"/>
        <v>0</v>
      </c>
      <c r="CJ680" s="319"/>
      <c r="CK680" s="319">
        <f t="shared" si="170"/>
        <v>0</v>
      </c>
    </row>
    <row r="681" spans="1:89" ht="13.5" hidden="1" customHeight="1">
      <c r="A681" s="12"/>
      <c r="B681" s="329"/>
      <c r="C681" s="83" t="str">
        <f t="shared" si="115"/>
        <v>Março</v>
      </c>
      <c r="D681" s="339"/>
      <c r="E681" s="339"/>
      <c r="F681" s="1"/>
      <c r="G681" s="1"/>
      <c r="H681" s="1"/>
      <c r="I681" s="1"/>
      <c r="J681" s="1"/>
      <c r="K681" s="9"/>
      <c r="L681" s="1"/>
      <c r="M681" s="319"/>
      <c r="N681" s="319">
        <v>5012026</v>
      </c>
      <c r="O681" s="319"/>
      <c r="P681" s="319"/>
      <c r="Q681" s="319">
        <f>Iniciar!P61</f>
        <v>5.45</v>
      </c>
      <c r="R681" s="319">
        <f>Iniciar!O61</f>
        <v>14</v>
      </c>
      <c r="S681" s="319">
        <f>Iniciar!E61</f>
        <v>0.747</v>
      </c>
      <c r="T681" s="319">
        <f>Iniciar!R61</f>
        <v>2.7</v>
      </c>
      <c r="U681" s="319">
        <v>4</v>
      </c>
      <c r="V681" s="319">
        <v>30</v>
      </c>
      <c r="W681" s="477">
        <f>Iniciar!AA61</f>
        <v>13.074041627385576</v>
      </c>
      <c r="X681" s="477">
        <f>Iniciar!AD61</f>
        <v>0.56750294049264416</v>
      </c>
      <c r="Y681" s="319">
        <f t="shared" si="116"/>
        <v>0.47256831661998333</v>
      </c>
      <c r="Z681" s="319">
        <f t="shared" si="117"/>
        <v>297.98961871616666</v>
      </c>
      <c r="AA681" s="319">
        <f t="shared" si="118"/>
        <v>345.20917475522248</v>
      </c>
      <c r="AB681" s="319">
        <f t="shared" si="119"/>
        <v>0.36834528936524946</v>
      </c>
      <c r="AC681" s="319">
        <f t="shared" si="120"/>
        <v>315.38271974907127</v>
      </c>
      <c r="AD681" s="319">
        <f t="shared" si="121"/>
        <v>273.09497479834607</v>
      </c>
      <c r="AE681" s="319"/>
      <c r="AF681" s="319">
        <f t="shared" si="171"/>
        <v>14.613479452054793</v>
      </c>
      <c r="AG681" s="319"/>
      <c r="AH681" s="319">
        <f t="shared" si="122"/>
        <v>27</v>
      </c>
      <c r="AI681" s="319">
        <f t="shared" si="123"/>
        <v>0.1</v>
      </c>
      <c r="AJ681" s="319">
        <f t="shared" si="124"/>
        <v>0.1</v>
      </c>
      <c r="AK681" s="319">
        <f t="shared" si="125"/>
        <v>0.1</v>
      </c>
      <c r="AL681" s="319">
        <f t="shared" si="126"/>
        <v>1.3462532655088361E-2</v>
      </c>
      <c r="AM681" s="319">
        <f t="shared" si="127"/>
        <v>300.2</v>
      </c>
      <c r="AN681" s="319"/>
      <c r="AO681" s="319">
        <f>getcoszenithangle(Iniciar!Y61,37.5*PI()/180,$U$4)</f>
        <v>0.70338317031539244</v>
      </c>
      <c r="AP681" s="319">
        <f t="shared" si="128"/>
        <v>2.2549427766871421E-2</v>
      </c>
      <c r="AQ681" s="319">
        <f t="shared" si="129"/>
        <v>0</v>
      </c>
      <c r="AR681" s="319">
        <f t="shared" si="130"/>
        <v>0</v>
      </c>
      <c r="AS681" s="319">
        <f t="shared" si="131"/>
        <v>13.074041627385576</v>
      </c>
      <c r="AT681" s="319">
        <f t="shared" si="132"/>
        <v>0</v>
      </c>
      <c r="AU681" s="319"/>
      <c r="AV681" s="319">
        <f t="shared" si="133"/>
        <v>614.07210529022552</v>
      </c>
      <c r="AW681" s="319">
        <f t="shared" si="134"/>
        <v>2146.6789696578949</v>
      </c>
      <c r="AX681" s="319">
        <f t="shared" si="135"/>
        <v>5.7270000000000001E-2</v>
      </c>
      <c r="AY681" s="319">
        <f t="shared" si="136"/>
        <v>0</v>
      </c>
      <c r="AZ681" s="319">
        <f t="shared" si="137"/>
        <v>5.7270000000000001E-2</v>
      </c>
      <c r="BA681" s="319">
        <f t="shared" si="138"/>
        <v>0</v>
      </c>
      <c r="BB681" s="319">
        <f t="shared" si="139"/>
        <v>0</v>
      </c>
      <c r="BC681" s="319">
        <f t="shared" si="140"/>
        <v>0</v>
      </c>
      <c r="BD681" s="319">
        <f t="shared" si="141"/>
        <v>3.5100000000000002</v>
      </c>
      <c r="BE681" s="319">
        <f t="shared" si="142"/>
        <v>0</v>
      </c>
      <c r="BF681" s="319">
        <f t="shared" si="143"/>
        <v>0</v>
      </c>
      <c r="BG681" s="319">
        <f t="shared" si="144"/>
        <v>0</v>
      </c>
      <c r="BH681" s="319">
        <f t="shared" si="145"/>
        <v>0</v>
      </c>
      <c r="BI681" s="319">
        <f t="shared" si="146"/>
        <v>0</v>
      </c>
      <c r="BJ681" s="319">
        <f t="shared" si="147"/>
        <v>0</v>
      </c>
      <c r="BK681" s="319"/>
      <c r="BL681" s="319">
        <f t="shared" si="148"/>
        <v>0</v>
      </c>
      <c r="BM681" s="319"/>
      <c r="BN681" s="319">
        <f t="shared" si="149"/>
        <v>0.1</v>
      </c>
      <c r="BO681" s="319">
        <f t="shared" si="150"/>
        <v>0.1</v>
      </c>
      <c r="BP681" s="319">
        <f t="shared" si="151"/>
        <v>0.1</v>
      </c>
      <c r="BQ681" s="319"/>
      <c r="BR681" s="319">
        <f t="shared" si="152"/>
        <v>0</v>
      </c>
      <c r="BS681" s="319">
        <f t="shared" si="153"/>
        <v>0</v>
      </c>
      <c r="BT681" s="319">
        <f t="shared" si="154"/>
        <v>13.074041627385576</v>
      </c>
      <c r="BU681" s="319">
        <f t="shared" si="155"/>
        <v>0</v>
      </c>
      <c r="BV681" s="319">
        <f t="shared" si="156"/>
        <v>614.07210529022552</v>
      </c>
      <c r="BW681" s="319">
        <f t="shared" si="157"/>
        <v>5.7270000000000001E-2</v>
      </c>
      <c r="BX681" s="319">
        <f t="shared" si="158"/>
        <v>0</v>
      </c>
      <c r="BY681" s="319">
        <f t="shared" si="159"/>
        <v>5.7270000000000001E-2</v>
      </c>
      <c r="BZ681" s="319">
        <f t="shared" si="160"/>
        <v>0</v>
      </c>
      <c r="CA681" s="319">
        <f t="shared" si="161"/>
        <v>0</v>
      </c>
      <c r="CB681" s="319">
        <f t="shared" si="162"/>
        <v>0</v>
      </c>
      <c r="CC681" s="319">
        <f t="shared" si="163"/>
        <v>3.5100000000000002</v>
      </c>
      <c r="CD681" s="319">
        <f t="shared" si="164"/>
        <v>0</v>
      </c>
      <c r="CE681" s="319">
        <f t="shared" si="165"/>
        <v>0</v>
      </c>
      <c r="CF681" s="319">
        <f t="shared" si="166"/>
        <v>0</v>
      </c>
      <c r="CG681" s="319">
        <f t="shared" si="167"/>
        <v>0</v>
      </c>
      <c r="CH681" s="319">
        <f t="shared" si="168"/>
        <v>0</v>
      </c>
      <c r="CI681" s="319">
        <f t="shared" si="169"/>
        <v>0</v>
      </c>
      <c r="CJ681" s="319"/>
      <c r="CK681" s="319">
        <f t="shared" si="170"/>
        <v>0</v>
      </c>
    </row>
    <row r="682" spans="1:89" ht="13.5" hidden="1" customHeight="1">
      <c r="A682" s="12"/>
      <c r="B682" s="329"/>
      <c r="C682" s="83" t="str">
        <f t="shared" si="115"/>
        <v>Abril</v>
      </c>
      <c r="D682" s="339"/>
      <c r="E682" s="339"/>
      <c r="F682" s="1"/>
      <c r="G682" s="1"/>
      <c r="H682" s="1"/>
      <c r="I682" s="1"/>
      <c r="J682" s="1"/>
      <c r="K682" s="9"/>
      <c r="L682" s="1"/>
      <c r="M682" s="319"/>
      <c r="N682" s="319">
        <v>5012026</v>
      </c>
      <c r="O682" s="319"/>
      <c r="P682" s="319"/>
      <c r="Q682" s="319">
        <f>Iniciar!P62</f>
        <v>6.07</v>
      </c>
      <c r="R682" s="319">
        <f>Iniciar!O62</f>
        <v>16.399999999999999</v>
      </c>
      <c r="S682" s="319">
        <f>Iniciar!E62</f>
        <v>0.74299999999999999</v>
      </c>
      <c r="T682" s="319">
        <f>Iniciar!R62</f>
        <v>2.5</v>
      </c>
      <c r="U682" s="319">
        <v>5</v>
      </c>
      <c r="V682" s="319">
        <v>31</v>
      </c>
      <c r="W682" s="477">
        <f>Iniciar!AA62</f>
        <v>14.228212019243358</v>
      </c>
      <c r="X682" s="477">
        <f>Iniciar!AD62</f>
        <v>0.55072276861453895</v>
      </c>
      <c r="Y682" s="319">
        <f t="shared" si="116"/>
        <v>0.50517020255737521</v>
      </c>
      <c r="Z682" s="319">
        <f t="shared" si="117"/>
        <v>313.246239651927</v>
      </c>
      <c r="AA682" s="319">
        <f t="shared" si="118"/>
        <v>357.10330936446644</v>
      </c>
      <c r="AB682" s="319">
        <f t="shared" si="119"/>
        <v>0.40738946414056909</v>
      </c>
      <c r="AC682" s="319">
        <f t="shared" si="120"/>
        <v>331.113147780894</v>
      </c>
      <c r="AD682" s="319">
        <f t="shared" si="121"/>
        <v>276.43838161995546</v>
      </c>
      <c r="AE682" s="319"/>
      <c r="AF682" s="319">
        <f t="shared" si="171"/>
        <v>15.138479452054794</v>
      </c>
      <c r="AG682" s="319"/>
      <c r="AH682" s="319">
        <f t="shared" si="122"/>
        <v>27</v>
      </c>
      <c r="AI682" s="319">
        <f t="shared" si="123"/>
        <v>0.1</v>
      </c>
      <c r="AJ682" s="319">
        <f t="shared" si="124"/>
        <v>0.1</v>
      </c>
      <c r="AK682" s="319">
        <f t="shared" si="125"/>
        <v>0.1</v>
      </c>
      <c r="AL682" s="319">
        <f t="shared" si="126"/>
        <v>1.3462532655088361E-2</v>
      </c>
      <c r="AM682" s="319">
        <f t="shared" si="127"/>
        <v>300.2</v>
      </c>
      <c r="AN682" s="319"/>
      <c r="AO682" s="319">
        <f>getcoszenithangle(Iniciar!Y62,37.5*PI()/180,$U$4)</f>
        <v>0.78158192499486345</v>
      </c>
      <c r="AP682" s="319">
        <f t="shared" si="128"/>
        <v>2.0787007875162109E-2</v>
      </c>
      <c r="AQ682" s="319">
        <f t="shared" si="129"/>
        <v>0</v>
      </c>
      <c r="AR682" s="319">
        <f t="shared" si="130"/>
        <v>0</v>
      </c>
      <c r="AS682" s="319">
        <f t="shared" si="131"/>
        <v>14.228212019243358</v>
      </c>
      <c r="AT682" s="319">
        <f t="shared" si="132"/>
        <v>0</v>
      </c>
      <c r="AU682" s="319"/>
      <c r="AV682" s="319">
        <f t="shared" si="133"/>
        <v>614.07210529022552</v>
      </c>
      <c r="AW682" s="319">
        <f t="shared" si="134"/>
        <v>2146.6789696578949</v>
      </c>
      <c r="AX682" s="319">
        <f t="shared" si="135"/>
        <v>5.7270000000000001E-2</v>
      </c>
      <c r="AY682" s="319">
        <f t="shared" si="136"/>
        <v>0</v>
      </c>
      <c r="AZ682" s="319">
        <f t="shared" si="137"/>
        <v>5.7270000000000001E-2</v>
      </c>
      <c r="BA682" s="319">
        <f t="shared" si="138"/>
        <v>0</v>
      </c>
      <c r="BB682" s="319">
        <f t="shared" si="139"/>
        <v>0</v>
      </c>
      <c r="BC682" s="319">
        <f t="shared" si="140"/>
        <v>0</v>
      </c>
      <c r="BD682" s="319">
        <f t="shared" si="141"/>
        <v>3.5100000000000002</v>
      </c>
      <c r="BE682" s="319">
        <f t="shared" si="142"/>
        <v>0</v>
      </c>
      <c r="BF682" s="319">
        <f t="shared" si="143"/>
        <v>0</v>
      </c>
      <c r="BG682" s="319">
        <f t="shared" si="144"/>
        <v>0</v>
      </c>
      <c r="BH682" s="319">
        <f t="shared" si="145"/>
        <v>0</v>
      </c>
      <c r="BI682" s="319">
        <f t="shared" si="146"/>
        <v>0</v>
      </c>
      <c r="BJ682" s="319">
        <f t="shared" si="147"/>
        <v>0</v>
      </c>
      <c r="BK682" s="319"/>
      <c r="BL682" s="319">
        <f t="shared" si="148"/>
        <v>0</v>
      </c>
      <c r="BM682" s="319"/>
      <c r="BN682" s="319">
        <f t="shared" si="149"/>
        <v>0.1</v>
      </c>
      <c r="BO682" s="319">
        <f t="shared" si="150"/>
        <v>0.1</v>
      </c>
      <c r="BP682" s="319">
        <f t="shared" si="151"/>
        <v>0.1</v>
      </c>
      <c r="BQ682" s="319"/>
      <c r="BR682" s="319">
        <f t="shared" si="152"/>
        <v>0</v>
      </c>
      <c r="BS682" s="319">
        <f t="shared" si="153"/>
        <v>0</v>
      </c>
      <c r="BT682" s="319">
        <f t="shared" si="154"/>
        <v>14.228212019243358</v>
      </c>
      <c r="BU682" s="319">
        <f t="shared" si="155"/>
        <v>0</v>
      </c>
      <c r="BV682" s="319">
        <f t="shared" si="156"/>
        <v>614.07210529022552</v>
      </c>
      <c r="BW682" s="319">
        <f t="shared" si="157"/>
        <v>5.7270000000000001E-2</v>
      </c>
      <c r="BX682" s="319">
        <f t="shared" si="158"/>
        <v>0</v>
      </c>
      <c r="BY682" s="319">
        <f t="shared" si="159"/>
        <v>5.7270000000000001E-2</v>
      </c>
      <c r="BZ682" s="319">
        <f t="shared" si="160"/>
        <v>0</v>
      </c>
      <c r="CA682" s="319">
        <f t="shared" si="161"/>
        <v>0</v>
      </c>
      <c r="CB682" s="319">
        <f t="shared" si="162"/>
        <v>0</v>
      </c>
      <c r="CC682" s="319">
        <f t="shared" si="163"/>
        <v>3.5100000000000002</v>
      </c>
      <c r="CD682" s="319">
        <f t="shared" si="164"/>
        <v>0</v>
      </c>
      <c r="CE682" s="319">
        <f t="shared" si="165"/>
        <v>0</v>
      </c>
      <c r="CF682" s="319">
        <f t="shared" si="166"/>
        <v>0</v>
      </c>
      <c r="CG682" s="319">
        <f t="shared" si="167"/>
        <v>0</v>
      </c>
      <c r="CH682" s="319">
        <f t="shared" si="168"/>
        <v>0</v>
      </c>
      <c r="CI682" s="319">
        <f t="shared" si="169"/>
        <v>0</v>
      </c>
      <c r="CJ682" s="319"/>
      <c r="CK682" s="319">
        <f t="shared" si="170"/>
        <v>0</v>
      </c>
    </row>
    <row r="683" spans="1:89" ht="13.5" hidden="1" customHeight="1">
      <c r="A683" s="12"/>
      <c r="B683" s="329"/>
      <c r="C683" s="83" t="str">
        <f t="shared" si="115"/>
        <v>Maio</v>
      </c>
      <c r="D683" s="339"/>
      <c r="E683" s="339"/>
      <c r="F683" s="1"/>
      <c r="G683" s="1"/>
      <c r="H683" s="1"/>
      <c r="I683" s="1"/>
      <c r="J683" s="1"/>
      <c r="K683" s="9"/>
      <c r="L683" s="1"/>
      <c r="M683" s="319"/>
      <c r="N683" s="319">
        <v>5012026</v>
      </c>
      <c r="O683" s="319"/>
      <c r="P683" s="319"/>
      <c r="Q683" s="319">
        <f>Iniciar!P63</f>
        <v>6.42</v>
      </c>
      <c r="R683" s="319">
        <f>Iniciar!O63</f>
        <v>19.600000000000001</v>
      </c>
      <c r="S683" s="319">
        <f>Iniciar!E63</f>
        <v>0.747</v>
      </c>
      <c r="T683" s="319">
        <f>Iniciar!R63</f>
        <v>2.4</v>
      </c>
      <c r="U683" s="319">
        <v>6</v>
      </c>
      <c r="V683" s="319">
        <v>30</v>
      </c>
      <c r="W683" s="477">
        <f>Iniciar!AA63</f>
        <v>14.815069582176353</v>
      </c>
      <c r="X683" s="477">
        <f>Iniciar!AD63</f>
        <v>0.55344660644068344</v>
      </c>
      <c r="Y683" s="319">
        <f t="shared" si="116"/>
        <v>0.49986998448828346</v>
      </c>
      <c r="Z683" s="319">
        <f t="shared" si="117"/>
        <v>334.59616226088048</v>
      </c>
      <c r="AA683" s="319">
        <f t="shared" si="118"/>
        <v>373.43709016010456</v>
      </c>
      <c r="AB683" s="319">
        <f t="shared" si="119"/>
        <v>0.40104189759075859</v>
      </c>
      <c r="AC683" s="319">
        <f t="shared" si="120"/>
        <v>350.17300168977113</v>
      </c>
      <c r="AD683" s="319">
        <f t="shared" si="121"/>
        <v>280.33343592818159</v>
      </c>
      <c r="AE683" s="319"/>
      <c r="AF683" s="319">
        <f t="shared" si="171"/>
        <v>15.978479452054794</v>
      </c>
      <c r="AG683" s="319"/>
      <c r="AH683" s="319">
        <f t="shared" si="122"/>
        <v>27</v>
      </c>
      <c r="AI683" s="319">
        <f t="shared" si="123"/>
        <v>0.1</v>
      </c>
      <c r="AJ683" s="319">
        <f t="shared" si="124"/>
        <v>0.1</v>
      </c>
      <c r="AK683" s="319">
        <f t="shared" si="125"/>
        <v>0.1</v>
      </c>
      <c r="AL683" s="319">
        <f t="shared" si="126"/>
        <v>1.3462532655088361E-2</v>
      </c>
      <c r="AM683" s="319">
        <f t="shared" si="127"/>
        <v>300.2</v>
      </c>
      <c r="AN683" s="319"/>
      <c r="AO683" s="319">
        <f>getcoszenithangle(Iniciar!Y63,37.5*PI()/180,$U$4)</f>
        <v>0.81052460662075787</v>
      </c>
      <c r="AP683" s="319">
        <f t="shared" si="128"/>
        <v>2.0539252891434514E-2</v>
      </c>
      <c r="AQ683" s="319">
        <f t="shared" si="129"/>
        <v>0</v>
      </c>
      <c r="AR683" s="319">
        <f t="shared" si="130"/>
        <v>0</v>
      </c>
      <c r="AS683" s="319">
        <f t="shared" si="131"/>
        <v>14.815069582176353</v>
      </c>
      <c r="AT683" s="319">
        <f t="shared" si="132"/>
        <v>0</v>
      </c>
      <c r="AU683" s="319"/>
      <c r="AV683" s="319">
        <f t="shared" si="133"/>
        <v>614.07210529022552</v>
      </c>
      <c r="AW683" s="319">
        <f t="shared" si="134"/>
        <v>2146.6789696578949</v>
      </c>
      <c r="AX683" s="319">
        <f t="shared" si="135"/>
        <v>5.7270000000000001E-2</v>
      </c>
      <c r="AY683" s="319">
        <f t="shared" si="136"/>
        <v>0</v>
      </c>
      <c r="AZ683" s="319">
        <f t="shared" si="137"/>
        <v>5.7270000000000001E-2</v>
      </c>
      <c r="BA683" s="319">
        <f t="shared" si="138"/>
        <v>0</v>
      </c>
      <c r="BB683" s="319">
        <f t="shared" si="139"/>
        <v>0</v>
      </c>
      <c r="BC683" s="319">
        <f t="shared" si="140"/>
        <v>0</v>
      </c>
      <c r="BD683" s="319">
        <f t="shared" si="141"/>
        <v>3.5100000000000002</v>
      </c>
      <c r="BE683" s="319">
        <f t="shared" si="142"/>
        <v>0</v>
      </c>
      <c r="BF683" s="319">
        <f t="shared" si="143"/>
        <v>0</v>
      </c>
      <c r="BG683" s="319">
        <f t="shared" si="144"/>
        <v>0</v>
      </c>
      <c r="BH683" s="319">
        <f t="shared" si="145"/>
        <v>0</v>
      </c>
      <c r="BI683" s="319">
        <f t="shared" si="146"/>
        <v>0</v>
      </c>
      <c r="BJ683" s="319">
        <f t="shared" si="147"/>
        <v>0</v>
      </c>
      <c r="BK683" s="319"/>
      <c r="BL683" s="319">
        <f t="shared" si="148"/>
        <v>0</v>
      </c>
      <c r="BM683" s="319"/>
      <c r="BN683" s="319">
        <f t="shared" si="149"/>
        <v>0.1</v>
      </c>
      <c r="BO683" s="319">
        <f t="shared" si="150"/>
        <v>0.1</v>
      </c>
      <c r="BP683" s="319">
        <f t="shared" si="151"/>
        <v>0.1</v>
      </c>
      <c r="BQ683" s="319"/>
      <c r="BR683" s="319">
        <f t="shared" si="152"/>
        <v>0</v>
      </c>
      <c r="BS683" s="319">
        <f t="shared" si="153"/>
        <v>0</v>
      </c>
      <c r="BT683" s="319">
        <f t="shared" si="154"/>
        <v>14.815069582176353</v>
      </c>
      <c r="BU683" s="319">
        <f t="shared" si="155"/>
        <v>0</v>
      </c>
      <c r="BV683" s="319">
        <f t="shared" si="156"/>
        <v>614.07210529022552</v>
      </c>
      <c r="BW683" s="319">
        <f t="shared" si="157"/>
        <v>5.7270000000000001E-2</v>
      </c>
      <c r="BX683" s="319">
        <f t="shared" si="158"/>
        <v>0</v>
      </c>
      <c r="BY683" s="319">
        <f t="shared" si="159"/>
        <v>5.7270000000000001E-2</v>
      </c>
      <c r="BZ683" s="319">
        <f t="shared" si="160"/>
        <v>0</v>
      </c>
      <c r="CA683" s="319">
        <f t="shared" si="161"/>
        <v>0</v>
      </c>
      <c r="CB683" s="319">
        <f t="shared" si="162"/>
        <v>0</v>
      </c>
      <c r="CC683" s="319">
        <f t="shared" si="163"/>
        <v>3.5100000000000002</v>
      </c>
      <c r="CD683" s="319">
        <f t="shared" si="164"/>
        <v>0</v>
      </c>
      <c r="CE683" s="319">
        <f t="shared" si="165"/>
        <v>0</v>
      </c>
      <c r="CF683" s="319">
        <f t="shared" si="166"/>
        <v>0</v>
      </c>
      <c r="CG683" s="319">
        <f t="shared" si="167"/>
        <v>0</v>
      </c>
      <c r="CH683" s="319">
        <f t="shared" si="168"/>
        <v>0</v>
      </c>
      <c r="CI683" s="319">
        <f t="shared" si="169"/>
        <v>0</v>
      </c>
      <c r="CJ683" s="319"/>
      <c r="CK683" s="319">
        <f t="shared" si="170"/>
        <v>0</v>
      </c>
    </row>
    <row r="684" spans="1:89" ht="13.5" hidden="1" customHeight="1">
      <c r="A684" s="12"/>
      <c r="B684" s="329"/>
      <c r="C684" s="83" t="str">
        <f t="shared" si="115"/>
        <v>Junho</v>
      </c>
      <c r="D684" s="339"/>
      <c r="E684" s="339"/>
      <c r="F684" s="1"/>
      <c r="G684" s="1"/>
      <c r="H684" s="1"/>
      <c r="I684" s="1"/>
      <c r="J684" s="1"/>
      <c r="K684" s="9"/>
      <c r="L684" s="1"/>
      <c r="M684" s="319"/>
      <c r="N684" s="319">
        <v>5012026</v>
      </c>
      <c r="O684" s="319"/>
      <c r="P684" s="319"/>
      <c r="Q684" s="319">
        <f>Iniciar!P64</f>
        <v>6.81</v>
      </c>
      <c r="R684" s="319">
        <f>Iniciar!O64</f>
        <v>21.799999999999997</v>
      </c>
      <c r="S684" s="319">
        <f>Iniciar!E64</f>
        <v>0.72599999999999998</v>
      </c>
      <c r="T684" s="319">
        <f>Iniciar!R64</f>
        <v>2.4</v>
      </c>
      <c r="U684" s="319">
        <v>7</v>
      </c>
      <c r="V684" s="319">
        <v>31</v>
      </c>
      <c r="W684" s="477">
        <f>Iniciar!AA64</f>
        <v>14.548996947755207</v>
      </c>
      <c r="X684" s="477">
        <f>Iniciar!AD64</f>
        <v>0.60293729769578608</v>
      </c>
      <c r="Y684" s="319">
        <f t="shared" si="116"/>
        <v>0.40516489874217149</v>
      </c>
      <c r="Z684" s="319">
        <f t="shared" si="117"/>
        <v>349.96661505267184</v>
      </c>
      <c r="AA684" s="319">
        <f t="shared" si="118"/>
        <v>384.98719391999998</v>
      </c>
      <c r="AB684" s="319">
        <f t="shared" si="119"/>
        <v>0.28762263322415749</v>
      </c>
      <c r="AC684" s="319">
        <f t="shared" si="120"/>
        <v>360.03932616352705</v>
      </c>
      <c r="AD684" s="319">
        <f t="shared" si="121"/>
        <v>282.287547316055</v>
      </c>
      <c r="AE684" s="319"/>
      <c r="AF684" s="319">
        <f t="shared" si="171"/>
        <v>17.098479452054793</v>
      </c>
      <c r="AG684" s="319"/>
      <c r="AH684" s="319">
        <f t="shared" si="122"/>
        <v>27</v>
      </c>
      <c r="AI684" s="319">
        <f t="shared" si="123"/>
        <v>0.1</v>
      </c>
      <c r="AJ684" s="319">
        <f t="shared" si="124"/>
        <v>0.1</v>
      </c>
      <c r="AK684" s="319">
        <f t="shared" si="125"/>
        <v>0.1</v>
      </c>
      <c r="AL684" s="319">
        <f t="shared" si="126"/>
        <v>1.3462532655088361E-2</v>
      </c>
      <c r="AM684" s="319">
        <f t="shared" si="127"/>
        <v>300.2</v>
      </c>
      <c r="AN684" s="319"/>
      <c r="AO684" s="319">
        <f>getcoszenithangle(Iniciar!Y64,37.5*PI()/180,$U$4)</f>
        <v>0.79825547757559701</v>
      </c>
      <c r="AP684" s="319">
        <f t="shared" si="128"/>
        <v>2.0627417484880384E-2</v>
      </c>
      <c r="AQ684" s="319">
        <f t="shared" si="129"/>
        <v>0</v>
      </c>
      <c r="AR684" s="319">
        <f t="shared" si="130"/>
        <v>0</v>
      </c>
      <c r="AS684" s="319">
        <f t="shared" si="131"/>
        <v>14.548996947755207</v>
      </c>
      <c r="AT684" s="319">
        <f t="shared" si="132"/>
        <v>0</v>
      </c>
      <c r="AU684" s="319"/>
      <c r="AV684" s="319">
        <f t="shared" si="133"/>
        <v>614.07210529022552</v>
      </c>
      <c r="AW684" s="319">
        <f t="shared" si="134"/>
        <v>2146.6789696578949</v>
      </c>
      <c r="AX684" s="319">
        <f t="shared" si="135"/>
        <v>5.7270000000000001E-2</v>
      </c>
      <c r="AY684" s="319">
        <f t="shared" si="136"/>
        <v>0</v>
      </c>
      <c r="AZ684" s="319">
        <f t="shared" si="137"/>
        <v>5.7270000000000001E-2</v>
      </c>
      <c r="BA684" s="319">
        <f t="shared" si="138"/>
        <v>0</v>
      </c>
      <c r="BB684" s="319">
        <f t="shared" si="139"/>
        <v>0</v>
      </c>
      <c r="BC684" s="319">
        <f t="shared" si="140"/>
        <v>0</v>
      </c>
      <c r="BD684" s="319">
        <f t="shared" si="141"/>
        <v>3.5100000000000002</v>
      </c>
      <c r="BE684" s="319">
        <f t="shared" si="142"/>
        <v>0</v>
      </c>
      <c r="BF684" s="319">
        <f t="shared" si="143"/>
        <v>0</v>
      </c>
      <c r="BG684" s="319">
        <f t="shared" si="144"/>
        <v>0</v>
      </c>
      <c r="BH684" s="319">
        <f t="shared" si="145"/>
        <v>0</v>
      </c>
      <c r="BI684" s="319">
        <f t="shared" si="146"/>
        <v>0</v>
      </c>
      <c r="BJ684" s="319">
        <f t="shared" si="147"/>
        <v>0</v>
      </c>
      <c r="BK684" s="319"/>
      <c r="BL684" s="319">
        <f t="shared" si="148"/>
        <v>0</v>
      </c>
      <c r="BM684" s="319"/>
      <c r="BN684" s="319">
        <f t="shared" si="149"/>
        <v>0.1</v>
      </c>
      <c r="BO684" s="319">
        <f t="shared" si="150"/>
        <v>0.1</v>
      </c>
      <c r="BP684" s="319">
        <f t="shared" si="151"/>
        <v>0.1</v>
      </c>
      <c r="BQ684" s="319"/>
      <c r="BR684" s="319">
        <f t="shared" si="152"/>
        <v>0</v>
      </c>
      <c r="BS684" s="319">
        <f t="shared" si="153"/>
        <v>0</v>
      </c>
      <c r="BT684" s="319">
        <f t="shared" si="154"/>
        <v>14.548996947755207</v>
      </c>
      <c r="BU684" s="319">
        <f t="shared" si="155"/>
        <v>0</v>
      </c>
      <c r="BV684" s="319">
        <f t="shared" si="156"/>
        <v>614.07210529022552</v>
      </c>
      <c r="BW684" s="319">
        <f t="shared" si="157"/>
        <v>5.7270000000000001E-2</v>
      </c>
      <c r="BX684" s="319">
        <f t="shared" si="158"/>
        <v>0</v>
      </c>
      <c r="BY684" s="319">
        <f t="shared" si="159"/>
        <v>5.7270000000000001E-2</v>
      </c>
      <c r="BZ684" s="319">
        <f t="shared" si="160"/>
        <v>0</v>
      </c>
      <c r="CA684" s="319">
        <f t="shared" si="161"/>
        <v>0</v>
      </c>
      <c r="CB684" s="319">
        <f t="shared" si="162"/>
        <v>0</v>
      </c>
      <c r="CC684" s="319">
        <f t="shared" si="163"/>
        <v>3.5100000000000002</v>
      </c>
      <c r="CD684" s="319">
        <f t="shared" si="164"/>
        <v>0</v>
      </c>
      <c r="CE684" s="319">
        <f t="shared" si="165"/>
        <v>0</v>
      </c>
      <c r="CF684" s="319">
        <f t="shared" si="166"/>
        <v>0</v>
      </c>
      <c r="CG684" s="319">
        <f t="shared" si="167"/>
        <v>0</v>
      </c>
      <c r="CH684" s="319">
        <f t="shared" si="168"/>
        <v>0</v>
      </c>
      <c r="CI684" s="319">
        <f t="shared" si="169"/>
        <v>0</v>
      </c>
      <c r="CJ684" s="319"/>
      <c r="CK684" s="319">
        <f t="shared" si="170"/>
        <v>0</v>
      </c>
    </row>
    <row r="685" spans="1:89" ht="12.75" hidden="1" customHeight="1">
      <c r="A685" s="12"/>
      <c r="B685" s="329"/>
      <c r="C685" s="83" t="str">
        <f t="shared" si="115"/>
        <v>Julho</v>
      </c>
      <c r="D685" s="339"/>
      <c r="E685" s="339"/>
      <c r="F685" s="1"/>
      <c r="G685" s="1"/>
      <c r="H685" s="1"/>
      <c r="I685" s="1"/>
      <c r="J685" s="1"/>
      <c r="K685" s="9"/>
      <c r="L685" s="1"/>
      <c r="M685" s="319"/>
      <c r="N685" s="319">
        <v>5012026</v>
      </c>
      <c r="O685" s="319"/>
      <c r="P685" s="319"/>
      <c r="Q685" s="319">
        <f>Iniciar!P65</f>
        <v>6.23</v>
      </c>
      <c r="R685" s="319">
        <f>Iniciar!O65</f>
        <v>21.799999999999997</v>
      </c>
      <c r="S685" s="319">
        <f>Iniciar!E65</f>
        <v>0.71700000000000008</v>
      </c>
      <c r="T685" s="319">
        <f>Iniciar!R65</f>
        <v>2.4</v>
      </c>
      <c r="U685" s="319">
        <v>8</v>
      </c>
      <c r="V685" s="319">
        <v>31</v>
      </c>
      <c r="W685" s="477">
        <f>Iniciar!AA65</f>
        <v>13.555289103181799</v>
      </c>
      <c r="X685" s="477">
        <f>Iniciar!AD65</f>
        <v>0.61455092561351166</v>
      </c>
      <c r="Y685" s="319">
        <f t="shared" si="116"/>
        <v>0.38392971446669638</v>
      </c>
      <c r="Z685" s="319">
        <f t="shared" si="117"/>
        <v>349.96661505267184</v>
      </c>
      <c r="AA685" s="319">
        <f t="shared" si="118"/>
        <v>384.98719391999998</v>
      </c>
      <c r="AB685" s="319">
        <f t="shared" si="119"/>
        <v>0.26219127481041482</v>
      </c>
      <c r="AC685" s="319">
        <f t="shared" si="120"/>
        <v>359.14870527049527</v>
      </c>
      <c r="AD685" s="319">
        <f t="shared" si="121"/>
        <v>282.11281311166141</v>
      </c>
      <c r="AE685" s="319"/>
      <c r="AF685" s="319">
        <f t="shared" si="171"/>
        <v>17.868479452054792</v>
      </c>
      <c r="AG685" s="319"/>
      <c r="AH685" s="319">
        <f t="shared" si="122"/>
        <v>27</v>
      </c>
      <c r="AI685" s="319">
        <f t="shared" si="123"/>
        <v>0.1</v>
      </c>
      <c r="AJ685" s="319">
        <f t="shared" si="124"/>
        <v>0.1</v>
      </c>
      <c r="AK685" s="319">
        <f t="shared" si="125"/>
        <v>0.1</v>
      </c>
      <c r="AL685" s="319">
        <f t="shared" si="126"/>
        <v>1.3462532655088361E-2</v>
      </c>
      <c r="AM685" s="319">
        <f t="shared" si="127"/>
        <v>300.2</v>
      </c>
      <c r="AN685" s="319"/>
      <c r="AO685" s="319">
        <f>getcoszenithangle(Iniciar!Y65,37.5*PI()/180,$U$4)</f>
        <v>0.73951410491988467</v>
      </c>
      <c r="AP685" s="319">
        <f t="shared" si="128"/>
        <v>2.1474935882766E-2</v>
      </c>
      <c r="AQ685" s="319">
        <f t="shared" si="129"/>
        <v>0</v>
      </c>
      <c r="AR685" s="319">
        <f t="shared" si="130"/>
        <v>0</v>
      </c>
      <c r="AS685" s="319">
        <f t="shared" si="131"/>
        <v>13.555289103181799</v>
      </c>
      <c r="AT685" s="319">
        <f t="shared" si="132"/>
        <v>0</v>
      </c>
      <c r="AU685" s="319"/>
      <c r="AV685" s="319">
        <f t="shared" si="133"/>
        <v>614.07210529022552</v>
      </c>
      <c r="AW685" s="319">
        <f t="shared" si="134"/>
        <v>2146.6789696578949</v>
      </c>
      <c r="AX685" s="319">
        <f t="shared" si="135"/>
        <v>5.7270000000000001E-2</v>
      </c>
      <c r="AY685" s="319">
        <f t="shared" si="136"/>
        <v>0</v>
      </c>
      <c r="AZ685" s="319">
        <f t="shared" si="137"/>
        <v>5.7270000000000001E-2</v>
      </c>
      <c r="BA685" s="319">
        <f t="shared" si="138"/>
        <v>0</v>
      </c>
      <c r="BB685" s="319">
        <f t="shared" si="139"/>
        <v>0</v>
      </c>
      <c r="BC685" s="319">
        <f t="shared" si="140"/>
        <v>0</v>
      </c>
      <c r="BD685" s="319">
        <f t="shared" si="141"/>
        <v>3.5100000000000002</v>
      </c>
      <c r="BE685" s="319">
        <f t="shared" si="142"/>
        <v>0</v>
      </c>
      <c r="BF685" s="319">
        <f t="shared" si="143"/>
        <v>0</v>
      </c>
      <c r="BG685" s="319">
        <f t="shared" si="144"/>
        <v>0</v>
      </c>
      <c r="BH685" s="319">
        <f t="shared" si="145"/>
        <v>0</v>
      </c>
      <c r="BI685" s="319">
        <f t="shared" si="146"/>
        <v>0</v>
      </c>
      <c r="BJ685" s="319">
        <f t="shared" si="147"/>
        <v>0</v>
      </c>
      <c r="BK685" s="319"/>
      <c r="BL685" s="319">
        <f t="shared" si="148"/>
        <v>0</v>
      </c>
      <c r="BM685" s="319"/>
      <c r="BN685" s="319">
        <f t="shared" si="149"/>
        <v>0.1</v>
      </c>
      <c r="BO685" s="319">
        <f t="shared" si="150"/>
        <v>0.1</v>
      </c>
      <c r="BP685" s="319">
        <f t="shared" si="151"/>
        <v>0.1</v>
      </c>
      <c r="BQ685" s="319"/>
      <c r="BR685" s="319">
        <f t="shared" si="152"/>
        <v>0</v>
      </c>
      <c r="BS685" s="319">
        <f t="shared" si="153"/>
        <v>0</v>
      </c>
      <c r="BT685" s="319">
        <f t="shared" si="154"/>
        <v>13.555289103181799</v>
      </c>
      <c r="BU685" s="319">
        <f t="shared" si="155"/>
        <v>0</v>
      </c>
      <c r="BV685" s="319">
        <f t="shared" si="156"/>
        <v>614.07210529022552</v>
      </c>
      <c r="BW685" s="319">
        <f t="shared" si="157"/>
        <v>5.7270000000000001E-2</v>
      </c>
      <c r="BX685" s="319">
        <f t="shared" si="158"/>
        <v>0</v>
      </c>
      <c r="BY685" s="319">
        <f t="shared" si="159"/>
        <v>5.7270000000000001E-2</v>
      </c>
      <c r="BZ685" s="319">
        <f t="shared" si="160"/>
        <v>0</v>
      </c>
      <c r="CA685" s="319">
        <f t="shared" si="161"/>
        <v>0</v>
      </c>
      <c r="CB685" s="319">
        <f t="shared" si="162"/>
        <v>0</v>
      </c>
      <c r="CC685" s="319">
        <f t="shared" si="163"/>
        <v>3.5100000000000002</v>
      </c>
      <c r="CD685" s="319">
        <f t="shared" si="164"/>
        <v>0</v>
      </c>
      <c r="CE685" s="319">
        <f t="shared" si="165"/>
        <v>0</v>
      </c>
      <c r="CF685" s="319">
        <f t="shared" si="166"/>
        <v>0</v>
      </c>
      <c r="CG685" s="319">
        <f t="shared" si="167"/>
        <v>0</v>
      </c>
      <c r="CH685" s="319">
        <f t="shared" si="168"/>
        <v>0</v>
      </c>
      <c r="CI685" s="319">
        <f t="shared" si="169"/>
        <v>0</v>
      </c>
      <c r="CJ685" s="319"/>
      <c r="CK685" s="319">
        <f t="shared" si="170"/>
        <v>0</v>
      </c>
    </row>
    <row r="686" spans="1:89" ht="13.5" hidden="1" customHeight="1">
      <c r="A686" s="12"/>
      <c r="B686" s="329"/>
      <c r="C686" s="83" t="str">
        <f t="shared" si="115"/>
        <v>Agosto</v>
      </c>
      <c r="D686" s="339"/>
      <c r="E686" s="339"/>
      <c r="F686" s="1"/>
      <c r="G686" s="1"/>
      <c r="H686" s="1"/>
      <c r="I686" s="1"/>
      <c r="J686" s="1"/>
      <c r="K686" s="9"/>
      <c r="L686" s="1"/>
      <c r="M686" s="319"/>
      <c r="N686" s="319">
        <v>5012026</v>
      </c>
      <c r="O686" s="319"/>
      <c r="P686" s="319"/>
      <c r="Q686" s="319">
        <f>Iniciar!P66</f>
        <v>4.7</v>
      </c>
      <c r="R686" s="319">
        <f>Iniciar!O66</f>
        <v>20.799999999999997</v>
      </c>
      <c r="S686" s="319">
        <f>Iniciar!E66</f>
        <v>0.72400000000000009</v>
      </c>
      <c r="T686" s="319">
        <f>Iniciar!R66</f>
        <v>2.2000000000000002</v>
      </c>
      <c r="U686" s="319">
        <v>9</v>
      </c>
      <c r="V686" s="319">
        <v>30</v>
      </c>
      <c r="W686" s="477">
        <f>Iniciar!AA66</f>
        <v>12.249985993752288</v>
      </c>
      <c r="X686" s="477">
        <f>Iniciar!AD66</f>
        <v>0.5655717519632848</v>
      </c>
      <c r="Y686" s="319">
        <f t="shared" si="116"/>
        <v>0.47631051044311318</v>
      </c>
      <c r="Z686" s="319">
        <f t="shared" si="117"/>
        <v>342.90869979007351</v>
      </c>
      <c r="AA686" s="319">
        <f t="shared" si="118"/>
        <v>379.70442902851198</v>
      </c>
      <c r="AB686" s="319">
        <f t="shared" si="119"/>
        <v>0.37282695861450682</v>
      </c>
      <c r="AC686" s="319">
        <f t="shared" si="120"/>
        <v>356.62713961204344</v>
      </c>
      <c r="AD686" s="319">
        <f t="shared" si="121"/>
        <v>281.61632892310934</v>
      </c>
      <c r="AE686" s="319"/>
      <c r="AF686" s="319">
        <f t="shared" si="171"/>
        <v>17.868479452054792</v>
      </c>
      <c r="AG686" s="319"/>
      <c r="AH686" s="319">
        <f t="shared" si="122"/>
        <v>27</v>
      </c>
      <c r="AI686" s="319">
        <f t="shared" si="123"/>
        <v>0.1</v>
      </c>
      <c r="AJ686" s="319">
        <f t="shared" si="124"/>
        <v>0.1</v>
      </c>
      <c r="AK686" s="319">
        <f t="shared" si="125"/>
        <v>0.1</v>
      </c>
      <c r="AL686" s="319">
        <f t="shared" si="126"/>
        <v>1.3462532655088361E-2</v>
      </c>
      <c r="AM686" s="319">
        <f t="shared" si="127"/>
        <v>300.2</v>
      </c>
      <c r="AN686" s="319"/>
      <c r="AO686" s="319">
        <f>getcoszenithangle(Iniciar!Y66,37.5*PI()/180,$U$4)</f>
        <v>0.63047440611032524</v>
      </c>
      <c r="AP686" s="319">
        <f t="shared" si="128"/>
        <v>2.705018578882875E-2</v>
      </c>
      <c r="AQ686" s="319">
        <f t="shared" si="129"/>
        <v>0</v>
      </c>
      <c r="AR686" s="319">
        <f t="shared" si="130"/>
        <v>0</v>
      </c>
      <c r="AS686" s="319">
        <f t="shared" si="131"/>
        <v>12.249985993752288</v>
      </c>
      <c r="AT686" s="319">
        <f t="shared" si="132"/>
        <v>0</v>
      </c>
      <c r="AU686" s="319"/>
      <c r="AV686" s="319">
        <f t="shared" si="133"/>
        <v>614.07210529022552</v>
      </c>
      <c r="AW686" s="319">
        <f t="shared" si="134"/>
        <v>2146.6789696578949</v>
      </c>
      <c r="AX686" s="319">
        <f t="shared" si="135"/>
        <v>5.7270000000000001E-2</v>
      </c>
      <c r="AY686" s="319">
        <f t="shared" si="136"/>
        <v>0</v>
      </c>
      <c r="AZ686" s="319">
        <f t="shared" si="137"/>
        <v>5.7270000000000001E-2</v>
      </c>
      <c r="BA686" s="319">
        <f t="shared" si="138"/>
        <v>0</v>
      </c>
      <c r="BB686" s="319">
        <f t="shared" si="139"/>
        <v>0</v>
      </c>
      <c r="BC686" s="319">
        <f t="shared" si="140"/>
        <v>0</v>
      </c>
      <c r="BD686" s="319">
        <f t="shared" si="141"/>
        <v>3.5100000000000002</v>
      </c>
      <c r="BE686" s="319">
        <f t="shared" si="142"/>
        <v>0</v>
      </c>
      <c r="BF686" s="319">
        <f t="shared" si="143"/>
        <v>0</v>
      </c>
      <c r="BG686" s="319">
        <f t="shared" si="144"/>
        <v>0</v>
      </c>
      <c r="BH686" s="319">
        <f t="shared" si="145"/>
        <v>0</v>
      </c>
      <c r="BI686" s="319">
        <f t="shared" si="146"/>
        <v>0</v>
      </c>
      <c r="BJ686" s="319">
        <f t="shared" si="147"/>
        <v>0</v>
      </c>
      <c r="BK686" s="319"/>
      <c r="BL686" s="319">
        <f t="shared" si="148"/>
        <v>0</v>
      </c>
      <c r="BM686" s="319"/>
      <c r="BN686" s="319">
        <f t="shared" si="149"/>
        <v>0.1</v>
      </c>
      <c r="BO686" s="319">
        <f t="shared" si="150"/>
        <v>0.1</v>
      </c>
      <c r="BP686" s="319">
        <f t="shared" si="151"/>
        <v>0.1</v>
      </c>
      <c r="BQ686" s="319"/>
      <c r="BR686" s="319">
        <f t="shared" si="152"/>
        <v>0</v>
      </c>
      <c r="BS686" s="319">
        <f t="shared" si="153"/>
        <v>0</v>
      </c>
      <c r="BT686" s="319">
        <f t="shared" si="154"/>
        <v>12.249985993752288</v>
      </c>
      <c r="BU686" s="319">
        <f t="shared" si="155"/>
        <v>0</v>
      </c>
      <c r="BV686" s="319">
        <f t="shared" si="156"/>
        <v>614.07210529022552</v>
      </c>
      <c r="BW686" s="319">
        <f t="shared" si="157"/>
        <v>5.7270000000000001E-2</v>
      </c>
      <c r="BX686" s="319">
        <f t="shared" si="158"/>
        <v>0</v>
      </c>
      <c r="BY686" s="319">
        <f t="shared" si="159"/>
        <v>5.7270000000000001E-2</v>
      </c>
      <c r="BZ686" s="319">
        <f t="shared" si="160"/>
        <v>0</v>
      </c>
      <c r="CA686" s="319">
        <f t="shared" si="161"/>
        <v>0</v>
      </c>
      <c r="CB686" s="319">
        <f t="shared" si="162"/>
        <v>0</v>
      </c>
      <c r="CC686" s="319">
        <f t="shared" si="163"/>
        <v>3.5100000000000002</v>
      </c>
      <c r="CD686" s="319">
        <f t="shared" si="164"/>
        <v>0</v>
      </c>
      <c r="CE686" s="319">
        <f t="shared" si="165"/>
        <v>0</v>
      </c>
      <c r="CF686" s="319">
        <f t="shared" si="166"/>
        <v>0</v>
      </c>
      <c r="CG686" s="319">
        <f t="shared" si="167"/>
        <v>0</v>
      </c>
      <c r="CH686" s="319">
        <f t="shared" si="168"/>
        <v>0</v>
      </c>
      <c r="CI686" s="319">
        <f t="shared" si="169"/>
        <v>0</v>
      </c>
      <c r="CJ686" s="319"/>
      <c r="CK686" s="319">
        <f t="shared" si="170"/>
        <v>0</v>
      </c>
    </row>
    <row r="687" spans="1:89" ht="13.5" hidden="1" customHeight="1">
      <c r="A687" s="12"/>
      <c r="B687" s="329"/>
      <c r="C687" s="83" t="str">
        <f t="shared" si="115"/>
        <v>Setembro</v>
      </c>
      <c r="D687" s="339"/>
      <c r="E687" s="339"/>
      <c r="F687" s="1"/>
      <c r="G687" s="1"/>
      <c r="H687" s="1"/>
      <c r="I687" s="1"/>
      <c r="J687" s="1"/>
      <c r="K687" s="9"/>
      <c r="L687" s="1"/>
      <c r="M687" s="319"/>
      <c r="N687" s="319">
        <v>5012026</v>
      </c>
      <c r="O687" s="319"/>
      <c r="P687" s="319"/>
      <c r="Q687" s="319">
        <f>Iniciar!P67</f>
        <v>3.55</v>
      </c>
      <c r="R687" s="319">
        <f>Iniciar!O67</f>
        <v>17.399999999999999</v>
      </c>
      <c r="S687" s="319">
        <f>Iniciar!E67</f>
        <v>0.77700000000000002</v>
      </c>
      <c r="T687" s="319">
        <f>Iniciar!R67</f>
        <v>2.4</v>
      </c>
      <c r="U687" s="319">
        <v>10</v>
      </c>
      <c r="V687" s="319">
        <v>31</v>
      </c>
      <c r="W687" s="477">
        <f>Iniciar!AA67</f>
        <v>10.904425056107408</v>
      </c>
      <c r="X687" s="477">
        <f>Iniciar!AD67</f>
        <v>0.56990999982115575</v>
      </c>
      <c r="Y687" s="319">
        <f t="shared" si="116"/>
        <v>0.4679098260425737</v>
      </c>
      <c r="Z687" s="319">
        <f t="shared" si="117"/>
        <v>319.792431302534</v>
      </c>
      <c r="AA687" s="319">
        <f t="shared" si="118"/>
        <v>362.14884491986192</v>
      </c>
      <c r="AB687" s="319">
        <f t="shared" si="119"/>
        <v>0.36276625873362117</v>
      </c>
      <c r="AC687" s="319">
        <f t="shared" si="120"/>
        <v>335.15790900386588</v>
      </c>
      <c r="AD687" s="319">
        <f t="shared" si="121"/>
        <v>277.27876009460476</v>
      </c>
      <c r="AE687" s="319"/>
      <c r="AF687" s="319">
        <f t="shared" si="171"/>
        <v>17.518479452054791</v>
      </c>
      <c r="AG687" s="319"/>
      <c r="AH687" s="319">
        <f t="shared" si="122"/>
        <v>27</v>
      </c>
      <c r="AI687" s="319">
        <f t="shared" si="123"/>
        <v>0.1</v>
      </c>
      <c r="AJ687" s="319">
        <f t="shared" si="124"/>
        <v>0.1</v>
      </c>
      <c r="AK687" s="319">
        <f t="shared" si="125"/>
        <v>0.1</v>
      </c>
      <c r="AL687" s="319">
        <f t="shared" si="126"/>
        <v>1.3462532655088361E-2</v>
      </c>
      <c r="AM687" s="319">
        <f t="shared" si="127"/>
        <v>300.2</v>
      </c>
      <c r="AN687" s="319"/>
      <c r="AO687" s="319">
        <f>getcoszenithangle(Iniciar!Y67,37.5*PI()/180,$U$4)</f>
        <v>0.48983987615346197</v>
      </c>
      <c r="AP687" s="319">
        <f t="shared" si="128"/>
        <v>5.4155221153031473E-2</v>
      </c>
      <c r="AQ687" s="319">
        <f t="shared" si="129"/>
        <v>0</v>
      </c>
      <c r="AR687" s="319">
        <f t="shared" si="130"/>
        <v>0</v>
      </c>
      <c r="AS687" s="319">
        <f t="shared" si="131"/>
        <v>10.904425056107408</v>
      </c>
      <c r="AT687" s="319">
        <f t="shared" si="132"/>
        <v>0</v>
      </c>
      <c r="AU687" s="319"/>
      <c r="AV687" s="319">
        <f t="shared" si="133"/>
        <v>614.07210529022552</v>
      </c>
      <c r="AW687" s="319">
        <f t="shared" si="134"/>
        <v>2146.6789696578949</v>
      </c>
      <c r="AX687" s="319">
        <f t="shared" si="135"/>
        <v>5.7270000000000001E-2</v>
      </c>
      <c r="AY687" s="319">
        <f t="shared" si="136"/>
        <v>0</v>
      </c>
      <c r="AZ687" s="319">
        <f t="shared" si="137"/>
        <v>5.7270000000000001E-2</v>
      </c>
      <c r="BA687" s="319">
        <f t="shared" si="138"/>
        <v>0</v>
      </c>
      <c r="BB687" s="319">
        <f t="shared" si="139"/>
        <v>0</v>
      </c>
      <c r="BC687" s="319">
        <f t="shared" si="140"/>
        <v>0</v>
      </c>
      <c r="BD687" s="319">
        <f t="shared" si="141"/>
        <v>3.5100000000000002</v>
      </c>
      <c r="BE687" s="319">
        <f t="shared" si="142"/>
        <v>0</v>
      </c>
      <c r="BF687" s="319">
        <f t="shared" si="143"/>
        <v>0</v>
      </c>
      <c r="BG687" s="319">
        <f t="shared" si="144"/>
        <v>0</v>
      </c>
      <c r="BH687" s="319">
        <f t="shared" si="145"/>
        <v>0</v>
      </c>
      <c r="BI687" s="319">
        <f t="shared" si="146"/>
        <v>0</v>
      </c>
      <c r="BJ687" s="319">
        <f t="shared" si="147"/>
        <v>0</v>
      </c>
      <c r="BK687" s="319"/>
      <c r="BL687" s="319">
        <f t="shared" si="148"/>
        <v>0</v>
      </c>
      <c r="BM687" s="319"/>
      <c r="BN687" s="319">
        <f t="shared" si="149"/>
        <v>0.1</v>
      </c>
      <c r="BO687" s="319">
        <f t="shared" si="150"/>
        <v>0.1</v>
      </c>
      <c r="BP687" s="319">
        <f t="shared" si="151"/>
        <v>0.1</v>
      </c>
      <c r="BQ687" s="319"/>
      <c r="BR687" s="319">
        <f t="shared" si="152"/>
        <v>0</v>
      </c>
      <c r="BS687" s="319">
        <f t="shared" si="153"/>
        <v>0</v>
      </c>
      <c r="BT687" s="319">
        <f t="shared" si="154"/>
        <v>10.904425056107408</v>
      </c>
      <c r="BU687" s="319">
        <f t="shared" si="155"/>
        <v>0</v>
      </c>
      <c r="BV687" s="319">
        <f t="shared" si="156"/>
        <v>614.07210529022552</v>
      </c>
      <c r="BW687" s="319">
        <f t="shared" si="157"/>
        <v>5.7270000000000001E-2</v>
      </c>
      <c r="BX687" s="319">
        <f t="shared" si="158"/>
        <v>0</v>
      </c>
      <c r="BY687" s="319">
        <f t="shared" si="159"/>
        <v>5.7270000000000001E-2</v>
      </c>
      <c r="BZ687" s="319">
        <f t="shared" si="160"/>
        <v>0</v>
      </c>
      <c r="CA687" s="319">
        <f t="shared" si="161"/>
        <v>0</v>
      </c>
      <c r="CB687" s="319">
        <f t="shared" si="162"/>
        <v>0</v>
      </c>
      <c r="CC687" s="319">
        <f t="shared" si="163"/>
        <v>3.5100000000000002</v>
      </c>
      <c r="CD687" s="319">
        <f t="shared" si="164"/>
        <v>0</v>
      </c>
      <c r="CE687" s="319">
        <f t="shared" si="165"/>
        <v>0</v>
      </c>
      <c r="CF687" s="319">
        <f t="shared" si="166"/>
        <v>0</v>
      </c>
      <c r="CG687" s="319">
        <f t="shared" si="167"/>
        <v>0</v>
      </c>
      <c r="CH687" s="319">
        <f t="shared" si="168"/>
        <v>0</v>
      </c>
      <c r="CI687" s="319">
        <f t="shared" si="169"/>
        <v>0</v>
      </c>
      <c r="CJ687" s="319"/>
      <c r="CK687" s="319">
        <f t="shared" si="170"/>
        <v>0</v>
      </c>
    </row>
    <row r="688" spans="1:89" ht="13.5" hidden="1" customHeight="1">
      <c r="A688" s="12"/>
      <c r="B688" s="329"/>
      <c r="C688" s="83" t="str">
        <f t="shared" si="115"/>
        <v>Outubro</v>
      </c>
      <c r="D688" s="339"/>
      <c r="E688" s="339"/>
      <c r="F688" s="1"/>
      <c r="G688" s="1"/>
      <c r="H688" s="1"/>
      <c r="I688" s="1"/>
      <c r="J688" s="1"/>
      <c r="K688" s="9"/>
      <c r="L688" s="1"/>
      <c r="M688" s="319"/>
      <c r="N688" s="319">
        <v>5012026</v>
      </c>
      <c r="O688" s="319"/>
      <c r="P688" s="319"/>
      <c r="Q688" s="319">
        <f>Iniciar!P68</f>
        <v>2.46</v>
      </c>
      <c r="R688" s="319">
        <f>Iniciar!O68</f>
        <v>13</v>
      </c>
      <c r="S688" s="319">
        <f>Iniciar!E68</f>
        <v>0.82200000000000006</v>
      </c>
      <c r="T688" s="319">
        <f>Iniciar!R68</f>
        <v>2.6</v>
      </c>
      <c r="U688" s="319">
        <v>11</v>
      </c>
      <c r="V688" s="319">
        <v>30</v>
      </c>
      <c r="W688" s="477">
        <f>Iniciar!AA68</f>
        <v>9.7560712124877753</v>
      </c>
      <c r="X688" s="477">
        <f>Iniciar!AD68</f>
        <v>0.54262020028088254</v>
      </c>
      <c r="Y688" s="319">
        <f t="shared" si="116"/>
        <v>0.52093224027955543</v>
      </c>
      <c r="Z688" s="319">
        <f t="shared" si="117"/>
        <v>291.81814847494059</v>
      </c>
      <c r="AA688" s="319">
        <f t="shared" si="118"/>
        <v>340.34200837601759</v>
      </c>
      <c r="AB688" s="319">
        <f t="shared" si="119"/>
        <v>0.42626615602341966</v>
      </c>
      <c r="AC688" s="319">
        <f t="shared" si="120"/>
        <v>312.50222771039159</v>
      </c>
      <c r="AD688" s="319">
        <f t="shared" si="121"/>
        <v>272.46926152817883</v>
      </c>
      <c r="AE688" s="319"/>
      <c r="AF688" s="319">
        <f t="shared" si="171"/>
        <v>16.328479452054793</v>
      </c>
      <c r="AG688" s="319"/>
      <c r="AH688" s="319">
        <f t="shared" si="122"/>
        <v>27</v>
      </c>
      <c r="AI688" s="319">
        <f t="shared" si="123"/>
        <v>0.1</v>
      </c>
      <c r="AJ688" s="319">
        <f t="shared" si="124"/>
        <v>0.1</v>
      </c>
      <c r="AK688" s="319">
        <f t="shared" si="125"/>
        <v>0.1</v>
      </c>
      <c r="AL688" s="319">
        <f t="shared" si="126"/>
        <v>1.3462532655088361E-2</v>
      </c>
      <c r="AM688" s="319">
        <f t="shared" si="127"/>
        <v>300.2</v>
      </c>
      <c r="AN688" s="319"/>
      <c r="AO688" s="319">
        <f>getcoszenithangle(Iniciar!Y68,37.5*PI()/180,$U$4)</f>
        <v>0.36404664440194645</v>
      </c>
      <c r="AP688" s="319">
        <f t="shared" si="128"/>
        <v>0.12221061539345576</v>
      </c>
      <c r="AQ688" s="319">
        <f t="shared" si="129"/>
        <v>0</v>
      </c>
      <c r="AR688" s="319">
        <f t="shared" si="130"/>
        <v>0</v>
      </c>
      <c r="AS688" s="319">
        <f t="shared" si="131"/>
        <v>9.7560712124877753</v>
      </c>
      <c r="AT688" s="319">
        <f t="shared" si="132"/>
        <v>0</v>
      </c>
      <c r="AU688" s="319"/>
      <c r="AV688" s="319">
        <f t="shared" si="133"/>
        <v>614.07210529022552</v>
      </c>
      <c r="AW688" s="319">
        <f t="shared" si="134"/>
        <v>2146.6789696578949</v>
      </c>
      <c r="AX688" s="319">
        <f t="shared" si="135"/>
        <v>5.7270000000000001E-2</v>
      </c>
      <c r="AY688" s="319">
        <f t="shared" si="136"/>
        <v>0</v>
      </c>
      <c r="AZ688" s="319">
        <f t="shared" si="137"/>
        <v>5.7270000000000001E-2</v>
      </c>
      <c r="BA688" s="319">
        <f t="shared" si="138"/>
        <v>0</v>
      </c>
      <c r="BB688" s="319">
        <f t="shared" si="139"/>
        <v>0</v>
      </c>
      <c r="BC688" s="319">
        <f t="shared" si="140"/>
        <v>0</v>
      </c>
      <c r="BD688" s="319">
        <f t="shared" si="141"/>
        <v>3.5100000000000002</v>
      </c>
      <c r="BE688" s="319">
        <f t="shared" si="142"/>
        <v>0</v>
      </c>
      <c r="BF688" s="319">
        <f t="shared" si="143"/>
        <v>0</v>
      </c>
      <c r="BG688" s="319">
        <f t="shared" si="144"/>
        <v>0</v>
      </c>
      <c r="BH688" s="319">
        <f t="shared" si="145"/>
        <v>0</v>
      </c>
      <c r="BI688" s="319">
        <f t="shared" si="146"/>
        <v>0</v>
      </c>
      <c r="BJ688" s="319">
        <f t="shared" si="147"/>
        <v>0</v>
      </c>
      <c r="BK688" s="319"/>
      <c r="BL688" s="319">
        <f t="shared" si="148"/>
        <v>0</v>
      </c>
      <c r="BM688" s="319"/>
      <c r="BN688" s="319">
        <f t="shared" si="149"/>
        <v>0.1</v>
      </c>
      <c r="BO688" s="319">
        <f t="shared" si="150"/>
        <v>0.1</v>
      </c>
      <c r="BP688" s="319">
        <f t="shared" si="151"/>
        <v>0.1</v>
      </c>
      <c r="BQ688" s="319"/>
      <c r="BR688" s="319">
        <f t="shared" si="152"/>
        <v>0</v>
      </c>
      <c r="BS688" s="319">
        <f t="shared" si="153"/>
        <v>0</v>
      </c>
      <c r="BT688" s="319">
        <f t="shared" si="154"/>
        <v>9.7560712124877753</v>
      </c>
      <c r="BU688" s="319">
        <f t="shared" si="155"/>
        <v>0</v>
      </c>
      <c r="BV688" s="319">
        <f t="shared" si="156"/>
        <v>614.07210529022552</v>
      </c>
      <c r="BW688" s="319">
        <f t="shared" si="157"/>
        <v>5.7270000000000001E-2</v>
      </c>
      <c r="BX688" s="319">
        <f t="shared" si="158"/>
        <v>0</v>
      </c>
      <c r="BY688" s="319">
        <f t="shared" si="159"/>
        <v>5.7270000000000001E-2</v>
      </c>
      <c r="BZ688" s="319">
        <f t="shared" si="160"/>
        <v>0</v>
      </c>
      <c r="CA688" s="319">
        <f t="shared" si="161"/>
        <v>0</v>
      </c>
      <c r="CB688" s="319">
        <f t="shared" si="162"/>
        <v>0</v>
      </c>
      <c r="CC688" s="319">
        <f t="shared" si="163"/>
        <v>3.5100000000000002</v>
      </c>
      <c r="CD688" s="319">
        <f t="shared" si="164"/>
        <v>0</v>
      </c>
      <c r="CE688" s="319">
        <f t="shared" si="165"/>
        <v>0</v>
      </c>
      <c r="CF688" s="319">
        <f t="shared" si="166"/>
        <v>0</v>
      </c>
      <c r="CG688" s="319">
        <f t="shared" si="167"/>
        <v>0</v>
      </c>
      <c r="CH688" s="319">
        <f t="shared" si="168"/>
        <v>0</v>
      </c>
      <c r="CI688" s="319">
        <f t="shared" si="169"/>
        <v>0</v>
      </c>
      <c r="CJ688" s="319"/>
      <c r="CK688" s="319">
        <f t="shared" si="170"/>
        <v>0</v>
      </c>
    </row>
    <row r="689" spans="1:89" ht="13.5" hidden="1" customHeight="1">
      <c r="A689" s="12"/>
      <c r="B689" s="329"/>
      <c r="C689" s="83" t="str">
        <f t="shared" si="115"/>
        <v>Novembro</v>
      </c>
      <c r="D689" s="339"/>
      <c r="E689" s="339"/>
      <c r="F689" s="1"/>
      <c r="G689" s="1"/>
      <c r="H689" s="1"/>
      <c r="I689" s="1"/>
      <c r="J689" s="1"/>
      <c r="K689" s="9"/>
      <c r="L689" s="1"/>
      <c r="M689" s="319"/>
      <c r="N689" s="319">
        <v>5012026</v>
      </c>
      <c r="O689" s="319"/>
      <c r="P689" s="319"/>
      <c r="Q689" s="319">
        <f>Iniciar!P69</f>
        <v>2.17</v>
      </c>
      <c r="R689" s="319">
        <f>Iniciar!O69</f>
        <v>10.399999999999999</v>
      </c>
      <c r="S689" s="319">
        <f>Iniciar!E69</f>
        <v>0.80500000000000005</v>
      </c>
      <c r="T689" s="319">
        <f>Iniciar!R69</f>
        <v>3</v>
      </c>
      <c r="U689" s="319">
        <v>12</v>
      </c>
      <c r="V689" s="319">
        <v>31</v>
      </c>
      <c r="W689" s="477">
        <f>Iniciar!AA69</f>
        <v>9.1901631086923121</v>
      </c>
      <c r="X689" s="477">
        <f>Iniciar!AD69</f>
        <v>0.57296934687200507</v>
      </c>
      <c r="Y689" s="319">
        <f t="shared" si="116"/>
        <v>0.46199968991911838</v>
      </c>
      <c r="Z689" s="319">
        <f t="shared" si="117"/>
        <v>276.26882471613266</v>
      </c>
      <c r="AA689" s="319">
        <f t="shared" si="118"/>
        <v>327.92818119901682</v>
      </c>
      <c r="AB689" s="319">
        <f t="shared" si="119"/>
        <v>0.35568825140014182</v>
      </c>
      <c r="AC689" s="319">
        <f t="shared" si="120"/>
        <v>294.64345089198633</v>
      </c>
      <c r="AD689" s="319">
        <f t="shared" si="121"/>
        <v>268.49019688934732</v>
      </c>
      <c r="AE689" s="319"/>
      <c r="AF689" s="319">
        <f t="shared" si="171"/>
        <v>14.788479452054794</v>
      </c>
      <c r="AG689" s="319"/>
      <c r="AH689" s="319">
        <f t="shared" si="122"/>
        <v>27</v>
      </c>
      <c r="AI689" s="319">
        <f t="shared" si="123"/>
        <v>0.1</v>
      </c>
      <c r="AJ689" s="319">
        <f t="shared" si="124"/>
        <v>0.1</v>
      </c>
      <c r="AK689" s="319">
        <f t="shared" si="125"/>
        <v>0.1</v>
      </c>
      <c r="AL689" s="319">
        <f t="shared" si="126"/>
        <v>1.3462532655088361E-2</v>
      </c>
      <c r="AM689" s="319">
        <f t="shared" si="127"/>
        <v>300.2</v>
      </c>
      <c r="AN689" s="319"/>
      <c r="AO689" s="319">
        <f>getcoszenithangle(Iniciar!Y69,37.5*PI()/180,$U$4)</f>
        <v>0.30486900633137975</v>
      </c>
      <c r="AP689" s="319">
        <f t="shared" si="128"/>
        <v>0.179310708173685</v>
      </c>
      <c r="AQ689" s="319">
        <f t="shared" si="129"/>
        <v>0</v>
      </c>
      <c r="AR689" s="319">
        <f t="shared" si="130"/>
        <v>0</v>
      </c>
      <c r="AS689" s="319">
        <f t="shared" si="131"/>
        <v>9.1901631086923121</v>
      </c>
      <c r="AT689" s="319">
        <f t="shared" si="132"/>
        <v>0</v>
      </c>
      <c r="AU689" s="319"/>
      <c r="AV689" s="319">
        <f t="shared" si="133"/>
        <v>614.07210529022552</v>
      </c>
      <c r="AW689" s="319">
        <f t="shared" si="134"/>
        <v>2146.6789696578949</v>
      </c>
      <c r="AX689" s="319">
        <f t="shared" si="135"/>
        <v>5.7270000000000001E-2</v>
      </c>
      <c r="AY689" s="319">
        <f t="shared" si="136"/>
        <v>0</v>
      </c>
      <c r="AZ689" s="319">
        <f t="shared" si="137"/>
        <v>5.7270000000000001E-2</v>
      </c>
      <c r="BA689" s="319">
        <f t="shared" si="138"/>
        <v>0</v>
      </c>
      <c r="BB689" s="319">
        <f t="shared" si="139"/>
        <v>0</v>
      </c>
      <c r="BC689" s="319">
        <f t="shared" si="140"/>
        <v>0</v>
      </c>
      <c r="BD689" s="319">
        <f t="shared" si="141"/>
        <v>3.5100000000000002</v>
      </c>
      <c r="BE689" s="319">
        <f t="shared" si="142"/>
        <v>0</v>
      </c>
      <c r="BF689" s="319">
        <f t="shared" si="143"/>
        <v>0</v>
      </c>
      <c r="BG689" s="319">
        <f t="shared" si="144"/>
        <v>0</v>
      </c>
      <c r="BH689" s="319">
        <f t="shared" si="145"/>
        <v>0</v>
      </c>
      <c r="BI689" s="319">
        <f t="shared" si="146"/>
        <v>0</v>
      </c>
      <c r="BJ689" s="319">
        <f t="shared" si="147"/>
        <v>0</v>
      </c>
      <c r="BK689" s="319"/>
      <c r="BL689" s="319">
        <f t="shared" si="148"/>
        <v>0</v>
      </c>
      <c r="BM689" s="319"/>
      <c r="BN689" s="319">
        <f t="shared" si="149"/>
        <v>0.1</v>
      </c>
      <c r="BO689" s="319">
        <f t="shared" si="150"/>
        <v>0.1</v>
      </c>
      <c r="BP689" s="319">
        <f t="shared" si="151"/>
        <v>0.1</v>
      </c>
      <c r="BQ689" s="319"/>
      <c r="BR689" s="319">
        <f t="shared" si="152"/>
        <v>0</v>
      </c>
      <c r="BS689" s="319">
        <f t="shared" si="153"/>
        <v>0</v>
      </c>
      <c r="BT689" s="319">
        <f t="shared" si="154"/>
        <v>9.1901631086923121</v>
      </c>
      <c r="BU689" s="319">
        <f t="shared" si="155"/>
        <v>0</v>
      </c>
      <c r="BV689" s="319">
        <f t="shared" si="156"/>
        <v>614.07210529022552</v>
      </c>
      <c r="BW689" s="319">
        <f t="shared" si="157"/>
        <v>5.7270000000000001E-2</v>
      </c>
      <c r="BX689" s="319">
        <f t="shared" si="158"/>
        <v>0</v>
      </c>
      <c r="BY689" s="319">
        <f t="shared" si="159"/>
        <v>5.7270000000000001E-2</v>
      </c>
      <c r="BZ689" s="319">
        <f t="shared" si="160"/>
        <v>0</v>
      </c>
      <c r="CA689" s="319">
        <f t="shared" si="161"/>
        <v>0</v>
      </c>
      <c r="CB689" s="319">
        <f t="shared" si="162"/>
        <v>0</v>
      </c>
      <c r="CC689" s="319">
        <f t="shared" si="163"/>
        <v>3.5100000000000002</v>
      </c>
      <c r="CD689" s="319">
        <f t="shared" si="164"/>
        <v>0</v>
      </c>
      <c r="CE689" s="319">
        <f t="shared" si="165"/>
        <v>0</v>
      </c>
      <c r="CF689" s="319">
        <f t="shared" si="166"/>
        <v>0</v>
      </c>
      <c r="CG689" s="319">
        <f t="shared" si="167"/>
        <v>0</v>
      </c>
      <c r="CH689" s="319">
        <f t="shared" si="168"/>
        <v>0</v>
      </c>
      <c r="CI689" s="319">
        <f t="shared" si="169"/>
        <v>0</v>
      </c>
      <c r="CJ689" s="319"/>
      <c r="CK689" s="319">
        <f t="shared" si="170"/>
        <v>0</v>
      </c>
    </row>
    <row r="690" spans="1:89" ht="13.2" hidden="1">
      <c r="A690" s="12"/>
      <c r="B690" s="329"/>
      <c r="C690" s="83" t="str">
        <f t="shared" si="115"/>
        <v>Dezembro</v>
      </c>
      <c r="D690" s="339"/>
      <c r="E690" s="339"/>
      <c r="F690" s="1"/>
      <c r="G690" s="1"/>
      <c r="H690" s="1"/>
      <c r="I690" s="1"/>
      <c r="J690" s="1"/>
      <c r="K690" s="9"/>
      <c r="L690" s="1"/>
      <c r="M690" s="319"/>
      <c r="N690" s="319">
        <v>5012026</v>
      </c>
      <c r="O690" s="319"/>
      <c r="P690" s="319"/>
      <c r="Q690" s="319"/>
      <c r="R690" s="319">
        <f>Iniciar!O70</f>
        <v>15.751506849315067</v>
      </c>
      <c r="S690" s="319"/>
      <c r="T690" s="319"/>
      <c r="U690" s="319"/>
      <c r="V690" s="319"/>
      <c r="W690" s="319"/>
      <c r="X690" s="319"/>
      <c r="Y690" s="319"/>
      <c r="Z690" s="319"/>
      <c r="AA690" s="319"/>
      <c r="AB690" s="319"/>
      <c r="AC690" s="319"/>
      <c r="AD690" s="319"/>
      <c r="AE690" s="319"/>
      <c r="AF690" s="319"/>
      <c r="AG690" s="319"/>
      <c r="AH690" s="319"/>
      <c r="AI690" s="319"/>
      <c r="AJ690" s="319"/>
      <c r="AK690" s="319"/>
      <c r="AL690" s="319"/>
      <c r="AM690" s="319"/>
      <c r="AN690" s="319"/>
      <c r="AO690" s="319"/>
      <c r="AP690" s="319"/>
      <c r="AQ690" s="319"/>
      <c r="AR690" s="319"/>
      <c r="AS690" s="319"/>
      <c r="AT690" s="319"/>
      <c r="AU690" s="319"/>
      <c r="AV690" s="319"/>
      <c r="AW690" s="319"/>
      <c r="AX690" s="319"/>
      <c r="AY690" s="319"/>
      <c r="AZ690" s="319"/>
      <c r="BA690" s="319"/>
      <c r="BB690" s="319"/>
      <c r="BC690" s="319"/>
      <c r="BD690" s="319"/>
      <c r="BE690" s="319"/>
      <c r="BF690" s="319"/>
      <c r="BG690" s="319"/>
      <c r="BH690" s="319"/>
      <c r="BI690" s="319"/>
      <c r="BJ690" s="319"/>
      <c r="BK690" s="319"/>
      <c r="BL690" s="319"/>
      <c r="BM690" s="319"/>
      <c r="BN690" s="319"/>
      <c r="BO690" s="319"/>
      <c r="BP690" s="319"/>
      <c r="BQ690" s="319"/>
      <c r="BR690" s="319"/>
      <c r="BS690" s="319"/>
      <c r="BT690" s="319"/>
      <c r="BU690" s="319"/>
      <c r="BV690" s="319"/>
      <c r="BW690" s="319"/>
      <c r="BX690" s="319"/>
      <c r="BY690" s="319"/>
      <c r="BZ690" s="319"/>
      <c r="CA690" s="319"/>
      <c r="CB690" s="319"/>
      <c r="CC690" s="319"/>
      <c r="CD690" s="319"/>
      <c r="CE690" s="319"/>
      <c r="CF690" s="319"/>
      <c r="CG690" s="319"/>
      <c r="CH690" s="319"/>
      <c r="CI690" s="319"/>
      <c r="CJ690" s="319"/>
      <c r="CK690" s="319"/>
    </row>
    <row r="691" spans="1:89" ht="12.75" hidden="1" customHeight="1">
      <c r="A691" s="12"/>
      <c r="B691" s="1"/>
      <c r="C691" s="1"/>
      <c r="D691" s="1"/>
      <c r="E691" s="1"/>
      <c r="F691" s="1"/>
      <c r="G691" s="1"/>
      <c r="H691" s="1"/>
      <c r="I691" s="1"/>
      <c r="J691" s="1"/>
      <c r="K691" s="9"/>
      <c r="L691" s="1"/>
      <c r="M691" s="319"/>
      <c r="N691" s="319">
        <v>5012026</v>
      </c>
      <c r="O691" s="319"/>
      <c r="P691" s="319"/>
      <c r="Q691" s="319"/>
      <c r="R691" s="319"/>
      <c r="S691" s="319"/>
      <c r="T691" s="319"/>
      <c r="U691" s="319"/>
      <c r="V691" s="319"/>
      <c r="W691" s="319"/>
      <c r="X691" s="319"/>
      <c r="Y691" s="319"/>
      <c r="Z691" s="319"/>
      <c r="AA691" s="319"/>
      <c r="AB691" s="319"/>
      <c r="AC691" s="319"/>
      <c r="AD691" s="319"/>
      <c r="AE691" s="319"/>
      <c r="AF691" s="319"/>
      <c r="AG691" s="319"/>
      <c r="AH691" s="319"/>
      <c r="AI691" s="319"/>
      <c r="AJ691" s="319"/>
      <c r="AK691" s="319"/>
      <c r="AL691" s="319"/>
      <c r="AM691" s="319"/>
      <c r="AN691" s="319"/>
      <c r="AO691" s="319"/>
      <c r="AP691" s="319"/>
      <c r="AQ691" s="319"/>
      <c r="AR691" s="319"/>
      <c r="AS691" s="319"/>
      <c r="AT691" s="319"/>
      <c r="AU691" s="319"/>
      <c r="AV691" s="319"/>
      <c r="AW691" s="319"/>
      <c r="AX691" s="319"/>
      <c r="AY691" s="319"/>
      <c r="AZ691" s="319"/>
      <c r="BA691" s="319"/>
      <c r="BB691" s="319"/>
      <c r="BC691" s="319"/>
      <c r="BD691" s="319"/>
      <c r="BE691" s="319"/>
      <c r="BF691" s="319"/>
      <c r="BG691" s="319"/>
      <c r="BH691" s="319"/>
      <c r="BI691" s="319"/>
      <c r="BJ691" s="319"/>
      <c r="BK691" s="319"/>
      <c r="BL691" s="319"/>
      <c r="BM691" s="319"/>
      <c r="BN691" s="319"/>
      <c r="BO691" s="319"/>
      <c r="BP691" s="319"/>
      <c r="BQ691" s="319"/>
      <c r="BR691" s="319"/>
      <c r="BS691" s="319"/>
      <c r="BT691" s="319"/>
      <c r="BU691" s="319"/>
      <c r="BV691" s="319"/>
      <c r="BW691" s="319"/>
      <c r="BX691" s="319"/>
      <c r="BY691" s="319"/>
      <c r="BZ691" s="319"/>
      <c r="CA691" s="319"/>
      <c r="CB691" s="319"/>
      <c r="CC691" s="319"/>
      <c r="CD691" s="319"/>
      <c r="CE691" s="319"/>
      <c r="CF691" s="319"/>
      <c r="CG691" s="319"/>
      <c r="CH691" s="319"/>
      <c r="CI691" s="319"/>
      <c r="CJ691" s="319"/>
      <c r="CK691" s="319"/>
    </row>
    <row r="692" spans="1:89" ht="13.2" hidden="1">
      <c r="A692" s="12"/>
      <c r="B692" s="1" t="str">
        <f>Language!C2010</f>
        <v>Método de avaliação da temperatura de alimentação</v>
      </c>
      <c r="C692" s="1"/>
      <c r="D692" s="421" t="s">
        <v>6133</v>
      </c>
      <c r="E692" s="1"/>
      <c r="F692" s="1"/>
      <c r="G692" s="1"/>
      <c r="H692" s="1"/>
      <c r="I692" s="1"/>
      <c r="J692" s="1"/>
      <c r="K692" s="9"/>
      <c r="L692" s="1"/>
      <c r="M692" s="319">
        <f>IF(D692=$G$1182,1,2)</f>
        <v>1</v>
      </c>
      <c r="N692" s="319">
        <v>4091014</v>
      </c>
      <c r="O692" s="319"/>
      <c r="P692" s="319"/>
      <c r="Q692" s="319"/>
      <c r="R692" s="319"/>
      <c r="S692" s="319"/>
      <c r="T692" s="319"/>
      <c r="U692" s="319"/>
      <c r="V692" s="319"/>
      <c r="W692" s="319"/>
      <c r="X692" s="319"/>
      <c r="Y692" s="319"/>
      <c r="Z692" s="319"/>
      <c r="AA692" s="319"/>
      <c r="AB692" s="319"/>
      <c r="AC692" s="319"/>
      <c r="AD692" s="319"/>
      <c r="AE692" s="319"/>
      <c r="AF692" s="319"/>
      <c r="AG692" s="319"/>
      <c r="AH692" s="319"/>
      <c r="AI692" s="319"/>
      <c r="AJ692" s="319" t="s">
        <v>3842</v>
      </c>
      <c r="AK692" s="319"/>
      <c r="AL692" s="319"/>
      <c r="AM692" s="319"/>
      <c r="AN692" s="319"/>
      <c r="AO692" s="319"/>
      <c r="AP692" s="319"/>
      <c r="AQ692" s="319"/>
      <c r="AR692" s="319"/>
      <c r="AS692" s="319"/>
      <c r="AT692" s="319"/>
      <c r="AU692" s="319"/>
      <c r="AV692" s="319"/>
      <c r="AW692" s="319"/>
      <c r="AX692" s="319"/>
      <c r="AY692" s="319"/>
      <c r="AZ692" s="319"/>
      <c r="BA692" s="319"/>
      <c r="BB692" s="319"/>
      <c r="BC692" s="319"/>
      <c r="BD692" s="319"/>
      <c r="BE692" s="319"/>
      <c r="BF692" s="319"/>
      <c r="BG692" s="319"/>
      <c r="BH692" s="319"/>
      <c r="BI692" s="319"/>
      <c r="BJ692" s="319"/>
      <c r="BK692" s="319"/>
      <c r="BL692" s="319"/>
      <c r="BM692" s="319"/>
      <c r="BN692" s="319"/>
      <c r="BO692" s="319"/>
      <c r="BP692" s="319"/>
      <c r="BQ692" s="319"/>
      <c r="BR692" s="319"/>
      <c r="BS692" s="319"/>
      <c r="BT692" s="319"/>
      <c r="BU692" s="319"/>
      <c r="BV692" s="319"/>
      <c r="BW692" s="319"/>
      <c r="BX692" s="319"/>
      <c r="BY692" s="319"/>
      <c r="BZ692" s="319"/>
      <c r="CA692" s="319"/>
      <c r="CB692" s="319"/>
      <c r="CC692" s="319"/>
      <c r="CD692" s="319"/>
      <c r="CE692" s="319"/>
      <c r="CF692" s="319"/>
      <c r="CG692" s="319"/>
      <c r="CH692" s="319"/>
      <c r="CI692" s="319"/>
      <c r="CJ692" s="319"/>
      <c r="CK692" s="319"/>
    </row>
    <row r="693" spans="1:89" ht="13.5" hidden="1" customHeight="1">
      <c r="A693" s="12"/>
      <c r="B693" s="1" t="str">
        <f>B726</f>
        <v>Temperatura da água - mínima</v>
      </c>
      <c r="C693" s="100" t="str">
        <f>C673</f>
        <v>°C</v>
      </c>
      <c r="D693" s="36">
        <f>IF(OR($C$673=$C$1178,$C$673=""),R693,R693*1.8+32)</f>
        <v>13.738479452054793</v>
      </c>
      <c r="E693" s="1"/>
      <c r="F693" s="1"/>
      <c r="G693" s="1"/>
      <c r="H693" s="1"/>
      <c r="I693" s="1"/>
      <c r="J693" s="1"/>
      <c r="K693" s="9"/>
      <c r="L693" s="1"/>
      <c r="M693" s="319"/>
      <c r="N693" s="319">
        <v>4091016</v>
      </c>
      <c r="O693" s="319"/>
      <c r="P693" s="319"/>
      <c r="Q693" s="319"/>
      <c r="R693" s="319">
        <f>MIN($AF$678:$AF$689)</f>
        <v>13.738479452054793</v>
      </c>
      <c r="S693" s="319"/>
      <c r="T693" s="319"/>
      <c r="U693" s="319"/>
      <c r="V693" s="319"/>
      <c r="W693" s="319"/>
      <c r="X693" s="319"/>
      <c r="Y693" s="319"/>
      <c r="Z693" s="319"/>
      <c r="AA693" s="319"/>
      <c r="AB693" s="319"/>
      <c r="AC693" s="319"/>
      <c r="AD693" s="319"/>
      <c r="AE693" s="319"/>
      <c r="AF693" s="319"/>
      <c r="AG693" s="319"/>
      <c r="AH693" s="319"/>
      <c r="AI693" s="319"/>
      <c r="AJ693" s="319" t="s">
        <v>2053</v>
      </c>
      <c r="AK693" s="319">
        <f>IF(M692=1,(R693+R694)/2,(R695+R696)/2)</f>
        <v>15.803479452054793</v>
      </c>
      <c r="AL693" s="319"/>
      <c r="AM693" s="319"/>
      <c r="AN693" s="319"/>
      <c r="AO693" s="319"/>
      <c r="AP693" s="319"/>
      <c r="AQ693" s="319"/>
      <c r="AR693" s="319"/>
      <c r="AS693" s="319"/>
      <c r="AT693" s="319"/>
      <c r="AU693" s="319"/>
      <c r="AV693" s="319"/>
      <c r="AW693" s="319"/>
      <c r="AX693" s="319"/>
      <c r="AY693" s="319"/>
      <c r="AZ693" s="319"/>
      <c r="BA693" s="319"/>
      <c r="BB693" s="319"/>
      <c r="BC693" s="319"/>
      <c r="BD693" s="319"/>
      <c r="BE693" s="319"/>
      <c r="BF693" s="319"/>
      <c r="BG693" s="319"/>
      <c r="BH693" s="319"/>
      <c r="BI693" s="319"/>
      <c r="BJ693" s="319"/>
      <c r="BK693" s="319"/>
      <c r="BL693" s="319"/>
      <c r="BM693" s="319"/>
      <c r="BN693" s="319"/>
      <c r="BO693" s="319"/>
      <c r="BP693" s="319"/>
      <c r="BQ693" s="319"/>
      <c r="BR693" s="319"/>
      <c r="BS693" s="319"/>
      <c r="BT693" s="319"/>
      <c r="BU693" s="319"/>
      <c r="BV693" s="319"/>
      <c r="BW693" s="319"/>
      <c r="BX693" s="319"/>
      <c r="BY693" s="319"/>
      <c r="BZ693" s="319"/>
      <c r="CA693" s="319"/>
      <c r="CB693" s="319"/>
      <c r="CC693" s="319"/>
      <c r="CD693" s="319"/>
      <c r="CE693" s="319"/>
      <c r="CF693" s="319"/>
      <c r="CG693" s="319"/>
      <c r="CH693" s="319"/>
      <c r="CI693" s="319"/>
      <c r="CJ693" s="319"/>
      <c r="CK693" s="319"/>
    </row>
    <row r="694" spans="1:89" ht="12.75" hidden="1" customHeight="1">
      <c r="A694" s="12"/>
      <c r="B694" s="1" t="str">
        <f>B727</f>
        <v>Temperatura da água - máxima</v>
      </c>
      <c r="C694" s="29" t="str">
        <f>C693</f>
        <v>°C</v>
      </c>
      <c r="D694" s="36">
        <f>IF(OR($C$673=$C$1178,$C$673=""),R694,R694*1.8+32)</f>
        <v>17.868479452054792</v>
      </c>
      <c r="E694" s="1"/>
      <c r="F694" s="1"/>
      <c r="G694" s="1"/>
      <c r="H694" s="1"/>
      <c r="I694" s="1"/>
      <c r="J694" s="1"/>
      <c r="K694" s="9"/>
      <c r="L694" s="1"/>
      <c r="M694" s="319"/>
      <c r="N694" s="319">
        <v>4091018</v>
      </c>
      <c r="O694" s="319"/>
      <c r="P694" s="319"/>
      <c r="Q694" s="319"/>
      <c r="R694" s="319">
        <f>MAX($AF$678:$AF$689)</f>
        <v>17.868479452054792</v>
      </c>
      <c r="S694" s="319"/>
      <c r="T694" s="319"/>
      <c r="U694" s="319"/>
      <c r="V694" s="319"/>
      <c r="W694" s="319"/>
      <c r="X694" s="319"/>
      <c r="Y694" s="319"/>
      <c r="Z694" s="319"/>
      <c r="AA694" s="319"/>
      <c r="AB694" s="319"/>
      <c r="AC694" s="319"/>
      <c r="AD694" s="319"/>
      <c r="AE694" s="319"/>
      <c r="AF694" s="319"/>
      <c r="AG694" s="319"/>
      <c r="AH694" s="319"/>
      <c r="AI694" s="319"/>
      <c r="AJ694" s="319" t="s">
        <v>2054</v>
      </c>
      <c r="AK694" s="319">
        <f>IF(M692=1,(R694-R693)/2,(R696-R695)/2)</f>
        <v>2.0649999999999995</v>
      </c>
      <c r="AL694" s="319"/>
      <c r="AM694" s="319"/>
      <c r="AN694" s="319"/>
      <c r="AO694" s="319"/>
      <c r="AP694" s="319"/>
      <c r="AQ694" s="319"/>
      <c r="AR694" s="319"/>
      <c r="AS694" s="319"/>
      <c r="AT694" s="319"/>
      <c r="AU694" s="319"/>
      <c r="AV694" s="319"/>
      <c r="AW694" s="319"/>
      <c r="AX694" s="319"/>
      <c r="AY694" s="319"/>
      <c r="AZ694" s="319"/>
      <c r="BA694" s="319"/>
      <c r="BB694" s="319"/>
      <c r="BC694" s="319"/>
      <c r="BD694" s="319"/>
      <c r="BE694" s="319"/>
      <c r="BF694" s="319"/>
      <c r="BG694" s="319"/>
      <c r="BH694" s="319"/>
      <c r="BI694" s="319"/>
      <c r="BJ694" s="319"/>
      <c r="BK694" s="319"/>
      <c r="BL694" s="319"/>
      <c r="BM694" s="319"/>
      <c r="BN694" s="319"/>
      <c r="BO694" s="319"/>
      <c r="BP694" s="319"/>
      <c r="BQ694" s="319"/>
      <c r="BR694" s="319"/>
      <c r="BS694" s="319"/>
      <c r="BT694" s="319"/>
      <c r="BU694" s="319"/>
      <c r="BV694" s="319"/>
      <c r="BW694" s="319"/>
      <c r="BX694" s="319"/>
      <c r="BY694" s="319"/>
      <c r="BZ694" s="319"/>
      <c r="CA694" s="319"/>
      <c r="CB694" s="319"/>
      <c r="CC694" s="319"/>
      <c r="CD694" s="319"/>
      <c r="CE694" s="319"/>
      <c r="CF694" s="319"/>
      <c r="CG694" s="319"/>
      <c r="CH694" s="319"/>
      <c r="CI694" s="319"/>
      <c r="CJ694" s="319"/>
      <c r="CK694" s="319"/>
    </row>
    <row r="695" spans="1:89" ht="13.5" hidden="1" customHeight="1">
      <c r="A695" s="12"/>
      <c r="B695" s="1" t="str">
        <f>B726</f>
        <v>Temperatura da água - mínima</v>
      </c>
      <c r="C695" s="303" t="s">
        <v>5568</v>
      </c>
      <c r="D695" s="382"/>
      <c r="E695" s="1"/>
      <c r="F695" s="1"/>
      <c r="G695" s="1"/>
      <c r="H695" s="1"/>
      <c r="I695" s="1"/>
      <c r="J695" s="1"/>
      <c r="K695" s="9"/>
      <c r="L695" s="1"/>
      <c r="M695" s="319"/>
      <c r="N695" s="319">
        <v>4091016</v>
      </c>
      <c r="O695" s="319"/>
      <c r="P695" s="319"/>
      <c r="Q695" s="319"/>
      <c r="R695" s="319">
        <f>IF(OR($C695=$C$1178,$C695=""),D695,(D695-32)/1.8)</f>
        <v>0</v>
      </c>
      <c r="S695" s="319"/>
      <c r="T695" s="319"/>
      <c r="U695" s="319"/>
      <c r="V695" s="319"/>
      <c r="W695" s="319"/>
      <c r="X695" s="319"/>
      <c r="Y695" s="319"/>
      <c r="Z695" s="319"/>
      <c r="AA695" s="319"/>
      <c r="AB695" s="319"/>
      <c r="AC695" s="319"/>
      <c r="AD695" s="319"/>
      <c r="AE695" s="319"/>
      <c r="AF695" s="319"/>
      <c r="AG695" s="319"/>
      <c r="AH695" s="319"/>
      <c r="AI695" s="319"/>
      <c r="AJ695" s="319" t="s">
        <v>2720</v>
      </c>
      <c r="AK695" s="319">
        <f>IF($T$4&gt;0,1,-1)</f>
        <v>1</v>
      </c>
      <c r="AL695" s="319"/>
      <c r="AM695" s="319"/>
      <c r="AN695" s="319"/>
      <c r="AO695" s="319"/>
      <c r="AP695" s="319"/>
      <c r="AQ695" s="319"/>
      <c r="AR695" s="319"/>
      <c r="AS695" s="319"/>
      <c r="AT695" s="319"/>
      <c r="AU695" s="319"/>
      <c r="AV695" s="319"/>
      <c r="AW695" s="319"/>
      <c r="AX695" s="319"/>
      <c r="AY695" s="319"/>
      <c r="AZ695" s="319"/>
      <c r="BA695" s="319"/>
      <c r="BB695" s="319"/>
      <c r="BC695" s="319"/>
      <c r="BD695" s="319"/>
      <c r="BE695" s="319"/>
      <c r="BF695" s="319"/>
      <c r="BG695" s="319"/>
      <c r="BH695" s="319"/>
      <c r="BI695" s="319"/>
      <c r="BJ695" s="319"/>
      <c r="BK695" s="319"/>
      <c r="BL695" s="319"/>
      <c r="BM695" s="319"/>
      <c r="BN695" s="319"/>
      <c r="BO695" s="319"/>
      <c r="BP695" s="319"/>
      <c r="BQ695" s="319"/>
      <c r="BR695" s="319"/>
      <c r="BS695" s="319"/>
      <c r="BT695" s="319"/>
      <c r="BU695" s="319"/>
      <c r="BV695" s="319"/>
      <c r="BW695" s="319"/>
      <c r="BX695" s="319"/>
      <c r="BY695" s="319"/>
      <c r="BZ695" s="319"/>
      <c r="CA695" s="319"/>
      <c r="CB695" s="319"/>
      <c r="CC695" s="319"/>
      <c r="CD695" s="319"/>
      <c r="CE695" s="319"/>
      <c r="CF695" s="319"/>
      <c r="CG695" s="319"/>
      <c r="CH695" s="319"/>
      <c r="CI695" s="319"/>
      <c r="CJ695" s="319"/>
      <c r="CK695" s="319"/>
    </row>
    <row r="696" spans="1:89" ht="12.75" hidden="1" customHeight="1">
      <c r="A696" s="12"/>
      <c r="B696" s="1" t="str">
        <f>B727</f>
        <v>Temperatura da água - máxima</v>
      </c>
      <c r="C696" s="29" t="str">
        <f>C695</f>
        <v>°C</v>
      </c>
      <c r="D696" s="382"/>
      <c r="E696" s="1"/>
      <c r="F696" s="1"/>
      <c r="G696" s="1"/>
      <c r="H696" s="1"/>
      <c r="I696" s="1"/>
      <c r="J696" s="1"/>
      <c r="K696" s="9"/>
      <c r="L696" s="1"/>
      <c r="M696" s="319"/>
      <c r="N696" s="319">
        <v>4091018</v>
      </c>
      <c r="O696" s="319"/>
      <c r="P696" s="319"/>
      <c r="Q696" s="319"/>
      <c r="R696" s="319">
        <f>IF(OR($C696=$C$1178,$C696=""),D696,(D696-32)/1.8)</f>
        <v>0</v>
      </c>
      <c r="S696" s="319"/>
      <c r="T696" s="319"/>
      <c r="U696" s="319"/>
      <c r="V696" s="319"/>
      <c r="W696" s="319"/>
      <c r="X696" s="319"/>
      <c r="Y696" s="319"/>
      <c r="Z696" s="319"/>
      <c r="AA696" s="319"/>
      <c r="AB696" s="319"/>
      <c r="AC696" s="319"/>
      <c r="AD696" s="319"/>
      <c r="AE696" s="319"/>
      <c r="AF696" s="319"/>
      <c r="AG696" s="319"/>
      <c r="AH696" s="319"/>
      <c r="AI696" s="319"/>
      <c r="AJ696" s="319"/>
      <c r="AK696" s="319"/>
      <c r="AL696" s="319"/>
      <c r="AM696" s="319"/>
      <c r="AN696" s="319"/>
      <c r="AO696" s="319"/>
      <c r="AP696" s="319"/>
      <c r="AQ696" s="319"/>
      <c r="AR696" s="319"/>
      <c r="AS696" s="319"/>
      <c r="AT696" s="319"/>
      <c r="AU696" s="319"/>
      <c r="AV696" s="319"/>
      <c r="AW696" s="319"/>
      <c r="AX696" s="319"/>
      <c r="AY696" s="319"/>
      <c r="AZ696" s="319"/>
      <c r="BA696" s="319"/>
      <c r="BB696" s="319"/>
      <c r="BC696" s="319"/>
      <c r="BD696" s="319"/>
      <c r="BE696" s="319"/>
      <c r="BF696" s="319"/>
      <c r="BG696" s="319"/>
      <c r="BH696" s="319"/>
      <c r="BI696" s="319"/>
      <c r="BJ696" s="319"/>
      <c r="BK696" s="319"/>
      <c r="BL696" s="319"/>
      <c r="BM696" s="319"/>
      <c r="BN696" s="319"/>
      <c r="BO696" s="319"/>
      <c r="BP696" s="319"/>
      <c r="BQ696" s="319"/>
      <c r="BR696" s="319"/>
      <c r="BS696" s="319"/>
      <c r="BT696" s="319"/>
      <c r="BU696" s="319"/>
      <c r="BV696" s="319"/>
      <c r="BW696" s="319"/>
      <c r="BX696" s="319"/>
      <c r="BY696" s="319"/>
      <c r="BZ696" s="319"/>
      <c r="CA696" s="319"/>
      <c r="CB696" s="319"/>
      <c r="CC696" s="319"/>
      <c r="CD696" s="319"/>
      <c r="CE696" s="319"/>
      <c r="CF696" s="319"/>
      <c r="CG696" s="319"/>
      <c r="CH696" s="319"/>
      <c r="CI696" s="319"/>
      <c r="CJ696" s="319"/>
      <c r="CK696" s="319"/>
    </row>
    <row r="697" spans="1:89" ht="25.5" hidden="1" customHeight="1">
      <c r="A697" s="12"/>
      <c r="B697" s="1"/>
      <c r="C697" s="45" t="str">
        <f>C221</f>
        <v>Unidade</v>
      </c>
      <c r="D697" s="82" t="str">
        <f>D221</f>
        <v>Caso de referência</v>
      </c>
      <c r="E697" s="82" t="str">
        <f>E221</f>
        <v>Caso proposto</v>
      </c>
      <c r="F697" s="82" t="str">
        <f>F576</f>
        <v>Economia de energia</v>
      </c>
      <c r="G697" s="82" t="str">
        <f>G244</f>
        <v>Custo inicial incremental</v>
      </c>
      <c r="H697" s="1"/>
      <c r="I697" s="1"/>
      <c r="J697" s="1"/>
      <c r="K697" s="9"/>
      <c r="L697" s="1"/>
      <c r="M697" s="319"/>
      <c r="N697" s="319">
        <v>5080030</v>
      </c>
      <c r="O697" s="319"/>
      <c r="P697" s="319"/>
      <c r="Q697" s="319" t="s">
        <v>2745</v>
      </c>
      <c r="R697" s="319">
        <f>IF($Q$675=TRUE,SUMPRODUCT(D679:D690,CK678:CK689),SUM(CK678:CK689))/3600</f>
        <v>0</v>
      </c>
      <c r="S697" s="319">
        <f>IF($Q$675=TRUE,SUMPRODUCT(E679:E690,BL678:BL689),SUM(BL678:BL689))/3600</f>
        <v>0</v>
      </c>
      <c r="T697" s="319">
        <f>G698</f>
        <v>0</v>
      </c>
      <c r="U697" s="319"/>
      <c r="V697" s="319"/>
      <c r="W697" s="319"/>
      <c r="X697" s="319"/>
      <c r="Y697" s="319"/>
      <c r="Z697" s="319"/>
      <c r="AA697" s="319"/>
      <c r="AB697" s="319"/>
      <c r="AC697" s="319"/>
      <c r="AD697" s="319"/>
      <c r="AE697" s="319"/>
      <c r="AF697" s="319"/>
      <c r="AG697" s="319"/>
      <c r="AH697" s="319"/>
      <c r="AI697" s="319"/>
      <c r="AJ697" s="319"/>
      <c r="AK697" s="319"/>
      <c r="AL697" s="319"/>
      <c r="AM697" s="319"/>
      <c r="AN697" s="319"/>
      <c r="AO697" s="319"/>
      <c r="AP697" s="319"/>
      <c r="AQ697" s="319"/>
      <c r="AR697" s="319"/>
      <c r="AS697" s="319"/>
      <c r="AT697" s="319"/>
      <c r="AU697" s="319"/>
      <c r="AV697" s="319"/>
      <c r="AW697" s="319"/>
      <c r="AX697" s="319"/>
      <c r="AY697" s="319"/>
      <c r="AZ697" s="319"/>
      <c r="BA697" s="319"/>
      <c r="BB697" s="319"/>
      <c r="BC697" s="319"/>
      <c r="BD697" s="319"/>
      <c r="BE697" s="319"/>
      <c r="BF697" s="319"/>
      <c r="BG697" s="319"/>
      <c r="BH697" s="319"/>
      <c r="BI697" s="319"/>
      <c r="BJ697" s="319"/>
      <c r="BK697" s="319"/>
      <c r="BL697" s="319"/>
      <c r="BM697" s="319"/>
      <c r="BN697" s="319"/>
      <c r="BO697" s="319"/>
      <c r="BP697" s="319"/>
      <c r="BQ697" s="319"/>
      <c r="BR697" s="319"/>
      <c r="BS697" s="319"/>
      <c r="BT697" s="319"/>
      <c r="BU697" s="319"/>
      <c r="BV697" s="319"/>
      <c r="BW697" s="319"/>
      <c r="BX697" s="319"/>
      <c r="BY697" s="319"/>
      <c r="BZ697" s="319"/>
      <c r="CA697" s="319"/>
      <c r="CB697" s="319"/>
      <c r="CC697" s="319"/>
      <c r="CD697" s="319"/>
      <c r="CE697" s="319"/>
      <c r="CF697" s="319"/>
      <c r="CG697" s="319"/>
      <c r="CH697" s="319"/>
      <c r="CI697" s="319"/>
      <c r="CJ697" s="319"/>
      <c r="CK697" s="319"/>
    </row>
    <row r="698" spans="1:89" ht="13.5" hidden="1" customHeight="1">
      <c r="A698" s="12"/>
      <c r="B698" s="1" t="str">
        <f>B577</f>
        <v>Demanda de calor</v>
      </c>
      <c r="C698" s="29" t="str">
        <f>C577</f>
        <v>MWh</v>
      </c>
      <c r="D698" s="140">
        <f>IF(Unit=TRUE,1,$K$1185)*R697</f>
        <v>0</v>
      </c>
      <c r="E698" s="140">
        <f>IF(Unit=TRUE,1,$K$1185)*S697</f>
        <v>0</v>
      </c>
      <c r="F698" s="40" t="e">
        <f>1-S697/R697</f>
        <v>#DIV/0!</v>
      </c>
      <c r="G698" s="1346"/>
      <c r="H698" s="1"/>
      <c r="I698" s="1"/>
      <c r="J698" s="1"/>
      <c r="K698" s="9"/>
      <c r="L698" s="1"/>
      <c r="M698" s="319"/>
      <c r="N698" s="319">
        <v>5080030</v>
      </c>
      <c r="O698" s="319"/>
      <c r="P698" s="319"/>
      <c r="Q698" s="319"/>
      <c r="R698" s="319"/>
      <c r="S698" s="319"/>
      <c r="T698" s="319"/>
      <c r="U698" s="319"/>
      <c r="V698" s="319"/>
      <c r="W698" s="319"/>
      <c r="X698" s="319"/>
      <c r="Y698" s="319"/>
      <c r="Z698" s="319"/>
      <c r="AA698" s="319"/>
      <c r="AB698" s="319"/>
      <c r="AC698" s="319"/>
      <c r="AD698" s="319"/>
      <c r="AE698" s="319"/>
      <c r="AF698" s="319"/>
      <c r="AG698" s="319"/>
      <c r="AH698" s="319"/>
      <c r="AI698" s="319"/>
      <c r="AJ698" s="319"/>
      <c r="AK698" s="319"/>
      <c r="AL698" s="319"/>
      <c r="AM698" s="319"/>
      <c r="AN698" s="319"/>
      <c r="AO698" s="319"/>
      <c r="AP698" s="319"/>
      <c r="AQ698" s="319"/>
      <c r="AR698" s="319"/>
      <c r="AS698" s="319"/>
      <c r="AT698" s="319"/>
      <c r="AU698" s="319"/>
      <c r="AV698" s="319"/>
      <c r="AW698" s="319"/>
      <c r="AX698" s="319"/>
      <c r="AY698" s="319"/>
      <c r="AZ698" s="319"/>
      <c r="BA698" s="319"/>
      <c r="BB698" s="319"/>
      <c r="BC698" s="319"/>
      <c r="BD698" s="319"/>
      <c r="BE698" s="319"/>
      <c r="BF698" s="319"/>
      <c r="BG698" s="319"/>
      <c r="BH698" s="319"/>
      <c r="BI698" s="319"/>
      <c r="BJ698" s="319"/>
      <c r="BK698" s="319"/>
      <c r="BL698" s="319"/>
      <c r="BM698" s="319"/>
      <c r="BN698" s="319"/>
      <c r="BO698" s="319"/>
      <c r="BP698" s="319"/>
      <c r="BQ698" s="319"/>
      <c r="BR698" s="319"/>
      <c r="BS698" s="319"/>
      <c r="BT698" s="319"/>
      <c r="BU698" s="319"/>
      <c r="BV698" s="319"/>
      <c r="BW698" s="319"/>
      <c r="BX698" s="319"/>
      <c r="BY698" s="319"/>
      <c r="BZ698" s="319"/>
      <c r="CA698" s="319"/>
      <c r="CB698" s="319"/>
      <c r="CC698" s="319"/>
      <c r="CD698" s="319"/>
      <c r="CE698" s="319"/>
      <c r="CF698" s="319"/>
      <c r="CG698" s="319"/>
      <c r="CH698" s="319"/>
      <c r="CI698" s="319"/>
      <c r="CJ698" s="319"/>
      <c r="CK698" s="319"/>
    </row>
    <row r="699" spans="1:89" ht="13.5" hidden="1" customHeight="1">
      <c r="A699" s="12"/>
      <c r="B699" s="1"/>
      <c r="C699" s="1"/>
      <c r="D699" s="1"/>
      <c r="E699" s="1"/>
      <c r="F699" s="1"/>
      <c r="G699" s="1"/>
      <c r="H699" s="1"/>
      <c r="I699" s="1"/>
      <c r="J699" s="1"/>
      <c r="K699" s="9"/>
      <c r="L699" s="1"/>
      <c r="M699" s="319"/>
      <c r="N699" s="319">
        <v>5080030</v>
      </c>
      <c r="O699" s="319"/>
      <c r="P699" s="319"/>
      <c r="Q699" s="319"/>
      <c r="R699" s="319"/>
      <c r="S699" s="319"/>
      <c r="T699" s="319"/>
      <c r="U699" s="319"/>
      <c r="V699" s="319"/>
      <c r="W699" s="319"/>
      <c r="X699" s="319"/>
      <c r="Y699" s="319"/>
      <c r="Z699" s="319"/>
      <c r="AA699" s="319"/>
      <c r="AB699" s="319"/>
      <c r="AC699" s="319"/>
      <c r="AD699" s="319"/>
      <c r="AE699" s="319"/>
      <c r="AF699" s="319"/>
      <c r="AG699" s="319"/>
      <c r="AH699" s="319"/>
      <c r="AI699" s="319"/>
      <c r="AJ699" s="319"/>
      <c r="AK699" s="319"/>
      <c r="AL699" s="319"/>
      <c r="AM699" s="319"/>
      <c r="AN699" s="319"/>
      <c r="AO699" s="319"/>
      <c r="AP699" s="319"/>
      <c r="AQ699" s="319"/>
      <c r="AR699" s="319"/>
      <c r="AS699" s="319"/>
      <c r="AT699" s="319"/>
      <c r="AU699" s="319"/>
      <c r="AV699" s="319"/>
      <c r="AW699" s="319"/>
      <c r="AX699" s="319"/>
      <c r="AY699" s="319"/>
      <c r="AZ699" s="319"/>
      <c r="BA699" s="319"/>
      <c r="BB699" s="319"/>
      <c r="BC699" s="319"/>
      <c r="BD699" s="319"/>
      <c r="BE699" s="319"/>
      <c r="BF699" s="319"/>
      <c r="BG699" s="319"/>
      <c r="BH699" s="319"/>
      <c r="BI699" s="319"/>
      <c r="BJ699" s="319"/>
      <c r="BK699" s="319"/>
      <c r="BL699" s="319"/>
      <c r="BM699" s="319"/>
      <c r="BN699" s="319"/>
      <c r="BO699" s="319"/>
      <c r="BP699" s="319"/>
      <c r="BQ699" s="319"/>
      <c r="BR699" s="319"/>
      <c r="BS699" s="319"/>
      <c r="BT699" s="319"/>
      <c r="BU699" s="319"/>
      <c r="BV699" s="319"/>
      <c r="BW699" s="319"/>
      <c r="BX699" s="319"/>
      <c r="BY699" s="319"/>
      <c r="BZ699" s="319"/>
      <c r="CA699" s="319"/>
      <c r="CB699" s="319"/>
      <c r="CC699" s="319"/>
      <c r="CD699" s="319"/>
      <c r="CE699" s="319"/>
      <c r="CF699" s="319"/>
      <c r="CG699" s="319"/>
      <c r="CH699" s="319"/>
      <c r="CI699" s="319"/>
      <c r="CJ699" s="319"/>
      <c r="CK699" s="319"/>
    </row>
    <row r="700" spans="1:89" ht="12.75" hidden="1" customHeight="1">
      <c r="A700" s="12"/>
      <c r="B700" s="1"/>
      <c r="C700" s="1"/>
      <c r="D700" s="1"/>
      <c r="E700" s="1"/>
      <c r="F700" s="1"/>
      <c r="G700" s="1"/>
      <c r="H700" s="1"/>
      <c r="I700" s="1"/>
      <c r="J700" s="1"/>
      <c r="K700" s="9"/>
      <c r="L700" s="1"/>
      <c r="M700" s="319"/>
      <c r="N700" s="319">
        <v>5080030</v>
      </c>
      <c r="O700" s="319"/>
      <c r="P700" s="319"/>
      <c r="Q700" s="319"/>
      <c r="R700" s="319"/>
      <c r="S700" s="319"/>
      <c r="T700" s="319"/>
      <c r="U700" s="319"/>
      <c r="V700" s="319"/>
      <c r="W700" s="319"/>
      <c r="X700" s="319"/>
      <c r="Y700" s="319"/>
      <c r="Z700" s="319"/>
      <c r="AA700" s="319"/>
      <c r="AB700" s="319"/>
      <c r="AC700" s="319"/>
      <c r="AD700" s="319"/>
      <c r="AE700" s="319"/>
      <c r="AF700" s="319"/>
      <c r="AG700" s="319"/>
      <c r="AH700" s="319"/>
      <c r="AI700" s="319"/>
      <c r="AJ700" s="319"/>
      <c r="AK700" s="319"/>
      <c r="AL700" s="319"/>
      <c r="AM700" s="319"/>
      <c r="AN700" s="319"/>
      <c r="AO700" s="319"/>
      <c r="AP700" s="319"/>
      <c r="AQ700" s="319"/>
      <c r="AR700" s="319"/>
      <c r="AS700" s="319"/>
      <c r="AT700" s="319"/>
      <c r="AU700" s="319"/>
      <c r="AV700" s="319"/>
      <c r="AW700" s="319"/>
      <c r="AX700" s="319"/>
      <c r="AY700" s="319"/>
      <c r="AZ700" s="319"/>
      <c r="BA700" s="319"/>
      <c r="BB700" s="319"/>
      <c r="BC700" s="319"/>
      <c r="BD700" s="319"/>
      <c r="BE700" s="319"/>
      <c r="BF700" s="319"/>
      <c r="BG700" s="319"/>
      <c r="BH700" s="319"/>
      <c r="BI700" s="319"/>
      <c r="BJ700" s="319"/>
      <c r="BK700" s="319"/>
      <c r="BL700" s="319"/>
      <c r="BM700" s="319"/>
      <c r="BN700" s="319"/>
      <c r="BO700" s="319"/>
      <c r="BP700" s="319"/>
      <c r="BQ700" s="319"/>
      <c r="BR700" s="319"/>
      <c r="BS700" s="319"/>
      <c r="BT700" s="319"/>
      <c r="BU700" s="319"/>
      <c r="BV700" s="319"/>
      <c r="BW700" s="319"/>
      <c r="BX700" s="319"/>
      <c r="BY700" s="319"/>
      <c r="BZ700" s="319"/>
      <c r="CA700" s="319"/>
      <c r="CB700" s="319"/>
      <c r="CC700" s="319"/>
      <c r="CD700" s="319"/>
      <c r="CE700" s="319"/>
      <c r="CF700" s="319"/>
      <c r="CG700" s="319"/>
      <c r="CH700" s="319"/>
      <c r="CI700" s="319"/>
      <c r="CJ700" s="319"/>
      <c r="CK700" s="319"/>
    </row>
    <row r="701" spans="1:89" ht="25.5" hidden="1" customHeight="1">
      <c r="A701" s="12"/>
      <c r="B701" s="28"/>
      <c r="C701" s="45" t="str">
        <f>C221</f>
        <v>Unidade</v>
      </c>
      <c r="D701" s="82" t="str">
        <f>D221</f>
        <v>Caso de referência</v>
      </c>
      <c r="E701" s="82" t="str">
        <f>E221</f>
        <v>Caso proposto</v>
      </c>
      <c r="F701" s="82"/>
      <c r="G701" s="82"/>
      <c r="H701" s="1"/>
      <c r="I701" s="1"/>
      <c r="J701" s="1"/>
      <c r="K701" s="9"/>
      <c r="L701" s="1"/>
      <c r="M701" s="319"/>
      <c r="N701" s="319">
        <v>13200</v>
      </c>
      <c r="O701" s="319"/>
      <c r="P701" s="319"/>
      <c r="Q701" s="319"/>
      <c r="R701" s="319"/>
      <c r="S701" s="319"/>
      <c r="T701" s="319"/>
      <c r="U701" s="319"/>
      <c r="V701" s="319"/>
      <c r="W701" s="319"/>
      <c r="X701" s="319"/>
      <c r="Y701" s="319"/>
      <c r="Z701" s="319"/>
      <c r="AA701" s="319"/>
      <c r="AB701" s="319"/>
      <c r="AC701" s="319"/>
      <c r="AD701" s="319"/>
      <c r="AE701" s="319"/>
      <c r="AF701" s="319"/>
      <c r="AG701" s="319"/>
      <c r="AH701" s="319"/>
      <c r="AI701" s="319"/>
      <c r="AJ701" s="319"/>
      <c r="AK701" s="319"/>
      <c r="AL701" s="319"/>
      <c r="AM701" s="319"/>
      <c r="AN701" s="319"/>
      <c r="AO701" s="319"/>
      <c r="AP701" s="319"/>
      <c r="AQ701" s="319"/>
      <c r="AR701" s="319"/>
      <c r="AS701" s="319"/>
      <c r="AT701" s="319"/>
      <c r="AU701" s="319"/>
      <c r="AV701" s="319"/>
      <c r="AW701" s="319"/>
      <c r="AX701" s="319"/>
      <c r="AY701" s="319"/>
      <c r="AZ701" s="319"/>
      <c r="BA701" s="319"/>
      <c r="BB701" s="319"/>
      <c r="BC701" s="319"/>
      <c r="BD701" s="319"/>
      <c r="BE701" s="319"/>
      <c r="BF701" s="319"/>
      <c r="BG701" s="319"/>
      <c r="BH701" s="319"/>
      <c r="BI701" s="319"/>
      <c r="BJ701" s="319"/>
      <c r="BK701" s="319"/>
      <c r="BL701" s="319"/>
      <c r="BM701" s="319"/>
      <c r="BN701" s="319"/>
      <c r="BO701" s="319"/>
      <c r="BP701" s="319"/>
      <c r="BQ701" s="319"/>
      <c r="BR701" s="319"/>
      <c r="BS701" s="319"/>
      <c r="BT701" s="319"/>
      <c r="BU701" s="319"/>
      <c r="BV701" s="319"/>
      <c r="BW701" s="319"/>
      <c r="BX701" s="319"/>
      <c r="BY701" s="319"/>
      <c r="BZ701" s="319"/>
      <c r="CA701" s="319"/>
      <c r="CB701" s="319"/>
      <c r="CC701" s="319"/>
      <c r="CD701" s="319"/>
      <c r="CE701" s="319"/>
      <c r="CF701" s="319"/>
      <c r="CG701" s="319"/>
      <c r="CH701" s="319"/>
      <c r="CI701" s="319"/>
      <c r="CJ701" s="319"/>
      <c r="CK701" s="319"/>
    </row>
    <row r="702" spans="1:89" ht="13.2" hidden="1">
      <c r="A702" s="12"/>
      <c r="B702" s="265"/>
      <c r="C702" s="29"/>
      <c r="D702" s="329"/>
      <c r="E702" s="329"/>
      <c r="F702" s="1"/>
      <c r="G702" s="1"/>
      <c r="H702" s="1"/>
      <c r="I702" s="1"/>
      <c r="J702" s="1"/>
      <c r="K702" s="9"/>
      <c r="L702" s="1"/>
      <c r="M702" s="319"/>
      <c r="N702" s="319">
        <v>13200</v>
      </c>
      <c r="O702" s="319"/>
      <c r="P702" s="319"/>
      <c r="Q702" s="319"/>
      <c r="R702" s="319"/>
      <c r="S702" s="319"/>
      <c r="T702" s="319"/>
      <c r="U702" s="319"/>
      <c r="V702" s="319"/>
      <c r="W702" s="319"/>
      <c r="X702" s="319"/>
      <c r="Y702" s="319"/>
      <c r="Z702" s="319"/>
      <c r="AA702" s="319"/>
      <c r="AB702" s="319"/>
      <c r="AC702" s="319"/>
      <c r="AD702" s="319"/>
      <c r="AE702" s="319"/>
      <c r="AF702" s="319"/>
      <c r="AG702" s="319"/>
      <c r="AH702" s="319"/>
      <c r="AI702" s="319"/>
      <c r="AJ702" s="319"/>
      <c r="AK702" s="319"/>
      <c r="AL702" s="319"/>
      <c r="AM702" s="319"/>
      <c r="AN702" s="319"/>
      <c r="AO702" s="319"/>
      <c r="AP702" s="319"/>
      <c r="AQ702" s="319"/>
      <c r="AR702" s="319"/>
      <c r="AS702" s="319"/>
      <c r="AT702" s="319"/>
      <c r="AU702" s="319"/>
      <c r="AV702" s="319"/>
      <c r="AW702" s="319"/>
      <c r="AX702" s="319"/>
      <c r="AY702" s="319"/>
      <c r="AZ702" s="319"/>
      <c r="BA702" s="319"/>
      <c r="BB702" s="319"/>
      <c r="BC702" s="319"/>
      <c r="BD702" s="319"/>
      <c r="BE702" s="319"/>
      <c r="BF702" s="319"/>
      <c r="BG702" s="319"/>
      <c r="BH702" s="319"/>
      <c r="BI702" s="319"/>
      <c r="BJ702" s="319"/>
      <c r="BK702" s="319"/>
      <c r="BL702" s="319"/>
      <c r="BM702" s="319"/>
      <c r="BN702" s="319"/>
      <c r="BO702" s="319"/>
      <c r="BP702" s="319"/>
      <c r="BQ702" s="319"/>
      <c r="BR702" s="319"/>
      <c r="BS702" s="319"/>
      <c r="BT702" s="319"/>
      <c r="BU702" s="319"/>
      <c r="BV702" s="319"/>
      <c r="BW702" s="319"/>
      <c r="BX702" s="319"/>
      <c r="BY702" s="319"/>
      <c r="BZ702" s="319"/>
      <c r="CA702" s="319"/>
      <c r="CB702" s="319"/>
      <c r="CC702" s="319"/>
      <c r="CD702" s="319"/>
      <c r="CE702" s="319"/>
      <c r="CF702" s="319"/>
      <c r="CG702" s="319"/>
      <c r="CH702" s="319"/>
      <c r="CI702" s="319"/>
      <c r="CJ702" s="319"/>
      <c r="CK702" s="319"/>
    </row>
    <row r="703" spans="1:89" ht="13.2" hidden="1">
      <c r="A703" s="12"/>
      <c r="B703" s="329" t="str">
        <f>Language!C1786</f>
        <v>Tipo de carga</v>
      </c>
      <c r="C703" s="29"/>
      <c r="D703" s="419" t="s">
        <v>1771</v>
      </c>
      <c r="E703" s="1"/>
      <c r="F703" s="1"/>
      <c r="G703" s="1"/>
      <c r="H703" s="1"/>
      <c r="I703" s="1"/>
      <c r="J703" s="1"/>
      <c r="K703" s="9"/>
      <c r="L703" s="1"/>
      <c r="M703" s="319">
        <f>IF(D703="",12,MATCH(D703,B1150:B1163,0))</f>
        <v>12</v>
      </c>
      <c r="N703" s="319">
        <v>5080032</v>
      </c>
      <c r="O703" s="319"/>
      <c r="P703" s="319"/>
      <c r="Q703" s="319"/>
      <c r="R703" s="319"/>
      <c r="S703" s="319"/>
      <c r="T703" s="319"/>
      <c r="U703" s="319"/>
      <c r="V703" s="319"/>
      <c r="W703" s="319"/>
      <c r="X703" s="319"/>
      <c r="Y703" s="319"/>
      <c r="Z703" s="319"/>
      <c r="AA703" s="319"/>
      <c r="AB703" s="319"/>
      <c r="AC703" s="319"/>
      <c r="AD703" s="319"/>
      <c r="AE703" s="319"/>
      <c r="AF703" s="319"/>
      <c r="AG703" s="319"/>
      <c r="AH703" s="319"/>
      <c r="AI703" s="319"/>
      <c r="AJ703" s="319"/>
      <c r="AK703" s="319"/>
      <c r="AL703" s="319"/>
      <c r="AM703" s="319"/>
      <c r="AN703" s="319"/>
      <c r="AO703" s="319"/>
      <c r="AP703" s="319"/>
      <c r="AQ703" s="319"/>
      <c r="AR703" s="319"/>
      <c r="AS703" s="319"/>
      <c r="AT703" s="319"/>
      <c r="AU703" s="319"/>
      <c r="AV703" s="319"/>
      <c r="AW703" s="319"/>
      <c r="AX703" s="319"/>
      <c r="AY703" s="319"/>
      <c r="AZ703" s="319"/>
      <c r="BA703" s="319"/>
      <c r="BB703" s="319"/>
      <c r="BC703" s="319"/>
      <c r="BD703" s="319"/>
      <c r="BE703" s="319"/>
      <c r="BF703" s="319"/>
      <c r="BG703" s="319"/>
      <c r="BH703" s="319"/>
      <c r="BI703" s="319"/>
      <c r="BJ703" s="319"/>
      <c r="BK703" s="319"/>
      <c r="BL703" s="319"/>
      <c r="BM703" s="319"/>
      <c r="BN703" s="319"/>
      <c r="BO703" s="319"/>
      <c r="BP703" s="319"/>
      <c r="BQ703" s="319"/>
      <c r="BR703" s="319"/>
      <c r="BS703" s="319"/>
      <c r="BT703" s="319"/>
      <c r="BU703" s="319"/>
      <c r="BV703" s="319"/>
      <c r="BW703" s="319"/>
      <c r="BX703" s="319"/>
      <c r="BY703" s="319"/>
      <c r="BZ703" s="319"/>
      <c r="CA703" s="319"/>
      <c r="CB703" s="319"/>
      <c r="CC703" s="319"/>
      <c r="CD703" s="319"/>
      <c r="CE703" s="319"/>
      <c r="CF703" s="319"/>
      <c r="CG703" s="319"/>
      <c r="CH703" s="319"/>
      <c r="CI703" s="319"/>
      <c r="CJ703" s="319"/>
      <c r="CK703" s="319"/>
    </row>
    <row r="704" spans="1:89" ht="13.5" hidden="1" customHeight="1">
      <c r="A704" s="12"/>
      <c r="B704" s="1" t="str">
        <f>Language!C1844</f>
        <v>Número de unidades</v>
      </c>
      <c r="C704" s="29" t="str">
        <f>VLOOKUP($D$703,B1150:C1163,2,FALSE)</f>
        <v>-</v>
      </c>
      <c r="D704" s="307"/>
      <c r="E704" s="1"/>
      <c r="F704" s="1"/>
      <c r="G704" s="1"/>
      <c r="H704" s="1"/>
      <c r="I704" s="1"/>
      <c r="J704" s="1"/>
      <c r="K704" s="9"/>
      <c r="L704" s="1"/>
      <c r="M704" s="319"/>
      <c r="N704" s="319">
        <v>4091004</v>
      </c>
      <c r="O704" s="319"/>
      <c r="P704" s="319"/>
      <c r="Q704" s="319"/>
      <c r="R704" s="319"/>
      <c r="S704" s="319"/>
      <c r="T704" s="319"/>
      <c r="U704" s="319"/>
      <c r="V704" s="319"/>
      <c r="W704" s="319"/>
      <c r="X704" s="319"/>
      <c r="Y704" s="319"/>
      <c r="Z704" s="319"/>
      <c r="AA704" s="319"/>
      <c r="AB704" s="319"/>
      <c r="AC704" s="319"/>
      <c r="AD704" s="319"/>
      <c r="AE704" s="319"/>
      <c r="AF704" s="319"/>
      <c r="AG704" s="319"/>
      <c r="AH704" s="319"/>
      <c r="AI704" s="319"/>
      <c r="AJ704" s="319"/>
      <c r="AK704" s="319"/>
      <c r="AL704" s="319"/>
      <c r="AM704" s="319"/>
      <c r="AN704" s="319"/>
      <c r="AO704" s="319"/>
      <c r="AP704" s="319"/>
      <c r="AQ704" s="319"/>
      <c r="AR704" s="319"/>
      <c r="AS704" s="319"/>
      <c r="AT704" s="319"/>
      <c r="AU704" s="319"/>
      <c r="AV704" s="319"/>
      <c r="AW704" s="319"/>
      <c r="AX704" s="319"/>
      <c r="AY704" s="319"/>
      <c r="AZ704" s="319"/>
      <c r="BA704" s="319"/>
      <c r="BB704" s="319"/>
      <c r="BC704" s="319"/>
      <c r="BD704" s="319"/>
      <c r="BE704" s="319"/>
      <c r="BF704" s="319"/>
      <c r="BG704" s="319"/>
      <c r="BH704" s="319"/>
      <c r="BI704" s="319"/>
      <c r="BJ704" s="319"/>
      <c r="BK704" s="319"/>
      <c r="BL704" s="319"/>
      <c r="BM704" s="319"/>
      <c r="BN704" s="319"/>
      <c r="BO704" s="319"/>
      <c r="BP704" s="319"/>
      <c r="BQ704" s="319"/>
      <c r="BR704" s="319"/>
      <c r="BS704" s="319"/>
      <c r="BT704" s="319"/>
      <c r="BU704" s="319"/>
      <c r="BV704" s="319"/>
      <c r="BW704" s="319"/>
      <c r="BX704" s="319"/>
      <c r="BY704" s="319"/>
      <c r="BZ704" s="319"/>
      <c r="CA704" s="319"/>
      <c r="CB704" s="319"/>
      <c r="CC704" s="319"/>
      <c r="CD704" s="319"/>
      <c r="CE704" s="319"/>
      <c r="CF704" s="319"/>
      <c r="CG704" s="319"/>
      <c r="CH704" s="319"/>
      <c r="CI704" s="319"/>
      <c r="CJ704" s="319"/>
      <c r="CK704" s="319"/>
    </row>
    <row r="705" spans="1:89" ht="13.5" hidden="1" customHeight="1">
      <c r="A705" s="12"/>
      <c r="B705" s="1" t="str">
        <f>Language!C1845</f>
        <v>Taxa de ocupação</v>
      </c>
      <c r="C705" s="29" t="str">
        <f>$C$254</f>
        <v>%</v>
      </c>
      <c r="D705" s="159"/>
      <c r="E705" s="1"/>
      <c r="F705" s="1"/>
      <c r="G705" s="1"/>
      <c r="H705" s="1"/>
      <c r="I705" s="1"/>
      <c r="J705" s="1"/>
      <c r="K705" s="9"/>
      <c r="L705" s="1"/>
      <c r="M705" s="319"/>
      <c r="N705" s="319">
        <v>5080036</v>
      </c>
      <c r="O705" s="319"/>
      <c r="P705" s="319"/>
      <c r="Q705" s="319"/>
      <c r="R705" s="319"/>
      <c r="S705" s="319"/>
      <c r="T705" s="319"/>
      <c r="U705" s="319"/>
      <c r="V705" s="319"/>
      <c r="W705" s="319"/>
      <c r="X705" s="319"/>
      <c r="Y705" s="319"/>
      <c r="Z705" s="319"/>
      <c r="AA705" s="319"/>
      <c r="AB705" s="319"/>
      <c r="AC705" s="319"/>
      <c r="AD705" s="319"/>
      <c r="AE705" s="319"/>
      <c r="AF705" s="319"/>
      <c r="AG705" s="319"/>
      <c r="AH705" s="319"/>
      <c r="AI705" s="319"/>
      <c r="AJ705" s="319"/>
      <c r="AK705" s="319"/>
      <c r="AL705" s="319"/>
      <c r="AM705" s="319"/>
      <c r="AN705" s="319"/>
      <c r="AO705" s="319"/>
      <c r="AP705" s="319"/>
      <c r="AQ705" s="319"/>
      <c r="AR705" s="319"/>
      <c r="AS705" s="319"/>
      <c r="AT705" s="319"/>
      <c r="AU705" s="319"/>
      <c r="AV705" s="319"/>
      <c r="AW705" s="319"/>
      <c r="AX705" s="319"/>
      <c r="AY705" s="319"/>
      <c r="AZ705" s="319"/>
      <c r="BA705" s="319"/>
      <c r="BB705" s="319"/>
      <c r="BC705" s="319"/>
      <c r="BD705" s="319"/>
      <c r="BE705" s="319"/>
      <c r="BF705" s="319"/>
      <c r="BG705" s="319"/>
      <c r="BH705" s="319"/>
      <c r="BI705" s="319"/>
      <c r="BJ705" s="319"/>
      <c r="BK705" s="319"/>
      <c r="BL705" s="319"/>
      <c r="BM705" s="319"/>
      <c r="BN705" s="319"/>
      <c r="BO705" s="319"/>
      <c r="BP705" s="319"/>
      <c r="BQ705" s="319"/>
      <c r="BR705" s="319"/>
      <c r="BS705" s="319"/>
      <c r="BT705" s="319"/>
      <c r="BU705" s="319"/>
      <c r="BV705" s="319"/>
      <c r="BW705" s="319"/>
      <c r="BX705" s="319"/>
      <c r="BY705" s="319"/>
      <c r="BZ705" s="319"/>
      <c r="CA705" s="319"/>
      <c r="CB705" s="319"/>
      <c r="CC705" s="319"/>
      <c r="CD705" s="319"/>
      <c r="CE705" s="319"/>
      <c r="CF705" s="319"/>
      <c r="CG705" s="319"/>
      <c r="CH705" s="319"/>
      <c r="CI705" s="319"/>
      <c r="CJ705" s="319"/>
      <c r="CK705" s="319"/>
    </row>
    <row r="706" spans="1:89" ht="13.5" hidden="1" customHeight="1">
      <c r="A706" s="12"/>
      <c r="B706" s="1" t="str">
        <f>Language!C1577</f>
        <v>Uso diário de água quente - estimado</v>
      </c>
      <c r="C706" s="29" t="str">
        <f>IF(Unit=TRUE,J1204,J1205)</f>
        <v>L/d</v>
      </c>
      <c r="D706" s="30" t="str">
        <f>IF($M$703&lt;12,IF(C706=J1205,1/K1205,1)*D704*D705*VLOOKUP(D703,B1150:D1163,3,FALSE), "N/A")</f>
        <v>N/A</v>
      </c>
      <c r="E706" s="1"/>
      <c r="F706" s="1"/>
      <c r="G706" s="1"/>
      <c r="H706" s="1"/>
      <c r="I706" s="1"/>
      <c r="J706" s="1"/>
      <c r="K706" s="9"/>
      <c r="L706" s="1"/>
      <c r="M706" s="319"/>
      <c r="N706" s="319">
        <v>5080038</v>
      </c>
      <c r="O706" s="319"/>
      <c r="P706" s="319"/>
      <c r="Q706" s="319" t="s">
        <v>850</v>
      </c>
      <c r="R706" s="319">
        <f>IF($C$707=$J$1205,$K$1205,1)*D707</f>
        <v>0</v>
      </c>
      <c r="S706" s="319">
        <f>IF($C$707=$J$1205,$K$1205,1)*E707</f>
        <v>0</v>
      </c>
      <c r="T706" s="319"/>
      <c r="U706" s="319"/>
      <c r="V706" s="319"/>
      <c r="W706" s="319"/>
      <c r="X706" s="319"/>
      <c r="Y706" s="319"/>
      <c r="Z706" s="319"/>
      <c r="AA706" s="319"/>
      <c r="AB706" s="319"/>
      <c r="AC706" s="319"/>
      <c r="AD706" s="319"/>
      <c r="AE706" s="319"/>
      <c r="AF706" s="319"/>
      <c r="AG706" s="319"/>
      <c r="AH706" s="319"/>
      <c r="AI706" s="319"/>
      <c r="AJ706" s="319"/>
      <c r="AK706" s="319"/>
      <c r="AL706" s="319"/>
      <c r="AM706" s="319"/>
      <c r="AN706" s="319"/>
      <c r="AO706" s="319"/>
      <c r="AP706" s="319"/>
      <c r="AQ706" s="319"/>
      <c r="AR706" s="319"/>
      <c r="AS706" s="319"/>
      <c r="AT706" s="319"/>
      <c r="AU706" s="319"/>
      <c r="AV706" s="319"/>
      <c r="AW706" s="319"/>
      <c r="AX706" s="319"/>
      <c r="AY706" s="319"/>
      <c r="AZ706" s="319"/>
      <c r="BA706" s="319"/>
      <c r="BB706" s="319"/>
      <c r="BC706" s="319"/>
      <c r="BD706" s="319"/>
      <c r="BE706" s="319"/>
      <c r="BF706" s="319"/>
      <c r="BG706" s="319"/>
      <c r="BH706" s="319"/>
      <c r="BI706" s="319"/>
      <c r="BJ706" s="319"/>
      <c r="BK706" s="319"/>
      <c r="BL706" s="319"/>
      <c r="BM706" s="319"/>
      <c r="BN706" s="319"/>
      <c r="BO706" s="319"/>
      <c r="BP706" s="319"/>
      <c r="BQ706" s="319"/>
      <c r="BR706" s="319"/>
      <c r="BS706" s="319"/>
      <c r="BT706" s="319"/>
      <c r="BU706" s="319"/>
      <c r="BV706" s="319"/>
      <c r="BW706" s="319"/>
      <c r="BX706" s="319"/>
      <c r="BY706" s="319"/>
      <c r="BZ706" s="319"/>
      <c r="CA706" s="319"/>
      <c r="CB706" s="319"/>
      <c r="CC706" s="319"/>
      <c r="CD706" s="319"/>
      <c r="CE706" s="319"/>
      <c r="CF706" s="319"/>
      <c r="CG706" s="319"/>
      <c r="CH706" s="319"/>
      <c r="CI706" s="319"/>
      <c r="CJ706" s="319"/>
      <c r="CK706" s="319"/>
    </row>
    <row r="707" spans="1:89" ht="13.5" hidden="1" customHeight="1">
      <c r="A707" s="12"/>
      <c r="B707" s="329" t="str">
        <f>Language!C1576</f>
        <v>Uso diário de água quente</v>
      </c>
      <c r="C707" s="303" t="s">
        <v>86</v>
      </c>
      <c r="D707" s="307"/>
      <c r="E707" s="307"/>
      <c r="F707" s="1"/>
      <c r="G707" s="1"/>
      <c r="H707" s="1"/>
      <c r="I707" s="1"/>
      <c r="J707" s="1"/>
      <c r="K707" s="9"/>
      <c r="L707" s="1"/>
      <c r="M707" s="319"/>
      <c r="N707" s="319">
        <v>5080040</v>
      </c>
      <c r="O707" s="319"/>
      <c r="P707" s="319"/>
      <c r="Q707" s="319" t="s">
        <v>144</v>
      </c>
      <c r="R707" s="319">
        <f>IF(OR($C708=$C$1178,$C708=""),D708,(D708-32)/1.8)</f>
        <v>0</v>
      </c>
      <c r="S707" s="319">
        <f>IF(OR($C708=$C$1178,$C708=""),E708,(E708-32)/1.8)</f>
        <v>0</v>
      </c>
      <c r="T707" s="319"/>
      <c r="U707" s="319"/>
      <c r="V707" s="319"/>
      <c r="W707" s="319"/>
      <c r="X707" s="319"/>
      <c r="Y707" s="319"/>
      <c r="Z707" s="319"/>
      <c r="AA707" s="319"/>
      <c r="AB707" s="319"/>
      <c r="AC707" s="319"/>
      <c r="AD707" s="319"/>
      <c r="AE707" s="319"/>
      <c r="AF707" s="319"/>
      <c r="AG707" s="319"/>
      <c r="AH707" s="319"/>
      <c r="AI707" s="319"/>
      <c r="AJ707" s="319"/>
      <c r="AK707" s="319"/>
      <c r="AL707" s="319"/>
      <c r="AM707" s="319"/>
      <c r="AN707" s="319"/>
      <c r="AO707" s="319"/>
      <c r="AP707" s="319"/>
      <c r="AQ707" s="319"/>
      <c r="AR707" s="319"/>
      <c r="AS707" s="319"/>
      <c r="AT707" s="319"/>
      <c r="AU707" s="319"/>
      <c r="AV707" s="319"/>
      <c r="AW707" s="319"/>
      <c r="AX707" s="319"/>
      <c r="AY707" s="319"/>
      <c r="AZ707" s="319"/>
      <c r="BA707" s="319"/>
      <c r="BB707" s="319"/>
      <c r="BC707" s="319"/>
      <c r="BD707" s="319"/>
      <c r="BE707" s="319"/>
      <c r="BF707" s="319"/>
      <c r="BG707" s="319"/>
      <c r="BH707" s="319"/>
      <c r="BI707" s="319"/>
      <c r="BJ707" s="319"/>
      <c r="BK707" s="319"/>
      <c r="BL707" s="319"/>
      <c r="BM707" s="319"/>
      <c r="BN707" s="319"/>
      <c r="BO707" s="319"/>
      <c r="BP707" s="319"/>
      <c r="BQ707" s="319"/>
      <c r="BR707" s="319"/>
      <c r="BS707" s="319"/>
      <c r="BT707" s="319"/>
      <c r="BU707" s="319"/>
      <c r="BV707" s="319"/>
      <c r="BW707" s="319"/>
      <c r="BX707" s="319"/>
      <c r="BY707" s="319"/>
      <c r="BZ707" s="319"/>
      <c r="CA707" s="319"/>
      <c r="CB707" s="319"/>
      <c r="CC707" s="319"/>
      <c r="CD707" s="319"/>
      <c r="CE707" s="319"/>
      <c r="CF707" s="319"/>
      <c r="CG707" s="319"/>
      <c r="CH707" s="319"/>
      <c r="CI707" s="319"/>
      <c r="CJ707" s="319"/>
      <c r="CK707" s="319"/>
    </row>
    <row r="708" spans="1:89" ht="13.5" hidden="1" customHeight="1">
      <c r="A708" s="12"/>
      <c r="B708" s="329" t="str">
        <f>Language!C443</f>
        <v>Temperatura</v>
      </c>
      <c r="C708" s="303" t="s">
        <v>5568</v>
      </c>
      <c r="D708" s="307"/>
      <c r="E708" s="307"/>
      <c r="F708" s="1"/>
      <c r="G708" s="1"/>
      <c r="H708" s="1"/>
      <c r="I708" s="1"/>
      <c r="J708" s="1"/>
      <c r="K708" s="9"/>
      <c r="L708" s="1"/>
      <c r="M708" s="319"/>
      <c r="N708" s="319">
        <v>4091012</v>
      </c>
      <c r="O708" s="319"/>
      <c r="P708" s="319"/>
      <c r="Q708" s="319"/>
      <c r="R708" s="319" t="s">
        <v>2478</v>
      </c>
      <c r="S708" s="319" t="s">
        <v>2846</v>
      </c>
      <c r="T708" s="319"/>
      <c r="U708" s="319"/>
      <c r="V708" s="319"/>
      <c r="W708" s="319"/>
      <c r="X708" s="319"/>
      <c r="Y708" s="319"/>
      <c r="Z708" s="319"/>
      <c r="AA708" s="319"/>
      <c r="AB708" s="319"/>
      <c r="AC708" s="319"/>
      <c r="AD708" s="319"/>
      <c r="AE708" s="319"/>
      <c r="AF708" s="319"/>
      <c r="AG708" s="319"/>
      <c r="AH708" s="319"/>
      <c r="AI708" s="319"/>
      <c r="AJ708" s="319"/>
      <c r="AK708" s="319"/>
      <c r="AL708" s="319"/>
      <c r="AM708" s="319"/>
      <c r="AN708" s="319"/>
      <c r="AO708" s="319"/>
      <c r="AP708" s="319"/>
      <c r="AQ708" s="319"/>
      <c r="AR708" s="319"/>
      <c r="AS708" s="319"/>
      <c r="AT708" s="319"/>
      <c r="AU708" s="319"/>
      <c r="AV708" s="319"/>
      <c r="AW708" s="319"/>
      <c r="AX708" s="319"/>
      <c r="AY708" s="319"/>
      <c r="AZ708" s="319"/>
      <c r="BA708" s="319"/>
      <c r="BB708" s="319"/>
      <c r="BC708" s="319"/>
      <c r="BD708" s="319"/>
      <c r="BE708" s="319"/>
      <c r="BF708" s="319"/>
      <c r="BG708" s="319"/>
      <c r="BH708" s="319"/>
      <c r="BI708" s="319"/>
      <c r="BJ708" s="319"/>
      <c r="BK708" s="319"/>
      <c r="BL708" s="319"/>
      <c r="BM708" s="319"/>
      <c r="BN708" s="319"/>
      <c r="BO708" s="319"/>
      <c r="BP708" s="319"/>
      <c r="BQ708" s="319"/>
      <c r="BR708" s="319"/>
      <c r="BS708" s="319"/>
      <c r="BT708" s="319"/>
      <c r="BU708" s="319"/>
      <c r="BV708" s="319"/>
      <c r="BW708" s="319"/>
      <c r="BX708" s="319"/>
      <c r="BY708" s="319"/>
      <c r="BZ708" s="319"/>
      <c r="CA708" s="319"/>
      <c r="CB708" s="319"/>
      <c r="CC708" s="319"/>
      <c r="CD708" s="319"/>
      <c r="CE708" s="319"/>
      <c r="CF708" s="319"/>
      <c r="CG708" s="319"/>
      <c r="CH708" s="319"/>
      <c r="CI708" s="319"/>
      <c r="CJ708" s="319"/>
      <c r="CK708" s="319"/>
    </row>
    <row r="709" spans="1:89" ht="13.5" hidden="1" customHeight="1">
      <c r="A709" s="12"/>
      <c r="B709" s="329" t="str">
        <f>Language!C1855</f>
        <v>Dias de operação por semana</v>
      </c>
      <c r="C709" s="29" t="str">
        <f>C33</f>
        <v>d</v>
      </c>
      <c r="D709" s="307"/>
      <c r="E709" s="307"/>
      <c r="F709" s="1"/>
      <c r="G709" s="1"/>
      <c r="H709" s="1"/>
      <c r="I709" s="1"/>
      <c r="J709" s="1"/>
      <c r="K709" s="9"/>
      <c r="L709" s="1"/>
      <c r="M709" s="319"/>
      <c r="N709" s="319">
        <v>5080044</v>
      </c>
      <c r="O709" s="319"/>
      <c r="P709" s="319"/>
      <c r="Q709" s="319"/>
      <c r="R709" s="319"/>
      <c r="S709" s="319"/>
      <c r="T709" s="319"/>
      <c r="U709" s="319"/>
      <c r="V709" s="319"/>
      <c r="W709" s="319"/>
      <c r="X709" s="319"/>
      <c r="Y709" s="319"/>
      <c r="Z709" s="319"/>
      <c r="AA709" s="319"/>
      <c r="AB709" s="319"/>
      <c r="AC709" s="319"/>
      <c r="AD709" s="319"/>
      <c r="AE709" s="319"/>
      <c r="AF709" s="319"/>
      <c r="AG709" s="319"/>
      <c r="AH709" s="319"/>
      <c r="AI709" s="319"/>
      <c r="AJ709" s="319"/>
      <c r="AK709" s="319"/>
      <c r="AL709" s="319"/>
      <c r="AM709" s="319"/>
      <c r="AN709" s="319"/>
      <c r="AO709" s="319"/>
      <c r="AP709" s="319"/>
      <c r="AQ709" s="319"/>
      <c r="AR709" s="319"/>
      <c r="AS709" s="319"/>
      <c r="AT709" s="319"/>
      <c r="AU709" s="319"/>
      <c r="AV709" s="319"/>
      <c r="AW709" s="319"/>
      <c r="AX709" s="319"/>
      <c r="AY709" s="319"/>
      <c r="AZ709" s="319"/>
      <c r="BA709" s="319"/>
      <c r="BB709" s="319"/>
      <c r="BC709" s="319"/>
      <c r="BD709" s="319"/>
      <c r="BE709" s="319"/>
      <c r="BF709" s="319"/>
      <c r="BG709" s="319"/>
      <c r="BH709" s="319"/>
      <c r="BI709" s="319"/>
      <c r="BJ709" s="319"/>
      <c r="BK709" s="319"/>
      <c r="BL709" s="319"/>
      <c r="BM709" s="319"/>
      <c r="BN709" s="319"/>
      <c r="BO709" s="319"/>
      <c r="BP709" s="319"/>
      <c r="BQ709" s="319"/>
      <c r="BR709" s="319"/>
      <c r="BS709" s="319"/>
      <c r="BT709" s="319"/>
      <c r="BU709" s="319"/>
      <c r="BV709" s="319"/>
      <c r="BW709" s="319"/>
      <c r="BX709" s="319"/>
      <c r="BY709" s="319"/>
      <c r="BZ709" s="319"/>
      <c r="CA709" s="319"/>
      <c r="CB709" s="319"/>
      <c r="CC709" s="319"/>
      <c r="CD709" s="319"/>
      <c r="CE709" s="319"/>
      <c r="CF709" s="319"/>
      <c r="CG709" s="319"/>
      <c r="CH709" s="319"/>
      <c r="CI709" s="319"/>
      <c r="CJ709" s="319"/>
      <c r="CK709" s="319"/>
    </row>
    <row r="710" spans="1:89" ht="13.5" hidden="1" customHeight="1">
      <c r="A710" s="12"/>
      <c r="B710" s="265"/>
      <c r="C710" s="29"/>
      <c r="D710" s="88"/>
      <c r="E710" s="88"/>
      <c r="F710" s="1"/>
      <c r="G710" s="1"/>
      <c r="H710" s="1"/>
      <c r="I710" s="1"/>
      <c r="J710" s="1"/>
      <c r="K710" s="9"/>
      <c r="L710" s="1"/>
      <c r="M710" s="319"/>
      <c r="N710" s="319">
        <v>13200</v>
      </c>
      <c r="O710" s="319"/>
      <c r="P710" s="319" t="b">
        <v>0</v>
      </c>
      <c r="Q710" s="3" t="b">
        <v>0</v>
      </c>
      <c r="R710" s="319" t="s">
        <v>4825</v>
      </c>
      <c r="S710" s="319"/>
      <c r="T710" s="319"/>
      <c r="U710" s="319" t="s">
        <v>3645</v>
      </c>
      <c r="V710" s="319" t="s">
        <v>5260</v>
      </c>
      <c r="W710" s="319"/>
      <c r="X710" s="319"/>
      <c r="Y710" s="319"/>
      <c r="Z710" s="319"/>
      <c r="AA710" s="319"/>
      <c r="AB710" s="319"/>
      <c r="AC710" s="319"/>
      <c r="AD710" s="319"/>
      <c r="AE710" s="319"/>
      <c r="AF710" s="319"/>
      <c r="AG710" s="319"/>
      <c r="AH710" s="319"/>
      <c r="AI710" s="319"/>
      <c r="AJ710" s="319"/>
      <c r="AK710" s="319"/>
      <c r="AL710" s="319"/>
      <c r="AM710" s="319"/>
      <c r="AN710" s="319"/>
      <c r="AO710" s="319"/>
      <c r="AP710" s="319"/>
      <c r="AQ710" s="319"/>
      <c r="AR710" s="319"/>
      <c r="AS710" s="319"/>
      <c r="AT710" s="319"/>
      <c r="AU710" s="319"/>
      <c r="AV710" s="319"/>
      <c r="AW710" s="319"/>
      <c r="AX710" s="319"/>
      <c r="AY710" s="319"/>
      <c r="AZ710" s="319"/>
      <c r="BA710" s="319"/>
      <c r="BB710" s="319"/>
      <c r="BC710" s="319"/>
      <c r="BD710" s="319"/>
      <c r="BE710" s="319"/>
      <c r="BF710" s="319"/>
      <c r="BG710" s="319"/>
      <c r="BH710" s="319"/>
      <c r="BI710" s="319"/>
      <c r="BJ710" s="319"/>
      <c r="BK710" s="319"/>
      <c r="BL710" s="319"/>
      <c r="BM710" s="319"/>
      <c r="BN710" s="319"/>
      <c r="BO710" s="319"/>
      <c r="BP710" s="319"/>
      <c r="BQ710" s="319"/>
      <c r="BR710" s="319"/>
      <c r="BS710" s="319"/>
      <c r="BT710" s="319"/>
      <c r="BU710" s="319"/>
      <c r="BV710" s="319"/>
      <c r="BW710" s="319"/>
      <c r="BX710" s="319"/>
      <c r="BY710" s="319"/>
      <c r="BZ710" s="319"/>
      <c r="CA710" s="319"/>
      <c r="CB710" s="319"/>
      <c r="CC710" s="319"/>
      <c r="CD710" s="319"/>
      <c r="CE710" s="319"/>
      <c r="CF710" s="319"/>
      <c r="CG710" s="319"/>
      <c r="CH710" s="319"/>
      <c r="CI710" s="319"/>
      <c r="CJ710" s="319"/>
      <c r="CK710" s="319"/>
    </row>
    <row r="711" spans="1:89" ht="13.5" hidden="1" customHeight="1">
      <c r="A711" s="1009" t="s">
        <v>4189</v>
      </c>
      <c r="B711" s="134" t="str">
        <f>B229</f>
        <v>Percentual de utilização do mês</v>
      </c>
      <c r="C711" s="333" t="str">
        <f t="shared" ref="C711:C723" si="172">C740</f>
        <v>Mês</v>
      </c>
      <c r="D711" s="1"/>
      <c r="E711" s="1"/>
      <c r="F711" s="1"/>
      <c r="G711" s="1"/>
      <c r="H711" s="1"/>
      <c r="I711" s="1"/>
      <c r="J711" s="1"/>
      <c r="K711" s="9"/>
      <c r="L711" s="1"/>
      <c r="M711" s="319"/>
      <c r="N711" s="319">
        <v>5012026</v>
      </c>
      <c r="O711" s="319"/>
      <c r="P711" s="319"/>
      <c r="Q711" s="319"/>
      <c r="R711" s="319">
        <f>R$706*(R$707-$U711)*4.2*IF(D$709&gt;7,7,D$709)/7*V678/1000</f>
        <v>0</v>
      </c>
      <c r="S711" s="319">
        <f>S$706*(S$707-$U711)*4.2*IF(E$709&gt;7,7,E$709)/7*V678/1000</f>
        <v>0</v>
      </c>
      <c r="T711" s="319"/>
      <c r="U711" s="319">
        <f t="shared" ref="U711:U722" si="173">IF($M$725=1,V711,$U$726-$U$728*$U$727*COS(2*PI()*(U678-2)/12))</f>
        <v>13.878479452054794</v>
      </c>
      <c r="V711" s="319">
        <f>MAX(1,$R$690+0.35*(R689-$R$690))</f>
        <v>13.878479452054794</v>
      </c>
      <c r="W711" s="319"/>
      <c r="X711" s="319"/>
      <c r="Y711" s="319"/>
      <c r="Z711" s="319"/>
      <c r="AA711" s="319"/>
      <c r="AB711" s="319"/>
      <c r="AC711" s="319"/>
      <c r="AD711" s="319"/>
      <c r="AE711" s="319"/>
      <c r="AF711" s="319"/>
      <c r="AG711" s="319"/>
      <c r="AH711" s="319"/>
      <c r="AI711" s="319"/>
      <c r="AJ711" s="319"/>
      <c r="AK711" s="319"/>
      <c r="AL711" s="319"/>
      <c r="AM711" s="319"/>
      <c r="AN711" s="319"/>
      <c r="AO711" s="319"/>
      <c r="AP711" s="319"/>
      <c r="AQ711" s="319"/>
      <c r="AR711" s="319"/>
      <c r="AS711" s="319"/>
      <c r="AT711" s="319"/>
      <c r="AU711" s="319"/>
      <c r="AV711" s="319"/>
      <c r="AW711" s="319"/>
      <c r="AX711" s="319"/>
      <c r="AY711" s="319"/>
      <c r="AZ711" s="319"/>
      <c r="BA711" s="319"/>
      <c r="BB711" s="319"/>
      <c r="BC711" s="319"/>
      <c r="BD711" s="319"/>
      <c r="BE711" s="319"/>
      <c r="BF711" s="319"/>
      <c r="BG711" s="319"/>
      <c r="BH711" s="319"/>
      <c r="BI711" s="319"/>
      <c r="BJ711" s="319"/>
      <c r="BK711" s="319"/>
      <c r="BL711" s="319"/>
      <c r="BM711" s="319"/>
      <c r="BN711" s="319"/>
      <c r="BO711" s="319"/>
      <c r="BP711" s="319"/>
      <c r="BQ711" s="319"/>
      <c r="BR711" s="319"/>
      <c r="BS711" s="319"/>
      <c r="BT711" s="319"/>
      <c r="BU711" s="319"/>
      <c r="BV711" s="319"/>
      <c r="BW711" s="319"/>
      <c r="BX711" s="319"/>
      <c r="BY711" s="319"/>
      <c r="BZ711" s="319"/>
      <c r="CA711" s="319"/>
      <c r="CB711" s="319"/>
      <c r="CC711" s="319"/>
      <c r="CD711" s="319"/>
      <c r="CE711" s="319"/>
      <c r="CF711" s="319"/>
      <c r="CG711" s="319"/>
      <c r="CH711" s="319"/>
      <c r="CI711" s="319"/>
      <c r="CJ711" s="319"/>
      <c r="CK711" s="319"/>
    </row>
    <row r="712" spans="1:89" ht="13.5" hidden="1" customHeight="1">
      <c r="A712" s="12"/>
      <c r="B712" s="329"/>
      <c r="C712" s="83" t="str">
        <f t="shared" si="172"/>
        <v>Janeiro</v>
      </c>
      <c r="D712" s="339"/>
      <c r="E712" s="339"/>
      <c r="F712" s="1"/>
      <c r="G712" s="1"/>
      <c r="H712" s="1"/>
      <c r="I712" s="1"/>
      <c r="J712" s="1"/>
      <c r="K712" s="9"/>
      <c r="L712" s="1"/>
      <c r="M712" s="319"/>
      <c r="N712" s="319">
        <v>5012026</v>
      </c>
      <c r="O712" s="319"/>
      <c r="P712" s="319"/>
      <c r="Q712" s="319"/>
      <c r="R712" s="319">
        <f t="shared" ref="R712:R722" si="174">R$706*(R$707-$U712)*4.2*IF(D$709&gt;7,7,D$709)/7*V679/1000</f>
        <v>0</v>
      </c>
      <c r="S712" s="319">
        <f t="shared" ref="S712:S722" si="175">S$706*(S$707-$U712)*4.2*IF(E$709&gt;7,7,E$709)/7*V679/1000</f>
        <v>0</v>
      </c>
      <c r="T712" s="319"/>
      <c r="U712" s="319">
        <f t="shared" si="173"/>
        <v>13.738479452054793</v>
      </c>
      <c r="V712" s="319">
        <f>MAX(1,$R$690+0.35*(R678-$R$690))</f>
        <v>13.738479452054793</v>
      </c>
      <c r="W712" s="319"/>
      <c r="X712" s="319"/>
      <c r="Y712" s="319"/>
      <c r="Z712" s="319"/>
      <c r="AA712" s="319"/>
      <c r="AB712" s="319"/>
      <c r="AC712" s="319"/>
      <c r="AD712" s="319"/>
      <c r="AE712" s="319"/>
      <c r="AF712" s="319"/>
      <c r="AG712" s="319"/>
      <c r="AH712" s="319"/>
      <c r="AI712" s="319"/>
      <c r="AJ712" s="319"/>
      <c r="AK712" s="319"/>
      <c r="AL712" s="319"/>
      <c r="AM712" s="319"/>
      <c r="AN712" s="319"/>
      <c r="AO712" s="319"/>
      <c r="AP712" s="319"/>
      <c r="AQ712" s="319"/>
      <c r="AR712" s="319"/>
      <c r="AS712" s="319"/>
      <c r="AT712" s="319"/>
      <c r="AU712" s="319"/>
      <c r="AV712" s="319"/>
      <c r="AW712" s="319"/>
      <c r="AX712" s="319"/>
      <c r="AY712" s="319"/>
      <c r="AZ712" s="319"/>
      <c r="BA712" s="319"/>
      <c r="BB712" s="319"/>
      <c r="BC712" s="319"/>
      <c r="BD712" s="319"/>
      <c r="BE712" s="319"/>
      <c r="BF712" s="319"/>
      <c r="BG712" s="319"/>
      <c r="BH712" s="319"/>
      <c r="BI712" s="319"/>
      <c r="BJ712" s="319"/>
      <c r="BK712" s="319"/>
      <c r="BL712" s="319"/>
      <c r="BM712" s="319"/>
      <c r="BN712" s="319"/>
      <c r="BO712" s="319"/>
      <c r="BP712" s="319"/>
      <c r="BQ712" s="319"/>
      <c r="BR712" s="319"/>
      <c r="BS712" s="319"/>
      <c r="BT712" s="319"/>
      <c r="BU712" s="319"/>
      <c r="BV712" s="319"/>
      <c r="BW712" s="319"/>
      <c r="BX712" s="319"/>
      <c r="BY712" s="319"/>
      <c r="BZ712" s="319"/>
      <c r="CA712" s="319"/>
      <c r="CB712" s="319"/>
      <c r="CC712" s="319"/>
      <c r="CD712" s="319"/>
      <c r="CE712" s="319"/>
      <c r="CF712" s="319"/>
      <c r="CG712" s="319"/>
      <c r="CH712" s="319"/>
      <c r="CI712" s="319"/>
      <c r="CJ712" s="319"/>
      <c r="CK712" s="319"/>
    </row>
    <row r="713" spans="1:89" ht="13.5" hidden="1" customHeight="1">
      <c r="A713" s="12"/>
      <c r="B713" s="329"/>
      <c r="C713" s="83" t="str">
        <f t="shared" si="172"/>
        <v>Fevereiro</v>
      </c>
      <c r="D713" s="339"/>
      <c r="E713" s="339"/>
      <c r="F713" s="1"/>
      <c r="G713" s="1"/>
      <c r="H713" s="1"/>
      <c r="I713" s="1"/>
      <c r="J713" s="1"/>
      <c r="K713" s="9"/>
      <c r="L713" s="1"/>
      <c r="M713" s="319"/>
      <c r="N713" s="319">
        <v>5012026</v>
      </c>
      <c r="O713" s="319"/>
      <c r="P713" s="319"/>
      <c r="Q713" s="319"/>
      <c r="R713" s="319">
        <f t="shared" si="174"/>
        <v>0</v>
      </c>
      <c r="S713" s="319">
        <f t="shared" si="175"/>
        <v>0</v>
      </c>
      <c r="T713" s="319"/>
      <c r="U713" s="319">
        <f t="shared" si="173"/>
        <v>14.088479452054793</v>
      </c>
      <c r="V713" s="319">
        <f t="shared" ref="V713:V722" si="176">MAX(1,$R$690+0.35*(R679-$R$690))</f>
        <v>14.088479452054793</v>
      </c>
      <c r="W713" s="319"/>
      <c r="X713" s="319"/>
      <c r="Y713" s="319"/>
      <c r="Z713" s="319"/>
      <c r="AA713" s="319"/>
      <c r="AB713" s="319"/>
      <c r="AC713" s="319"/>
      <c r="AD713" s="319"/>
      <c r="AE713" s="319"/>
      <c r="AF713" s="319"/>
      <c r="AG713" s="319"/>
      <c r="AH713" s="319"/>
      <c r="AI713" s="319"/>
      <c r="AJ713" s="319"/>
      <c r="AK713" s="319"/>
      <c r="AL713" s="319"/>
      <c r="AM713" s="319"/>
      <c r="AN713" s="319"/>
      <c r="AO713" s="319"/>
      <c r="AP713" s="319"/>
      <c r="AQ713" s="319"/>
      <c r="AR713" s="319"/>
      <c r="AS713" s="319"/>
      <c r="AT713" s="319"/>
      <c r="AU713" s="319"/>
      <c r="AV713" s="319"/>
      <c r="AW713" s="319"/>
      <c r="AX713" s="319"/>
      <c r="AY713" s="319"/>
      <c r="AZ713" s="319"/>
      <c r="BA713" s="319"/>
      <c r="BB713" s="319"/>
      <c r="BC713" s="319"/>
      <c r="BD713" s="319"/>
      <c r="BE713" s="319"/>
      <c r="BF713" s="319"/>
      <c r="BG713" s="319"/>
      <c r="BH713" s="319"/>
      <c r="BI713" s="319"/>
      <c r="BJ713" s="319"/>
      <c r="BK713" s="319"/>
      <c r="BL713" s="319"/>
      <c r="BM713" s="319"/>
      <c r="BN713" s="319"/>
      <c r="BO713" s="319"/>
      <c r="BP713" s="319"/>
      <c r="BQ713" s="319"/>
      <c r="BR713" s="319"/>
      <c r="BS713" s="319"/>
      <c r="BT713" s="319"/>
      <c r="BU713" s="319"/>
      <c r="BV713" s="319"/>
      <c r="BW713" s="319"/>
      <c r="BX713" s="319"/>
      <c r="BY713" s="319"/>
      <c r="BZ713" s="319"/>
      <c r="CA713" s="319"/>
      <c r="CB713" s="319"/>
      <c r="CC713" s="319"/>
      <c r="CD713" s="319"/>
      <c r="CE713" s="319"/>
      <c r="CF713" s="319"/>
      <c r="CG713" s="319"/>
      <c r="CH713" s="319"/>
      <c r="CI713" s="319"/>
      <c r="CJ713" s="319"/>
      <c r="CK713" s="319"/>
    </row>
    <row r="714" spans="1:89" ht="13.5" hidden="1" customHeight="1">
      <c r="A714" s="12"/>
      <c r="B714" s="329"/>
      <c r="C714" s="83" t="str">
        <f t="shared" si="172"/>
        <v>Março</v>
      </c>
      <c r="D714" s="339"/>
      <c r="E714" s="339"/>
      <c r="F714" s="1"/>
      <c r="G714" s="1"/>
      <c r="H714" s="1"/>
      <c r="I714" s="1"/>
      <c r="J714" s="1"/>
      <c r="K714" s="9"/>
      <c r="L714" s="1"/>
      <c r="M714" s="319"/>
      <c r="N714" s="319">
        <v>5012026</v>
      </c>
      <c r="O714" s="319"/>
      <c r="P714" s="319"/>
      <c r="Q714" s="319"/>
      <c r="R714" s="319">
        <f t="shared" si="174"/>
        <v>0</v>
      </c>
      <c r="S714" s="319">
        <f t="shared" si="175"/>
        <v>0</v>
      </c>
      <c r="T714" s="319"/>
      <c r="U714" s="319">
        <f t="shared" si="173"/>
        <v>14.613479452054793</v>
      </c>
      <c r="V714" s="319">
        <f t="shared" si="176"/>
        <v>14.613479452054793</v>
      </c>
      <c r="W714" s="319"/>
      <c r="X714" s="319"/>
      <c r="Y714" s="319"/>
      <c r="Z714" s="319"/>
      <c r="AA714" s="319"/>
      <c r="AB714" s="319"/>
      <c r="AC714" s="319"/>
      <c r="AD714" s="319"/>
      <c r="AE714" s="319"/>
      <c r="AF714" s="319"/>
      <c r="AG714" s="319"/>
      <c r="AH714" s="319"/>
      <c r="AI714" s="319"/>
      <c r="AJ714" s="319"/>
      <c r="AK714" s="319"/>
      <c r="AL714" s="319"/>
      <c r="AM714" s="319"/>
      <c r="AN714" s="319"/>
      <c r="AO714" s="319"/>
      <c r="AP714" s="319"/>
      <c r="AQ714" s="319"/>
      <c r="AR714" s="319"/>
      <c r="AS714" s="319"/>
      <c r="AT714" s="319"/>
      <c r="AU714" s="319"/>
      <c r="AV714" s="319"/>
      <c r="AW714" s="319"/>
      <c r="AX714" s="319"/>
      <c r="AY714" s="319"/>
      <c r="AZ714" s="319"/>
      <c r="BA714" s="319"/>
      <c r="BB714" s="319"/>
      <c r="BC714" s="319"/>
      <c r="BD714" s="319"/>
      <c r="BE714" s="319"/>
      <c r="BF714" s="319"/>
      <c r="BG714" s="319"/>
      <c r="BH714" s="319"/>
      <c r="BI714" s="319"/>
      <c r="BJ714" s="319"/>
      <c r="BK714" s="319"/>
      <c r="BL714" s="319"/>
      <c r="BM714" s="319"/>
      <c r="BN714" s="319"/>
      <c r="BO714" s="319"/>
      <c r="BP714" s="319"/>
      <c r="BQ714" s="319"/>
      <c r="BR714" s="319"/>
      <c r="BS714" s="319"/>
      <c r="BT714" s="319"/>
      <c r="BU714" s="319"/>
      <c r="BV714" s="319"/>
      <c r="BW714" s="319"/>
      <c r="BX714" s="319"/>
      <c r="BY714" s="319"/>
      <c r="BZ714" s="319"/>
      <c r="CA714" s="319"/>
      <c r="CB714" s="319"/>
      <c r="CC714" s="319"/>
      <c r="CD714" s="319"/>
      <c r="CE714" s="319"/>
      <c r="CF714" s="319"/>
      <c r="CG714" s="319"/>
      <c r="CH714" s="319"/>
      <c r="CI714" s="319"/>
      <c r="CJ714" s="319"/>
      <c r="CK714" s="319"/>
    </row>
    <row r="715" spans="1:89" ht="13.5" hidden="1" customHeight="1">
      <c r="A715" s="12"/>
      <c r="B715" s="329"/>
      <c r="C715" s="83" t="str">
        <f t="shared" si="172"/>
        <v>Abril</v>
      </c>
      <c r="D715" s="339"/>
      <c r="E715" s="339"/>
      <c r="F715" s="1"/>
      <c r="G715" s="1"/>
      <c r="H715" s="1"/>
      <c r="I715" s="1"/>
      <c r="J715" s="1"/>
      <c r="K715" s="9"/>
      <c r="L715" s="1"/>
      <c r="M715" s="319"/>
      <c r="N715" s="319">
        <v>5012026</v>
      </c>
      <c r="O715" s="319"/>
      <c r="P715" s="319"/>
      <c r="Q715" s="319"/>
      <c r="R715" s="319">
        <f t="shared" si="174"/>
        <v>0</v>
      </c>
      <c r="S715" s="319">
        <f t="shared" si="175"/>
        <v>0</v>
      </c>
      <c r="T715" s="319"/>
      <c r="U715" s="319">
        <f t="shared" si="173"/>
        <v>15.138479452054794</v>
      </c>
      <c r="V715" s="319">
        <f t="shared" si="176"/>
        <v>15.138479452054794</v>
      </c>
      <c r="W715" s="319"/>
      <c r="X715" s="319"/>
      <c r="Y715" s="319"/>
      <c r="Z715" s="319"/>
      <c r="AA715" s="319"/>
      <c r="AB715" s="319"/>
      <c r="AC715" s="319"/>
      <c r="AD715" s="319"/>
      <c r="AE715" s="319"/>
      <c r="AF715" s="319"/>
      <c r="AG715" s="319"/>
      <c r="AH715" s="319"/>
      <c r="AI715" s="319"/>
      <c r="AJ715" s="319"/>
      <c r="AK715" s="319"/>
      <c r="AL715" s="319"/>
      <c r="AM715" s="319"/>
      <c r="AN715" s="319"/>
      <c r="AO715" s="319"/>
      <c r="AP715" s="319"/>
      <c r="AQ715" s="319"/>
      <c r="AR715" s="319"/>
      <c r="AS715" s="319"/>
      <c r="AT715" s="319"/>
      <c r="AU715" s="319"/>
      <c r="AV715" s="319"/>
      <c r="AW715" s="319"/>
      <c r="AX715" s="319"/>
      <c r="AY715" s="319"/>
      <c r="AZ715" s="319"/>
      <c r="BA715" s="319"/>
      <c r="BB715" s="319"/>
      <c r="BC715" s="319"/>
      <c r="BD715" s="319"/>
      <c r="BE715" s="319"/>
      <c r="BF715" s="319"/>
      <c r="BG715" s="319"/>
      <c r="BH715" s="319"/>
      <c r="BI715" s="319"/>
      <c r="BJ715" s="319"/>
      <c r="BK715" s="319"/>
      <c r="BL715" s="319"/>
      <c r="BM715" s="319"/>
      <c r="BN715" s="319"/>
      <c r="BO715" s="319"/>
      <c r="BP715" s="319"/>
      <c r="BQ715" s="319"/>
      <c r="BR715" s="319"/>
      <c r="BS715" s="319"/>
      <c r="BT715" s="319"/>
      <c r="BU715" s="319"/>
      <c r="BV715" s="319"/>
      <c r="BW715" s="319"/>
      <c r="BX715" s="319"/>
      <c r="BY715" s="319"/>
      <c r="BZ715" s="319"/>
      <c r="CA715" s="319"/>
      <c r="CB715" s="319"/>
      <c r="CC715" s="319"/>
      <c r="CD715" s="319"/>
      <c r="CE715" s="319"/>
      <c r="CF715" s="319"/>
      <c r="CG715" s="319"/>
      <c r="CH715" s="319"/>
      <c r="CI715" s="319"/>
      <c r="CJ715" s="319"/>
      <c r="CK715" s="319"/>
    </row>
    <row r="716" spans="1:89" ht="13.5" hidden="1" customHeight="1">
      <c r="A716" s="12"/>
      <c r="B716" s="329"/>
      <c r="C716" s="83" t="str">
        <f t="shared" si="172"/>
        <v>Maio</v>
      </c>
      <c r="D716" s="339"/>
      <c r="E716" s="339"/>
      <c r="F716" s="1"/>
      <c r="G716" s="1"/>
      <c r="H716" s="1"/>
      <c r="I716" s="1"/>
      <c r="J716" s="1"/>
      <c r="K716" s="9"/>
      <c r="L716" s="1"/>
      <c r="M716" s="319"/>
      <c r="N716" s="319">
        <v>5012026</v>
      </c>
      <c r="O716" s="319"/>
      <c r="P716" s="319"/>
      <c r="Q716" s="319"/>
      <c r="R716" s="319">
        <f t="shared" si="174"/>
        <v>0</v>
      </c>
      <c r="S716" s="319">
        <f t="shared" si="175"/>
        <v>0</v>
      </c>
      <c r="T716" s="319"/>
      <c r="U716" s="319">
        <f t="shared" si="173"/>
        <v>15.978479452054794</v>
      </c>
      <c r="V716" s="319">
        <f t="shared" si="176"/>
        <v>15.978479452054794</v>
      </c>
      <c r="W716" s="319"/>
      <c r="X716" s="319"/>
      <c r="Y716" s="319"/>
      <c r="Z716" s="319"/>
      <c r="AA716" s="319"/>
      <c r="AB716" s="319"/>
      <c r="AC716" s="319"/>
      <c r="AD716" s="319"/>
      <c r="AE716" s="319"/>
      <c r="AF716" s="319"/>
      <c r="AG716" s="319"/>
      <c r="AH716" s="319"/>
      <c r="AI716" s="319"/>
      <c r="AJ716" s="319"/>
      <c r="AK716" s="319"/>
      <c r="AL716" s="319"/>
      <c r="AM716" s="319"/>
      <c r="AN716" s="319"/>
      <c r="AO716" s="319"/>
      <c r="AP716" s="319"/>
      <c r="AQ716" s="319"/>
      <c r="AR716" s="319"/>
      <c r="AS716" s="319"/>
      <c r="AT716" s="319"/>
      <c r="AU716" s="319"/>
      <c r="AV716" s="319"/>
      <c r="AW716" s="319"/>
      <c r="AX716" s="319"/>
      <c r="AY716" s="319"/>
      <c r="AZ716" s="319"/>
      <c r="BA716" s="319"/>
      <c r="BB716" s="319"/>
      <c r="BC716" s="319"/>
      <c r="BD716" s="319"/>
      <c r="BE716" s="319"/>
      <c r="BF716" s="319"/>
      <c r="BG716" s="319"/>
      <c r="BH716" s="319"/>
      <c r="BI716" s="319"/>
      <c r="BJ716" s="319"/>
      <c r="BK716" s="319"/>
      <c r="BL716" s="319"/>
      <c r="BM716" s="319"/>
      <c r="BN716" s="319"/>
      <c r="BO716" s="319"/>
      <c r="BP716" s="319"/>
      <c r="BQ716" s="319"/>
      <c r="BR716" s="319"/>
      <c r="BS716" s="319"/>
      <c r="BT716" s="319"/>
      <c r="BU716" s="319"/>
      <c r="BV716" s="319"/>
      <c r="BW716" s="319"/>
      <c r="BX716" s="319"/>
      <c r="BY716" s="319"/>
      <c r="BZ716" s="319"/>
      <c r="CA716" s="319"/>
      <c r="CB716" s="319"/>
      <c r="CC716" s="319"/>
      <c r="CD716" s="319"/>
      <c r="CE716" s="319"/>
      <c r="CF716" s="319"/>
      <c r="CG716" s="319"/>
      <c r="CH716" s="319"/>
      <c r="CI716" s="319"/>
      <c r="CJ716" s="319"/>
      <c r="CK716" s="319"/>
    </row>
    <row r="717" spans="1:89" ht="13.5" hidden="1" customHeight="1">
      <c r="A717" s="12"/>
      <c r="B717" s="329"/>
      <c r="C717" s="83" t="str">
        <f t="shared" si="172"/>
        <v>Junho</v>
      </c>
      <c r="D717" s="339"/>
      <c r="E717" s="339"/>
      <c r="F717" s="1"/>
      <c r="G717" s="1"/>
      <c r="H717" s="1"/>
      <c r="I717" s="1"/>
      <c r="J717" s="1"/>
      <c r="K717" s="9"/>
      <c r="L717" s="1"/>
      <c r="M717" s="319"/>
      <c r="N717" s="319">
        <v>5012026</v>
      </c>
      <c r="O717" s="319"/>
      <c r="P717" s="319"/>
      <c r="Q717" s="319"/>
      <c r="R717" s="319">
        <f t="shared" si="174"/>
        <v>0</v>
      </c>
      <c r="S717" s="319">
        <f t="shared" si="175"/>
        <v>0</v>
      </c>
      <c r="T717" s="319"/>
      <c r="U717" s="319">
        <f t="shared" si="173"/>
        <v>17.098479452054793</v>
      </c>
      <c r="V717" s="319">
        <f t="shared" si="176"/>
        <v>17.098479452054793</v>
      </c>
      <c r="W717" s="319"/>
      <c r="X717" s="319"/>
      <c r="Y717" s="319"/>
      <c r="Z717" s="319"/>
      <c r="AA717" s="319"/>
      <c r="AB717" s="319"/>
      <c r="AC717" s="319"/>
      <c r="AD717" s="319"/>
      <c r="AE717" s="319"/>
      <c r="AF717" s="319"/>
      <c r="AG717" s="319"/>
      <c r="AH717" s="319"/>
      <c r="AI717" s="319"/>
      <c r="AJ717" s="319"/>
      <c r="AK717" s="319"/>
      <c r="AL717" s="319"/>
      <c r="AM717" s="319"/>
      <c r="AN717" s="319"/>
      <c r="AO717" s="319"/>
      <c r="AP717" s="319"/>
      <c r="AQ717" s="319"/>
      <c r="AR717" s="319"/>
      <c r="AS717" s="319"/>
      <c r="AT717" s="319"/>
      <c r="AU717" s="319"/>
      <c r="AV717" s="319"/>
      <c r="AW717" s="319"/>
      <c r="AX717" s="319"/>
      <c r="AY717" s="319"/>
      <c r="AZ717" s="319"/>
      <c r="BA717" s="319"/>
      <c r="BB717" s="319"/>
      <c r="BC717" s="319"/>
      <c r="BD717" s="319"/>
      <c r="BE717" s="319"/>
      <c r="BF717" s="319"/>
      <c r="BG717" s="319"/>
      <c r="BH717" s="319"/>
      <c r="BI717" s="319"/>
      <c r="BJ717" s="319"/>
      <c r="BK717" s="319"/>
      <c r="BL717" s="319"/>
      <c r="BM717" s="319"/>
      <c r="BN717" s="319"/>
      <c r="BO717" s="319"/>
      <c r="BP717" s="319"/>
      <c r="BQ717" s="319"/>
      <c r="BR717" s="319"/>
      <c r="BS717" s="319"/>
      <c r="BT717" s="319"/>
      <c r="BU717" s="319"/>
      <c r="BV717" s="319"/>
      <c r="BW717" s="319"/>
      <c r="BX717" s="319"/>
      <c r="BY717" s="319"/>
      <c r="BZ717" s="319"/>
      <c r="CA717" s="319"/>
      <c r="CB717" s="319"/>
      <c r="CC717" s="319"/>
      <c r="CD717" s="319"/>
      <c r="CE717" s="319"/>
      <c r="CF717" s="319"/>
      <c r="CG717" s="319"/>
      <c r="CH717" s="319"/>
      <c r="CI717" s="319"/>
      <c r="CJ717" s="319"/>
      <c r="CK717" s="319"/>
    </row>
    <row r="718" spans="1:89" ht="12.75" hidden="1" customHeight="1">
      <c r="A718" s="12"/>
      <c r="B718" s="329"/>
      <c r="C718" s="83" t="str">
        <f t="shared" si="172"/>
        <v>Julho</v>
      </c>
      <c r="D718" s="339"/>
      <c r="E718" s="339"/>
      <c r="F718" s="1"/>
      <c r="G718" s="1"/>
      <c r="H718" s="1"/>
      <c r="I718" s="1"/>
      <c r="J718" s="1"/>
      <c r="K718" s="9"/>
      <c r="L718" s="1"/>
      <c r="M718" s="319"/>
      <c r="N718" s="319">
        <v>5012026</v>
      </c>
      <c r="O718" s="319"/>
      <c r="P718" s="319"/>
      <c r="Q718" s="319"/>
      <c r="R718" s="319">
        <f t="shared" si="174"/>
        <v>0</v>
      </c>
      <c r="S718" s="319">
        <f t="shared" si="175"/>
        <v>0</v>
      </c>
      <c r="T718" s="319"/>
      <c r="U718" s="319">
        <f t="shared" si="173"/>
        <v>17.868479452054792</v>
      </c>
      <c r="V718" s="319">
        <f t="shared" si="176"/>
        <v>17.868479452054792</v>
      </c>
      <c r="W718" s="319"/>
      <c r="X718" s="319"/>
      <c r="Y718" s="319"/>
      <c r="Z718" s="319"/>
      <c r="AA718" s="319"/>
      <c r="AB718" s="319"/>
      <c r="AC718" s="319"/>
      <c r="AD718" s="319"/>
      <c r="AE718" s="319"/>
      <c r="AF718" s="319"/>
      <c r="AG718" s="319"/>
      <c r="AH718" s="319"/>
      <c r="AI718" s="319"/>
      <c r="AJ718" s="319"/>
      <c r="AK718" s="319"/>
      <c r="AL718" s="319"/>
      <c r="AM718" s="319"/>
      <c r="AN718" s="319"/>
      <c r="AO718" s="319"/>
      <c r="AP718" s="319"/>
      <c r="AQ718" s="319"/>
      <c r="AR718" s="319"/>
      <c r="AS718" s="319"/>
      <c r="AT718" s="319"/>
      <c r="AU718" s="319"/>
      <c r="AV718" s="319"/>
      <c r="AW718" s="319"/>
      <c r="AX718" s="319"/>
      <c r="AY718" s="319"/>
      <c r="AZ718" s="319"/>
      <c r="BA718" s="319"/>
      <c r="BB718" s="319"/>
      <c r="BC718" s="319"/>
      <c r="BD718" s="319"/>
      <c r="BE718" s="319"/>
      <c r="BF718" s="319"/>
      <c r="BG718" s="319"/>
      <c r="BH718" s="319"/>
      <c r="BI718" s="319"/>
      <c r="BJ718" s="319"/>
      <c r="BK718" s="319"/>
      <c r="BL718" s="319"/>
      <c r="BM718" s="319"/>
      <c r="BN718" s="319"/>
      <c r="BO718" s="319"/>
      <c r="BP718" s="319"/>
      <c r="BQ718" s="319"/>
      <c r="BR718" s="319"/>
      <c r="BS718" s="319"/>
      <c r="BT718" s="319"/>
      <c r="BU718" s="319"/>
      <c r="BV718" s="319"/>
      <c r="BW718" s="319"/>
      <c r="BX718" s="319"/>
      <c r="BY718" s="319"/>
      <c r="BZ718" s="319"/>
      <c r="CA718" s="319"/>
      <c r="CB718" s="319"/>
      <c r="CC718" s="319"/>
      <c r="CD718" s="319"/>
      <c r="CE718" s="319"/>
      <c r="CF718" s="319"/>
      <c r="CG718" s="319"/>
      <c r="CH718" s="319"/>
      <c r="CI718" s="319"/>
      <c r="CJ718" s="319"/>
      <c r="CK718" s="319"/>
    </row>
    <row r="719" spans="1:89" ht="13.5" hidden="1" customHeight="1">
      <c r="A719" s="12"/>
      <c r="B719" s="329"/>
      <c r="C719" s="83" t="str">
        <f t="shared" si="172"/>
        <v>Agosto</v>
      </c>
      <c r="D719" s="339"/>
      <c r="E719" s="339"/>
      <c r="F719" s="1"/>
      <c r="G719" s="1"/>
      <c r="H719" s="1"/>
      <c r="I719" s="1"/>
      <c r="J719" s="1"/>
      <c r="K719" s="9"/>
      <c r="L719" s="1"/>
      <c r="M719" s="319"/>
      <c r="N719" s="319">
        <v>5012026</v>
      </c>
      <c r="O719" s="319"/>
      <c r="P719" s="319"/>
      <c r="Q719" s="319"/>
      <c r="R719" s="319">
        <f t="shared" si="174"/>
        <v>0</v>
      </c>
      <c r="S719" s="319">
        <f t="shared" si="175"/>
        <v>0</v>
      </c>
      <c r="T719" s="319"/>
      <c r="U719" s="319">
        <f t="shared" si="173"/>
        <v>17.868479452054792</v>
      </c>
      <c r="V719" s="319">
        <f t="shared" si="176"/>
        <v>17.868479452054792</v>
      </c>
      <c r="W719" s="319"/>
      <c r="X719" s="319"/>
      <c r="Y719" s="319"/>
      <c r="Z719" s="319"/>
      <c r="AA719" s="319"/>
      <c r="AB719" s="319"/>
      <c r="AC719" s="319"/>
      <c r="AD719" s="319"/>
      <c r="AE719" s="319"/>
      <c r="AF719" s="319"/>
      <c r="AG719" s="319"/>
      <c r="AH719" s="319"/>
      <c r="AI719" s="319"/>
      <c r="AJ719" s="319"/>
      <c r="AK719" s="319"/>
      <c r="AL719" s="319"/>
      <c r="AM719" s="319"/>
      <c r="AN719" s="319"/>
      <c r="AO719" s="319"/>
      <c r="AP719" s="319"/>
      <c r="AQ719" s="319"/>
      <c r="AR719" s="319"/>
      <c r="AS719" s="319"/>
      <c r="AT719" s="319"/>
      <c r="AU719" s="319"/>
      <c r="AV719" s="319"/>
      <c r="AW719" s="319"/>
      <c r="AX719" s="319"/>
      <c r="AY719" s="319"/>
      <c r="AZ719" s="319"/>
      <c r="BA719" s="319"/>
      <c r="BB719" s="319"/>
      <c r="BC719" s="319"/>
      <c r="BD719" s="319"/>
      <c r="BE719" s="319"/>
      <c r="BF719" s="319"/>
      <c r="BG719" s="319"/>
      <c r="BH719" s="319"/>
      <c r="BI719" s="319"/>
      <c r="BJ719" s="319"/>
      <c r="BK719" s="319"/>
      <c r="BL719" s="319"/>
      <c r="BM719" s="319"/>
      <c r="BN719" s="319"/>
      <c r="BO719" s="319"/>
      <c r="BP719" s="319"/>
      <c r="BQ719" s="319"/>
      <c r="BR719" s="319"/>
      <c r="BS719" s="319"/>
      <c r="BT719" s="319"/>
      <c r="BU719" s="319"/>
      <c r="BV719" s="319"/>
      <c r="BW719" s="319"/>
      <c r="BX719" s="319"/>
      <c r="BY719" s="319"/>
      <c r="BZ719" s="319"/>
      <c r="CA719" s="319"/>
      <c r="CB719" s="319"/>
      <c r="CC719" s="319"/>
      <c r="CD719" s="319"/>
      <c r="CE719" s="319"/>
      <c r="CF719" s="319"/>
      <c r="CG719" s="319"/>
      <c r="CH719" s="319"/>
      <c r="CI719" s="319"/>
      <c r="CJ719" s="319"/>
      <c r="CK719" s="319"/>
    </row>
    <row r="720" spans="1:89" ht="13.5" hidden="1" customHeight="1">
      <c r="A720" s="12"/>
      <c r="B720" s="329"/>
      <c r="C720" s="83" t="str">
        <f t="shared" si="172"/>
        <v>Setembro</v>
      </c>
      <c r="D720" s="339"/>
      <c r="E720" s="339"/>
      <c r="F720" s="1"/>
      <c r="G720" s="1"/>
      <c r="H720" s="1"/>
      <c r="I720" s="1"/>
      <c r="J720" s="1"/>
      <c r="K720" s="9"/>
      <c r="L720" s="1"/>
      <c r="M720" s="319"/>
      <c r="N720" s="319">
        <v>5012026</v>
      </c>
      <c r="O720" s="319"/>
      <c r="P720" s="319"/>
      <c r="Q720" s="319"/>
      <c r="R720" s="319">
        <f t="shared" si="174"/>
        <v>0</v>
      </c>
      <c r="S720" s="319">
        <f t="shared" si="175"/>
        <v>0</v>
      </c>
      <c r="T720" s="319"/>
      <c r="U720" s="319">
        <f t="shared" si="173"/>
        <v>17.518479452054791</v>
      </c>
      <c r="V720" s="319">
        <f t="shared" si="176"/>
        <v>17.518479452054791</v>
      </c>
      <c r="W720" s="319"/>
      <c r="X720" s="319"/>
      <c r="Y720" s="319"/>
      <c r="Z720" s="319"/>
      <c r="AA720" s="319"/>
      <c r="AB720" s="319"/>
      <c r="AC720" s="319"/>
      <c r="AD720" s="319"/>
      <c r="AE720" s="319"/>
      <c r="AF720" s="319"/>
      <c r="AG720" s="319"/>
      <c r="AH720" s="319"/>
      <c r="AI720" s="319"/>
      <c r="AJ720" s="319"/>
      <c r="AK720" s="319"/>
      <c r="AL720" s="319"/>
      <c r="AM720" s="319"/>
      <c r="AN720" s="319"/>
      <c r="AO720" s="319"/>
      <c r="AP720" s="319"/>
      <c r="AQ720" s="319"/>
      <c r="AR720" s="319"/>
      <c r="AS720" s="319"/>
      <c r="AT720" s="319"/>
      <c r="AU720" s="319"/>
      <c r="AV720" s="319"/>
      <c r="AW720" s="319"/>
      <c r="AX720" s="319"/>
      <c r="AY720" s="319"/>
      <c r="AZ720" s="319"/>
      <c r="BA720" s="319"/>
      <c r="BB720" s="319"/>
      <c r="BC720" s="319"/>
      <c r="BD720" s="319"/>
      <c r="BE720" s="319"/>
      <c r="BF720" s="319"/>
      <c r="BG720" s="319"/>
      <c r="BH720" s="319"/>
      <c r="BI720" s="319"/>
      <c r="BJ720" s="319"/>
      <c r="BK720" s="319"/>
      <c r="BL720" s="319"/>
      <c r="BM720" s="319"/>
      <c r="BN720" s="319"/>
      <c r="BO720" s="319"/>
      <c r="BP720" s="319"/>
      <c r="BQ720" s="319"/>
      <c r="BR720" s="319"/>
      <c r="BS720" s="319"/>
      <c r="BT720" s="319"/>
      <c r="BU720" s="319"/>
      <c r="BV720" s="319"/>
      <c r="BW720" s="319"/>
      <c r="BX720" s="319"/>
      <c r="BY720" s="319"/>
      <c r="BZ720" s="319"/>
      <c r="CA720" s="319"/>
      <c r="CB720" s="319"/>
      <c r="CC720" s="319"/>
      <c r="CD720" s="319"/>
      <c r="CE720" s="319"/>
      <c r="CF720" s="319"/>
      <c r="CG720" s="319"/>
      <c r="CH720" s="319"/>
      <c r="CI720" s="319"/>
      <c r="CJ720" s="319"/>
      <c r="CK720" s="319"/>
    </row>
    <row r="721" spans="1:89" ht="13.5" hidden="1" customHeight="1">
      <c r="A721" s="12"/>
      <c r="B721" s="329"/>
      <c r="C721" s="83" t="str">
        <f t="shared" si="172"/>
        <v>Outubro</v>
      </c>
      <c r="D721" s="339"/>
      <c r="E721" s="339"/>
      <c r="F721" s="1"/>
      <c r="G721" s="1"/>
      <c r="H721" s="1"/>
      <c r="I721" s="1"/>
      <c r="J721" s="1"/>
      <c r="K721" s="9"/>
      <c r="L721" s="1"/>
      <c r="M721" s="319"/>
      <c r="N721" s="319">
        <v>5012026</v>
      </c>
      <c r="O721" s="319"/>
      <c r="P721" s="319"/>
      <c r="Q721" s="319"/>
      <c r="R721" s="319">
        <f t="shared" si="174"/>
        <v>0</v>
      </c>
      <c r="S721" s="319">
        <f t="shared" si="175"/>
        <v>0</v>
      </c>
      <c r="T721" s="319"/>
      <c r="U721" s="319">
        <f t="shared" si="173"/>
        <v>16.328479452054793</v>
      </c>
      <c r="V721" s="319">
        <f t="shared" si="176"/>
        <v>16.328479452054793</v>
      </c>
      <c r="W721" s="319"/>
      <c r="X721" s="319"/>
      <c r="Y721" s="319"/>
      <c r="Z721" s="319"/>
      <c r="AA721" s="319"/>
      <c r="AB721" s="319"/>
      <c r="AC721" s="319"/>
      <c r="AD721" s="319"/>
      <c r="AE721" s="319"/>
      <c r="AF721" s="319"/>
      <c r="AG721" s="319"/>
      <c r="AH721" s="319"/>
      <c r="AI721" s="319"/>
      <c r="AJ721" s="319"/>
      <c r="AK721" s="319"/>
      <c r="AL721" s="319"/>
      <c r="AM721" s="319"/>
      <c r="AN721" s="319"/>
      <c r="AO721" s="319"/>
      <c r="AP721" s="319"/>
      <c r="AQ721" s="319"/>
      <c r="AR721" s="319"/>
      <c r="AS721" s="319"/>
      <c r="AT721" s="319"/>
      <c r="AU721" s="319"/>
      <c r="AV721" s="319"/>
      <c r="AW721" s="319"/>
      <c r="AX721" s="319"/>
      <c r="AY721" s="319"/>
      <c r="AZ721" s="319"/>
      <c r="BA721" s="319"/>
      <c r="BB721" s="319"/>
      <c r="BC721" s="319"/>
      <c r="BD721" s="319"/>
      <c r="BE721" s="319"/>
      <c r="BF721" s="319"/>
      <c r="BG721" s="319"/>
      <c r="BH721" s="319"/>
      <c r="BI721" s="319"/>
      <c r="BJ721" s="319"/>
      <c r="BK721" s="319"/>
      <c r="BL721" s="319"/>
      <c r="BM721" s="319"/>
      <c r="BN721" s="319"/>
      <c r="BO721" s="319"/>
      <c r="BP721" s="319"/>
      <c r="BQ721" s="319"/>
      <c r="BR721" s="319"/>
      <c r="BS721" s="319"/>
      <c r="BT721" s="319"/>
      <c r="BU721" s="319"/>
      <c r="BV721" s="319"/>
      <c r="BW721" s="319"/>
      <c r="BX721" s="319"/>
      <c r="BY721" s="319"/>
      <c r="BZ721" s="319"/>
      <c r="CA721" s="319"/>
      <c r="CB721" s="319"/>
      <c r="CC721" s="319"/>
      <c r="CD721" s="319"/>
      <c r="CE721" s="319"/>
      <c r="CF721" s="319"/>
      <c r="CG721" s="319"/>
      <c r="CH721" s="319"/>
      <c r="CI721" s="319"/>
      <c r="CJ721" s="319"/>
      <c r="CK721" s="319"/>
    </row>
    <row r="722" spans="1:89" ht="13.5" hidden="1" customHeight="1">
      <c r="A722" s="12"/>
      <c r="B722" s="329"/>
      <c r="C722" s="83" t="str">
        <f t="shared" si="172"/>
        <v>Novembro</v>
      </c>
      <c r="D722" s="339"/>
      <c r="E722" s="339"/>
      <c r="F722" s="1"/>
      <c r="G722" s="1"/>
      <c r="H722" s="1"/>
      <c r="I722" s="1"/>
      <c r="J722" s="1"/>
      <c r="K722" s="9"/>
      <c r="L722" s="1"/>
      <c r="M722" s="319"/>
      <c r="N722" s="319">
        <v>5012026</v>
      </c>
      <c r="O722" s="319"/>
      <c r="P722" s="319"/>
      <c r="Q722" s="319"/>
      <c r="R722" s="319">
        <f t="shared" si="174"/>
        <v>0</v>
      </c>
      <c r="S722" s="319">
        <f t="shared" si="175"/>
        <v>0</v>
      </c>
      <c r="T722" s="319"/>
      <c r="U722" s="319">
        <f t="shared" si="173"/>
        <v>14.788479452054794</v>
      </c>
      <c r="V722" s="319">
        <f t="shared" si="176"/>
        <v>14.788479452054794</v>
      </c>
      <c r="W722" s="319"/>
      <c r="X722" s="319"/>
      <c r="Y722" s="319"/>
      <c r="Z722" s="319"/>
      <c r="AA722" s="319"/>
      <c r="AB722" s="319"/>
      <c r="AC722" s="319"/>
      <c r="AD722" s="319"/>
      <c r="AE722" s="319"/>
      <c r="AF722" s="319"/>
      <c r="AG722" s="319"/>
      <c r="AH722" s="319"/>
      <c r="AI722" s="319"/>
      <c r="AJ722" s="319"/>
      <c r="AK722" s="319"/>
      <c r="AL722" s="319"/>
      <c r="AM722" s="319"/>
      <c r="AN722" s="319"/>
      <c r="AO722" s="319"/>
      <c r="AP722" s="319"/>
      <c r="AQ722" s="319"/>
      <c r="AR722" s="319"/>
      <c r="AS722" s="319"/>
      <c r="AT722" s="319"/>
      <c r="AU722" s="319"/>
      <c r="AV722" s="319"/>
      <c r="AW722" s="319"/>
      <c r="AX722" s="319"/>
      <c r="AY722" s="319"/>
      <c r="AZ722" s="319"/>
      <c r="BA722" s="319"/>
      <c r="BB722" s="319"/>
      <c r="BC722" s="319"/>
      <c r="BD722" s="319"/>
      <c r="BE722" s="319"/>
      <c r="BF722" s="319"/>
      <c r="BG722" s="319"/>
      <c r="BH722" s="319"/>
      <c r="BI722" s="319"/>
      <c r="BJ722" s="319"/>
      <c r="BK722" s="319"/>
      <c r="BL722" s="319"/>
      <c r="BM722" s="319"/>
      <c r="BN722" s="319"/>
      <c r="BO722" s="319"/>
      <c r="BP722" s="319"/>
      <c r="BQ722" s="319"/>
      <c r="BR722" s="319"/>
      <c r="BS722" s="319"/>
      <c r="BT722" s="319"/>
      <c r="BU722" s="319"/>
      <c r="BV722" s="319"/>
      <c r="BW722" s="319"/>
      <c r="BX722" s="319"/>
      <c r="BY722" s="319"/>
      <c r="BZ722" s="319"/>
      <c r="CA722" s="319"/>
      <c r="CB722" s="319"/>
      <c r="CC722" s="319"/>
      <c r="CD722" s="319"/>
      <c r="CE722" s="319"/>
      <c r="CF722" s="319"/>
      <c r="CG722" s="319"/>
      <c r="CH722" s="319"/>
      <c r="CI722" s="319"/>
      <c r="CJ722" s="319"/>
      <c r="CK722" s="319"/>
    </row>
    <row r="723" spans="1:89" ht="13.2" hidden="1">
      <c r="A723" s="12"/>
      <c r="B723" s="329"/>
      <c r="C723" s="83" t="str">
        <f t="shared" si="172"/>
        <v>Dezembro</v>
      </c>
      <c r="D723" s="339"/>
      <c r="E723" s="339"/>
      <c r="F723" s="1"/>
      <c r="G723" s="1"/>
      <c r="H723" s="1"/>
      <c r="I723" s="1"/>
      <c r="J723" s="1"/>
      <c r="K723" s="9"/>
      <c r="L723" s="1"/>
      <c r="M723" s="319"/>
      <c r="N723" s="319">
        <v>5012026</v>
      </c>
      <c r="O723" s="319"/>
      <c r="P723" s="319"/>
      <c r="Q723" s="319"/>
      <c r="R723" s="319"/>
      <c r="S723" s="319"/>
      <c r="T723" s="319"/>
      <c r="U723" s="319"/>
      <c r="V723" s="319" t="s">
        <v>5576</v>
      </c>
      <c r="W723" s="319">
        <f>MIN(V711:V722)</f>
        <v>13.738479452054793</v>
      </c>
      <c r="X723" s="319"/>
      <c r="Y723" s="319"/>
      <c r="Z723" s="319"/>
      <c r="AA723" s="319"/>
      <c r="AB723" s="319"/>
      <c r="AC723" s="319"/>
      <c r="AD723" s="319"/>
      <c r="AE723" s="319"/>
      <c r="AF723" s="319"/>
      <c r="AG723" s="319"/>
      <c r="AH723" s="319"/>
      <c r="AI723" s="319"/>
      <c r="AJ723" s="319"/>
      <c r="AK723" s="319"/>
      <c r="AL723" s="319"/>
      <c r="AM723" s="319"/>
      <c r="AN723" s="319"/>
      <c r="AO723" s="319"/>
      <c r="AP723" s="319"/>
      <c r="AQ723" s="319"/>
      <c r="AR723" s="319"/>
      <c r="AS723" s="319"/>
      <c r="AT723" s="319"/>
      <c r="AU723" s="319"/>
      <c r="AV723" s="319"/>
      <c r="AW723" s="319"/>
      <c r="AX723" s="319"/>
      <c r="AY723" s="319"/>
      <c r="AZ723" s="319"/>
      <c r="BA723" s="319"/>
      <c r="BB723" s="319"/>
      <c r="BC723" s="319"/>
      <c r="BD723" s="319"/>
      <c r="BE723" s="319"/>
      <c r="BF723" s="319"/>
      <c r="BG723" s="319"/>
      <c r="BH723" s="319"/>
      <c r="BI723" s="319"/>
      <c r="BJ723" s="319"/>
      <c r="BK723" s="319"/>
      <c r="BL723" s="319"/>
      <c r="BM723" s="319"/>
      <c r="BN723" s="319"/>
      <c r="BO723" s="319"/>
      <c r="BP723" s="319"/>
      <c r="BQ723" s="319"/>
      <c r="BR723" s="319"/>
      <c r="BS723" s="319"/>
      <c r="BT723" s="319"/>
      <c r="BU723" s="319"/>
      <c r="BV723" s="319"/>
      <c r="BW723" s="319"/>
      <c r="BX723" s="319"/>
      <c r="BY723" s="319"/>
      <c r="BZ723" s="319"/>
      <c r="CA723" s="319"/>
      <c r="CB723" s="319"/>
      <c r="CC723" s="319"/>
      <c r="CD723" s="319"/>
      <c r="CE723" s="319"/>
      <c r="CF723" s="319"/>
      <c r="CG723" s="319"/>
      <c r="CH723" s="319"/>
      <c r="CI723" s="319"/>
      <c r="CJ723" s="319"/>
      <c r="CK723" s="319"/>
    </row>
    <row r="724" spans="1:89" ht="12.75" hidden="1" customHeight="1">
      <c r="A724" s="12"/>
      <c r="B724" s="1"/>
      <c r="C724" s="1"/>
      <c r="D724" s="1"/>
      <c r="E724" s="1"/>
      <c r="F724" s="1"/>
      <c r="G724" s="1"/>
      <c r="H724" s="1"/>
      <c r="I724" s="1"/>
      <c r="J724" s="1"/>
      <c r="K724" s="9"/>
      <c r="L724" s="1"/>
      <c r="M724" s="319"/>
      <c r="N724" s="319">
        <v>5012026</v>
      </c>
      <c r="O724" s="319"/>
      <c r="P724" s="319"/>
      <c r="Q724" s="319"/>
      <c r="R724" s="319"/>
      <c r="S724" s="319"/>
      <c r="T724" s="319"/>
      <c r="U724" s="319"/>
      <c r="V724" s="319" t="s">
        <v>4560</v>
      </c>
      <c r="W724" s="319">
        <f>MAX(V711:V722)</f>
        <v>17.868479452054792</v>
      </c>
      <c r="X724" s="319"/>
      <c r="Y724" s="319"/>
      <c r="Z724" s="319"/>
      <c r="AA724" s="319"/>
      <c r="AB724" s="319"/>
      <c r="AC724" s="319"/>
      <c r="AD724" s="319"/>
      <c r="AE724" s="319"/>
      <c r="AF724" s="319"/>
      <c r="AG724" s="319"/>
      <c r="AH724" s="319"/>
      <c r="AI724" s="319"/>
      <c r="AJ724" s="319"/>
      <c r="AK724" s="319"/>
      <c r="AL724" s="319"/>
      <c r="AM724" s="319"/>
      <c r="AN724" s="319"/>
      <c r="AO724" s="319"/>
      <c r="AP724" s="319"/>
      <c r="AQ724" s="319"/>
      <c r="AR724" s="319"/>
      <c r="AS724" s="319"/>
      <c r="AT724" s="319"/>
      <c r="AU724" s="319"/>
      <c r="AV724" s="319"/>
      <c r="AW724" s="319"/>
      <c r="AX724" s="319"/>
      <c r="AY724" s="319"/>
      <c r="AZ724" s="319"/>
      <c r="BA724" s="319"/>
      <c r="BB724" s="319"/>
      <c r="BC724" s="319"/>
      <c r="BD724" s="319"/>
      <c r="BE724" s="319"/>
      <c r="BF724" s="319"/>
      <c r="BG724" s="319"/>
      <c r="BH724" s="319"/>
      <c r="BI724" s="319"/>
      <c r="BJ724" s="319"/>
      <c r="BK724" s="319"/>
      <c r="BL724" s="319"/>
      <c r="BM724" s="319"/>
      <c r="BN724" s="319"/>
      <c r="BO724" s="319"/>
      <c r="BP724" s="319"/>
      <c r="BQ724" s="319"/>
      <c r="BR724" s="319"/>
      <c r="BS724" s="319"/>
      <c r="BT724" s="319"/>
      <c r="BU724" s="319"/>
      <c r="BV724" s="319"/>
      <c r="BW724" s="319"/>
      <c r="BX724" s="319"/>
      <c r="BY724" s="319"/>
      <c r="BZ724" s="319"/>
      <c r="CA724" s="319"/>
      <c r="CB724" s="319"/>
      <c r="CC724" s="319"/>
      <c r="CD724" s="319"/>
      <c r="CE724" s="319"/>
      <c r="CF724" s="319"/>
      <c r="CG724" s="319"/>
      <c r="CH724" s="319"/>
      <c r="CI724" s="319"/>
      <c r="CJ724" s="319"/>
      <c r="CK724" s="319"/>
    </row>
    <row r="725" spans="1:89" ht="13.2" hidden="1">
      <c r="A725" s="12"/>
      <c r="B725" s="1" t="str">
        <f>B692</f>
        <v>Método de avaliação da temperatura de alimentação</v>
      </c>
      <c r="C725" s="29"/>
      <c r="D725" s="419" t="s">
        <v>6133</v>
      </c>
      <c r="E725" s="1"/>
      <c r="F725" s="1"/>
      <c r="G725" s="1"/>
      <c r="H725" s="1"/>
      <c r="I725" s="1"/>
      <c r="J725" s="1"/>
      <c r="K725" s="9"/>
      <c r="L725" s="1"/>
      <c r="M725" s="319">
        <f>IF(D725=$G$1182,1,2)</f>
        <v>1</v>
      </c>
      <c r="N725" s="319">
        <v>4091014</v>
      </c>
      <c r="O725" s="319"/>
      <c r="P725" s="319"/>
      <c r="Q725" s="319"/>
      <c r="R725" s="319"/>
      <c r="S725" s="319"/>
      <c r="T725" s="319"/>
      <c r="U725" s="319"/>
      <c r="V725" s="319"/>
      <c r="W725" s="319"/>
      <c r="X725" s="319"/>
      <c r="Y725" s="319"/>
      <c r="Z725" s="319"/>
      <c r="AA725" s="319"/>
      <c r="AB725" s="319"/>
      <c r="AC725" s="319"/>
      <c r="AD725" s="319"/>
      <c r="AE725" s="319"/>
      <c r="AF725" s="319"/>
      <c r="AG725" s="319"/>
      <c r="AH725" s="319"/>
      <c r="AI725" s="319"/>
      <c r="AJ725" s="319"/>
      <c r="AK725" s="319"/>
      <c r="AL725" s="319"/>
      <c r="AM725" s="319"/>
      <c r="AN725" s="319"/>
      <c r="AO725" s="319"/>
      <c r="AP725" s="319"/>
      <c r="AQ725" s="319"/>
      <c r="AR725" s="319"/>
      <c r="AS725" s="319"/>
      <c r="AT725" s="319"/>
      <c r="AU725" s="319"/>
      <c r="AV725" s="319"/>
      <c r="AW725" s="319"/>
      <c r="AX725" s="319"/>
      <c r="AY725" s="319"/>
      <c r="AZ725" s="319"/>
      <c r="BA725" s="319"/>
      <c r="BB725" s="319"/>
      <c r="BC725" s="319"/>
      <c r="BD725" s="319"/>
      <c r="BE725" s="319"/>
      <c r="BF725" s="319"/>
      <c r="BG725" s="319"/>
      <c r="BH725" s="319"/>
      <c r="BI725" s="319"/>
      <c r="BJ725" s="319"/>
      <c r="BK725" s="319"/>
      <c r="BL725" s="319"/>
      <c r="BM725" s="319"/>
      <c r="BN725" s="319"/>
      <c r="BO725" s="319"/>
      <c r="BP725" s="319"/>
      <c r="BQ725" s="319"/>
      <c r="BR725" s="319"/>
      <c r="BS725" s="319"/>
      <c r="BT725" s="319"/>
      <c r="BU725" s="319"/>
      <c r="BV725" s="319"/>
      <c r="BW725" s="319"/>
      <c r="BX725" s="319"/>
      <c r="BY725" s="319"/>
      <c r="BZ725" s="319"/>
      <c r="CA725" s="319"/>
      <c r="CB725" s="319"/>
      <c r="CC725" s="319"/>
      <c r="CD725" s="319"/>
      <c r="CE725" s="319"/>
      <c r="CF725" s="319"/>
      <c r="CG725" s="319"/>
      <c r="CH725" s="319"/>
      <c r="CI725" s="319"/>
      <c r="CJ725" s="319"/>
      <c r="CK725" s="319"/>
    </row>
    <row r="726" spans="1:89" ht="13.5" hidden="1" customHeight="1">
      <c r="A726" s="12"/>
      <c r="B726" s="1" t="str">
        <f>Language!C2073</f>
        <v>Temperatura da água - mínima</v>
      </c>
      <c r="C726" s="29" t="str">
        <f>C708</f>
        <v>°C</v>
      </c>
      <c r="D726" s="36">
        <f>IF(OR($C$708=$C$1178,$C$708=""),R726,R726*1.8+32)</f>
        <v>13.738479452054793</v>
      </c>
      <c r="E726" s="1"/>
      <c r="F726" s="1"/>
      <c r="G726" s="1"/>
      <c r="H726" s="1"/>
      <c r="I726" s="1"/>
      <c r="J726" s="1"/>
      <c r="K726" s="9"/>
      <c r="L726" s="1"/>
      <c r="M726" s="319"/>
      <c r="N726" s="319">
        <v>4091016</v>
      </c>
      <c r="O726" s="319"/>
      <c r="P726" s="319"/>
      <c r="Q726" s="319"/>
      <c r="R726" s="319">
        <f>MIN($U$711:$U$722)</f>
        <v>13.738479452054793</v>
      </c>
      <c r="S726" s="319"/>
      <c r="T726" s="319"/>
      <c r="U726" s="319">
        <f>IF(M725=1,(R726+R727)/2,(R728+R729)/2)</f>
        <v>15.803479452054793</v>
      </c>
      <c r="V726" s="319"/>
      <c r="W726" s="319"/>
      <c r="X726" s="319"/>
      <c r="Y726" s="319"/>
      <c r="Z726" s="319"/>
      <c r="AA726" s="319"/>
      <c r="AB726" s="319"/>
      <c r="AC726" s="319"/>
      <c r="AD726" s="319"/>
      <c r="AE726" s="319"/>
      <c r="AF726" s="319"/>
      <c r="AG726" s="319"/>
      <c r="AH726" s="319"/>
      <c r="AI726" s="319"/>
      <c r="AJ726" s="319"/>
      <c r="AK726" s="319"/>
      <c r="AL726" s="319"/>
      <c r="AM726" s="319"/>
      <c r="AN726" s="319"/>
      <c r="AO726" s="319"/>
      <c r="AP726" s="319"/>
      <c r="AQ726" s="319"/>
      <c r="AR726" s="319"/>
      <c r="AS726" s="319"/>
      <c r="AT726" s="319"/>
      <c r="AU726" s="319"/>
      <c r="AV726" s="319"/>
      <c r="AW726" s="319"/>
      <c r="AX726" s="319"/>
      <c r="AY726" s="319"/>
      <c r="AZ726" s="319"/>
      <c r="BA726" s="319"/>
      <c r="BB726" s="319"/>
      <c r="BC726" s="319"/>
      <c r="BD726" s="319"/>
      <c r="BE726" s="319"/>
      <c r="BF726" s="319"/>
      <c r="BG726" s="319"/>
      <c r="BH726" s="319"/>
      <c r="BI726" s="319"/>
      <c r="BJ726" s="319"/>
      <c r="BK726" s="319"/>
      <c r="BL726" s="319"/>
      <c r="BM726" s="319"/>
      <c r="BN726" s="319"/>
      <c r="BO726" s="319"/>
      <c r="BP726" s="319"/>
      <c r="BQ726" s="319"/>
      <c r="BR726" s="319"/>
      <c r="BS726" s="319"/>
      <c r="BT726" s="319"/>
      <c r="BU726" s="319"/>
      <c r="BV726" s="319"/>
      <c r="BW726" s="319"/>
      <c r="BX726" s="319"/>
      <c r="BY726" s="319"/>
      <c r="BZ726" s="319"/>
      <c r="CA726" s="319"/>
      <c r="CB726" s="319"/>
      <c r="CC726" s="319"/>
      <c r="CD726" s="319"/>
      <c r="CE726" s="319"/>
      <c r="CF726" s="319"/>
      <c r="CG726" s="319"/>
      <c r="CH726" s="319"/>
      <c r="CI726" s="319"/>
      <c r="CJ726" s="319"/>
      <c r="CK726" s="319"/>
    </row>
    <row r="727" spans="1:89" ht="13.5" hidden="1" customHeight="1">
      <c r="A727" s="12"/>
      <c r="B727" s="1" t="str">
        <f>Language!C2072</f>
        <v>Temperatura da água - máxima</v>
      </c>
      <c r="C727" s="29" t="str">
        <f>C726</f>
        <v>°C</v>
      </c>
      <c r="D727" s="36">
        <f>IF(OR($C$708=$C$1178,$C$708=""),R727,R727*1.8+32)</f>
        <v>17.868479452054792</v>
      </c>
      <c r="E727" s="1"/>
      <c r="F727" s="1"/>
      <c r="G727" s="1"/>
      <c r="H727" s="1"/>
      <c r="I727" s="1"/>
      <c r="J727" s="1"/>
      <c r="K727" s="9"/>
      <c r="L727" s="1"/>
      <c r="M727" s="319"/>
      <c r="N727" s="319">
        <v>4091018</v>
      </c>
      <c r="O727" s="319"/>
      <c r="P727" s="319"/>
      <c r="Q727" s="319"/>
      <c r="R727" s="319">
        <f>MAX($U$711:$U$722)</f>
        <v>17.868479452054792</v>
      </c>
      <c r="S727" s="319"/>
      <c r="T727" s="319"/>
      <c r="U727" s="319">
        <f>IF(M725=1,(R727-R726)/2,(R729-R728)/2)</f>
        <v>2.0649999999999995</v>
      </c>
      <c r="V727" s="319"/>
      <c r="W727" s="319"/>
      <c r="X727" s="319"/>
      <c r="Y727" s="319"/>
      <c r="Z727" s="319"/>
      <c r="AA727" s="319"/>
      <c r="AB727" s="319"/>
      <c r="AC727" s="319"/>
      <c r="AD727" s="319"/>
      <c r="AE727" s="319"/>
      <c r="AF727" s="319"/>
      <c r="AG727" s="319"/>
      <c r="AH727" s="319"/>
      <c r="AI727" s="319"/>
      <c r="AJ727" s="319"/>
      <c r="AK727" s="319"/>
      <c r="AL727" s="319"/>
      <c r="AM727" s="319"/>
      <c r="AN727" s="319"/>
      <c r="AO727" s="319"/>
      <c r="AP727" s="319"/>
      <c r="AQ727" s="319"/>
      <c r="AR727" s="319"/>
      <c r="AS727" s="319"/>
      <c r="AT727" s="319"/>
      <c r="AU727" s="319"/>
      <c r="AV727" s="319"/>
      <c r="AW727" s="319"/>
      <c r="AX727" s="319"/>
      <c r="AY727" s="319"/>
      <c r="AZ727" s="319"/>
      <c r="BA727" s="319"/>
      <c r="BB727" s="319"/>
      <c r="BC727" s="319"/>
      <c r="BD727" s="319"/>
      <c r="BE727" s="319"/>
      <c r="BF727" s="319"/>
      <c r="BG727" s="319"/>
      <c r="BH727" s="319"/>
      <c r="BI727" s="319"/>
      <c r="BJ727" s="319"/>
      <c r="BK727" s="319"/>
      <c r="BL727" s="319"/>
      <c r="BM727" s="319"/>
      <c r="BN727" s="319"/>
      <c r="BO727" s="319"/>
      <c r="BP727" s="319"/>
      <c r="BQ727" s="319"/>
      <c r="BR727" s="319"/>
      <c r="BS727" s="319"/>
      <c r="BT727" s="319"/>
      <c r="BU727" s="319"/>
      <c r="BV727" s="319"/>
      <c r="BW727" s="319"/>
      <c r="BX727" s="319"/>
      <c r="BY727" s="319"/>
      <c r="BZ727" s="319"/>
      <c r="CA727" s="319"/>
      <c r="CB727" s="319"/>
      <c r="CC727" s="319"/>
      <c r="CD727" s="319"/>
      <c r="CE727" s="319"/>
      <c r="CF727" s="319"/>
      <c r="CG727" s="319"/>
      <c r="CH727" s="319"/>
      <c r="CI727" s="319"/>
      <c r="CJ727" s="319"/>
      <c r="CK727" s="319"/>
    </row>
    <row r="728" spans="1:89" ht="13.5" hidden="1" customHeight="1">
      <c r="A728" s="12"/>
      <c r="B728" s="1" t="str">
        <f>B726</f>
        <v>Temperatura da água - mínima</v>
      </c>
      <c r="C728" s="303" t="s">
        <v>5568</v>
      </c>
      <c r="D728" s="303"/>
      <c r="E728" s="1"/>
      <c r="F728" s="1"/>
      <c r="G728" s="1"/>
      <c r="H728" s="1"/>
      <c r="I728" s="1"/>
      <c r="J728" s="1"/>
      <c r="K728" s="9"/>
      <c r="L728" s="1"/>
      <c r="M728" s="319"/>
      <c r="N728" s="319">
        <v>4091016</v>
      </c>
      <c r="O728" s="319"/>
      <c r="P728" s="319"/>
      <c r="Q728" s="319"/>
      <c r="R728" s="319">
        <f>IF(OR($C728=$C$1178,$C728=""),D728,(D728-32)/1.8)</f>
        <v>0</v>
      </c>
      <c r="S728" s="319"/>
      <c r="T728" s="319"/>
      <c r="U728" s="319">
        <f>IF($T$4&gt;0,1,-1)</f>
        <v>1</v>
      </c>
      <c r="V728" s="319"/>
      <c r="W728" s="319"/>
      <c r="X728" s="319"/>
      <c r="Y728" s="319"/>
      <c r="Z728" s="319"/>
      <c r="AA728" s="319"/>
      <c r="AB728" s="319"/>
      <c r="AC728" s="319"/>
      <c r="AD728" s="319"/>
      <c r="AE728" s="319"/>
      <c r="AF728" s="319"/>
      <c r="AG728" s="319"/>
      <c r="AH728" s="319"/>
      <c r="AI728" s="319"/>
      <c r="AJ728" s="319"/>
      <c r="AK728" s="319"/>
      <c r="AL728" s="319"/>
      <c r="AM728" s="319"/>
      <c r="AN728" s="319"/>
      <c r="AO728" s="319"/>
      <c r="AP728" s="319"/>
      <c r="AQ728" s="319"/>
      <c r="AR728" s="319"/>
      <c r="AS728" s="319"/>
      <c r="AT728" s="319"/>
      <c r="AU728" s="319"/>
      <c r="AV728" s="319"/>
      <c r="AW728" s="319"/>
      <c r="AX728" s="319"/>
      <c r="AY728" s="319"/>
      <c r="AZ728" s="319"/>
      <c r="BA728" s="319"/>
      <c r="BB728" s="319"/>
      <c r="BC728" s="319"/>
      <c r="BD728" s="319"/>
      <c r="BE728" s="319"/>
      <c r="BF728" s="319"/>
      <c r="BG728" s="319"/>
      <c r="BH728" s="319"/>
      <c r="BI728" s="319"/>
      <c r="BJ728" s="319"/>
      <c r="BK728" s="319"/>
      <c r="BL728" s="319"/>
      <c r="BM728" s="319"/>
      <c r="BN728" s="319"/>
      <c r="BO728" s="319"/>
      <c r="BP728" s="319"/>
      <c r="BQ728" s="319"/>
      <c r="BR728" s="319"/>
      <c r="BS728" s="319"/>
      <c r="BT728" s="319"/>
      <c r="BU728" s="319"/>
      <c r="BV728" s="319"/>
      <c r="BW728" s="319"/>
      <c r="BX728" s="319"/>
      <c r="BY728" s="319"/>
      <c r="BZ728" s="319"/>
      <c r="CA728" s="319"/>
      <c r="CB728" s="319"/>
      <c r="CC728" s="319"/>
      <c r="CD728" s="319"/>
      <c r="CE728" s="319"/>
      <c r="CF728" s="319"/>
      <c r="CG728" s="319"/>
      <c r="CH728" s="319"/>
      <c r="CI728" s="319"/>
      <c r="CJ728" s="319"/>
      <c r="CK728" s="319"/>
    </row>
    <row r="729" spans="1:89" ht="12.75" hidden="1" customHeight="1">
      <c r="A729" s="12"/>
      <c r="B729" s="1" t="str">
        <f>B727</f>
        <v>Temperatura da água - máxima</v>
      </c>
      <c r="C729" s="29" t="str">
        <f>C728</f>
        <v>°C</v>
      </c>
      <c r="D729" s="303"/>
      <c r="E729" s="1"/>
      <c r="F729" s="1"/>
      <c r="G729" s="1"/>
      <c r="H729" s="1"/>
      <c r="I729" s="1"/>
      <c r="J729" s="1"/>
      <c r="K729" s="9"/>
      <c r="L729" s="1"/>
      <c r="M729" s="319"/>
      <c r="N729" s="319">
        <v>4091018</v>
      </c>
      <c r="O729" s="319"/>
      <c r="P729" s="319"/>
      <c r="Q729" s="319"/>
      <c r="R729" s="319">
        <f>IF(OR($C729=$C$1178,$C729=""),D729,(D729-32)/1.8)</f>
        <v>0</v>
      </c>
      <c r="S729" s="319"/>
      <c r="T729" s="319"/>
      <c r="U729" s="319"/>
      <c r="V729" s="319"/>
      <c r="W729" s="319"/>
      <c r="X729" s="319"/>
      <c r="Y729" s="319"/>
      <c r="Z729" s="319"/>
      <c r="AA729" s="319"/>
      <c r="AB729" s="319"/>
      <c r="AC729" s="319"/>
      <c r="AD729" s="319"/>
      <c r="AE729" s="319"/>
      <c r="AF729" s="319"/>
      <c r="AG729" s="319"/>
      <c r="AH729" s="319"/>
      <c r="AI729" s="319"/>
      <c r="AJ729" s="319"/>
      <c r="AK729" s="319"/>
      <c r="AL729" s="319"/>
      <c r="AM729" s="319"/>
      <c r="AN729" s="319"/>
      <c r="AO729" s="319"/>
      <c r="AP729" s="319"/>
      <c r="AQ729" s="319"/>
      <c r="AR729" s="319"/>
      <c r="AS729" s="319"/>
      <c r="AT729" s="319"/>
      <c r="AU729" s="319"/>
      <c r="AV729" s="319"/>
      <c r="AW729" s="319"/>
      <c r="AX729" s="319"/>
      <c r="AY729" s="319"/>
      <c r="AZ729" s="319"/>
      <c r="BA729" s="319"/>
      <c r="BB729" s="319"/>
      <c r="BC729" s="319"/>
      <c r="BD729" s="319"/>
      <c r="BE729" s="319"/>
      <c r="BF729" s="319"/>
      <c r="BG729" s="319"/>
      <c r="BH729" s="319"/>
      <c r="BI729" s="319"/>
      <c r="BJ729" s="319"/>
      <c r="BK729" s="319"/>
      <c r="BL729" s="319"/>
      <c r="BM729" s="319"/>
      <c r="BN729" s="319"/>
      <c r="BO729" s="319"/>
      <c r="BP729" s="319"/>
      <c r="BQ729" s="319"/>
      <c r="BR729" s="319"/>
      <c r="BS729" s="319"/>
      <c r="BT729" s="319"/>
      <c r="BU729" s="319"/>
      <c r="BV729" s="319"/>
      <c r="BW729" s="319"/>
      <c r="BX729" s="319"/>
      <c r="BY729" s="319"/>
      <c r="BZ729" s="319"/>
      <c r="CA729" s="319"/>
      <c r="CB729" s="319"/>
      <c r="CC729" s="319"/>
      <c r="CD729" s="319"/>
      <c r="CE729" s="319"/>
      <c r="CF729" s="319"/>
      <c r="CG729" s="319"/>
      <c r="CH729" s="319"/>
      <c r="CI729" s="319"/>
      <c r="CJ729" s="319"/>
      <c r="CK729" s="319"/>
    </row>
    <row r="730" spans="1:89" ht="25.5" hidden="1" customHeight="1">
      <c r="A730" s="12"/>
      <c r="B730" s="1"/>
      <c r="C730" s="82" t="str">
        <f>C221</f>
        <v>Unidade</v>
      </c>
      <c r="D730" s="82" t="str">
        <f>D221</f>
        <v>Caso de referência</v>
      </c>
      <c r="E730" s="361" t="str">
        <f>E221</f>
        <v>Caso proposto</v>
      </c>
      <c r="F730" s="82" t="str">
        <f>F576</f>
        <v>Economia de energia</v>
      </c>
      <c r="G730" s="82" t="str">
        <f>G244</f>
        <v>Custo inicial incremental</v>
      </c>
      <c r="H730" s="1"/>
      <c r="I730" s="1"/>
      <c r="J730" s="1"/>
      <c r="K730" s="9"/>
      <c r="L730" s="1"/>
      <c r="M730" s="319"/>
      <c r="N730" s="319">
        <v>5080030</v>
      </c>
      <c r="O730" s="319"/>
      <c r="P730" s="319"/>
      <c r="Q730" s="319" t="s">
        <v>2745</v>
      </c>
      <c r="R730" s="319">
        <f>IF($Q$710=TRUE,SUMPRODUCT(D712:D723,R711:R722),SUM(R711:R722))/3600</f>
        <v>0</v>
      </c>
      <c r="S730" s="319">
        <f>IF($Q$710=TRUE,SUMPRODUCT(E712:E723,S711:S722),SUM(S711:S722))/3600</f>
        <v>0</v>
      </c>
      <c r="T730" s="319"/>
      <c r="U730" s="319"/>
      <c r="V730" s="319"/>
      <c r="W730" s="319"/>
      <c r="X730" s="319"/>
      <c r="Y730" s="319"/>
      <c r="Z730" s="319"/>
      <c r="AA730" s="319"/>
      <c r="AB730" s="319"/>
      <c r="AC730" s="319"/>
      <c r="AD730" s="319"/>
      <c r="AE730" s="319"/>
      <c r="AF730" s="319"/>
      <c r="AG730" s="319"/>
      <c r="AH730" s="319"/>
      <c r="AI730" s="319"/>
      <c r="AJ730" s="319"/>
      <c r="AK730" s="319"/>
      <c r="AL730" s="319"/>
      <c r="AM730" s="319"/>
      <c r="AN730" s="319"/>
      <c r="AO730" s="319"/>
      <c r="AP730" s="319"/>
      <c r="AQ730" s="319"/>
      <c r="AR730" s="319"/>
      <c r="AS730" s="319"/>
      <c r="AT730" s="319"/>
      <c r="AU730" s="319"/>
      <c r="AV730" s="319"/>
      <c r="AW730" s="319"/>
      <c r="AX730" s="319"/>
      <c r="AY730" s="319"/>
      <c r="AZ730" s="319"/>
      <c r="BA730" s="319"/>
      <c r="BB730" s="319"/>
      <c r="BC730" s="319"/>
      <c r="BD730" s="319"/>
      <c r="BE730" s="319"/>
      <c r="BF730" s="319"/>
      <c r="BG730" s="319"/>
      <c r="BH730" s="319"/>
      <c r="BI730" s="319"/>
      <c r="BJ730" s="319"/>
      <c r="BK730" s="319"/>
      <c r="BL730" s="319"/>
      <c r="BM730" s="319"/>
      <c r="BN730" s="319"/>
      <c r="BO730" s="319"/>
      <c r="BP730" s="319"/>
      <c r="BQ730" s="319"/>
      <c r="BR730" s="319"/>
      <c r="BS730" s="319"/>
      <c r="BT730" s="319"/>
      <c r="BU730" s="319"/>
      <c r="BV730" s="319"/>
      <c r="BW730" s="319"/>
      <c r="BX730" s="319"/>
      <c r="BY730" s="319"/>
      <c r="BZ730" s="319"/>
      <c r="CA730" s="319"/>
      <c r="CB730" s="319"/>
      <c r="CC730" s="319"/>
      <c r="CD730" s="319"/>
      <c r="CE730" s="319"/>
      <c r="CF730" s="319"/>
      <c r="CG730" s="319"/>
      <c r="CH730" s="319"/>
      <c r="CI730" s="319"/>
      <c r="CJ730" s="319"/>
      <c r="CK730" s="319"/>
    </row>
    <row r="731" spans="1:89" ht="13.5" hidden="1" customHeight="1">
      <c r="A731" s="12"/>
      <c r="B731" s="1" t="str">
        <f>B698</f>
        <v>Demanda de calor</v>
      </c>
      <c r="C731" s="29" t="str">
        <f>C577</f>
        <v>MWh</v>
      </c>
      <c r="D731" s="140">
        <f>IF(Unit=TRUE,1,$K$1185)*R730</f>
        <v>0</v>
      </c>
      <c r="E731" s="140">
        <f>IF(Unit=TRUE,1,$K$1185)*S730</f>
        <v>0</v>
      </c>
      <c r="F731" s="96" t="e">
        <f>1-S730/R730</f>
        <v>#DIV/0!</v>
      </c>
      <c r="G731" s="1346"/>
      <c r="H731" s="1"/>
      <c r="I731" s="1"/>
      <c r="J731" s="1"/>
      <c r="K731" s="9"/>
      <c r="L731" s="1"/>
      <c r="M731" s="319"/>
      <c r="N731" s="319">
        <v>5080030</v>
      </c>
      <c r="O731" s="319"/>
      <c r="P731" s="319"/>
      <c r="Q731" s="319"/>
      <c r="R731" s="319"/>
      <c r="S731" s="319"/>
      <c r="T731" s="319"/>
      <c r="U731" s="319"/>
      <c r="V731" s="319"/>
      <c r="W731" s="319"/>
      <c r="X731" s="319"/>
      <c r="Y731" s="319"/>
      <c r="Z731" s="319"/>
      <c r="AA731" s="319"/>
      <c r="AB731" s="319"/>
      <c r="AC731" s="319"/>
      <c r="AD731" s="319"/>
      <c r="AE731" s="319"/>
      <c r="AF731" s="319"/>
      <c r="AG731" s="319"/>
      <c r="AH731" s="319"/>
      <c r="AI731" s="319"/>
      <c r="AJ731" s="319"/>
      <c r="AK731" s="319"/>
      <c r="AL731" s="319"/>
      <c r="AM731" s="319"/>
      <c r="AN731" s="319"/>
      <c r="AO731" s="319"/>
      <c r="AP731" s="319"/>
      <c r="AQ731" s="319"/>
      <c r="AR731" s="319"/>
      <c r="AS731" s="319"/>
      <c r="AT731" s="319"/>
      <c r="AU731" s="319"/>
      <c r="AV731" s="319"/>
      <c r="AW731" s="319"/>
      <c r="AX731" s="319"/>
      <c r="AY731" s="319"/>
      <c r="AZ731" s="319"/>
      <c r="BA731" s="319"/>
      <c r="BB731" s="319"/>
      <c r="BC731" s="319"/>
      <c r="BD731" s="319"/>
      <c r="BE731" s="319"/>
      <c r="BF731" s="319"/>
      <c r="BG731" s="319"/>
      <c r="BH731" s="319"/>
      <c r="BI731" s="319"/>
      <c r="BJ731" s="319"/>
      <c r="BK731" s="319"/>
      <c r="BL731" s="319"/>
      <c r="BM731" s="319"/>
      <c r="BN731" s="319"/>
      <c r="BO731" s="319"/>
      <c r="BP731" s="319"/>
      <c r="BQ731" s="319"/>
      <c r="BR731" s="319"/>
      <c r="BS731" s="319"/>
      <c r="BT731" s="319"/>
      <c r="BU731" s="319"/>
      <c r="BV731" s="319"/>
      <c r="BW731" s="319"/>
      <c r="BX731" s="319"/>
      <c r="BY731" s="319"/>
      <c r="BZ731" s="319"/>
      <c r="CA731" s="319"/>
      <c r="CB731" s="319"/>
      <c r="CC731" s="319"/>
      <c r="CD731" s="319"/>
      <c r="CE731" s="319"/>
      <c r="CF731" s="319"/>
      <c r="CG731" s="319"/>
      <c r="CH731" s="319"/>
      <c r="CI731" s="319"/>
      <c r="CJ731" s="319"/>
      <c r="CK731" s="319"/>
    </row>
    <row r="732" spans="1:89" ht="13.2" hidden="1">
      <c r="A732" s="12"/>
      <c r="B732" s="1"/>
      <c r="C732" s="1"/>
      <c r="D732" s="1"/>
      <c r="E732" s="1"/>
      <c r="F732" s="1"/>
      <c r="G732" s="1"/>
      <c r="H732" s="1"/>
      <c r="I732" s="1"/>
      <c r="J732" s="1"/>
      <c r="K732" s="9"/>
      <c r="L732" s="1"/>
      <c r="M732" s="319"/>
      <c r="N732" s="319">
        <v>5080030</v>
      </c>
      <c r="O732" s="319"/>
      <c r="P732" s="319"/>
      <c r="Q732" s="319"/>
      <c r="R732" s="319"/>
      <c r="S732" s="319"/>
      <c r="T732" s="319"/>
      <c r="U732" s="319"/>
      <c r="V732" s="319"/>
      <c r="W732" s="319"/>
      <c r="X732" s="319"/>
      <c r="Y732" s="319"/>
      <c r="Z732" s="319"/>
      <c r="AA732" s="319"/>
      <c r="AB732" s="319"/>
      <c r="AC732" s="319"/>
      <c r="AD732" s="319"/>
      <c r="AE732" s="319"/>
      <c r="AF732" s="319"/>
      <c r="AG732" s="319"/>
      <c r="AH732" s="319"/>
      <c r="AI732" s="319"/>
      <c r="AJ732" s="319"/>
      <c r="AK732" s="319"/>
      <c r="AL732" s="319"/>
      <c r="AM732" s="319"/>
      <c r="AN732" s="319"/>
      <c r="AO732" s="319"/>
      <c r="AP732" s="319"/>
      <c r="AQ732" s="319"/>
      <c r="AR732" s="319"/>
      <c r="AS732" s="319"/>
      <c r="AT732" s="319"/>
      <c r="AU732" s="319"/>
      <c r="AV732" s="319"/>
      <c r="AW732" s="319"/>
      <c r="AX732" s="319"/>
      <c r="AY732" s="319"/>
      <c r="AZ732" s="319"/>
      <c r="BA732" s="319"/>
      <c r="BB732" s="319"/>
      <c r="BC732" s="319"/>
      <c r="BD732" s="319"/>
      <c r="BE732" s="319"/>
      <c r="BF732" s="319"/>
      <c r="BG732" s="319"/>
      <c r="BH732" s="319"/>
      <c r="BI732" s="319"/>
      <c r="BJ732" s="319"/>
      <c r="BK732" s="319"/>
      <c r="BL732" s="319"/>
      <c r="BM732" s="319"/>
      <c r="BN732" s="319"/>
      <c r="BO732" s="319"/>
      <c r="BP732" s="319"/>
      <c r="BQ732" s="319"/>
      <c r="BR732" s="319"/>
      <c r="BS732" s="319"/>
      <c r="BT732" s="319"/>
      <c r="BU732" s="319"/>
      <c r="BV732" s="319"/>
      <c r="BW732" s="319"/>
      <c r="BX732" s="319"/>
      <c r="BY732" s="319"/>
      <c r="BZ732" s="319"/>
      <c r="CA732" s="319"/>
      <c r="CB732" s="319"/>
      <c r="CC732" s="319"/>
      <c r="CD732" s="319"/>
      <c r="CE732" s="319"/>
      <c r="CF732" s="319"/>
      <c r="CG732" s="319"/>
      <c r="CH732" s="319"/>
      <c r="CI732" s="319"/>
      <c r="CJ732" s="319"/>
      <c r="CK732" s="319"/>
    </row>
    <row r="733" spans="1:89" ht="13.5" hidden="1" customHeight="1">
      <c r="A733" s="12"/>
      <c r="B733" s="1"/>
      <c r="C733" s="1"/>
      <c r="D733" s="1"/>
      <c r="E733" s="1"/>
      <c r="F733" s="1"/>
      <c r="G733" s="1"/>
      <c r="H733" s="1"/>
      <c r="I733" s="1"/>
      <c r="J733" s="1"/>
      <c r="K733" s="9"/>
      <c r="L733" s="1"/>
      <c r="M733" s="319"/>
      <c r="N733" s="319">
        <v>5080030</v>
      </c>
      <c r="O733" s="319"/>
      <c r="P733" s="319"/>
      <c r="Q733" s="319"/>
      <c r="R733" s="319"/>
      <c r="S733" s="319"/>
      <c r="T733" s="319"/>
      <c r="U733" s="319"/>
      <c r="V733" s="319"/>
      <c r="W733" s="319"/>
      <c r="X733" s="319"/>
      <c r="Y733" s="319"/>
      <c r="Z733" s="319"/>
      <c r="AA733" s="319"/>
      <c r="AB733" s="319"/>
      <c r="AC733" s="319"/>
      <c r="AD733" s="319"/>
      <c r="AE733" s="319"/>
      <c r="AF733" s="319"/>
      <c r="AG733" s="319"/>
      <c r="AH733" s="319"/>
      <c r="AI733" s="319"/>
      <c r="AJ733" s="319"/>
      <c r="AK733" s="319"/>
      <c r="AL733" s="319"/>
      <c r="AM733" s="319"/>
      <c r="AN733" s="319"/>
      <c r="AO733" s="319"/>
      <c r="AP733" s="319"/>
      <c r="AQ733" s="319"/>
      <c r="AR733" s="319"/>
      <c r="AS733" s="319"/>
      <c r="AT733" s="319"/>
      <c r="AU733" s="319"/>
      <c r="AV733" s="319"/>
      <c r="AW733" s="319"/>
      <c r="AX733" s="319"/>
      <c r="AY733" s="319"/>
      <c r="AZ733" s="319"/>
      <c r="BA733" s="319"/>
      <c r="BB733" s="319"/>
      <c r="BC733" s="319"/>
      <c r="BD733" s="319"/>
      <c r="BE733" s="319"/>
      <c r="BF733" s="319"/>
      <c r="BG733" s="319"/>
      <c r="BH733" s="319"/>
      <c r="BI733" s="319"/>
      <c r="BJ733" s="319"/>
      <c r="BK733" s="319"/>
      <c r="BL733" s="319"/>
      <c r="BM733" s="319"/>
      <c r="BN733" s="319"/>
      <c r="BO733" s="319"/>
      <c r="BP733" s="319"/>
      <c r="BQ733" s="319"/>
      <c r="BR733" s="319"/>
      <c r="BS733" s="319"/>
      <c r="BT733" s="319"/>
      <c r="BU733" s="319"/>
      <c r="BV733" s="319"/>
      <c r="BW733" s="319"/>
      <c r="BX733" s="319"/>
      <c r="BY733" s="319"/>
      <c r="BZ733" s="319"/>
      <c r="CA733" s="319"/>
      <c r="CB733" s="319"/>
      <c r="CC733" s="319"/>
      <c r="CD733" s="319"/>
      <c r="CE733" s="319"/>
      <c r="CF733" s="319"/>
      <c r="CG733" s="319"/>
      <c r="CH733" s="319"/>
      <c r="CI733" s="319"/>
      <c r="CJ733" s="319"/>
      <c r="CK733" s="319"/>
    </row>
    <row r="734" spans="1:89" ht="13.5" hidden="1" customHeight="1">
      <c r="A734" s="12"/>
      <c r="B734" s="28" t="str">
        <f>B272</f>
        <v>Avaliação de recursos</v>
      </c>
      <c r="C734" s="1"/>
      <c r="D734" s="1"/>
      <c r="E734" s="1"/>
      <c r="F734" s="1"/>
      <c r="G734" s="1"/>
      <c r="H734" s="1"/>
      <c r="I734" s="1"/>
      <c r="J734" s="1"/>
      <c r="K734" s="9"/>
      <c r="L734" s="1"/>
      <c r="M734" s="319"/>
      <c r="N734" s="319">
        <v>5070040</v>
      </c>
      <c r="O734" s="319"/>
      <c r="P734" s="319"/>
      <c r="Q734" s="319"/>
      <c r="R734" s="319"/>
      <c r="S734" s="319"/>
      <c r="T734" s="319"/>
      <c r="U734" s="319"/>
      <c r="V734" s="319"/>
      <c r="W734" s="319"/>
      <c r="X734" s="319"/>
      <c r="Y734" s="319"/>
      <c r="Z734" s="319"/>
      <c r="AA734" s="319"/>
      <c r="AB734" s="319"/>
      <c r="AC734" s="319"/>
      <c r="AD734" s="319"/>
      <c r="AE734" s="319"/>
      <c r="AF734" s="319"/>
      <c r="AG734" s="319"/>
      <c r="AH734" s="319"/>
      <c r="AI734" s="319"/>
      <c r="AJ734" s="319"/>
      <c r="AK734" s="319"/>
      <c r="AL734" s="319"/>
      <c r="AM734" s="319"/>
      <c r="AN734" s="319"/>
      <c r="AO734" s="319"/>
      <c r="AP734" s="319"/>
      <c r="AQ734" s="319"/>
      <c r="AR734" s="319"/>
      <c r="AS734" s="319"/>
      <c r="AT734" s="319"/>
      <c r="AU734" s="319"/>
      <c r="AV734" s="319"/>
      <c r="AW734" s="319"/>
      <c r="AX734" s="319"/>
      <c r="AY734" s="319"/>
      <c r="AZ734" s="319"/>
      <c r="BA734" s="319"/>
      <c r="BB734" s="319"/>
      <c r="BC734" s="319"/>
      <c r="BD734" s="319"/>
      <c r="BE734" s="319"/>
      <c r="BF734" s="319"/>
      <c r="BG734" s="319"/>
      <c r="BH734" s="319"/>
      <c r="BI734" s="319"/>
      <c r="BJ734" s="319"/>
      <c r="BK734" s="319"/>
      <c r="BL734" s="319"/>
      <c r="BM734" s="319"/>
      <c r="BN734" s="319"/>
      <c r="BO734" s="319"/>
      <c r="BP734" s="319"/>
      <c r="BQ734" s="319"/>
      <c r="BR734" s="319"/>
      <c r="BS734" s="319"/>
      <c r="BT734" s="319"/>
      <c r="BU734" s="319"/>
      <c r="BV734" s="319"/>
      <c r="BW734" s="319"/>
      <c r="BX734" s="319"/>
      <c r="BY734" s="319"/>
      <c r="BZ734" s="319"/>
      <c r="CA734" s="319"/>
      <c r="CB734" s="319"/>
      <c r="CC734" s="319"/>
      <c r="CD734" s="319"/>
      <c r="CE734" s="319"/>
      <c r="CF734" s="319"/>
      <c r="CG734" s="319"/>
      <c r="CH734" s="319"/>
      <c r="CI734" s="319"/>
      <c r="CJ734" s="319"/>
      <c r="CK734" s="319"/>
    </row>
    <row r="735" spans="1:89" ht="13.5" hidden="1" customHeight="1">
      <c r="A735" s="12"/>
      <c r="B735" s="1" t="str">
        <f>B273</f>
        <v>Sistema de posicionamento solar</v>
      </c>
      <c r="C735" s="1"/>
      <c r="D735" s="303" t="s">
        <v>7361</v>
      </c>
      <c r="E735" s="1"/>
      <c r="F735" s="1"/>
      <c r="G735" s="1"/>
      <c r="H735" s="1"/>
      <c r="I735" s="1"/>
      <c r="J735" s="1"/>
      <c r="K735" s="9"/>
      <c r="L735" s="1"/>
      <c r="M735" s="319">
        <f>IF(D735="",1,MATCH(D735,PVTracking,0))-1</f>
        <v>0</v>
      </c>
      <c r="N735" s="319">
        <v>2121002</v>
      </c>
      <c r="O735" s="319"/>
      <c r="P735" s="319"/>
      <c r="Q735" s="319"/>
      <c r="R735" s="319"/>
      <c r="S735" s="319"/>
      <c r="T735" s="319"/>
      <c r="U735" s="319"/>
      <c r="V735" s="319"/>
      <c r="W735" s="319"/>
      <c r="X735" s="319"/>
      <c r="Y735" s="319"/>
      <c r="Z735" s="319"/>
      <c r="AA735" s="319"/>
      <c r="AB735" s="319"/>
      <c r="AC735" s="319"/>
      <c r="AD735" s="319"/>
      <c r="AE735" s="319"/>
      <c r="AF735" s="319"/>
      <c r="AG735" s="319"/>
      <c r="AH735" s="319"/>
      <c r="AI735" s="319"/>
      <c r="AJ735" s="319"/>
      <c r="AK735" s="319"/>
      <c r="AL735" s="319"/>
      <c r="AM735" s="319"/>
      <c r="AN735" s="319"/>
      <c r="AO735" s="319"/>
      <c r="AP735" s="319"/>
      <c r="AQ735" s="319"/>
      <c r="AR735" s="319"/>
      <c r="AS735" s="319"/>
      <c r="AT735" s="319"/>
      <c r="AU735" s="319"/>
      <c r="AV735" s="319"/>
      <c r="AW735" s="319"/>
      <c r="AX735" s="319"/>
      <c r="AY735" s="319"/>
      <c r="AZ735" s="319"/>
      <c r="BA735" s="319"/>
      <c r="BB735" s="319"/>
      <c r="BC735" s="319"/>
      <c r="BD735" s="319"/>
      <c r="BE735" s="319"/>
      <c r="BF735" s="319"/>
      <c r="BG735" s="319"/>
      <c r="BH735" s="319"/>
      <c r="BI735" s="319"/>
      <c r="BJ735" s="319"/>
      <c r="BK735" s="319"/>
      <c r="BL735" s="319"/>
      <c r="BM735" s="319"/>
      <c r="BN735" s="319"/>
      <c r="BO735" s="319"/>
      <c r="BP735" s="319"/>
      <c r="BQ735" s="319"/>
      <c r="BR735" s="319"/>
      <c r="BS735" s="319"/>
      <c r="BT735" s="319"/>
      <c r="BU735" s="319"/>
      <c r="BV735" s="319"/>
      <c r="BW735" s="319"/>
      <c r="BX735" s="319"/>
      <c r="BY735" s="319"/>
      <c r="BZ735" s="319"/>
      <c r="CA735" s="319"/>
      <c r="CB735" s="319"/>
      <c r="CC735" s="319"/>
      <c r="CD735" s="319"/>
      <c r="CE735" s="319"/>
      <c r="CF735" s="319"/>
      <c r="CG735" s="319"/>
      <c r="CH735" s="319"/>
      <c r="CI735" s="319"/>
      <c r="CJ735" s="319"/>
      <c r="CK735" s="319"/>
    </row>
    <row r="736" spans="1:89" ht="13.5" hidden="1" customHeight="1">
      <c r="A736" s="12"/>
      <c r="B736" s="1" t="str">
        <f>B274</f>
        <v>Inclinação</v>
      </c>
      <c r="C736" s="29" t="str">
        <f>$C$274</f>
        <v>˚</v>
      </c>
      <c r="D736" s="382"/>
      <c r="E736" s="1"/>
      <c r="F736" s="1"/>
      <c r="G736" s="1"/>
      <c r="H736" s="1"/>
      <c r="I736" s="1"/>
      <c r="J736" s="1"/>
      <c r="K736" s="9"/>
      <c r="L736" s="1"/>
      <c r="M736" s="319"/>
      <c r="N736" s="319">
        <v>2121004</v>
      </c>
      <c r="O736" s="319"/>
      <c r="P736" s="319"/>
      <c r="Q736" s="319"/>
      <c r="R736" s="319"/>
      <c r="S736" s="319"/>
      <c r="T736" s="319"/>
      <c r="U736" s="319"/>
      <c r="V736" s="319"/>
      <c r="W736" s="319"/>
      <c r="X736" s="319"/>
      <c r="Y736" s="319"/>
      <c r="Z736" s="319"/>
      <c r="AA736" s="319"/>
      <c r="AB736" s="319"/>
      <c r="AC736" s="319"/>
      <c r="AD736" s="319"/>
      <c r="AE736" s="319"/>
      <c r="AF736" s="319"/>
      <c r="AG736" s="319"/>
      <c r="AH736" s="319"/>
      <c r="AI736" s="319"/>
      <c r="AJ736" s="319"/>
      <c r="AK736" s="319"/>
      <c r="AL736" s="319"/>
      <c r="AM736" s="319"/>
      <c r="AN736" s="319"/>
      <c r="AO736" s="319"/>
      <c r="AP736" s="319"/>
      <c r="AQ736" s="319"/>
      <c r="AR736" s="319"/>
      <c r="AS736" s="319"/>
      <c r="AT736" s="319"/>
      <c r="AU736" s="319"/>
      <c r="AV736" s="319"/>
      <c r="AW736" s="319"/>
      <c r="AX736" s="319"/>
      <c r="AY736" s="319"/>
      <c r="AZ736" s="319"/>
      <c r="BA736" s="319"/>
      <c r="BB736" s="319"/>
      <c r="BC736" s="319"/>
      <c r="BD736" s="319"/>
      <c r="BE736" s="319"/>
      <c r="BF736" s="319"/>
      <c r="BG736" s="319"/>
      <c r="BH736" s="319"/>
      <c r="BI736" s="319"/>
      <c r="BJ736" s="319"/>
      <c r="BK736" s="319"/>
      <c r="BL736" s="319"/>
      <c r="BM736" s="319"/>
      <c r="BN736" s="319"/>
      <c r="BO736" s="319"/>
      <c r="BP736" s="319"/>
      <c r="BQ736" s="319"/>
      <c r="BR736" s="319"/>
      <c r="BS736" s="319"/>
      <c r="BT736" s="319"/>
      <c r="BU736" s="319"/>
      <c r="BV736" s="319"/>
      <c r="BW736" s="319"/>
      <c r="BX736" s="319"/>
      <c r="BY736" s="319"/>
      <c r="BZ736" s="319"/>
      <c r="CA736" s="319"/>
      <c r="CB736" s="319"/>
      <c r="CC736" s="319"/>
      <c r="CD736" s="319"/>
      <c r="CE736" s="319"/>
      <c r="CF736" s="319"/>
      <c r="CG736" s="319"/>
      <c r="CH736" s="319"/>
      <c r="CI736" s="319"/>
      <c r="CJ736" s="319"/>
      <c r="CK736" s="319"/>
    </row>
    <row r="737" spans="1:89" ht="13.5" hidden="1" customHeight="1">
      <c r="A737" s="12"/>
      <c r="B737" s="1" t="str">
        <f>B275</f>
        <v>Azimut</v>
      </c>
      <c r="C737" s="29" t="str">
        <f>$C$274</f>
        <v>˚</v>
      </c>
      <c r="D737" s="382"/>
      <c r="E737" s="1"/>
      <c r="F737" s="1"/>
      <c r="G737" s="1"/>
      <c r="H737" s="1"/>
      <c r="I737" s="1"/>
      <c r="J737" s="1"/>
      <c r="K737" s="9"/>
      <c r="L737" s="1"/>
      <c r="M737" s="319"/>
      <c r="N737" s="319">
        <v>2121006</v>
      </c>
      <c r="O737" s="319"/>
      <c r="P737" s="319"/>
      <c r="Q737" s="319"/>
      <c r="R737" s="319"/>
      <c r="S737" s="319"/>
      <c r="T737" s="319"/>
      <c r="U737" s="319"/>
      <c r="V737" s="319"/>
      <c r="W737" s="319"/>
      <c r="X737" s="319"/>
      <c r="Y737" s="319"/>
      <c r="Z737" s="319"/>
      <c r="AA737" s="319"/>
      <c r="AB737" s="319"/>
      <c r="AC737" s="319"/>
      <c r="AD737" s="319"/>
      <c r="AE737" s="319"/>
      <c r="AF737" s="319"/>
      <c r="AG737" s="319"/>
      <c r="AH737" s="319"/>
      <c r="AI737" s="319"/>
      <c r="AJ737" s="319"/>
      <c r="AK737" s="319"/>
      <c r="AL737" s="319"/>
      <c r="AM737" s="319"/>
      <c r="AN737" s="319"/>
      <c r="AO737" s="319"/>
      <c r="AP737" s="319"/>
      <c r="AQ737" s="319"/>
      <c r="AR737" s="319"/>
      <c r="AS737" s="319"/>
      <c r="AT737" s="319"/>
      <c r="AU737" s="319"/>
      <c r="AV737" s="319"/>
      <c r="AW737" s="319"/>
      <c r="AX737" s="319"/>
      <c r="AY737" s="319"/>
      <c r="AZ737" s="319"/>
      <c r="BA737" s="319"/>
      <c r="BB737" s="319"/>
      <c r="BC737" s="319"/>
      <c r="BD737" s="319"/>
      <c r="BE737" s="319"/>
      <c r="BF737" s="319"/>
      <c r="BG737" s="319"/>
      <c r="BH737" s="319"/>
      <c r="BI737" s="319"/>
      <c r="BJ737" s="319"/>
      <c r="BK737" s="319"/>
      <c r="BL737" s="319"/>
      <c r="BM737" s="319"/>
      <c r="BN737" s="319"/>
      <c r="BO737" s="319"/>
      <c r="BP737" s="319"/>
      <c r="BQ737" s="319"/>
      <c r="BR737" s="319"/>
      <c r="BS737" s="319"/>
      <c r="BT737" s="319"/>
      <c r="BU737" s="319"/>
      <c r="BV737" s="319"/>
      <c r="BW737" s="319"/>
      <c r="BX737" s="319"/>
      <c r="BY737" s="319"/>
      <c r="BZ737" s="319"/>
      <c r="CA737" s="319"/>
      <c r="CB737" s="319"/>
      <c r="CC737" s="319"/>
      <c r="CD737" s="319"/>
      <c r="CE737" s="319"/>
      <c r="CF737" s="319"/>
      <c r="CG737" s="319"/>
      <c r="CH737" s="319"/>
      <c r="CI737" s="319"/>
      <c r="CJ737" s="319"/>
      <c r="CK737" s="319"/>
    </row>
    <row r="738" spans="1:89" ht="12.75" hidden="1" customHeight="1">
      <c r="A738" s="12"/>
      <c r="B738" s="1"/>
      <c r="C738" s="1"/>
      <c r="D738" s="1"/>
      <c r="E738" s="1"/>
      <c r="F738" s="1"/>
      <c r="G738" s="1"/>
      <c r="H738" s="1"/>
      <c r="I738" s="1"/>
      <c r="J738" s="1"/>
      <c r="K738" s="9"/>
      <c r="L738" s="1"/>
      <c r="M738" s="319"/>
      <c r="N738" s="319">
        <v>13200</v>
      </c>
      <c r="O738" s="319"/>
      <c r="P738" s="319"/>
      <c r="Q738" s="319"/>
      <c r="R738" s="319"/>
      <c r="S738" s="319"/>
      <c r="T738" s="319"/>
      <c r="U738" s="319"/>
      <c r="V738" s="319"/>
      <c r="W738" s="319"/>
      <c r="X738" s="319"/>
      <c r="Y738" s="319"/>
      <c r="Z738" s="319"/>
      <c r="AA738" s="319"/>
      <c r="AB738" s="319"/>
      <c r="AC738" s="319"/>
      <c r="AD738" s="319"/>
      <c r="AE738" s="319"/>
      <c r="AF738" s="319"/>
      <c r="AG738" s="319"/>
      <c r="AH738" s="319"/>
      <c r="AI738" s="319"/>
      <c r="AJ738" s="319"/>
      <c r="AK738" s="319"/>
      <c r="AL738" s="319"/>
      <c r="AM738" s="319"/>
      <c r="AN738" s="319"/>
      <c r="AO738" s="319"/>
      <c r="AP738" s="319"/>
      <c r="AQ738" s="319"/>
      <c r="AR738" s="319"/>
      <c r="AS738" s="319"/>
      <c r="AT738" s="319"/>
      <c r="AU738" s="319"/>
      <c r="AV738" s="319"/>
      <c r="AW738" s="319"/>
      <c r="AX738" s="319"/>
      <c r="AY738" s="319"/>
      <c r="AZ738" s="319"/>
      <c r="BA738" s="319"/>
      <c r="BB738" s="319"/>
      <c r="BC738" s="319"/>
      <c r="BD738" s="319"/>
      <c r="BE738" s="319"/>
      <c r="BF738" s="319"/>
      <c r="BG738" s="319"/>
      <c r="BH738" s="319"/>
      <c r="BI738" s="319"/>
      <c r="BJ738" s="319"/>
      <c r="BK738" s="319"/>
      <c r="BL738" s="319"/>
      <c r="BM738" s="319"/>
      <c r="BN738" s="319"/>
      <c r="BO738" s="319"/>
      <c r="BP738" s="319"/>
      <c r="BQ738" s="319"/>
      <c r="BR738" s="319"/>
      <c r="BS738" s="319"/>
      <c r="BT738" s="319"/>
      <c r="BU738" s="319"/>
      <c r="BV738" s="319"/>
      <c r="BW738" s="319"/>
      <c r="BX738" s="319"/>
      <c r="BY738" s="319"/>
      <c r="BZ738" s="319"/>
      <c r="CA738" s="319"/>
      <c r="CB738" s="319"/>
      <c r="CC738" s="319"/>
      <c r="CD738" s="319"/>
      <c r="CE738" s="319"/>
      <c r="CF738" s="319"/>
      <c r="CG738" s="319"/>
      <c r="CH738" s="319"/>
      <c r="CI738" s="319"/>
      <c r="CJ738" s="319"/>
      <c r="CK738" s="319"/>
    </row>
    <row r="739" spans="1:89" ht="51" hidden="1" customHeight="1">
      <c r="A739" s="1018" t="s">
        <v>4189</v>
      </c>
      <c r="B739" s="967" t="str">
        <f>G384</f>
        <v>Mostrar dado</v>
      </c>
      <c r="C739" s="82"/>
      <c r="D739" s="920" t="str">
        <f>D278</f>
        <v>Radiação solar diária - horizontal</v>
      </c>
      <c r="E739" s="920" t="str">
        <f>E614</f>
        <v>Radiação solar diária - inclinada</v>
      </c>
      <c r="F739" s="1"/>
      <c r="G739" s="1"/>
      <c r="H739" s="1"/>
      <c r="I739" s="1"/>
      <c r="J739" s="1"/>
      <c r="K739" s="9"/>
      <c r="L739" s="1"/>
      <c r="M739" s="319"/>
      <c r="N739" s="319">
        <v>5070048</v>
      </c>
      <c r="O739" s="319"/>
      <c r="P739" s="319">
        <f>EE_SWH*1</f>
        <v>0</v>
      </c>
      <c r="Q739" s="3" t="b">
        <v>0</v>
      </c>
      <c r="R739" s="319" t="b">
        <v>0</v>
      </c>
      <c r="S739" s="319"/>
      <c r="T739" s="319"/>
      <c r="U739" s="319"/>
      <c r="V739" s="319"/>
      <c r="W739" s="319"/>
      <c r="X739" s="319"/>
      <c r="Y739" s="319"/>
      <c r="Z739" s="319"/>
      <c r="AA739" s="319"/>
      <c r="AB739" s="319"/>
      <c r="AC739" s="319"/>
      <c r="AD739" s="319"/>
      <c r="AE739" s="319"/>
      <c r="AF739" s="319"/>
      <c r="AG739" s="319"/>
      <c r="AH739" s="319"/>
      <c r="AI739" s="319"/>
      <c r="AJ739" s="319"/>
      <c r="AK739" s="319"/>
      <c r="AL739" s="319"/>
      <c r="AM739" s="319"/>
      <c r="AN739" s="319"/>
      <c r="AO739" s="319"/>
      <c r="AP739" s="319"/>
      <c r="AQ739" s="319"/>
      <c r="AR739" s="319"/>
      <c r="AS739" s="319"/>
      <c r="AT739" s="319"/>
      <c r="AU739" s="319"/>
      <c r="AV739" s="319"/>
      <c r="AW739" s="319"/>
      <c r="AX739" s="319"/>
      <c r="AY739" s="319"/>
      <c r="AZ739" s="319"/>
      <c r="BA739" s="319"/>
      <c r="BB739" s="319"/>
      <c r="BC739" s="319"/>
      <c r="BD739" s="319"/>
      <c r="BE739" s="319"/>
      <c r="BF739" s="319"/>
      <c r="BG739" s="319"/>
      <c r="BH739" s="319"/>
      <c r="BI739" s="319"/>
      <c r="BJ739" s="319"/>
      <c r="BK739" s="319"/>
      <c r="BL739" s="319"/>
      <c r="BM739" s="319"/>
      <c r="BN739" s="319"/>
      <c r="BO739" s="319"/>
      <c r="BP739" s="319"/>
      <c r="BQ739" s="319"/>
      <c r="BR739" s="319"/>
      <c r="BS739" s="319"/>
      <c r="BT739" s="319"/>
      <c r="BU739" s="319"/>
      <c r="BV739" s="319"/>
      <c r="BW739" s="319"/>
      <c r="BX739" s="319"/>
      <c r="BY739" s="319"/>
      <c r="BZ739" s="319"/>
      <c r="CA739" s="319"/>
      <c r="CB739" s="319"/>
      <c r="CC739" s="319"/>
      <c r="CD739" s="319"/>
      <c r="CE739" s="319"/>
      <c r="CF739" s="319"/>
      <c r="CG739" s="319"/>
      <c r="CH739" s="319"/>
      <c r="CI739" s="319"/>
      <c r="CJ739" s="319"/>
      <c r="CK739" s="319"/>
    </row>
    <row r="740" spans="1:89" ht="13.5" hidden="1" customHeight="1">
      <c r="A740" s="12"/>
      <c r="B740" s="28"/>
      <c r="C740" s="812" t="str">
        <f>Language!C250</f>
        <v>Mês</v>
      </c>
      <c r="D740" s="82" t="str">
        <f>D279</f>
        <v>kWh/m²/d</v>
      </c>
      <c r="E740" s="82" t="str">
        <f>E279</f>
        <v>kWh/m²/d</v>
      </c>
      <c r="F740" s="1"/>
      <c r="G740" s="1"/>
      <c r="H740" s="1"/>
      <c r="I740" s="1"/>
      <c r="J740" s="1"/>
      <c r="K740" s="9"/>
      <c r="L740" s="1"/>
      <c r="M740" s="319"/>
      <c r="N740" s="319">
        <v>5070048</v>
      </c>
      <c r="O740" s="319"/>
      <c r="P740" s="319"/>
      <c r="Q740" s="319"/>
      <c r="R740" s="319"/>
      <c r="S740" s="319"/>
      <c r="T740" s="319"/>
      <c r="U740" s="319"/>
      <c r="V740" s="319"/>
      <c r="W740" s="319"/>
      <c r="X740" s="319"/>
      <c r="Y740" s="319"/>
      <c r="Z740" s="319"/>
      <c r="AA740" s="319"/>
      <c r="AB740" s="319"/>
      <c r="AC740" s="319"/>
      <c r="AD740" s="319"/>
      <c r="AE740" s="319"/>
      <c r="AF740" s="319"/>
      <c r="AG740" s="319"/>
      <c r="AH740" s="319"/>
      <c r="AI740" s="319"/>
      <c r="AJ740" s="319"/>
      <c r="AK740" s="319"/>
      <c r="AL740" s="319"/>
      <c r="AM740" s="319"/>
      <c r="AN740" s="319"/>
      <c r="AO740" s="319"/>
      <c r="AP740" s="319"/>
      <c r="AQ740" s="319"/>
      <c r="AR740" s="319"/>
      <c r="AS740" s="319"/>
      <c r="AT740" s="319"/>
      <c r="AU740" s="319"/>
      <c r="AV740" s="319"/>
      <c r="AW740" s="319"/>
      <c r="AX740" s="319"/>
      <c r="AY740" s="319"/>
      <c r="AZ740" s="319"/>
      <c r="BA740" s="319"/>
      <c r="BB740" s="319"/>
      <c r="BC740" s="319"/>
      <c r="BD740" s="319"/>
      <c r="BE740" s="319"/>
      <c r="BF740" s="319"/>
      <c r="BG740" s="319"/>
      <c r="BH740" s="319"/>
      <c r="BI740" s="319"/>
      <c r="BJ740" s="319"/>
      <c r="BK740" s="319"/>
      <c r="BL740" s="319"/>
      <c r="BM740" s="319"/>
      <c r="BN740" s="319"/>
      <c r="BO740" s="319"/>
      <c r="BP740" s="319"/>
      <c r="BQ740" s="319"/>
      <c r="BR740" s="319"/>
      <c r="BS740" s="319"/>
      <c r="BT740" s="319"/>
      <c r="BU740" s="319"/>
      <c r="BV740" s="319"/>
      <c r="BW740" s="319"/>
      <c r="BX740" s="319"/>
      <c r="BY740" s="319"/>
      <c r="BZ740" s="319"/>
      <c r="CA740" s="319"/>
      <c r="CB740" s="319"/>
      <c r="CC740" s="319"/>
      <c r="CD740" s="319"/>
      <c r="CE740" s="319"/>
      <c r="CF740" s="319"/>
      <c r="CG740" s="319"/>
      <c r="CH740" s="319"/>
      <c r="CI740" s="319"/>
      <c r="CJ740" s="319"/>
      <c r="CK740" s="319"/>
    </row>
    <row r="741" spans="1:89" ht="13.5" hidden="1" customHeight="1">
      <c r="A741" s="12"/>
      <c r="B741" s="1"/>
      <c r="C741" s="83" t="str">
        <f>Language!C251</f>
        <v>Janeiro</v>
      </c>
      <c r="D741" s="100">
        <f>D280</f>
        <v>1.98</v>
      </c>
      <c r="E741" s="100">
        <f>V759/3.6</f>
        <v>1.98</v>
      </c>
      <c r="F741" s="1"/>
      <c r="G741" s="1"/>
      <c r="H741" s="1"/>
      <c r="I741" s="1"/>
      <c r="J741" s="1"/>
      <c r="K741" s="9"/>
      <c r="L741" s="1"/>
      <c r="M741" s="319"/>
      <c r="N741" s="319">
        <v>5070048</v>
      </c>
      <c r="O741" s="319"/>
      <c r="P741" s="319"/>
      <c r="Q741" s="319"/>
      <c r="R741" s="319"/>
      <c r="S741" s="319"/>
      <c r="T741" s="319"/>
      <c r="U741" s="319"/>
      <c r="V741" s="319"/>
      <c r="W741" s="319"/>
      <c r="X741" s="319"/>
      <c r="Y741" s="319"/>
      <c r="Z741" s="319"/>
      <c r="AA741" s="319"/>
      <c r="AB741" s="319"/>
      <c r="AC741" s="319"/>
      <c r="AD741" s="319"/>
      <c r="AE741" s="319"/>
      <c r="AF741" s="319"/>
      <c r="AG741" s="319"/>
      <c r="AH741" s="319"/>
      <c r="AI741" s="319"/>
      <c r="AJ741" s="319"/>
      <c r="AK741" s="319"/>
      <c r="AL741" s="319"/>
      <c r="AM741" s="319"/>
      <c r="AN741" s="319"/>
      <c r="AO741" s="319"/>
      <c r="AP741" s="319"/>
      <c r="AQ741" s="319"/>
      <c r="AR741" s="319"/>
      <c r="AS741" s="319"/>
      <c r="AT741" s="319"/>
      <c r="AU741" s="319"/>
      <c r="AV741" s="319"/>
      <c r="AW741" s="319"/>
      <c r="AX741" s="319"/>
      <c r="AY741" s="319"/>
      <c r="AZ741" s="319"/>
      <c r="BA741" s="319"/>
      <c r="BB741" s="319"/>
      <c r="BC741" s="319"/>
      <c r="BD741" s="319"/>
      <c r="BE741" s="319"/>
      <c r="BF741" s="319"/>
      <c r="BG741" s="319"/>
      <c r="BH741" s="319"/>
      <c r="BI741" s="319"/>
      <c r="BJ741" s="319"/>
      <c r="BK741" s="319"/>
      <c r="BL741" s="319"/>
      <c r="BM741" s="319"/>
      <c r="BN741" s="319"/>
      <c r="BO741" s="319"/>
      <c r="BP741" s="319"/>
      <c r="BQ741" s="319"/>
      <c r="BR741" s="319"/>
      <c r="BS741" s="319"/>
      <c r="BT741" s="319"/>
      <c r="BU741" s="319"/>
      <c r="BV741" s="319"/>
      <c r="BW741" s="319"/>
      <c r="BX741" s="319"/>
      <c r="BY741" s="319"/>
      <c r="BZ741" s="319"/>
      <c r="CA741" s="319"/>
      <c r="CB741" s="319"/>
      <c r="CC741" s="319"/>
      <c r="CD741" s="319"/>
      <c r="CE741" s="319"/>
      <c r="CF741" s="319"/>
      <c r="CG741" s="319"/>
      <c r="CH741" s="319"/>
      <c r="CI741" s="319"/>
      <c r="CJ741" s="319"/>
      <c r="CK741" s="319"/>
    </row>
    <row r="742" spans="1:89" ht="13.5" hidden="1" customHeight="1">
      <c r="A742" s="12"/>
      <c r="B742" s="1"/>
      <c r="C742" s="83" t="str">
        <f>Language!C252</f>
        <v>Fevereiro</v>
      </c>
      <c r="D742" s="100">
        <f t="shared" ref="D742:D753" si="177">D281</f>
        <v>2.9</v>
      </c>
      <c r="E742" s="100">
        <f t="shared" ref="E742:E752" si="178">V760/3.6</f>
        <v>2.8999999999999995</v>
      </c>
      <c r="F742" s="1"/>
      <c r="G742" s="1"/>
      <c r="H742" s="1"/>
      <c r="I742" s="1"/>
      <c r="J742" s="1"/>
      <c r="K742" s="9"/>
      <c r="L742" s="1"/>
      <c r="M742" s="319"/>
      <c r="N742" s="319">
        <v>5070048</v>
      </c>
      <c r="O742" s="319"/>
      <c r="P742" s="319"/>
      <c r="Q742" s="319"/>
      <c r="R742" s="319"/>
      <c r="S742" s="319"/>
      <c r="T742" s="319"/>
      <c r="U742" s="319"/>
      <c r="V742" s="319"/>
      <c r="W742" s="319"/>
      <c r="X742" s="319"/>
      <c r="Y742" s="319"/>
      <c r="Z742" s="319"/>
      <c r="AA742" s="319"/>
      <c r="AB742" s="319"/>
      <c r="AC742" s="319"/>
      <c r="AD742" s="319"/>
      <c r="AE742" s="319"/>
      <c r="AF742" s="319"/>
      <c r="AG742" s="319"/>
      <c r="AH742" s="319"/>
      <c r="AI742" s="319"/>
      <c r="AJ742" s="319"/>
      <c r="AK742" s="319"/>
      <c r="AL742" s="319"/>
      <c r="AM742" s="319"/>
      <c r="AN742" s="319"/>
      <c r="AO742" s="319"/>
      <c r="AP742" s="319"/>
      <c r="AQ742" s="319"/>
      <c r="AR742" s="319"/>
      <c r="AS742" s="319"/>
      <c r="AT742" s="319"/>
      <c r="AU742" s="319"/>
      <c r="AV742" s="319"/>
      <c r="AW742" s="319"/>
      <c r="AX742" s="319"/>
      <c r="AY742" s="319"/>
      <c r="AZ742" s="319"/>
      <c r="BA742" s="319"/>
      <c r="BB742" s="319"/>
      <c r="BC742" s="319"/>
      <c r="BD742" s="319"/>
      <c r="BE742" s="319"/>
      <c r="BF742" s="319"/>
      <c r="BG742" s="319"/>
      <c r="BH742" s="319"/>
      <c r="BI742" s="319"/>
      <c r="BJ742" s="319"/>
      <c r="BK742" s="319"/>
      <c r="BL742" s="319"/>
      <c r="BM742" s="319"/>
      <c r="BN742" s="319"/>
      <c r="BO742" s="319"/>
      <c r="BP742" s="319"/>
      <c r="BQ742" s="319"/>
      <c r="BR742" s="319"/>
      <c r="BS742" s="319"/>
      <c r="BT742" s="319"/>
      <c r="BU742" s="319"/>
      <c r="BV742" s="319"/>
      <c r="BW742" s="319"/>
      <c r="BX742" s="319"/>
      <c r="BY742" s="319"/>
      <c r="BZ742" s="319"/>
      <c r="CA742" s="319"/>
      <c r="CB742" s="319"/>
      <c r="CC742" s="319"/>
      <c r="CD742" s="319"/>
      <c r="CE742" s="319"/>
      <c r="CF742" s="319"/>
      <c r="CG742" s="319"/>
      <c r="CH742" s="319"/>
      <c r="CI742" s="319"/>
      <c r="CJ742" s="319"/>
      <c r="CK742" s="319"/>
    </row>
    <row r="743" spans="1:89" ht="13.5" hidden="1" customHeight="1">
      <c r="A743" s="12"/>
      <c r="B743" s="1"/>
      <c r="C743" s="83" t="str">
        <f>Language!C253</f>
        <v>Março</v>
      </c>
      <c r="D743" s="100">
        <f t="shared" si="177"/>
        <v>4.38</v>
      </c>
      <c r="E743" s="100">
        <f t="shared" si="178"/>
        <v>4.3800000000000008</v>
      </c>
      <c r="F743" s="1"/>
      <c r="G743" s="1"/>
      <c r="H743" s="1"/>
      <c r="I743" s="1"/>
      <c r="J743" s="1"/>
      <c r="K743" s="9"/>
      <c r="L743" s="1"/>
      <c r="M743" s="319"/>
      <c r="N743" s="319">
        <v>5070048</v>
      </c>
      <c r="O743" s="319"/>
      <c r="P743" s="319"/>
      <c r="Q743" s="319"/>
      <c r="R743" s="319"/>
      <c r="S743" s="319"/>
      <c r="T743" s="319"/>
      <c r="U743" s="319"/>
      <c r="V743" s="319"/>
      <c r="W743" s="319"/>
      <c r="X743" s="319"/>
      <c r="Y743" s="319"/>
      <c r="Z743" s="319"/>
      <c r="AA743" s="319"/>
      <c r="AB743" s="319"/>
      <c r="AC743" s="319"/>
      <c r="AD743" s="319"/>
      <c r="AE743" s="319"/>
      <c r="AF743" s="319"/>
      <c r="AG743" s="319"/>
      <c r="AH743" s="319"/>
      <c r="AI743" s="319"/>
      <c r="AJ743" s="319"/>
      <c r="AK743" s="319"/>
      <c r="AL743" s="319"/>
      <c r="AM743" s="319"/>
      <c r="AN743" s="319"/>
      <c r="AO743" s="319"/>
      <c r="AP743" s="319"/>
      <c r="AQ743" s="319"/>
      <c r="AR743" s="319"/>
      <c r="AS743" s="319"/>
      <c r="AT743" s="319"/>
      <c r="AU743" s="319"/>
      <c r="AV743" s="319"/>
      <c r="AW743" s="319"/>
      <c r="AX743" s="319"/>
      <c r="AY743" s="319"/>
      <c r="AZ743" s="319"/>
      <c r="BA743" s="319"/>
      <c r="BB743" s="319"/>
      <c r="BC743" s="319"/>
      <c r="BD743" s="319"/>
      <c r="BE743" s="319"/>
      <c r="BF743" s="319"/>
      <c r="BG743" s="319"/>
      <c r="BH743" s="319"/>
      <c r="BI743" s="319"/>
      <c r="BJ743" s="319"/>
      <c r="BK743" s="319"/>
      <c r="BL743" s="319"/>
      <c r="BM743" s="319"/>
      <c r="BN743" s="319"/>
      <c r="BO743" s="319"/>
      <c r="BP743" s="319"/>
      <c r="BQ743" s="319"/>
      <c r="BR743" s="319"/>
      <c r="BS743" s="319"/>
      <c r="BT743" s="319"/>
      <c r="BU743" s="319"/>
      <c r="BV743" s="319"/>
      <c r="BW743" s="319"/>
      <c r="BX743" s="319"/>
      <c r="BY743" s="319"/>
      <c r="BZ743" s="319"/>
      <c r="CA743" s="319"/>
      <c r="CB743" s="319"/>
      <c r="CC743" s="319"/>
      <c r="CD743" s="319"/>
      <c r="CE743" s="319"/>
      <c r="CF743" s="319"/>
      <c r="CG743" s="319"/>
      <c r="CH743" s="319"/>
      <c r="CI743" s="319"/>
      <c r="CJ743" s="319"/>
      <c r="CK743" s="319"/>
    </row>
    <row r="744" spans="1:89" ht="13.5" hidden="1" customHeight="1">
      <c r="A744" s="12"/>
      <c r="B744" s="1"/>
      <c r="C744" s="83" t="str">
        <f>Language!C254</f>
        <v>Abril</v>
      </c>
      <c r="D744" s="100">
        <f t="shared" si="177"/>
        <v>5.45</v>
      </c>
      <c r="E744" s="100">
        <f t="shared" si="178"/>
        <v>5.45</v>
      </c>
      <c r="F744" s="1"/>
      <c r="G744" s="1"/>
      <c r="H744" s="1"/>
      <c r="I744" s="1"/>
      <c r="J744" s="1"/>
      <c r="K744" s="9"/>
      <c r="L744" s="1"/>
      <c r="M744" s="319"/>
      <c r="N744" s="319">
        <v>5070048</v>
      </c>
      <c r="O744" s="319"/>
      <c r="P744" s="319"/>
      <c r="Q744" s="319"/>
      <c r="R744" s="319"/>
      <c r="S744" s="319"/>
      <c r="T744" s="319"/>
      <c r="U744" s="319"/>
      <c r="V744" s="319"/>
      <c r="W744" s="319"/>
      <c r="X744" s="319"/>
      <c r="Y744" s="319"/>
      <c r="Z744" s="319"/>
      <c r="AA744" s="319"/>
      <c r="AB744" s="319"/>
      <c r="AC744" s="319"/>
      <c r="AD744" s="319"/>
      <c r="AE744" s="319"/>
      <c r="AF744" s="319"/>
      <c r="AG744" s="319"/>
      <c r="AH744" s="319"/>
      <c r="AI744" s="319"/>
      <c r="AJ744" s="319"/>
      <c r="AK744" s="319"/>
      <c r="AL744" s="319"/>
      <c r="AM744" s="319"/>
      <c r="AN744" s="319"/>
      <c r="AO744" s="319"/>
      <c r="AP744" s="319"/>
      <c r="AQ744" s="319"/>
      <c r="AR744" s="319"/>
      <c r="AS744" s="319"/>
      <c r="AT744" s="319"/>
      <c r="AU744" s="319"/>
      <c r="AV744" s="319"/>
      <c r="AW744" s="319"/>
      <c r="AX744" s="319"/>
      <c r="AY744" s="319"/>
      <c r="AZ744" s="319"/>
      <c r="BA744" s="319"/>
      <c r="BB744" s="319"/>
      <c r="BC744" s="319"/>
      <c r="BD744" s="319"/>
      <c r="BE744" s="319"/>
      <c r="BF744" s="319"/>
      <c r="BG744" s="319"/>
      <c r="BH744" s="319"/>
      <c r="BI744" s="319"/>
      <c r="BJ744" s="319"/>
      <c r="BK744" s="319"/>
      <c r="BL744" s="319"/>
      <c r="BM744" s="319"/>
      <c r="BN744" s="319"/>
      <c r="BO744" s="319"/>
      <c r="BP744" s="319"/>
      <c r="BQ744" s="319"/>
      <c r="BR744" s="319"/>
      <c r="BS744" s="319"/>
      <c r="BT744" s="319"/>
      <c r="BU744" s="319"/>
      <c r="BV744" s="319"/>
      <c r="BW744" s="319"/>
      <c r="BX744" s="319"/>
      <c r="BY744" s="319"/>
      <c r="BZ744" s="319"/>
      <c r="CA744" s="319"/>
      <c r="CB744" s="319"/>
      <c r="CC744" s="319"/>
      <c r="CD744" s="319"/>
      <c r="CE744" s="319"/>
      <c r="CF744" s="319"/>
      <c r="CG744" s="319"/>
      <c r="CH744" s="319"/>
      <c r="CI744" s="319"/>
      <c r="CJ744" s="319"/>
      <c r="CK744" s="319"/>
    </row>
    <row r="745" spans="1:89" ht="13.5" hidden="1" customHeight="1">
      <c r="A745" s="12"/>
      <c r="B745" s="1"/>
      <c r="C745" s="83" t="str">
        <f>Language!C255</f>
        <v>Maio</v>
      </c>
      <c r="D745" s="100">
        <f t="shared" si="177"/>
        <v>6.07</v>
      </c>
      <c r="E745" s="100">
        <f t="shared" si="178"/>
        <v>6.0700000000000012</v>
      </c>
      <c r="F745" s="1"/>
      <c r="G745" s="1"/>
      <c r="H745" s="1"/>
      <c r="I745" s="1"/>
      <c r="J745" s="1"/>
      <c r="K745" s="9"/>
      <c r="L745" s="1"/>
      <c r="M745" s="319"/>
      <c r="N745" s="319">
        <v>5070048</v>
      </c>
      <c r="O745" s="319"/>
      <c r="P745" s="319"/>
      <c r="Q745" s="319"/>
      <c r="R745" s="319"/>
      <c r="S745" s="319"/>
      <c r="T745" s="319"/>
      <c r="U745" s="319"/>
      <c r="V745" s="319"/>
      <c r="W745" s="319"/>
      <c r="X745" s="319"/>
      <c r="Y745" s="319"/>
      <c r="Z745" s="319"/>
      <c r="AA745" s="319"/>
      <c r="AB745" s="319"/>
      <c r="AC745" s="319"/>
      <c r="AD745" s="319"/>
      <c r="AE745" s="319"/>
      <c r="AF745" s="319"/>
      <c r="AG745" s="319"/>
      <c r="AH745" s="319"/>
      <c r="AI745" s="319"/>
      <c r="AJ745" s="319"/>
      <c r="AK745" s="319"/>
      <c r="AL745" s="319"/>
      <c r="AM745" s="319"/>
      <c r="AN745" s="319"/>
      <c r="AO745" s="319"/>
      <c r="AP745" s="319"/>
      <c r="AQ745" s="319"/>
      <c r="AR745" s="319"/>
      <c r="AS745" s="319"/>
      <c r="AT745" s="319"/>
      <c r="AU745" s="319"/>
      <c r="AV745" s="319"/>
      <c r="AW745" s="319"/>
      <c r="AX745" s="319"/>
      <c r="AY745" s="319"/>
      <c r="AZ745" s="319"/>
      <c r="BA745" s="319"/>
      <c r="BB745" s="319"/>
      <c r="BC745" s="319"/>
      <c r="BD745" s="319"/>
      <c r="BE745" s="319"/>
      <c r="BF745" s="319"/>
      <c r="BG745" s="319"/>
      <c r="BH745" s="319"/>
      <c r="BI745" s="319"/>
      <c r="BJ745" s="319"/>
      <c r="BK745" s="319"/>
      <c r="BL745" s="319"/>
      <c r="BM745" s="319"/>
      <c r="BN745" s="319"/>
      <c r="BO745" s="319"/>
      <c r="BP745" s="319"/>
      <c r="BQ745" s="319"/>
      <c r="BR745" s="319"/>
      <c r="BS745" s="319"/>
      <c r="BT745" s="319"/>
      <c r="BU745" s="319"/>
      <c r="BV745" s="319"/>
      <c r="BW745" s="319"/>
      <c r="BX745" s="319"/>
      <c r="BY745" s="319"/>
      <c r="BZ745" s="319"/>
      <c r="CA745" s="319"/>
      <c r="CB745" s="319"/>
      <c r="CC745" s="319"/>
      <c r="CD745" s="319"/>
      <c r="CE745" s="319"/>
      <c r="CF745" s="319"/>
      <c r="CG745" s="319"/>
      <c r="CH745" s="319"/>
      <c r="CI745" s="319"/>
      <c r="CJ745" s="319"/>
      <c r="CK745" s="319"/>
    </row>
    <row r="746" spans="1:89" ht="13.5" hidden="1" customHeight="1">
      <c r="A746" s="12"/>
      <c r="B746" s="1"/>
      <c r="C746" s="83" t="str">
        <f>Language!C256</f>
        <v>Junho</v>
      </c>
      <c r="D746" s="100">
        <f t="shared" si="177"/>
        <v>6.42</v>
      </c>
      <c r="E746" s="100">
        <f t="shared" si="178"/>
        <v>6.4200000000000026</v>
      </c>
      <c r="F746" s="1"/>
      <c r="G746" s="1"/>
      <c r="H746" s="1"/>
      <c r="I746" s="1"/>
      <c r="J746" s="1"/>
      <c r="K746" s="9"/>
      <c r="L746" s="1"/>
      <c r="M746" s="319"/>
      <c r="N746" s="319">
        <v>5070048</v>
      </c>
      <c r="O746" s="319"/>
      <c r="P746" s="319"/>
      <c r="Q746" s="319"/>
      <c r="R746" s="319"/>
      <c r="S746" s="319"/>
      <c r="T746" s="319"/>
      <c r="U746" s="319"/>
      <c r="V746" s="319"/>
      <c r="W746" s="319"/>
      <c r="X746" s="319"/>
      <c r="Y746" s="319"/>
      <c r="Z746" s="319"/>
      <c r="AA746" s="319"/>
      <c r="AB746" s="319"/>
      <c r="AC746" s="319"/>
      <c r="AD746" s="319"/>
      <c r="AE746" s="319"/>
      <c r="AF746" s="319"/>
      <c r="AG746" s="319"/>
      <c r="AH746" s="319"/>
      <c r="AI746" s="319"/>
      <c r="AJ746" s="319"/>
      <c r="AK746" s="319"/>
      <c r="AL746" s="319"/>
      <c r="AM746" s="319"/>
      <c r="AN746" s="319"/>
      <c r="AO746" s="319"/>
      <c r="AP746" s="319"/>
      <c r="AQ746" s="319"/>
      <c r="AR746" s="319"/>
      <c r="AS746" s="319"/>
      <c r="AT746" s="319"/>
      <c r="AU746" s="319"/>
      <c r="AV746" s="319"/>
      <c r="AW746" s="319"/>
      <c r="AX746" s="319"/>
      <c r="AY746" s="319"/>
      <c r="AZ746" s="319"/>
      <c r="BA746" s="319"/>
      <c r="BB746" s="319"/>
      <c r="BC746" s="319"/>
      <c r="BD746" s="319"/>
      <c r="BE746" s="319"/>
      <c r="BF746" s="319"/>
      <c r="BG746" s="319"/>
      <c r="BH746" s="319"/>
      <c r="BI746" s="319"/>
      <c r="BJ746" s="319"/>
      <c r="BK746" s="319"/>
      <c r="BL746" s="319"/>
      <c r="BM746" s="319"/>
      <c r="BN746" s="319"/>
      <c r="BO746" s="319"/>
      <c r="BP746" s="319"/>
      <c r="BQ746" s="319"/>
      <c r="BR746" s="319"/>
      <c r="BS746" s="319"/>
      <c r="BT746" s="319"/>
      <c r="BU746" s="319"/>
      <c r="BV746" s="319"/>
      <c r="BW746" s="319"/>
      <c r="BX746" s="319"/>
      <c r="BY746" s="319"/>
      <c r="BZ746" s="319"/>
      <c r="CA746" s="319"/>
      <c r="CB746" s="319"/>
      <c r="CC746" s="319"/>
      <c r="CD746" s="319"/>
      <c r="CE746" s="319"/>
      <c r="CF746" s="319"/>
      <c r="CG746" s="319"/>
      <c r="CH746" s="319"/>
      <c r="CI746" s="319"/>
      <c r="CJ746" s="319"/>
      <c r="CK746" s="319"/>
    </row>
    <row r="747" spans="1:89" ht="13.5" hidden="1" customHeight="1">
      <c r="A747" s="12"/>
      <c r="B747" s="1"/>
      <c r="C747" s="83" t="str">
        <f>Language!C257</f>
        <v>Julho</v>
      </c>
      <c r="D747" s="100">
        <f t="shared" si="177"/>
        <v>6.81</v>
      </c>
      <c r="E747" s="100">
        <f t="shared" si="178"/>
        <v>6.8099999999999987</v>
      </c>
      <c r="F747" s="1"/>
      <c r="G747" s="1"/>
      <c r="H747" s="1"/>
      <c r="I747" s="1"/>
      <c r="J747" s="1"/>
      <c r="K747" s="9"/>
      <c r="L747" s="1"/>
      <c r="M747" s="319"/>
      <c r="N747" s="319">
        <v>5070048</v>
      </c>
      <c r="O747" s="319"/>
      <c r="P747" s="319"/>
      <c r="Q747" s="319"/>
      <c r="R747" s="319"/>
      <c r="S747" s="319"/>
      <c r="T747" s="319"/>
      <c r="U747" s="319"/>
      <c r="V747" s="319"/>
      <c r="W747" s="319"/>
      <c r="X747" s="319"/>
      <c r="Y747" s="319"/>
      <c r="Z747" s="319"/>
      <c r="AA747" s="319"/>
      <c r="AB747" s="319"/>
      <c r="AC747" s="319"/>
      <c r="AD747" s="319"/>
      <c r="AE747" s="319"/>
      <c r="AF747" s="319"/>
      <c r="AG747" s="319"/>
      <c r="AH747" s="319"/>
      <c r="AI747" s="319"/>
      <c r="AJ747" s="319"/>
      <c r="AK747" s="319"/>
      <c r="AL747" s="319"/>
      <c r="AM747" s="319"/>
      <c r="AN747" s="319"/>
      <c r="AO747" s="319"/>
      <c r="AP747" s="319"/>
      <c r="AQ747" s="319"/>
      <c r="AR747" s="319"/>
      <c r="AS747" s="319"/>
      <c r="AT747" s="319"/>
      <c r="AU747" s="319"/>
      <c r="AV747" s="319"/>
      <c r="AW747" s="319"/>
      <c r="AX747" s="319"/>
      <c r="AY747" s="319"/>
      <c r="AZ747" s="319"/>
      <c r="BA747" s="319"/>
      <c r="BB747" s="319"/>
      <c r="BC747" s="319"/>
      <c r="BD747" s="319"/>
      <c r="BE747" s="319"/>
      <c r="BF747" s="319"/>
      <c r="BG747" s="319"/>
      <c r="BH747" s="319"/>
      <c r="BI747" s="319"/>
      <c r="BJ747" s="319"/>
      <c r="BK747" s="319"/>
      <c r="BL747" s="319"/>
      <c r="BM747" s="319"/>
      <c r="BN747" s="319"/>
      <c r="BO747" s="319"/>
      <c r="BP747" s="319"/>
      <c r="BQ747" s="319"/>
      <c r="BR747" s="319"/>
      <c r="BS747" s="319"/>
      <c r="BT747" s="319"/>
      <c r="BU747" s="319"/>
      <c r="BV747" s="319"/>
      <c r="BW747" s="319"/>
      <c r="BX747" s="319"/>
      <c r="BY747" s="319"/>
      <c r="BZ747" s="319"/>
      <c r="CA747" s="319"/>
      <c r="CB747" s="319"/>
      <c r="CC747" s="319"/>
      <c r="CD747" s="319"/>
      <c r="CE747" s="319"/>
      <c r="CF747" s="319"/>
      <c r="CG747" s="319"/>
      <c r="CH747" s="319"/>
      <c r="CI747" s="319"/>
      <c r="CJ747" s="319"/>
      <c r="CK747" s="319"/>
    </row>
    <row r="748" spans="1:89" ht="13.5" hidden="1" customHeight="1">
      <c r="A748" s="12"/>
      <c r="B748" s="1"/>
      <c r="C748" s="83" t="str">
        <f>Language!C258</f>
        <v>Agosto</v>
      </c>
      <c r="D748" s="100">
        <f t="shared" si="177"/>
        <v>6.23</v>
      </c>
      <c r="E748" s="100">
        <f t="shared" si="178"/>
        <v>6.2300000000000013</v>
      </c>
      <c r="F748" s="1"/>
      <c r="G748" s="1"/>
      <c r="H748" s="1"/>
      <c r="I748" s="1"/>
      <c r="J748" s="1"/>
      <c r="K748" s="9"/>
      <c r="L748" s="1"/>
      <c r="M748" s="319"/>
      <c r="N748" s="319">
        <v>5070048</v>
      </c>
      <c r="O748" s="319"/>
      <c r="P748" s="319"/>
      <c r="Q748" s="319"/>
      <c r="R748" s="319"/>
      <c r="S748" s="319"/>
      <c r="T748" s="319"/>
      <c r="U748" s="319"/>
      <c r="V748" s="319"/>
      <c r="W748" s="319"/>
      <c r="X748" s="319"/>
      <c r="Y748" s="319"/>
      <c r="Z748" s="319"/>
      <c r="AA748" s="319"/>
      <c r="AB748" s="319"/>
      <c r="AC748" s="319"/>
      <c r="AD748" s="319"/>
      <c r="AE748" s="319"/>
      <c r="AF748" s="319"/>
      <c r="AG748" s="319"/>
      <c r="AH748" s="319"/>
      <c r="AI748" s="319"/>
      <c r="AJ748" s="319"/>
      <c r="AK748" s="319"/>
      <c r="AL748" s="319"/>
      <c r="AM748" s="319"/>
      <c r="AN748" s="319"/>
      <c r="AO748" s="319"/>
      <c r="AP748" s="319"/>
      <c r="AQ748" s="319"/>
      <c r="AR748" s="319"/>
      <c r="AS748" s="319"/>
      <c r="AT748" s="319"/>
      <c r="AU748" s="319"/>
      <c r="AV748" s="319"/>
      <c r="AW748" s="319"/>
      <c r="AX748" s="319"/>
      <c r="AY748" s="319"/>
      <c r="AZ748" s="319"/>
      <c r="BA748" s="319"/>
      <c r="BB748" s="319"/>
      <c r="BC748" s="319"/>
      <c r="BD748" s="319"/>
      <c r="BE748" s="319"/>
      <c r="BF748" s="319"/>
      <c r="BG748" s="319"/>
      <c r="BH748" s="319"/>
      <c r="BI748" s="319"/>
      <c r="BJ748" s="319"/>
      <c r="BK748" s="319"/>
      <c r="BL748" s="319"/>
      <c r="BM748" s="319"/>
      <c r="BN748" s="319"/>
      <c r="BO748" s="319"/>
      <c r="BP748" s="319"/>
      <c r="BQ748" s="319"/>
      <c r="BR748" s="319"/>
      <c r="BS748" s="319"/>
      <c r="BT748" s="319"/>
      <c r="BU748" s="319"/>
      <c r="BV748" s="319"/>
      <c r="BW748" s="319"/>
      <c r="BX748" s="319"/>
      <c r="BY748" s="319"/>
      <c r="BZ748" s="319"/>
      <c r="CA748" s="319"/>
      <c r="CB748" s="319"/>
      <c r="CC748" s="319"/>
      <c r="CD748" s="319"/>
      <c r="CE748" s="319"/>
      <c r="CF748" s="319"/>
      <c r="CG748" s="319"/>
      <c r="CH748" s="319"/>
      <c r="CI748" s="319"/>
      <c r="CJ748" s="319"/>
      <c r="CK748" s="319"/>
    </row>
    <row r="749" spans="1:89" ht="13.5" hidden="1" customHeight="1">
      <c r="A749" s="12"/>
      <c r="B749" s="1"/>
      <c r="C749" s="83" t="str">
        <f>Language!C259</f>
        <v>Setembro</v>
      </c>
      <c r="D749" s="100">
        <f t="shared" si="177"/>
        <v>4.7</v>
      </c>
      <c r="E749" s="100">
        <f t="shared" si="178"/>
        <v>4.7</v>
      </c>
      <c r="F749" s="1"/>
      <c r="G749" s="1"/>
      <c r="H749" s="1"/>
      <c r="I749" s="1"/>
      <c r="J749" s="1"/>
      <c r="K749" s="9"/>
      <c r="L749" s="1"/>
      <c r="M749" s="319"/>
      <c r="N749" s="319">
        <v>5070048</v>
      </c>
      <c r="O749" s="319"/>
      <c r="P749" s="319"/>
      <c r="Q749" s="319"/>
      <c r="R749" s="319"/>
      <c r="S749" s="319"/>
      <c r="T749" s="319"/>
      <c r="U749" s="319"/>
      <c r="V749" s="319"/>
      <c r="W749" s="319"/>
      <c r="X749" s="319"/>
      <c r="Y749" s="319"/>
      <c r="Z749" s="319"/>
      <c r="AA749" s="319"/>
      <c r="AB749" s="319"/>
      <c r="AC749" s="319"/>
      <c r="AD749" s="319"/>
      <c r="AE749" s="319"/>
      <c r="AF749" s="319"/>
      <c r="AG749" s="319"/>
      <c r="AH749" s="319"/>
      <c r="AI749" s="319"/>
      <c r="AJ749" s="319"/>
      <c r="AK749" s="319"/>
      <c r="AL749" s="319"/>
      <c r="AM749" s="319"/>
      <c r="AN749" s="319"/>
      <c r="AO749" s="319"/>
      <c r="AP749" s="319"/>
      <c r="AQ749" s="319"/>
      <c r="AR749" s="319"/>
      <c r="AS749" s="319"/>
      <c r="AT749" s="319"/>
      <c r="AU749" s="319"/>
      <c r="AV749" s="319"/>
      <c r="AW749" s="319"/>
      <c r="AX749" s="319"/>
      <c r="AY749" s="319"/>
      <c r="AZ749" s="319"/>
      <c r="BA749" s="319"/>
      <c r="BB749" s="319"/>
      <c r="BC749" s="319"/>
      <c r="BD749" s="319"/>
      <c r="BE749" s="319"/>
      <c r="BF749" s="319"/>
      <c r="BG749" s="319"/>
      <c r="BH749" s="319"/>
      <c r="BI749" s="319"/>
      <c r="BJ749" s="319"/>
      <c r="BK749" s="319"/>
      <c r="BL749" s="319"/>
      <c r="BM749" s="319"/>
      <c r="BN749" s="319"/>
      <c r="BO749" s="319"/>
      <c r="BP749" s="319"/>
      <c r="BQ749" s="319"/>
      <c r="BR749" s="319"/>
      <c r="BS749" s="319"/>
      <c r="BT749" s="319"/>
      <c r="BU749" s="319"/>
      <c r="BV749" s="319"/>
      <c r="BW749" s="319"/>
      <c r="BX749" s="319"/>
      <c r="BY749" s="319"/>
      <c r="BZ749" s="319"/>
      <c r="CA749" s="319"/>
      <c r="CB749" s="319"/>
      <c r="CC749" s="319"/>
      <c r="CD749" s="319"/>
      <c r="CE749" s="319"/>
      <c r="CF749" s="319"/>
      <c r="CG749" s="319"/>
      <c r="CH749" s="319"/>
      <c r="CI749" s="319"/>
      <c r="CJ749" s="319"/>
      <c r="CK749" s="319"/>
    </row>
    <row r="750" spans="1:89" ht="13.5" hidden="1" customHeight="1">
      <c r="A750" s="12"/>
      <c r="B750" s="1"/>
      <c r="C750" s="83" t="str">
        <f>Language!C260</f>
        <v>Outubro</v>
      </c>
      <c r="D750" s="100">
        <f t="shared" si="177"/>
        <v>3.55</v>
      </c>
      <c r="E750" s="100">
        <f t="shared" si="178"/>
        <v>3.5499999999999994</v>
      </c>
      <c r="F750" s="1"/>
      <c r="G750" s="1"/>
      <c r="H750" s="1"/>
      <c r="I750" s="1"/>
      <c r="J750" s="1"/>
      <c r="K750" s="9"/>
      <c r="L750" s="1"/>
      <c r="M750" s="319"/>
      <c r="N750" s="319">
        <v>5070048</v>
      </c>
      <c r="O750" s="319"/>
      <c r="P750" s="319"/>
      <c r="Q750" s="319"/>
      <c r="R750" s="319"/>
      <c r="S750" s="319"/>
      <c r="T750" s="319"/>
      <c r="U750" s="319"/>
      <c r="V750" s="319"/>
      <c r="W750" s="319"/>
      <c r="X750" s="319"/>
      <c r="Y750" s="319"/>
      <c r="Z750" s="319"/>
      <c r="AA750" s="319"/>
      <c r="AB750" s="319"/>
      <c r="AC750" s="319"/>
      <c r="AD750" s="319"/>
      <c r="AE750" s="319"/>
      <c r="AF750" s="319"/>
      <c r="AG750" s="319"/>
      <c r="AH750" s="319"/>
      <c r="AI750" s="319"/>
      <c r="AJ750" s="319"/>
      <c r="AK750" s="319"/>
      <c r="AL750" s="319"/>
      <c r="AM750" s="319"/>
      <c r="AN750" s="319"/>
      <c r="AO750" s="319"/>
      <c r="AP750" s="319"/>
      <c r="AQ750" s="319"/>
      <c r="AR750" s="319"/>
      <c r="AS750" s="319"/>
      <c r="AT750" s="319"/>
      <c r="AU750" s="319"/>
      <c r="AV750" s="319"/>
      <c r="AW750" s="319"/>
      <c r="AX750" s="319"/>
      <c r="AY750" s="319"/>
      <c r="AZ750" s="319"/>
      <c r="BA750" s="319"/>
      <c r="BB750" s="319"/>
      <c r="BC750" s="319"/>
      <c r="BD750" s="319"/>
      <c r="BE750" s="319"/>
      <c r="BF750" s="319"/>
      <c r="BG750" s="319"/>
      <c r="BH750" s="319"/>
      <c r="BI750" s="319"/>
      <c r="BJ750" s="319"/>
      <c r="BK750" s="319"/>
      <c r="BL750" s="319"/>
      <c r="BM750" s="319"/>
      <c r="BN750" s="319"/>
      <c r="BO750" s="319"/>
      <c r="BP750" s="319"/>
      <c r="BQ750" s="319"/>
      <c r="BR750" s="319"/>
      <c r="BS750" s="319"/>
      <c r="BT750" s="319"/>
      <c r="BU750" s="319"/>
      <c r="BV750" s="319"/>
      <c r="BW750" s="319"/>
      <c r="BX750" s="319"/>
      <c r="BY750" s="319"/>
      <c r="BZ750" s="319"/>
      <c r="CA750" s="319"/>
      <c r="CB750" s="319"/>
      <c r="CC750" s="319"/>
      <c r="CD750" s="319"/>
      <c r="CE750" s="319"/>
      <c r="CF750" s="319"/>
      <c r="CG750" s="319"/>
      <c r="CH750" s="319"/>
      <c r="CI750" s="319"/>
      <c r="CJ750" s="319"/>
      <c r="CK750" s="319"/>
    </row>
    <row r="751" spans="1:89" ht="13.5" hidden="1" customHeight="1">
      <c r="A751" s="12"/>
      <c r="B751" s="1"/>
      <c r="C751" s="83" t="str">
        <f>Language!C261</f>
        <v>Novembro</v>
      </c>
      <c r="D751" s="100">
        <f t="shared" si="177"/>
        <v>2.46</v>
      </c>
      <c r="E751" s="100">
        <f t="shared" si="178"/>
        <v>2.4600000000000004</v>
      </c>
      <c r="F751" s="1"/>
      <c r="G751" s="1"/>
      <c r="H751" s="1"/>
      <c r="I751" s="1"/>
      <c r="J751" s="1"/>
      <c r="K751" s="9"/>
      <c r="L751" s="1"/>
      <c r="M751" s="319"/>
      <c r="N751" s="319">
        <v>5070048</v>
      </c>
      <c r="O751" s="319"/>
      <c r="P751" s="319"/>
      <c r="Q751" s="319"/>
      <c r="R751" s="319"/>
      <c r="S751" s="319"/>
      <c r="T751" s="319"/>
      <c r="U751" s="319"/>
      <c r="V751" s="319"/>
      <c r="W751" s="319"/>
      <c r="X751" s="319"/>
      <c r="Y751" s="319"/>
      <c r="Z751" s="319"/>
      <c r="AA751" s="319"/>
      <c r="AB751" s="319"/>
      <c r="AC751" s="319"/>
      <c r="AD751" s="319"/>
      <c r="AE751" s="319"/>
      <c r="AF751" s="319"/>
      <c r="AG751" s="319"/>
      <c r="AH751" s="319"/>
      <c r="AI751" s="319"/>
      <c r="AJ751" s="319"/>
      <c r="AK751" s="319"/>
      <c r="AL751" s="319"/>
      <c r="AM751" s="319"/>
      <c r="AN751" s="319"/>
      <c r="AO751" s="319"/>
      <c r="AP751" s="319"/>
      <c r="AQ751" s="319"/>
      <c r="AR751" s="319"/>
      <c r="AS751" s="319"/>
      <c r="AT751" s="319"/>
      <c r="AU751" s="319"/>
      <c r="AV751" s="319"/>
      <c r="AW751" s="319"/>
      <c r="AX751" s="319"/>
      <c r="AY751" s="319"/>
      <c r="AZ751" s="319"/>
      <c r="BA751" s="319"/>
      <c r="BB751" s="319"/>
      <c r="BC751" s="319"/>
      <c r="BD751" s="319"/>
      <c r="BE751" s="319"/>
      <c r="BF751" s="319"/>
      <c r="BG751" s="319"/>
      <c r="BH751" s="319"/>
      <c r="BI751" s="319"/>
      <c r="BJ751" s="319"/>
      <c r="BK751" s="319"/>
      <c r="BL751" s="319"/>
      <c r="BM751" s="319"/>
      <c r="BN751" s="319"/>
      <c r="BO751" s="319"/>
      <c r="BP751" s="319"/>
      <c r="BQ751" s="319"/>
      <c r="BR751" s="319"/>
      <c r="BS751" s="319"/>
      <c r="BT751" s="319"/>
      <c r="BU751" s="319"/>
      <c r="BV751" s="319"/>
      <c r="BW751" s="319"/>
      <c r="BX751" s="319"/>
      <c r="BY751" s="319"/>
      <c r="BZ751" s="319"/>
      <c r="CA751" s="319"/>
      <c r="CB751" s="319"/>
      <c r="CC751" s="319"/>
      <c r="CD751" s="319"/>
      <c r="CE751" s="319"/>
      <c r="CF751" s="319"/>
      <c r="CG751" s="319"/>
      <c r="CH751" s="319"/>
      <c r="CI751" s="319"/>
      <c r="CJ751" s="319"/>
      <c r="CK751" s="319"/>
    </row>
    <row r="752" spans="1:89" ht="13.5" hidden="1" customHeight="1">
      <c r="A752" s="12"/>
      <c r="B752" s="1"/>
      <c r="C752" s="83" t="str">
        <f>Language!C262</f>
        <v>Dezembro</v>
      </c>
      <c r="D752" s="100">
        <f t="shared" si="177"/>
        <v>2.17</v>
      </c>
      <c r="E752" s="100">
        <f t="shared" si="178"/>
        <v>2.17</v>
      </c>
      <c r="F752" s="1"/>
      <c r="G752" s="1"/>
      <c r="H752" s="1"/>
      <c r="I752" s="1"/>
      <c r="J752" s="1"/>
      <c r="K752" s="9"/>
      <c r="L752" s="1"/>
      <c r="M752" s="319"/>
      <c r="N752" s="319">
        <v>5070048</v>
      </c>
      <c r="O752" s="319"/>
      <c r="P752" s="319"/>
      <c r="Q752" s="319"/>
      <c r="R752" s="319"/>
      <c r="S752" s="319"/>
      <c r="T752" s="319"/>
      <c r="U752" s="319"/>
      <c r="V752" s="319"/>
      <c r="W752" s="319"/>
      <c r="X752" s="319"/>
      <c r="Y752" s="319"/>
      <c r="Z752" s="319"/>
      <c r="AA752" s="319"/>
      <c r="AB752" s="319"/>
      <c r="AC752" s="319"/>
      <c r="AD752" s="319"/>
      <c r="AE752" s="319"/>
      <c r="AF752" s="319"/>
      <c r="AG752" s="319"/>
      <c r="AH752" s="319"/>
      <c r="AI752" s="319"/>
      <c r="AJ752" s="319"/>
      <c r="AK752" s="319"/>
      <c r="AL752" s="319"/>
      <c r="AM752" s="319"/>
      <c r="AN752" s="319"/>
      <c r="AO752" s="319"/>
      <c r="AP752" s="319"/>
      <c r="AQ752" s="319"/>
      <c r="AR752" s="319"/>
      <c r="AS752" s="319"/>
      <c r="AT752" s="319"/>
      <c r="AU752" s="319"/>
      <c r="AV752" s="319"/>
      <c r="AW752" s="319"/>
      <c r="AX752" s="319"/>
      <c r="AY752" s="319"/>
      <c r="AZ752" s="319"/>
      <c r="BA752" s="319"/>
      <c r="BB752" s="319"/>
      <c r="BC752" s="319"/>
      <c r="BD752" s="319"/>
      <c r="BE752" s="319"/>
      <c r="BF752" s="319"/>
      <c r="BG752" s="319"/>
      <c r="BH752" s="319"/>
      <c r="BI752" s="319"/>
      <c r="BJ752" s="319"/>
      <c r="BK752" s="319"/>
      <c r="BL752" s="319"/>
      <c r="BM752" s="319"/>
      <c r="BN752" s="319"/>
      <c r="BO752" s="319"/>
      <c r="BP752" s="319"/>
      <c r="BQ752" s="319"/>
      <c r="BR752" s="319"/>
      <c r="BS752" s="319"/>
      <c r="BT752" s="319"/>
      <c r="BU752" s="319"/>
      <c r="BV752" s="319"/>
      <c r="BW752" s="319"/>
      <c r="BX752" s="319"/>
      <c r="BY752" s="319"/>
      <c r="BZ752" s="319"/>
      <c r="CA752" s="319"/>
      <c r="CB752" s="319"/>
      <c r="CC752" s="319"/>
      <c r="CD752" s="319"/>
      <c r="CE752" s="319"/>
      <c r="CF752" s="319"/>
      <c r="CG752" s="319"/>
      <c r="CH752" s="319"/>
      <c r="CI752" s="319"/>
      <c r="CJ752" s="319"/>
      <c r="CK752" s="319"/>
    </row>
    <row r="753" spans="1:89" ht="13.5" hidden="1" customHeight="1">
      <c r="A753" s="12"/>
      <c r="B753" s="1"/>
      <c r="C753" s="333" t="str">
        <f>B331</f>
        <v>Anual</v>
      </c>
      <c r="D753" s="806">
        <f t="shared" si="177"/>
        <v>4.4355890410958905</v>
      </c>
      <c r="E753" s="806">
        <f>SUMPRODUCT(E741:E752,P476:P487)/365</f>
        <v>4.4355890410958905</v>
      </c>
      <c r="F753" s="1"/>
      <c r="G753" s="1"/>
      <c r="H753" s="1"/>
      <c r="I753" s="1"/>
      <c r="J753" s="1"/>
      <c r="K753" s="9"/>
      <c r="L753" s="1"/>
      <c r="M753" s="319"/>
      <c r="N753" s="319">
        <v>5070048</v>
      </c>
      <c r="O753" s="319"/>
      <c r="P753" s="319"/>
      <c r="Q753" s="319"/>
      <c r="R753" s="319"/>
      <c r="S753" s="319"/>
      <c r="T753" s="319"/>
      <c r="U753" s="319"/>
      <c r="V753" s="319"/>
      <c r="W753" s="319"/>
      <c r="X753" s="319"/>
      <c r="Y753" s="319"/>
      <c r="Z753" s="319"/>
      <c r="AA753" s="319"/>
      <c r="AB753" s="319"/>
      <c r="AC753" s="319"/>
      <c r="AD753" s="319"/>
      <c r="AE753" s="319"/>
      <c r="AF753" s="319"/>
      <c r="AG753" s="319"/>
      <c r="AH753" s="319"/>
      <c r="AI753" s="319"/>
      <c r="AJ753" s="319"/>
      <c r="AK753" s="319"/>
      <c r="AL753" s="319"/>
      <c r="AM753" s="319"/>
      <c r="AN753" s="319"/>
      <c r="AO753" s="319"/>
      <c r="AP753" s="319"/>
      <c r="AQ753" s="319"/>
      <c r="AR753" s="319"/>
      <c r="AS753" s="319"/>
      <c r="AT753" s="319"/>
      <c r="AU753" s="319"/>
      <c r="AV753" s="319"/>
      <c r="AW753" s="319"/>
      <c r="AX753" s="319"/>
      <c r="AY753" s="319"/>
      <c r="AZ753" s="319"/>
      <c r="BA753" s="319"/>
      <c r="BB753" s="319"/>
      <c r="BC753" s="319"/>
      <c r="BD753" s="319"/>
      <c r="BE753" s="319"/>
      <c r="BF753" s="319"/>
      <c r="BG753" s="319"/>
      <c r="BH753" s="319"/>
      <c r="BI753" s="319"/>
      <c r="BJ753" s="319"/>
      <c r="BK753" s="319"/>
      <c r="BL753" s="319"/>
      <c r="BM753" s="319"/>
      <c r="BN753" s="319"/>
      <c r="BO753" s="319"/>
      <c r="BP753" s="319"/>
      <c r="BQ753" s="319"/>
      <c r="BR753" s="319"/>
      <c r="BS753" s="319"/>
      <c r="BT753" s="319"/>
      <c r="BU753" s="319"/>
      <c r="BV753" s="319"/>
      <c r="BW753" s="319"/>
      <c r="BX753" s="319"/>
      <c r="BY753" s="319"/>
      <c r="BZ753" s="319"/>
      <c r="CA753" s="319"/>
      <c r="CB753" s="319"/>
      <c r="CC753" s="319"/>
      <c r="CD753" s="319"/>
      <c r="CE753" s="319"/>
      <c r="CF753" s="319"/>
      <c r="CG753" s="319"/>
      <c r="CH753" s="319"/>
      <c r="CI753" s="319"/>
      <c r="CJ753" s="319"/>
      <c r="CK753" s="319"/>
    </row>
    <row r="754" spans="1:89" ht="13.5" hidden="1" customHeight="1">
      <c r="A754" s="12"/>
      <c r="B754" s="1"/>
      <c r="C754" s="333"/>
      <c r="D754" s="100"/>
      <c r="E754" s="100"/>
      <c r="F754" s="1"/>
      <c r="G754" s="1"/>
      <c r="H754" s="1"/>
      <c r="I754" s="1"/>
      <c r="J754" s="1"/>
      <c r="K754" s="9"/>
      <c r="L754" s="1"/>
      <c r="M754" s="319"/>
      <c r="N754" s="319">
        <v>5070048</v>
      </c>
      <c r="O754" s="319"/>
      <c r="P754" s="319"/>
      <c r="Q754" s="319"/>
      <c r="R754" s="319"/>
      <c r="S754" s="319"/>
      <c r="T754" s="319"/>
      <c r="U754" s="319"/>
      <c r="V754" s="319"/>
      <c r="W754" s="319"/>
      <c r="X754" s="319"/>
      <c r="Y754" s="319"/>
      <c r="Z754" s="319"/>
      <c r="AA754" s="319"/>
      <c r="AB754" s="319"/>
      <c r="AC754" s="319"/>
      <c r="AD754" s="319"/>
      <c r="AE754" s="319"/>
      <c r="AF754" s="319"/>
      <c r="AG754" s="319"/>
      <c r="AH754" s="319"/>
      <c r="AI754" s="319"/>
      <c r="AJ754" s="319"/>
      <c r="AK754" s="319"/>
      <c r="AL754" s="319"/>
      <c r="AM754" s="319"/>
      <c r="AN754" s="319"/>
      <c r="AO754" s="319"/>
      <c r="AP754" s="319"/>
      <c r="AQ754" s="319"/>
      <c r="AR754" s="319"/>
      <c r="AS754" s="319"/>
      <c r="AT754" s="319"/>
      <c r="AU754" s="319"/>
      <c r="AV754" s="319"/>
      <c r="AW754" s="319"/>
      <c r="AX754" s="319"/>
      <c r="AY754" s="319"/>
      <c r="AZ754" s="319"/>
      <c r="BA754" s="319"/>
      <c r="BB754" s="319"/>
      <c r="BC754" s="319"/>
      <c r="BD754" s="319"/>
      <c r="BE754" s="319"/>
      <c r="BF754" s="319"/>
      <c r="BG754" s="319"/>
      <c r="BH754" s="319"/>
      <c r="BI754" s="319"/>
      <c r="BJ754" s="319"/>
      <c r="BK754" s="319"/>
      <c r="BL754" s="319"/>
      <c r="BM754" s="319"/>
      <c r="BN754" s="319"/>
      <c r="BO754" s="319"/>
      <c r="BP754" s="319"/>
      <c r="BQ754" s="319"/>
      <c r="BR754" s="319"/>
      <c r="BS754" s="319"/>
      <c r="BT754" s="319"/>
      <c r="BU754" s="319"/>
      <c r="BV754" s="319"/>
      <c r="BW754" s="319"/>
      <c r="BX754" s="319"/>
      <c r="BY754" s="319"/>
      <c r="BZ754" s="319"/>
      <c r="CA754" s="319"/>
      <c r="CB754" s="319"/>
      <c r="CC754" s="319"/>
      <c r="CD754" s="319"/>
      <c r="CE754" s="319"/>
      <c r="CF754" s="319"/>
      <c r="CG754" s="319"/>
      <c r="CH754" s="319"/>
      <c r="CI754" s="319"/>
      <c r="CJ754" s="319"/>
      <c r="CK754" s="319"/>
    </row>
    <row r="755" spans="1:89" ht="13.5" hidden="1" customHeight="1">
      <c r="A755" s="12"/>
      <c r="B755" s="1" t="str">
        <f>B294</f>
        <v>Radiação Solar anual - horizontal</v>
      </c>
      <c r="C755" s="21" t="str">
        <f>C294</f>
        <v>MWh/m²</v>
      </c>
      <c r="D755" s="217">
        <f>D294</f>
        <v>1.6189900000000002</v>
      </c>
      <c r="E755" s="1"/>
      <c r="F755" s="1"/>
      <c r="G755" s="1"/>
      <c r="H755" s="1"/>
      <c r="I755" s="1"/>
      <c r="J755" s="1"/>
      <c r="K755" s="9"/>
      <c r="L755" s="1"/>
      <c r="M755" s="319"/>
      <c r="N755" s="319">
        <v>2122002</v>
      </c>
      <c r="O755" s="319"/>
      <c r="P755" s="319"/>
      <c r="Q755" s="319"/>
      <c r="R755" s="319"/>
      <c r="S755" s="319"/>
      <c r="T755" s="319"/>
      <c r="U755" s="319"/>
      <c r="V755" s="319"/>
      <c r="W755" s="319"/>
      <c r="X755" s="319"/>
      <c r="Y755" s="319"/>
      <c r="Z755" s="319"/>
      <c r="AA755" s="319"/>
      <c r="AB755" s="319"/>
      <c r="AC755" s="319"/>
      <c r="AD755" s="319"/>
      <c r="AE755" s="319"/>
      <c r="AF755" s="319"/>
      <c r="AG755" s="319"/>
      <c r="AH755" s="319"/>
      <c r="AI755" s="319"/>
      <c r="AJ755" s="319"/>
      <c r="AK755" s="319"/>
      <c r="AL755" s="319"/>
      <c r="AM755" s="319"/>
      <c r="AN755" s="319"/>
      <c r="AO755" s="319"/>
      <c r="AP755" s="319"/>
      <c r="AQ755" s="319"/>
      <c r="AR755" s="319"/>
      <c r="AS755" s="319"/>
      <c r="AT755" s="319"/>
      <c r="AU755" s="319"/>
      <c r="AV755" s="319"/>
      <c r="AW755" s="319"/>
      <c r="AX755" s="319"/>
      <c r="AY755" s="319"/>
      <c r="AZ755" s="319"/>
      <c r="BA755" s="319"/>
      <c r="BB755" s="319"/>
      <c r="BC755" s="319"/>
      <c r="BD755" s="319"/>
      <c r="BE755" s="319"/>
      <c r="BF755" s="319"/>
      <c r="BG755" s="319"/>
      <c r="BH755" s="319"/>
      <c r="BI755" s="319"/>
      <c r="BJ755" s="319"/>
      <c r="BK755" s="319"/>
      <c r="BL755" s="319"/>
      <c r="BM755" s="319"/>
      <c r="BN755" s="319"/>
      <c r="BO755" s="319"/>
      <c r="BP755" s="319"/>
      <c r="BQ755" s="319"/>
      <c r="BR755" s="319"/>
      <c r="BS755" s="319"/>
      <c r="BT755" s="319"/>
      <c r="BU755" s="319"/>
      <c r="BV755" s="319"/>
      <c r="BW755" s="319"/>
      <c r="BX755" s="319"/>
      <c r="BY755" s="319"/>
      <c r="BZ755" s="319"/>
      <c r="CA755" s="319"/>
      <c r="CB755" s="319"/>
      <c r="CC755" s="319"/>
      <c r="CD755" s="319"/>
      <c r="CE755" s="319"/>
      <c r="CF755" s="319"/>
      <c r="CG755" s="319"/>
      <c r="CH755" s="319"/>
      <c r="CI755" s="319"/>
      <c r="CJ755" s="319"/>
      <c r="CK755" s="319"/>
    </row>
    <row r="756" spans="1:89" ht="13.5" hidden="1" customHeight="1">
      <c r="A756" s="447"/>
      <c r="B756" s="1" t="str">
        <f>Language!C1480</f>
        <v>Radiação Solar anual - inclinado</v>
      </c>
      <c r="C756" s="21" t="str">
        <f>C294</f>
        <v>MWh/m²</v>
      </c>
      <c r="D756" s="217">
        <f>SUMPRODUCT(V759:V770,V678:V689)/3600</f>
        <v>1.6189900000000002</v>
      </c>
      <c r="E756" s="1"/>
      <c r="F756" s="1"/>
      <c r="G756" s="1"/>
      <c r="H756" s="1"/>
      <c r="I756" s="1"/>
      <c r="J756" s="1"/>
      <c r="K756" s="9"/>
      <c r="L756" s="1"/>
      <c r="M756" s="319"/>
      <c r="N756" s="319">
        <v>2122004</v>
      </c>
      <c r="O756" s="319"/>
      <c r="P756" s="319"/>
      <c r="Q756" s="319"/>
      <c r="R756" s="319"/>
      <c r="S756" s="319" t="s">
        <v>4867</v>
      </c>
      <c r="T756" s="319">
        <f>D736*PI()/180</f>
        <v>0</v>
      </c>
      <c r="U756" s="319" t="s">
        <v>4920</v>
      </c>
      <c r="V756" s="319"/>
      <c r="W756" s="319"/>
      <c r="X756" s="319"/>
      <c r="Y756" s="319"/>
      <c r="Z756" s="319"/>
      <c r="AA756" s="319"/>
      <c r="AB756" s="319"/>
      <c r="AC756" s="319"/>
      <c r="AD756" s="319"/>
      <c r="AE756" s="319"/>
      <c r="AF756" s="319"/>
      <c r="AG756" s="319"/>
      <c r="AH756" s="319"/>
      <c r="AI756" s="319"/>
      <c r="AJ756" s="319"/>
      <c r="AK756" s="319"/>
      <c r="AL756" s="319"/>
      <c r="AM756" s="319"/>
      <c r="AN756" s="319"/>
      <c r="AO756" s="319"/>
      <c r="AP756" s="319"/>
      <c r="AQ756" s="319"/>
      <c r="AR756" s="319"/>
      <c r="AS756" s="319"/>
      <c r="AT756" s="319"/>
      <c r="AU756" s="319"/>
      <c r="AV756" s="319"/>
      <c r="AW756" s="319"/>
      <c r="AX756" s="319"/>
      <c r="AY756" s="319"/>
      <c r="AZ756" s="319"/>
      <c r="BA756" s="319"/>
      <c r="BB756" s="319"/>
      <c r="BC756" s="319"/>
      <c r="BD756" s="319"/>
      <c r="BE756" s="319"/>
      <c r="BF756" s="319"/>
      <c r="BG756" s="319"/>
      <c r="BH756" s="319"/>
      <c r="BI756" s="319"/>
      <c r="BJ756" s="319"/>
      <c r="BK756" s="319"/>
      <c r="BL756" s="319"/>
      <c r="BM756" s="319"/>
      <c r="BN756" s="319"/>
      <c r="BO756" s="319"/>
      <c r="BP756" s="319"/>
      <c r="BQ756" s="319"/>
      <c r="BR756" s="319"/>
      <c r="BS756" s="319"/>
      <c r="BT756" s="319"/>
      <c r="BU756" s="319"/>
      <c r="BV756" s="319"/>
      <c r="BW756" s="319"/>
      <c r="BX756" s="319"/>
      <c r="BY756" s="319"/>
      <c r="BZ756" s="319"/>
      <c r="CA756" s="319"/>
      <c r="CB756" s="319"/>
      <c r="CC756" s="319"/>
      <c r="CD756" s="319"/>
      <c r="CE756" s="319"/>
      <c r="CF756" s="319"/>
      <c r="CG756" s="319"/>
      <c r="CH756" s="319"/>
      <c r="CI756" s="319"/>
      <c r="CJ756" s="319"/>
      <c r="CK756" s="319"/>
    </row>
    <row r="757" spans="1:89" ht="13.5" hidden="1" customHeight="1">
      <c r="A757" s="12"/>
      <c r="B757" s="1"/>
      <c r="C757" s="8"/>
      <c r="D757" s="8"/>
      <c r="E757" s="1"/>
      <c r="F757" s="1"/>
      <c r="G757" s="1"/>
      <c r="H757" s="1"/>
      <c r="I757" s="1"/>
      <c r="J757" s="1"/>
      <c r="K757" s="9"/>
      <c r="L757" s="1"/>
      <c r="M757" s="319"/>
      <c r="N757" s="319">
        <v>13200</v>
      </c>
      <c r="O757" s="319"/>
      <c r="P757" s="319"/>
      <c r="Q757" s="319"/>
      <c r="R757" s="319"/>
      <c r="S757" s="319" t="s">
        <v>5691</v>
      </c>
      <c r="T757" s="319">
        <f>D737*PI()/180</f>
        <v>0</v>
      </c>
      <c r="U757" s="319"/>
      <c r="V757" s="319"/>
      <c r="W757" s="319"/>
      <c r="X757" s="319"/>
      <c r="Y757" s="319"/>
      <c r="Z757" s="319"/>
      <c r="AA757" s="319"/>
      <c r="AB757" s="319"/>
      <c r="AC757" s="319"/>
      <c r="AD757" s="319"/>
      <c r="AE757" s="319"/>
      <c r="AF757" s="319"/>
      <c r="AG757" s="319"/>
      <c r="AH757" s="319"/>
      <c r="AI757" s="319"/>
      <c r="AJ757" s="319"/>
      <c r="AK757" s="319"/>
      <c r="AL757" s="319"/>
      <c r="AM757" s="319"/>
      <c r="AN757" s="319"/>
      <c r="AO757" s="319"/>
      <c r="AP757" s="319"/>
      <c r="AQ757" s="319"/>
      <c r="AR757" s="319"/>
      <c r="AS757" s="319"/>
      <c r="AT757" s="319"/>
      <c r="AU757" s="319"/>
      <c r="AV757" s="319"/>
      <c r="AW757" s="319"/>
      <c r="AX757" s="319"/>
      <c r="AY757" s="319"/>
      <c r="AZ757" s="319"/>
      <c r="BA757" s="319"/>
      <c r="BB757" s="319"/>
      <c r="BC757" s="319"/>
      <c r="BD757" s="319"/>
      <c r="BE757" s="319"/>
      <c r="BF757" s="319" t="s">
        <v>4067</v>
      </c>
      <c r="BG757" s="319"/>
      <c r="BH757" s="319" t="s">
        <v>3469</v>
      </c>
      <c r="BI757" s="319"/>
      <c r="BJ757" s="319"/>
      <c r="BK757" s="319"/>
      <c r="BL757" s="319" t="s">
        <v>4224</v>
      </c>
      <c r="BM757" s="319"/>
      <c r="BN757" s="319"/>
      <c r="BO757" s="319"/>
      <c r="BP757" s="319"/>
      <c r="BQ757" s="319"/>
      <c r="BR757" s="319"/>
      <c r="BS757" s="319"/>
      <c r="BT757" s="319"/>
      <c r="BU757" s="319"/>
      <c r="BV757" s="319"/>
      <c r="BW757" s="319"/>
      <c r="BX757" s="319"/>
      <c r="BY757" s="319"/>
      <c r="BZ757" s="319"/>
      <c r="CA757" s="319"/>
      <c r="CB757" s="319"/>
      <c r="CC757" s="319"/>
      <c r="CD757" s="319"/>
      <c r="CE757" s="319"/>
      <c r="CF757" s="319"/>
      <c r="CG757" s="319"/>
      <c r="CH757" s="319"/>
      <c r="CI757" s="319"/>
      <c r="CJ757" s="319"/>
      <c r="CK757" s="319"/>
    </row>
    <row r="758" spans="1:89" ht="13.2" hidden="1">
      <c r="A758" s="12"/>
      <c r="B758" s="28" t="str">
        <f>D663</f>
        <v>Aquecedor solar de água</v>
      </c>
      <c r="C758" s="1"/>
      <c r="D758" s="1"/>
      <c r="E758" s="1"/>
      <c r="F758" s="1"/>
      <c r="G758" s="82"/>
      <c r="H758" s="1"/>
      <c r="I758" s="1"/>
      <c r="J758" s="1"/>
      <c r="K758" s="9"/>
      <c r="L758" s="1"/>
      <c r="M758" s="319"/>
      <c r="N758" s="319">
        <v>5080064</v>
      </c>
      <c r="O758" s="319"/>
      <c r="P758" s="319"/>
      <c r="Q758" s="319"/>
      <c r="R758" s="319"/>
      <c r="S758" s="319" t="s">
        <v>4068</v>
      </c>
      <c r="T758" s="319" t="s">
        <v>4825</v>
      </c>
      <c r="U758" s="319" t="str">
        <f>AF677</f>
        <v>Cold Water Temperature 
(C)</v>
      </c>
      <c r="V758" s="319" t="s">
        <v>5605</v>
      </c>
      <c r="W758" s="319"/>
      <c r="X758" s="319" t="s">
        <v>4069</v>
      </c>
      <c r="Y758" s="319" t="s">
        <v>50</v>
      </c>
      <c r="Z758" s="319" t="s">
        <v>5548</v>
      </c>
      <c r="AA758" s="319" t="s">
        <v>4697</v>
      </c>
      <c r="AB758" s="319" t="s">
        <v>4698</v>
      </c>
      <c r="AC758" s="319" t="s">
        <v>2976</v>
      </c>
      <c r="AD758" s="319" t="s">
        <v>4218</v>
      </c>
      <c r="AE758" s="319"/>
      <c r="AF758" s="319" t="s">
        <v>1136</v>
      </c>
      <c r="AG758" s="319" t="s">
        <v>519</v>
      </c>
      <c r="AH758" s="319" t="s">
        <v>5572</v>
      </c>
      <c r="AI758" s="319" t="s">
        <v>5322</v>
      </c>
      <c r="AJ758" s="319" t="s">
        <v>4625</v>
      </c>
      <c r="AK758" s="319" t="s">
        <v>4902</v>
      </c>
      <c r="AL758" s="319" t="s">
        <v>4903</v>
      </c>
      <c r="AM758" s="319"/>
      <c r="AN758" s="319" t="s">
        <v>3381</v>
      </c>
      <c r="AO758" s="319" t="s">
        <v>5841</v>
      </c>
      <c r="AP758" s="319" t="s">
        <v>4269</v>
      </c>
      <c r="AQ758" s="319" t="s">
        <v>2324</v>
      </c>
      <c r="AR758" s="319" t="s">
        <v>3437</v>
      </c>
      <c r="AS758" s="319" t="s">
        <v>2405</v>
      </c>
      <c r="AT758" s="319" t="s">
        <v>1168</v>
      </c>
      <c r="AU758" s="319" t="s">
        <v>3275</v>
      </c>
      <c r="AV758" s="319" t="s">
        <v>3871</v>
      </c>
      <c r="AW758" s="319" t="s">
        <v>2325</v>
      </c>
      <c r="AX758" s="319" t="s">
        <v>1370</v>
      </c>
      <c r="AY758" s="319" t="s">
        <v>5413</v>
      </c>
      <c r="AZ758" s="319" t="s">
        <v>2924</v>
      </c>
      <c r="BA758" s="319" t="s">
        <v>533</v>
      </c>
      <c r="BB758" s="319" t="s">
        <v>3956</v>
      </c>
      <c r="BC758" s="319" t="s">
        <v>5341</v>
      </c>
      <c r="BD758" s="319"/>
      <c r="BE758" s="319"/>
      <c r="BF758" s="319" t="s">
        <v>2383</v>
      </c>
      <c r="BG758" s="319"/>
      <c r="BH758" s="319" t="s">
        <v>534</v>
      </c>
      <c r="BI758" s="319" t="s">
        <v>4219</v>
      </c>
      <c r="BJ758" s="319" t="s">
        <v>1152</v>
      </c>
      <c r="BK758" s="319"/>
      <c r="BL758" s="319" t="s">
        <v>4263</v>
      </c>
      <c r="BM758" s="319" t="s">
        <v>3997</v>
      </c>
      <c r="BN758" s="319" t="s">
        <v>3998</v>
      </c>
      <c r="BO758" s="319"/>
      <c r="BP758" s="319"/>
      <c r="BQ758" s="319"/>
      <c r="BR758" s="319"/>
      <c r="BS758" s="319"/>
      <c r="BT758" s="319"/>
      <c r="BU758" s="319"/>
      <c r="BV758" s="319"/>
      <c r="BW758" s="319"/>
      <c r="BX758" s="319"/>
      <c r="BY758" s="319"/>
      <c r="BZ758" s="319"/>
      <c r="CA758" s="319"/>
      <c r="CB758" s="319"/>
      <c r="CC758" s="319"/>
      <c r="CD758" s="319"/>
      <c r="CE758" s="319"/>
      <c r="CF758" s="319"/>
      <c r="CG758" s="319"/>
      <c r="CH758" s="319"/>
      <c r="CI758" s="319"/>
      <c r="CJ758" s="319"/>
      <c r="CK758" s="319"/>
    </row>
    <row r="759" spans="1:89" ht="13.5" hidden="1" customHeight="1">
      <c r="A759" s="12"/>
      <c r="B759" s="329" t="str">
        <f>Type</f>
        <v>Tipo</v>
      </c>
      <c r="C759" s="1229" t="s">
        <v>7817</v>
      </c>
      <c r="D759" s="1230"/>
      <c r="E759" s="1231"/>
      <c r="F759" s="1"/>
      <c r="G759" s="1367"/>
      <c r="H759" s="1"/>
      <c r="I759" s="1"/>
      <c r="J759" s="1248" t="str">
        <f>Language!C1963</f>
        <v>Veja nota técnica</v>
      </c>
      <c r="K759" s="1249"/>
      <c r="L759" s="1"/>
      <c r="M759" s="587">
        <f>IF(C759="",0,MATCH(C759,H1182:H1185,0)-1)</f>
        <v>0</v>
      </c>
      <c r="N759" s="319">
        <v>5080066</v>
      </c>
      <c r="O759" s="319" t="s">
        <v>5816</v>
      </c>
      <c r="P759" s="319"/>
      <c r="Q759" s="319"/>
      <c r="R759" s="319"/>
      <c r="S759" s="319">
        <f t="shared" ref="S759:S770" si="179">IF($Q$664=TRUE,IF(EE_8_M=TRUE,E679,1),IF(EE_9_M=TRUE,E712,1))</f>
        <v>1</v>
      </c>
      <c r="T759" s="476">
        <f t="shared" ref="T759:T770" si="180">IF($Q$664=TRUE,BL678,S711)</f>
        <v>0</v>
      </c>
      <c r="U759" s="476">
        <f t="shared" ref="U759:U770" si="181">IF($Q$664=TRUE,AF678,U711)</f>
        <v>13.878479452054794</v>
      </c>
      <c r="V759" s="476">
        <f xml:space="preserve"> GetMonthlyTrackingRadiation($U$4,$M$735,$T$756,$T$757,Iniciar!X58,Iniciar!AB58*1000000,Iniciar!AE58)/1000000</f>
        <v>7.1280000000000001</v>
      </c>
      <c r="W759" s="476"/>
      <c r="X759" s="476">
        <f t="shared" ref="X759:X770" si="182">IF($M$759 = 0,FrTA-0.2*T678*FrTA_wind,IF($M$759 = 1, FrTA+0.54*Temp_coeff*(1+1.4*FrTA-0.09*FrUL-12.1*Temp_coeff), FrTA+0.65*Temp_coeff))</f>
        <v>0</v>
      </c>
      <c r="Y759" s="476">
        <f t="shared" ref="Y759:Y770" si="183">IF($M$759 = 0,FrUL+0.2*T678*FrUL_wind,IF($M$759 = 1, FrUL+80.3*Temp_coeff*(1+0.64*FrTA-0.07*FrUL-8.3*Temp_coeff), FrUL+72.8*Temp_coeff))</f>
        <v>0</v>
      </c>
      <c r="Z759" s="476">
        <f t="shared" ref="Z759:Z770" si="184">1/(1+140*Y759/3850*(1/(IF($M$779=1,$D$779,1))-1))</f>
        <v>1</v>
      </c>
      <c r="AA759" s="476">
        <f t="shared" ref="AA759:AA770" si="185">X759*Z759*(1-$D$772)*0.95</f>
        <v>0</v>
      </c>
      <c r="AB759" s="476">
        <f t="shared" ref="AB759:AB770" si="186">Y759*Z759</f>
        <v>0</v>
      </c>
      <c r="AC759" s="476">
        <f t="shared" ref="AC759:AC770" si="187">IF($M$759=0,0.96*(AC678-0.0000000567*(R678+273.2)^4),0)</f>
        <v>-57.903326570508433</v>
      </c>
      <c r="AD759" s="476">
        <f t="shared" ref="AD759:AD770" si="188">AC759*3600*W678/1000000</f>
        <v>-1.9776983510940576</v>
      </c>
      <c r="AE759" s="476"/>
      <c r="AF759" s="476">
        <f t="shared" ref="AF759:AF770" si="189">T759*(1+$D$780)</f>
        <v>0</v>
      </c>
      <c r="AG759" s="476" t="e">
        <f t="shared" ref="AG759:AG770" si="190">$R$770*AB759*(100-R678)*86400*V678/AF759/1000000</f>
        <v>#DIV/0!</v>
      </c>
      <c r="AH759" s="476" t="e">
        <f t="shared" ref="AH759:AH770" si="191">($R$776/75)^-0.25*AG759</f>
        <v>#DIV/0!</v>
      </c>
      <c r="AI759" s="476" t="e">
        <f t="shared" ref="AI759:AI770" si="192">AH759*(11.6+1.18*$S$707+3.86*U759-2.32*R678)/(100-R678)</f>
        <v>#DIV/0!</v>
      </c>
      <c r="AJ759" s="476" t="e">
        <f t="shared" ref="AJ759:AJ770" si="193">$R$770*AA759*(V759+AD759)*V678/AF759</f>
        <v>#DIV/0!</v>
      </c>
      <c r="AK759" s="476" t="e">
        <f t="shared" ref="AK759:AK770" si="194">MAX(MIN(AJ759*(1.029+AJ759*(-0.245+AJ759*0.0215))+AI759*(-0.065+AI759*0.0018),1),0)</f>
        <v>#DIV/0!</v>
      </c>
      <c r="AL759" s="476" t="e">
        <f t="shared" ref="AL759:AL770" si="195">MAX(T759*AK759,0)</f>
        <v>#DIV/0!</v>
      </c>
      <c r="AM759" s="476"/>
      <c r="AN759" s="476">
        <f>surfslopenoon($U$4,Iniciar!Y58,$M$735,$T$756, $T$757)</f>
        <v>0</v>
      </c>
      <c r="AO759" s="476">
        <f>GetCosIncidenceAngle(ACOS(Y230),0,$T$756, $T$757)*0+cosIncidenceAnglenoon($U$4,Iniciar!Y58,$M$735,$T$756, $T$757)</f>
        <v>0.48301996208824399</v>
      </c>
      <c r="AP759" s="476">
        <f t="shared" ref="AP759:AP770" si="196">AO759/Y230</f>
        <v>0.99999334133519546</v>
      </c>
      <c r="AQ759" s="476"/>
      <c r="AR759" s="476"/>
      <c r="AS759" s="476">
        <f>(1-AB230/AA230*Y678)*AP759+AB230/AA230*Y678*(1+COS(AN759))/2+Iniciar!AE58*(1-COS(AN759))/2</f>
        <v>0.99999738787954684</v>
      </c>
      <c r="AT759" s="476">
        <f t="shared" ref="AT759:AT770" si="197">IF($Q$664=TRUE,$R$761,U759)</f>
        <v>0</v>
      </c>
      <c r="AU759" s="476" t="e">
        <f t="shared" ref="AU759:AU770" si="198">MAX(AB759*(AT759-R678-5)/AA759-AC759,0)</f>
        <v>#DIV/0!</v>
      </c>
      <c r="AV759" s="476" t="e">
        <f t="shared" ref="AV759:AV770" si="199">IF(Q678&lt;&gt;0,AU759/AA230/AS759/Q678/1000,0)</f>
        <v>#DIV/0!</v>
      </c>
      <c r="AW759" s="476">
        <f>IF(Q678&gt;0,V759/Iniciar!AB58,1)</f>
        <v>1</v>
      </c>
      <c r="AX759" s="476"/>
      <c r="AY759" s="476"/>
      <c r="AZ759" s="476"/>
      <c r="BA759" s="476" t="e">
        <f>IF(W678,EXP((Iniciar!AF58+Iniciar!AG58*AS759/AW759)*AV759*(1+AV759*Iniciar!AH58)),0)</f>
        <v>#DIV/0!</v>
      </c>
      <c r="BB759" s="476" t="e">
        <f t="shared" ref="BB759:BB770" si="200">(V759+AD759)*BA759*V678*$R$770*AA759*(1-$D$780)</f>
        <v>#DIV/0!</v>
      </c>
      <c r="BC759" s="476" t="e">
        <f t="shared" ref="BC759:BC770" si="201">AND($V$772=1,BB759&gt;0.15*T759)</f>
        <v>#DIV/0!</v>
      </c>
      <c r="BD759" s="476"/>
      <c r="BE759" s="476"/>
      <c r="BF759" s="476" t="e">
        <f t="shared" ref="BF759:BF770" si="202">MIN(BL678,BB759)</f>
        <v>#DIV/0!</v>
      </c>
      <c r="BG759" s="476"/>
      <c r="BH759" s="476">
        <f t="shared" ref="BH759:BH770" si="203">IF($V$772=0,AF759,0)+IF($V$772=1,0.14*T759*(1+$D$780),0)+IF($V$772&gt;1,BL678*(1+$D$780),0)</f>
        <v>0</v>
      </c>
      <c r="BI759" s="494" t="e">
        <f>IF(AND(S759&lt;&gt;0,BA759&lt;&gt;0),BH759/BA759/(V759+AD759)/AA759/V678,1000000000)</f>
        <v>#DIV/0!</v>
      </c>
      <c r="BJ759" s="476" t="e">
        <f>IF(AND(S759&lt;&gt;0,BA759&lt;&gt;0),S759*MIN(BH759/BA759/(V759+AD759)/AA759/V678,$R$670),0)</f>
        <v>#DIV/0!</v>
      </c>
      <c r="BK759" s="476"/>
      <c r="BL759" s="476">
        <f t="shared" ref="BL759:BL770" si="204">S759*IF($V$772&lt;=1,T759,BL678)</f>
        <v>0</v>
      </c>
      <c r="BM759" s="476" t="e">
        <f t="shared" ref="BM759:BM770" si="205">S759*(IF($V$772=0,AL759,0)+IF($V$772=1,BB759,0)+IF($V$772&gt;1,BF759,0))</f>
        <v>#DIV/0!</v>
      </c>
      <c r="BN759" s="476" t="e">
        <f t="shared" ref="BN759:BN770" si="206">IF(V759&gt;0,BM759*(1+$D$780)/(V759+AD759)/AA759/($D$769*$R$763)*W678,0)*0.75</f>
        <v>#DIV/0!</v>
      </c>
      <c r="BO759" s="319"/>
      <c r="BP759" s="319"/>
      <c r="BQ759" s="319"/>
      <c r="BR759" s="319"/>
      <c r="BS759" s="319"/>
      <c r="BT759" s="319"/>
      <c r="BU759" s="319"/>
      <c r="BV759" s="319"/>
      <c r="BW759" s="319"/>
      <c r="BX759" s="319"/>
      <c r="BY759" s="319"/>
      <c r="BZ759" s="319"/>
      <c r="CA759" s="319"/>
      <c r="CB759" s="319"/>
      <c r="CC759" s="319"/>
      <c r="CD759" s="319"/>
      <c r="CE759" s="319"/>
      <c r="CF759" s="319"/>
      <c r="CG759" s="319"/>
      <c r="CH759" s="319"/>
      <c r="CI759" s="319"/>
      <c r="CJ759" s="319"/>
      <c r="CK759" s="319"/>
    </row>
    <row r="760" spans="1:89" ht="13.5" hidden="1" customHeight="1">
      <c r="A760" s="12"/>
      <c r="B760" s="329" t="str">
        <f>Language!C1157</f>
        <v>Fabricante</v>
      </c>
      <c r="C760" s="1232"/>
      <c r="D760" s="1233"/>
      <c r="E760" s="1234"/>
      <c r="F760" s="1"/>
      <c r="G760" s="1"/>
      <c r="H760" s="1"/>
      <c r="I760" s="1209" t="str">
        <f>I636</f>
        <v>Ver banco de dados de produtos</v>
      </c>
      <c r="J760" s="1191"/>
      <c r="K760" s="1210"/>
      <c r="L760" s="1"/>
      <c r="M760" s="319"/>
      <c r="N760" s="319">
        <v>2050012</v>
      </c>
      <c r="O760" s="319"/>
      <c r="P760" s="319"/>
      <c r="Q760" s="3" t="b">
        <v>1</v>
      </c>
      <c r="R760" s="319">
        <f>IF(Q664=TRUE,2,1)</f>
        <v>2</v>
      </c>
      <c r="S760" s="319">
        <f t="shared" si="179"/>
        <v>1</v>
      </c>
      <c r="T760" s="476">
        <f t="shared" si="180"/>
        <v>0</v>
      </c>
      <c r="U760" s="476">
        <f t="shared" si="181"/>
        <v>13.738479452054793</v>
      </c>
      <c r="V760" s="476">
        <f xml:space="preserve"> GetMonthlyTrackingRadiation($U$4,$M$735,$T$756,$T$757,Iniciar!X59,Iniciar!AB59*1000000,Iniciar!AE59)/1000000</f>
        <v>10.439999999999998</v>
      </c>
      <c r="W760" s="476"/>
      <c r="X760" s="476">
        <f t="shared" si="182"/>
        <v>0</v>
      </c>
      <c r="Y760" s="476">
        <f t="shared" si="183"/>
        <v>0</v>
      </c>
      <c r="Z760" s="476">
        <f t="shared" si="184"/>
        <v>1</v>
      </c>
      <c r="AA760" s="476">
        <f t="shared" si="185"/>
        <v>0</v>
      </c>
      <c r="AB760" s="476">
        <f t="shared" si="186"/>
        <v>0</v>
      </c>
      <c r="AC760" s="476">
        <f t="shared" si="187"/>
        <v>-62.087320328202019</v>
      </c>
      <c r="AD760" s="476">
        <f t="shared" si="188"/>
        <v>-2.3481196983524915</v>
      </c>
      <c r="AE760" s="476"/>
      <c r="AF760" s="476">
        <f t="shared" si="189"/>
        <v>0</v>
      </c>
      <c r="AG760" s="476" t="e">
        <f t="shared" si="190"/>
        <v>#DIV/0!</v>
      </c>
      <c r="AH760" s="476" t="e">
        <f t="shared" si="191"/>
        <v>#DIV/0!</v>
      </c>
      <c r="AI760" s="476" t="e">
        <f t="shared" si="192"/>
        <v>#DIV/0!</v>
      </c>
      <c r="AJ760" s="476" t="e">
        <f t="shared" si="193"/>
        <v>#DIV/0!</v>
      </c>
      <c r="AK760" s="476" t="e">
        <f t="shared" si="194"/>
        <v>#DIV/0!</v>
      </c>
      <c r="AL760" s="476" t="e">
        <f t="shared" si="195"/>
        <v>#DIV/0!</v>
      </c>
      <c r="AM760" s="476"/>
      <c r="AN760" s="476">
        <f>surfslopenoon($U$4,Iniciar!Y59,$M$735,$T$756, $T$757)</f>
        <v>0</v>
      </c>
      <c r="AO760" s="476">
        <f>GetCosIncidenceAngle(ACOS(Y231),0,$T$756, $T$757)*0+cosIncidenceAnglenoon($U$4,Iniciar!Y59,$M$735,$T$756, $T$757)</f>
        <v>0.59965484094667731</v>
      </c>
      <c r="AP760" s="476">
        <f t="shared" si="196"/>
        <v>0.99999509801992748</v>
      </c>
      <c r="AQ760" s="476"/>
      <c r="AR760" s="476"/>
      <c r="AS760" s="476">
        <f>(1-AB231/AA231*Y679)*AP760+AB231/AA231*Y679*(1+COS(AN760))/2+Iniciar!AE59*(1-COS(AN760))/2</f>
        <v>0.99999774277708853</v>
      </c>
      <c r="AT760" s="476">
        <f t="shared" si="197"/>
        <v>0</v>
      </c>
      <c r="AU760" s="476" t="e">
        <f t="shared" si="198"/>
        <v>#DIV/0!</v>
      </c>
      <c r="AV760" s="476" t="e">
        <f t="shared" si="199"/>
        <v>#DIV/0!</v>
      </c>
      <c r="AW760" s="476">
        <f>IF(Q679&gt;0,V760/Iniciar!AB59,1)</f>
        <v>0.99999999999999978</v>
      </c>
      <c r="AX760" s="476"/>
      <c r="AY760" s="476"/>
      <c r="AZ760" s="476"/>
      <c r="BA760" s="476" t="e">
        <f>IF(W679,EXP((Iniciar!AF59+Iniciar!AG59*AS760/AW760)*AV760*(1+AV760*Iniciar!AH59)),0)</f>
        <v>#DIV/0!</v>
      </c>
      <c r="BB760" s="476" t="e">
        <f t="shared" si="200"/>
        <v>#DIV/0!</v>
      </c>
      <c r="BC760" s="476" t="e">
        <f t="shared" si="201"/>
        <v>#DIV/0!</v>
      </c>
      <c r="BD760" s="476"/>
      <c r="BE760" s="476"/>
      <c r="BF760" s="476" t="e">
        <f t="shared" si="202"/>
        <v>#DIV/0!</v>
      </c>
      <c r="BG760" s="476"/>
      <c r="BH760" s="476">
        <f t="shared" si="203"/>
        <v>0</v>
      </c>
      <c r="BI760" s="494" t="e">
        <f t="shared" ref="BI760:BI770" si="207">IF(AND(S760&lt;&gt;0,BA760&lt;&gt;0),BH760/BA760/(V760+AD760)/AA760/V679,1000000000)</f>
        <v>#DIV/0!</v>
      </c>
      <c r="BJ760" s="476" t="e">
        <f t="shared" ref="BJ760:BJ770" si="208">IF(AND(S760&lt;&gt;0,BA760&lt;&gt;0),S760*MIN(BH760/BA760/(V760+AD760)/AA760/V679,$R$670),0)</f>
        <v>#DIV/0!</v>
      </c>
      <c r="BK760" s="476"/>
      <c r="BL760" s="476">
        <f t="shared" si="204"/>
        <v>0</v>
      </c>
      <c r="BM760" s="476" t="e">
        <f t="shared" si="205"/>
        <v>#DIV/0!</v>
      </c>
      <c r="BN760" s="476" t="e">
        <f t="shared" si="206"/>
        <v>#DIV/0!</v>
      </c>
      <c r="BO760" s="319"/>
      <c r="BP760" s="319"/>
      <c r="BQ760" s="319"/>
      <c r="BR760" s="319"/>
      <c r="BS760" s="319"/>
      <c r="BT760" s="319"/>
      <c r="BU760" s="319"/>
      <c r="BV760" s="319"/>
      <c r="BW760" s="319"/>
      <c r="BX760" s="319"/>
      <c r="BY760" s="319"/>
      <c r="BZ760" s="319"/>
      <c r="CA760" s="319"/>
      <c r="CB760" s="319"/>
      <c r="CC760" s="319"/>
      <c r="CD760" s="319"/>
      <c r="CE760" s="319"/>
      <c r="CF760" s="319"/>
      <c r="CG760" s="319"/>
      <c r="CH760" s="319"/>
      <c r="CI760" s="319"/>
      <c r="CJ760" s="319"/>
      <c r="CK760" s="319"/>
    </row>
    <row r="761" spans="1:89" ht="13.5" hidden="1" customHeight="1">
      <c r="A761" s="12"/>
      <c r="B761" s="329" t="str">
        <f>Language!C1160</f>
        <v>Modelo</v>
      </c>
      <c r="C761" s="1232"/>
      <c r="D761" s="1233"/>
      <c r="E761" s="1234"/>
      <c r="F761" s="1"/>
      <c r="G761" s="1"/>
      <c r="H761" s="28"/>
      <c r="I761" s="1"/>
      <c r="J761" s="1"/>
      <c r="K761" s="9"/>
      <c r="L761" s="1"/>
      <c r="M761" s="319"/>
      <c r="N761" s="319">
        <v>2050014</v>
      </c>
      <c r="O761" s="319"/>
      <c r="P761" s="319"/>
      <c r="Q761" s="319" t="s">
        <v>144</v>
      </c>
      <c r="R761" s="319">
        <f>IF(EE_CB15_1=TRUE,S672,"")</f>
        <v>0</v>
      </c>
      <c r="S761" s="319">
        <f t="shared" si="179"/>
        <v>1</v>
      </c>
      <c r="T761" s="476">
        <f t="shared" si="180"/>
        <v>0</v>
      </c>
      <c r="U761" s="476">
        <f t="shared" si="181"/>
        <v>14.088479452054793</v>
      </c>
      <c r="V761" s="476">
        <f xml:space="preserve"> GetMonthlyTrackingRadiation($U$4,$M$735,$T$756,$T$757,Iniciar!X60,Iniciar!AB60*1000000,Iniciar!AE60)/1000000</f>
        <v>15.768000000000002</v>
      </c>
      <c r="W761" s="476"/>
      <c r="X761" s="476">
        <f t="shared" si="182"/>
        <v>0</v>
      </c>
      <c r="Y761" s="476">
        <f t="shared" si="183"/>
        <v>0</v>
      </c>
      <c r="Z761" s="476">
        <f t="shared" si="184"/>
        <v>1</v>
      </c>
      <c r="AA761" s="476">
        <f t="shared" si="185"/>
        <v>0</v>
      </c>
      <c r="AB761" s="476">
        <f t="shared" si="186"/>
        <v>0</v>
      </c>
      <c r="AC761" s="476">
        <f t="shared" si="187"/>
        <v>-69.044956114886588</v>
      </c>
      <c r="AD761" s="476">
        <f t="shared" si="188"/>
        <v>-2.9149814467187314</v>
      </c>
      <c r="AE761" s="476"/>
      <c r="AF761" s="476">
        <f t="shared" si="189"/>
        <v>0</v>
      </c>
      <c r="AG761" s="476" t="e">
        <f t="shared" si="190"/>
        <v>#DIV/0!</v>
      </c>
      <c r="AH761" s="476" t="e">
        <f t="shared" si="191"/>
        <v>#DIV/0!</v>
      </c>
      <c r="AI761" s="476" t="e">
        <f t="shared" si="192"/>
        <v>#DIV/0!</v>
      </c>
      <c r="AJ761" s="476" t="e">
        <f t="shared" si="193"/>
        <v>#DIV/0!</v>
      </c>
      <c r="AK761" s="476" t="e">
        <f t="shared" si="194"/>
        <v>#DIV/0!</v>
      </c>
      <c r="AL761" s="476" t="e">
        <f t="shared" si="195"/>
        <v>#DIV/0!</v>
      </c>
      <c r="AM761" s="476"/>
      <c r="AN761" s="476">
        <f>surfslopenoon($U$4,Iniciar!Y60,$M$735,$T$756, $T$757)</f>
        <v>0</v>
      </c>
      <c r="AO761" s="476">
        <f>GetCosIncidenceAngle(ACOS(Y232),0,$T$756, $T$757)*0+cosIncidenceAnglenoon($U$4,Iniciar!Y60,$M$735,$T$756, $T$757)</f>
        <v>0.73588505079359989</v>
      </c>
      <c r="AP761" s="476">
        <f t="shared" si="196"/>
        <v>0.99999662020906255</v>
      </c>
      <c r="AQ761" s="476"/>
      <c r="AR761" s="476"/>
      <c r="AS761" s="476">
        <f>(1-AB232/AA232*Y680)*AP761+AB232/AA232*Y680*(1+COS(AN761))/2+Iniciar!AE60*(1-COS(AN761))/2</f>
        <v>0.99999804206966803</v>
      </c>
      <c r="AT761" s="476">
        <f t="shared" si="197"/>
        <v>0</v>
      </c>
      <c r="AU761" s="476" t="e">
        <f t="shared" si="198"/>
        <v>#DIV/0!</v>
      </c>
      <c r="AV761" s="476" t="e">
        <f t="shared" si="199"/>
        <v>#DIV/0!</v>
      </c>
      <c r="AW761" s="476">
        <f>IF(Q680&gt;0,V761/Iniciar!AB60,1)</f>
        <v>1.0000000000000002</v>
      </c>
      <c r="AX761" s="476"/>
      <c r="AY761" s="476"/>
      <c r="AZ761" s="476"/>
      <c r="BA761" s="476" t="e">
        <f>IF(W680,EXP((Iniciar!AF60+Iniciar!AG60*AS761/AW761)*AV761*(1+AV761*Iniciar!AH60)),0)</f>
        <v>#DIV/0!</v>
      </c>
      <c r="BB761" s="476" t="e">
        <f t="shared" si="200"/>
        <v>#DIV/0!</v>
      </c>
      <c r="BC761" s="476" t="e">
        <f t="shared" si="201"/>
        <v>#DIV/0!</v>
      </c>
      <c r="BD761" s="476"/>
      <c r="BE761" s="476"/>
      <c r="BF761" s="476" t="e">
        <f t="shared" si="202"/>
        <v>#DIV/0!</v>
      </c>
      <c r="BG761" s="476"/>
      <c r="BH761" s="476">
        <f t="shared" si="203"/>
        <v>0</v>
      </c>
      <c r="BI761" s="494" t="e">
        <f t="shared" si="207"/>
        <v>#DIV/0!</v>
      </c>
      <c r="BJ761" s="476" t="e">
        <f t="shared" si="208"/>
        <v>#DIV/0!</v>
      </c>
      <c r="BK761" s="476"/>
      <c r="BL761" s="476">
        <f t="shared" si="204"/>
        <v>0</v>
      </c>
      <c r="BM761" s="476" t="e">
        <f t="shared" si="205"/>
        <v>#DIV/0!</v>
      </c>
      <c r="BN761" s="476" t="e">
        <f t="shared" si="206"/>
        <v>#DIV/0!</v>
      </c>
      <c r="BO761" s="319"/>
      <c r="BP761" s="319"/>
      <c r="BQ761" s="319"/>
      <c r="BR761" s="319"/>
      <c r="BS761" s="319"/>
      <c r="BT761" s="319"/>
      <c r="BU761" s="319"/>
      <c r="BV761" s="319"/>
      <c r="BW761" s="319"/>
      <c r="BX761" s="319"/>
      <c r="BY761" s="319"/>
      <c r="BZ761" s="319"/>
      <c r="CA761" s="319"/>
      <c r="CB761" s="319"/>
      <c r="CC761" s="319"/>
      <c r="CD761" s="319"/>
      <c r="CE761" s="319"/>
      <c r="CF761" s="319"/>
      <c r="CG761" s="319"/>
      <c r="CH761" s="319"/>
      <c r="CI761" s="319"/>
      <c r="CJ761" s="319"/>
      <c r="CK761" s="319"/>
    </row>
    <row r="762" spans="1:89" ht="13.5" hidden="1" customHeight="1">
      <c r="A762" s="447"/>
      <c r="B762" s="329" t="str">
        <f>Language!C1710</f>
        <v>Área bruta por coletor solar</v>
      </c>
      <c r="C762" s="303" t="s">
        <v>5430</v>
      </c>
      <c r="D762" s="332"/>
      <c r="E762" s="329"/>
      <c r="F762" s="1"/>
      <c r="G762" s="1"/>
      <c r="H762" s="1"/>
      <c r="I762" s="1"/>
      <c r="J762" s="29"/>
      <c r="K762" s="38"/>
      <c r="L762" s="1"/>
      <c r="M762" s="319"/>
      <c r="N762" s="319">
        <v>5080072</v>
      </c>
      <c r="O762" s="319"/>
      <c r="P762" s="319"/>
      <c r="Q762" s="319"/>
      <c r="R762" s="319">
        <f>D762*IF($C$762=$J$1191,$K$1191,1)</f>
        <v>0</v>
      </c>
      <c r="S762" s="319">
        <f t="shared" si="179"/>
        <v>1</v>
      </c>
      <c r="T762" s="476">
        <f t="shared" si="180"/>
        <v>0</v>
      </c>
      <c r="U762" s="476">
        <f t="shared" si="181"/>
        <v>14.613479452054793</v>
      </c>
      <c r="V762" s="476">
        <f xml:space="preserve"> GetMonthlyTrackingRadiation($U$4,$M$735,$T$756,$T$757,Iniciar!X61,Iniciar!AB61*1000000,Iniciar!AE61)/1000000</f>
        <v>19.62</v>
      </c>
      <c r="W762" s="476"/>
      <c r="X762" s="476">
        <f t="shared" si="182"/>
        <v>0</v>
      </c>
      <c r="Y762" s="476">
        <f t="shared" si="183"/>
        <v>0</v>
      </c>
      <c r="Z762" s="476">
        <f t="shared" si="184"/>
        <v>1</v>
      </c>
      <c r="AA762" s="476">
        <f t="shared" si="185"/>
        <v>0</v>
      </c>
      <c r="AB762" s="476">
        <f t="shared" si="186"/>
        <v>0</v>
      </c>
      <c r="AC762" s="476">
        <f t="shared" si="187"/>
        <v>-67.56526577076886</v>
      </c>
      <c r="AD762" s="476">
        <f t="shared" si="188"/>
        <v>-3.1800639501086465</v>
      </c>
      <c r="AE762" s="476"/>
      <c r="AF762" s="476">
        <f t="shared" si="189"/>
        <v>0</v>
      </c>
      <c r="AG762" s="476" t="e">
        <f t="shared" si="190"/>
        <v>#DIV/0!</v>
      </c>
      <c r="AH762" s="476" t="e">
        <f t="shared" si="191"/>
        <v>#DIV/0!</v>
      </c>
      <c r="AI762" s="476" t="e">
        <f t="shared" si="192"/>
        <v>#DIV/0!</v>
      </c>
      <c r="AJ762" s="476" t="e">
        <f t="shared" si="193"/>
        <v>#DIV/0!</v>
      </c>
      <c r="AK762" s="476" t="e">
        <f t="shared" si="194"/>
        <v>#DIV/0!</v>
      </c>
      <c r="AL762" s="476" t="e">
        <f t="shared" si="195"/>
        <v>#DIV/0!</v>
      </c>
      <c r="AM762" s="476"/>
      <c r="AN762" s="476">
        <f>surfslopenoon($U$4,Iniciar!Y61,$M$735,$T$756, $T$757)</f>
        <v>0</v>
      </c>
      <c r="AO762" s="476">
        <f>GetCosIncidenceAngle(ACOS(Y233),0,$T$756, $T$757)*0+cosIncidenceAnglenoon($U$4,Iniciar!Y61,$M$735,$T$756, $T$757)</f>
        <v>0.85909108725354455</v>
      </c>
      <c r="AP762" s="476">
        <f t="shared" si="196"/>
        <v>0.99999781161745172</v>
      </c>
      <c r="AQ762" s="476"/>
      <c r="AR762" s="476"/>
      <c r="AS762" s="476">
        <f>(1-AB233/AA233*Y681)*AP762+AB233/AA233*Y681*(1+COS(AN762))/2+Iniciar!AE61*(1-COS(AN762))/2</f>
        <v>0.99999876454193881</v>
      </c>
      <c r="AT762" s="476">
        <f t="shared" si="197"/>
        <v>0</v>
      </c>
      <c r="AU762" s="476" t="e">
        <f t="shared" si="198"/>
        <v>#DIV/0!</v>
      </c>
      <c r="AV762" s="476" t="e">
        <f t="shared" si="199"/>
        <v>#DIV/0!</v>
      </c>
      <c r="AW762" s="476">
        <f>IF(Q681&gt;0,V762/Iniciar!AB61,1)</f>
        <v>1</v>
      </c>
      <c r="AX762" s="476"/>
      <c r="AY762" s="476"/>
      <c r="AZ762" s="476"/>
      <c r="BA762" s="476" t="e">
        <f>IF(W681,EXP((Iniciar!AF61+Iniciar!AG61*AS762/AW762)*AV762*(1+AV762*Iniciar!AH61)),0)</f>
        <v>#DIV/0!</v>
      </c>
      <c r="BB762" s="476" t="e">
        <f t="shared" si="200"/>
        <v>#DIV/0!</v>
      </c>
      <c r="BC762" s="476" t="e">
        <f t="shared" si="201"/>
        <v>#DIV/0!</v>
      </c>
      <c r="BD762" s="476"/>
      <c r="BE762" s="476"/>
      <c r="BF762" s="476" t="e">
        <f t="shared" si="202"/>
        <v>#DIV/0!</v>
      </c>
      <c r="BG762" s="476"/>
      <c r="BH762" s="476">
        <f t="shared" si="203"/>
        <v>0</v>
      </c>
      <c r="BI762" s="494" t="e">
        <f t="shared" si="207"/>
        <v>#DIV/0!</v>
      </c>
      <c r="BJ762" s="476" t="e">
        <f t="shared" si="208"/>
        <v>#DIV/0!</v>
      </c>
      <c r="BK762" s="476"/>
      <c r="BL762" s="476">
        <f t="shared" si="204"/>
        <v>0</v>
      </c>
      <c r="BM762" s="476" t="e">
        <f t="shared" si="205"/>
        <v>#DIV/0!</v>
      </c>
      <c r="BN762" s="476" t="e">
        <f t="shared" si="206"/>
        <v>#DIV/0!</v>
      </c>
      <c r="BO762" s="319"/>
      <c r="BP762" s="319"/>
      <c r="BQ762" s="319"/>
      <c r="BR762" s="319"/>
      <c r="BS762" s="319"/>
      <c r="BT762" s="319"/>
      <c r="BU762" s="319"/>
      <c r="BV762" s="319"/>
      <c r="BW762" s="319"/>
      <c r="BX762" s="319"/>
      <c r="BY762" s="319"/>
      <c r="BZ762" s="319"/>
      <c r="CA762" s="319"/>
      <c r="CB762" s="319"/>
      <c r="CC762" s="319"/>
      <c r="CD762" s="319"/>
      <c r="CE762" s="319"/>
      <c r="CF762" s="319"/>
      <c r="CG762" s="319"/>
      <c r="CH762" s="319"/>
      <c r="CI762" s="319"/>
      <c r="CJ762" s="319"/>
      <c r="CK762" s="319"/>
    </row>
    <row r="763" spans="1:89" ht="13.5" hidden="1" customHeight="1">
      <c r="A763" s="447"/>
      <c r="B763" s="329" t="str">
        <f>Language!C1482</f>
        <v>Área de Captação por coletor solar</v>
      </c>
      <c r="C763" s="29" t="str">
        <f>C762</f>
        <v>m²</v>
      </c>
      <c r="D763" s="332"/>
      <c r="E763" s="329"/>
      <c r="F763" s="1"/>
      <c r="G763" s="1"/>
      <c r="H763" s="1"/>
      <c r="I763" s="1"/>
      <c r="J763" s="29"/>
      <c r="K763" s="9"/>
      <c r="L763" s="1"/>
      <c r="M763" s="319"/>
      <c r="N763" s="319">
        <v>5080074</v>
      </c>
      <c r="O763" s="319"/>
      <c r="P763" s="319"/>
      <c r="Q763" s="319" t="s">
        <v>2575</v>
      </c>
      <c r="R763" s="319">
        <f>D763*IF($C$762=$J$1191,$K$1191,1)</f>
        <v>0</v>
      </c>
      <c r="S763" s="319">
        <f t="shared" si="179"/>
        <v>1</v>
      </c>
      <c r="T763" s="476">
        <f t="shared" si="180"/>
        <v>0</v>
      </c>
      <c r="U763" s="476">
        <f t="shared" si="181"/>
        <v>15.138479452054794</v>
      </c>
      <c r="V763" s="476">
        <f xml:space="preserve"> GetMonthlyTrackingRadiation($U$4,$M$735,$T$756,$T$757,Iniciar!X62,Iniciar!AB62*1000000,Iniciar!AE62)/1000000</f>
        <v>21.852000000000004</v>
      </c>
      <c r="W763" s="476"/>
      <c r="X763" s="476">
        <f t="shared" si="182"/>
        <v>0</v>
      </c>
      <c r="Y763" s="476">
        <f t="shared" si="183"/>
        <v>0</v>
      </c>
      <c r="Z763" s="476">
        <f t="shared" si="184"/>
        <v>1</v>
      </c>
      <c r="AA763" s="476">
        <f t="shared" si="185"/>
        <v>0</v>
      </c>
      <c r="AB763" s="476">
        <f t="shared" si="186"/>
        <v>0</v>
      </c>
      <c r="AC763" s="476">
        <f t="shared" si="187"/>
        <v>-64.998895355855311</v>
      </c>
      <c r="AD763" s="476">
        <f t="shared" si="188"/>
        <v>-3.3293450309029984</v>
      </c>
      <c r="AE763" s="476"/>
      <c r="AF763" s="476">
        <f t="shared" si="189"/>
        <v>0</v>
      </c>
      <c r="AG763" s="476" t="e">
        <f t="shared" si="190"/>
        <v>#DIV/0!</v>
      </c>
      <c r="AH763" s="476" t="e">
        <f t="shared" si="191"/>
        <v>#DIV/0!</v>
      </c>
      <c r="AI763" s="476" t="e">
        <f t="shared" si="192"/>
        <v>#DIV/0!</v>
      </c>
      <c r="AJ763" s="476" t="e">
        <f t="shared" si="193"/>
        <v>#DIV/0!</v>
      </c>
      <c r="AK763" s="476" t="e">
        <f t="shared" si="194"/>
        <v>#DIV/0!</v>
      </c>
      <c r="AL763" s="476" t="e">
        <f t="shared" si="195"/>
        <v>#DIV/0!</v>
      </c>
      <c r="AM763" s="476"/>
      <c r="AN763" s="476">
        <f>surfslopenoon($U$4,Iniciar!Y62,$M$735,$T$756, $T$757)</f>
        <v>0</v>
      </c>
      <c r="AO763" s="476">
        <f>GetCosIncidenceAngle(ACOS(Y234),0,$T$756, $T$757)*0+cosIncidenceAnglenoon($U$4,Iniciar!Y62,$M$735,$T$756, $T$757)</f>
        <v>0.93100299416079368</v>
      </c>
      <c r="AP763" s="476">
        <f t="shared" si="196"/>
        <v>0.99999855988213671</v>
      </c>
      <c r="AQ763" s="476"/>
      <c r="AR763" s="476"/>
      <c r="AS763" s="476">
        <f>(1-AB234/AA234*Y682)*AP763+AB234/AA234*Y682*(1+COS(AN763))/2+Iniciar!AE62*(1-COS(AN763))/2</f>
        <v>0.99999922852912149</v>
      </c>
      <c r="AT763" s="476">
        <f t="shared" si="197"/>
        <v>0</v>
      </c>
      <c r="AU763" s="476" t="e">
        <f t="shared" si="198"/>
        <v>#DIV/0!</v>
      </c>
      <c r="AV763" s="476" t="e">
        <f t="shared" si="199"/>
        <v>#DIV/0!</v>
      </c>
      <c r="AW763" s="476">
        <f>IF(Q682&gt;0,V763/Iniciar!AB62,1)</f>
        <v>1.0000000000000002</v>
      </c>
      <c r="AX763" s="476"/>
      <c r="AY763" s="476"/>
      <c r="AZ763" s="476"/>
      <c r="BA763" s="476" t="e">
        <f>IF(W682,EXP((Iniciar!AF62+Iniciar!AG62*AS763/AW763)*AV763*(1+AV763*Iniciar!AH62)),0)</f>
        <v>#DIV/0!</v>
      </c>
      <c r="BB763" s="476" t="e">
        <f t="shared" si="200"/>
        <v>#DIV/0!</v>
      </c>
      <c r="BC763" s="476" t="e">
        <f t="shared" si="201"/>
        <v>#DIV/0!</v>
      </c>
      <c r="BD763" s="476"/>
      <c r="BE763" s="476"/>
      <c r="BF763" s="476" t="e">
        <f t="shared" si="202"/>
        <v>#DIV/0!</v>
      </c>
      <c r="BG763" s="476"/>
      <c r="BH763" s="476">
        <f t="shared" si="203"/>
        <v>0</v>
      </c>
      <c r="BI763" s="494" t="e">
        <f t="shared" si="207"/>
        <v>#DIV/0!</v>
      </c>
      <c r="BJ763" s="476" t="e">
        <f t="shared" si="208"/>
        <v>#DIV/0!</v>
      </c>
      <c r="BK763" s="476"/>
      <c r="BL763" s="476">
        <f t="shared" si="204"/>
        <v>0</v>
      </c>
      <c r="BM763" s="476" t="e">
        <f t="shared" si="205"/>
        <v>#DIV/0!</v>
      </c>
      <c r="BN763" s="476" t="e">
        <f t="shared" si="206"/>
        <v>#DIV/0!</v>
      </c>
      <c r="BO763" s="319"/>
      <c r="BP763" s="319"/>
      <c r="BQ763" s="319"/>
      <c r="BR763" s="319"/>
      <c r="BS763" s="319"/>
      <c r="BT763" s="319"/>
      <c r="BU763" s="319"/>
      <c r="BV763" s="319"/>
      <c r="BW763" s="319"/>
      <c r="BX763" s="319"/>
      <c r="BY763" s="319"/>
      <c r="BZ763" s="319"/>
      <c r="CA763" s="319"/>
      <c r="CB763" s="319"/>
      <c r="CC763" s="319"/>
      <c r="CD763" s="319"/>
      <c r="CE763" s="319"/>
      <c r="CF763" s="319"/>
      <c r="CG763" s="319"/>
      <c r="CH763" s="319"/>
      <c r="CI763" s="319"/>
      <c r="CJ763" s="319"/>
      <c r="CK763" s="319"/>
    </row>
    <row r="764" spans="1:89" ht="13.5" hidden="1" customHeight="1">
      <c r="A764" s="447"/>
      <c r="B764" s="329" t="str">
        <f>Language!C1674</f>
        <v>Coeficiente Fr (tau alpha)</v>
      </c>
      <c r="C764" s="1"/>
      <c r="D764" s="332"/>
      <c r="E764" s="1"/>
      <c r="F764" s="1"/>
      <c r="G764" s="1"/>
      <c r="H764" s="1"/>
      <c r="I764" s="1"/>
      <c r="J764" s="29"/>
      <c r="K764" s="9"/>
      <c r="L764" s="1"/>
      <c r="M764" s="319"/>
      <c r="N764" s="319">
        <v>5080076</v>
      </c>
      <c r="O764" s="319"/>
      <c r="P764" s="319"/>
      <c r="Q764" s="319"/>
      <c r="R764" s="319"/>
      <c r="S764" s="319">
        <f t="shared" si="179"/>
        <v>1</v>
      </c>
      <c r="T764" s="476">
        <f t="shared" si="180"/>
        <v>0</v>
      </c>
      <c r="U764" s="476">
        <f t="shared" si="181"/>
        <v>15.978479452054794</v>
      </c>
      <c r="V764" s="476">
        <f xml:space="preserve"> GetMonthlyTrackingRadiation($U$4,$M$735,$T$756,$T$757,Iniciar!X63,Iniciar!AB63*1000000,Iniciar!AE63)/1000000</f>
        <v>23.112000000000009</v>
      </c>
      <c r="W764" s="476"/>
      <c r="X764" s="476">
        <f t="shared" si="182"/>
        <v>0</v>
      </c>
      <c r="Y764" s="476">
        <f t="shared" si="183"/>
        <v>0</v>
      </c>
      <c r="Z764" s="476">
        <f t="shared" si="184"/>
        <v>1</v>
      </c>
      <c r="AA764" s="476">
        <f t="shared" si="185"/>
        <v>0</v>
      </c>
      <c r="AB764" s="476">
        <f t="shared" si="186"/>
        <v>0</v>
      </c>
      <c r="AC764" s="476">
        <f t="shared" si="187"/>
        <v>-63.90630913062958</v>
      </c>
      <c r="AD764" s="476">
        <f t="shared" si="188"/>
        <v>-3.4083950994372572</v>
      </c>
      <c r="AE764" s="476"/>
      <c r="AF764" s="476">
        <f t="shared" si="189"/>
        <v>0</v>
      </c>
      <c r="AG764" s="476" t="e">
        <f t="shared" si="190"/>
        <v>#DIV/0!</v>
      </c>
      <c r="AH764" s="476" t="e">
        <f t="shared" si="191"/>
        <v>#DIV/0!</v>
      </c>
      <c r="AI764" s="476" t="e">
        <f t="shared" si="192"/>
        <v>#DIV/0!</v>
      </c>
      <c r="AJ764" s="476" t="e">
        <f t="shared" si="193"/>
        <v>#DIV/0!</v>
      </c>
      <c r="AK764" s="476" t="e">
        <f t="shared" si="194"/>
        <v>#DIV/0!</v>
      </c>
      <c r="AL764" s="476" t="e">
        <f t="shared" si="195"/>
        <v>#DIV/0!</v>
      </c>
      <c r="AM764" s="476"/>
      <c r="AN764" s="476">
        <f>surfslopenoon($U$4,Iniciar!Y63,$M$735,$T$756, $T$757)</f>
        <v>0</v>
      </c>
      <c r="AO764" s="476">
        <f>GetCosIncidenceAngle(ACOS(Y235),0,$T$756, $T$757)*0+cosIncidenceAnglenoon($U$4,Iniciar!Y63,$M$735,$T$756, $T$757)</f>
        <v>0.9557196006259373</v>
      </c>
      <c r="AP764" s="476">
        <f t="shared" si="196"/>
        <v>0.99999886897901413</v>
      </c>
      <c r="AQ764" s="476"/>
      <c r="AR764" s="476"/>
      <c r="AS764" s="476">
        <f>(1-AB235/AA235*Y683)*AP764+AB235/AA235*Y683*(1+COS(AN764))/2+Iniciar!AE63*(1-COS(AN764))/2</f>
        <v>0.99999938800305244</v>
      </c>
      <c r="AT764" s="476">
        <f t="shared" si="197"/>
        <v>0</v>
      </c>
      <c r="AU764" s="476" t="e">
        <f t="shared" si="198"/>
        <v>#DIV/0!</v>
      </c>
      <c r="AV764" s="476" t="e">
        <f t="shared" si="199"/>
        <v>#DIV/0!</v>
      </c>
      <c r="AW764" s="476">
        <f>IF(Q683&gt;0,V764/Iniciar!AB63,1)</f>
        <v>1.0000000000000002</v>
      </c>
      <c r="AX764" s="476"/>
      <c r="AY764" s="476"/>
      <c r="AZ764" s="476"/>
      <c r="BA764" s="476" t="e">
        <f>IF(W683,EXP((Iniciar!AF63+Iniciar!AG63*AS764/AW764)*AV764*(1+AV764*Iniciar!AH63)),0)</f>
        <v>#DIV/0!</v>
      </c>
      <c r="BB764" s="476" t="e">
        <f t="shared" si="200"/>
        <v>#DIV/0!</v>
      </c>
      <c r="BC764" s="476" t="e">
        <f t="shared" si="201"/>
        <v>#DIV/0!</v>
      </c>
      <c r="BD764" s="476"/>
      <c r="BE764" s="476"/>
      <c r="BF764" s="476" t="e">
        <f t="shared" si="202"/>
        <v>#DIV/0!</v>
      </c>
      <c r="BG764" s="476"/>
      <c r="BH764" s="476">
        <f t="shared" si="203"/>
        <v>0</v>
      </c>
      <c r="BI764" s="494" t="e">
        <f t="shared" si="207"/>
        <v>#DIV/0!</v>
      </c>
      <c r="BJ764" s="476" t="e">
        <f t="shared" si="208"/>
        <v>#DIV/0!</v>
      </c>
      <c r="BK764" s="476"/>
      <c r="BL764" s="476">
        <f t="shared" si="204"/>
        <v>0</v>
      </c>
      <c r="BM764" s="476" t="e">
        <f t="shared" si="205"/>
        <v>#DIV/0!</v>
      </c>
      <c r="BN764" s="476" t="e">
        <f t="shared" si="206"/>
        <v>#DIV/0!</v>
      </c>
      <c r="BO764" s="319"/>
      <c r="BP764" s="319"/>
      <c r="BQ764" s="319"/>
      <c r="BR764" s="319"/>
      <c r="BS764" s="319"/>
      <c r="BT764" s="319"/>
      <c r="BU764" s="319"/>
      <c r="BV764" s="319"/>
      <c r="BW764" s="319"/>
      <c r="BX764" s="319"/>
      <c r="BY764" s="319"/>
      <c r="BZ764" s="319"/>
      <c r="CA764" s="319"/>
      <c r="CB764" s="319"/>
      <c r="CC764" s="319"/>
      <c r="CD764" s="319"/>
      <c r="CE764" s="319"/>
      <c r="CF764" s="319"/>
      <c r="CG764" s="319"/>
      <c r="CH764" s="319"/>
      <c r="CI764" s="319"/>
      <c r="CJ764" s="319"/>
      <c r="CK764" s="319"/>
    </row>
    <row r="765" spans="1:89" ht="13.5" hidden="1" customHeight="1">
      <c r="A765" s="447"/>
      <c r="B765" s="329" t="str">
        <f>Language!C2081</f>
        <v>Correção do vento para Fr (tau alpha)</v>
      </c>
      <c r="C765" s="303" t="s">
        <v>531</v>
      </c>
      <c r="D765" s="332"/>
      <c r="E765" s="1"/>
      <c r="F765" s="1"/>
      <c r="G765" s="1"/>
      <c r="H765" s="1"/>
      <c r="I765" s="1"/>
      <c r="J765" s="29"/>
      <c r="K765" s="9"/>
      <c r="L765" s="1"/>
      <c r="M765" s="319"/>
      <c r="N765" s="319">
        <v>5080078</v>
      </c>
      <c r="O765" s="319"/>
      <c r="P765" s="319"/>
      <c r="Q765" s="319" t="s">
        <v>531</v>
      </c>
      <c r="R765" s="477">
        <f>D765*IF(C765=G1173,H1173,1)</f>
        <v>0</v>
      </c>
      <c r="S765" s="319">
        <f t="shared" si="179"/>
        <v>1</v>
      </c>
      <c r="T765" s="476">
        <f t="shared" si="180"/>
        <v>0</v>
      </c>
      <c r="U765" s="476">
        <f t="shared" si="181"/>
        <v>17.098479452054793</v>
      </c>
      <c r="V765" s="476">
        <f xml:space="preserve"> GetMonthlyTrackingRadiation($U$4,$M$735,$T$756,$T$757,Iniciar!X64,Iniciar!AB64*1000000,Iniciar!AE64)/1000000</f>
        <v>24.515999999999995</v>
      </c>
      <c r="W765" s="476"/>
      <c r="X765" s="476">
        <f t="shared" si="182"/>
        <v>0</v>
      </c>
      <c r="Y765" s="476">
        <f t="shared" si="183"/>
        <v>0</v>
      </c>
      <c r="Z765" s="476">
        <f t="shared" si="184"/>
        <v>1</v>
      </c>
      <c r="AA765" s="476">
        <f t="shared" si="185"/>
        <v>0</v>
      </c>
      <c r="AB765" s="476">
        <f t="shared" si="186"/>
        <v>0</v>
      </c>
      <c r="AC765" s="476">
        <f t="shared" si="187"/>
        <v>-66.594868103013994</v>
      </c>
      <c r="AD765" s="476">
        <f t="shared" si="188"/>
        <v>-3.4879987179608802</v>
      </c>
      <c r="AE765" s="476"/>
      <c r="AF765" s="476">
        <f t="shared" si="189"/>
        <v>0</v>
      </c>
      <c r="AG765" s="476" t="e">
        <f t="shared" si="190"/>
        <v>#DIV/0!</v>
      </c>
      <c r="AH765" s="476" t="e">
        <f t="shared" si="191"/>
        <v>#DIV/0!</v>
      </c>
      <c r="AI765" s="476" t="e">
        <f t="shared" si="192"/>
        <v>#DIV/0!</v>
      </c>
      <c r="AJ765" s="476" t="e">
        <f t="shared" si="193"/>
        <v>#DIV/0!</v>
      </c>
      <c r="AK765" s="476" t="e">
        <f t="shared" si="194"/>
        <v>#DIV/0!</v>
      </c>
      <c r="AL765" s="476" t="e">
        <f t="shared" si="195"/>
        <v>#DIV/0!</v>
      </c>
      <c r="AM765" s="476"/>
      <c r="AN765" s="476">
        <f>surfslopenoon($U$4,Iniciar!Y64,$M$735,$T$756, $T$757)</f>
        <v>0</v>
      </c>
      <c r="AO765" s="476">
        <f>GetCosIncidenceAngle(ACOS(Y236),0,$T$756, $T$757)*0+cosIncidenceAnglenoon($U$4,Iniciar!Y64,$M$735,$T$756, $T$757)</f>
        <v>0.94542468341615815</v>
      </c>
      <c r="AP765" s="476">
        <f t="shared" si="196"/>
        <v>0.99999873403785111</v>
      </c>
      <c r="AQ765" s="476"/>
      <c r="AR765" s="476"/>
      <c r="AS765" s="476">
        <f>(1-AB236/AA236*Y684)*AP765+AB236/AA236*Y684*(1+COS(AN765))/2+Iniciar!AE64*(1-COS(AN765))/2</f>
        <v>0.99999920516057261</v>
      </c>
      <c r="AT765" s="476">
        <f t="shared" si="197"/>
        <v>0</v>
      </c>
      <c r="AU765" s="476" t="e">
        <f t="shared" si="198"/>
        <v>#DIV/0!</v>
      </c>
      <c r="AV765" s="476" t="e">
        <f t="shared" si="199"/>
        <v>#DIV/0!</v>
      </c>
      <c r="AW765" s="476">
        <f>IF(Q684&gt;0,V765/Iniciar!AB64,1)</f>
        <v>0.99999999999999989</v>
      </c>
      <c r="AX765" s="476"/>
      <c r="AY765" s="476"/>
      <c r="AZ765" s="476"/>
      <c r="BA765" s="476" t="e">
        <f>IF(W684,EXP((Iniciar!AF64+Iniciar!AG64*AS765/AW765)*AV765*(1+AV765*Iniciar!AH64)),0)</f>
        <v>#DIV/0!</v>
      </c>
      <c r="BB765" s="476" t="e">
        <f t="shared" si="200"/>
        <v>#DIV/0!</v>
      </c>
      <c r="BC765" s="476" t="e">
        <f t="shared" si="201"/>
        <v>#DIV/0!</v>
      </c>
      <c r="BD765" s="476"/>
      <c r="BE765" s="476"/>
      <c r="BF765" s="476" t="e">
        <f t="shared" si="202"/>
        <v>#DIV/0!</v>
      </c>
      <c r="BG765" s="476"/>
      <c r="BH765" s="476">
        <f t="shared" si="203"/>
        <v>0</v>
      </c>
      <c r="BI765" s="494" t="e">
        <f t="shared" si="207"/>
        <v>#DIV/0!</v>
      </c>
      <c r="BJ765" s="476" t="e">
        <f t="shared" si="208"/>
        <v>#DIV/0!</v>
      </c>
      <c r="BK765" s="476"/>
      <c r="BL765" s="476">
        <f t="shared" si="204"/>
        <v>0</v>
      </c>
      <c r="BM765" s="476" t="e">
        <f t="shared" si="205"/>
        <v>#DIV/0!</v>
      </c>
      <c r="BN765" s="476" t="e">
        <f t="shared" si="206"/>
        <v>#DIV/0!</v>
      </c>
      <c r="BO765" s="319"/>
      <c r="BP765" s="319"/>
      <c r="BQ765" s="319"/>
      <c r="BR765" s="319"/>
      <c r="BS765" s="319"/>
      <c r="BT765" s="319"/>
      <c r="BU765" s="319"/>
      <c r="BV765" s="319"/>
      <c r="BW765" s="319"/>
      <c r="BX765" s="319"/>
      <c r="BY765" s="319"/>
      <c r="BZ765" s="319"/>
      <c r="CA765" s="319"/>
      <c r="CB765" s="319"/>
      <c r="CC765" s="319"/>
      <c r="CD765" s="319"/>
      <c r="CE765" s="319"/>
      <c r="CF765" s="319"/>
      <c r="CG765" s="319"/>
      <c r="CH765" s="319"/>
      <c r="CI765" s="319"/>
      <c r="CJ765" s="319"/>
      <c r="CK765" s="319"/>
    </row>
    <row r="766" spans="1:89" ht="13.2" hidden="1">
      <c r="A766" s="447"/>
      <c r="B766" s="329" t="str">
        <f>Language!C1675</f>
        <v>Coeficiente Fr UL</v>
      </c>
      <c r="C766" s="419" t="s">
        <v>4938</v>
      </c>
      <c r="D766" s="332"/>
      <c r="E766" s="1"/>
      <c r="F766" s="1"/>
      <c r="G766" s="1"/>
      <c r="H766" s="1"/>
      <c r="I766" s="1"/>
      <c r="J766" s="29"/>
      <c r="K766" s="9"/>
      <c r="L766" s="1"/>
      <c r="M766" s="319"/>
      <c r="N766" s="319">
        <v>5080080</v>
      </c>
      <c r="O766" s="319"/>
      <c r="P766" s="319"/>
      <c r="Q766" s="319" t="s">
        <v>4938</v>
      </c>
      <c r="R766" s="477">
        <f>D766/IF(C766=G1175,H1175,1)</f>
        <v>0</v>
      </c>
      <c r="S766" s="319">
        <f t="shared" si="179"/>
        <v>1</v>
      </c>
      <c r="T766" s="476">
        <f t="shared" si="180"/>
        <v>0</v>
      </c>
      <c r="U766" s="476">
        <f t="shared" si="181"/>
        <v>17.868479452054792</v>
      </c>
      <c r="V766" s="476">
        <f xml:space="preserve"> GetMonthlyTrackingRadiation($U$4,$M$735,$T$756,$T$757,Iniciar!X65,Iniciar!AB65*1000000,Iniciar!AE65)/1000000</f>
        <v>22.428000000000004</v>
      </c>
      <c r="W766" s="476"/>
      <c r="X766" s="476">
        <f t="shared" si="182"/>
        <v>0</v>
      </c>
      <c r="Y766" s="476">
        <f t="shared" si="183"/>
        <v>0</v>
      </c>
      <c r="Z766" s="476">
        <f t="shared" si="184"/>
        <v>1</v>
      </c>
      <c r="AA766" s="476">
        <f t="shared" si="185"/>
        <v>0</v>
      </c>
      <c r="AB766" s="476">
        <f t="shared" si="186"/>
        <v>0</v>
      </c>
      <c r="AC766" s="476">
        <f t="shared" si="187"/>
        <v>-67.449864160324509</v>
      </c>
      <c r="AD766" s="476">
        <f t="shared" si="188"/>
        <v>-3.2914886711887417</v>
      </c>
      <c r="AE766" s="476"/>
      <c r="AF766" s="476">
        <f t="shared" si="189"/>
        <v>0</v>
      </c>
      <c r="AG766" s="476" t="e">
        <f t="shared" si="190"/>
        <v>#DIV/0!</v>
      </c>
      <c r="AH766" s="476" t="e">
        <f t="shared" si="191"/>
        <v>#DIV/0!</v>
      </c>
      <c r="AI766" s="476" t="e">
        <f t="shared" si="192"/>
        <v>#DIV/0!</v>
      </c>
      <c r="AJ766" s="476" t="e">
        <f t="shared" si="193"/>
        <v>#DIV/0!</v>
      </c>
      <c r="AK766" s="476" t="e">
        <f t="shared" si="194"/>
        <v>#DIV/0!</v>
      </c>
      <c r="AL766" s="476" t="e">
        <f t="shared" si="195"/>
        <v>#DIV/0!</v>
      </c>
      <c r="AM766" s="476"/>
      <c r="AN766" s="476">
        <f>surfslopenoon($U$4,Iniciar!Y65,$M$735,$T$756, $T$757)</f>
        <v>0</v>
      </c>
      <c r="AO766" s="476">
        <f>GetCosIncidenceAngle(ACOS(Y237),0,$T$756, $T$757)*0+cosIncidenceAnglenoon($U$4,Iniciar!Y65,$M$735,$T$756, $T$757)</f>
        <v>0.89301624881490382</v>
      </c>
      <c r="AP766" s="476">
        <f t="shared" si="196"/>
        <v>0.99999814894419092</v>
      </c>
      <c r="AQ766" s="476"/>
      <c r="AR766" s="476"/>
      <c r="AS766" s="476">
        <f>(1-AB237/AA237*Y685)*AP766+AB237/AA237*Y685*(1+COS(AN766))/2+Iniciar!AE65*(1-COS(AN766))/2</f>
        <v>0.99999880306864886</v>
      </c>
      <c r="AT766" s="476">
        <f t="shared" si="197"/>
        <v>0</v>
      </c>
      <c r="AU766" s="476" t="e">
        <f t="shared" si="198"/>
        <v>#DIV/0!</v>
      </c>
      <c r="AV766" s="476" t="e">
        <f t="shared" si="199"/>
        <v>#DIV/0!</v>
      </c>
      <c r="AW766" s="476">
        <f>IF(Q685&gt;0,V766/Iniciar!AB65,1)</f>
        <v>1.0000000000000002</v>
      </c>
      <c r="AX766" s="476"/>
      <c r="AY766" s="476"/>
      <c r="AZ766" s="476"/>
      <c r="BA766" s="476" t="e">
        <f>IF(W685,EXP((Iniciar!AF65+Iniciar!AG65*AS766/AW766)*AV766*(1+AV766*Iniciar!AH65)),0)</f>
        <v>#DIV/0!</v>
      </c>
      <c r="BB766" s="476" t="e">
        <f t="shared" si="200"/>
        <v>#DIV/0!</v>
      </c>
      <c r="BC766" s="476" t="e">
        <f t="shared" si="201"/>
        <v>#DIV/0!</v>
      </c>
      <c r="BD766" s="476"/>
      <c r="BE766" s="476"/>
      <c r="BF766" s="476" t="e">
        <f t="shared" si="202"/>
        <v>#DIV/0!</v>
      </c>
      <c r="BG766" s="476"/>
      <c r="BH766" s="476">
        <f t="shared" si="203"/>
        <v>0</v>
      </c>
      <c r="BI766" s="494" t="e">
        <f t="shared" si="207"/>
        <v>#DIV/0!</v>
      </c>
      <c r="BJ766" s="476" t="e">
        <f t="shared" si="208"/>
        <v>#DIV/0!</v>
      </c>
      <c r="BK766" s="476"/>
      <c r="BL766" s="476">
        <f t="shared" si="204"/>
        <v>0</v>
      </c>
      <c r="BM766" s="476" t="e">
        <f t="shared" si="205"/>
        <v>#DIV/0!</v>
      </c>
      <c r="BN766" s="476" t="e">
        <f t="shared" si="206"/>
        <v>#DIV/0!</v>
      </c>
      <c r="BO766" s="319"/>
      <c r="BP766" s="319"/>
      <c r="BQ766" s="319"/>
      <c r="BR766" s="319"/>
      <c r="BS766" s="319"/>
      <c r="BT766" s="319"/>
      <c r="BU766" s="319"/>
      <c r="BV766" s="319"/>
      <c r="BW766" s="319"/>
      <c r="BX766" s="319"/>
      <c r="BY766" s="319"/>
      <c r="BZ766" s="319"/>
      <c r="CA766" s="319"/>
      <c r="CB766" s="319"/>
      <c r="CC766" s="319"/>
      <c r="CD766" s="319"/>
      <c r="CE766" s="319"/>
      <c r="CF766" s="319"/>
      <c r="CG766" s="319"/>
      <c r="CH766" s="319"/>
      <c r="CI766" s="319"/>
      <c r="CJ766" s="319"/>
      <c r="CK766" s="319"/>
    </row>
    <row r="767" spans="1:89" ht="13.2" hidden="1">
      <c r="A767" s="447"/>
      <c r="B767" s="329" t="str">
        <f>Language!C2082</f>
        <v>Correção do vento para Fr UL</v>
      </c>
      <c r="C767" s="303" t="s">
        <v>4802</v>
      </c>
      <c r="D767" s="332"/>
      <c r="E767" s="1"/>
      <c r="F767" s="1"/>
      <c r="G767" s="1"/>
      <c r="H767" s="1"/>
      <c r="I767" s="1"/>
      <c r="J767" s="29"/>
      <c r="K767" s="9"/>
      <c r="L767" s="1"/>
      <c r="M767" s="319"/>
      <c r="N767" s="319">
        <v>5080082</v>
      </c>
      <c r="O767" s="319"/>
      <c r="P767" s="319"/>
      <c r="Q767" s="319" t="s">
        <v>4802</v>
      </c>
      <c r="R767" s="477">
        <f>D767/IF(C767=G1177,H1177,1)</f>
        <v>0</v>
      </c>
      <c r="S767" s="319">
        <f t="shared" si="179"/>
        <v>1</v>
      </c>
      <c r="T767" s="476">
        <f t="shared" si="180"/>
        <v>0</v>
      </c>
      <c r="U767" s="476">
        <f t="shared" si="181"/>
        <v>17.868479452054792</v>
      </c>
      <c r="V767" s="476">
        <f xml:space="preserve"> GetMonthlyTrackingRadiation($U$4,$M$735,$T$756,$T$757,Iniciar!X66,Iniciar!AB66*1000000,Iniciar!AE66)/1000000</f>
        <v>16.920000000000002</v>
      </c>
      <c r="W767" s="476"/>
      <c r="X767" s="476">
        <f t="shared" si="182"/>
        <v>0</v>
      </c>
      <c r="Y767" s="476">
        <f t="shared" si="183"/>
        <v>0</v>
      </c>
      <c r="Z767" s="476">
        <f t="shared" si="184"/>
        <v>1</v>
      </c>
      <c r="AA767" s="476">
        <f t="shared" si="185"/>
        <v>0</v>
      </c>
      <c r="AB767" s="476">
        <f t="shared" si="186"/>
        <v>0</v>
      </c>
      <c r="AC767" s="476">
        <f t="shared" si="187"/>
        <v>-64.309329821910268</v>
      </c>
      <c r="AD767" s="476">
        <f t="shared" si="188"/>
        <v>-2.8360382025095898</v>
      </c>
      <c r="AE767" s="476"/>
      <c r="AF767" s="476">
        <f t="shared" si="189"/>
        <v>0</v>
      </c>
      <c r="AG767" s="476" t="e">
        <f t="shared" si="190"/>
        <v>#DIV/0!</v>
      </c>
      <c r="AH767" s="476" t="e">
        <f t="shared" si="191"/>
        <v>#DIV/0!</v>
      </c>
      <c r="AI767" s="476" t="e">
        <f t="shared" si="192"/>
        <v>#DIV/0!</v>
      </c>
      <c r="AJ767" s="476" t="e">
        <f t="shared" si="193"/>
        <v>#DIV/0!</v>
      </c>
      <c r="AK767" s="476" t="e">
        <f t="shared" si="194"/>
        <v>#DIV/0!</v>
      </c>
      <c r="AL767" s="476" t="e">
        <f t="shared" si="195"/>
        <v>#DIV/0!</v>
      </c>
      <c r="AM767" s="476"/>
      <c r="AN767" s="476">
        <f>surfslopenoon($U$4,Iniciar!Y66,$M$735,$T$756, $T$757)</f>
        <v>0</v>
      </c>
      <c r="AO767" s="476">
        <f>GetCosIncidenceAngle(ACOS(Y238),0,$T$756, $T$757)*0+cosIncidenceAnglenoon($U$4,Iniciar!Y66,$M$735,$T$756, $T$757)</f>
        <v>0.78818991266177352</v>
      </c>
      <c r="AP767" s="476">
        <f t="shared" si="196"/>
        <v>0.99999713191393469</v>
      </c>
      <c r="AQ767" s="476"/>
      <c r="AR767" s="476"/>
      <c r="AS767" s="476">
        <f>(1-AB238/AA238*Y686)*AP767+AB238/AA238*Y686*(1+COS(AN767))/2+Iniciar!AE66*(1-COS(AN767))/2</f>
        <v>0.9999983932601213</v>
      </c>
      <c r="AT767" s="476">
        <f t="shared" si="197"/>
        <v>0</v>
      </c>
      <c r="AU767" s="476" t="e">
        <f t="shared" si="198"/>
        <v>#DIV/0!</v>
      </c>
      <c r="AV767" s="476" t="e">
        <f t="shared" si="199"/>
        <v>#DIV/0!</v>
      </c>
      <c r="AW767" s="476">
        <f>IF(Q686&gt;0,V767/Iniciar!AB66,1)</f>
        <v>1</v>
      </c>
      <c r="AX767" s="476"/>
      <c r="AY767" s="476"/>
      <c r="AZ767" s="476"/>
      <c r="BA767" s="476" t="e">
        <f>IF(W686,EXP((Iniciar!AF66+Iniciar!AG66*AS767/AW767)*AV767*(1+AV767*Iniciar!AH66)),0)</f>
        <v>#DIV/0!</v>
      </c>
      <c r="BB767" s="476" t="e">
        <f t="shared" si="200"/>
        <v>#DIV/0!</v>
      </c>
      <c r="BC767" s="476" t="e">
        <f t="shared" si="201"/>
        <v>#DIV/0!</v>
      </c>
      <c r="BD767" s="476"/>
      <c r="BE767" s="476"/>
      <c r="BF767" s="476" t="e">
        <f t="shared" si="202"/>
        <v>#DIV/0!</v>
      </c>
      <c r="BG767" s="476"/>
      <c r="BH767" s="476">
        <f t="shared" si="203"/>
        <v>0</v>
      </c>
      <c r="BI767" s="494" t="e">
        <f t="shared" si="207"/>
        <v>#DIV/0!</v>
      </c>
      <c r="BJ767" s="476" t="e">
        <f t="shared" si="208"/>
        <v>#DIV/0!</v>
      </c>
      <c r="BK767" s="476"/>
      <c r="BL767" s="476">
        <f t="shared" si="204"/>
        <v>0</v>
      </c>
      <c r="BM767" s="476" t="e">
        <f t="shared" si="205"/>
        <v>#DIV/0!</v>
      </c>
      <c r="BN767" s="476" t="e">
        <f t="shared" si="206"/>
        <v>#DIV/0!</v>
      </c>
      <c r="BO767" s="319"/>
      <c r="BP767" s="319"/>
      <c r="BQ767" s="319"/>
      <c r="BR767" s="319"/>
      <c r="BS767" s="319"/>
      <c r="BT767" s="319"/>
      <c r="BU767" s="319"/>
      <c r="BV767" s="319"/>
      <c r="BW767" s="319"/>
      <c r="BX767" s="319"/>
      <c r="BY767" s="319"/>
      <c r="BZ767" s="319"/>
      <c r="CA767" s="319"/>
      <c r="CB767" s="319"/>
      <c r="CC767" s="319"/>
      <c r="CD767" s="319"/>
      <c r="CE767" s="319"/>
      <c r="CF767" s="319"/>
      <c r="CG767" s="319"/>
      <c r="CH767" s="319"/>
      <c r="CI767" s="319"/>
      <c r="CJ767" s="319"/>
      <c r="CK767" s="319"/>
    </row>
    <row r="768" spans="1:89" ht="13.2" hidden="1">
      <c r="A768" s="12"/>
      <c r="B768" s="329" t="str">
        <f>Language!C2017</f>
        <v>Coeficiente de Temperatura de Fr UL</v>
      </c>
      <c r="C768" s="419" t="s">
        <v>2410</v>
      </c>
      <c r="D768" s="963"/>
      <c r="E768" s="1"/>
      <c r="F768" s="1"/>
      <c r="G768" s="1"/>
      <c r="H768" s="526"/>
      <c r="I768" s="526"/>
      <c r="J768" s="526"/>
      <c r="K768" s="9"/>
      <c r="L768" s="1"/>
      <c r="M768" s="319"/>
      <c r="N768" s="319">
        <v>5080084</v>
      </c>
      <c r="O768" s="319"/>
      <c r="P768" s="319"/>
      <c r="Q768" s="319" t="s">
        <v>3641</v>
      </c>
      <c r="R768" s="477">
        <f>D768/IF(C768=G1179,H1179,1)</f>
        <v>0</v>
      </c>
      <c r="S768" s="319">
        <f t="shared" si="179"/>
        <v>1</v>
      </c>
      <c r="T768" s="476">
        <f t="shared" si="180"/>
        <v>0</v>
      </c>
      <c r="U768" s="476">
        <f t="shared" si="181"/>
        <v>17.518479452054791</v>
      </c>
      <c r="V768" s="476">
        <f xml:space="preserve"> GetMonthlyTrackingRadiation($U$4,$M$735,$T$756,$T$757,Iniciar!X67,Iniciar!AB67*1000000,Iniciar!AE67)/1000000</f>
        <v>12.779999999999998</v>
      </c>
      <c r="W768" s="476"/>
      <c r="X768" s="476">
        <f t="shared" si="182"/>
        <v>0</v>
      </c>
      <c r="Y768" s="476">
        <f t="shared" si="183"/>
        <v>0</v>
      </c>
      <c r="Z768" s="476">
        <f t="shared" si="184"/>
        <v>1</v>
      </c>
      <c r="AA768" s="476">
        <f t="shared" si="185"/>
        <v>0</v>
      </c>
      <c r="AB768" s="476">
        <f t="shared" si="186"/>
        <v>0</v>
      </c>
      <c r="AC768" s="476">
        <f t="shared" si="187"/>
        <v>-66.431603736416932</v>
      </c>
      <c r="AD768" s="476">
        <f t="shared" si="188"/>
        <v>-2.6078343994828197</v>
      </c>
      <c r="AE768" s="476"/>
      <c r="AF768" s="476">
        <f t="shared" si="189"/>
        <v>0</v>
      </c>
      <c r="AG768" s="476" t="e">
        <f t="shared" si="190"/>
        <v>#DIV/0!</v>
      </c>
      <c r="AH768" s="476" t="e">
        <f t="shared" si="191"/>
        <v>#DIV/0!</v>
      </c>
      <c r="AI768" s="476" t="e">
        <f t="shared" si="192"/>
        <v>#DIV/0!</v>
      </c>
      <c r="AJ768" s="476" t="e">
        <f t="shared" si="193"/>
        <v>#DIV/0!</v>
      </c>
      <c r="AK768" s="476" t="e">
        <f t="shared" si="194"/>
        <v>#DIV/0!</v>
      </c>
      <c r="AL768" s="476" t="e">
        <f t="shared" si="195"/>
        <v>#DIV/0!</v>
      </c>
      <c r="AM768" s="476"/>
      <c r="AN768" s="476">
        <f>surfslopenoon($U$4,Iniciar!Y67,$M$735,$T$756, $T$757)</f>
        <v>0</v>
      </c>
      <c r="AO768" s="476">
        <f>GetCosIncidenceAngle(ACOS(Y239),0,$T$756, $T$757)*0+cosIncidenceAnglenoon($U$4,Iniciar!Y67,$M$735,$T$756, $T$757)</f>
        <v>0.64546291745231776</v>
      </c>
      <c r="AP768" s="476">
        <f t="shared" si="196"/>
        <v>0.99999565343474939</v>
      </c>
      <c r="AQ768" s="476"/>
      <c r="AR768" s="476"/>
      <c r="AS768" s="476">
        <f>(1-AB239/AA239*Y687)*AP768+AB239/AA239*Y687*(1+COS(AN768))/2+Iniciar!AE67*(1-COS(AN768))/2</f>
        <v>0.9999975380837034</v>
      </c>
      <c r="AT768" s="476">
        <f t="shared" si="197"/>
        <v>0</v>
      </c>
      <c r="AU768" s="476" t="e">
        <f t="shared" si="198"/>
        <v>#DIV/0!</v>
      </c>
      <c r="AV768" s="476" t="e">
        <f t="shared" si="199"/>
        <v>#DIV/0!</v>
      </c>
      <c r="AW768" s="476">
        <f>IF(Q687&gt;0,V768/Iniciar!AB67,1)</f>
        <v>0.99999999999999989</v>
      </c>
      <c r="AX768" s="476"/>
      <c r="AY768" s="476"/>
      <c r="AZ768" s="476"/>
      <c r="BA768" s="476" t="e">
        <f>IF(W687,EXP((Iniciar!AF67+Iniciar!AG67*AS768/AW768)*AV768*(1+AV768*Iniciar!AH67)),0)</f>
        <v>#DIV/0!</v>
      </c>
      <c r="BB768" s="476" t="e">
        <f t="shared" si="200"/>
        <v>#DIV/0!</v>
      </c>
      <c r="BC768" s="476" t="e">
        <f t="shared" si="201"/>
        <v>#DIV/0!</v>
      </c>
      <c r="BD768" s="476"/>
      <c r="BE768" s="476"/>
      <c r="BF768" s="476" t="e">
        <f t="shared" si="202"/>
        <v>#DIV/0!</v>
      </c>
      <c r="BG768" s="476"/>
      <c r="BH768" s="476">
        <f t="shared" si="203"/>
        <v>0</v>
      </c>
      <c r="BI768" s="494" t="e">
        <f t="shared" si="207"/>
        <v>#DIV/0!</v>
      </c>
      <c r="BJ768" s="476" t="e">
        <f t="shared" si="208"/>
        <v>#DIV/0!</v>
      </c>
      <c r="BK768" s="476"/>
      <c r="BL768" s="476">
        <f t="shared" si="204"/>
        <v>0</v>
      </c>
      <c r="BM768" s="476" t="e">
        <f t="shared" si="205"/>
        <v>#DIV/0!</v>
      </c>
      <c r="BN768" s="476" t="e">
        <f t="shared" si="206"/>
        <v>#DIV/0!</v>
      </c>
      <c r="BO768" s="319"/>
      <c r="BP768" s="319"/>
      <c r="BQ768" s="319"/>
      <c r="BR768" s="319"/>
      <c r="BS768" s="319"/>
      <c r="BT768" s="319"/>
      <c r="BU768" s="319"/>
      <c r="BV768" s="319"/>
      <c r="BW768" s="319"/>
      <c r="BX768" s="319"/>
      <c r="BY768" s="319"/>
      <c r="BZ768" s="319"/>
      <c r="CA768" s="319"/>
      <c r="CB768" s="319"/>
      <c r="CC768" s="319"/>
      <c r="CD768" s="319"/>
      <c r="CE768" s="319"/>
      <c r="CF768" s="319"/>
      <c r="CG768" s="319"/>
      <c r="CH768" s="319"/>
      <c r="CI768" s="319"/>
      <c r="CJ768" s="319"/>
      <c r="CK768" s="319"/>
    </row>
    <row r="769" spans="1:89" ht="13.5" hidden="1" customHeight="1">
      <c r="A769" s="12"/>
      <c r="B769" s="329" t="str">
        <f>Language!C1840</f>
        <v>Número de coletores</v>
      </c>
      <c r="C769" s="1"/>
      <c r="D769" s="420"/>
      <c r="E769" s="29" t="e">
        <f>IF(BJ773&lt;&gt;1000000000,CEILING(BJ773/R762,1),"-")</f>
        <v>#DIV/0!</v>
      </c>
      <c r="F769" s="1"/>
      <c r="G769" s="1"/>
      <c r="H769" s="526"/>
      <c r="I769" s="526"/>
      <c r="J769" s="526"/>
      <c r="K769" s="9"/>
      <c r="L769" s="1"/>
      <c r="M769" s="319"/>
      <c r="N769" s="319">
        <v>5080086</v>
      </c>
      <c r="O769" s="319"/>
      <c r="P769" s="319"/>
      <c r="Q769" s="319"/>
      <c r="R769" s="319"/>
      <c r="S769" s="319">
        <f t="shared" si="179"/>
        <v>1</v>
      </c>
      <c r="T769" s="476">
        <f t="shared" si="180"/>
        <v>0</v>
      </c>
      <c r="U769" s="476">
        <f t="shared" si="181"/>
        <v>16.328479452054793</v>
      </c>
      <c r="V769" s="476">
        <f xml:space="preserve"> GetMonthlyTrackingRadiation($U$4,$M$735,$T$756,$T$757,Iniciar!X68,Iniciar!AB68*1000000,Iniciar!AE68)/1000000</f>
        <v>8.8560000000000016</v>
      </c>
      <c r="W769" s="476"/>
      <c r="X769" s="476">
        <f t="shared" si="182"/>
        <v>0</v>
      </c>
      <c r="Y769" s="476">
        <f t="shared" si="183"/>
        <v>0</v>
      </c>
      <c r="Z769" s="476">
        <f t="shared" si="184"/>
        <v>1</v>
      </c>
      <c r="AA769" s="476">
        <f t="shared" si="185"/>
        <v>0</v>
      </c>
      <c r="AB769" s="476">
        <f t="shared" si="186"/>
        <v>0</v>
      </c>
      <c r="AC769" s="476">
        <f t="shared" si="187"/>
        <v>-65.199577489867565</v>
      </c>
      <c r="AD769" s="476">
        <f t="shared" si="188"/>
        <v>-2.2899301956549465</v>
      </c>
      <c r="AE769" s="476"/>
      <c r="AF769" s="476">
        <f t="shared" si="189"/>
        <v>0</v>
      </c>
      <c r="AG769" s="476" t="e">
        <f t="shared" si="190"/>
        <v>#DIV/0!</v>
      </c>
      <c r="AH769" s="476" t="e">
        <f t="shared" si="191"/>
        <v>#DIV/0!</v>
      </c>
      <c r="AI769" s="476" t="e">
        <f t="shared" si="192"/>
        <v>#DIV/0!</v>
      </c>
      <c r="AJ769" s="476" t="e">
        <f t="shared" si="193"/>
        <v>#DIV/0!</v>
      </c>
      <c r="AK769" s="476" t="e">
        <f t="shared" si="194"/>
        <v>#DIV/0!</v>
      </c>
      <c r="AL769" s="476" t="e">
        <f t="shared" si="195"/>
        <v>#DIV/0!</v>
      </c>
      <c r="AM769" s="476"/>
      <c r="AN769" s="476">
        <f>surfslopenoon($U$4,Iniciar!Y68,$M$735,$T$756, $T$757)</f>
        <v>0</v>
      </c>
      <c r="AO769" s="476">
        <f>GetCosIncidenceAngle(ACOS(Y240),0,$T$756, $T$757)*0+cosIncidenceAnglenoon($U$4,Iniciar!Y68,$M$735,$T$756, $T$757)</f>
        <v>0.51335905373992341</v>
      </c>
      <c r="AP769" s="476">
        <f t="shared" si="196"/>
        <v>0.99999385960763532</v>
      </c>
      <c r="AQ769" s="476"/>
      <c r="AR769" s="476"/>
      <c r="AS769" s="476">
        <f>(1-AB240/AA240*Y688)*AP769+AB240/AA240*Y688*(1+COS(AN769))/2+Iniciar!AE68*(1-COS(AN769))/2</f>
        <v>0.99999683358239722</v>
      </c>
      <c r="AT769" s="476">
        <f t="shared" si="197"/>
        <v>0</v>
      </c>
      <c r="AU769" s="476" t="e">
        <f t="shared" si="198"/>
        <v>#DIV/0!</v>
      </c>
      <c r="AV769" s="476" t="e">
        <f t="shared" si="199"/>
        <v>#DIV/0!</v>
      </c>
      <c r="AW769" s="476">
        <f>IF(Q688&gt;0,V769/Iniciar!AB68,1)</f>
        <v>1.0000000000000002</v>
      </c>
      <c r="AX769" s="476"/>
      <c r="AY769" s="476"/>
      <c r="AZ769" s="476"/>
      <c r="BA769" s="476" t="e">
        <f>IF(W688,EXP((Iniciar!AF68+Iniciar!AG68*AS769/AW769)*AV769*(1+AV769*Iniciar!AH68)),0)</f>
        <v>#DIV/0!</v>
      </c>
      <c r="BB769" s="476" t="e">
        <f t="shared" si="200"/>
        <v>#DIV/0!</v>
      </c>
      <c r="BC769" s="476" t="e">
        <f t="shared" si="201"/>
        <v>#DIV/0!</v>
      </c>
      <c r="BD769" s="476"/>
      <c r="BE769" s="476"/>
      <c r="BF769" s="476" t="e">
        <f t="shared" si="202"/>
        <v>#DIV/0!</v>
      </c>
      <c r="BG769" s="476"/>
      <c r="BH769" s="476">
        <f t="shared" si="203"/>
        <v>0</v>
      </c>
      <c r="BI769" s="494" t="e">
        <f t="shared" si="207"/>
        <v>#DIV/0!</v>
      </c>
      <c r="BJ769" s="476" t="e">
        <f t="shared" si="208"/>
        <v>#DIV/0!</v>
      </c>
      <c r="BK769" s="476"/>
      <c r="BL769" s="476">
        <f t="shared" si="204"/>
        <v>0</v>
      </c>
      <c r="BM769" s="476" t="e">
        <f t="shared" si="205"/>
        <v>#DIV/0!</v>
      </c>
      <c r="BN769" s="476" t="e">
        <f t="shared" si="206"/>
        <v>#DIV/0!</v>
      </c>
      <c r="BO769" s="319"/>
      <c r="BP769" s="319"/>
      <c r="BQ769" s="319"/>
      <c r="BR769" s="319"/>
      <c r="BS769" s="319"/>
      <c r="BT769" s="319"/>
      <c r="BU769" s="319"/>
      <c r="BV769" s="319"/>
      <c r="BW769" s="319"/>
      <c r="BX769" s="319"/>
      <c r="BY769" s="319"/>
      <c r="BZ769" s="319"/>
      <c r="CA769" s="319"/>
      <c r="CB769" s="319"/>
      <c r="CC769" s="319"/>
      <c r="CD769" s="319"/>
      <c r="CE769" s="319"/>
      <c r="CF769" s="319"/>
      <c r="CG769" s="319"/>
      <c r="CH769" s="319"/>
      <c r="CI769" s="319"/>
      <c r="CJ769" s="319"/>
      <c r="CK769" s="319"/>
    </row>
    <row r="770" spans="1:89" ht="13.5" hidden="1" customHeight="1">
      <c r="A770" s="447"/>
      <c r="B770" s="329" t="str">
        <f>B649</f>
        <v>Àrea do coletor solar</v>
      </c>
      <c r="C770" s="29" t="str">
        <f>C762</f>
        <v>m²</v>
      </c>
      <c r="D770" s="100">
        <f>D769*D762</f>
        <v>0</v>
      </c>
      <c r="E770" s="526"/>
      <c r="F770" s="1"/>
      <c r="G770" s="1"/>
      <c r="H770" s="1"/>
      <c r="I770" s="1"/>
      <c r="J770" s="29"/>
      <c r="K770" s="9"/>
      <c r="L770" s="1"/>
      <c r="M770" s="319"/>
      <c r="N770" s="319">
        <v>5080088</v>
      </c>
      <c r="O770" s="319"/>
      <c r="P770" s="319"/>
      <c r="Q770" s="319" t="s">
        <v>2575</v>
      </c>
      <c r="R770" s="319">
        <f>D769*D762*IF(C762=J1191,K1191,1)</f>
        <v>0</v>
      </c>
      <c r="S770" s="319">
        <f t="shared" si="179"/>
        <v>1</v>
      </c>
      <c r="T770" s="476">
        <f t="shared" si="180"/>
        <v>0</v>
      </c>
      <c r="U770" s="476">
        <f t="shared" si="181"/>
        <v>14.788479452054794</v>
      </c>
      <c r="V770" s="476">
        <f xml:space="preserve"> GetMonthlyTrackingRadiation($U$4,$M$735,$T$756,$T$757,Iniciar!X69,Iniciar!AB69*1000000,Iniciar!AE69)/1000000</f>
        <v>7.8120000000000003</v>
      </c>
      <c r="W770" s="476"/>
      <c r="X770" s="476">
        <f t="shared" si="182"/>
        <v>0</v>
      </c>
      <c r="Y770" s="476">
        <f t="shared" si="183"/>
        <v>0</v>
      </c>
      <c r="Z770" s="476">
        <f t="shared" si="184"/>
        <v>1</v>
      </c>
      <c r="AA770" s="476">
        <f t="shared" si="185"/>
        <v>0</v>
      </c>
      <c r="AB770" s="476">
        <f t="shared" si="186"/>
        <v>0</v>
      </c>
      <c r="AC770" s="476">
        <f t="shared" si="187"/>
        <v>-69.252967110585772</v>
      </c>
      <c r="AD770" s="476">
        <f t="shared" si="188"/>
        <v>-2.2912058286258747</v>
      </c>
      <c r="AE770" s="476"/>
      <c r="AF770" s="476">
        <f t="shared" si="189"/>
        <v>0</v>
      </c>
      <c r="AG770" s="476" t="e">
        <f t="shared" si="190"/>
        <v>#DIV/0!</v>
      </c>
      <c r="AH770" s="476" t="e">
        <f t="shared" si="191"/>
        <v>#DIV/0!</v>
      </c>
      <c r="AI770" s="476" t="e">
        <f t="shared" si="192"/>
        <v>#DIV/0!</v>
      </c>
      <c r="AJ770" s="476" t="e">
        <f t="shared" si="193"/>
        <v>#DIV/0!</v>
      </c>
      <c r="AK770" s="476" t="e">
        <f t="shared" si="194"/>
        <v>#DIV/0!</v>
      </c>
      <c r="AL770" s="476" t="e">
        <f t="shared" si="195"/>
        <v>#DIV/0!</v>
      </c>
      <c r="AM770" s="476"/>
      <c r="AN770" s="476">
        <f>surfslopenoon($U$4,Iniciar!Y69,$M$735,$T$756, $T$757)</f>
        <v>0</v>
      </c>
      <c r="AO770" s="476">
        <f>GetCosIncidenceAngle(ACOS(Y241),0,$T$756, $T$757)*0+cosIncidenceAnglenoon($U$4,Iniciar!Y69,$M$735,$T$756, $T$757)</f>
        <v>0.45010096426749646</v>
      </c>
      <c r="AP770" s="476">
        <f t="shared" si="196"/>
        <v>0.99999271260570166</v>
      </c>
      <c r="AQ770" s="476"/>
      <c r="AR770" s="476"/>
      <c r="AS770" s="476">
        <f>(1-AB241/AA241*Y689)*AP770+AB241/AA241*Y689*(1+COS(AN770))/2+Iniciar!AE69*(1-COS(AN770))/2</f>
        <v>0.99999584809480857</v>
      </c>
      <c r="AT770" s="476">
        <f t="shared" si="197"/>
        <v>0</v>
      </c>
      <c r="AU770" s="476" t="e">
        <f t="shared" si="198"/>
        <v>#DIV/0!</v>
      </c>
      <c r="AV770" s="476" t="e">
        <f t="shared" si="199"/>
        <v>#DIV/0!</v>
      </c>
      <c r="AW770" s="476">
        <f>IF(Q689&gt;0,V770/Iniciar!AB69,1)</f>
        <v>1</v>
      </c>
      <c r="AX770" s="476"/>
      <c r="AY770" s="476"/>
      <c r="AZ770" s="476"/>
      <c r="BA770" s="476" t="e">
        <f>IF(W689,EXP((Iniciar!AF69+Iniciar!AG69*AS770/AW770)*AV770*(1+AV770*Iniciar!AH69)),0)</f>
        <v>#DIV/0!</v>
      </c>
      <c r="BB770" s="476" t="e">
        <f t="shared" si="200"/>
        <v>#DIV/0!</v>
      </c>
      <c r="BC770" s="476" t="e">
        <f t="shared" si="201"/>
        <v>#DIV/0!</v>
      </c>
      <c r="BD770" s="476"/>
      <c r="BE770" s="476"/>
      <c r="BF770" s="476" t="e">
        <f t="shared" si="202"/>
        <v>#DIV/0!</v>
      </c>
      <c r="BG770" s="476"/>
      <c r="BH770" s="476">
        <f t="shared" si="203"/>
        <v>0</v>
      </c>
      <c r="BI770" s="494" t="e">
        <f t="shared" si="207"/>
        <v>#DIV/0!</v>
      </c>
      <c r="BJ770" s="476" t="e">
        <f t="shared" si="208"/>
        <v>#DIV/0!</v>
      </c>
      <c r="BK770" s="476"/>
      <c r="BL770" s="476">
        <f t="shared" si="204"/>
        <v>0</v>
      </c>
      <c r="BM770" s="476" t="e">
        <f t="shared" si="205"/>
        <v>#DIV/0!</v>
      </c>
      <c r="BN770" s="476" t="e">
        <f t="shared" si="206"/>
        <v>#DIV/0!</v>
      </c>
      <c r="BO770" s="319"/>
      <c r="BP770" s="319"/>
      <c r="BQ770" s="319"/>
      <c r="BR770" s="319"/>
      <c r="BS770" s="319"/>
      <c r="BT770" s="319"/>
      <c r="BU770" s="319"/>
      <c r="BV770" s="319"/>
      <c r="BW770" s="319"/>
      <c r="BX770" s="319"/>
      <c r="BY770" s="319"/>
      <c r="BZ770" s="319"/>
      <c r="CA770" s="319"/>
      <c r="CB770" s="319"/>
      <c r="CC770" s="319"/>
      <c r="CD770" s="319"/>
      <c r="CE770" s="319"/>
      <c r="CF770" s="319"/>
      <c r="CG770" s="319"/>
      <c r="CH770" s="319"/>
      <c r="CI770" s="319"/>
      <c r="CJ770" s="319"/>
      <c r="CK770" s="319"/>
    </row>
    <row r="771" spans="1:89" ht="13.5" hidden="1" customHeight="1">
      <c r="A771" s="12"/>
      <c r="B771" s="329" t="str">
        <f>B886</f>
        <v>Capacidade</v>
      </c>
      <c r="C771" s="29" t="str">
        <f>F1169</f>
        <v>kW</v>
      </c>
      <c r="D771" s="238">
        <f>0.7*R763*D769</f>
        <v>0</v>
      </c>
      <c r="E771" s="526"/>
      <c r="F771" s="1"/>
      <c r="G771" s="1"/>
      <c r="H771" s="1"/>
      <c r="I771" s="1"/>
      <c r="J771" s="29"/>
      <c r="K771" s="9"/>
      <c r="L771" s="1"/>
      <c r="M771" s="319"/>
      <c r="N771" s="319">
        <v>5080090</v>
      </c>
      <c r="O771" s="319"/>
      <c r="P771" s="319"/>
      <c r="Q771" s="319"/>
      <c r="R771" s="319"/>
      <c r="S771" s="319">
        <f>SUM(S759:S770)</f>
        <v>12</v>
      </c>
      <c r="T771" s="476"/>
      <c r="U771" s="476"/>
      <c r="V771" s="849"/>
      <c r="W771" s="476"/>
      <c r="X771" s="476"/>
      <c r="Y771" s="476"/>
      <c r="Z771" s="476"/>
      <c r="AA771" s="476"/>
      <c r="AB771" s="476"/>
      <c r="AC771" s="476"/>
      <c r="AD771" s="476"/>
      <c r="AE771" s="476"/>
      <c r="AF771" s="476"/>
      <c r="AG771" s="476"/>
      <c r="AH771" s="476"/>
      <c r="AI771" s="476"/>
      <c r="AJ771" s="476"/>
      <c r="AK771" s="476"/>
      <c r="AL771" s="476"/>
      <c r="AM771" s="476"/>
      <c r="AN771" s="476"/>
      <c r="AO771" s="476"/>
      <c r="AP771" s="476"/>
      <c r="AQ771" s="476"/>
      <c r="AR771" s="476"/>
      <c r="AS771" s="476"/>
      <c r="AT771" s="476"/>
      <c r="AU771" s="476"/>
      <c r="AV771" s="476"/>
      <c r="AW771" s="476"/>
      <c r="AX771" s="476"/>
      <c r="AY771" s="476"/>
      <c r="AZ771" s="476"/>
      <c r="BA771" s="476"/>
      <c r="BB771" s="476"/>
      <c r="BC771" s="476" t="e">
        <f>OR(BC759:BC770)</f>
        <v>#DIV/0!</v>
      </c>
      <c r="BD771" s="476"/>
      <c r="BE771" s="476"/>
      <c r="BF771" s="476"/>
      <c r="BG771" s="476"/>
      <c r="BH771" s="476"/>
      <c r="BI771" s="494" t="e">
        <f>MIN(BI759:BI770)</f>
        <v>#DIV/0!</v>
      </c>
      <c r="BJ771" s="476" t="e">
        <f>SUM(BJ759:BJ770)/S771</f>
        <v>#DIV/0!</v>
      </c>
      <c r="BK771" s="476"/>
      <c r="BL771" s="476"/>
      <c r="BM771" s="476" t="e">
        <f>SUM(BM759:BM770)</f>
        <v>#DIV/0!</v>
      </c>
      <c r="BN771" s="476" t="e">
        <f>SUM(BN759:BN770)</f>
        <v>#DIV/0!</v>
      </c>
      <c r="BO771" s="319"/>
      <c r="BP771" s="319"/>
      <c r="BQ771" s="319"/>
      <c r="BR771" s="319"/>
      <c r="BS771" s="319"/>
      <c r="BT771" s="319"/>
      <c r="BU771" s="319"/>
      <c r="BV771" s="319"/>
      <c r="BW771" s="319"/>
      <c r="BX771" s="319"/>
      <c r="BY771" s="319"/>
      <c r="BZ771" s="319"/>
      <c r="CA771" s="319"/>
      <c r="CB771" s="319"/>
      <c r="CC771" s="319"/>
      <c r="CD771" s="319"/>
      <c r="CE771" s="319"/>
      <c r="CF771" s="319"/>
      <c r="CG771" s="319"/>
      <c r="CH771" s="319"/>
      <c r="CI771" s="319"/>
      <c r="CJ771" s="319"/>
      <c r="CK771" s="319"/>
    </row>
    <row r="772" spans="1:89" ht="13.5" hidden="1" customHeight="1">
      <c r="A772" s="12"/>
      <c r="B772" s="329" t="str">
        <f>B255</f>
        <v>Perdas diversas</v>
      </c>
      <c r="C772" s="29" t="str">
        <f>$C$254</f>
        <v>%</v>
      </c>
      <c r="D772" s="366"/>
      <c r="E772" s="1"/>
      <c r="F772" s="1"/>
      <c r="G772" s="1"/>
      <c r="H772" s="1"/>
      <c r="I772" s="1"/>
      <c r="J772" s="1"/>
      <c r="K772" s="9"/>
      <c r="L772" s="1"/>
      <c r="M772" s="319"/>
      <c r="N772" s="319">
        <v>5080092</v>
      </c>
      <c r="O772" s="319"/>
      <c r="P772" s="319"/>
      <c r="Q772" s="319"/>
      <c r="R772" s="319"/>
      <c r="S772" s="319"/>
      <c r="T772" s="319"/>
      <c r="U772" s="319" t="s">
        <v>5327</v>
      </c>
      <c r="V772" s="319">
        <f>2*(R760-1)+(2-R760)*(M775-1)+(R760-1)*(M670-1)</f>
        <v>2</v>
      </c>
      <c r="W772" s="319"/>
      <c r="X772" s="319"/>
      <c r="Y772" s="319"/>
      <c r="Z772" s="319"/>
      <c r="AA772" s="319"/>
      <c r="AB772" s="319"/>
      <c r="AC772" s="319"/>
      <c r="AD772" s="319"/>
      <c r="AE772" s="319"/>
      <c r="AF772" s="319"/>
      <c r="AG772" s="319"/>
      <c r="AH772" s="319"/>
      <c r="AI772" s="319"/>
      <c r="AJ772" s="319"/>
      <c r="AK772" s="319"/>
      <c r="AL772" s="319"/>
      <c r="AM772" s="319"/>
      <c r="AN772" s="319"/>
      <c r="AO772" s="319"/>
      <c r="AP772" s="319"/>
      <c r="AQ772" s="319"/>
      <c r="AR772" s="319"/>
      <c r="AS772" s="319"/>
      <c r="AT772" s="319"/>
      <c r="AU772" s="319"/>
      <c r="AV772" s="319"/>
      <c r="AW772" s="319"/>
      <c r="AX772" s="319"/>
      <c r="AY772" s="319"/>
      <c r="AZ772" s="319"/>
      <c r="BA772" s="319"/>
      <c r="BB772" s="319"/>
      <c r="BC772" s="319"/>
      <c r="BD772" s="319"/>
      <c r="BE772" s="319"/>
      <c r="BF772" s="319"/>
      <c r="BG772" s="319"/>
      <c r="BH772" s="319"/>
      <c r="BI772" s="319"/>
      <c r="BJ772" s="319"/>
      <c r="BK772" s="319"/>
      <c r="BL772" s="319"/>
      <c r="BM772" s="319"/>
      <c r="BN772" s="319"/>
      <c r="BO772" s="319"/>
      <c r="BP772" s="319"/>
      <c r="BQ772" s="319"/>
      <c r="BR772" s="319"/>
      <c r="BS772" s="319"/>
      <c r="BT772" s="319"/>
      <c r="BU772" s="319"/>
      <c r="BV772" s="319"/>
      <c r="BW772" s="319"/>
      <c r="BX772" s="319"/>
      <c r="BY772" s="319"/>
      <c r="BZ772" s="319"/>
      <c r="CA772" s="319"/>
      <c r="CB772" s="319"/>
      <c r="CC772" s="319"/>
      <c r="CD772" s="319"/>
      <c r="CE772" s="319"/>
      <c r="CF772" s="319"/>
      <c r="CG772" s="319"/>
      <c r="CH772" s="319"/>
      <c r="CI772" s="319"/>
      <c r="CJ772" s="319"/>
      <c r="CK772" s="319"/>
    </row>
    <row r="773" spans="1:89" ht="13.5" hidden="1" customHeight="1">
      <c r="A773" s="12"/>
      <c r="B773" s="329"/>
      <c r="C773" s="329"/>
      <c r="D773" s="329"/>
      <c r="E773" s="1"/>
      <c r="F773" s="1"/>
      <c r="G773" s="329"/>
      <c r="H773" s="1"/>
      <c r="I773" s="1"/>
      <c r="J773" s="1"/>
      <c r="K773" s="9"/>
      <c r="L773" s="1"/>
      <c r="M773" s="319"/>
      <c r="N773" s="319">
        <v>5080064</v>
      </c>
      <c r="O773" s="319"/>
      <c r="P773" s="319"/>
      <c r="Q773" s="319"/>
      <c r="R773" s="319"/>
      <c r="S773" s="319"/>
      <c r="T773" s="319"/>
      <c r="U773" s="319"/>
      <c r="V773" s="319"/>
      <c r="W773" s="319"/>
      <c r="X773" s="319"/>
      <c r="Y773" s="319"/>
      <c r="Z773" s="319"/>
      <c r="AA773" s="319"/>
      <c r="AB773" s="319"/>
      <c r="AC773" s="319"/>
      <c r="AD773" s="319"/>
      <c r="AE773" s="319"/>
      <c r="AF773" s="319"/>
      <c r="AG773" s="319"/>
      <c r="AH773" s="319"/>
      <c r="AI773" s="319"/>
      <c r="AJ773" s="319"/>
      <c r="AK773" s="319"/>
      <c r="AL773" s="319"/>
      <c r="AM773" s="319"/>
      <c r="AN773" s="319"/>
      <c r="AO773" s="319"/>
      <c r="AP773" s="319"/>
      <c r="AQ773" s="319"/>
      <c r="AR773" s="319"/>
      <c r="AS773" s="319"/>
      <c r="AT773" s="319"/>
      <c r="AU773" s="319"/>
      <c r="AV773" s="319"/>
      <c r="AW773" s="319"/>
      <c r="AX773" s="319"/>
      <c r="AY773" s="319"/>
      <c r="AZ773" s="319"/>
      <c r="BA773" s="319"/>
      <c r="BB773" s="319"/>
      <c r="BC773" s="319"/>
      <c r="BD773" s="319"/>
      <c r="BE773" s="319"/>
      <c r="BF773" s="319"/>
      <c r="BG773" s="319"/>
      <c r="BH773" s="319"/>
      <c r="BI773" s="319"/>
      <c r="BJ773" s="319" t="e">
        <f>IF(V772&gt;1,BJ771,BI771)</f>
        <v>#DIV/0!</v>
      </c>
      <c r="BK773" s="319"/>
      <c r="BL773" s="319"/>
      <c r="BM773" s="319"/>
      <c r="BN773" s="319"/>
      <c r="BO773" s="319"/>
      <c r="BP773" s="319"/>
      <c r="BQ773" s="319"/>
      <c r="BR773" s="319"/>
      <c r="BS773" s="319"/>
      <c r="BT773" s="319"/>
      <c r="BU773" s="319"/>
      <c r="BV773" s="319"/>
      <c r="BW773" s="319"/>
      <c r="BX773" s="319"/>
      <c r="BY773" s="319"/>
      <c r="BZ773" s="319"/>
      <c r="CA773" s="319"/>
      <c r="CB773" s="319"/>
      <c r="CC773" s="319"/>
      <c r="CD773" s="319"/>
      <c r="CE773" s="319"/>
      <c r="CF773" s="319"/>
      <c r="CG773" s="319"/>
      <c r="CH773" s="319"/>
      <c r="CI773" s="319"/>
      <c r="CJ773" s="319"/>
      <c r="CK773" s="319"/>
    </row>
    <row r="774" spans="1:89" ht="13.5" hidden="1" customHeight="1">
      <c r="A774" s="12"/>
      <c r="B774" s="28" t="str">
        <f>Language!C545</f>
        <v>Balanço do sistema e misc.</v>
      </c>
      <c r="C774" s="1"/>
      <c r="D774" s="1"/>
      <c r="E774" s="1"/>
      <c r="F774" s="1"/>
      <c r="G774" s="1"/>
      <c r="H774" s="1"/>
      <c r="I774" s="1"/>
      <c r="J774" s="1"/>
      <c r="K774" s="9"/>
      <c r="L774" s="1"/>
      <c r="M774" s="319"/>
      <c r="N774" s="319">
        <v>5080094</v>
      </c>
      <c r="O774" s="319"/>
      <c r="P774" s="319"/>
      <c r="Q774" s="3" t="b">
        <v>1</v>
      </c>
      <c r="R774" s="319"/>
      <c r="S774" s="319"/>
      <c r="T774" s="319"/>
      <c r="U774" s="319"/>
      <c r="V774" s="319"/>
      <c r="W774" s="319"/>
      <c r="X774" s="319"/>
      <c r="Y774" s="319"/>
      <c r="Z774" s="319"/>
      <c r="AA774" s="319"/>
      <c r="AB774" s="319"/>
      <c r="AC774" s="319"/>
      <c r="AD774" s="319"/>
      <c r="AE774" s="319"/>
      <c r="AF774" s="319"/>
      <c r="AG774" s="319"/>
      <c r="AH774" s="319"/>
      <c r="AI774" s="319"/>
      <c r="AJ774" s="319"/>
      <c r="AK774" s="319"/>
      <c r="AL774" s="319"/>
      <c r="AM774" s="319"/>
      <c r="AN774" s="319"/>
      <c r="AO774" s="319"/>
      <c r="AP774" s="319"/>
      <c r="AQ774" s="319"/>
      <c r="AR774" s="319"/>
      <c r="AS774" s="319"/>
      <c r="AT774" s="319"/>
      <c r="AU774" s="319"/>
      <c r="AV774" s="319"/>
      <c r="AW774" s="319"/>
      <c r="AX774" s="319"/>
      <c r="AY774" s="319"/>
      <c r="AZ774" s="319"/>
      <c r="BA774" s="319"/>
      <c r="BB774" s="319"/>
      <c r="BC774" s="319"/>
      <c r="BD774" s="319"/>
      <c r="BE774" s="319"/>
      <c r="BF774" s="319"/>
      <c r="BG774" s="319"/>
      <c r="BH774" s="319"/>
      <c r="BI774" s="319"/>
      <c r="BJ774" s="319"/>
      <c r="BK774" s="319"/>
      <c r="BL774" s="319"/>
      <c r="BM774" s="319"/>
      <c r="BN774" s="319"/>
      <c r="BO774" s="319"/>
      <c r="BP774" s="319"/>
      <c r="BQ774" s="319"/>
      <c r="BR774" s="319"/>
      <c r="BS774" s="319"/>
      <c r="BT774" s="319"/>
      <c r="BU774" s="319"/>
      <c r="BV774" s="319"/>
      <c r="BW774" s="319"/>
      <c r="BX774" s="319"/>
      <c r="BY774" s="319"/>
      <c r="BZ774" s="319"/>
      <c r="CA774" s="319"/>
      <c r="CB774" s="319"/>
      <c r="CC774" s="319"/>
      <c r="CD774" s="319"/>
      <c r="CE774" s="319"/>
      <c r="CF774" s="319"/>
      <c r="CG774" s="319"/>
      <c r="CH774" s="319"/>
      <c r="CI774" s="319"/>
      <c r="CJ774" s="319"/>
      <c r="CK774" s="319"/>
    </row>
    <row r="775" spans="1:89" ht="13.5" hidden="1" customHeight="1">
      <c r="A775" s="12"/>
      <c r="B775" s="329" t="str">
        <f>Language!C2000</f>
        <v>Armazenamento</v>
      </c>
      <c r="C775" s="1"/>
      <c r="D775" s="303" t="s">
        <v>6131</v>
      </c>
      <c r="E775" s="329"/>
      <c r="F775" s="1"/>
      <c r="G775" s="1"/>
      <c r="H775" s="28"/>
      <c r="I775" s="1"/>
      <c r="J775" s="1"/>
      <c r="K775" s="9"/>
      <c r="L775" s="1"/>
      <c r="M775" s="319">
        <f>IF(D775=B1164,1,2)</f>
        <v>1</v>
      </c>
      <c r="N775" s="319">
        <v>5080096</v>
      </c>
      <c r="O775" s="319"/>
      <c r="P775" s="319"/>
      <c r="Q775" s="319"/>
      <c r="R775" s="319"/>
      <c r="S775" s="319"/>
      <c r="T775" s="319"/>
      <c r="U775" s="319"/>
      <c r="V775" s="319"/>
      <c r="W775" s="319"/>
      <c r="X775" s="319"/>
      <c r="Y775" s="319"/>
      <c r="Z775" s="319"/>
      <c r="AA775" s="319"/>
      <c r="AB775" s="319"/>
      <c r="AC775" s="319"/>
      <c r="AD775" s="319"/>
      <c r="AE775" s="319"/>
      <c r="AF775" s="319"/>
      <c r="AG775" s="319"/>
      <c r="AH775" s="319"/>
      <c r="AI775" s="319"/>
      <c r="AJ775" s="319"/>
      <c r="AK775" s="319"/>
      <c r="AL775" s="319"/>
      <c r="AM775" s="319"/>
      <c r="AN775" s="319"/>
      <c r="AO775" s="319"/>
      <c r="AP775" s="319"/>
      <c r="AQ775" s="319"/>
      <c r="AR775" s="319"/>
      <c r="AS775" s="319"/>
      <c r="AT775" s="319"/>
      <c r="AU775" s="319"/>
      <c r="AV775" s="319"/>
      <c r="AW775" s="319"/>
      <c r="AX775" s="319"/>
      <c r="AY775" s="319"/>
      <c r="AZ775" s="319"/>
      <c r="BA775" s="319"/>
      <c r="BB775" s="319"/>
      <c r="BC775" s="319"/>
      <c r="BD775" s="319"/>
      <c r="BE775" s="319"/>
      <c r="BF775" s="319"/>
      <c r="BG775" s="319"/>
      <c r="BH775" s="319"/>
      <c r="BI775" s="319"/>
      <c r="BJ775" s="319"/>
      <c r="BK775" s="319"/>
      <c r="BL775" s="319"/>
      <c r="BM775" s="319"/>
      <c r="BN775" s="319"/>
      <c r="BO775" s="319"/>
      <c r="BP775" s="319"/>
      <c r="BQ775" s="319"/>
      <c r="BR775" s="319"/>
      <c r="BS775" s="319"/>
      <c r="BT775" s="319"/>
      <c r="BU775" s="319"/>
      <c r="BV775" s="319"/>
      <c r="BW775" s="319"/>
      <c r="BX775" s="319"/>
      <c r="BY775" s="319"/>
      <c r="BZ775" s="319"/>
      <c r="CA775" s="319"/>
      <c r="CB775" s="319"/>
      <c r="CC775" s="319"/>
      <c r="CD775" s="319"/>
      <c r="CE775" s="319"/>
      <c r="CF775" s="319"/>
      <c r="CG775" s="319"/>
      <c r="CH775" s="319"/>
      <c r="CI775" s="319"/>
      <c r="CJ775" s="319"/>
      <c r="CK775" s="319"/>
    </row>
    <row r="776" spans="1:89" ht="13.5" hidden="1" customHeight="1">
      <c r="A776" s="12"/>
      <c r="B776" s="1" t="str">
        <f>Language!C2002</f>
        <v>Capacidade de armazenamento / area do coletor solar</v>
      </c>
      <c r="C776" s="303" t="s">
        <v>4215</v>
      </c>
      <c r="D776" s="307"/>
      <c r="E776" s="329"/>
      <c r="F776" s="1"/>
      <c r="G776" s="1"/>
      <c r="H776" s="1"/>
      <c r="I776" s="1"/>
      <c r="J776" s="329"/>
      <c r="K776" s="9"/>
      <c r="L776" s="1"/>
      <c r="M776" s="319"/>
      <c r="N776" s="319">
        <v>5080098</v>
      </c>
      <c r="O776" s="319"/>
      <c r="P776" s="319"/>
      <c r="Q776" s="319" t="s">
        <v>2569</v>
      </c>
      <c r="R776" s="319">
        <f>D776*IF(C776=F1178,K1205/K1191,1)</f>
        <v>0</v>
      </c>
      <c r="S776" s="319"/>
      <c r="T776" s="319"/>
      <c r="U776" s="319"/>
      <c r="V776" s="319"/>
      <c r="W776" s="319"/>
      <c r="X776" s="319"/>
      <c r="Y776" s="319"/>
      <c r="Z776" s="319"/>
      <c r="AA776" s="319"/>
      <c r="AB776" s="319"/>
      <c r="AC776" s="319"/>
      <c r="AD776" s="319"/>
      <c r="AE776" s="319"/>
      <c r="AF776" s="319"/>
      <c r="AG776" s="319"/>
      <c r="AH776" s="319"/>
      <c r="AI776" s="319"/>
      <c r="AJ776" s="319"/>
      <c r="AK776" s="319"/>
      <c r="AL776" s="319"/>
      <c r="AM776" s="319"/>
      <c r="AN776" s="319"/>
      <c r="AO776" s="319"/>
      <c r="AP776" s="319"/>
      <c r="AQ776" s="319"/>
      <c r="AR776" s="319"/>
      <c r="AS776" s="319"/>
      <c r="AT776" s="319"/>
      <c r="AU776" s="319"/>
      <c r="AV776" s="319"/>
      <c r="AW776" s="319"/>
      <c r="AX776" s="319"/>
      <c r="AY776" s="319"/>
      <c r="AZ776" s="319"/>
      <c r="BA776" s="319"/>
      <c r="BB776" s="319"/>
      <c r="BC776" s="319"/>
      <c r="BD776" s="319"/>
      <c r="BE776" s="319"/>
      <c r="BF776" s="319"/>
      <c r="BG776" s="319"/>
      <c r="BH776" s="319"/>
      <c r="BI776" s="319"/>
      <c r="BJ776" s="319"/>
      <c r="BK776" s="319"/>
      <c r="BL776" s="319"/>
      <c r="BM776" s="319"/>
      <c r="BN776" s="319"/>
      <c r="BO776" s="319"/>
      <c r="BP776" s="319"/>
      <c r="BQ776" s="319"/>
      <c r="BR776" s="319"/>
      <c r="BS776" s="319"/>
      <c r="BT776" s="319"/>
      <c r="BU776" s="319"/>
      <c r="BV776" s="319"/>
      <c r="BW776" s="319"/>
      <c r="BX776" s="319"/>
      <c r="BY776" s="319"/>
      <c r="BZ776" s="319"/>
      <c r="CA776" s="319"/>
      <c r="CB776" s="319"/>
      <c r="CC776" s="319"/>
      <c r="CD776" s="319"/>
      <c r="CE776" s="319"/>
      <c r="CF776" s="319"/>
      <c r="CG776" s="319"/>
      <c r="CH776" s="319"/>
      <c r="CI776" s="319"/>
      <c r="CJ776" s="319"/>
      <c r="CK776" s="319"/>
    </row>
    <row r="777" spans="1:89" ht="13.5" hidden="1" customHeight="1">
      <c r="A777" s="12"/>
      <c r="B777" s="1" t="str">
        <f>Language!C2001</f>
        <v>Capacidade de armazenamento</v>
      </c>
      <c r="C777" s="29" t="str">
        <f>IF(C776=F1178,Language!C1334,Language!C1366)</f>
        <v>L</v>
      </c>
      <c r="D777" s="819">
        <f>R776*R763*D769/IF(C776=F1178,K1205,1)</f>
        <v>0</v>
      </c>
      <c r="E777" s="329"/>
      <c r="F777" s="1"/>
      <c r="G777" s="1"/>
      <c r="H777" s="1"/>
      <c r="I777" s="1"/>
      <c r="J777" s="29"/>
      <c r="K777" s="9"/>
      <c r="L777" s="1"/>
      <c r="M777" s="319"/>
      <c r="N777" s="319">
        <v>5080100</v>
      </c>
      <c r="O777" s="319"/>
      <c r="P777" s="319"/>
      <c r="Q777" s="319"/>
      <c r="R777" s="319"/>
      <c r="S777" s="319"/>
      <c r="T777" s="319"/>
      <c r="U777" s="319"/>
      <c r="V777" s="319"/>
      <c r="W777" s="319"/>
      <c r="X777" s="319"/>
      <c r="Y777" s="319"/>
      <c r="Z777" s="319"/>
      <c r="AA777" s="319"/>
      <c r="AB777" s="319"/>
      <c r="AC777" s="319"/>
      <c r="AD777" s="319"/>
      <c r="AE777" s="319"/>
      <c r="AF777" s="319"/>
      <c r="AG777" s="319"/>
      <c r="AH777" s="319"/>
      <c r="AI777" s="319"/>
      <c r="AJ777" s="319"/>
      <c r="AK777" s="319"/>
      <c r="AL777" s="319"/>
      <c r="AM777" s="319"/>
      <c r="AN777" s="319"/>
      <c r="AO777" s="319"/>
      <c r="AP777" s="319"/>
      <c r="AQ777" s="319"/>
      <c r="AR777" s="319"/>
      <c r="AS777" s="319"/>
      <c r="AT777" s="319"/>
      <c r="AU777" s="319"/>
      <c r="AV777" s="319"/>
      <c r="AW777" s="319"/>
      <c r="AX777" s="319"/>
      <c r="AY777" s="319"/>
      <c r="AZ777" s="319"/>
      <c r="BA777" s="319"/>
      <c r="BB777" s="319"/>
      <c r="BC777" s="319"/>
      <c r="BD777" s="319"/>
      <c r="BE777" s="319"/>
      <c r="BF777" s="319"/>
      <c r="BG777" s="319"/>
      <c r="BH777" s="319"/>
      <c r="BI777" s="319"/>
      <c r="BJ777" s="319"/>
      <c r="BK777" s="319"/>
      <c r="BL777" s="319"/>
      <c r="BM777" s="319"/>
      <c r="BN777" s="319"/>
      <c r="BO777" s="319"/>
      <c r="BP777" s="319"/>
      <c r="BQ777" s="319"/>
      <c r="BR777" s="319"/>
      <c r="BS777" s="319"/>
      <c r="BT777" s="319"/>
      <c r="BU777" s="319"/>
      <c r="BV777" s="319"/>
      <c r="BW777" s="319"/>
      <c r="BX777" s="319"/>
      <c r="BY777" s="319"/>
      <c r="BZ777" s="319"/>
      <c r="CA777" s="319"/>
      <c r="CB777" s="319"/>
      <c r="CC777" s="319"/>
      <c r="CD777" s="319"/>
      <c r="CE777" s="319"/>
      <c r="CF777" s="319"/>
      <c r="CG777" s="319"/>
      <c r="CH777" s="319"/>
      <c r="CI777" s="319"/>
      <c r="CJ777" s="319"/>
      <c r="CK777" s="319"/>
    </row>
    <row r="778" spans="1:89" ht="13.5" hidden="1" customHeight="1">
      <c r="A778" s="12"/>
      <c r="B778" s="329" t="str">
        <f>Language!C1718</f>
        <v>Trocador de calor</v>
      </c>
      <c r="C778" s="29" t="str">
        <f>Language!C1418</f>
        <v>sim/não</v>
      </c>
      <c r="D778" s="310" t="s">
        <v>6132</v>
      </c>
      <c r="E778" s="1"/>
      <c r="F778" s="1"/>
      <c r="G778" s="1"/>
      <c r="H778" s="1"/>
      <c r="I778" s="1"/>
      <c r="J778" s="29"/>
      <c r="K778" s="9"/>
      <c r="L778" s="1"/>
      <c r="M778" s="319"/>
      <c r="N778" s="319">
        <v>5080102</v>
      </c>
      <c r="O778" s="319"/>
      <c r="P778" s="319"/>
      <c r="Q778" s="319"/>
      <c r="R778" s="319"/>
      <c r="S778" s="319"/>
      <c r="T778" s="319"/>
      <c r="U778" s="319"/>
      <c r="V778" s="319"/>
      <c r="W778" s="319"/>
      <c r="X778" s="319"/>
      <c r="Y778" s="319"/>
      <c r="Z778" s="319"/>
      <c r="AA778" s="319"/>
      <c r="AB778" s="319"/>
      <c r="AC778" s="319"/>
      <c r="AD778" s="319"/>
      <c r="AE778" s="319"/>
      <c r="AF778" s="319"/>
      <c r="AG778" s="319"/>
      <c r="AH778" s="319"/>
      <c r="AI778" s="319"/>
      <c r="AJ778" s="319"/>
      <c r="AK778" s="319"/>
      <c r="AL778" s="319"/>
      <c r="AM778" s="319"/>
      <c r="AN778" s="319"/>
      <c r="AO778" s="319"/>
      <c r="AP778" s="319"/>
      <c r="AQ778" s="319"/>
      <c r="AR778" s="319"/>
      <c r="AS778" s="319"/>
      <c r="AT778" s="319"/>
      <c r="AU778" s="319"/>
      <c r="AV778" s="319"/>
      <c r="AW778" s="319"/>
      <c r="AX778" s="319"/>
      <c r="AY778" s="319"/>
      <c r="AZ778" s="319"/>
      <c r="BA778" s="319"/>
      <c r="BB778" s="319"/>
      <c r="BC778" s="319"/>
      <c r="BD778" s="319"/>
      <c r="BE778" s="319"/>
      <c r="BF778" s="319"/>
      <c r="BG778" s="319"/>
      <c r="BH778" s="319"/>
      <c r="BI778" s="319"/>
      <c r="BJ778" s="319"/>
      <c r="BK778" s="319"/>
      <c r="BL778" s="319"/>
      <c r="BM778" s="319"/>
      <c r="BN778" s="319"/>
      <c r="BO778" s="319"/>
      <c r="BP778" s="319"/>
      <c r="BQ778" s="319"/>
      <c r="BR778" s="319"/>
      <c r="BS778" s="319"/>
      <c r="BT778" s="319"/>
      <c r="BU778" s="319"/>
      <c r="BV778" s="319"/>
      <c r="BW778" s="319"/>
      <c r="BX778" s="319"/>
      <c r="BY778" s="319"/>
      <c r="BZ778" s="319"/>
      <c r="CA778" s="319"/>
      <c r="CB778" s="319"/>
      <c r="CC778" s="319"/>
      <c r="CD778" s="319"/>
      <c r="CE778" s="319"/>
      <c r="CF778" s="319"/>
      <c r="CG778" s="319"/>
      <c r="CH778" s="319"/>
      <c r="CI778" s="319"/>
      <c r="CJ778" s="319"/>
      <c r="CK778" s="319"/>
    </row>
    <row r="779" spans="1:89" ht="13.5" hidden="1" customHeight="1">
      <c r="A779" s="12"/>
      <c r="B779" s="329" t="str">
        <f>Language!C1717</f>
        <v>Eficiência do trocador de calor</v>
      </c>
      <c r="C779" s="29" t="str">
        <f>$C$254</f>
        <v>%</v>
      </c>
      <c r="D779" s="366"/>
      <c r="E779" s="1"/>
      <c r="F779" s="1"/>
      <c r="G779" s="1"/>
      <c r="H779" s="329"/>
      <c r="I779" s="1"/>
      <c r="J779" s="329"/>
      <c r="K779" s="9"/>
      <c r="L779" s="1"/>
      <c r="M779" s="319">
        <f>IF(D778=I1182,1,2)</f>
        <v>2</v>
      </c>
      <c r="N779" s="319">
        <v>5080104</v>
      </c>
      <c r="O779" s="319"/>
      <c r="P779" s="319"/>
      <c r="Q779" s="319"/>
      <c r="R779" s="319"/>
      <c r="S779" s="319"/>
      <c r="T779" s="319"/>
      <c r="U779" s="319"/>
      <c r="V779" s="319"/>
      <c r="W779" s="319"/>
      <c r="X779" s="319"/>
      <c r="Y779" s="319"/>
      <c r="Z779" s="319"/>
      <c r="AA779" s="319"/>
      <c r="AB779" s="319"/>
      <c r="AC779" s="319"/>
      <c r="AD779" s="319"/>
      <c r="AE779" s="319"/>
      <c r="AF779" s="319"/>
      <c r="AG779" s="319"/>
      <c r="AH779" s="319"/>
      <c r="AI779" s="319"/>
      <c r="AJ779" s="319"/>
      <c r="AK779" s="319"/>
      <c r="AL779" s="319"/>
      <c r="AM779" s="319"/>
      <c r="AN779" s="319"/>
      <c r="AO779" s="319"/>
      <c r="AP779" s="319"/>
      <c r="AQ779" s="319"/>
      <c r="AR779" s="319"/>
      <c r="AS779" s="319"/>
      <c r="AT779" s="319"/>
      <c r="AU779" s="319"/>
      <c r="AV779" s="319"/>
      <c r="AW779" s="319"/>
      <c r="AX779" s="319"/>
      <c r="AY779" s="319"/>
      <c r="AZ779" s="319"/>
      <c r="BA779" s="319"/>
      <c r="BB779" s="319"/>
      <c r="BC779" s="319"/>
      <c r="BD779" s="319"/>
      <c r="BE779" s="319"/>
      <c r="BF779" s="319"/>
      <c r="BG779" s="319"/>
      <c r="BH779" s="319"/>
      <c r="BI779" s="319"/>
      <c r="BJ779" s="319"/>
      <c r="BK779" s="319"/>
      <c r="BL779" s="319"/>
      <c r="BM779" s="319"/>
      <c r="BN779" s="319"/>
      <c r="BO779" s="319"/>
      <c r="BP779" s="319"/>
      <c r="BQ779" s="319"/>
      <c r="BR779" s="319"/>
      <c r="BS779" s="319"/>
      <c r="BT779" s="319"/>
      <c r="BU779" s="319"/>
      <c r="BV779" s="319"/>
      <c r="BW779" s="319"/>
      <c r="BX779" s="319"/>
      <c r="BY779" s="319"/>
      <c r="BZ779" s="319"/>
      <c r="CA779" s="319"/>
      <c r="CB779" s="319"/>
      <c r="CC779" s="319"/>
      <c r="CD779" s="319"/>
      <c r="CE779" s="319"/>
      <c r="CF779" s="319"/>
      <c r="CG779" s="319"/>
      <c r="CH779" s="319"/>
      <c r="CI779" s="319"/>
      <c r="CJ779" s="319"/>
      <c r="CK779" s="319"/>
    </row>
    <row r="780" spans="1:89" ht="13.5" hidden="1" customHeight="1">
      <c r="A780" s="12"/>
      <c r="B780" s="329" t="str">
        <f>B255</f>
        <v>Perdas diversas</v>
      </c>
      <c r="C780" s="29" t="str">
        <f>$C$254</f>
        <v>%</v>
      </c>
      <c r="D780" s="366"/>
      <c r="E780" s="1"/>
      <c r="F780" s="1"/>
      <c r="G780" s="1"/>
      <c r="H780" s="526"/>
      <c r="I780" s="526"/>
      <c r="J780" s="526"/>
      <c r="K780" s="9"/>
      <c r="L780" s="1"/>
      <c r="M780" s="319"/>
      <c r="N780" s="319">
        <v>5080106</v>
      </c>
      <c r="O780" s="319"/>
      <c r="P780" s="319"/>
      <c r="Q780" s="319"/>
      <c r="R780" s="319"/>
      <c r="S780" s="319"/>
      <c r="T780" s="319"/>
      <c r="U780" s="319"/>
      <c r="V780" s="319"/>
      <c r="W780" s="319"/>
      <c r="X780" s="319"/>
      <c r="Y780" s="319"/>
      <c r="Z780" s="319"/>
      <c r="AA780" s="319"/>
      <c r="AB780" s="319"/>
      <c r="AC780" s="319"/>
      <c r="AD780" s="319"/>
      <c r="AE780" s="319"/>
      <c r="AF780" s="319"/>
      <c r="AG780" s="319"/>
      <c r="AH780" s="319"/>
      <c r="AI780" s="319"/>
      <c r="AJ780" s="319"/>
      <c r="AK780" s="319"/>
      <c r="AL780" s="319"/>
      <c r="AM780" s="319"/>
      <c r="AN780" s="319"/>
      <c r="AO780" s="319"/>
      <c r="AP780" s="319"/>
      <c r="AQ780" s="319"/>
      <c r="AR780" s="319"/>
      <c r="AS780" s="319"/>
      <c r="AT780" s="319"/>
      <c r="AU780" s="319"/>
      <c r="AV780" s="319"/>
      <c r="AW780" s="319"/>
      <c r="AX780" s="319"/>
      <c r="AY780" s="319"/>
      <c r="AZ780" s="319"/>
      <c r="BA780" s="319"/>
      <c r="BB780" s="319"/>
      <c r="BC780" s="319"/>
      <c r="BD780" s="319"/>
      <c r="BE780" s="319"/>
      <c r="BF780" s="319"/>
      <c r="BG780" s="319"/>
      <c r="BH780" s="319"/>
      <c r="BI780" s="319"/>
      <c r="BJ780" s="319"/>
      <c r="BK780" s="319"/>
      <c r="BL780" s="319"/>
      <c r="BM780" s="319"/>
      <c r="BN780" s="319"/>
      <c r="BO780" s="319"/>
      <c r="BP780" s="319"/>
      <c r="BQ780" s="319"/>
      <c r="BR780" s="319"/>
      <c r="BS780" s="319"/>
      <c r="BT780" s="319"/>
      <c r="BU780" s="319"/>
      <c r="BV780" s="319"/>
      <c r="BW780" s="319"/>
      <c r="BX780" s="319"/>
      <c r="BY780" s="319"/>
      <c r="BZ780" s="319"/>
      <c r="CA780" s="319"/>
      <c r="CB780" s="319"/>
      <c r="CC780" s="319"/>
      <c r="CD780" s="319"/>
      <c r="CE780" s="319"/>
      <c r="CF780" s="319"/>
      <c r="CG780" s="319"/>
      <c r="CH780" s="319"/>
      <c r="CI780" s="319"/>
      <c r="CJ780" s="319"/>
      <c r="CK780" s="319"/>
    </row>
    <row r="781" spans="1:89" ht="13.5" hidden="1" customHeight="1">
      <c r="A781" s="12"/>
      <c r="B781" s="329" t="str">
        <f>Language!C1922</f>
        <v>Potência da bomba / área do coletor solar</v>
      </c>
      <c r="C781" s="303" t="s">
        <v>2335</v>
      </c>
      <c r="D781" s="310"/>
      <c r="E781" s="1"/>
      <c r="F781" s="1"/>
      <c r="G781" s="1"/>
      <c r="H781" s="1"/>
      <c r="I781" s="1"/>
      <c r="J781" s="1"/>
      <c r="K781" s="9"/>
      <c r="L781" s="1"/>
      <c r="M781" s="319"/>
      <c r="N781" s="319">
        <v>5080108</v>
      </c>
      <c r="O781" s="319"/>
      <c r="P781" s="319"/>
      <c r="Q781" s="319"/>
      <c r="R781" s="319"/>
      <c r="S781" s="319"/>
      <c r="T781" s="319"/>
      <c r="U781" s="319"/>
      <c r="V781" s="319"/>
      <c r="W781" s="319"/>
      <c r="X781" s="319"/>
      <c r="Y781" s="319"/>
      <c r="Z781" s="319"/>
      <c r="AA781" s="319"/>
      <c r="AB781" s="319"/>
      <c r="AC781" s="319"/>
      <c r="AD781" s="319"/>
      <c r="AE781" s="319"/>
      <c r="AF781" s="319"/>
      <c r="AG781" s="319"/>
      <c r="AH781" s="319"/>
      <c r="AI781" s="319"/>
      <c r="AJ781" s="319"/>
      <c r="AK781" s="319"/>
      <c r="AL781" s="319"/>
      <c r="AM781" s="319"/>
      <c r="AN781" s="319"/>
      <c r="AO781" s="319"/>
      <c r="AP781" s="319"/>
      <c r="AQ781" s="319"/>
      <c r="AR781" s="319"/>
      <c r="AS781" s="319"/>
      <c r="AT781" s="319"/>
      <c r="AU781" s="319"/>
      <c r="AV781" s="319"/>
      <c r="AW781" s="319"/>
      <c r="AX781" s="319"/>
      <c r="AY781" s="319"/>
      <c r="AZ781" s="319"/>
      <c r="BA781" s="319"/>
      <c r="BB781" s="319"/>
      <c r="BC781" s="319"/>
      <c r="BD781" s="319"/>
      <c r="BE781" s="319"/>
      <c r="BF781" s="319"/>
      <c r="BG781" s="319"/>
      <c r="BH781" s="319"/>
      <c r="BI781" s="319"/>
      <c r="BJ781" s="319"/>
      <c r="BK781" s="319"/>
      <c r="BL781" s="319"/>
      <c r="BM781" s="319"/>
      <c r="BN781" s="319"/>
      <c r="BO781" s="319"/>
      <c r="BP781" s="319"/>
      <c r="BQ781" s="319"/>
      <c r="BR781" s="319"/>
      <c r="BS781" s="319"/>
      <c r="BT781" s="319"/>
      <c r="BU781" s="319"/>
      <c r="BV781" s="319"/>
      <c r="BW781" s="319"/>
      <c r="BX781" s="319"/>
      <c r="BY781" s="319"/>
      <c r="BZ781" s="319"/>
      <c r="CA781" s="319"/>
      <c r="CB781" s="319"/>
      <c r="CC781" s="319"/>
      <c r="CD781" s="319"/>
      <c r="CE781" s="319"/>
      <c r="CF781" s="319"/>
      <c r="CG781" s="319"/>
      <c r="CH781" s="319"/>
      <c r="CI781" s="319"/>
      <c r="CJ781" s="319"/>
      <c r="CK781" s="319"/>
    </row>
    <row r="782" spans="1:89" ht="13.5" hidden="1" customHeight="1">
      <c r="A782" s="12"/>
      <c r="B782" s="329" t="str">
        <f>B655</f>
        <v>Preço da eletricidade</v>
      </c>
      <c r="C782" s="29" t="str">
        <f>E9</f>
        <v>€/kWh</v>
      </c>
      <c r="D782" s="399"/>
      <c r="E782" s="1"/>
      <c r="F782" s="1"/>
      <c r="G782" s="1"/>
      <c r="H782" s="1"/>
      <c r="I782" s="1"/>
      <c r="J782" s="1"/>
      <c r="K782" s="9"/>
      <c r="L782" s="1"/>
      <c r="M782" s="319"/>
      <c r="N782" s="319">
        <v>5070083</v>
      </c>
      <c r="O782" s="319"/>
      <c r="P782" s="319"/>
      <c r="Q782" s="319"/>
      <c r="R782" s="319"/>
      <c r="S782" s="319"/>
      <c r="T782" s="319"/>
      <c r="U782" s="319"/>
      <c r="V782" s="319"/>
      <c r="W782" s="319"/>
      <c r="X782" s="319"/>
      <c r="Y782" s="319"/>
      <c r="Z782" s="319"/>
      <c r="AA782" s="319"/>
      <c r="AB782" s="319"/>
      <c r="AC782" s="319"/>
      <c r="AD782" s="319"/>
      <c r="AE782" s="319"/>
      <c r="AF782" s="319"/>
      <c r="AG782" s="319"/>
      <c r="AH782" s="319"/>
      <c r="AI782" s="319"/>
      <c r="AJ782" s="319"/>
      <c r="AK782" s="319"/>
      <c r="AL782" s="319"/>
      <c r="AM782" s="319"/>
      <c r="AN782" s="319"/>
      <c r="AO782" s="319"/>
      <c r="AP782" s="319"/>
      <c r="AQ782" s="319"/>
      <c r="AR782" s="319"/>
      <c r="AS782" s="319"/>
      <c r="AT782" s="319"/>
      <c r="AU782" s="319"/>
      <c r="AV782" s="319"/>
      <c r="AW782" s="319"/>
      <c r="AX782" s="319"/>
      <c r="AY782" s="319"/>
      <c r="AZ782" s="319"/>
      <c r="BA782" s="319"/>
      <c r="BB782" s="319"/>
      <c r="BC782" s="319"/>
      <c r="BD782" s="319"/>
      <c r="BE782" s="319"/>
      <c r="BF782" s="319"/>
      <c r="BG782" s="319"/>
      <c r="BH782" s="319"/>
      <c r="BI782" s="319"/>
      <c r="BJ782" s="319"/>
      <c r="BK782" s="319"/>
      <c r="BL782" s="319"/>
      <c r="BM782" s="319"/>
      <c r="BN782" s="319"/>
      <c r="BO782" s="319"/>
      <c r="BP782" s="319"/>
      <c r="BQ782" s="319"/>
      <c r="BR782" s="319"/>
      <c r="BS782" s="319"/>
      <c r="BT782" s="319"/>
      <c r="BU782" s="319"/>
      <c r="BV782" s="319"/>
      <c r="BW782" s="319"/>
      <c r="BX782" s="319"/>
      <c r="BY782" s="319"/>
      <c r="BZ782" s="319"/>
      <c r="CA782" s="319"/>
      <c r="CB782" s="319"/>
      <c r="CC782" s="319"/>
      <c r="CD782" s="319"/>
      <c r="CE782" s="319"/>
      <c r="CF782" s="319"/>
      <c r="CG782" s="319"/>
      <c r="CH782" s="319"/>
      <c r="CI782" s="319"/>
      <c r="CJ782" s="319"/>
      <c r="CK782" s="319"/>
    </row>
    <row r="783" spans="1:89" ht="13.5" hidden="1" customHeight="1">
      <c r="A783" s="12"/>
      <c r="B783" s="329"/>
      <c r="C783" s="29"/>
      <c r="D783" s="238"/>
      <c r="E783" s="1"/>
      <c r="F783" s="1"/>
      <c r="G783" s="1"/>
      <c r="H783" s="1"/>
      <c r="I783" s="1"/>
      <c r="J783" s="1"/>
      <c r="K783" s="9"/>
      <c r="L783" s="1"/>
      <c r="M783" s="319"/>
      <c r="N783" s="319">
        <v>5080094</v>
      </c>
      <c r="O783" s="319"/>
      <c r="P783" s="319"/>
      <c r="Q783" s="319"/>
      <c r="R783" s="319"/>
      <c r="S783" s="319"/>
      <c r="T783" s="319"/>
      <c r="U783" s="319"/>
      <c r="V783" s="319"/>
      <c r="W783" s="319"/>
      <c r="X783" s="319"/>
      <c r="Y783" s="319"/>
      <c r="Z783" s="319"/>
      <c r="AA783" s="319"/>
      <c r="AB783" s="319"/>
      <c r="AC783" s="319"/>
      <c r="AD783" s="319"/>
      <c r="AE783" s="319"/>
      <c r="AF783" s="319"/>
      <c r="AG783" s="319"/>
      <c r="AH783" s="319"/>
      <c r="AI783" s="319"/>
      <c r="AJ783" s="319"/>
      <c r="AK783" s="319"/>
      <c r="AL783" s="319"/>
      <c r="AM783" s="319"/>
      <c r="AN783" s="319"/>
      <c r="AO783" s="319"/>
      <c r="AP783" s="319"/>
      <c r="AQ783" s="319"/>
      <c r="AR783" s="319"/>
      <c r="AS783" s="319"/>
      <c r="AT783" s="319"/>
      <c r="AU783" s="319"/>
      <c r="AV783" s="319"/>
      <c r="AW783" s="319"/>
      <c r="AX783" s="319"/>
      <c r="AY783" s="319"/>
      <c r="AZ783" s="319"/>
      <c r="BA783" s="319"/>
      <c r="BB783" s="319"/>
      <c r="BC783" s="319"/>
      <c r="BD783" s="319"/>
      <c r="BE783" s="319"/>
      <c r="BF783" s="319"/>
      <c r="BG783" s="319"/>
      <c r="BH783" s="319"/>
      <c r="BI783" s="319"/>
      <c r="BJ783" s="319"/>
      <c r="BK783" s="319"/>
      <c r="BL783" s="319"/>
      <c r="BM783" s="319"/>
      <c r="BN783" s="319"/>
      <c r="BO783" s="319"/>
      <c r="BP783" s="319"/>
      <c r="BQ783" s="319"/>
      <c r="BR783" s="319"/>
      <c r="BS783" s="319"/>
      <c r="BT783" s="319"/>
      <c r="BU783" s="319"/>
      <c r="BV783" s="319"/>
      <c r="BW783" s="319"/>
      <c r="BX783" s="319"/>
      <c r="BY783" s="319"/>
      <c r="BZ783" s="319"/>
      <c r="CA783" s="319"/>
      <c r="CB783" s="319"/>
      <c r="CC783" s="319"/>
      <c r="CD783" s="319"/>
      <c r="CE783" s="319"/>
      <c r="CF783" s="319"/>
      <c r="CG783" s="319"/>
      <c r="CH783" s="319"/>
      <c r="CI783" s="319"/>
      <c r="CJ783" s="319"/>
      <c r="CK783" s="319"/>
    </row>
    <row r="784" spans="1:89" ht="13.5" hidden="1" customHeight="1">
      <c r="A784" s="12"/>
      <c r="B784" s="791" t="str">
        <f>B496</f>
        <v>Resumo</v>
      </c>
      <c r="C784" s="29"/>
      <c r="D784" s="238"/>
      <c r="E784" s="1"/>
      <c r="F784" s="1"/>
      <c r="G784" s="1"/>
      <c r="H784" s="1"/>
      <c r="I784" s="1"/>
      <c r="J784" s="1"/>
      <c r="K784" s="9"/>
      <c r="L784" s="1"/>
      <c r="M784" s="319"/>
      <c r="N784" s="319">
        <v>5080110</v>
      </c>
      <c r="O784" s="319"/>
      <c r="P784" s="319"/>
      <c r="Q784" s="319"/>
      <c r="R784" s="319"/>
      <c r="S784" s="319"/>
      <c r="T784" s="319"/>
      <c r="U784" s="319"/>
      <c r="V784" s="319"/>
      <c r="W784" s="319"/>
      <c r="X784" s="319"/>
      <c r="Y784" s="319"/>
      <c r="Z784" s="319"/>
      <c r="AA784" s="319"/>
      <c r="AB784" s="319"/>
      <c r="AC784" s="319"/>
      <c r="AD784" s="319"/>
      <c r="AE784" s="319"/>
      <c r="AF784" s="319"/>
      <c r="AG784" s="319"/>
      <c r="AH784" s="319"/>
      <c r="AI784" s="319"/>
      <c r="AJ784" s="319"/>
      <c r="AK784" s="319"/>
      <c r="AL784" s="319"/>
      <c r="AM784" s="319"/>
      <c r="AN784" s="319"/>
      <c r="AO784" s="319"/>
      <c r="AP784" s="319"/>
      <c r="AQ784" s="319"/>
      <c r="AR784" s="319"/>
      <c r="AS784" s="319"/>
      <c r="AT784" s="319"/>
      <c r="AU784" s="319"/>
      <c r="AV784" s="319"/>
      <c r="AW784" s="319"/>
      <c r="AX784" s="319"/>
      <c r="AY784" s="319"/>
      <c r="AZ784" s="319"/>
      <c r="BA784" s="319"/>
      <c r="BB784" s="319"/>
      <c r="BC784" s="319"/>
      <c r="BD784" s="319"/>
      <c r="BE784" s="319"/>
      <c r="BF784" s="319"/>
      <c r="BG784" s="319"/>
      <c r="BH784" s="319"/>
      <c r="BI784" s="319"/>
      <c r="BJ784" s="319"/>
      <c r="BK784" s="319"/>
      <c r="BL784" s="319"/>
      <c r="BM784" s="319"/>
      <c r="BN784" s="319"/>
      <c r="BO784" s="319"/>
      <c r="BP784" s="319"/>
      <c r="BQ784" s="319"/>
      <c r="BR784" s="319"/>
      <c r="BS784" s="319"/>
      <c r="BT784" s="319"/>
      <c r="BU784" s="319"/>
      <c r="BV784" s="319"/>
      <c r="BW784" s="319"/>
      <c r="BX784" s="319"/>
      <c r="BY784" s="319"/>
      <c r="BZ784" s="319"/>
      <c r="CA784" s="319"/>
      <c r="CB784" s="319"/>
      <c r="CC784" s="319"/>
      <c r="CD784" s="319"/>
      <c r="CE784" s="319"/>
      <c r="CF784" s="319"/>
      <c r="CG784" s="319"/>
      <c r="CH784" s="319"/>
      <c r="CI784" s="319"/>
      <c r="CJ784" s="319"/>
      <c r="CK784" s="319"/>
    </row>
    <row r="785" spans="1:89" ht="13.2" hidden="1">
      <c r="A785" s="12"/>
      <c r="B785" s="329" t="str">
        <f>Language!C1629</f>
        <v>Demanda de eletricidade - bomba</v>
      </c>
      <c r="C785" s="29" t="str">
        <f>$J$1184</f>
        <v>MWh</v>
      </c>
      <c r="D785" s="754">
        <f>IF(ISERROR(D781*(D769*R763)*BN771/1000000),0,IF(C781=J1202,1/K1191,1)*D781*(D769*R763)*BN771/1000000)</f>
        <v>0</v>
      </c>
      <c r="E785" s="1"/>
      <c r="F785" s="1"/>
      <c r="G785" s="1"/>
      <c r="H785" s="1"/>
      <c r="I785" s="1"/>
      <c r="J785" s="1"/>
      <c r="K785" s="9"/>
      <c r="L785" s="1"/>
      <c r="M785" s="319">
        <f>IF(D785=0,15,25)</f>
        <v>15</v>
      </c>
      <c r="N785" s="319">
        <v>5080114</v>
      </c>
      <c r="O785" s="319"/>
      <c r="P785" s="319"/>
      <c r="Q785" s="319"/>
      <c r="R785" s="319"/>
      <c r="S785" s="319"/>
      <c r="T785" s="319"/>
      <c r="U785" s="319"/>
      <c r="V785" s="319"/>
      <c r="W785" s="319"/>
      <c r="X785" s="319"/>
      <c r="Y785" s="319"/>
      <c r="Z785" s="319"/>
      <c r="AA785" s="319"/>
      <c r="AB785" s="319"/>
      <c r="AC785" s="319"/>
      <c r="AD785" s="319"/>
      <c r="AE785" s="319"/>
      <c r="AF785" s="319"/>
      <c r="AG785" s="319"/>
      <c r="AH785" s="319"/>
      <c r="AI785" s="319"/>
      <c r="AJ785" s="319"/>
      <c r="AK785" s="319"/>
      <c r="AL785" s="319"/>
      <c r="AM785" s="319"/>
      <c r="AN785" s="319"/>
      <c r="AO785" s="319"/>
      <c r="AP785" s="319"/>
      <c r="AQ785" s="319"/>
      <c r="AR785" s="319"/>
      <c r="AS785" s="319"/>
      <c r="AT785" s="319"/>
      <c r="AU785" s="319"/>
      <c r="AV785" s="319"/>
      <c r="AW785" s="319"/>
      <c r="AX785" s="319"/>
      <c r="AY785" s="319"/>
      <c r="AZ785" s="319"/>
      <c r="BA785" s="319"/>
      <c r="BB785" s="319"/>
      <c r="BC785" s="319"/>
      <c r="BD785" s="319"/>
      <c r="BE785" s="319"/>
      <c r="BF785" s="319"/>
      <c r="BG785" s="319"/>
      <c r="BH785" s="319"/>
      <c r="BI785" s="319"/>
      <c r="BJ785" s="319"/>
      <c r="BK785" s="319"/>
      <c r="BL785" s="319"/>
      <c r="BM785" s="319"/>
      <c r="BN785" s="319"/>
      <c r="BO785" s="319"/>
      <c r="BP785" s="319"/>
      <c r="BQ785" s="319"/>
      <c r="BR785" s="319"/>
      <c r="BS785" s="319"/>
      <c r="BT785" s="319"/>
      <c r="BU785" s="319"/>
      <c r="BV785" s="319"/>
      <c r="BW785" s="319"/>
      <c r="BX785" s="319"/>
      <c r="BY785" s="319"/>
      <c r="BZ785" s="319"/>
      <c r="CA785" s="319"/>
      <c r="CB785" s="319"/>
      <c r="CC785" s="319"/>
      <c r="CD785" s="319"/>
      <c r="CE785" s="319"/>
      <c r="CF785" s="319"/>
      <c r="CG785" s="319"/>
      <c r="CH785" s="319"/>
      <c r="CI785" s="319"/>
      <c r="CJ785" s="319"/>
      <c r="CK785" s="319"/>
    </row>
    <row r="786" spans="1:89" ht="13.5" hidden="1" customHeight="1">
      <c r="A786" s="12"/>
      <c r="B786" s="329" t="str">
        <f>Language!C203</f>
        <v>Calor fornecido</v>
      </c>
      <c r="C786" s="29" t="str">
        <f>C577</f>
        <v>MWh</v>
      </c>
      <c r="D786" s="754">
        <f>IF(ISERROR(BM771),0,BM771/3600)*IF(Unit=TRUE,1,$K$1185)</f>
        <v>0</v>
      </c>
      <c r="E786" s="1"/>
      <c r="F786" s="1"/>
      <c r="G786" s="1"/>
      <c r="H786" s="1"/>
      <c r="I786" s="1"/>
      <c r="J786" s="1"/>
      <c r="K786" s="9"/>
      <c r="L786" s="1"/>
      <c r="M786" s="319"/>
      <c r="N786" s="319">
        <v>5080116</v>
      </c>
      <c r="O786" s="319"/>
      <c r="P786" s="319"/>
      <c r="Q786" s="319"/>
      <c r="R786" s="319"/>
      <c r="S786" s="319"/>
      <c r="T786" s="319"/>
      <c r="U786" s="319"/>
      <c r="V786" s="319"/>
      <c r="W786" s="319"/>
      <c r="X786" s="319"/>
      <c r="Y786" s="319"/>
      <c r="Z786" s="319"/>
      <c r="AA786" s="319"/>
      <c r="AB786" s="319"/>
      <c r="AC786" s="319"/>
      <c r="AD786" s="319"/>
      <c r="AE786" s="319"/>
      <c r="AF786" s="319"/>
      <c r="AG786" s="319"/>
      <c r="AH786" s="319"/>
      <c r="AI786" s="319"/>
      <c r="AJ786" s="319"/>
      <c r="AK786" s="319"/>
      <c r="AL786" s="319"/>
      <c r="AM786" s="319"/>
      <c r="AN786" s="319"/>
      <c r="AO786" s="319"/>
      <c r="AP786" s="319"/>
      <c r="AQ786" s="319"/>
      <c r="AR786" s="319"/>
      <c r="AS786" s="319"/>
      <c r="AT786" s="319"/>
      <c r="AU786" s="319"/>
      <c r="AV786" s="319"/>
      <c r="AW786" s="319"/>
      <c r="AX786" s="319"/>
      <c r="AY786" s="319"/>
      <c r="AZ786" s="319"/>
      <c r="BA786" s="319"/>
      <c r="BB786" s="319"/>
      <c r="BC786" s="319"/>
      <c r="BD786" s="319"/>
      <c r="BE786" s="319"/>
      <c r="BF786" s="319"/>
      <c r="BG786" s="319"/>
      <c r="BH786" s="319"/>
      <c r="BI786" s="319"/>
      <c r="BJ786" s="319"/>
      <c r="BK786" s="319"/>
      <c r="BL786" s="319"/>
      <c r="BM786" s="319"/>
      <c r="BN786" s="319"/>
      <c r="BO786" s="319"/>
      <c r="BP786" s="319"/>
      <c r="BQ786" s="319"/>
      <c r="BR786" s="319"/>
      <c r="BS786" s="319"/>
      <c r="BT786" s="319"/>
      <c r="BU786" s="319"/>
      <c r="BV786" s="319"/>
      <c r="BW786" s="319"/>
      <c r="BX786" s="319"/>
      <c r="BY786" s="319"/>
      <c r="BZ786" s="319"/>
      <c r="CA786" s="319"/>
      <c r="CB786" s="319"/>
      <c r="CC786" s="319"/>
      <c r="CD786" s="319"/>
      <c r="CE786" s="319"/>
      <c r="CF786" s="319"/>
      <c r="CG786" s="319"/>
      <c r="CH786" s="319"/>
      <c r="CI786" s="319"/>
      <c r="CJ786" s="319"/>
      <c r="CK786" s="319"/>
    </row>
    <row r="787" spans="1:89" ht="13.5" hidden="1" customHeight="1">
      <c r="A787" s="12"/>
      <c r="B787" s="1" t="str">
        <f>Language!C1989</f>
        <v>Fração solar</v>
      </c>
      <c r="C787" s="29" t="str">
        <f>$C$254</f>
        <v>%</v>
      </c>
      <c r="D787" s="126" t="str">
        <f>IF(Q664=TRUE,IF(S697&gt;0,BM771/3600/S697,"-"),IF(S730&gt;0,BM771/3600/S730,"-"))</f>
        <v>-</v>
      </c>
      <c r="E787" s="8"/>
      <c r="F787" s="1"/>
      <c r="G787" s="1"/>
      <c r="H787" s="1"/>
      <c r="I787" s="1"/>
      <c r="J787" s="1"/>
      <c r="K787" s="9"/>
      <c r="L787" s="1"/>
      <c r="M787" s="319"/>
      <c r="N787" s="319">
        <v>5080118</v>
      </c>
      <c r="O787" s="319"/>
      <c r="P787" s="319"/>
      <c r="Q787" s="319"/>
      <c r="R787" s="319"/>
      <c r="S787" s="319"/>
      <c r="T787" s="319"/>
      <c r="U787" s="319"/>
      <c r="V787" s="319"/>
      <c r="W787" s="319"/>
      <c r="X787" s="319"/>
      <c r="Y787" s="319"/>
      <c r="Z787" s="319"/>
      <c r="AA787" s="319"/>
      <c r="AB787" s="319"/>
      <c r="AC787" s="319"/>
      <c r="AD787" s="319"/>
      <c r="AE787" s="319"/>
      <c r="AF787" s="319"/>
      <c r="AG787" s="319"/>
      <c r="AH787" s="319"/>
      <c r="AI787" s="319"/>
      <c r="AJ787" s="319"/>
      <c r="AK787" s="319"/>
      <c r="AL787" s="319"/>
      <c r="AM787" s="319"/>
      <c r="AN787" s="319"/>
      <c r="AO787" s="319"/>
      <c r="AP787" s="319"/>
      <c r="AQ787" s="319"/>
      <c r="AR787" s="319"/>
      <c r="AS787" s="319"/>
      <c r="AT787" s="319"/>
      <c r="AU787" s="319"/>
      <c r="AV787" s="319"/>
      <c r="AW787" s="319"/>
      <c r="AX787" s="319"/>
      <c r="AY787" s="319"/>
      <c r="AZ787" s="319"/>
      <c r="BA787" s="319"/>
      <c r="BB787" s="319"/>
      <c r="BC787" s="319"/>
      <c r="BD787" s="319"/>
      <c r="BE787" s="319"/>
      <c r="BF787" s="319"/>
      <c r="BG787" s="319"/>
      <c r="BH787" s="319"/>
      <c r="BI787" s="319"/>
      <c r="BJ787" s="319"/>
      <c r="BK787" s="319"/>
      <c r="BL787" s="319"/>
      <c r="BM787" s="319"/>
      <c r="BN787" s="319"/>
      <c r="BO787" s="319"/>
      <c r="BP787" s="319"/>
      <c r="BQ787" s="319"/>
      <c r="BR787" s="319"/>
      <c r="BS787" s="319"/>
      <c r="BT787" s="319"/>
      <c r="BU787" s="319"/>
      <c r="BV787" s="319"/>
      <c r="BW787" s="319"/>
      <c r="BX787" s="319"/>
      <c r="BY787" s="319"/>
      <c r="BZ787" s="319"/>
      <c r="CA787" s="319"/>
      <c r="CB787" s="319"/>
      <c r="CC787" s="319"/>
      <c r="CD787" s="319"/>
      <c r="CE787" s="319"/>
      <c r="CF787" s="319"/>
      <c r="CG787" s="319"/>
      <c r="CH787" s="319"/>
      <c r="CI787" s="319"/>
      <c r="CJ787" s="319"/>
      <c r="CK787" s="319"/>
    </row>
    <row r="788" spans="1:89" ht="13.5" hidden="1" customHeight="1">
      <c r="A788" s="12"/>
      <c r="B788" s="329"/>
      <c r="C788" s="329"/>
      <c r="D788" s="329"/>
      <c r="E788" s="8"/>
      <c r="F788" s="8"/>
      <c r="G788" s="8"/>
      <c r="H788" s="8"/>
      <c r="I788" s="8"/>
      <c r="J788" s="8"/>
      <c r="K788" s="9"/>
      <c r="L788" s="1"/>
      <c r="M788" s="319"/>
      <c r="N788" s="319">
        <v>13200</v>
      </c>
      <c r="O788" s="319"/>
      <c r="P788" s="319"/>
      <c r="Q788" s="319"/>
      <c r="R788" s="319"/>
      <c r="S788" s="319"/>
      <c r="T788" s="319"/>
      <c r="U788" s="319"/>
      <c r="V788" s="319"/>
      <c r="W788" s="319"/>
      <c r="X788" s="319"/>
      <c r="Y788" s="319"/>
      <c r="Z788" s="319"/>
      <c r="AA788" s="319"/>
      <c r="AB788" s="319"/>
      <c r="AC788" s="319"/>
      <c r="AD788" s="319"/>
      <c r="AE788" s="319"/>
      <c r="AF788" s="319"/>
      <c r="AG788" s="319"/>
      <c r="AH788" s="319"/>
      <c r="AI788" s="319"/>
      <c r="AJ788" s="319"/>
      <c r="AK788" s="319"/>
      <c r="AL788" s="319"/>
      <c r="AM788" s="319"/>
      <c r="AN788" s="319"/>
      <c r="AO788" s="319"/>
      <c r="AP788" s="319"/>
      <c r="AQ788" s="319"/>
      <c r="AR788" s="319"/>
      <c r="AS788" s="319"/>
      <c r="AT788" s="319"/>
      <c r="AU788" s="319"/>
      <c r="AV788" s="319"/>
      <c r="AW788" s="319"/>
      <c r="AX788" s="319"/>
      <c r="AY788" s="319"/>
      <c r="AZ788" s="319"/>
      <c r="BA788" s="319"/>
      <c r="BB788" s="319"/>
      <c r="BC788" s="319"/>
      <c r="BD788" s="319"/>
      <c r="BE788" s="319"/>
      <c r="BF788" s="319"/>
      <c r="BG788" s="319"/>
      <c r="BH788" s="319"/>
      <c r="BI788" s="319"/>
      <c r="BJ788" s="319"/>
      <c r="BK788" s="319"/>
      <c r="BL788" s="319"/>
      <c r="BM788" s="319"/>
      <c r="BN788" s="319"/>
      <c r="BO788" s="319"/>
      <c r="BP788" s="319"/>
      <c r="BQ788" s="319"/>
      <c r="BR788" s="319"/>
      <c r="BS788" s="319"/>
      <c r="BT788" s="319"/>
      <c r="BU788" s="319"/>
      <c r="BV788" s="319"/>
      <c r="BW788" s="319"/>
      <c r="BX788" s="319"/>
      <c r="BY788" s="319"/>
      <c r="BZ788" s="319"/>
      <c r="CA788" s="319"/>
      <c r="CB788" s="319"/>
      <c r="CC788" s="319"/>
      <c r="CD788" s="319"/>
      <c r="CE788" s="319"/>
      <c r="CF788" s="319"/>
      <c r="CG788" s="319"/>
      <c r="CH788" s="319"/>
      <c r="CI788" s="319"/>
      <c r="CJ788" s="319"/>
      <c r="CK788" s="319"/>
    </row>
    <row r="789" spans="1:89" ht="13.5" hidden="1" customHeight="1">
      <c r="A789" s="12"/>
      <c r="B789" s="8"/>
      <c r="C789" s="8"/>
      <c r="D789" s="8"/>
      <c r="E789" s="8"/>
      <c r="F789" s="8"/>
      <c r="G789" s="8"/>
      <c r="H789" s="8"/>
      <c r="I789" s="8"/>
      <c r="J789" s="8"/>
      <c r="K789" s="9"/>
      <c r="L789" s="1"/>
      <c r="M789" s="319"/>
      <c r="N789" s="319">
        <v>13200</v>
      </c>
      <c r="O789" s="319"/>
      <c r="P789" s="319"/>
      <c r="Q789" s="319"/>
      <c r="R789" s="319"/>
      <c r="S789" s="319"/>
      <c r="T789" s="319"/>
      <c r="U789" s="319"/>
      <c r="V789" s="319"/>
      <c r="W789" s="319"/>
      <c r="X789" s="319"/>
      <c r="Y789" s="319"/>
      <c r="Z789" s="319"/>
      <c r="AA789" s="319"/>
      <c r="AB789" s="319"/>
      <c r="AC789" s="319"/>
      <c r="AD789" s="319"/>
      <c r="AE789" s="319"/>
      <c r="AF789" s="319"/>
      <c r="AG789" s="319"/>
      <c r="AH789" s="319"/>
      <c r="AI789" s="319"/>
      <c r="AJ789" s="319"/>
      <c r="AK789" s="319"/>
      <c r="AL789" s="319"/>
      <c r="AM789" s="319"/>
      <c r="AN789" s="319"/>
      <c r="AO789" s="319"/>
      <c r="AP789" s="319"/>
      <c r="AQ789" s="319"/>
      <c r="AR789" s="319"/>
      <c r="AS789" s="319"/>
      <c r="AT789" s="319"/>
      <c r="AU789" s="319"/>
      <c r="AV789" s="319"/>
      <c r="AW789" s="319"/>
      <c r="AX789" s="319"/>
      <c r="AY789" s="319"/>
      <c r="AZ789" s="319"/>
      <c r="BA789" s="319"/>
      <c r="BB789" s="319"/>
      <c r="BC789" s="319"/>
      <c r="BD789" s="319"/>
      <c r="BE789" s="319"/>
      <c r="BF789" s="319"/>
      <c r="BG789" s="319"/>
      <c r="BH789" s="319"/>
      <c r="BI789" s="319"/>
      <c r="BJ789" s="319"/>
      <c r="BK789" s="319"/>
      <c r="BL789" s="319"/>
      <c r="BM789" s="319"/>
      <c r="BN789" s="319"/>
      <c r="BO789" s="319"/>
      <c r="BP789" s="319"/>
      <c r="BQ789" s="319"/>
      <c r="BR789" s="319"/>
      <c r="BS789" s="319"/>
      <c r="BT789" s="319"/>
      <c r="BU789" s="319"/>
      <c r="BV789" s="319"/>
      <c r="BW789" s="319"/>
      <c r="BX789" s="319"/>
      <c r="BY789" s="319"/>
      <c r="BZ789" s="319"/>
      <c r="CA789" s="319"/>
      <c r="CB789" s="319"/>
      <c r="CC789" s="319"/>
      <c r="CD789" s="319"/>
      <c r="CE789" s="319"/>
      <c r="CF789" s="319"/>
      <c r="CG789" s="319"/>
      <c r="CH789" s="319"/>
      <c r="CI789" s="319"/>
      <c r="CJ789" s="319"/>
      <c r="CK789" s="319"/>
    </row>
    <row r="790" spans="1:89" ht="13.5" hidden="1" customHeight="1">
      <c r="A790" s="15"/>
      <c r="B790" s="15"/>
      <c r="C790" s="15"/>
      <c r="D790" s="15"/>
      <c r="E790" s="15"/>
      <c r="F790" s="15"/>
      <c r="G790" s="15"/>
      <c r="H790" s="15"/>
      <c r="I790" s="15"/>
      <c r="J790" s="15"/>
      <c r="K790" s="15"/>
      <c r="L790" s="1"/>
      <c r="M790" s="319"/>
      <c r="N790" s="319">
        <v>2000000</v>
      </c>
      <c r="O790" s="319"/>
      <c r="P790" s="319"/>
      <c r="Q790" s="319"/>
      <c r="R790" s="319"/>
      <c r="S790" s="319"/>
      <c r="T790" s="319"/>
      <c r="U790" s="319"/>
      <c r="V790" s="319"/>
      <c r="W790" s="319"/>
      <c r="X790" s="319"/>
      <c r="Y790" s="319"/>
      <c r="Z790" s="319"/>
      <c r="AA790" s="319"/>
      <c r="AB790" s="319"/>
      <c r="AC790" s="319"/>
      <c r="AD790" s="319"/>
      <c r="AE790" s="319"/>
      <c r="AF790" s="319"/>
      <c r="AG790" s="319"/>
      <c r="AH790" s="319"/>
      <c r="AI790" s="319"/>
      <c r="AJ790" s="319"/>
      <c r="AK790" s="319"/>
      <c r="AL790" s="319"/>
      <c r="AM790" s="319"/>
      <c r="AN790" s="319"/>
      <c r="AO790" s="319"/>
      <c r="AP790" s="319"/>
      <c r="AQ790" s="319"/>
      <c r="AR790" s="319"/>
      <c r="AS790" s="319"/>
      <c r="AT790" s="319"/>
      <c r="AU790" s="319"/>
      <c r="AV790" s="319"/>
      <c r="AW790" s="319"/>
      <c r="AX790" s="319"/>
      <c r="AY790" s="319"/>
      <c r="AZ790" s="319"/>
      <c r="BA790" s="319"/>
      <c r="BB790" s="319"/>
      <c r="BC790" s="319"/>
      <c r="BD790" s="319"/>
      <c r="BE790" s="319"/>
      <c r="BF790" s="319"/>
      <c r="BG790" s="319"/>
      <c r="BH790" s="319"/>
      <c r="BI790" s="319"/>
      <c r="BJ790" s="319"/>
      <c r="BK790" s="319"/>
      <c r="BL790" s="319"/>
      <c r="BM790" s="319"/>
      <c r="BN790" s="319"/>
      <c r="BO790" s="319"/>
      <c r="BP790" s="319"/>
      <c r="BQ790" s="319"/>
      <c r="BR790" s="319"/>
      <c r="BS790" s="319"/>
      <c r="BT790" s="319"/>
      <c r="BU790" s="319"/>
      <c r="BV790" s="319"/>
      <c r="BW790" s="319"/>
      <c r="BX790" s="319"/>
      <c r="BY790" s="319"/>
      <c r="BZ790" s="319"/>
      <c r="CA790" s="319"/>
      <c r="CB790" s="319"/>
      <c r="CC790" s="319"/>
      <c r="CD790" s="319"/>
      <c r="CE790" s="319"/>
      <c r="CF790" s="319"/>
      <c r="CG790" s="319"/>
      <c r="CH790" s="319"/>
      <c r="CI790" s="319"/>
      <c r="CJ790" s="319"/>
      <c r="CK790" s="319"/>
    </row>
    <row r="791" spans="1:89" ht="13.5" hidden="1" customHeight="1">
      <c r="A791" s="1203" t="str">
        <f>Language!C1641</f>
        <v>Seleção dos equipamentos</v>
      </c>
      <c r="B791" s="1204"/>
      <c r="C791" s="964"/>
      <c r="D791" s="964"/>
      <c r="E791" s="964"/>
      <c r="F791" s="964"/>
      <c r="G791" s="964"/>
      <c r="H791" s="964"/>
      <c r="I791" s="964"/>
      <c r="J791" s="964"/>
      <c r="K791" s="966"/>
      <c r="L791" s="1"/>
      <c r="M791" s="319"/>
      <c r="N791" s="319">
        <v>2000000</v>
      </c>
      <c r="O791" s="319"/>
      <c r="P791" s="319"/>
      <c r="Q791" s="319"/>
      <c r="R791" s="319"/>
      <c r="S791" s="319"/>
      <c r="T791" s="319"/>
      <c r="U791" s="319"/>
      <c r="V791" s="319"/>
      <c r="W791" s="319"/>
      <c r="X791" s="319"/>
      <c r="Y791" s="319"/>
      <c r="Z791" s="319"/>
      <c r="AA791" s="319"/>
      <c r="AB791" s="319"/>
      <c r="AC791" s="319"/>
      <c r="AD791" s="319"/>
      <c r="AE791" s="319"/>
      <c r="AF791" s="319"/>
      <c r="AG791" s="319"/>
      <c r="AH791" s="319"/>
      <c r="AI791" s="319"/>
      <c r="AJ791" s="319"/>
      <c r="AK791" s="319"/>
      <c r="AL791" s="319"/>
      <c r="AM791" s="319"/>
      <c r="AN791" s="319"/>
      <c r="AO791" s="319"/>
      <c r="AP791" s="319"/>
      <c r="AQ791" s="319"/>
      <c r="AR791" s="319"/>
      <c r="AS791" s="319"/>
      <c r="AT791" s="319"/>
      <c r="AU791" s="319"/>
      <c r="AV791" s="319"/>
      <c r="AW791" s="319"/>
      <c r="AX791" s="319"/>
      <c r="AY791" s="319"/>
      <c r="AZ791" s="319"/>
      <c r="BA791" s="319"/>
      <c r="BB791" s="319"/>
      <c r="BC791" s="319"/>
      <c r="BD791" s="319"/>
      <c r="BE791" s="319"/>
      <c r="BF791" s="319"/>
      <c r="BG791" s="319"/>
      <c r="BH791" s="319"/>
      <c r="BI791" s="319"/>
      <c r="BJ791" s="319"/>
      <c r="BK791" s="319"/>
      <c r="BL791" s="319"/>
      <c r="BM791" s="319"/>
      <c r="BN791" s="319"/>
      <c r="BO791" s="319"/>
      <c r="BP791" s="319"/>
      <c r="BQ791" s="319"/>
      <c r="BR791" s="319"/>
      <c r="BS791" s="319"/>
      <c r="BT791" s="319"/>
      <c r="BU791" s="319"/>
      <c r="BV791" s="319"/>
      <c r="BW791" s="319"/>
      <c r="BX791" s="319"/>
      <c r="BY791" s="319"/>
      <c r="BZ791" s="319"/>
      <c r="CA791" s="319"/>
      <c r="CB791" s="319"/>
      <c r="CC791" s="319"/>
      <c r="CD791" s="319"/>
      <c r="CE791" s="319"/>
      <c r="CF791" s="319"/>
      <c r="CG791" s="319"/>
      <c r="CH791" s="319"/>
      <c r="CI791" s="319"/>
      <c r="CJ791" s="319"/>
      <c r="CK791" s="319"/>
    </row>
    <row r="792" spans="1:89" ht="12.75" hidden="1" customHeight="1">
      <c r="A792" s="12"/>
      <c r="B792" s="28" t="str">
        <f>Language!C1283</f>
        <v>Sistema de Aquecimento</v>
      </c>
      <c r="C792" s="1"/>
      <c r="D792" s="1"/>
      <c r="E792" s="1"/>
      <c r="F792" s="1"/>
      <c r="G792" s="1"/>
      <c r="H792" s="1"/>
      <c r="I792" s="1"/>
      <c r="J792" s="1"/>
      <c r="K792" s="9"/>
      <c r="L792" s="1"/>
      <c r="M792" s="319"/>
      <c r="N792" s="319">
        <v>5090000</v>
      </c>
      <c r="O792" s="319"/>
      <c r="P792" s="319"/>
      <c r="Q792" s="3" t="b">
        <v>0</v>
      </c>
      <c r="R792" s="3" t="b">
        <v>0</v>
      </c>
      <c r="S792" s="319"/>
      <c r="T792" s="319"/>
      <c r="U792" s="319"/>
      <c r="V792" s="319"/>
      <c r="W792" s="319"/>
      <c r="X792" s="319"/>
      <c r="Y792" s="319"/>
      <c r="Z792" s="319"/>
      <c r="AA792" s="319"/>
      <c r="AB792" s="319"/>
      <c r="AC792" s="319"/>
      <c r="AD792" s="319"/>
      <c r="AE792" s="319"/>
      <c r="AF792" s="319"/>
      <c r="AG792" s="319"/>
      <c r="AH792" s="319"/>
      <c r="AI792" s="319"/>
      <c r="AJ792" s="319"/>
      <c r="AK792" s="319"/>
      <c r="AL792" s="319"/>
      <c r="AM792" s="319"/>
      <c r="AN792" s="319"/>
      <c r="AO792" s="319"/>
      <c r="AP792" s="319"/>
      <c r="AQ792" s="319"/>
      <c r="AR792" s="319"/>
      <c r="AS792" s="319"/>
      <c r="AT792" s="319"/>
      <c r="AU792" s="319"/>
      <c r="AV792" s="319"/>
      <c r="AW792" s="319"/>
      <c r="AX792" s="319"/>
      <c r="AY792" s="319"/>
      <c r="AZ792" s="319"/>
      <c r="BA792" s="319"/>
      <c r="BB792" s="319"/>
      <c r="BC792" s="319"/>
      <c r="BD792" s="319"/>
      <c r="BE792" s="319"/>
      <c r="BF792" s="319"/>
      <c r="BG792" s="319"/>
      <c r="BH792" s="319"/>
      <c r="BI792" s="319"/>
      <c r="BJ792" s="319"/>
      <c r="BK792" s="319"/>
      <c r="BL792" s="319"/>
      <c r="BM792" s="319"/>
      <c r="BN792" s="319"/>
      <c r="BO792" s="319"/>
      <c r="BP792" s="319"/>
      <c r="BQ792" s="319"/>
      <c r="BR792" s="319"/>
      <c r="BS792" s="319"/>
      <c r="BT792" s="319"/>
      <c r="BU792" s="319"/>
      <c r="BV792" s="319"/>
      <c r="BW792" s="319"/>
      <c r="BX792" s="319"/>
      <c r="BY792" s="319"/>
      <c r="BZ792" s="319"/>
      <c r="CA792" s="319"/>
      <c r="CB792" s="319"/>
      <c r="CC792" s="319"/>
      <c r="CD792" s="319"/>
      <c r="CE792" s="319"/>
      <c r="CF792" s="319"/>
      <c r="CG792" s="319"/>
      <c r="CH792" s="319"/>
      <c r="CI792" s="319"/>
      <c r="CJ792" s="319"/>
      <c r="CK792" s="319"/>
    </row>
    <row r="793" spans="1:89" ht="25.5" hidden="1" customHeight="1">
      <c r="A793" s="1009" t="s">
        <v>4189</v>
      </c>
      <c r="B793" s="972" t="str">
        <f>B163</f>
        <v>Verificação do projeto</v>
      </c>
      <c r="C793" s="1"/>
      <c r="D793" s="82" t="str">
        <f>D221</f>
        <v>Caso de referência</v>
      </c>
      <c r="E793" s="82" t="str">
        <f>E221</f>
        <v>Caso proposto</v>
      </c>
      <c r="F793" s="82" t="str">
        <f>$F$576</f>
        <v>Economia de energia</v>
      </c>
      <c r="G793" s="82"/>
      <c r="H793" s="1"/>
      <c r="I793" s="1"/>
      <c r="J793" s="1"/>
      <c r="K793" s="9"/>
      <c r="L793" s="1"/>
      <c r="M793" s="319"/>
      <c r="N793" s="319">
        <v>5091100</v>
      </c>
      <c r="O793" s="319"/>
      <c r="P793" s="319"/>
      <c r="Q793" s="319"/>
      <c r="R793" s="319"/>
      <c r="S793" s="319"/>
      <c r="T793" s="319"/>
      <c r="U793" s="319"/>
      <c r="V793" s="319"/>
      <c r="W793" s="319"/>
      <c r="X793" s="319"/>
      <c r="Y793" s="319"/>
      <c r="Z793" s="319"/>
      <c r="AA793" s="319"/>
      <c r="AB793" s="319"/>
      <c r="AC793" s="319"/>
      <c r="AD793" s="319"/>
      <c r="AE793" s="319"/>
      <c r="AF793" s="319"/>
      <c r="AG793" s="319"/>
      <c r="AH793" s="319"/>
      <c r="AI793" s="319"/>
      <c r="AJ793" s="319"/>
      <c r="AK793" s="319"/>
      <c r="AL793" s="319"/>
      <c r="AM793" s="319"/>
      <c r="AN793" s="319"/>
      <c r="AO793" s="319"/>
      <c r="AP793" s="319"/>
      <c r="AQ793" s="319"/>
      <c r="AR793" s="319"/>
      <c r="AS793" s="319"/>
      <c r="AT793" s="319"/>
      <c r="AU793" s="319"/>
      <c r="AV793" s="319"/>
      <c r="AW793" s="319"/>
      <c r="AX793" s="319"/>
      <c r="AY793" s="319"/>
      <c r="AZ793" s="319"/>
      <c r="BA793" s="319"/>
      <c r="BB793" s="319"/>
      <c r="BC793" s="319"/>
      <c r="BD793" s="319"/>
      <c r="BE793" s="319"/>
      <c r="BF793" s="319"/>
      <c r="BG793" s="319"/>
      <c r="BH793" s="319"/>
      <c r="BI793" s="319"/>
      <c r="BJ793" s="319"/>
      <c r="BK793" s="319"/>
      <c r="BL793" s="319"/>
      <c r="BM793" s="319"/>
      <c r="BN793" s="319"/>
      <c r="BO793" s="319"/>
      <c r="BP793" s="319"/>
      <c r="BQ793" s="319"/>
      <c r="BR793" s="319"/>
      <c r="BS793" s="319"/>
      <c r="BT793" s="319"/>
      <c r="BU793" s="319"/>
      <c r="BV793" s="319"/>
      <c r="BW793" s="319"/>
      <c r="BX793" s="319"/>
      <c r="BY793" s="319"/>
      <c r="BZ793" s="319"/>
      <c r="CA793" s="319"/>
      <c r="CB793" s="319"/>
      <c r="CC793" s="319"/>
      <c r="CD793" s="319"/>
      <c r="CE793" s="319"/>
      <c r="CF793" s="319"/>
      <c r="CG793" s="319"/>
      <c r="CH793" s="319"/>
      <c r="CI793" s="319"/>
      <c r="CJ793" s="319"/>
      <c r="CK793" s="319"/>
    </row>
    <row r="794" spans="1:89" ht="13.5" hidden="1" customHeight="1">
      <c r="A794" s="12"/>
      <c r="B794" s="1" t="str">
        <f>Language!C276</f>
        <v>Área de piso aquecido para o prédio</v>
      </c>
      <c r="C794" s="303" t="s">
        <v>5430</v>
      </c>
      <c r="D794" s="307"/>
      <c r="E794" s="30">
        <f>D794</f>
        <v>0</v>
      </c>
      <c r="F794" s="1"/>
      <c r="G794" s="1"/>
      <c r="H794" s="1"/>
      <c r="I794" s="1"/>
      <c r="J794" s="1"/>
      <c r="K794" s="9"/>
      <c r="L794" s="1"/>
      <c r="M794" s="319"/>
      <c r="N794" s="319">
        <v>5097100</v>
      </c>
      <c r="O794" s="319"/>
      <c r="P794" s="319"/>
      <c r="Q794" s="319"/>
      <c r="R794" s="319"/>
      <c r="S794" s="319"/>
      <c r="T794" s="319"/>
      <c r="U794" s="319"/>
      <c r="V794" s="319"/>
      <c r="W794" s="319"/>
      <c r="X794" s="319"/>
      <c r="Y794" s="319"/>
      <c r="Z794" s="319"/>
      <c r="AA794" s="319"/>
      <c r="AB794" s="319"/>
      <c r="AC794" s="319"/>
      <c r="AD794" s="319"/>
      <c r="AE794" s="319"/>
      <c r="AF794" s="319"/>
      <c r="AG794" s="319"/>
      <c r="AH794" s="319"/>
      <c r="AI794" s="319"/>
      <c r="AJ794" s="319"/>
      <c r="AK794" s="319"/>
      <c r="AL794" s="319"/>
      <c r="AM794" s="319"/>
      <c r="AN794" s="319"/>
      <c r="AO794" s="319"/>
      <c r="AP794" s="319"/>
      <c r="AQ794" s="319"/>
      <c r="AR794" s="319"/>
      <c r="AS794" s="319"/>
      <c r="AT794" s="319"/>
      <c r="AU794" s="319"/>
      <c r="AV794" s="319"/>
      <c r="AW794" s="319"/>
      <c r="AX794" s="319"/>
      <c r="AY794" s="319"/>
      <c r="AZ794" s="319"/>
      <c r="BA794" s="319"/>
      <c r="BB794" s="319"/>
      <c r="BC794" s="319"/>
      <c r="BD794" s="319"/>
      <c r="BE794" s="319"/>
      <c r="BF794" s="319"/>
      <c r="BG794" s="319"/>
      <c r="BH794" s="319"/>
      <c r="BI794" s="319"/>
      <c r="BJ794" s="319"/>
      <c r="BK794" s="319"/>
      <c r="BL794" s="319"/>
      <c r="BM794" s="319"/>
      <c r="BN794" s="319"/>
      <c r="BO794" s="319"/>
      <c r="BP794" s="319"/>
      <c r="BQ794" s="319"/>
      <c r="BR794" s="319"/>
      <c r="BS794" s="319"/>
      <c r="BT794" s="319"/>
      <c r="BU794" s="319"/>
      <c r="BV794" s="319"/>
      <c r="BW794" s="319"/>
      <c r="BX794" s="319"/>
      <c r="BY794" s="319"/>
      <c r="BZ794" s="319"/>
      <c r="CA794" s="319"/>
      <c r="CB794" s="319"/>
      <c r="CC794" s="319"/>
      <c r="CD794" s="319"/>
      <c r="CE794" s="319"/>
      <c r="CF794" s="319"/>
      <c r="CG794" s="319"/>
      <c r="CH794" s="319"/>
      <c r="CI794" s="319"/>
      <c r="CJ794" s="319"/>
      <c r="CK794" s="319"/>
    </row>
    <row r="795" spans="1:89" ht="13.5" hidden="1" customHeight="1">
      <c r="A795" s="12"/>
      <c r="B795" s="1" t="str">
        <f>Language!C278</f>
        <v>Carga p/ aquecimento do prédio</v>
      </c>
      <c r="C795" s="303" t="s">
        <v>2335</v>
      </c>
      <c r="D795" s="307"/>
      <c r="E795" s="88" t="e">
        <f>D795*E797/D797</f>
        <v>#DIV/0!</v>
      </c>
      <c r="F795" s="1"/>
      <c r="G795" s="1"/>
      <c r="H795" s="1"/>
      <c r="I795" s="1"/>
      <c r="J795" s="1"/>
      <c r="K795" s="9"/>
      <c r="L795" s="1"/>
      <c r="M795" s="319"/>
      <c r="N795" s="319">
        <v>5091102</v>
      </c>
      <c r="O795" s="319"/>
      <c r="P795" s="319"/>
      <c r="Q795" s="319"/>
      <c r="R795" s="319"/>
      <c r="S795" s="319"/>
      <c r="T795" s="319"/>
      <c r="U795" s="319"/>
      <c r="V795" s="319"/>
      <c r="W795" s="319"/>
      <c r="X795" s="319"/>
      <c r="Y795" s="319"/>
      <c r="Z795" s="319"/>
      <c r="AA795" s="319"/>
      <c r="AB795" s="319"/>
      <c r="AC795" s="319"/>
      <c r="AD795" s="319"/>
      <c r="AE795" s="319"/>
      <c r="AF795" s="319"/>
      <c r="AG795" s="319"/>
      <c r="AH795" s="319"/>
      <c r="AI795" s="319"/>
      <c r="AJ795" s="319"/>
      <c r="AK795" s="319"/>
      <c r="AL795" s="319"/>
      <c r="AM795" s="319"/>
      <c r="AN795" s="319"/>
      <c r="AO795" s="319"/>
      <c r="AP795" s="319"/>
      <c r="AQ795" s="319"/>
      <c r="AR795" s="319"/>
      <c r="AS795" s="319"/>
      <c r="AT795" s="319"/>
      <c r="AU795" s="319"/>
      <c r="AV795" s="319"/>
      <c r="AW795" s="319"/>
      <c r="AX795" s="319"/>
      <c r="AY795" s="319"/>
      <c r="AZ795" s="319"/>
      <c r="BA795" s="319"/>
      <c r="BB795" s="319"/>
      <c r="BC795" s="319"/>
      <c r="BD795" s="319"/>
      <c r="BE795" s="319"/>
      <c r="BF795" s="319"/>
      <c r="BG795" s="319"/>
      <c r="BH795" s="319"/>
      <c r="BI795" s="319"/>
      <c r="BJ795" s="319"/>
      <c r="BK795" s="319"/>
      <c r="BL795" s="319"/>
      <c r="BM795" s="319"/>
      <c r="BN795" s="319"/>
      <c r="BO795" s="319"/>
      <c r="BP795" s="319"/>
      <c r="BQ795" s="319"/>
      <c r="BR795" s="319"/>
      <c r="BS795" s="319"/>
      <c r="BT795" s="319"/>
      <c r="BU795" s="319"/>
      <c r="BV795" s="319"/>
      <c r="BW795" s="319"/>
      <c r="BX795" s="319"/>
      <c r="BY795" s="319"/>
      <c r="BZ795" s="319"/>
      <c r="CA795" s="319"/>
      <c r="CB795" s="319"/>
      <c r="CC795" s="319"/>
      <c r="CD795" s="319"/>
      <c r="CE795" s="319"/>
      <c r="CF795" s="319"/>
      <c r="CG795" s="319"/>
      <c r="CH795" s="319"/>
      <c r="CI795" s="319"/>
      <c r="CJ795" s="319"/>
      <c r="CK795" s="319"/>
    </row>
    <row r="796" spans="1:89" ht="12.75" hidden="1" customHeight="1">
      <c r="A796" s="12"/>
      <c r="B796" s="357" t="str">
        <f>Language!C246</f>
        <v>Demanda base calor p/ rede água quente</v>
      </c>
      <c r="C796" s="29" t="str">
        <f>$C$254</f>
        <v>%</v>
      </c>
      <c r="D796" s="339"/>
      <c r="E796" s="126">
        <f>D796</f>
        <v>0</v>
      </c>
      <c r="F796" s="1"/>
      <c r="G796" s="1"/>
      <c r="H796" s="1"/>
      <c r="I796" s="1"/>
      <c r="J796" s="1"/>
      <c r="K796" s="9"/>
      <c r="L796" s="1"/>
      <c r="M796" s="319"/>
      <c r="N796" s="319">
        <v>5091104</v>
      </c>
      <c r="O796" s="319"/>
      <c r="P796" s="319"/>
      <c r="Q796" s="319"/>
      <c r="R796" s="319"/>
      <c r="S796" s="319"/>
      <c r="T796" s="319"/>
      <c r="U796" s="319"/>
      <c r="V796" s="319"/>
      <c r="W796" s="319"/>
      <c r="X796" s="319"/>
      <c r="Y796" s="319"/>
      <c r="Z796" s="319"/>
      <c r="AA796" s="319"/>
      <c r="AB796" s="319"/>
      <c r="AC796" s="319"/>
      <c r="AD796" s="319"/>
      <c r="AE796" s="319"/>
      <c r="AF796" s="319"/>
      <c r="AG796" s="319"/>
      <c r="AH796" s="319"/>
      <c r="AI796" s="319"/>
      <c r="AJ796" s="319"/>
      <c r="AK796" s="319"/>
      <c r="AL796" s="319"/>
      <c r="AM796" s="319"/>
      <c r="AN796" s="319"/>
      <c r="AO796" s="319"/>
      <c r="AP796" s="319"/>
      <c r="AQ796" s="319"/>
      <c r="AR796" s="319"/>
      <c r="AS796" s="319"/>
      <c r="AT796" s="319"/>
      <c r="AU796" s="319"/>
      <c r="AV796" s="319"/>
      <c r="AW796" s="319"/>
      <c r="AX796" s="319"/>
      <c r="AY796" s="319"/>
      <c r="AZ796" s="319"/>
      <c r="BA796" s="319"/>
      <c r="BB796" s="319"/>
      <c r="BC796" s="319"/>
      <c r="BD796" s="319"/>
      <c r="BE796" s="319"/>
      <c r="BF796" s="319"/>
      <c r="BG796" s="319"/>
      <c r="BH796" s="319"/>
      <c r="BI796" s="319"/>
      <c r="BJ796" s="319"/>
      <c r="BK796" s="319"/>
      <c r="BL796" s="319"/>
      <c r="BM796" s="319"/>
      <c r="BN796" s="319"/>
      <c r="BO796" s="319"/>
      <c r="BP796" s="319"/>
      <c r="BQ796" s="319"/>
      <c r="BR796" s="319"/>
      <c r="BS796" s="319"/>
      <c r="BT796" s="319"/>
      <c r="BU796" s="319"/>
      <c r="BV796" s="319"/>
      <c r="BW796" s="319"/>
      <c r="BX796" s="319"/>
      <c r="BY796" s="319"/>
      <c r="BZ796" s="319"/>
      <c r="CA796" s="319"/>
      <c r="CB796" s="319"/>
      <c r="CC796" s="319"/>
      <c r="CD796" s="319"/>
      <c r="CE796" s="319"/>
      <c r="CF796" s="319"/>
      <c r="CG796" s="319"/>
      <c r="CH796" s="319"/>
      <c r="CI796" s="319"/>
      <c r="CJ796" s="319"/>
      <c r="CK796" s="319"/>
    </row>
    <row r="797" spans="1:89" ht="13.5" hidden="1" customHeight="1">
      <c r="A797" s="12"/>
      <c r="B797" s="1" t="str">
        <f>Language!C284</f>
        <v>Demanda total p/ aquecimento</v>
      </c>
      <c r="C797" s="29" t="str">
        <f>C577</f>
        <v>MWh</v>
      </c>
      <c r="D797" s="753">
        <f>D910</f>
        <v>0</v>
      </c>
      <c r="E797" s="753">
        <f>D797-IF(Unit=TRUE,1,1/K1185)*(E1062-F1062+E1066-F1066)</f>
        <v>0</v>
      </c>
      <c r="F797" s="40" t="e">
        <f>1-P798/O798</f>
        <v>#DIV/0!</v>
      </c>
      <c r="G797" s="1"/>
      <c r="H797" s="1"/>
      <c r="I797" s="1"/>
      <c r="J797" s="1"/>
      <c r="K797" s="9"/>
      <c r="L797" s="1"/>
      <c r="M797" s="319"/>
      <c r="N797" s="319">
        <v>5091108</v>
      </c>
      <c r="O797" s="319"/>
      <c r="P797" s="319"/>
      <c r="Q797" s="319"/>
      <c r="R797" s="319"/>
      <c r="S797" s="319"/>
      <c r="T797" s="319"/>
      <c r="U797" s="319"/>
      <c r="V797" s="319"/>
      <c r="W797" s="319"/>
      <c r="X797" s="319"/>
      <c r="Y797" s="319"/>
      <c r="Z797" s="319"/>
      <c r="AA797" s="319"/>
      <c r="AB797" s="319"/>
      <c r="AC797" s="319"/>
      <c r="AD797" s="319"/>
      <c r="AE797" s="319"/>
      <c r="AF797" s="319"/>
      <c r="AG797" s="319"/>
      <c r="AH797" s="319"/>
      <c r="AI797" s="319"/>
      <c r="AJ797" s="319"/>
      <c r="AK797" s="319"/>
      <c r="AL797" s="319"/>
      <c r="AM797" s="319"/>
      <c r="AN797" s="319"/>
      <c r="AO797" s="319"/>
      <c r="AP797" s="319"/>
      <c r="AQ797" s="319"/>
      <c r="AR797" s="319"/>
      <c r="AS797" s="319"/>
      <c r="AT797" s="319"/>
      <c r="AU797" s="319"/>
      <c r="AV797" s="319"/>
      <c r="AW797" s="319"/>
      <c r="AX797" s="319"/>
      <c r="AY797" s="319"/>
      <c r="AZ797" s="319"/>
      <c r="BA797" s="319"/>
      <c r="BB797" s="319"/>
      <c r="BC797" s="319"/>
      <c r="BD797" s="319"/>
      <c r="BE797" s="319"/>
      <c r="BF797" s="319"/>
      <c r="BG797" s="319"/>
      <c r="BH797" s="319"/>
      <c r="BI797" s="319"/>
      <c r="BJ797" s="319"/>
      <c r="BK797" s="319"/>
      <c r="BL797" s="319"/>
      <c r="BM797" s="319"/>
      <c r="BN797" s="319"/>
      <c r="BO797" s="319"/>
      <c r="BP797" s="319"/>
      <c r="BQ797" s="319"/>
      <c r="BR797" s="319"/>
      <c r="BS797" s="319"/>
      <c r="BT797" s="319"/>
      <c r="BU797" s="319"/>
      <c r="BV797" s="319"/>
      <c r="BW797" s="319"/>
      <c r="BX797" s="319"/>
      <c r="BY797" s="319"/>
      <c r="BZ797" s="319"/>
      <c r="CA797" s="319"/>
      <c r="CB797" s="319"/>
      <c r="CC797" s="319"/>
      <c r="CD797" s="319"/>
      <c r="CE797" s="319"/>
      <c r="CF797" s="319"/>
      <c r="CG797" s="319"/>
      <c r="CH797" s="319"/>
      <c r="CI797" s="319"/>
      <c r="CJ797" s="319"/>
      <c r="CK797" s="319"/>
    </row>
    <row r="798" spans="1:89" ht="13.5" hidden="1" customHeight="1">
      <c r="A798" s="12"/>
      <c r="B798" s="1"/>
      <c r="C798" s="29"/>
      <c r="D798" s="1"/>
      <c r="E798" s="1"/>
      <c r="F798" s="1"/>
      <c r="G798" s="1"/>
      <c r="H798" s="1"/>
      <c r="I798" s="1"/>
      <c r="J798" s="1"/>
      <c r="K798" s="9"/>
      <c r="L798" s="1"/>
      <c r="M798" s="319"/>
      <c r="N798" s="319">
        <v>5091100</v>
      </c>
      <c r="O798" s="319">
        <f>P914</f>
        <v>0</v>
      </c>
      <c r="P798" s="319" t="e">
        <f>O798*E797/D797</f>
        <v>#DIV/0!</v>
      </c>
      <c r="Q798" s="319" t="s">
        <v>5700</v>
      </c>
      <c r="R798" s="319"/>
      <c r="S798" s="319"/>
      <c r="T798" s="319"/>
      <c r="U798" s="319"/>
      <c r="V798" s="319"/>
      <c r="W798" s="319"/>
      <c r="X798" s="319"/>
      <c r="Y798" s="319"/>
      <c r="Z798" s="319"/>
      <c r="AA798" s="319"/>
      <c r="AB798" s="319"/>
      <c r="AC798" s="319"/>
      <c r="AD798" s="319"/>
      <c r="AE798" s="319"/>
      <c r="AF798" s="319"/>
      <c r="AG798" s="319"/>
      <c r="AH798" s="319"/>
      <c r="AI798" s="319"/>
      <c r="AJ798" s="319"/>
      <c r="AK798" s="319"/>
      <c r="AL798" s="319"/>
      <c r="AM798" s="319"/>
      <c r="AN798" s="319"/>
      <c r="AO798" s="319"/>
      <c r="AP798" s="319"/>
      <c r="AQ798" s="319"/>
      <c r="AR798" s="319"/>
      <c r="AS798" s="319"/>
      <c r="AT798" s="319"/>
      <c r="AU798" s="319"/>
      <c r="AV798" s="319"/>
      <c r="AW798" s="319"/>
      <c r="AX798" s="319"/>
      <c r="AY798" s="319"/>
      <c r="AZ798" s="319"/>
      <c r="BA798" s="319"/>
      <c r="BB798" s="319"/>
      <c r="BC798" s="319"/>
      <c r="BD798" s="319"/>
      <c r="BE798" s="319"/>
      <c r="BF798" s="319"/>
      <c r="BG798" s="319"/>
      <c r="BH798" s="319"/>
      <c r="BI798" s="319"/>
      <c r="BJ798" s="319"/>
      <c r="BK798" s="319"/>
      <c r="BL798" s="319"/>
      <c r="BM798" s="319"/>
      <c r="BN798" s="319"/>
      <c r="BO798" s="319"/>
      <c r="BP798" s="319"/>
      <c r="BQ798" s="319"/>
      <c r="BR798" s="319"/>
      <c r="BS798" s="319"/>
      <c r="BT798" s="319"/>
      <c r="BU798" s="319"/>
      <c r="BV798" s="319"/>
      <c r="BW798" s="319"/>
      <c r="BX798" s="319"/>
      <c r="BY798" s="319"/>
      <c r="BZ798" s="319"/>
      <c r="CA798" s="319"/>
      <c r="CB798" s="319"/>
      <c r="CC798" s="319"/>
      <c r="CD798" s="319"/>
      <c r="CE798" s="319"/>
      <c r="CF798" s="319"/>
      <c r="CG798" s="319"/>
      <c r="CH798" s="319"/>
      <c r="CI798" s="319"/>
      <c r="CJ798" s="319"/>
      <c r="CK798" s="319"/>
    </row>
    <row r="799" spans="1:89" ht="13.5" hidden="1" customHeight="1">
      <c r="A799" s="12"/>
      <c r="B799" s="1"/>
      <c r="C799" s="1"/>
      <c r="D799" s="1"/>
      <c r="E799" s="1"/>
      <c r="F799" s="1"/>
      <c r="G799" s="1"/>
      <c r="H799" s="1"/>
      <c r="I799" s="1"/>
      <c r="J799" s="1"/>
      <c r="K799" s="9"/>
      <c r="L799" s="1"/>
      <c r="M799" s="319"/>
      <c r="N799" s="319">
        <v>5091100</v>
      </c>
      <c r="O799" s="319"/>
      <c r="P799" s="319"/>
      <c r="Q799" s="319"/>
      <c r="R799" s="319"/>
      <c r="S799" s="319"/>
      <c r="T799" s="319"/>
      <c r="U799" s="319"/>
      <c r="V799" s="319"/>
      <c r="W799" s="319"/>
      <c r="X799" s="319"/>
      <c r="Y799" s="319"/>
      <c r="Z799" s="319"/>
      <c r="AA799" s="319"/>
      <c r="AB799" s="319"/>
      <c r="AC799" s="319"/>
      <c r="AD799" s="319"/>
      <c r="AE799" s="319"/>
      <c r="AF799" s="319"/>
      <c r="AG799" s="319"/>
      <c r="AH799" s="319"/>
      <c r="AI799" s="319"/>
      <c r="AJ799" s="319"/>
      <c r="AK799" s="319"/>
      <c r="AL799" s="319"/>
      <c r="AM799" s="319"/>
      <c r="AN799" s="319"/>
      <c r="AO799" s="319"/>
      <c r="AP799" s="319"/>
      <c r="AQ799" s="319"/>
      <c r="AR799" s="319"/>
      <c r="AS799" s="319"/>
      <c r="AT799" s="319"/>
      <c r="AU799" s="319"/>
      <c r="AV799" s="319"/>
      <c r="AW799" s="319"/>
      <c r="AX799" s="319"/>
      <c r="AY799" s="319"/>
      <c r="AZ799" s="319"/>
      <c r="BA799" s="319"/>
      <c r="BB799" s="319"/>
      <c r="BC799" s="319"/>
      <c r="BD799" s="319"/>
      <c r="BE799" s="319"/>
      <c r="BF799" s="319"/>
      <c r="BG799" s="319"/>
      <c r="BH799" s="319"/>
      <c r="BI799" s="319"/>
      <c r="BJ799" s="319"/>
      <c r="BK799" s="319"/>
      <c r="BL799" s="319"/>
      <c r="BM799" s="319"/>
      <c r="BN799" s="319"/>
      <c r="BO799" s="319"/>
      <c r="BP799" s="319"/>
      <c r="BQ799" s="319"/>
      <c r="BR799" s="319"/>
      <c r="BS799" s="319"/>
      <c r="BT799" s="319"/>
      <c r="BU799" s="319"/>
      <c r="BV799" s="319"/>
      <c r="BW799" s="319"/>
      <c r="BX799" s="319"/>
      <c r="BY799" s="319"/>
      <c r="BZ799" s="319"/>
      <c r="CA799" s="319"/>
      <c r="CB799" s="319"/>
      <c r="CC799" s="319"/>
      <c r="CD799" s="319"/>
      <c r="CE799" s="319"/>
      <c r="CF799" s="319"/>
      <c r="CG799" s="319"/>
      <c r="CH799" s="319"/>
      <c r="CI799" s="319"/>
      <c r="CJ799" s="319"/>
      <c r="CK799" s="319"/>
    </row>
    <row r="800" spans="1:89" ht="13.2" hidden="1">
      <c r="A800" s="12"/>
      <c r="B800" s="28" t="str">
        <f>B792</f>
        <v>Sistema de Aquecimento</v>
      </c>
      <c r="C800" s="1"/>
      <c r="D800" s="1"/>
      <c r="E800" s="1"/>
      <c r="F800" s="1"/>
      <c r="G800" s="1"/>
      <c r="H800" s="1"/>
      <c r="I800" s="1"/>
      <c r="J800" s="1"/>
      <c r="K800" s="9"/>
      <c r="L800" s="1"/>
      <c r="M800" s="319"/>
      <c r="N800" s="319">
        <v>5090000</v>
      </c>
      <c r="O800" s="319"/>
      <c r="P800" s="319"/>
      <c r="Q800" s="319"/>
      <c r="R800" s="319"/>
      <c r="S800" s="319"/>
      <c r="T800" s="319"/>
      <c r="U800" s="319"/>
      <c r="V800" s="319"/>
      <c r="W800" s="319"/>
      <c r="X800" s="319"/>
      <c r="Y800" s="319"/>
      <c r="Z800" s="319"/>
      <c r="AA800" s="319"/>
      <c r="AB800" s="319"/>
      <c r="AC800" s="319"/>
      <c r="AD800" s="319"/>
      <c r="AE800" s="319"/>
      <c r="AF800" s="319"/>
      <c r="AG800" s="319"/>
      <c r="AH800" s="319"/>
      <c r="AI800" s="319"/>
      <c r="AJ800" s="319"/>
      <c r="AK800" s="319"/>
      <c r="AL800" s="319"/>
      <c r="AM800" s="319"/>
      <c r="AN800" s="319"/>
      <c r="AO800" s="319"/>
      <c r="AP800" s="319"/>
      <c r="AQ800" s="319"/>
      <c r="AR800" s="319"/>
      <c r="AS800" s="319"/>
      <c r="AT800" s="319"/>
      <c r="AU800" s="319"/>
      <c r="AV800" s="319"/>
      <c r="AW800" s="319"/>
      <c r="AX800" s="319"/>
      <c r="AY800" s="319"/>
      <c r="AZ800" s="319"/>
      <c r="BA800" s="319"/>
      <c r="BB800" s="319"/>
      <c r="BC800" s="319"/>
      <c r="BD800" s="319"/>
      <c r="BE800" s="319"/>
      <c r="BF800" s="319"/>
      <c r="BG800" s="319"/>
      <c r="BH800" s="319"/>
      <c r="BI800" s="319"/>
      <c r="BJ800" s="319"/>
      <c r="BK800" s="319"/>
      <c r="BL800" s="319"/>
      <c r="BM800" s="319"/>
      <c r="BN800" s="319"/>
      <c r="BO800" s="319"/>
      <c r="BP800" s="319"/>
      <c r="BQ800" s="319"/>
      <c r="BR800" s="319"/>
      <c r="BS800" s="319"/>
      <c r="BT800" s="319"/>
      <c r="BU800" s="319"/>
      <c r="BV800" s="319"/>
      <c r="BW800" s="319"/>
      <c r="BX800" s="319"/>
      <c r="BY800" s="319"/>
      <c r="BZ800" s="319"/>
      <c r="CA800" s="319"/>
      <c r="CB800" s="319"/>
      <c r="CC800" s="319"/>
      <c r="CD800" s="319"/>
      <c r="CE800" s="319"/>
      <c r="CF800" s="319"/>
      <c r="CG800" s="319"/>
      <c r="CH800" s="319"/>
      <c r="CI800" s="319"/>
      <c r="CJ800" s="319"/>
      <c r="CK800" s="319"/>
    </row>
    <row r="801" spans="1:89" ht="13.2" hidden="1">
      <c r="A801" s="12"/>
      <c r="B801" s="1" t="str">
        <f>Language!C211</f>
        <v>Tipo de Combustível</v>
      </c>
      <c r="C801" s="1"/>
      <c r="D801" s="421" t="s">
        <v>7046</v>
      </c>
      <c r="E801" s="421" t="s">
        <v>7046</v>
      </c>
      <c r="F801" s="1"/>
      <c r="G801" s="1"/>
      <c r="H801" s="1"/>
      <c r="I801" s="1"/>
      <c r="J801" s="1"/>
      <c r="K801" s="9"/>
      <c r="L801" s="1"/>
      <c r="M801" s="319"/>
      <c r="N801" s="319">
        <v>2010106</v>
      </c>
      <c r="O801" s="319"/>
      <c r="P801" s="319"/>
      <c r="Q801" s="319"/>
      <c r="R801" s="319"/>
      <c r="S801" s="319"/>
      <c r="T801" s="319"/>
      <c r="U801" s="319"/>
      <c r="V801" s="319"/>
      <c r="W801" s="319"/>
      <c r="X801" s="319"/>
      <c r="Y801" s="319"/>
      <c r="Z801" s="319"/>
      <c r="AA801" s="319"/>
      <c r="AB801" s="319"/>
      <c r="AC801" s="319"/>
      <c r="AD801" s="319"/>
      <c r="AE801" s="319"/>
      <c r="AF801" s="319"/>
      <c r="AG801" s="319"/>
      <c r="AH801" s="319"/>
      <c r="AI801" s="319"/>
      <c r="AJ801" s="319"/>
      <c r="AK801" s="319"/>
      <c r="AL801" s="319"/>
      <c r="AM801" s="319"/>
      <c r="AN801" s="319"/>
      <c r="AO801" s="319"/>
      <c r="AP801" s="319"/>
      <c r="AQ801" s="319"/>
      <c r="AR801" s="319"/>
      <c r="AS801" s="319"/>
      <c r="AT801" s="319"/>
      <c r="AU801" s="319"/>
      <c r="AV801" s="319"/>
      <c r="AW801" s="319"/>
      <c r="AX801" s="319"/>
      <c r="AY801" s="319"/>
      <c r="AZ801" s="319"/>
      <c r="BA801" s="319"/>
      <c r="BB801" s="319"/>
      <c r="BC801" s="319"/>
      <c r="BD801" s="319"/>
      <c r="BE801" s="319"/>
      <c r="BF801" s="319"/>
      <c r="BG801" s="319"/>
      <c r="BH801" s="319"/>
      <c r="BI801" s="319"/>
      <c r="BJ801" s="319"/>
      <c r="BK801" s="319"/>
      <c r="BL801" s="319"/>
      <c r="BM801" s="319"/>
      <c r="BN801" s="319"/>
      <c r="BO801" s="319"/>
      <c r="BP801" s="319"/>
      <c r="BQ801" s="319"/>
      <c r="BR801" s="319"/>
      <c r="BS801" s="319"/>
      <c r="BT801" s="319"/>
      <c r="BU801" s="319"/>
      <c r="BV801" s="319"/>
      <c r="BW801" s="319"/>
      <c r="BX801" s="319"/>
      <c r="BY801" s="319"/>
      <c r="BZ801" s="319"/>
      <c r="CA801" s="319"/>
      <c r="CB801" s="319"/>
      <c r="CC801" s="319"/>
      <c r="CD801" s="319"/>
      <c r="CE801" s="319"/>
      <c r="CF801" s="319"/>
      <c r="CG801" s="319"/>
      <c r="CH801" s="319"/>
      <c r="CI801" s="319"/>
      <c r="CJ801" s="319"/>
      <c r="CK801" s="319"/>
    </row>
    <row r="802" spans="1:89" ht="13.2" hidden="1">
      <c r="A802" s="12"/>
      <c r="B802" s="1" t="str">
        <f>Language!C219</f>
        <v>Eficiência Sazonal</v>
      </c>
      <c r="C802" s="29"/>
      <c r="D802" s="159"/>
      <c r="E802" s="159"/>
      <c r="F802" s="29"/>
      <c r="G802" s="1367"/>
      <c r="H802" s="1"/>
      <c r="I802" s="1"/>
      <c r="J802" s="1"/>
      <c r="K802" s="9"/>
      <c r="L802" s="1"/>
      <c r="M802" s="319"/>
      <c r="N802" s="319">
        <v>5091202</v>
      </c>
      <c r="O802" s="319"/>
      <c r="P802" s="319"/>
      <c r="Q802" s="319"/>
      <c r="R802" s="319"/>
      <c r="S802" s="319"/>
      <c r="T802" s="319"/>
      <c r="U802" s="319"/>
      <c r="V802" s="319"/>
      <c r="W802" s="319"/>
      <c r="X802" s="319"/>
      <c r="Y802" s="319"/>
      <c r="Z802" s="319"/>
      <c r="AA802" s="319"/>
      <c r="AB802" s="319"/>
      <c r="AC802" s="319"/>
      <c r="AD802" s="319"/>
      <c r="AE802" s="319"/>
      <c r="AF802" s="319"/>
      <c r="AG802" s="319"/>
      <c r="AH802" s="319"/>
      <c r="AI802" s="319"/>
      <c r="AJ802" s="319"/>
      <c r="AK802" s="319"/>
      <c r="AL802" s="319"/>
      <c r="AM802" s="319"/>
      <c r="AN802" s="319"/>
      <c r="AO802" s="319"/>
      <c r="AP802" s="319"/>
      <c r="AQ802" s="319"/>
      <c r="AR802" s="319"/>
      <c r="AS802" s="319"/>
      <c r="AT802" s="319"/>
      <c r="AU802" s="319"/>
      <c r="AV802" s="319"/>
      <c r="AW802" s="319"/>
      <c r="AX802" s="319"/>
      <c r="AY802" s="319"/>
      <c r="AZ802" s="319"/>
      <c r="BA802" s="319"/>
      <c r="BB802" s="319"/>
      <c r="BC802" s="319"/>
      <c r="BD802" s="319"/>
      <c r="BE802" s="319"/>
      <c r="BF802" s="319"/>
      <c r="BG802" s="319"/>
      <c r="BH802" s="319"/>
      <c r="BI802" s="319"/>
      <c r="BJ802" s="319"/>
      <c r="BK802" s="319"/>
      <c r="BL802" s="319"/>
      <c r="BM802" s="319"/>
      <c r="BN802" s="319"/>
      <c r="BO802" s="319"/>
      <c r="BP802" s="319"/>
      <c r="BQ802" s="319"/>
      <c r="BR802" s="319"/>
      <c r="BS802" s="319"/>
      <c r="BT802" s="319"/>
      <c r="BU802" s="319"/>
      <c r="BV802" s="319"/>
      <c r="BW802" s="319"/>
      <c r="BX802" s="319"/>
      <c r="BY802" s="319"/>
      <c r="BZ802" s="319"/>
      <c r="CA802" s="319"/>
      <c r="CB802" s="319"/>
      <c r="CC802" s="319"/>
      <c r="CD802" s="319"/>
      <c r="CE802" s="319"/>
      <c r="CF802" s="319"/>
      <c r="CG802" s="319"/>
      <c r="CH802" s="319"/>
      <c r="CI802" s="319"/>
      <c r="CJ802" s="319"/>
      <c r="CK802" s="319"/>
    </row>
    <row r="803" spans="1:89" ht="13.5" hidden="1" customHeight="1">
      <c r="A803" s="12"/>
      <c r="B803" s="1" t="str">
        <f>Language!C286</f>
        <v>Consumo de combustível - anual</v>
      </c>
      <c r="C803" s="29" t="str">
        <f>VLOOKUP(D801,LN_FuelList,3,FALSE)</f>
        <v>m³</v>
      </c>
      <c r="D803" s="140" t="e">
        <f>IF(EE_HS_CB2=TRUE,P910,E1083)/VLOOKUP(D801,LN_FuelList,4,FALSE)*1000/D802</f>
        <v>#DIV/0!</v>
      </c>
      <c r="E803" s="140" t="e">
        <f>IF(EE_HS_CB2=TRUE,P910*E797/D797,F1083)/VLOOKUP(E801,LN_FuelList,4,FALSE)*1000/E802</f>
        <v>#DIV/0!</v>
      </c>
      <c r="F803" s="29" t="str">
        <f>VLOOKUP(E801,LN_FuelList,3,FALSE)</f>
        <v>m³</v>
      </c>
      <c r="G803" s="1"/>
      <c r="H803" s="1"/>
      <c r="I803" s="1"/>
      <c r="J803" s="1"/>
      <c r="K803" s="9"/>
      <c r="L803" s="1"/>
      <c r="M803" s="319"/>
      <c r="N803" s="319">
        <v>5097208</v>
      </c>
      <c r="O803" s="319"/>
      <c r="P803" s="845"/>
      <c r="Q803" s="319"/>
      <c r="R803" s="319"/>
      <c r="S803" s="319"/>
      <c r="T803" s="319"/>
      <c r="U803" s="319"/>
      <c r="V803" s="319"/>
      <c r="W803" s="319"/>
      <c r="X803" s="319"/>
      <c r="Y803" s="319"/>
      <c r="Z803" s="319"/>
      <c r="AA803" s="319"/>
      <c r="AB803" s="319"/>
      <c r="AC803" s="319"/>
      <c r="AD803" s="319"/>
      <c r="AE803" s="319"/>
      <c r="AF803" s="319"/>
      <c r="AG803" s="319"/>
      <c r="AH803" s="319"/>
      <c r="AI803" s="319"/>
      <c r="AJ803" s="319"/>
      <c r="AK803" s="319"/>
      <c r="AL803" s="319"/>
      <c r="AM803" s="319"/>
      <c r="AN803" s="319"/>
      <c r="AO803" s="319"/>
      <c r="AP803" s="319"/>
      <c r="AQ803" s="319"/>
      <c r="AR803" s="319"/>
      <c r="AS803" s="319"/>
      <c r="AT803" s="319"/>
      <c r="AU803" s="319"/>
      <c r="AV803" s="319"/>
      <c r="AW803" s="319"/>
      <c r="AX803" s="319"/>
      <c r="AY803" s="319"/>
      <c r="AZ803" s="319"/>
      <c r="BA803" s="319"/>
      <c r="BB803" s="319"/>
      <c r="BC803" s="319"/>
      <c r="BD803" s="319"/>
      <c r="BE803" s="319"/>
      <c r="BF803" s="319"/>
      <c r="BG803" s="319"/>
      <c r="BH803" s="319"/>
      <c r="BI803" s="319"/>
      <c r="BJ803" s="319"/>
      <c r="BK803" s="319"/>
      <c r="BL803" s="319"/>
      <c r="BM803" s="319"/>
      <c r="BN803" s="319"/>
      <c r="BO803" s="319"/>
      <c r="BP803" s="319"/>
      <c r="BQ803" s="319"/>
      <c r="BR803" s="319"/>
      <c r="BS803" s="319"/>
      <c r="BT803" s="319"/>
      <c r="BU803" s="319"/>
      <c r="BV803" s="319"/>
      <c r="BW803" s="319"/>
      <c r="BX803" s="319"/>
      <c r="BY803" s="319"/>
      <c r="BZ803" s="319"/>
      <c r="CA803" s="319"/>
      <c r="CB803" s="319"/>
      <c r="CC803" s="319"/>
      <c r="CD803" s="319"/>
      <c r="CE803" s="319"/>
      <c r="CF803" s="319"/>
      <c r="CG803" s="319"/>
      <c r="CH803" s="319"/>
      <c r="CI803" s="319"/>
      <c r="CJ803" s="319"/>
      <c r="CK803" s="319"/>
    </row>
    <row r="804" spans="1:89" ht="13.5" hidden="1" customHeight="1">
      <c r="A804" s="12"/>
      <c r="B804" s="1" t="str">
        <f>Language!C212</f>
        <v>Preço do combustível</v>
      </c>
      <c r="C804" s="29" t="str">
        <f>VLOOKUP(D801,LN_FuelList,5,FALSE)</f>
        <v>€/m³</v>
      </c>
      <c r="D804" s="399"/>
      <c r="E804" s="399"/>
      <c r="F804" s="29" t="str">
        <f>VLOOKUP(E801,LN_FuelList,5,FALSE)</f>
        <v>€/m³</v>
      </c>
      <c r="G804" s="1"/>
      <c r="H804" s="1"/>
      <c r="I804" s="1"/>
      <c r="J804" s="1"/>
      <c r="K804" s="9"/>
      <c r="L804" s="1"/>
      <c r="M804" s="319"/>
      <c r="N804" s="319">
        <v>2010108</v>
      </c>
      <c r="O804" s="319"/>
      <c r="P804" s="319"/>
      <c r="Q804" s="319"/>
      <c r="R804" s="319"/>
      <c r="S804" s="319"/>
      <c r="T804" s="319"/>
      <c r="U804" s="319"/>
      <c r="V804" s="319"/>
      <c r="W804" s="319"/>
      <c r="X804" s="319"/>
      <c r="Y804" s="319"/>
      <c r="Z804" s="319"/>
      <c r="AA804" s="319"/>
      <c r="AB804" s="319"/>
      <c r="AC804" s="319"/>
      <c r="AD804" s="319"/>
      <c r="AE804" s="319"/>
      <c r="AF804" s="319"/>
      <c r="AG804" s="319"/>
      <c r="AH804" s="319"/>
      <c r="AI804" s="319"/>
      <c r="AJ804" s="319"/>
      <c r="AK804" s="319"/>
      <c r="AL804" s="319"/>
      <c r="AM804" s="319"/>
      <c r="AN804" s="319"/>
      <c r="AO804" s="319"/>
      <c r="AP804" s="319"/>
      <c r="AQ804" s="319"/>
      <c r="AR804" s="319"/>
      <c r="AS804" s="319"/>
      <c r="AT804" s="319"/>
      <c r="AU804" s="319"/>
      <c r="AV804" s="319"/>
      <c r="AW804" s="319"/>
      <c r="AX804" s="319"/>
      <c r="AY804" s="319"/>
      <c r="AZ804" s="319"/>
      <c r="BA804" s="319"/>
      <c r="BB804" s="319"/>
      <c r="BC804" s="319"/>
      <c r="BD804" s="319"/>
      <c r="BE804" s="319"/>
      <c r="BF804" s="319"/>
      <c r="BG804" s="319"/>
      <c r="BH804" s="319"/>
      <c r="BI804" s="319"/>
      <c r="BJ804" s="319"/>
      <c r="BK804" s="319"/>
      <c r="BL804" s="319"/>
      <c r="BM804" s="319"/>
      <c r="BN804" s="319"/>
      <c r="BO804" s="319"/>
      <c r="BP804" s="319"/>
      <c r="BQ804" s="319"/>
      <c r="BR804" s="319"/>
      <c r="BS804" s="319"/>
      <c r="BT804" s="319"/>
      <c r="BU804" s="319"/>
      <c r="BV804" s="319"/>
      <c r="BW804" s="319"/>
      <c r="BX804" s="319"/>
      <c r="BY804" s="319"/>
      <c r="BZ804" s="319"/>
      <c r="CA804" s="319"/>
      <c r="CB804" s="319"/>
      <c r="CC804" s="319"/>
      <c r="CD804" s="319"/>
      <c r="CE804" s="319"/>
      <c r="CF804" s="319"/>
      <c r="CG804" s="319"/>
      <c r="CH804" s="319"/>
      <c r="CI804" s="319"/>
      <c r="CJ804" s="319"/>
      <c r="CK804" s="319"/>
    </row>
    <row r="805" spans="1:89" ht="13.5" hidden="1" customHeight="1">
      <c r="A805" s="12"/>
      <c r="B805" s="1" t="str">
        <f>Language!C287</f>
        <v>Custo do combustível</v>
      </c>
      <c r="C805" s="29" t="str">
        <f>Currency</f>
        <v>€</v>
      </c>
      <c r="D805" s="30" t="e">
        <f>IF(D801=F1098,1000,1)*D803*D804</f>
        <v>#DIV/0!</v>
      </c>
      <c r="E805" s="30" t="e">
        <f>IF(E801=F1098,1000,1)*E803*E804</f>
        <v>#DIV/0!</v>
      </c>
      <c r="F805" s="1"/>
      <c r="G805" s="1"/>
      <c r="H805" s="1"/>
      <c r="I805" s="1"/>
      <c r="J805" s="1"/>
      <c r="K805" s="9"/>
      <c r="L805" s="1"/>
      <c r="M805" s="319"/>
      <c r="N805" s="319">
        <v>5097210</v>
      </c>
      <c r="O805" s="319"/>
      <c r="P805" s="319"/>
      <c r="Q805" s="319"/>
      <c r="R805" s="319"/>
      <c r="S805" s="319"/>
      <c r="T805" s="319"/>
      <c r="U805" s="319"/>
      <c r="V805" s="319"/>
      <c r="W805" s="319"/>
      <c r="X805" s="319"/>
      <c r="Y805" s="319"/>
      <c r="Z805" s="319"/>
      <c r="AA805" s="319"/>
      <c r="AB805" s="319"/>
      <c r="AC805" s="319"/>
      <c r="AD805" s="319"/>
      <c r="AE805" s="319"/>
      <c r="AF805" s="319"/>
      <c r="AG805" s="319"/>
      <c r="AH805" s="319"/>
      <c r="AI805" s="319"/>
      <c r="AJ805" s="319"/>
      <c r="AK805" s="319"/>
      <c r="AL805" s="319"/>
      <c r="AM805" s="319"/>
      <c r="AN805" s="319"/>
      <c r="AO805" s="319"/>
      <c r="AP805" s="319"/>
      <c r="AQ805" s="319"/>
      <c r="AR805" s="319"/>
      <c r="AS805" s="319"/>
      <c r="AT805" s="319"/>
      <c r="AU805" s="319"/>
      <c r="AV805" s="319"/>
      <c r="AW805" s="319"/>
      <c r="AX805" s="319"/>
      <c r="AY805" s="319"/>
      <c r="AZ805" s="319"/>
      <c r="BA805" s="319"/>
      <c r="BB805" s="319"/>
      <c r="BC805" s="319"/>
      <c r="BD805" s="319"/>
      <c r="BE805" s="319"/>
      <c r="BF805" s="319"/>
      <c r="BG805" s="319"/>
      <c r="BH805" s="319"/>
      <c r="BI805" s="319"/>
      <c r="BJ805" s="319"/>
      <c r="BK805" s="319"/>
      <c r="BL805" s="319"/>
      <c r="BM805" s="319"/>
      <c r="BN805" s="319"/>
      <c r="BO805" s="319"/>
      <c r="BP805" s="319"/>
      <c r="BQ805" s="319"/>
      <c r="BR805" s="319"/>
      <c r="BS805" s="319"/>
      <c r="BT805" s="319"/>
      <c r="BU805" s="319"/>
      <c r="BV805" s="319"/>
      <c r="BW805" s="319"/>
      <c r="BX805" s="319"/>
      <c r="BY805" s="319"/>
      <c r="BZ805" s="319"/>
      <c r="CA805" s="319"/>
      <c r="CB805" s="319"/>
      <c r="CC805" s="319"/>
      <c r="CD805" s="319"/>
      <c r="CE805" s="319"/>
      <c r="CF805" s="319"/>
      <c r="CG805" s="319"/>
      <c r="CH805" s="319"/>
      <c r="CI805" s="319"/>
      <c r="CJ805" s="319"/>
      <c r="CK805" s="319"/>
    </row>
    <row r="806" spans="1:89" ht="13.5" hidden="1" customHeight="1">
      <c r="A806" s="12"/>
      <c r="B806" s="8"/>
      <c r="C806" s="8"/>
      <c r="D806" s="8"/>
      <c r="E806" s="8"/>
      <c r="F806" s="8"/>
      <c r="G806" s="8"/>
      <c r="H806" s="8"/>
      <c r="I806" s="8"/>
      <c r="J806" s="8"/>
      <c r="K806" s="9"/>
      <c r="L806" s="1"/>
      <c r="M806" s="319"/>
      <c r="N806" s="319">
        <v>5090000</v>
      </c>
      <c r="O806" s="319"/>
      <c r="P806" s="319"/>
      <c r="Q806" s="319"/>
      <c r="R806" s="319"/>
      <c r="S806" s="319"/>
      <c r="T806" s="319"/>
      <c r="U806" s="319"/>
      <c r="V806" s="319"/>
      <c r="W806" s="319"/>
      <c r="X806" s="319"/>
      <c r="Y806" s="319"/>
      <c r="Z806" s="319"/>
      <c r="AA806" s="319"/>
      <c r="AB806" s="319"/>
      <c r="AC806" s="319"/>
      <c r="AD806" s="319"/>
      <c r="AE806" s="319"/>
      <c r="AF806" s="319"/>
      <c r="AG806" s="319"/>
      <c r="AH806" s="319"/>
      <c r="AI806" s="319"/>
      <c r="AJ806" s="319"/>
      <c r="AK806" s="319"/>
      <c r="AL806" s="319"/>
      <c r="AM806" s="319"/>
      <c r="AN806" s="319"/>
      <c r="AO806" s="319"/>
      <c r="AP806" s="319"/>
      <c r="AQ806" s="319"/>
      <c r="AR806" s="319"/>
      <c r="AS806" s="319"/>
      <c r="AT806" s="319"/>
      <c r="AU806" s="319"/>
      <c r="AV806" s="319"/>
      <c r="AW806" s="319"/>
      <c r="AX806" s="319"/>
      <c r="AY806" s="319"/>
      <c r="AZ806" s="319"/>
      <c r="BA806" s="319"/>
      <c r="BB806" s="319"/>
      <c r="BC806" s="319"/>
      <c r="BD806" s="319"/>
      <c r="BE806" s="319"/>
      <c r="BF806" s="319"/>
      <c r="BG806" s="319"/>
      <c r="BH806" s="319"/>
      <c r="BI806" s="319"/>
      <c r="BJ806" s="319"/>
      <c r="BK806" s="319"/>
      <c r="BL806" s="319"/>
      <c r="BM806" s="319"/>
      <c r="BN806" s="319"/>
      <c r="BO806" s="319"/>
      <c r="BP806" s="319"/>
      <c r="BQ806" s="319"/>
      <c r="BR806" s="319"/>
      <c r="BS806" s="319"/>
      <c r="BT806" s="319"/>
      <c r="BU806" s="319"/>
      <c r="BV806" s="319"/>
      <c r="BW806" s="319"/>
      <c r="BX806" s="319"/>
      <c r="BY806" s="319"/>
      <c r="BZ806" s="319"/>
      <c r="CA806" s="319"/>
      <c r="CB806" s="319"/>
      <c r="CC806" s="319"/>
      <c r="CD806" s="319"/>
      <c r="CE806" s="319"/>
      <c r="CF806" s="319"/>
      <c r="CG806" s="319"/>
      <c r="CH806" s="319"/>
      <c r="CI806" s="319"/>
      <c r="CJ806" s="319"/>
      <c r="CK806" s="319"/>
    </row>
    <row r="807" spans="1:89" ht="13.5" hidden="1" customHeight="1">
      <c r="A807" s="14"/>
      <c r="B807" s="15"/>
      <c r="C807" s="15"/>
      <c r="D807" s="15"/>
      <c r="E807" s="15"/>
      <c r="F807" s="15"/>
      <c r="G807" s="15"/>
      <c r="H807" s="15"/>
      <c r="I807" s="15"/>
      <c r="J807" s="15"/>
      <c r="K807" s="11"/>
      <c r="L807" s="1"/>
      <c r="M807" s="319"/>
      <c r="N807" s="319">
        <v>5090000</v>
      </c>
      <c r="O807" s="319"/>
      <c r="P807" s="319"/>
      <c r="Q807" s="319"/>
      <c r="R807" s="319"/>
      <c r="S807" s="319"/>
      <c r="T807" s="319"/>
      <c r="U807" s="319"/>
      <c r="V807" s="319"/>
      <c r="W807" s="319"/>
      <c r="X807" s="319"/>
      <c r="Y807" s="319"/>
      <c r="Z807" s="319"/>
      <c r="AA807" s="319"/>
      <c r="AB807" s="319"/>
      <c r="AC807" s="319"/>
      <c r="AD807" s="319"/>
      <c r="AE807" s="319"/>
      <c r="AF807" s="319"/>
      <c r="AG807" s="319"/>
      <c r="AH807" s="319"/>
      <c r="AI807" s="319"/>
      <c r="AJ807" s="319"/>
      <c r="AK807" s="319"/>
      <c r="AL807" s="319"/>
      <c r="AM807" s="319"/>
      <c r="AN807" s="319"/>
      <c r="AO807" s="319"/>
      <c r="AP807" s="319"/>
      <c r="AQ807" s="319"/>
      <c r="AR807" s="319"/>
      <c r="AS807" s="319"/>
      <c r="AT807" s="319"/>
      <c r="AU807" s="319"/>
      <c r="AV807" s="319"/>
      <c r="AW807" s="319"/>
      <c r="AX807" s="319"/>
      <c r="AY807" s="319"/>
      <c r="AZ807" s="319"/>
      <c r="BA807" s="319"/>
      <c r="BB807" s="319"/>
      <c r="BC807" s="319"/>
      <c r="BD807" s="319"/>
      <c r="BE807" s="319"/>
      <c r="BF807" s="319"/>
      <c r="BG807" s="319"/>
      <c r="BH807" s="319"/>
      <c r="BI807" s="319"/>
      <c r="BJ807" s="319"/>
      <c r="BK807" s="319"/>
      <c r="BL807" s="319"/>
      <c r="BM807" s="319"/>
      <c r="BN807" s="319"/>
      <c r="BO807" s="319"/>
      <c r="BP807" s="319"/>
      <c r="BQ807" s="319"/>
      <c r="BR807" s="319"/>
      <c r="BS807" s="319"/>
      <c r="BT807" s="319"/>
      <c r="BU807" s="319"/>
      <c r="BV807" s="319"/>
      <c r="BW807" s="319"/>
      <c r="BX807" s="319"/>
      <c r="BY807" s="319"/>
      <c r="BZ807" s="319"/>
      <c r="CA807" s="319"/>
      <c r="CB807" s="319"/>
      <c r="CC807" s="319"/>
      <c r="CD807" s="319"/>
      <c r="CE807" s="319"/>
      <c r="CF807" s="319"/>
      <c r="CG807" s="319"/>
      <c r="CH807" s="319"/>
      <c r="CI807" s="319"/>
      <c r="CJ807" s="319"/>
      <c r="CK807" s="319"/>
    </row>
    <row r="808" spans="1:89" ht="13.5" hidden="1" customHeight="1">
      <c r="A808" s="12"/>
      <c r="B808" s="28" t="str">
        <f>Language!C542</f>
        <v>Sistema de refrigeração</v>
      </c>
      <c r="C808" s="1"/>
      <c r="D808" s="1"/>
      <c r="E808" s="1"/>
      <c r="F808" s="1"/>
      <c r="G808" s="1"/>
      <c r="H808" s="1"/>
      <c r="I808" s="1"/>
      <c r="J808" s="1"/>
      <c r="K808" s="9"/>
      <c r="L808" s="1"/>
      <c r="M808" s="319"/>
      <c r="N808" s="319">
        <v>2000000</v>
      </c>
      <c r="O808" s="319"/>
      <c r="P808" s="319"/>
      <c r="Q808" s="319"/>
      <c r="R808" s="319"/>
      <c r="S808" s="319"/>
      <c r="T808" s="319"/>
      <c r="U808" s="319"/>
      <c r="V808" s="319"/>
      <c r="W808" s="319"/>
      <c r="X808" s="319"/>
      <c r="Y808" s="319"/>
      <c r="Z808" s="319"/>
      <c r="AA808" s="319"/>
      <c r="AB808" s="319"/>
      <c r="AC808" s="319"/>
      <c r="AD808" s="319"/>
      <c r="AE808" s="319"/>
      <c r="AF808" s="319"/>
      <c r="AG808" s="319"/>
      <c r="AH808" s="319"/>
      <c r="AI808" s="319"/>
      <c r="AJ808" s="319"/>
      <c r="AK808" s="319"/>
      <c r="AL808" s="319"/>
      <c r="AM808" s="319"/>
      <c r="AN808" s="319"/>
      <c r="AO808" s="319"/>
      <c r="AP808" s="319"/>
      <c r="AQ808" s="319"/>
      <c r="AR808" s="319"/>
      <c r="AS808" s="319"/>
      <c r="AT808" s="319"/>
      <c r="AU808" s="319"/>
      <c r="AV808" s="319"/>
      <c r="AW808" s="319"/>
      <c r="AX808" s="319"/>
      <c r="AY808" s="319"/>
      <c r="AZ808" s="319"/>
      <c r="BA808" s="319"/>
      <c r="BB808" s="319"/>
      <c r="BC808" s="319"/>
      <c r="BD808" s="319"/>
      <c r="BE808" s="319"/>
      <c r="BF808" s="319"/>
      <c r="BG808" s="319"/>
      <c r="BH808" s="319"/>
      <c r="BI808" s="319"/>
      <c r="BJ808" s="319"/>
      <c r="BK808" s="319"/>
      <c r="BL808" s="319"/>
      <c r="BM808" s="319"/>
      <c r="BN808" s="319"/>
      <c r="BO808" s="319"/>
      <c r="BP808" s="319"/>
      <c r="BQ808" s="319"/>
      <c r="BR808" s="319"/>
      <c r="BS808" s="319"/>
      <c r="BT808" s="319"/>
      <c r="BU808" s="319"/>
      <c r="BV808" s="319"/>
      <c r="BW808" s="319"/>
      <c r="BX808" s="319"/>
      <c r="BY808" s="319"/>
      <c r="BZ808" s="319"/>
      <c r="CA808" s="319"/>
      <c r="CB808" s="319"/>
      <c r="CC808" s="319"/>
      <c r="CD808" s="319"/>
      <c r="CE808" s="319"/>
      <c r="CF808" s="319"/>
      <c r="CG808" s="319"/>
      <c r="CH808" s="319"/>
      <c r="CI808" s="319"/>
      <c r="CJ808" s="319"/>
      <c r="CK808" s="319"/>
    </row>
    <row r="809" spans="1:89" ht="12.75" hidden="1" customHeight="1">
      <c r="A809" s="12"/>
      <c r="B809" s="1"/>
      <c r="C809" s="1"/>
      <c r="D809" s="1"/>
      <c r="E809" s="1"/>
      <c r="F809" s="1"/>
      <c r="G809" s="1"/>
      <c r="H809" s="1"/>
      <c r="I809" s="1"/>
      <c r="J809" s="1"/>
      <c r="K809" s="9"/>
      <c r="L809" s="1"/>
      <c r="M809" s="319"/>
      <c r="N809" s="319">
        <v>2000000</v>
      </c>
      <c r="O809" s="319"/>
      <c r="P809" s="319"/>
      <c r="Q809" s="3" t="b">
        <v>0</v>
      </c>
      <c r="R809" s="319"/>
      <c r="S809" s="319"/>
      <c r="T809" s="319"/>
      <c r="U809" s="319"/>
      <c r="V809" s="319"/>
      <c r="W809" s="319"/>
      <c r="X809" s="319"/>
      <c r="Y809" s="319"/>
      <c r="Z809" s="319"/>
      <c r="AA809" s="319"/>
      <c r="AB809" s="319"/>
      <c r="AC809" s="319"/>
      <c r="AD809" s="319"/>
      <c r="AE809" s="319"/>
      <c r="AF809" s="319"/>
      <c r="AG809" s="319"/>
      <c r="AH809" s="319"/>
      <c r="AI809" s="319"/>
      <c r="AJ809" s="319"/>
      <c r="AK809" s="319"/>
      <c r="AL809" s="319"/>
      <c r="AM809" s="319"/>
      <c r="AN809" s="319"/>
      <c r="AO809" s="319"/>
      <c r="AP809" s="319"/>
      <c r="AQ809" s="319"/>
      <c r="AR809" s="319"/>
      <c r="AS809" s="319"/>
      <c r="AT809" s="319"/>
      <c r="AU809" s="319"/>
      <c r="AV809" s="319"/>
      <c r="AW809" s="319"/>
      <c r="AX809" s="319"/>
      <c r="AY809" s="319"/>
      <c r="AZ809" s="319"/>
      <c r="BA809" s="319"/>
      <c r="BB809" s="319"/>
      <c r="BC809" s="319"/>
      <c r="BD809" s="319"/>
      <c r="BE809" s="319"/>
      <c r="BF809" s="319"/>
      <c r="BG809" s="319"/>
      <c r="BH809" s="319"/>
      <c r="BI809" s="319"/>
      <c r="BJ809" s="319"/>
      <c r="BK809" s="319"/>
      <c r="BL809" s="319"/>
      <c r="BM809" s="319"/>
      <c r="BN809" s="319"/>
      <c r="BO809" s="319"/>
      <c r="BP809" s="319"/>
      <c r="BQ809" s="319"/>
      <c r="BR809" s="319"/>
      <c r="BS809" s="319"/>
      <c r="BT809" s="319"/>
      <c r="BU809" s="319"/>
      <c r="BV809" s="319"/>
      <c r="BW809" s="319"/>
      <c r="BX809" s="319"/>
      <c r="BY809" s="319"/>
      <c r="BZ809" s="319"/>
      <c r="CA809" s="319"/>
      <c r="CB809" s="319"/>
      <c r="CC809" s="319"/>
      <c r="CD809" s="319"/>
      <c r="CE809" s="319"/>
      <c r="CF809" s="319"/>
      <c r="CG809" s="319"/>
      <c r="CH809" s="319"/>
      <c r="CI809" s="319"/>
      <c r="CJ809" s="319"/>
      <c r="CK809" s="319"/>
    </row>
    <row r="810" spans="1:89" ht="12.75" hidden="1" customHeight="1">
      <c r="A810" s="1009" t="s">
        <v>4189</v>
      </c>
      <c r="B810" s="28"/>
      <c r="C810" s="1"/>
      <c r="D810" s="82"/>
      <c r="E810" s="82"/>
      <c r="F810" s="82"/>
      <c r="G810" s="82"/>
      <c r="H810" s="1"/>
      <c r="I810" s="1"/>
      <c r="J810" s="1"/>
      <c r="K810" s="9"/>
      <c r="L810" s="1"/>
      <c r="M810" s="319"/>
      <c r="N810" s="319">
        <v>2000000</v>
      </c>
      <c r="O810" s="319"/>
      <c r="P810" s="319"/>
      <c r="Q810" s="319"/>
      <c r="R810" s="319"/>
      <c r="S810" s="319"/>
      <c r="T810" s="319"/>
      <c r="U810" s="319"/>
      <c r="V810" s="319"/>
      <c r="W810" s="319"/>
      <c r="X810" s="319"/>
      <c r="Y810" s="319"/>
      <c r="Z810" s="319"/>
      <c r="AA810" s="319"/>
      <c r="AB810" s="319"/>
      <c r="AC810" s="319"/>
      <c r="AD810" s="319"/>
      <c r="AE810" s="319"/>
      <c r="AF810" s="319"/>
      <c r="AG810" s="319"/>
      <c r="AH810" s="319"/>
      <c r="AI810" s="319"/>
      <c r="AJ810" s="319"/>
      <c r="AK810" s="319"/>
      <c r="AL810" s="319"/>
      <c r="AM810" s="319"/>
      <c r="AN810" s="319"/>
      <c r="AO810" s="319"/>
      <c r="AP810" s="319"/>
      <c r="AQ810" s="319"/>
      <c r="AR810" s="319"/>
      <c r="AS810" s="319"/>
      <c r="AT810" s="319"/>
      <c r="AU810" s="319"/>
      <c r="AV810" s="319"/>
      <c r="AW810" s="319"/>
      <c r="AX810" s="319"/>
      <c r="AY810" s="319"/>
      <c r="AZ810" s="319"/>
      <c r="BA810" s="319"/>
      <c r="BB810" s="319"/>
      <c r="BC810" s="319"/>
      <c r="BD810" s="319"/>
      <c r="BE810" s="319"/>
      <c r="BF810" s="319"/>
      <c r="BG810" s="319"/>
      <c r="BH810" s="319"/>
      <c r="BI810" s="319"/>
      <c r="BJ810" s="319"/>
      <c r="BK810" s="319"/>
      <c r="BL810" s="319"/>
      <c r="BM810" s="319"/>
      <c r="BN810" s="319"/>
      <c r="BO810" s="319"/>
      <c r="BP810" s="319"/>
      <c r="BQ810" s="319"/>
      <c r="BR810" s="319"/>
      <c r="BS810" s="319"/>
      <c r="BT810" s="319"/>
      <c r="BU810" s="319"/>
      <c r="BV810" s="319"/>
      <c r="BW810" s="319"/>
      <c r="BX810" s="319"/>
      <c r="BY810" s="319"/>
      <c r="BZ810" s="319"/>
      <c r="CA810" s="319"/>
      <c r="CB810" s="319"/>
      <c r="CC810" s="319"/>
      <c r="CD810" s="319"/>
      <c r="CE810" s="319"/>
      <c r="CF810" s="319"/>
      <c r="CG810" s="319"/>
      <c r="CH810" s="319"/>
      <c r="CI810" s="319"/>
      <c r="CJ810" s="319"/>
      <c r="CK810" s="319"/>
    </row>
    <row r="811" spans="1:89" ht="13.5" hidden="1" customHeight="1">
      <c r="A811" s="12"/>
      <c r="B811" s="1"/>
      <c r="C811" s="303"/>
      <c r="D811" s="307"/>
      <c r="E811" s="307"/>
      <c r="F811" s="1"/>
      <c r="G811" s="1"/>
      <c r="H811" s="1"/>
      <c r="I811" s="1"/>
      <c r="J811" s="1"/>
      <c r="K811" s="9"/>
      <c r="L811" s="1"/>
      <c r="M811" s="319"/>
      <c r="N811" s="319">
        <v>2000000</v>
      </c>
      <c r="O811" s="319"/>
      <c r="P811" s="319"/>
      <c r="Q811" s="319"/>
      <c r="R811" s="319">
        <v>1234</v>
      </c>
      <c r="S811" s="319"/>
      <c r="T811" s="319"/>
      <c r="U811" s="319"/>
      <c r="V811" s="319"/>
      <c r="W811" s="319"/>
      <c r="X811" s="319"/>
      <c r="Y811" s="319"/>
      <c r="Z811" s="319"/>
      <c r="AA811" s="319"/>
      <c r="AB811" s="319"/>
      <c r="AC811" s="319"/>
      <c r="AD811" s="319"/>
      <c r="AE811" s="319"/>
      <c r="AF811" s="319"/>
      <c r="AG811" s="319"/>
      <c r="AH811" s="319"/>
      <c r="AI811" s="319"/>
      <c r="AJ811" s="319"/>
      <c r="AK811" s="319"/>
      <c r="AL811" s="319"/>
      <c r="AM811" s="319"/>
      <c r="AN811" s="319"/>
      <c r="AO811" s="319"/>
      <c r="AP811" s="319"/>
      <c r="AQ811" s="319"/>
      <c r="AR811" s="319"/>
      <c r="AS811" s="319"/>
      <c r="AT811" s="319"/>
      <c r="AU811" s="319"/>
      <c r="AV811" s="319"/>
      <c r="AW811" s="319"/>
      <c r="AX811" s="319"/>
      <c r="AY811" s="319"/>
      <c r="AZ811" s="319"/>
      <c r="BA811" s="319"/>
      <c r="BB811" s="319"/>
      <c r="BC811" s="319"/>
      <c r="BD811" s="319"/>
      <c r="BE811" s="319"/>
      <c r="BF811" s="319"/>
      <c r="BG811" s="319"/>
      <c r="BH811" s="319"/>
      <c r="BI811" s="319"/>
      <c r="BJ811" s="319"/>
      <c r="BK811" s="319"/>
      <c r="BL811" s="319"/>
      <c r="BM811" s="319"/>
      <c r="BN811" s="319"/>
      <c r="BO811" s="319"/>
      <c r="BP811" s="319"/>
      <c r="BQ811" s="319"/>
      <c r="BR811" s="319"/>
      <c r="BS811" s="319"/>
      <c r="BT811" s="319"/>
      <c r="BU811" s="319"/>
      <c r="BV811" s="319"/>
      <c r="BW811" s="319"/>
      <c r="BX811" s="319"/>
      <c r="BY811" s="319"/>
      <c r="BZ811" s="319"/>
      <c r="CA811" s="319"/>
      <c r="CB811" s="319"/>
      <c r="CC811" s="319"/>
      <c r="CD811" s="319"/>
      <c r="CE811" s="319"/>
      <c r="CF811" s="319"/>
      <c r="CG811" s="319"/>
      <c r="CH811" s="319"/>
      <c r="CI811" s="319"/>
      <c r="CJ811" s="319"/>
      <c r="CK811" s="319"/>
    </row>
    <row r="812" spans="1:89" ht="13.5" hidden="1" customHeight="1">
      <c r="A812" s="12"/>
      <c r="B812" s="1"/>
      <c r="C812" s="303"/>
      <c r="D812" s="307"/>
      <c r="E812" s="307"/>
      <c r="F812" s="1"/>
      <c r="G812" s="1"/>
      <c r="H812" s="1"/>
      <c r="I812" s="1"/>
      <c r="J812" s="1"/>
      <c r="K812" s="9"/>
      <c r="L812" s="1"/>
      <c r="M812" s="319"/>
      <c r="N812" s="319">
        <v>2000000</v>
      </c>
      <c r="O812" s="319"/>
      <c r="P812" s="319"/>
      <c r="Q812" s="319"/>
      <c r="R812" s="319"/>
      <c r="S812" s="319"/>
      <c r="T812" s="319"/>
      <c r="U812" s="319"/>
      <c r="V812" s="319"/>
      <c r="W812" s="319"/>
      <c r="X812" s="319"/>
      <c r="Y812" s="319"/>
      <c r="Z812" s="319"/>
      <c r="AA812" s="319"/>
      <c r="AB812" s="319"/>
      <c r="AC812" s="319"/>
      <c r="AD812" s="319"/>
      <c r="AE812" s="319"/>
      <c r="AF812" s="319"/>
      <c r="AG812" s="319"/>
      <c r="AH812" s="319"/>
      <c r="AI812" s="319"/>
      <c r="AJ812" s="319"/>
      <c r="AK812" s="319"/>
      <c r="AL812" s="319"/>
      <c r="AM812" s="319"/>
      <c r="AN812" s="319"/>
      <c r="AO812" s="319"/>
      <c r="AP812" s="319"/>
      <c r="AQ812" s="319"/>
      <c r="AR812" s="319"/>
      <c r="AS812" s="319"/>
      <c r="AT812" s="319"/>
      <c r="AU812" s="319"/>
      <c r="AV812" s="319"/>
      <c r="AW812" s="319"/>
      <c r="AX812" s="319"/>
      <c r="AY812" s="319"/>
      <c r="AZ812" s="319"/>
      <c r="BA812" s="319"/>
      <c r="BB812" s="319"/>
      <c r="BC812" s="319"/>
      <c r="BD812" s="319"/>
      <c r="BE812" s="319"/>
      <c r="BF812" s="319"/>
      <c r="BG812" s="319"/>
      <c r="BH812" s="319"/>
      <c r="BI812" s="319"/>
      <c r="BJ812" s="319"/>
      <c r="BK812" s="319"/>
      <c r="BL812" s="319"/>
      <c r="BM812" s="319"/>
      <c r="BN812" s="319"/>
      <c r="BO812" s="319"/>
      <c r="BP812" s="319"/>
      <c r="BQ812" s="319"/>
      <c r="BR812" s="319"/>
      <c r="BS812" s="319"/>
      <c r="BT812" s="319"/>
      <c r="BU812" s="319"/>
      <c r="BV812" s="319"/>
      <c r="BW812" s="319"/>
      <c r="BX812" s="319"/>
      <c r="BY812" s="319"/>
      <c r="BZ812" s="319"/>
      <c r="CA812" s="319"/>
      <c r="CB812" s="319"/>
      <c r="CC812" s="319"/>
      <c r="CD812" s="319"/>
      <c r="CE812" s="319"/>
      <c r="CF812" s="319"/>
      <c r="CG812" s="319"/>
      <c r="CH812" s="319"/>
      <c r="CI812" s="319"/>
      <c r="CJ812" s="319"/>
      <c r="CK812" s="319"/>
    </row>
    <row r="813" spans="1:89" ht="13.5" hidden="1" customHeight="1">
      <c r="A813" s="12"/>
      <c r="B813" s="1"/>
      <c r="C813" s="29" t="str">
        <f>$C$254</f>
        <v>%</v>
      </c>
      <c r="D813" s="339"/>
      <c r="E813" s="339"/>
      <c r="F813" s="1"/>
      <c r="G813" s="1"/>
      <c r="H813" s="1"/>
      <c r="I813" s="1"/>
      <c r="J813" s="1"/>
      <c r="K813" s="9"/>
      <c r="L813" s="1"/>
      <c r="M813" s="319"/>
      <c r="N813" s="319">
        <v>2000000</v>
      </c>
      <c r="O813" s="319"/>
      <c r="P813" s="319"/>
      <c r="Q813" s="319"/>
      <c r="R813" s="319"/>
      <c r="S813" s="319"/>
      <c r="T813" s="319"/>
      <c r="U813" s="319"/>
      <c r="V813" s="319"/>
      <c r="W813" s="319"/>
      <c r="X813" s="319"/>
      <c r="Y813" s="319"/>
      <c r="Z813" s="319"/>
      <c r="AA813" s="319"/>
      <c r="AB813" s="319"/>
      <c r="AC813" s="319"/>
      <c r="AD813" s="319"/>
      <c r="AE813" s="319"/>
      <c r="AF813" s="319"/>
      <c r="AG813" s="319"/>
      <c r="AH813" s="319"/>
      <c r="AI813" s="319"/>
      <c r="AJ813" s="319"/>
      <c r="AK813" s="319"/>
      <c r="AL813" s="319"/>
      <c r="AM813" s="319"/>
      <c r="AN813" s="319"/>
      <c r="AO813" s="319"/>
      <c r="AP813" s="319"/>
      <c r="AQ813" s="319"/>
      <c r="AR813" s="319"/>
      <c r="AS813" s="319"/>
      <c r="AT813" s="319"/>
      <c r="AU813" s="319"/>
      <c r="AV813" s="319"/>
      <c r="AW813" s="319"/>
      <c r="AX813" s="319"/>
      <c r="AY813" s="319"/>
      <c r="AZ813" s="319"/>
      <c r="BA813" s="319"/>
      <c r="BB813" s="319"/>
      <c r="BC813" s="319"/>
      <c r="BD813" s="319"/>
      <c r="BE813" s="319"/>
      <c r="BF813" s="319"/>
      <c r="BG813" s="319"/>
      <c r="BH813" s="319"/>
      <c r="BI813" s="319"/>
      <c r="BJ813" s="319"/>
      <c r="BK813" s="319"/>
      <c r="BL813" s="319"/>
      <c r="BM813" s="319"/>
      <c r="BN813" s="319"/>
      <c r="BO813" s="319"/>
      <c r="BP813" s="319"/>
      <c r="BQ813" s="319"/>
      <c r="BR813" s="319"/>
      <c r="BS813" s="319"/>
      <c r="BT813" s="319"/>
      <c r="BU813" s="319"/>
      <c r="BV813" s="319"/>
      <c r="BW813" s="319"/>
      <c r="BX813" s="319"/>
      <c r="BY813" s="319"/>
      <c r="BZ813" s="319"/>
      <c r="CA813" s="319"/>
      <c r="CB813" s="319"/>
      <c r="CC813" s="319"/>
      <c r="CD813" s="319"/>
      <c r="CE813" s="319"/>
      <c r="CF813" s="319"/>
      <c r="CG813" s="319"/>
      <c r="CH813" s="319"/>
      <c r="CI813" s="319"/>
      <c r="CJ813" s="319"/>
      <c r="CK813" s="319"/>
    </row>
    <row r="814" spans="1:89" ht="13.2" hidden="1">
      <c r="A814" s="12"/>
      <c r="B814" s="1"/>
      <c r="C814" s="29" t="str">
        <f>$J$1184</f>
        <v>MWh</v>
      </c>
      <c r="D814" s="54">
        <f>D815*R811/1000</f>
        <v>0</v>
      </c>
      <c r="E814" s="54">
        <f>E815*R811/1000</f>
        <v>0</v>
      </c>
      <c r="F814" s="40" t="e">
        <f>1-E815/D815</f>
        <v>#DIV/0!</v>
      </c>
      <c r="G814" s="1"/>
      <c r="H814" s="1"/>
      <c r="I814" s="1"/>
      <c r="J814" s="1"/>
      <c r="K814" s="9"/>
      <c r="L814" s="1"/>
      <c r="M814" s="319"/>
      <c r="N814" s="319">
        <v>2000000</v>
      </c>
      <c r="O814" s="319"/>
      <c r="P814" s="319"/>
      <c r="Q814" s="319"/>
      <c r="R814" s="319"/>
      <c r="S814" s="319"/>
      <c r="T814" s="319"/>
      <c r="U814" s="319"/>
      <c r="V814" s="319"/>
      <c r="W814" s="319"/>
      <c r="X814" s="319"/>
      <c r="Y814" s="319"/>
      <c r="Z814" s="319"/>
      <c r="AA814" s="319"/>
      <c r="AB814" s="319"/>
      <c r="AC814" s="319"/>
      <c r="AD814" s="319"/>
      <c r="AE814" s="319"/>
      <c r="AF814" s="319"/>
      <c r="AG814" s="319"/>
      <c r="AH814" s="319"/>
      <c r="AI814" s="319"/>
      <c r="AJ814" s="319"/>
      <c r="AK814" s="319"/>
      <c r="AL814" s="319"/>
      <c r="AM814" s="319"/>
      <c r="AN814" s="319"/>
      <c r="AO814" s="319"/>
      <c r="AP814" s="319"/>
      <c r="AQ814" s="319"/>
      <c r="AR814" s="319"/>
      <c r="AS814" s="319"/>
      <c r="AT814" s="319"/>
      <c r="AU814" s="319"/>
      <c r="AV814" s="319"/>
      <c r="AW814" s="319"/>
      <c r="AX814" s="319"/>
      <c r="AY814" s="319"/>
      <c r="AZ814" s="319"/>
      <c r="BA814" s="319"/>
      <c r="BB814" s="319"/>
      <c r="BC814" s="319"/>
      <c r="BD814" s="319"/>
      <c r="BE814" s="319"/>
      <c r="BF814" s="319"/>
      <c r="BG814" s="319"/>
      <c r="BH814" s="319"/>
      <c r="BI814" s="319"/>
      <c r="BJ814" s="319"/>
      <c r="BK814" s="319"/>
      <c r="BL814" s="319"/>
      <c r="BM814" s="319"/>
      <c r="BN814" s="319"/>
      <c r="BO814" s="319"/>
      <c r="BP814" s="319"/>
      <c r="BQ814" s="319"/>
      <c r="BR814" s="319"/>
      <c r="BS814" s="319"/>
      <c r="BT814" s="319"/>
      <c r="BU814" s="319"/>
      <c r="BV814" s="319"/>
      <c r="BW814" s="319"/>
      <c r="BX814" s="319"/>
      <c r="BY814" s="319"/>
      <c r="BZ814" s="319"/>
      <c r="CA814" s="319"/>
      <c r="CB814" s="319"/>
      <c r="CC814" s="319"/>
      <c r="CD814" s="319"/>
      <c r="CE814" s="319"/>
      <c r="CF814" s="319"/>
      <c r="CG814" s="319"/>
      <c r="CH814" s="319"/>
      <c r="CI814" s="319"/>
      <c r="CJ814" s="319"/>
      <c r="CK814" s="319"/>
    </row>
    <row r="815" spans="1:89" ht="13.5" hidden="1" customHeight="1">
      <c r="A815" s="12"/>
      <c r="B815" s="1"/>
      <c r="C815" s="29" t="str">
        <f>F1169</f>
        <v>kW</v>
      </c>
      <c r="D815" s="54">
        <f>D811*D812/1000</f>
        <v>0</v>
      </c>
      <c r="E815" s="54">
        <f>E811*E812/1000</f>
        <v>0</v>
      </c>
      <c r="F815" s="1"/>
      <c r="G815" s="1"/>
      <c r="H815" s="1"/>
      <c r="I815" s="1"/>
      <c r="J815" s="1"/>
      <c r="K815" s="9"/>
      <c r="L815" s="1"/>
      <c r="M815" s="319"/>
      <c r="N815" s="319">
        <v>2000000</v>
      </c>
      <c r="O815" s="319"/>
      <c r="P815" s="319"/>
      <c r="Q815" s="319"/>
      <c r="R815" s="319"/>
      <c r="S815" s="319"/>
      <c r="T815" s="319"/>
      <c r="U815" s="319"/>
      <c r="V815" s="319"/>
      <c r="W815" s="319"/>
      <c r="X815" s="319"/>
      <c r="Y815" s="319"/>
      <c r="Z815" s="319"/>
      <c r="AA815" s="319"/>
      <c r="AB815" s="319"/>
      <c r="AC815" s="319"/>
      <c r="AD815" s="319"/>
      <c r="AE815" s="319"/>
      <c r="AF815" s="319"/>
      <c r="AG815" s="319"/>
      <c r="AH815" s="319"/>
      <c r="AI815" s="319"/>
      <c r="AJ815" s="319"/>
      <c r="AK815" s="319"/>
      <c r="AL815" s="319"/>
      <c r="AM815" s="319"/>
      <c r="AN815" s="319"/>
      <c r="AO815" s="319"/>
      <c r="AP815" s="319"/>
      <c r="AQ815" s="319"/>
      <c r="AR815" s="319"/>
      <c r="AS815" s="319"/>
      <c r="AT815" s="319"/>
      <c r="AU815" s="319"/>
      <c r="AV815" s="319"/>
      <c r="AW815" s="319"/>
      <c r="AX815" s="319"/>
      <c r="AY815" s="319"/>
      <c r="AZ815" s="319"/>
      <c r="BA815" s="319"/>
      <c r="BB815" s="319"/>
      <c r="BC815" s="319"/>
      <c r="BD815" s="319"/>
      <c r="BE815" s="319"/>
      <c r="BF815" s="319"/>
      <c r="BG815" s="319"/>
      <c r="BH815" s="319"/>
      <c r="BI815" s="319"/>
      <c r="BJ815" s="319"/>
      <c r="BK815" s="319"/>
      <c r="BL815" s="319"/>
      <c r="BM815" s="319"/>
      <c r="BN815" s="319"/>
      <c r="BO815" s="319"/>
      <c r="BP815" s="319"/>
      <c r="BQ815" s="319"/>
      <c r="BR815" s="319"/>
      <c r="BS815" s="319"/>
      <c r="BT815" s="319"/>
      <c r="BU815" s="319"/>
      <c r="BV815" s="319"/>
      <c r="BW815" s="319"/>
      <c r="BX815" s="319"/>
      <c r="BY815" s="319"/>
      <c r="BZ815" s="319"/>
      <c r="CA815" s="319"/>
      <c r="CB815" s="319"/>
      <c r="CC815" s="319"/>
      <c r="CD815" s="319"/>
      <c r="CE815" s="319"/>
      <c r="CF815" s="319"/>
      <c r="CG815" s="319"/>
      <c r="CH815" s="319"/>
      <c r="CI815" s="319"/>
      <c r="CJ815" s="319"/>
      <c r="CK815" s="319"/>
    </row>
    <row r="816" spans="1:89" ht="13.5" hidden="1" customHeight="1">
      <c r="A816" s="12"/>
      <c r="B816" s="28"/>
      <c r="C816" s="1"/>
      <c r="D816" s="1"/>
      <c r="E816" s="1"/>
      <c r="F816" s="1"/>
      <c r="G816" s="1"/>
      <c r="H816" s="1"/>
      <c r="I816" s="1"/>
      <c r="J816" s="1"/>
      <c r="K816" s="9"/>
      <c r="L816" s="1"/>
      <c r="M816" s="319"/>
      <c r="N816" s="319">
        <v>2000000</v>
      </c>
      <c r="O816" s="319"/>
      <c r="P816" s="319"/>
      <c r="Q816" s="319"/>
      <c r="R816" s="319"/>
      <c r="S816" s="319"/>
      <c r="T816" s="319"/>
      <c r="U816" s="319"/>
      <c r="V816" s="319"/>
      <c r="W816" s="319"/>
      <c r="X816" s="319"/>
      <c r="Y816" s="319"/>
      <c r="Z816" s="319"/>
      <c r="AA816" s="319"/>
      <c r="AB816" s="319"/>
      <c r="AC816" s="319"/>
      <c r="AD816" s="319"/>
      <c r="AE816" s="319"/>
      <c r="AF816" s="319"/>
      <c r="AG816" s="319"/>
      <c r="AH816" s="319"/>
      <c r="AI816" s="319"/>
      <c r="AJ816" s="319"/>
      <c r="AK816" s="319"/>
      <c r="AL816" s="319"/>
      <c r="AM816" s="319"/>
      <c r="AN816" s="319"/>
      <c r="AO816" s="319"/>
      <c r="AP816" s="319"/>
      <c r="AQ816" s="319"/>
      <c r="AR816" s="319"/>
      <c r="AS816" s="319"/>
      <c r="AT816" s="319"/>
      <c r="AU816" s="319"/>
      <c r="AV816" s="319"/>
      <c r="AW816" s="319"/>
      <c r="AX816" s="319"/>
      <c r="AY816" s="319"/>
      <c r="AZ816" s="319"/>
      <c r="BA816" s="319"/>
      <c r="BB816" s="319"/>
      <c r="BC816" s="319"/>
      <c r="BD816" s="319"/>
      <c r="BE816" s="319"/>
      <c r="BF816" s="319"/>
      <c r="BG816" s="319"/>
      <c r="BH816" s="319"/>
      <c r="BI816" s="319"/>
      <c r="BJ816" s="319"/>
      <c r="BK816" s="319"/>
      <c r="BL816" s="319"/>
      <c r="BM816" s="319"/>
      <c r="BN816" s="319"/>
      <c r="BO816" s="319"/>
      <c r="BP816" s="319"/>
      <c r="BQ816" s="319"/>
      <c r="BR816" s="319"/>
      <c r="BS816" s="319"/>
      <c r="BT816" s="319"/>
      <c r="BU816" s="319"/>
      <c r="BV816" s="319"/>
      <c r="BW816" s="319"/>
      <c r="BX816" s="319"/>
      <c r="BY816" s="319"/>
      <c r="BZ816" s="319"/>
      <c r="CA816" s="319"/>
      <c r="CB816" s="319"/>
      <c r="CC816" s="319"/>
      <c r="CD816" s="319"/>
      <c r="CE816" s="319"/>
      <c r="CF816" s="319"/>
      <c r="CG816" s="319"/>
      <c r="CH816" s="319"/>
      <c r="CI816" s="319"/>
      <c r="CJ816" s="319"/>
      <c r="CK816" s="319"/>
    </row>
    <row r="817" spans="1:89" ht="13.2" hidden="1">
      <c r="A817" s="12"/>
      <c r="B817" s="1"/>
      <c r="C817" s="1"/>
      <c r="D817" s="419"/>
      <c r="E817" s="419"/>
      <c r="F817" s="1"/>
      <c r="G817" s="1"/>
      <c r="H817" s="1"/>
      <c r="I817" s="1"/>
      <c r="J817" s="1"/>
      <c r="K817" s="9"/>
      <c r="L817" s="1"/>
      <c r="M817" s="319"/>
      <c r="N817" s="319">
        <v>2000000</v>
      </c>
      <c r="O817" s="319"/>
      <c r="P817" s="319"/>
      <c r="Q817" s="319"/>
      <c r="R817" s="319"/>
      <c r="S817" s="319"/>
      <c r="T817" s="319"/>
      <c r="U817" s="319"/>
      <c r="V817" s="319"/>
      <c r="W817" s="319"/>
      <c r="X817" s="319"/>
      <c r="Y817" s="319"/>
      <c r="Z817" s="319"/>
      <c r="AA817" s="319"/>
      <c r="AB817" s="319"/>
      <c r="AC817" s="319"/>
      <c r="AD817" s="319"/>
      <c r="AE817" s="319"/>
      <c r="AF817" s="319"/>
      <c r="AG817" s="319"/>
      <c r="AH817" s="319"/>
      <c r="AI817" s="319"/>
      <c r="AJ817" s="319"/>
      <c r="AK817" s="319"/>
      <c r="AL817" s="319"/>
      <c r="AM817" s="319"/>
      <c r="AN817" s="319"/>
      <c r="AO817" s="319"/>
      <c r="AP817" s="319"/>
      <c r="AQ817" s="319"/>
      <c r="AR817" s="319"/>
      <c r="AS817" s="319"/>
      <c r="AT817" s="319"/>
      <c r="AU817" s="319"/>
      <c r="AV817" s="319"/>
      <c r="AW817" s="319"/>
      <c r="AX817" s="319"/>
      <c r="AY817" s="319"/>
      <c r="AZ817" s="319"/>
      <c r="BA817" s="319"/>
      <c r="BB817" s="319"/>
      <c r="BC817" s="319"/>
      <c r="BD817" s="319"/>
      <c r="BE817" s="319"/>
      <c r="BF817" s="319"/>
      <c r="BG817" s="319"/>
      <c r="BH817" s="319"/>
      <c r="BI817" s="319"/>
      <c r="BJ817" s="319"/>
      <c r="BK817" s="319"/>
      <c r="BL817" s="319"/>
      <c r="BM817" s="319"/>
      <c r="BN817" s="319"/>
      <c r="BO817" s="319"/>
      <c r="BP817" s="319"/>
      <c r="BQ817" s="319"/>
      <c r="BR817" s="319"/>
      <c r="BS817" s="319"/>
      <c r="BT817" s="319"/>
      <c r="BU817" s="319"/>
      <c r="BV817" s="319"/>
      <c r="BW817" s="319"/>
      <c r="BX817" s="319"/>
      <c r="BY817" s="319"/>
      <c r="BZ817" s="319"/>
      <c r="CA817" s="319"/>
      <c r="CB817" s="319"/>
      <c r="CC817" s="319"/>
      <c r="CD817" s="319"/>
      <c r="CE817" s="319"/>
      <c r="CF817" s="319"/>
      <c r="CG817" s="319"/>
      <c r="CH817" s="319"/>
      <c r="CI817" s="319"/>
      <c r="CJ817" s="319"/>
      <c r="CK817" s="319"/>
    </row>
    <row r="818" spans="1:89" ht="13.5" hidden="1" customHeight="1">
      <c r="A818" s="12"/>
      <c r="B818" s="1"/>
      <c r="C818" s="29" t="str">
        <f>$C$254</f>
        <v>%</v>
      </c>
      <c r="D818" s="339"/>
      <c r="E818" s="339"/>
      <c r="F818" s="1"/>
      <c r="G818" s="1368"/>
      <c r="H818" s="1"/>
      <c r="I818" s="1"/>
      <c r="J818" s="1"/>
      <c r="K818" s="9"/>
      <c r="L818" s="1"/>
      <c r="M818" s="319"/>
      <c r="N818" s="319">
        <v>2000000</v>
      </c>
      <c r="O818" s="319"/>
      <c r="P818" s="319"/>
      <c r="Q818" s="319"/>
      <c r="R818" s="319"/>
      <c r="S818" s="319"/>
      <c r="T818" s="319"/>
      <c r="U818" s="319"/>
      <c r="V818" s="319"/>
      <c r="W818" s="319"/>
      <c r="X818" s="319"/>
      <c r="Y818" s="319"/>
      <c r="Z818" s="319"/>
      <c r="AA818" s="319"/>
      <c r="AB818" s="319"/>
      <c r="AC818" s="319"/>
      <c r="AD818" s="319"/>
      <c r="AE818" s="319"/>
      <c r="AF818" s="319"/>
      <c r="AG818" s="319"/>
      <c r="AH818" s="319"/>
      <c r="AI818" s="319"/>
      <c r="AJ818" s="319"/>
      <c r="AK818" s="319"/>
      <c r="AL818" s="319"/>
      <c r="AM818" s="319"/>
      <c r="AN818" s="319"/>
      <c r="AO818" s="319"/>
      <c r="AP818" s="319"/>
      <c r="AQ818" s="319"/>
      <c r="AR818" s="319"/>
      <c r="AS818" s="319"/>
      <c r="AT818" s="319"/>
      <c r="AU818" s="319"/>
      <c r="AV818" s="319"/>
      <c r="AW818" s="319"/>
      <c r="AX818" s="319"/>
      <c r="AY818" s="319"/>
      <c r="AZ818" s="319"/>
      <c r="BA818" s="319"/>
      <c r="BB818" s="319"/>
      <c r="BC818" s="319"/>
      <c r="BD818" s="319"/>
      <c r="BE818" s="319"/>
      <c r="BF818" s="319"/>
      <c r="BG818" s="319"/>
      <c r="BH818" s="319"/>
      <c r="BI818" s="319"/>
      <c r="BJ818" s="319"/>
      <c r="BK818" s="319"/>
      <c r="BL818" s="319"/>
      <c r="BM818" s="319"/>
      <c r="BN818" s="319"/>
      <c r="BO818" s="319"/>
      <c r="BP818" s="319"/>
      <c r="BQ818" s="319"/>
      <c r="BR818" s="319"/>
      <c r="BS818" s="319"/>
      <c r="BT818" s="319"/>
      <c r="BU818" s="319"/>
      <c r="BV818" s="319"/>
      <c r="BW818" s="319"/>
      <c r="BX818" s="319"/>
      <c r="BY818" s="319"/>
      <c r="BZ818" s="319"/>
      <c r="CA818" s="319"/>
      <c r="CB818" s="319"/>
      <c r="CC818" s="319"/>
      <c r="CD818" s="319"/>
      <c r="CE818" s="319"/>
      <c r="CF818" s="319"/>
      <c r="CG818" s="319"/>
      <c r="CH818" s="319"/>
      <c r="CI818" s="319"/>
      <c r="CJ818" s="319"/>
      <c r="CK818" s="319"/>
    </row>
    <row r="819" spans="1:89" ht="13.5" hidden="1" customHeight="1">
      <c r="A819" s="12"/>
      <c r="B819" s="1"/>
      <c r="C819" s="29" t="e">
        <f>VLOOKUP(D817,LN_FuelList,3,FALSE)</f>
        <v>#N/A</v>
      </c>
      <c r="D819" s="30" t="e">
        <f>IF(EE_CS_CB1=TRUE,D814,0)/VLOOKUP(D817,LN_FuelList,4,FALSE)*1000/D818</f>
        <v>#N/A</v>
      </c>
      <c r="E819" s="30" t="e">
        <f>IF(EE_CS_CB1=TRUE,E814,0)/VLOOKUP(E817,LN_FuelList,4,FALSE)*1000/E818</f>
        <v>#N/A</v>
      </c>
      <c r="F819" s="29" t="e">
        <f>VLOOKUP(E817,LN_FuelList,3,FALSE)</f>
        <v>#N/A</v>
      </c>
      <c r="G819" s="1"/>
      <c r="H819" s="1"/>
      <c r="I819" s="1"/>
      <c r="J819" s="1"/>
      <c r="K819" s="9"/>
      <c r="L819" s="1"/>
      <c r="M819" s="319"/>
      <c r="N819" s="319">
        <v>2000000</v>
      </c>
      <c r="O819" s="319"/>
      <c r="P819" s="319"/>
      <c r="Q819" s="319"/>
      <c r="R819" s="319"/>
      <c r="S819" s="319"/>
      <c r="T819" s="319"/>
      <c r="U819" s="319"/>
      <c r="V819" s="319"/>
      <c r="W819" s="319"/>
      <c r="X819" s="319"/>
      <c r="Y819" s="319"/>
      <c r="Z819" s="319"/>
      <c r="AA819" s="319"/>
      <c r="AB819" s="319"/>
      <c r="AC819" s="319"/>
      <c r="AD819" s="319"/>
      <c r="AE819" s="319"/>
      <c r="AF819" s="319"/>
      <c r="AG819" s="319"/>
      <c r="AH819" s="319"/>
      <c r="AI819" s="319"/>
      <c r="AJ819" s="319"/>
      <c r="AK819" s="319"/>
      <c r="AL819" s="319"/>
      <c r="AM819" s="319"/>
      <c r="AN819" s="319"/>
      <c r="AO819" s="319"/>
      <c r="AP819" s="319"/>
      <c r="AQ819" s="319"/>
      <c r="AR819" s="319"/>
      <c r="AS819" s="319"/>
      <c r="AT819" s="319"/>
      <c r="AU819" s="319"/>
      <c r="AV819" s="319"/>
      <c r="AW819" s="319"/>
      <c r="AX819" s="319"/>
      <c r="AY819" s="319"/>
      <c r="AZ819" s="319"/>
      <c r="BA819" s="319"/>
      <c r="BB819" s="319"/>
      <c r="BC819" s="319"/>
      <c r="BD819" s="319"/>
      <c r="BE819" s="319"/>
      <c r="BF819" s="319"/>
      <c r="BG819" s="319"/>
      <c r="BH819" s="319"/>
      <c r="BI819" s="319"/>
      <c r="BJ819" s="319"/>
      <c r="BK819" s="319"/>
      <c r="BL819" s="319"/>
      <c r="BM819" s="319"/>
      <c r="BN819" s="319"/>
      <c r="BO819" s="319"/>
      <c r="BP819" s="319"/>
      <c r="BQ819" s="319"/>
      <c r="BR819" s="319"/>
      <c r="BS819" s="319"/>
      <c r="BT819" s="319"/>
      <c r="BU819" s="319"/>
      <c r="BV819" s="319"/>
      <c r="BW819" s="319"/>
      <c r="BX819" s="319"/>
      <c r="BY819" s="319"/>
      <c r="BZ819" s="319"/>
      <c r="CA819" s="319"/>
      <c r="CB819" s="319"/>
      <c r="CC819" s="319"/>
      <c r="CD819" s="319"/>
      <c r="CE819" s="319"/>
      <c r="CF819" s="319"/>
      <c r="CG819" s="319"/>
      <c r="CH819" s="319"/>
      <c r="CI819" s="319"/>
      <c r="CJ819" s="319"/>
      <c r="CK819" s="319"/>
    </row>
    <row r="820" spans="1:89" ht="13.2" hidden="1">
      <c r="A820" s="12"/>
      <c r="B820" s="1"/>
      <c r="C820" s="29" t="e">
        <f>VLOOKUP(D817,LN_FuelList,5,FALSE)</f>
        <v>#N/A</v>
      </c>
      <c r="D820" s="399"/>
      <c r="E820" s="399"/>
      <c r="F820" s="29" t="e">
        <f>VLOOKUP(E817,LN_FuelList,5,FALSE)</f>
        <v>#N/A</v>
      </c>
      <c r="G820" s="1"/>
      <c r="H820" s="1"/>
      <c r="I820" s="1"/>
      <c r="J820" s="1"/>
      <c r="K820" s="9"/>
      <c r="L820" s="1"/>
      <c r="M820" s="319"/>
      <c r="N820" s="319">
        <v>2000000</v>
      </c>
      <c r="O820" s="319"/>
      <c r="P820" s="319"/>
      <c r="Q820" s="319"/>
      <c r="R820" s="319"/>
      <c r="S820" s="319"/>
      <c r="T820" s="319"/>
      <c r="U820" s="319"/>
      <c r="V820" s="319"/>
      <c r="W820" s="319"/>
      <c r="X820" s="319"/>
      <c r="Y820" s="319"/>
      <c r="Z820" s="319"/>
      <c r="AA820" s="319"/>
      <c r="AB820" s="319"/>
      <c r="AC820" s="319"/>
      <c r="AD820" s="319"/>
      <c r="AE820" s="319"/>
      <c r="AF820" s="319"/>
      <c r="AG820" s="319"/>
      <c r="AH820" s="319"/>
      <c r="AI820" s="319"/>
      <c r="AJ820" s="319"/>
      <c r="AK820" s="319"/>
      <c r="AL820" s="319"/>
      <c r="AM820" s="319"/>
      <c r="AN820" s="319"/>
      <c r="AO820" s="319"/>
      <c r="AP820" s="319"/>
      <c r="AQ820" s="319"/>
      <c r="AR820" s="319"/>
      <c r="AS820" s="319"/>
      <c r="AT820" s="319"/>
      <c r="AU820" s="319"/>
      <c r="AV820" s="319"/>
      <c r="AW820" s="319"/>
      <c r="AX820" s="319"/>
      <c r="AY820" s="319"/>
      <c r="AZ820" s="319"/>
      <c r="BA820" s="319"/>
      <c r="BB820" s="319"/>
      <c r="BC820" s="319"/>
      <c r="BD820" s="319"/>
      <c r="BE820" s="319"/>
      <c r="BF820" s="319"/>
      <c r="BG820" s="319"/>
      <c r="BH820" s="319"/>
      <c r="BI820" s="319"/>
      <c r="BJ820" s="319"/>
      <c r="BK820" s="319"/>
      <c r="BL820" s="319"/>
      <c r="BM820" s="319"/>
      <c r="BN820" s="319"/>
      <c r="BO820" s="319"/>
      <c r="BP820" s="319"/>
      <c r="BQ820" s="319"/>
      <c r="BR820" s="319"/>
      <c r="BS820" s="319"/>
      <c r="BT820" s="319"/>
      <c r="BU820" s="319"/>
      <c r="BV820" s="319"/>
      <c r="BW820" s="319"/>
      <c r="BX820" s="319"/>
      <c r="BY820" s="319"/>
      <c r="BZ820" s="319"/>
      <c r="CA820" s="319"/>
      <c r="CB820" s="319"/>
      <c r="CC820" s="319"/>
      <c r="CD820" s="319"/>
      <c r="CE820" s="319"/>
      <c r="CF820" s="319"/>
      <c r="CG820" s="319"/>
      <c r="CH820" s="319"/>
      <c r="CI820" s="319"/>
      <c r="CJ820" s="319"/>
      <c r="CK820" s="319"/>
    </row>
    <row r="821" spans="1:89" ht="13.5" hidden="1" customHeight="1">
      <c r="A821" s="12"/>
      <c r="B821" s="1"/>
      <c r="C821" s="29" t="str">
        <f>$C$805</f>
        <v>€</v>
      </c>
      <c r="D821" s="30" t="e">
        <f>D819*D820</f>
        <v>#N/A</v>
      </c>
      <c r="E821" s="30" t="e">
        <f>E819*E820</f>
        <v>#N/A</v>
      </c>
      <c r="F821" s="1"/>
      <c r="G821" s="1"/>
      <c r="H821" s="1"/>
      <c r="I821" s="1"/>
      <c r="J821" s="1"/>
      <c r="K821" s="9"/>
      <c r="L821" s="1"/>
      <c r="M821" s="319"/>
      <c r="N821" s="319">
        <v>2000000</v>
      </c>
      <c r="O821" s="319"/>
      <c r="P821" s="319"/>
      <c r="Q821" s="319"/>
      <c r="R821" s="319"/>
      <c r="S821" s="319"/>
      <c r="T821" s="319"/>
      <c r="U821" s="319"/>
      <c r="V821" s="319"/>
      <c r="W821" s="319"/>
      <c r="X821" s="319"/>
      <c r="Y821" s="319"/>
      <c r="Z821" s="319"/>
      <c r="AA821" s="319"/>
      <c r="AB821" s="319"/>
      <c r="AC821" s="319"/>
      <c r="AD821" s="319"/>
      <c r="AE821" s="319"/>
      <c r="AF821" s="319"/>
      <c r="AG821" s="319"/>
      <c r="AH821" s="319"/>
      <c r="AI821" s="319"/>
      <c r="AJ821" s="319"/>
      <c r="AK821" s="319"/>
      <c r="AL821" s="319"/>
      <c r="AM821" s="319"/>
      <c r="AN821" s="319"/>
      <c r="AO821" s="319"/>
      <c r="AP821" s="319"/>
      <c r="AQ821" s="319"/>
      <c r="AR821" s="319"/>
      <c r="AS821" s="319"/>
      <c r="AT821" s="319"/>
      <c r="AU821" s="319"/>
      <c r="AV821" s="319"/>
      <c r="AW821" s="319"/>
      <c r="AX821" s="319"/>
      <c r="AY821" s="319"/>
      <c r="AZ821" s="319"/>
      <c r="BA821" s="319"/>
      <c r="BB821" s="319"/>
      <c r="BC821" s="319"/>
      <c r="BD821" s="319"/>
      <c r="BE821" s="319"/>
      <c r="BF821" s="319"/>
      <c r="BG821" s="319"/>
      <c r="BH821" s="319"/>
      <c r="BI821" s="319"/>
      <c r="BJ821" s="319"/>
      <c r="BK821" s="319"/>
      <c r="BL821" s="319"/>
      <c r="BM821" s="319"/>
      <c r="BN821" s="319"/>
      <c r="BO821" s="319"/>
      <c r="BP821" s="319"/>
      <c r="BQ821" s="319"/>
      <c r="BR821" s="319"/>
      <c r="BS821" s="319"/>
      <c r="BT821" s="319"/>
      <c r="BU821" s="319"/>
      <c r="BV821" s="319"/>
      <c r="BW821" s="319"/>
      <c r="BX821" s="319"/>
      <c r="BY821" s="319"/>
      <c r="BZ821" s="319"/>
      <c r="CA821" s="319"/>
      <c r="CB821" s="319"/>
      <c r="CC821" s="319"/>
      <c r="CD821" s="319"/>
      <c r="CE821" s="319"/>
      <c r="CF821" s="319"/>
      <c r="CG821" s="319"/>
      <c r="CH821" s="319"/>
      <c r="CI821" s="319"/>
      <c r="CJ821" s="319"/>
      <c r="CK821" s="319"/>
    </row>
    <row r="822" spans="1:89" ht="13.5" hidden="1" customHeight="1">
      <c r="A822" s="12"/>
      <c r="B822" s="1"/>
      <c r="C822" s="303"/>
      <c r="D822" s="307"/>
      <c r="E822" s="307"/>
      <c r="F822" s="1"/>
      <c r="G822" s="1"/>
      <c r="H822" s="1"/>
      <c r="I822" s="1"/>
      <c r="J822" s="1"/>
      <c r="K822" s="9"/>
      <c r="L822" s="1"/>
      <c r="M822" s="319"/>
      <c r="N822" s="319">
        <v>2000000</v>
      </c>
      <c r="O822" s="319"/>
      <c r="P822" s="319"/>
      <c r="Q822" s="319"/>
      <c r="R822" s="319"/>
      <c r="S822" s="319"/>
      <c r="T822" s="319"/>
      <c r="U822" s="319"/>
      <c r="V822" s="319"/>
      <c r="W822" s="319"/>
      <c r="X822" s="319"/>
      <c r="Y822" s="319"/>
      <c r="Z822" s="319"/>
      <c r="AA822" s="319"/>
      <c r="AB822" s="319"/>
      <c r="AC822" s="319"/>
      <c r="AD822" s="319"/>
      <c r="AE822" s="319"/>
      <c r="AF822" s="319"/>
      <c r="AG822" s="319"/>
      <c r="AH822" s="319"/>
      <c r="AI822" s="319"/>
      <c r="AJ822" s="319"/>
      <c r="AK822" s="319"/>
      <c r="AL822" s="319"/>
      <c r="AM822" s="319"/>
      <c r="AN822" s="319"/>
      <c r="AO822" s="319"/>
      <c r="AP822" s="319"/>
      <c r="AQ822" s="319"/>
      <c r="AR822" s="319"/>
      <c r="AS822" s="319"/>
      <c r="AT822" s="319"/>
      <c r="AU822" s="319"/>
      <c r="AV822" s="319"/>
      <c r="AW822" s="319"/>
      <c r="AX822" s="319"/>
      <c r="AY822" s="319"/>
      <c r="AZ822" s="319"/>
      <c r="BA822" s="319"/>
      <c r="BB822" s="319"/>
      <c r="BC822" s="319"/>
      <c r="BD822" s="319"/>
      <c r="BE822" s="319"/>
      <c r="BF822" s="319"/>
      <c r="BG822" s="319"/>
      <c r="BH822" s="319"/>
      <c r="BI822" s="319"/>
      <c r="BJ822" s="319"/>
      <c r="BK822" s="319"/>
      <c r="BL822" s="319"/>
      <c r="BM822" s="319"/>
      <c r="BN822" s="319"/>
      <c r="BO822" s="319"/>
      <c r="BP822" s="319"/>
      <c r="BQ822" s="319"/>
      <c r="BR822" s="319"/>
      <c r="BS822" s="319"/>
      <c r="BT822" s="319"/>
      <c r="BU822" s="319"/>
      <c r="BV822" s="319"/>
      <c r="BW822" s="319"/>
      <c r="BX822" s="319"/>
      <c r="BY822" s="319"/>
      <c r="BZ822" s="319"/>
      <c r="CA822" s="319"/>
      <c r="CB822" s="319"/>
      <c r="CC822" s="319"/>
      <c r="CD822" s="319"/>
      <c r="CE822" s="319"/>
      <c r="CF822" s="319"/>
      <c r="CG822" s="319"/>
      <c r="CH822" s="319"/>
      <c r="CI822" s="319"/>
      <c r="CJ822" s="319"/>
      <c r="CK822" s="319"/>
    </row>
    <row r="823" spans="1:89" ht="13.5" hidden="1" customHeight="1">
      <c r="A823" s="12"/>
      <c r="B823" s="1"/>
      <c r="C823" s="29" t="str">
        <f>$J$1184</f>
        <v>MWh</v>
      </c>
      <c r="D823" s="1"/>
      <c r="E823" s="1"/>
      <c r="F823" s="1"/>
      <c r="G823" s="1"/>
      <c r="H823" s="1"/>
      <c r="I823" s="1"/>
      <c r="J823" s="1"/>
      <c r="K823" s="9"/>
      <c r="L823" s="1"/>
      <c r="M823" s="319"/>
      <c r="N823" s="319">
        <v>2000000</v>
      </c>
      <c r="O823" s="319"/>
      <c r="P823" s="319"/>
      <c r="Q823" s="319"/>
      <c r="R823" s="319"/>
      <c r="S823" s="319"/>
      <c r="T823" s="319"/>
      <c r="U823" s="319"/>
      <c r="V823" s="319"/>
      <c r="W823" s="319"/>
      <c r="X823" s="319"/>
      <c r="Y823" s="319"/>
      <c r="Z823" s="319"/>
      <c r="AA823" s="319"/>
      <c r="AB823" s="319"/>
      <c r="AC823" s="319"/>
      <c r="AD823" s="319"/>
      <c r="AE823" s="319"/>
      <c r="AF823" s="319"/>
      <c r="AG823" s="319"/>
      <c r="AH823" s="319"/>
      <c r="AI823" s="319"/>
      <c r="AJ823" s="319"/>
      <c r="AK823" s="319"/>
      <c r="AL823" s="319"/>
      <c r="AM823" s="319"/>
      <c r="AN823" s="319"/>
      <c r="AO823" s="319"/>
      <c r="AP823" s="319"/>
      <c r="AQ823" s="319"/>
      <c r="AR823" s="319"/>
      <c r="AS823" s="319"/>
      <c r="AT823" s="319"/>
      <c r="AU823" s="319"/>
      <c r="AV823" s="319"/>
      <c r="AW823" s="319"/>
      <c r="AX823" s="319"/>
      <c r="AY823" s="319"/>
      <c r="AZ823" s="319"/>
      <c r="BA823" s="319"/>
      <c r="BB823" s="319"/>
      <c r="BC823" s="319"/>
      <c r="BD823" s="319"/>
      <c r="BE823" s="319"/>
      <c r="BF823" s="319"/>
      <c r="BG823" s="319"/>
      <c r="BH823" s="319"/>
      <c r="BI823" s="319"/>
      <c r="BJ823" s="319"/>
      <c r="BK823" s="319"/>
      <c r="BL823" s="319"/>
      <c r="BM823" s="319"/>
      <c r="BN823" s="319"/>
      <c r="BO823" s="319"/>
      <c r="BP823" s="319"/>
      <c r="BQ823" s="319"/>
      <c r="BR823" s="319"/>
      <c r="BS823" s="319"/>
      <c r="BT823" s="319"/>
      <c r="BU823" s="319"/>
      <c r="BV823" s="319"/>
      <c r="BW823" s="319"/>
      <c r="BX823" s="319"/>
      <c r="BY823" s="319"/>
      <c r="BZ823" s="319"/>
      <c r="CA823" s="319"/>
      <c r="CB823" s="319"/>
      <c r="CC823" s="319"/>
      <c r="CD823" s="319"/>
      <c r="CE823" s="319"/>
      <c r="CF823" s="319"/>
      <c r="CG823" s="319"/>
      <c r="CH823" s="319"/>
      <c r="CI823" s="319"/>
      <c r="CJ823" s="319"/>
      <c r="CK823" s="319"/>
    </row>
    <row r="824" spans="1:89" ht="13.5" hidden="1" customHeight="1">
      <c r="A824" s="12"/>
      <c r="B824" s="8"/>
      <c r="C824" s="8"/>
      <c r="D824" s="8"/>
      <c r="E824" s="8"/>
      <c r="F824" s="8"/>
      <c r="G824" s="8"/>
      <c r="H824" s="8"/>
      <c r="I824" s="8"/>
      <c r="J824" s="8"/>
      <c r="K824" s="9"/>
      <c r="L824" s="1"/>
      <c r="M824" s="319"/>
      <c r="N824" s="319">
        <v>2000000</v>
      </c>
      <c r="O824" s="319"/>
      <c r="P824" s="319"/>
      <c r="Q824" s="319"/>
      <c r="R824" s="319"/>
      <c r="S824" s="319"/>
      <c r="T824" s="319"/>
      <c r="U824" s="319"/>
      <c r="V824" s="319"/>
      <c r="W824" s="319"/>
      <c r="X824" s="319"/>
      <c r="Y824" s="319"/>
      <c r="Z824" s="319"/>
      <c r="AA824" s="319"/>
      <c r="AB824" s="319"/>
      <c r="AC824" s="319"/>
      <c r="AD824" s="319"/>
      <c r="AE824" s="319"/>
      <c r="AF824" s="319"/>
      <c r="AG824" s="319"/>
      <c r="AH824" s="319"/>
      <c r="AI824" s="319"/>
      <c r="AJ824" s="319"/>
      <c r="AK824" s="319"/>
      <c r="AL824" s="319"/>
      <c r="AM824" s="319"/>
      <c r="AN824" s="319"/>
      <c r="AO824" s="319"/>
      <c r="AP824" s="319"/>
      <c r="AQ824" s="319"/>
      <c r="AR824" s="319"/>
      <c r="AS824" s="319"/>
      <c r="AT824" s="319"/>
      <c r="AU824" s="319"/>
      <c r="AV824" s="319"/>
      <c r="AW824" s="319"/>
      <c r="AX824" s="319"/>
      <c r="AY824" s="319"/>
      <c r="AZ824" s="319"/>
      <c r="BA824" s="319"/>
      <c r="BB824" s="319"/>
      <c r="BC824" s="319"/>
      <c r="BD824" s="319"/>
      <c r="BE824" s="319"/>
      <c r="BF824" s="319"/>
      <c r="BG824" s="319"/>
      <c r="BH824" s="319"/>
      <c r="BI824" s="319"/>
      <c r="BJ824" s="319"/>
      <c r="BK824" s="319"/>
      <c r="BL824" s="319"/>
      <c r="BM824" s="319"/>
      <c r="BN824" s="319"/>
      <c r="BO824" s="319"/>
      <c r="BP824" s="319"/>
      <c r="BQ824" s="319"/>
      <c r="BR824" s="319"/>
      <c r="BS824" s="319"/>
      <c r="BT824" s="319"/>
      <c r="BU824" s="319"/>
      <c r="BV824" s="319"/>
      <c r="BW824" s="319"/>
      <c r="BX824" s="319"/>
      <c r="BY824" s="319"/>
      <c r="BZ824" s="319"/>
      <c r="CA824" s="319"/>
      <c r="CB824" s="319"/>
      <c r="CC824" s="319"/>
      <c r="CD824" s="319"/>
      <c r="CE824" s="319"/>
      <c r="CF824" s="319"/>
      <c r="CG824" s="319"/>
      <c r="CH824" s="319"/>
      <c r="CI824" s="319"/>
      <c r="CJ824" s="319"/>
      <c r="CK824" s="319"/>
    </row>
    <row r="825" spans="1:89" ht="13.5" hidden="1" customHeight="1">
      <c r="A825" s="14"/>
      <c r="B825" s="15"/>
      <c r="C825" s="15"/>
      <c r="D825" s="15"/>
      <c r="E825" s="15"/>
      <c r="F825" s="15"/>
      <c r="G825" s="15"/>
      <c r="H825" s="15"/>
      <c r="I825" s="15"/>
      <c r="J825" s="15"/>
      <c r="K825" s="11"/>
      <c r="L825" s="1"/>
      <c r="M825" s="319"/>
      <c r="N825" s="319">
        <v>2000000</v>
      </c>
      <c r="O825" s="319"/>
      <c r="P825" s="319"/>
      <c r="Q825" s="319"/>
      <c r="R825" s="319"/>
      <c r="S825" s="319"/>
      <c r="T825" s="319"/>
      <c r="U825" s="319"/>
      <c r="V825" s="319"/>
      <c r="W825" s="319"/>
      <c r="X825" s="319"/>
      <c r="Y825" s="319"/>
      <c r="Z825" s="319"/>
      <c r="AA825" s="319"/>
      <c r="AB825" s="319"/>
      <c r="AC825" s="319"/>
      <c r="AD825" s="319"/>
      <c r="AE825" s="319"/>
      <c r="AF825" s="319"/>
      <c r="AG825" s="319"/>
      <c r="AH825" s="319"/>
      <c r="AI825" s="319"/>
      <c r="AJ825" s="319"/>
      <c r="AK825" s="319"/>
      <c r="AL825" s="319"/>
      <c r="AM825" s="319"/>
      <c r="AN825" s="319"/>
      <c r="AO825" s="319"/>
      <c r="AP825" s="319"/>
      <c r="AQ825" s="319"/>
      <c r="AR825" s="319"/>
      <c r="AS825" s="319"/>
      <c r="AT825" s="319"/>
      <c r="AU825" s="319"/>
      <c r="AV825" s="319"/>
      <c r="AW825" s="319"/>
      <c r="AX825" s="319"/>
      <c r="AY825" s="319"/>
      <c r="AZ825" s="319"/>
      <c r="BA825" s="319"/>
      <c r="BB825" s="319"/>
      <c r="BC825" s="319"/>
      <c r="BD825" s="319"/>
      <c r="BE825" s="319"/>
      <c r="BF825" s="319"/>
      <c r="BG825" s="319"/>
      <c r="BH825" s="319"/>
      <c r="BI825" s="319"/>
      <c r="BJ825" s="319"/>
      <c r="BK825" s="319"/>
      <c r="BL825" s="319"/>
      <c r="BM825" s="319"/>
      <c r="BN825" s="319"/>
      <c r="BO825" s="319"/>
      <c r="BP825" s="319"/>
      <c r="BQ825" s="319"/>
      <c r="BR825" s="319"/>
      <c r="BS825" s="319"/>
      <c r="BT825" s="319"/>
      <c r="BU825" s="319"/>
      <c r="BV825" s="319"/>
      <c r="BW825" s="319"/>
      <c r="BX825" s="319"/>
      <c r="BY825" s="319"/>
      <c r="BZ825" s="319"/>
      <c r="CA825" s="319"/>
      <c r="CB825" s="319"/>
      <c r="CC825" s="319"/>
      <c r="CD825" s="319"/>
      <c r="CE825" s="319"/>
      <c r="CF825" s="319"/>
      <c r="CG825" s="319"/>
      <c r="CH825" s="319"/>
      <c r="CI825" s="319"/>
      <c r="CJ825" s="319"/>
      <c r="CK825" s="319"/>
    </row>
    <row r="826" spans="1:89" ht="13.5" hidden="1" customHeight="1">
      <c r="A826" s="12"/>
      <c r="B826" s="28" t="str">
        <f>B987</f>
        <v>Sistema de produção de eletricidade</v>
      </c>
      <c r="C826" s="1"/>
      <c r="D826" s="1"/>
      <c r="E826" s="1"/>
      <c r="F826" s="1"/>
      <c r="G826" s="1"/>
      <c r="H826" s="1"/>
      <c r="I826" s="1"/>
      <c r="J826" s="1"/>
      <c r="K826" s="9"/>
      <c r="L826" s="1"/>
      <c r="M826" s="319"/>
      <c r="N826" s="319">
        <v>2000000</v>
      </c>
      <c r="O826" s="319"/>
      <c r="P826" s="319"/>
      <c r="Q826" s="3" t="b">
        <v>1</v>
      </c>
      <c r="R826" s="3" t="b">
        <v>0</v>
      </c>
      <c r="S826" s="319">
        <f>IF(Q826=TRUE,1,2)</f>
        <v>1</v>
      </c>
      <c r="T826" s="319"/>
      <c r="U826" s="319"/>
      <c r="V826" s="319"/>
      <c r="W826" s="319"/>
      <c r="X826" s="319"/>
      <c r="Y826" s="319"/>
      <c r="Z826" s="319"/>
      <c r="AA826" s="319"/>
      <c r="AB826" s="319"/>
      <c r="AC826" s="319"/>
      <c r="AD826" s="319"/>
      <c r="AE826" s="319"/>
      <c r="AF826" s="319"/>
      <c r="AG826" s="319"/>
      <c r="AH826" s="319"/>
      <c r="AI826" s="319"/>
      <c r="AJ826" s="319"/>
      <c r="AK826" s="319"/>
      <c r="AL826" s="319"/>
      <c r="AM826" s="319"/>
      <c r="AN826" s="319"/>
      <c r="AO826" s="319"/>
      <c r="AP826" s="319"/>
      <c r="AQ826" s="319"/>
      <c r="AR826" s="319"/>
      <c r="AS826" s="319"/>
      <c r="AT826" s="319"/>
      <c r="AU826" s="319"/>
      <c r="AV826" s="319"/>
      <c r="AW826" s="319"/>
      <c r="AX826" s="319"/>
      <c r="AY826" s="319"/>
      <c r="AZ826" s="319"/>
      <c r="BA826" s="319"/>
      <c r="BB826" s="319"/>
      <c r="BC826" s="319"/>
      <c r="BD826" s="319"/>
      <c r="BE826" s="319"/>
      <c r="BF826" s="319"/>
      <c r="BG826" s="319"/>
      <c r="BH826" s="319"/>
      <c r="BI826" s="319"/>
      <c r="BJ826" s="319"/>
      <c r="BK826" s="319"/>
      <c r="BL826" s="319"/>
      <c r="BM826" s="319"/>
      <c r="BN826" s="319"/>
      <c r="BO826" s="319"/>
      <c r="BP826" s="319"/>
      <c r="BQ826" s="319"/>
      <c r="BR826" s="319"/>
      <c r="BS826" s="319"/>
      <c r="BT826" s="319"/>
      <c r="BU826" s="319"/>
      <c r="BV826" s="319"/>
      <c r="BW826" s="319"/>
      <c r="BX826" s="319"/>
      <c r="BY826" s="319"/>
      <c r="BZ826" s="319"/>
      <c r="CA826" s="319"/>
      <c r="CB826" s="319"/>
      <c r="CC826" s="319"/>
      <c r="CD826" s="319"/>
      <c r="CE826" s="319"/>
      <c r="CF826" s="319"/>
      <c r="CG826" s="319"/>
      <c r="CH826" s="319"/>
      <c r="CI826" s="319"/>
      <c r="CJ826" s="319"/>
      <c r="CK826" s="319"/>
    </row>
    <row r="827" spans="1:89" ht="12.75" hidden="1" customHeight="1">
      <c r="A827" s="12"/>
      <c r="B827" s="1028" t="s">
        <v>2057</v>
      </c>
      <c r="C827" s="720">
        <v>1</v>
      </c>
      <c r="D827" s="1028" t="s">
        <v>2057</v>
      </c>
      <c r="E827" s="265">
        <v>2</v>
      </c>
      <c r="F827" s="1"/>
      <c r="G827" s="1"/>
      <c r="H827" s="1"/>
      <c r="I827" s="1"/>
      <c r="J827" s="1"/>
      <c r="K827" s="9"/>
      <c r="L827" s="1"/>
      <c r="M827" s="319"/>
      <c r="N827" s="319">
        <v>2000000</v>
      </c>
      <c r="O827" s="319"/>
      <c r="P827" s="319"/>
      <c r="Q827" s="319"/>
      <c r="R827" s="319"/>
      <c r="S827" s="319"/>
      <c r="T827" s="319"/>
      <c r="U827" s="319"/>
      <c r="V827" s="319"/>
      <c r="W827" s="319"/>
      <c r="X827" s="319"/>
      <c r="Y827" s="319"/>
      <c r="Z827" s="319"/>
      <c r="AA827" s="319"/>
      <c r="AB827" s="319"/>
      <c r="AC827" s="319"/>
      <c r="AD827" s="319"/>
      <c r="AE827" s="319"/>
      <c r="AF827" s="319"/>
      <c r="AG827" s="319"/>
      <c r="AH827" s="319"/>
      <c r="AI827" s="319"/>
      <c r="AJ827" s="319"/>
      <c r="AK827" s="319"/>
      <c r="AL827" s="319"/>
      <c r="AM827" s="319"/>
      <c r="AN827" s="319"/>
      <c r="AO827" s="319"/>
      <c r="AP827" s="319"/>
      <c r="AQ827" s="319"/>
      <c r="AR827" s="319"/>
      <c r="AS827" s="319"/>
      <c r="AT827" s="319"/>
      <c r="AU827" s="319"/>
      <c r="AV827" s="319"/>
      <c r="AW827" s="319"/>
      <c r="AX827" s="319"/>
      <c r="AY827" s="319"/>
      <c r="AZ827" s="319"/>
      <c r="BA827" s="319"/>
      <c r="BB827" s="319"/>
      <c r="BC827" s="319"/>
      <c r="BD827" s="319"/>
      <c r="BE827" s="319"/>
      <c r="BF827" s="319"/>
      <c r="BG827" s="319"/>
      <c r="BH827" s="319"/>
      <c r="BI827" s="319"/>
      <c r="BJ827" s="319"/>
      <c r="BK827" s="319"/>
      <c r="BL827" s="319"/>
      <c r="BM827" s="319"/>
      <c r="BN827" s="319"/>
      <c r="BO827" s="319"/>
      <c r="BP827" s="319"/>
      <c r="BQ827" s="319"/>
      <c r="BR827" s="319"/>
      <c r="BS827" s="319"/>
      <c r="BT827" s="319"/>
      <c r="BU827" s="319"/>
      <c r="BV827" s="319"/>
      <c r="BW827" s="319"/>
      <c r="BX827" s="319"/>
      <c r="BY827" s="319"/>
      <c r="BZ827" s="319"/>
      <c r="CA827" s="319"/>
      <c r="CB827" s="319"/>
      <c r="CC827" s="319"/>
      <c r="CD827" s="319"/>
      <c r="CE827" s="319"/>
      <c r="CF827" s="319"/>
      <c r="CG827" s="319"/>
      <c r="CH827" s="319"/>
      <c r="CI827" s="319"/>
      <c r="CJ827" s="319"/>
      <c r="CK827" s="319"/>
    </row>
    <row r="828" spans="1:89" ht="12.75" hidden="1" customHeight="1">
      <c r="A828" s="12"/>
      <c r="B828" s="1"/>
      <c r="C828" s="1"/>
      <c r="D828" s="1"/>
      <c r="E828" s="1"/>
      <c r="F828" s="1"/>
      <c r="G828" s="1"/>
      <c r="H828" s="1"/>
      <c r="I828" s="1"/>
      <c r="J828" s="1"/>
      <c r="K828" s="9"/>
      <c r="L828" s="1"/>
      <c r="M828" s="319"/>
      <c r="N828" s="319">
        <v>2000000</v>
      </c>
      <c r="O828" s="319"/>
      <c r="P828" s="319"/>
      <c r="Q828" s="319"/>
      <c r="R828" s="319"/>
      <c r="S828" s="319"/>
      <c r="T828" s="319"/>
      <c r="U828" s="319"/>
      <c r="V828" s="319"/>
      <c r="W828" s="319"/>
      <c r="X828" s="319"/>
      <c r="Y828" s="319"/>
      <c r="Z828" s="319"/>
      <c r="AA828" s="319"/>
      <c r="AB828" s="319"/>
      <c r="AC828" s="319"/>
      <c r="AD828" s="319"/>
      <c r="AE828" s="319"/>
      <c r="AF828" s="319"/>
      <c r="AG828" s="319"/>
      <c r="AH828" s="319"/>
      <c r="AI828" s="319"/>
      <c r="AJ828" s="319"/>
      <c r="AK828" s="319"/>
      <c r="AL828" s="319"/>
      <c r="AM828" s="319"/>
      <c r="AN828" s="319"/>
      <c r="AO828" s="319"/>
      <c r="AP828" s="319"/>
      <c r="AQ828" s="319"/>
      <c r="AR828" s="319"/>
      <c r="AS828" s="319"/>
      <c r="AT828" s="319"/>
      <c r="AU828" s="319"/>
      <c r="AV828" s="319"/>
      <c r="AW828" s="319"/>
      <c r="AX828" s="319"/>
      <c r="AY828" s="319"/>
      <c r="AZ828" s="319"/>
      <c r="BA828" s="319"/>
      <c r="BB828" s="319"/>
      <c r="BC828" s="319"/>
      <c r="BD828" s="319"/>
      <c r="BE828" s="319"/>
      <c r="BF828" s="319"/>
      <c r="BG828" s="319"/>
      <c r="BH828" s="319"/>
      <c r="BI828" s="319"/>
      <c r="BJ828" s="319"/>
      <c r="BK828" s="319"/>
      <c r="BL828" s="319"/>
      <c r="BM828" s="319"/>
      <c r="BN828" s="319"/>
      <c r="BO828" s="319"/>
      <c r="BP828" s="319"/>
      <c r="BQ828" s="319"/>
      <c r="BR828" s="319"/>
      <c r="BS828" s="319"/>
      <c r="BT828" s="319"/>
      <c r="BU828" s="319"/>
      <c r="BV828" s="319"/>
      <c r="BW828" s="319"/>
      <c r="BX828" s="319"/>
      <c r="BY828" s="319"/>
      <c r="BZ828" s="319"/>
      <c r="CA828" s="319"/>
      <c r="CB828" s="319"/>
      <c r="CC828" s="319"/>
      <c r="CD828" s="319"/>
      <c r="CE828" s="319"/>
      <c r="CF828" s="319"/>
      <c r="CG828" s="319"/>
      <c r="CH828" s="319"/>
      <c r="CI828" s="319"/>
      <c r="CJ828" s="319"/>
      <c r="CK828" s="319"/>
    </row>
    <row r="829" spans="1:89" ht="13.5" hidden="1" customHeight="1">
      <c r="A829" s="12"/>
      <c r="B829" s="1"/>
      <c r="C829" s="1"/>
      <c r="D829" s="1"/>
      <c r="E829" s="1"/>
      <c r="F829" s="1"/>
      <c r="G829" s="1"/>
      <c r="H829" s="1"/>
      <c r="I829" s="1"/>
      <c r="J829" s="1"/>
      <c r="K829" s="9"/>
      <c r="L829" s="1"/>
      <c r="M829" s="319"/>
      <c r="N829" s="319">
        <v>2000000</v>
      </c>
      <c r="O829" s="319"/>
      <c r="P829" s="319"/>
      <c r="Q829" s="319"/>
      <c r="R829" s="319"/>
      <c r="S829" s="319"/>
      <c r="T829" s="319"/>
      <c r="U829" s="319"/>
      <c r="V829" s="319"/>
      <c r="W829" s="319"/>
      <c r="X829" s="319"/>
      <c r="Y829" s="319"/>
      <c r="Z829" s="319"/>
      <c r="AA829" s="319"/>
      <c r="AB829" s="319"/>
      <c r="AC829" s="319"/>
      <c r="AD829" s="319"/>
      <c r="AE829" s="319"/>
      <c r="AF829" s="319"/>
      <c r="AG829" s="319"/>
      <c r="AH829" s="319"/>
      <c r="AI829" s="319"/>
      <c r="AJ829" s="319"/>
      <c r="AK829" s="319"/>
      <c r="AL829" s="319"/>
      <c r="AM829" s="319"/>
      <c r="AN829" s="319"/>
      <c r="AO829" s="319"/>
      <c r="AP829" s="319"/>
      <c r="AQ829" s="319"/>
      <c r="AR829" s="319"/>
      <c r="AS829" s="319"/>
      <c r="AT829" s="319"/>
      <c r="AU829" s="319"/>
      <c r="AV829" s="319"/>
      <c r="AW829" s="319"/>
      <c r="AX829" s="319"/>
      <c r="AY829" s="319"/>
      <c r="AZ829" s="319"/>
      <c r="BA829" s="319"/>
      <c r="BB829" s="319"/>
      <c r="BC829" s="319"/>
      <c r="BD829" s="319"/>
      <c r="BE829" s="319"/>
      <c r="BF829" s="319"/>
      <c r="BG829" s="319"/>
      <c r="BH829" s="319"/>
      <c r="BI829" s="319"/>
      <c r="BJ829" s="319"/>
      <c r="BK829" s="319"/>
      <c r="BL829" s="319"/>
      <c r="BM829" s="319"/>
      <c r="BN829" s="319"/>
      <c r="BO829" s="319"/>
      <c r="BP829" s="319"/>
      <c r="BQ829" s="319"/>
      <c r="BR829" s="319"/>
      <c r="BS829" s="319"/>
      <c r="BT829" s="319"/>
      <c r="BU829" s="319"/>
      <c r="BV829" s="319"/>
      <c r="BW829" s="319"/>
      <c r="BX829" s="319"/>
      <c r="BY829" s="319"/>
      <c r="BZ829" s="319"/>
      <c r="CA829" s="319"/>
      <c r="CB829" s="319"/>
      <c r="CC829" s="319"/>
      <c r="CD829" s="319"/>
      <c r="CE829" s="319"/>
      <c r="CF829" s="319"/>
      <c r="CG829" s="319"/>
      <c r="CH829" s="319"/>
      <c r="CI829" s="319"/>
      <c r="CJ829" s="319"/>
      <c r="CK829" s="319"/>
    </row>
    <row r="830" spans="1:89" ht="13.5" hidden="1" customHeight="1">
      <c r="A830" s="12"/>
      <c r="B830" s="1"/>
      <c r="C830" s="1"/>
      <c r="D830" s="1"/>
      <c r="E830" s="1"/>
      <c r="F830" s="1"/>
      <c r="G830" s="1"/>
      <c r="H830" s="1"/>
      <c r="I830" s="1"/>
      <c r="J830" s="1"/>
      <c r="K830" s="9"/>
      <c r="L830" s="1"/>
      <c r="M830" s="319"/>
      <c r="N830" s="319">
        <v>2000000</v>
      </c>
      <c r="O830" s="319"/>
      <c r="P830" s="319"/>
      <c r="Q830" s="319"/>
      <c r="R830" s="319"/>
      <c r="S830" s="319"/>
      <c r="T830" s="319"/>
      <c r="U830" s="319"/>
      <c r="V830" s="319"/>
      <c r="W830" s="319"/>
      <c r="X830" s="319"/>
      <c r="Y830" s="319"/>
      <c r="Z830" s="319"/>
      <c r="AA830" s="319"/>
      <c r="AB830" s="319"/>
      <c r="AC830" s="319"/>
      <c r="AD830" s="319"/>
      <c r="AE830" s="319"/>
      <c r="AF830" s="319"/>
      <c r="AG830" s="319"/>
      <c r="AH830" s="319"/>
      <c r="AI830" s="319"/>
      <c r="AJ830" s="319"/>
      <c r="AK830" s="319"/>
      <c r="AL830" s="319"/>
      <c r="AM830" s="319"/>
      <c r="AN830" s="319"/>
      <c r="AO830" s="319"/>
      <c r="AP830" s="319"/>
      <c r="AQ830" s="319"/>
      <c r="AR830" s="319"/>
      <c r="AS830" s="319"/>
      <c r="AT830" s="319"/>
      <c r="AU830" s="319"/>
      <c r="AV830" s="319"/>
      <c r="AW830" s="319"/>
      <c r="AX830" s="319"/>
      <c r="AY830" s="319"/>
      <c r="AZ830" s="319"/>
      <c r="BA830" s="319"/>
      <c r="BB830" s="319"/>
      <c r="BC830" s="319"/>
      <c r="BD830" s="319"/>
      <c r="BE830" s="319"/>
      <c r="BF830" s="319"/>
      <c r="BG830" s="319"/>
      <c r="BH830" s="319"/>
      <c r="BI830" s="319"/>
      <c r="BJ830" s="319"/>
      <c r="BK830" s="319"/>
      <c r="BL830" s="319"/>
      <c r="BM830" s="319"/>
      <c r="BN830" s="319"/>
      <c r="BO830" s="319"/>
      <c r="BP830" s="319"/>
      <c r="BQ830" s="319"/>
      <c r="BR830" s="319"/>
      <c r="BS830" s="319"/>
      <c r="BT830" s="319"/>
      <c r="BU830" s="319"/>
      <c r="BV830" s="319"/>
      <c r="BW830" s="319"/>
      <c r="BX830" s="319"/>
      <c r="BY830" s="319"/>
      <c r="BZ830" s="319"/>
      <c r="CA830" s="319"/>
      <c r="CB830" s="319"/>
      <c r="CC830" s="319"/>
      <c r="CD830" s="319"/>
      <c r="CE830" s="319"/>
      <c r="CF830" s="319"/>
      <c r="CG830" s="319"/>
      <c r="CH830" s="319"/>
      <c r="CI830" s="319"/>
      <c r="CJ830" s="319"/>
      <c r="CK830" s="319"/>
    </row>
    <row r="831" spans="1:89" ht="13.5" hidden="1" customHeight="1">
      <c r="A831" s="12"/>
      <c r="B831" s="1"/>
      <c r="C831" s="1"/>
      <c r="D831" s="1"/>
      <c r="E831" s="1"/>
      <c r="F831" s="1"/>
      <c r="G831" s="1"/>
      <c r="H831" s="1"/>
      <c r="I831" s="1"/>
      <c r="J831" s="1"/>
      <c r="K831" s="9"/>
      <c r="L831" s="1"/>
      <c r="M831" s="319"/>
      <c r="N831" s="319">
        <v>2000000</v>
      </c>
      <c r="O831" s="319"/>
      <c r="P831" s="319"/>
      <c r="Q831" s="319"/>
      <c r="R831" s="319"/>
      <c r="S831" s="319"/>
      <c r="T831" s="319"/>
      <c r="U831" s="319"/>
      <c r="V831" s="319"/>
      <c r="W831" s="319"/>
      <c r="X831" s="319"/>
      <c r="Y831" s="319"/>
      <c r="Z831" s="319"/>
      <c r="AA831" s="319"/>
      <c r="AB831" s="319"/>
      <c r="AC831" s="319"/>
      <c r="AD831" s="319"/>
      <c r="AE831" s="319"/>
      <c r="AF831" s="319"/>
      <c r="AG831" s="319"/>
      <c r="AH831" s="319"/>
      <c r="AI831" s="319"/>
      <c r="AJ831" s="319"/>
      <c r="AK831" s="319"/>
      <c r="AL831" s="319"/>
      <c r="AM831" s="319"/>
      <c r="AN831" s="319"/>
      <c r="AO831" s="319"/>
      <c r="AP831" s="319"/>
      <c r="AQ831" s="319"/>
      <c r="AR831" s="319"/>
      <c r="AS831" s="319"/>
      <c r="AT831" s="319"/>
      <c r="AU831" s="319"/>
      <c r="AV831" s="319"/>
      <c r="AW831" s="319"/>
      <c r="AX831" s="319"/>
      <c r="AY831" s="319"/>
      <c r="AZ831" s="319"/>
      <c r="BA831" s="319"/>
      <c r="BB831" s="319"/>
      <c r="BC831" s="319"/>
      <c r="BD831" s="319"/>
      <c r="BE831" s="319"/>
      <c r="BF831" s="319"/>
      <c r="BG831" s="319"/>
      <c r="BH831" s="319"/>
      <c r="BI831" s="319"/>
      <c r="BJ831" s="319"/>
      <c r="BK831" s="319"/>
      <c r="BL831" s="319"/>
      <c r="BM831" s="319"/>
      <c r="BN831" s="319"/>
      <c r="BO831" s="319"/>
      <c r="BP831" s="319"/>
      <c r="BQ831" s="319"/>
      <c r="BR831" s="319"/>
      <c r="BS831" s="319"/>
      <c r="BT831" s="319"/>
      <c r="BU831" s="319"/>
      <c r="BV831" s="319"/>
      <c r="BW831" s="319"/>
      <c r="BX831" s="319"/>
      <c r="BY831" s="319"/>
      <c r="BZ831" s="319"/>
      <c r="CA831" s="319"/>
      <c r="CB831" s="319"/>
      <c r="CC831" s="319"/>
      <c r="CD831" s="319"/>
      <c r="CE831" s="319"/>
      <c r="CF831" s="319"/>
      <c r="CG831" s="319"/>
      <c r="CH831" s="319"/>
      <c r="CI831" s="319"/>
      <c r="CJ831" s="319"/>
      <c r="CK831" s="319"/>
    </row>
    <row r="832" spans="1:89" ht="13.5" hidden="1" customHeight="1">
      <c r="A832" s="12"/>
      <c r="B832" s="1"/>
      <c r="C832" s="1"/>
      <c r="D832" s="1"/>
      <c r="E832" s="1"/>
      <c r="F832" s="1"/>
      <c r="G832" s="1"/>
      <c r="H832" s="1"/>
      <c r="I832" s="1"/>
      <c r="J832" s="1"/>
      <c r="K832" s="9"/>
      <c r="L832" s="1"/>
      <c r="M832" s="319"/>
      <c r="N832" s="319">
        <v>2000000</v>
      </c>
      <c r="O832" s="319"/>
      <c r="P832" s="319"/>
      <c r="Q832" s="319"/>
      <c r="R832" s="319"/>
      <c r="S832" s="319"/>
      <c r="T832" s="319"/>
      <c r="U832" s="319"/>
      <c r="V832" s="319"/>
      <c r="W832" s="319"/>
      <c r="X832" s="319"/>
      <c r="Y832" s="319"/>
      <c r="Z832" s="319"/>
      <c r="AA832" s="319"/>
      <c r="AB832" s="319"/>
      <c r="AC832" s="319"/>
      <c r="AD832" s="319"/>
      <c r="AE832" s="319"/>
      <c r="AF832" s="319"/>
      <c r="AG832" s="319"/>
      <c r="AH832" s="319"/>
      <c r="AI832" s="319"/>
      <c r="AJ832" s="319"/>
      <c r="AK832" s="319"/>
      <c r="AL832" s="319"/>
      <c r="AM832" s="319"/>
      <c r="AN832" s="319"/>
      <c r="AO832" s="319"/>
      <c r="AP832" s="319"/>
      <c r="AQ832" s="319"/>
      <c r="AR832" s="319"/>
      <c r="AS832" s="319"/>
      <c r="AT832" s="319"/>
      <c r="AU832" s="319"/>
      <c r="AV832" s="319"/>
      <c r="AW832" s="319"/>
      <c r="AX832" s="319"/>
      <c r="AY832" s="319"/>
      <c r="AZ832" s="319"/>
      <c r="BA832" s="319"/>
      <c r="BB832" s="319"/>
      <c r="BC832" s="319"/>
      <c r="BD832" s="319"/>
      <c r="BE832" s="319"/>
      <c r="BF832" s="319"/>
      <c r="BG832" s="319"/>
      <c r="BH832" s="319"/>
      <c r="BI832" s="319"/>
      <c r="BJ832" s="319"/>
      <c r="BK832" s="319"/>
      <c r="BL832" s="319"/>
      <c r="BM832" s="319"/>
      <c r="BN832" s="319"/>
      <c r="BO832" s="319"/>
      <c r="BP832" s="319"/>
      <c r="BQ832" s="319"/>
      <c r="BR832" s="319"/>
      <c r="BS832" s="319"/>
      <c r="BT832" s="319"/>
      <c r="BU832" s="319"/>
      <c r="BV832" s="319"/>
      <c r="BW832" s="319"/>
      <c r="BX832" s="319"/>
      <c r="BY832" s="319"/>
      <c r="BZ832" s="319"/>
      <c r="CA832" s="319"/>
      <c r="CB832" s="319"/>
      <c r="CC832" s="319"/>
      <c r="CD832" s="319"/>
      <c r="CE832" s="319"/>
      <c r="CF832" s="319"/>
      <c r="CG832" s="319"/>
      <c r="CH832" s="319"/>
      <c r="CI832" s="319"/>
      <c r="CJ832" s="319"/>
      <c r="CK832" s="319"/>
    </row>
    <row r="833" spans="1:89" ht="13.5" hidden="1" customHeight="1">
      <c r="A833" s="12"/>
      <c r="B833" s="1"/>
      <c r="C833" s="1"/>
      <c r="D833" s="1"/>
      <c r="E833" s="1"/>
      <c r="F833" s="1"/>
      <c r="G833" s="1"/>
      <c r="H833" s="1"/>
      <c r="I833" s="1"/>
      <c r="J833" s="1"/>
      <c r="K833" s="9"/>
      <c r="L833" s="1"/>
      <c r="M833" s="319"/>
      <c r="N833" s="319">
        <v>2000000</v>
      </c>
      <c r="O833" s="319"/>
      <c r="P833" s="319"/>
      <c r="Q833" s="319"/>
      <c r="R833" s="319"/>
      <c r="S833" s="319"/>
      <c r="T833" s="319"/>
      <c r="U833" s="319"/>
      <c r="V833" s="319"/>
      <c r="W833" s="319"/>
      <c r="X833" s="319"/>
      <c r="Y833" s="319"/>
      <c r="Z833" s="319"/>
      <c r="AA833" s="319"/>
      <c r="AB833" s="319"/>
      <c r="AC833" s="319"/>
      <c r="AD833" s="319"/>
      <c r="AE833" s="319"/>
      <c r="AF833" s="319"/>
      <c r="AG833" s="319"/>
      <c r="AH833" s="319"/>
      <c r="AI833" s="319"/>
      <c r="AJ833" s="319"/>
      <c r="AK833" s="319"/>
      <c r="AL833" s="319"/>
      <c r="AM833" s="319"/>
      <c r="AN833" s="319"/>
      <c r="AO833" s="319"/>
      <c r="AP833" s="319"/>
      <c r="AQ833" s="319"/>
      <c r="AR833" s="319"/>
      <c r="AS833" s="319"/>
      <c r="AT833" s="319"/>
      <c r="AU833" s="319"/>
      <c r="AV833" s="319"/>
      <c r="AW833" s="319"/>
      <c r="AX833" s="319"/>
      <c r="AY833" s="319"/>
      <c r="AZ833" s="319"/>
      <c r="BA833" s="319"/>
      <c r="BB833" s="319"/>
      <c r="BC833" s="319"/>
      <c r="BD833" s="319"/>
      <c r="BE833" s="319"/>
      <c r="BF833" s="319"/>
      <c r="BG833" s="319"/>
      <c r="BH833" s="319"/>
      <c r="BI833" s="319"/>
      <c r="BJ833" s="319"/>
      <c r="BK833" s="319"/>
      <c r="BL833" s="319"/>
      <c r="BM833" s="319"/>
      <c r="BN833" s="319"/>
      <c r="BO833" s="319"/>
      <c r="BP833" s="319"/>
      <c r="BQ833" s="319"/>
      <c r="BR833" s="319"/>
      <c r="BS833" s="319"/>
      <c r="BT833" s="319"/>
      <c r="BU833" s="319"/>
      <c r="BV833" s="319"/>
      <c r="BW833" s="319"/>
      <c r="BX833" s="319"/>
      <c r="BY833" s="319"/>
      <c r="BZ833" s="319"/>
      <c r="CA833" s="319"/>
      <c r="CB833" s="319"/>
      <c r="CC833" s="319"/>
      <c r="CD833" s="319"/>
      <c r="CE833" s="319"/>
      <c r="CF833" s="319"/>
      <c r="CG833" s="319"/>
      <c r="CH833" s="319"/>
      <c r="CI833" s="319"/>
      <c r="CJ833" s="319"/>
      <c r="CK833" s="319"/>
    </row>
    <row r="834" spans="1:89" ht="13.5" hidden="1" customHeight="1">
      <c r="A834" s="12"/>
      <c r="B834" s="1"/>
      <c r="C834" s="1"/>
      <c r="D834" s="1"/>
      <c r="E834" s="1"/>
      <c r="F834" s="1"/>
      <c r="G834" s="1"/>
      <c r="H834" s="1"/>
      <c r="I834" s="1"/>
      <c r="J834" s="1"/>
      <c r="K834" s="9"/>
      <c r="L834" s="1"/>
      <c r="M834" s="319"/>
      <c r="N834" s="319">
        <v>2000000</v>
      </c>
      <c r="O834" s="319"/>
      <c r="P834" s="319"/>
      <c r="Q834" s="319"/>
      <c r="R834" s="319"/>
      <c r="S834" s="319"/>
      <c r="T834" s="319"/>
      <c r="U834" s="319"/>
      <c r="V834" s="319"/>
      <c r="W834" s="319"/>
      <c r="X834" s="319"/>
      <c r="Y834" s="319"/>
      <c r="Z834" s="319"/>
      <c r="AA834" s="319"/>
      <c r="AB834" s="319"/>
      <c r="AC834" s="319"/>
      <c r="AD834" s="319"/>
      <c r="AE834" s="319"/>
      <c r="AF834" s="319"/>
      <c r="AG834" s="319"/>
      <c r="AH834" s="319"/>
      <c r="AI834" s="319"/>
      <c r="AJ834" s="319"/>
      <c r="AK834" s="319"/>
      <c r="AL834" s="319"/>
      <c r="AM834" s="319"/>
      <c r="AN834" s="319"/>
      <c r="AO834" s="319"/>
      <c r="AP834" s="319"/>
      <c r="AQ834" s="319"/>
      <c r="AR834" s="319"/>
      <c r="AS834" s="319"/>
      <c r="AT834" s="319"/>
      <c r="AU834" s="319"/>
      <c r="AV834" s="319"/>
      <c r="AW834" s="319"/>
      <c r="AX834" s="319"/>
      <c r="AY834" s="319"/>
      <c r="AZ834" s="319"/>
      <c r="BA834" s="319"/>
      <c r="BB834" s="319"/>
      <c r="BC834" s="319"/>
      <c r="BD834" s="319"/>
      <c r="BE834" s="319"/>
      <c r="BF834" s="319"/>
      <c r="BG834" s="319"/>
      <c r="BH834" s="319"/>
      <c r="BI834" s="319"/>
      <c r="BJ834" s="319"/>
      <c r="BK834" s="319"/>
      <c r="BL834" s="319"/>
      <c r="BM834" s="319"/>
      <c r="BN834" s="319"/>
      <c r="BO834" s="319"/>
      <c r="BP834" s="319"/>
      <c r="BQ834" s="319"/>
      <c r="BR834" s="319"/>
      <c r="BS834" s="319"/>
      <c r="BT834" s="319"/>
      <c r="BU834" s="319"/>
      <c r="BV834" s="319"/>
      <c r="BW834" s="319"/>
      <c r="BX834" s="319"/>
      <c r="BY834" s="319"/>
      <c r="BZ834" s="319"/>
      <c r="CA834" s="319"/>
      <c r="CB834" s="319"/>
      <c r="CC834" s="319"/>
      <c r="CD834" s="319"/>
      <c r="CE834" s="319"/>
      <c r="CF834" s="319"/>
      <c r="CG834" s="319"/>
      <c r="CH834" s="319"/>
      <c r="CI834" s="319"/>
      <c r="CJ834" s="319"/>
      <c r="CK834" s="319"/>
    </row>
    <row r="835" spans="1:89" ht="13.5" hidden="1" customHeight="1">
      <c r="A835" s="12"/>
      <c r="B835" s="1"/>
      <c r="C835" s="1"/>
      <c r="D835" s="1"/>
      <c r="E835" s="1"/>
      <c r="F835" s="1"/>
      <c r="G835" s="1"/>
      <c r="H835" s="1"/>
      <c r="I835" s="1"/>
      <c r="J835" s="1"/>
      <c r="K835" s="9"/>
      <c r="L835" s="1"/>
      <c r="M835" s="319"/>
      <c r="N835" s="319">
        <v>2000000</v>
      </c>
      <c r="O835" s="319"/>
      <c r="P835" s="319"/>
      <c r="Q835" s="319"/>
      <c r="R835" s="319"/>
      <c r="S835" s="319"/>
      <c r="T835" s="319"/>
      <c r="U835" s="319"/>
      <c r="V835" s="319"/>
      <c r="W835" s="319"/>
      <c r="X835" s="319"/>
      <c r="Y835" s="319"/>
      <c r="Z835" s="319"/>
      <c r="AA835" s="319"/>
      <c r="AB835" s="319"/>
      <c r="AC835" s="319"/>
      <c r="AD835" s="319"/>
      <c r="AE835" s="319"/>
      <c r="AF835" s="319"/>
      <c r="AG835" s="319"/>
      <c r="AH835" s="319"/>
      <c r="AI835" s="319"/>
      <c r="AJ835" s="319"/>
      <c r="AK835" s="319"/>
      <c r="AL835" s="319"/>
      <c r="AM835" s="319"/>
      <c r="AN835" s="319"/>
      <c r="AO835" s="319"/>
      <c r="AP835" s="319"/>
      <c r="AQ835" s="319"/>
      <c r="AR835" s="319"/>
      <c r="AS835" s="319"/>
      <c r="AT835" s="319"/>
      <c r="AU835" s="319"/>
      <c r="AV835" s="319"/>
      <c r="AW835" s="319"/>
      <c r="AX835" s="319"/>
      <c r="AY835" s="319"/>
      <c r="AZ835" s="319"/>
      <c r="BA835" s="319"/>
      <c r="BB835" s="319"/>
      <c r="BC835" s="319"/>
      <c r="BD835" s="319"/>
      <c r="BE835" s="319"/>
      <c r="BF835" s="319"/>
      <c r="BG835" s="319"/>
      <c r="BH835" s="319"/>
      <c r="BI835" s="319"/>
      <c r="BJ835" s="319"/>
      <c r="BK835" s="319"/>
      <c r="BL835" s="319"/>
      <c r="BM835" s="319"/>
      <c r="BN835" s="319"/>
      <c r="BO835" s="319"/>
      <c r="BP835" s="319"/>
      <c r="BQ835" s="319"/>
      <c r="BR835" s="319"/>
      <c r="BS835" s="319"/>
      <c r="BT835" s="319"/>
      <c r="BU835" s="319"/>
      <c r="BV835" s="319"/>
      <c r="BW835" s="319"/>
      <c r="BX835" s="319"/>
      <c r="BY835" s="319"/>
      <c r="BZ835" s="319"/>
      <c r="CA835" s="319"/>
      <c r="CB835" s="319"/>
      <c r="CC835" s="319"/>
      <c r="CD835" s="319"/>
      <c r="CE835" s="319"/>
      <c r="CF835" s="319"/>
      <c r="CG835" s="319"/>
      <c r="CH835" s="319"/>
      <c r="CI835" s="319"/>
      <c r="CJ835" s="319"/>
      <c r="CK835" s="319"/>
    </row>
    <row r="836" spans="1:89" ht="13.5" hidden="1" customHeight="1">
      <c r="A836" s="12"/>
      <c r="B836" s="1"/>
      <c r="C836" s="1"/>
      <c r="D836" s="1"/>
      <c r="E836" s="1"/>
      <c r="F836" s="1"/>
      <c r="G836" s="1"/>
      <c r="H836" s="1"/>
      <c r="I836" s="1"/>
      <c r="J836" s="1"/>
      <c r="K836" s="9"/>
      <c r="L836" s="1"/>
      <c r="M836" s="319"/>
      <c r="N836" s="319">
        <v>2000000</v>
      </c>
      <c r="O836" s="319"/>
      <c r="P836" s="319"/>
      <c r="Q836" s="319"/>
      <c r="R836" s="319"/>
      <c r="S836" s="319"/>
      <c r="T836" s="319"/>
      <c r="U836" s="319"/>
      <c r="V836" s="319"/>
      <c r="W836" s="319"/>
      <c r="X836" s="319"/>
      <c r="Y836" s="319"/>
      <c r="Z836" s="319"/>
      <c r="AA836" s="319"/>
      <c r="AB836" s="319"/>
      <c r="AC836" s="319"/>
      <c r="AD836" s="319"/>
      <c r="AE836" s="319"/>
      <c r="AF836" s="319"/>
      <c r="AG836" s="319"/>
      <c r="AH836" s="319"/>
      <c r="AI836" s="319"/>
      <c r="AJ836" s="319"/>
      <c r="AK836" s="319"/>
      <c r="AL836" s="319"/>
      <c r="AM836" s="319"/>
      <c r="AN836" s="319"/>
      <c r="AO836" s="319"/>
      <c r="AP836" s="319"/>
      <c r="AQ836" s="319"/>
      <c r="AR836" s="319"/>
      <c r="AS836" s="319"/>
      <c r="AT836" s="319"/>
      <c r="AU836" s="319"/>
      <c r="AV836" s="319"/>
      <c r="AW836" s="319"/>
      <c r="AX836" s="319"/>
      <c r="AY836" s="319"/>
      <c r="AZ836" s="319"/>
      <c r="BA836" s="319"/>
      <c r="BB836" s="319"/>
      <c r="BC836" s="319"/>
      <c r="BD836" s="319"/>
      <c r="BE836" s="319"/>
      <c r="BF836" s="319"/>
      <c r="BG836" s="319"/>
      <c r="BH836" s="319"/>
      <c r="BI836" s="319"/>
      <c r="BJ836" s="319"/>
      <c r="BK836" s="319"/>
      <c r="BL836" s="319"/>
      <c r="BM836" s="319"/>
      <c r="BN836" s="319"/>
      <c r="BO836" s="319"/>
      <c r="BP836" s="319"/>
      <c r="BQ836" s="319"/>
      <c r="BR836" s="319"/>
      <c r="BS836" s="319"/>
      <c r="BT836" s="319"/>
      <c r="BU836" s="319"/>
      <c r="BV836" s="319"/>
      <c r="BW836" s="319"/>
      <c r="BX836" s="319"/>
      <c r="BY836" s="319"/>
      <c r="BZ836" s="319"/>
      <c r="CA836" s="319"/>
      <c r="CB836" s="319"/>
      <c r="CC836" s="319"/>
      <c r="CD836" s="319"/>
      <c r="CE836" s="319"/>
      <c r="CF836" s="319"/>
      <c r="CG836" s="319"/>
      <c r="CH836" s="319"/>
      <c r="CI836" s="319"/>
      <c r="CJ836" s="319"/>
      <c r="CK836" s="319"/>
    </row>
    <row r="837" spans="1:89" ht="13.5" hidden="1" customHeight="1">
      <c r="A837" s="12"/>
      <c r="B837" s="1"/>
      <c r="C837" s="1"/>
      <c r="D837" s="1"/>
      <c r="E837" s="1"/>
      <c r="F837" s="1"/>
      <c r="G837" s="1"/>
      <c r="H837" s="1"/>
      <c r="I837" s="1"/>
      <c r="J837" s="1"/>
      <c r="K837" s="9"/>
      <c r="L837" s="1"/>
      <c r="M837" s="319"/>
      <c r="N837" s="319">
        <v>2000000</v>
      </c>
      <c r="O837" s="319"/>
      <c r="P837" s="319"/>
      <c r="Q837" s="319"/>
      <c r="R837" s="319"/>
      <c r="S837" s="319"/>
      <c r="T837" s="319"/>
      <c r="U837" s="319"/>
      <c r="V837" s="319"/>
      <c r="W837" s="319"/>
      <c r="X837" s="319"/>
      <c r="Y837" s="319"/>
      <c r="Z837" s="319"/>
      <c r="AA837" s="319"/>
      <c r="AB837" s="319"/>
      <c r="AC837" s="319"/>
      <c r="AD837" s="319"/>
      <c r="AE837" s="319"/>
      <c r="AF837" s="319"/>
      <c r="AG837" s="319"/>
      <c r="AH837" s="319"/>
      <c r="AI837" s="319"/>
      <c r="AJ837" s="319"/>
      <c r="AK837" s="319"/>
      <c r="AL837" s="319"/>
      <c r="AM837" s="319"/>
      <c r="AN837" s="319"/>
      <c r="AO837" s="319"/>
      <c r="AP837" s="319"/>
      <c r="AQ837" s="319"/>
      <c r="AR837" s="319"/>
      <c r="AS837" s="319"/>
      <c r="AT837" s="319"/>
      <c r="AU837" s="319"/>
      <c r="AV837" s="319"/>
      <c r="AW837" s="319"/>
      <c r="AX837" s="319"/>
      <c r="AY837" s="319"/>
      <c r="AZ837" s="319"/>
      <c r="BA837" s="319"/>
      <c r="BB837" s="319"/>
      <c r="BC837" s="319"/>
      <c r="BD837" s="319"/>
      <c r="BE837" s="319"/>
      <c r="BF837" s="319"/>
      <c r="BG837" s="319"/>
      <c r="BH837" s="319"/>
      <c r="BI837" s="319"/>
      <c r="BJ837" s="319"/>
      <c r="BK837" s="319"/>
      <c r="BL837" s="319"/>
      <c r="BM837" s="319"/>
      <c r="BN837" s="319"/>
      <c r="BO837" s="319"/>
      <c r="BP837" s="319"/>
      <c r="BQ837" s="319"/>
      <c r="BR837" s="319"/>
      <c r="BS837" s="319"/>
      <c r="BT837" s="319"/>
      <c r="BU837" s="319"/>
      <c r="BV837" s="319"/>
      <c r="BW837" s="319"/>
      <c r="BX837" s="319"/>
      <c r="BY837" s="319"/>
      <c r="BZ837" s="319"/>
      <c r="CA837" s="319"/>
      <c r="CB837" s="319"/>
      <c r="CC837" s="319"/>
      <c r="CD837" s="319"/>
      <c r="CE837" s="319"/>
      <c r="CF837" s="319"/>
      <c r="CG837" s="319"/>
      <c r="CH837" s="319"/>
      <c r="CI837" s="319"/>
      <c r="CJ837" s="319"/>
      <c r="CK837" s="319"/>
    </row>
    <row r="838" spans="1:89" ht="13.5" hidden="1" customHeight="1">
      <c r="A838" s="12"/>
      <c r="B838" s="1"/>
      <c r="C838" s="1"/>
      <c r="D838" s="1"/>
      <c r="E838" s="1"/>
      <c r="F838" s="1"/>
      <c r="G838" s="1"/>
      <c r="H838" s="1"/>
      <c r="I838" s="1"/>
      <c r="J838" s="1"/>
      <c r="K838" s="9"/>
      <c r="L838" s="1"/>
      <c r="M838" s="319"/>
      <c r="N838" s="319">
        <v>2000000</v>
      </c>
      <c r="O838" s="319"/>
      <c r="P838" s="319"/>
      <c r="Q838" s="319"/>
      <c r="R838" s="319"/>
      <c r="S838" s="319"/>
      <c r="T838" s="319"/>
      <c r="U838" s="319"/>
      <c r="V838" s="319"/>
      <c r="W838" s="319"/>
      <c r="X838" s="319"/>
      <c r="Y838" s="319"/>
      <c r="Z838" s="319"/>
      <c r="AA838" s="319"/>
      <c r="AB838" s="319"/>
      <c r="AC838" s="319"/>
      <c r="AD838" s="319"/>
      <c r="AE838" s="319"/>
      <c r="AF838" s="319"/>
      <c r="AG838" s="319"/>
      <c r="AH838" s="319"/>
      <c r="AI838" s="319"/>
      <c r="AJ838" s="319"/>
      <c r="AK838" s="319"/>
      <c r="AL838" s="319"/>
      <c r="AM838" s="319"/>
      <c r="AN838" s="319"/>
      <c r="AO838" s="319"/>
      <c r="AP838" s="319"/>
      <c r="AQ838" s="319"/>
      <c r="AR838" s="319"/>
      <c r="AS838" s="319"/>
      <c r="AT838" s="319"/>
      <c r="AU838" s="319"/>
      <c r="AV838" s="319"/>
      <c r="AW838" s="319"/>
      <c r="AX838" s="319"/>
      <c r="AY838" s="319"/>
      <c r="AZ838" s="319"/>
      <c r="BA838" s="319"/>
      <c r="BB838" s="319"/>
      <c r="BC838" s="319"/>
      <c r="BD838" s="319"/>
      <c r="BE838" s="319"/>
      <c r="BF838" s="319"/>
      <c r="BG838" s="319"/>
      <c r="BH838" s="319"/>
      <c r="BI838" s="319"/>
      <c r="BJ838" s="319"/>
      <c r="BK838" s="319"/>
      <c r="BL838" s="319"/>
      <c r="BM838" s="319"/>
      <c r="BN838" s="319"/>
      <c r="BO838" s="319"/>
      <c r="BP838" s="319"/>
      <c r="BQ838" s="319"/>
      <c r="BR838" s="319"/>
      <c r="BS838" s="319"/>
      <c r="BT838" s="319"/>
      <c r="BU838" s="319"/>
      <c r="BV838" s="319"/>
      <c r="BW838" s="319"/>
      <c r="BX838" s="319"/>
      <c r="BY838" s="319"/>
      <c r="BZ838" s="319"/>
      <c r="CA838" s="319"/>
      <c r="CB838" s="319"/>
      <c r="CC838" s="319"/>
      <c r="CD838" s="319"/>
      <c r="CE838" s="319"/>
      <c r="CF838" s="319"/>
      <c r="CG838" s="319"/>
      <c r="CH838" s="319"/>
      <c r="CI838" s="319"/>
      <c r="CJ838" s="319"/>
      <c r="CK838" s="319"/>
    </row>
    <row r="839" spans="1:89" ht="13.5" hidden="1" customHeight="1">
      <c r="A839" s="12"/>
      <c r="B839" s="1"/>
      <c r="C839" s="1"/>
      <c r="D839" s="1"/>
      <c r="E839" s="1"/>
      <c r="F839" s="1"/>
      <c r="G839" s="1"/>
      <c r="H839" s="1"/>
      <c r="I839" s="1"/>
      <c r="J839" s="1"/>
      <c r="K839" s="9"/>
      <c r="L839" s="1"/>
      <c r="M839" s="319"/>
      <c r="N839" s="319">
        <v>2000000</v>
      </c>
      <c r="O839" s="319"/>
      <c r="P839" s="319"/>
      <c r="Q839" s="319"/>
      <c r="R839" s="319"/>
      <c r="S839" s="319"/>
      <c r="T839" s="319"/>
      <c r="U839" s="319"/>
      <c r="V839" s="319"/>
      <c r="W839" s="319"/>
      <c r="X839" s="319"/>
      <c r="Y839" s="319"/>
      <c r="Z839" s="319"/>
      <c r="AA839" s="319"/>
      <c r="AB839" s="319"/>
      <c r="AC839" s="319"/>
      <c r="AD839" s="319"/>
      <c r="AE839" s="319"/>
      <c r="AF839" s="319"/>
      <c r="AG839" s="319"/>
      <c r="AH839" s="319"/>
      <c r="AI839" s="319"/>
      <c r="AJ839" s="319"/>
      <c r="AK839" s="319"/>
      <c r="AL839" s="319"/>
      <c r="AM839" s="319"/>
      <c r="AN839" s="319"/>
      <c r="AO839" s="319"/>
      <c r="AP839" s="319"/>
      <c r="AQ839" s="319"/>
      <c r="AR839" s="319"/>
      <c r="AS839" s="319"/>
      <c r="AT839" s="319"/>
      <c r="AU839" s="319"/>
      <c r="AV839" s="319"/>
      <c r="AW839" s="319"/>
      <c r="AX839" s="319"/>
      <c r="AY839" s="319"/>
      <c r="AZ839" s="319"/>
      <c r="BA839" s="319"/>
      <c r="BB839" s="319"/>
      <c r="BC839" s="319"/>
      <c r="BD839" s="319"/>
      <c r="BE839" s="319"/>
      <c r="BF839" s="319"/>
      <c r="BG839" s="319"/>
      <c r="BH839" s="319"/>
      <c r="BI839" s="319"/>
      <c r="BJ839" s="319"/>
      <c r="BK839" s="319"/>
      <c r="BL839" s="319"/>
      <c r="BM839" s="319"/>
      <c r="BN839" s="319"/>
      <c r="BO839" s="319"/>
      <c r="BP839" s="319"/>
      <c r="BQ839" s="319"/>
      <c r="BR839" s="319"/>
      <c r="BS839" s="319"/>
      <c r="BT839" s="319"/>
      <c r="BU839" s="319"/>
      <c r="BV839" s="319"/>
      <c r="BW839" s="319"/>
      <c r="BX839" s="319"/>
      <c r="BY839" s="319"/>
      <c r="BZ839" s="319"/>
      <c r="CA839" s="319"/>
      <c r="CB839" s="319"/>
      <c r="CC839" s="319"/>
      <c r="CD839" s="319"/>
      <c r="CE839" s="319"/>
      <c r="CF839" s="319"/>
      <c r="CG839" s="319"/>
      <c r="CH839" s="319"/>
      <c r="CI839" s="319"/>
      <c r="CJ839" s="319"/>
      <c r="CK839" s="319"/>
    </row>
    <row r="840" spans="1:89" ht="13.5" hidden="1" customHeight="1">
      <c r="A840" s="12"/>
      <c r="B840" s="1"/>
      <c r="C840" s="1"/>
      <c r="D840" s="1"/>
      <c r="E840" s="1"/>
      <c r="F840" s="1"/>
      <c r="G840" s="1"/>
      <c r="H840" s="1"/>
      <c r="I840" s="1"/>
      <c r="J840" s="1"/>
      <c r="K840" s="9"/>
      <c r="L840" s="1"/>
      <c r="M840" s="319"/>
      <c r="N840" s="319">
        <v>2000000</v>
      </c>
      <c r="O840" s="319"/>
      <c r="P840" s="319"/>
      <c r="Q840" s="319"/>
      <c r="R840" s="319"/>
      <c r="S840" s="319"/>
      <c r="T840" s="319"/>
      <c r="U840" s="319"/>
      <c r="V840" s="319"/>
      <c r="W840" s="319"/>
      <c r="X840" s="319"/>
      <c r="Y840" s="319"/>
      <c r="Z840" s="319"/>
      <c r="AA840" s="319"/>
      <c r="AB840" s="319"/>
      <c r="AC840" s="319"/>
      <c r="AD840" s="319"/>
      <c r="AE840" s="319"/>
      <c r="AF840" s="319"/>
      <c r="AG840" s="319"/>
      <c r="AH840" s="319"/>
      <c r="AI840" s="319"/>
      <c r="AJ840" s="319"/>
      <c r="AK840" s="319"/>
      <c r="AL840" s="319"/>
      <c r="AM840" s="319"/>
      <c r="AN840" s="319"/>
      <c r="AO840" s="319"/>
      <c r="AP840" s="319"/>
      <c r="AQ840" s="319"/>
      <c r="AR840" s="319"/>
      <c r="AS840" s="319"/>
      <c r="AT840" s="319"/>
      <c r="AU840" s="319"/>
      <c r="AV840" s="319"/>
      <c r="AW840" s="319"/>
      <c r="AX840" s="319"/>
      <c r="AY840" s="319"/>
      <c r="AZ840" s="319"/>
      <c r="BA840" s="319"/>
      <c r="BB840" s="319"/>
      <c r="BC840" s="319"/>
      <c r="BD840" s="319"/>
      <c r="BE840" s="319"/>
      <c r="BF840" s="319"/>
      <c r="BG840" s="319"/>
      <c r="BH840" s="319"/>
      <c r="BI840" s="319"/>
      <c r="BJ840" s="319"/>
      <c r="BK840" s="319"/>
      <c r="BL840" s="319"/>
      <c r="BM840" s="319"/>
      <c r="BN840" s="319"/>
      <c r="BO840" s="319"/>
      <c r="BP840" s="319"/>
      <c r="BQ840" s="319"/>
      <c r="BR840" s="319"/>
      <c r="BS840" s="319"/>
      <c r="BT840" s="319"/>
      <c r="BU840" s="319"/>
      <c r="BV840" s="319"/>
      <c r="BW840" s="319"/>
      <c r="BX840" s="319"/>
      <c r="BY840" s="319"/>
      <c r="BZ840" s="319"/>
      <c r="CA840" s="319"/>
      <c r="CB840" s="319"/>
      <c r="CC840" s="319"/>
      <c r="CD840" s="319"/>
      <c r="CE840" s="319"/>
      <c r="CF840" s="319"/>
      <c r="CG840" s="319"/>
      <c r="CH840" s="319"/>
      <c r="CI840" s="319"/>
      <c r="CJ840" s="319"/>
      <c r="CK840" s="319"/>
    </row>
    <row r="841" spans="1:89" ht="13.5" hidden="1" customHeight="1">
      <c r="A841" s="12"/>
      <c r="B841" s="1"/>
      <c r="C841" s="1"/>
      <c r="D841" s="1"/>
      <c r="E841" s="1"/>
      <c r="F841" s="1"/>
      <c r="G841" s="1"/>
      <c r="H841" s="1"/>
      <c r="I841" s="1"/>
      <c r="J841" s="1"/>
      <c r="K841" s="9"/>
      <c r="L841" s="1"/>
      <c r="M841" s="319"/>
      <c r="N841" s="319">
        <v>2000000</v>
      </c>
      <c r="O841" s="319"/>
      <c r="P841" s="319"/>
      <c r="Q841" s="319"/>
      <c r="R841" s="319"/>
      <c r="S841" s="319"/>
      <c r="T841" s="319"/>
      <c r="U841" s="319"/>
      <c r="V841" s="319"/>
      <c r="W841" s="319"/>
      <c r="X841" s="319"/>
      <c r="Y841" s="319"/>
      <c r="Z841" s="319"/>
      <c r="AA841" s="319"/>
      <c r="AB841" s="319"/>
      <c r="AC841" s="319"/>
      <c r="AD841" s="319"/>
      <c r="AE841" s="319"/>
      <c r="AF841" s="319"/>
      <c r="AG841" s="319"/>
      <c r="AH841" s="319"/>
      <c r="AI841" s="319"/>
      <c r="AJ841" s="319"/>
      <c r="AK841" s="319"/>
      <c r="AL841" s="319"/>
      <c r="AM841" s="319"/>
      <c r="AN841" s="319"/>
      <c r="AO841" s="319"/>
      <c r="AP841" s="319"/>
      <c r="AQ841" s="319"/>
      <c r="AR841" s="319"/>
      <c r="AS841" s="319"/>
      <c r="AT841" s="319"/>
      <c r="AU841" s="319"/>
      <c r="AV841" s="319"/>
      <c r="AW841" s="319"/>
      <c r="AX841" s="319"/>
      <c r="AY841" s="319"/>
      <c r="AZ841" s="319"/>
      <c r="BA841" s="319"/>
      <c r="BB841" s="319"/>
      <c r="BC841" s="319"/>
      <c r="BD841" s="319"/>
      <c r="BE841" s="319"/>
      <c r="BF841" s="319"/>
      <c r="BG841" s="319"/>
      <c r="BH841" s="319"/>
      <c r="BI841" s="319"/>
      <c r="BJ841" s="319"/>
      <c r="BK841" s="319"/>
      <c r="BL841" s="319"/>
      <c r="BM841" s="319"/>
      <c r="BN841" s="319"/>
      <c r="BO841" s="319"/>
      <c r="BP841" s="319"/>
      <c r="BQ841" s="319"/>
      <c r="BR841" s="319"/>
      <c r="BS841" s="319"/>
      <c r="BT841" s="319"/>
      <c r="BU841" s="319"/>
      <c r="BV841" s="319"/>
      <c r="BW841" s="319"/>
      <c r="BX841" s="319"/>
      <c r="BY841" s="319"/>
      <c r="BZ841" s="319"/>
      <c r="CA841" s="319"/>
      <c r="CB841" s="319"/>
      <c r="CC841" s="319"/>
      <c r="CD841" s="319"/>
      <c r="CE841" s="319"/>
      <c r="CF841" s="319"/>
      <c r="CG841" s="319"/>
      <c r="CH841" s="319"/>
      <c r="CI841" s="319"/>
      <c r="CJ841" s="319"/>
      <c r="CK841" s="319"/>
    </row>
    <row r="842" spans="1:89" ht="13.5" hidden="1" customHeight="1">
      <c r="A842" s="12"/>
      <c r="B842" s="1"/>
      <c r="C842" s="1"/>
      <c r="D842" s="1"/>
      <c r="E842" s="1"/>
      <c r="F842" s="1"/>
      <c r="G842" s="1"/>
      <c r="H842" s="1"/>
      <c r="I842" s="1"/>
      <c r="J842" s="1"/>
      <c r="K842" s="9"/>
      <c r="L842" s="1"/>
      <c r="M842" s="319"/>
      <c r="N842" s="319">
        <v>2000000</v>
      </c>
      <c r="O842" s="319"/>
      <c r="P842" s="319"/>
      <c r="Q842" s="319"/>
      <c r="R842" s="319"/>
      <c r="S842" s="319"/>
      <c r="T842" s="319"/>
      <c r="U842" s="319"/>
      <c r="V842" s="319"/>
      <c r="W842" s="319"/>
      <c r="X842" s="319"/>
      <c r="Y842" s="319"/>
      <c r="Z842" s="319"/>
      <c r="AA842" s="319"/>
      <c r="AB842" s="319"/>
      <c r="AC842" s="319"/>
      <c r="AD842" s="319"/>
      <c r="AE842" s="319"/>
      <c r="AF842" s="319"/>
      <c r="AG842" s="319"/>
      <c r="AH842" s="319"/>
      <c r="AI842" s="319"/>
      <c r="AJ842" s="319"/>
      <c r="AK842" s="319"/>
      <c r="AL842" s="319"/>
      <c r="AM842" s="319"/>
      <c r="AN842" s="319"/>
      <c r="AO842" s="319"/>
      <c r="AP842" s="319"/>
      <c r="AQ842" s="319"/>
      <c r="AR842" s="319"/>
      <c r="AS842" s="319"/>
      <c r="AT842" s="319"/>
      <c r="AU842" s="319"/>
      <c r="AV842" s="319"/>
      <c r="AW842" s="319"/>
      <c r="AX842" s="319"/>
      <c r="AY842" s="319"/>
      <c r="AZ842" s="319"/>
      <c r="BA842" s="319"/>
      <c r="BB842" s="319"/>
      <c r="BC842" s="319"/>
      <c r="BD842" s="319"/>
      <c r="BE842" s="319"/>
      <c r="BF842" s="319"/>
      <c r="BG842" s="319"/>
      <c r="BH842" s="319"/>
      <c r="BI842" s="319"/>
      <c r="BJ842" s="319"/>
      <c r="BK842" s="319"/>
      <c r="BL842" s="319"/>
      <c r="BM842" s="319"/>
      <c r="BN842" s="319"/>
      <c r="BO842" s="319"/>
      <c r="BP842" s="319"/>
      <c r="BQ842" s="319"/>
      <c r="BR842" s="319"/>
      <c r="BS842" s="319"/>
      <c r="BT842" s="319"/>
      <c r="BU842" s="319"/>
      <c r="BV842" s="319"/>
      <c r="BW842" s="319"/>
      <c r="BX842" s="319"/>
      <c r="BY842" s="319"/>
      <c r="BZ842" s="319"/>
      <c r="CA842" s="319"/>
      <c r="CB842" s="319"/>
      <c r="CC842" s="319"/>
      <c r="CD842" s="319"/>
      <c r="CE842" s="319"/>
      <c r="CF842" s="319"/>
      <c r="CG842" s="319"/>
      <c r="CH842" s="319"/>
      <c r="CI842" s="319"/>
      <c r="CJ842" s="319"/>
      <c r="CK842" s="319"/>
    </row>
    <row r="843" spans="1:89" ht="13.5" hidden="1" customHeight="1">
      <c r="A843" s="12"/>
      <c r="B843" s="1" t="str">
        <f>Language!C386</f>
        <v>Carga de pico - anual</v>
      </c>
      <c r="C843" s="1" t="s">
        <v>1883</v>
      </c>
      <c r="D843" s="30">
        <v>577.20000000000005</v>
      </c>
      <c r="E843" s="30">
        <v>577.20000000000005</v>
      </c>
      <c r="F843" s="1"/>
      <c r="G843" s="1"/>
      <c r="H843" s="1"/>
      <c r="I843" s="1"/>
      <c r="J843" s="1"/>
      <c r="K843" s="9"/>
      <c r="L843" s="1"/>
      <c r="M843" s="319"/>
      <c r="N843" s="319">
        <v>2000000</v>
      </c>
      <c r="O843" s="319"/>
      <c r="P843" s="319"/>
      <c r="Q843" s="319"/>
      <c r="R843" s="319"/>
      <c r="S843" s="319"/>
      <c r="T843" s="319"/>
      <c r="U843" s="319"/>
      <c r="V843" s="319"/>
      <c r="W843" s="319"/>
      <c r="X843" s="319"/>
      <c r="Y843" s="319"/>
      <c r="Z843" s="319"/>
      <c r="AA843" s="319"/>
      <c r="AB843" s="319"/>
      <c r="AC843" s="319"/>
      <c r="AD843" s="319"/>
      <c r="AE843" s="319"/>
      <c r="AF843" s="319"/>
      <c r="AG843" s="319"/>
      <c r="AH843" s="319"/>
      <c r="AI843" s="319"/>
      <c r="AJ843" s="319"/>
      <c r="AK843" s="319"/>
      <c r="AL843" s="319"/>
      <c r="AM843" s="319"/>
      <c r="AN843" s="319"/>
      <c r="AO843" s="319"/>
      <c r="AP843" s="319"/>
      <c r="AQ843" s="319"/>
      <c r="AR843" s="319"/>
      <c r="AS843" s="319"/>
      <c r="AT843" s="319"/>
      <c r="AU843" s="319"/>
      <c r="AV843" s="319"/>
      <c r="AW843" s="319"/>
      <c r="AX843" s="319"/>
      <c r="AY843" s="319"/>
      <c r="AZ843" s="319"/>
      <c r="BA843" s="319"/>
      <c r="BB843" s="319"/>
      <c r="BC843" s="319"/>
      <c r="BD843" s="319"/>
      <c r="BE843" s="319"/>
      <c r="BF843" s="319"/>
      <c r="BG843" s="319"/>
      <c r="BH843" s="319"/>
      <c r="BI843" s="319"/>
      <c r="BJ843" s="319"/>
      <c r="BK843" s="319"/>
      <c r="BL843" s="319"/>
      <c r="BM843" s="319"/>
      <c r="BN843" s="319"/>
      <c r="BO843" s="319"/>
      <c r="BP843" s="319"/>
      <c r="BQ843" s="319"/>
      <c r="BR843" s="319"/>
      <c r="BS843" s="319"/>
      <c r="BT843" s="319"/>
      <c r="BU843" s="319"/>
      <c r="BV843" s="319"/>
      <c r="BW843" s="319"/>
      <c r="BX843" s="319"/>
      <c r="BY843" s="319"/>
      <c r="BZ843" s="319"/>
      <c r="CA843" s="319"/>
      <c r="CB843" s="319"/>
      <c r="CC843" s="319"/>
      <c r="CD843" s="319"/>
      <c r="CE843" s="319"/>
      <c r="CF843" s="319"/>
      <c r="CG843" s="319"/>
      <c r="CH843" s="319"/>
      <c r="CI843" s="319"/>
      <c r="CJ843" s="319"/>
      <c r="CK843" s="319"/>
    </row>
    <row r="844" spans="1:89" ht="13.5" hidden="1" customHeight="1">
      <c r="A844" s="12"/>
      <c r="B844" s="1"/>
      <c r="C844" s="1"/>
      <c r="D844" s="1"/>
      <c r="E844" s="1"/>
      <c r="F844" s="1"/>
      <c r="G844" s="1"/>
      <c r="H844" s="1"/>
      <c r="I844" s="1"/>
      <c r="J844" s="1"/>
      <c r="K844" s="9"/>
      <c r="L844" s="1"/>
      <c r="M844" s="319"/>
      <c r="N844" s="319">
        <v>2000000</v>
      </c>
      <c r="O844" s="319"/>
      <c r="P844" s="319"/>
      <c r="Q844" s="319"/>
      <c r="R844" s="319"/>
      <c r="S844" s="319"/>
      <c r="T844" s="319"/>
      <c r="U844" s="319"/>
      <c r="V844" s="319"/>
      <c r="W844" s="319"/>
      <c r="X844" s="319"/>
      <c r="Y844" s="319"/>
      <c r="Z844" s="319"/>
      <c r="AA844" s="319"/>
      <c r="AB844" s="319"/>
      <c r="AC844" s="319"/>
      <c r="AD844" s="319"/>
      <c r="AE844" s="319"/>
      <c r="AF844" s="319"/>
      <c r="AG844" s="319"/>
      <c r="AH844" s="319"/>
      <c r="AI844" s="319"/>
      <c r="AJ844" s="319"/>
      <c r="AK844" s="319"/>
      <c r="AL844" s="319"/>
      <c r="AM844" s="319"/>
      <c r="AN844" s="319"/>
      <c r="AO844" s="319"/>
      <c r="AP844" s="319"/>
      <c r="AQ844" s="319"/>
      <c r="AR844" s="319"/>
      <c r="AS844" s="319"/>
      <c r="AT844" s="319"/>
      <c r="AU844" s="319"/>
      <c r="AV844" s="319"/>
      <c r="AW844" s="319"/>
      <c r="AX844" s="319"/>
      <c r="AY844" s="319"/>
      <c r="AZ844" s="319"/>
      <c r="BA844" s="319"/>
      <c r="BB844" s="319"/>
      <c r="BC844" s="319"/>
      <c r="BD844" s="319"/>
      <c r="BE844" s="319"/>
      <c r="BF844" s="319"/>
      <c r="BG844" s="319"/>
      <c r="BH844" s="319"/>
      <c r="BI844" s="319"/>
      <c r="BJ844" s="319"/>
      <c r="BK844" s="319"/>
      <c r="BL844" s="319"/>
      <c r="BM844" s="319"/>
      <c r="BN844" s="319"/>
      <c r="BO844" s="319"/>
      <c r="BP844" s="319"/>
      <c r="BQ844" s="319"/>
      <c r="BR844" s="319"/>
      <c r="BS844" s="319"/>
      <c r="BT844" s="319"/>
      <c r="BU844" s="319"/>
      <c r="BV844" s="319"/>
      <c r="BW844" s="319"/>
      <c r="BX844" s="319"/>
      <c r="BY844" s="319"/>
      <c r="BZ844" s="319"/>
      <c r="CA844" s="319"/>
      <c r="CB844" s="319"/>
      <c r="CC844" s="319"/>
      <c r="CD844" s="319"/>
      <c r="CE844" s="319"/>
      <c r="CF844" s="319"/>
      <c r="CG844" s="319"/>
      <c r="CH844" s="319"/>
      <c r="CI844" s="319"/>
      <c r="CJ844" s="319"/>
      <c r="CK844" s="319"/>
    </row>
    <row r="845" spans="1:89" ht="13.5" hidden="1" customHeight="1">
      <c r="A845" s="12"/>
      <c r="B845" s="1" t="str">
        <f>Language!C387</f>
        <v>Demanda de eletricidade</v>
      </c>
      <c r="C845" s="29" t="str">
        <f>$J$1184</f>
        <v>MWh</v>
      </c>
      <c r="D845" s="30">
        <v>0</v>
      </c>
      <c r="E845" s="30">
        <v>0</v>
      </c>
      <c r="F845" s="1"/>
      <c r="G845" s="1"/>
      <c r="H845" s="1"/>
      <c r="I845" s="1"/>
      <c r="J845" s="1"/>
      <c r="K845" s="9"/>
      <c r="L845" s="1"/>
      <c r="M845" s="319"/>
      <c r="N845" s="319">
        <v>2000000</v>
      </c>
      <c r="O845" s="319"/>
      <c r="P845" s="319"/>
      <c r="Q845" s="319"/>
      <c r="R845" s="319"/>
      <c r="S845" s="319"/>
      <c r="T845" s="319"/>
      <c r="U845" s="319"/>
      <c r="V845" s="319"/>
      <c r="W845" s="319"/>
      <c r="X845" s="319"/>
      <c r="Y845" s="319"/>
      <c r="Z845" s="319"/>
      <c r="AA845" s="319"/>
      <c r="AB845" s="319"/>
      <c r="AC845" s="319"/>
      <c r="AD845" s="319"/>
      <c r="AE845" s="319"/>
      <c r="AF845" s="319"/>
      <c r="AG845" s="319"/>
      <c r="AH845" s="319"/>
      <c r="AI845" s="319"/>
      <c r="AJ845" s="319"/>
      <c r="AK845" s="319"/>
      <c r="AL845" s="319"/>
      <c r="AM845" s="319"/>
      <c r="AN845" s="319"/>
      <c r="AO845" s="319"/>
      <c r="AP845" s="319"/>
      <c r="AQ845" s="319"/>
      <c r="AR845" s="319"/>
      <c r="AS845" s="319"/>
      <c r="AT845" s="319"/>
      <c r="AU845" s="319"/>
      <c r="AV845" s="319"/>
      <c r="AW845" s="319"/>
      <c r="AX845" s="319"/>
      <c r="AY845" s="319"/>
      <c r="AZ845" s="319"/>
      <c r="BA845" s="319"/>
      <c r="BB845" s="319"/>
      <c r="BC845" s="319"/>
      <c r="BD845" s="319"/>
      <c r="BE845" s="319"/>
      <c r="BF845" s="319"/>
      <c r="BG845" s="319"/>
      <c r="BH845" s="319"/>
      <c r="BI845" s="319"/>
      <c r="BJ845" s="319"/>
      <c r="BK845" s="319"/>
      <c r="BL845" s="319"/>
      <c r="BM845" s="319"/>
      <c r="BN845" s="319"/>
      <c r="BO845" s="319"/>
      <c r="BP845" s="319"/>
      <c r="BQ845" s="319"/>
      <c r="BR845" s="319"/>
      <c r="BS845" s="319"/>
      <c r="BT845" s="319"/>
      <c r="BU845" s="319"/>
      <c r="BV845" s="319"/>
      <c r="BW845" s="319"/>
      <c r="BX845" s="319"/>
      <c r="BY845" s="319"/>
      <c r="BZ845" s="319"/>
      <c r="CA845" s="319"/>
      <c r="CB845" s="319"/>
      <c r="CC845" s="319"/>
      <c r="CD845" s="319"/>
      <c r="CE845" s="319"/>
      <c r="CF845" s="319"/>
      <c r="CG845" s="319"/>
      <c r="CH845" s="319"/>
      <c r="CI845" s="319"/>
      <c r="CJ845" s="319"/>
      <c r="CK845" s="319"/>
    </row>
    <row r="846" spans="1:89" ht="13.5" hidden="1" customHeight="1">
      <c r="A846" s="12"/>
      <c r="B846" s="1" t="str">
        <f>B845</f>
        <v>Demanda de eletricidade</v>
      </c>
      <c r="C846" s="29" t="str">
        <f>$J$1184</f>
        <v>MWh</v>
      </c>
      <c r="D846" s="30">
        <f>D845</f>
        <v>0</v>
      </c>
      <c r="E846" s="30"/>
      <c r="F846" s="1"/>
      <c r="G846" s="1"/>
      <c r="H846" s="1"/>
      <c r="I846" s="1"/>
      <c r="J846" s="1"/>
      <c r="K846" s="9"/>
      <c r="L846" s="1"/>
      <c r="M846" s="319"/>
      <c r="N846" s="319">
        <v>2000000</v>
      </c>
      <c r="O846" s="319"/>
      <c r="P846" s="319"/>
      <c r="Q846" s="319"/>
      <c r="R846" s="319"/>
      <c r="S846" s="319"/>
      <c r="T846" s="319"/>
      <c r="U846" s="319"/>
      <c r="V846" s="319"/>
      <c r="W846" s="319"/>
      <c r="X846" s="319"/>
      <c r="Y846" s="319"/>
      <c r="Z846" s="319"/>
      <c r="AA846" s="319"/>
      <c r="AB846" s="319"/>
      <c r="AC846" s="319"/>
      <c r="AD846" s="319"/>
      <c r="AE846" s="319"/>
      <c r="AF846" s="319"/>
      <c r="AG846" s="319"/>
      <c r="AH846" s="319"/>
      <c r="AI846" s="319"/>
      <c r="AJ846" s="319"/>
      <c r="AK846" s="319"/>
      <c r="AL846" s="319"/>
      <c r="AM846" s="319"/>
      <c r="AN846" s="319"/>
      <c r="AO846" s="319"/>
      <c r="AP846" s="319"/>
      <c r="AQ846" s="319"/>
      <c r="AR846" s="319"/>
      <c r="AS846" s="319"/>
      <c r="AT846" s="319"/>
      <c r="AU846" s="319"/>
      <c r="AV846" s="319"/>
      <c r="AW846" s="319"/>
      <c r="AX846" s="319"/>
      <c r="AY846" s="319"/>
      <c r="AZ846" s="319"/>
      <c r="BA846" s="319"/>
      <c r="BB846" s="319"/>
      <c r="BC846" s="319"/>
      <c r="BD846" s="319"/>
      <c r="BE846" s="319"/>
      <c r="BF846" s="319"/>
      <c r="BG846" s="319"/>
      <c r="BH846" s="319"/>
      <c r="BI846" s="319"/>
      <c r="BJ846" s="319"/>
      <c r="BK846" s="319"/>
      <c r="BL846" s="319"/>
      <c r="BM846" s="319"/>
      <c r="BN846" s="319"/>
      <c r="BO846" s="319"/>
      <c r="BP846" s="319"/>
      <c r="BQ846" s="319"/>
      <c r="BR846" s="319"/>
      <c r="BS846" s="319"/>
      <c r="BT846" s="319"/>
      <c r="BU846" s="319"/>
      <c r="BV846" s="319"/>
      <c r="BW846" s="319"/>
      <c r="BX846" s="319"/>
      <c r="BY846" s="319"/>
      <c r="BZ846" s="319"/>
      <c r="CA846" s="319"/>
      <c r="CB846" s="319"/>
      <c r="CC846" s="319"/>
      <c r="CD846" s="319"/>
      <c r="CE846" s="319"/>
      <c r="CF846" s="319"/>
      <c r="CG846" s="319"/>
      <c r="CH846" s="319"/>
      <c r="CI846" s="319"/>
      <c r="CJ846" s="319"/>
      <c r="CK846" s="319"/>
    </row>
    <row r="847" spans="1:89" ht="13.5" hidden="1" customHeight="1">
      <c r="A847" s="12"/>
      <c r="B847" s="1" t="str">
        <f>Language!C466</f>
        <v>Preço da eletricidade - caso de referência</v>
      </c>
      <c r="C847" s="29" t="str">
        <f>E9</f>
        <v>€/kWh</v>
      </c>
      <c r="D847" s="399"/>
      <c r="E847" s="124">
        <v>0.11</v>
      </c>
      <c r="F847" s="1"/>
      <c r="G847" s="1"/>
      <c r="H847" s="1"/>
      <c r="I847" s="1"/>
      <c r="J847" s="1"/>
      <c r="K847" s="9"/>
      <c r="L847" s="1"/>
      <c r="M847" s="319"/>
      <c r="N847" s="319">
        <v>2000000</v>
      </c>
      <c r="O847" s="319"/>
      <c r="P847" s="319"/>
      <c r="Q847" s="319"/>
      <c r="R847" s="319"/>
      <c r="S847" s="319"/>
      <c r="T847" s="319"/>
      <c r="U847" s="319"/>
      <c r="V847" s="319"/>
      <c r="W847" s="319"/>
      <c r="X847" s="319"/>
      <c r="Y847" s="319"/>
      <c r="Z847" s="319"/>
      <c r="AA847" s="319"/>
      <c r="AB847" s="319"/>
      <c r="AC847" s="319"/>
      <c r="AD847" s="319"/>
      <c r="AE847" s="319"/>
      <c r="AF847" s="319"/>
      <c r="AG847" s="319"/>
      <c r="AH847" s="319"/>
      <c r="AI847" s="319"/>
      <c r="AJ847" s="319"/>
      <c r="AK847" s="319"/>
      <c r="AL847" s="319"/>
      <c r="AM847" s="319"/>
      <c r="AN847" s="319"/>
      <c r="AO847" s="319"/>
      <c r="AP847" s="319"/>
      <c r="AQ847" s="319"/>
      <c r="AR847" s="319"/>
      <c r="AS847" s="319"/>
      <c r="AT847" s="319"/>
      <c r="AU847" s="319"/>
      <c r="AV847" s="319"/>
      <c r="AW847" s="319"/>
      <c r="AX847" s="319"/>
      <c r="AY847" s="319"/>
      <c r="AZ847" s="319"/>
      <c r="BA847" s="319"/>
      <c r="BB847" s="319"/>
      <c r="BC847" s="319"/>
      <c r="BD847" s="319"/>
      <c r="BE847" s="319"/>
      <c r="BF847" s="319"/>
      <c r="BG847" s="319"/>
      <c r="BH847" s="319"/>
      <c r="BI847" s="319"/>
      <c r="BJ847" s="319"/>
      <c r="BK847" s="319"/>
      <c r="BL847" s="319"/>
      <c r="BM847" s="319"/>
      <c r="BN847" s="319"/>
      <c r="BO847" s="319"/>
      <c r="BP847" s="319"/>
      <c r="BQ847" s="319"/>
      <c r="BR847" s="319"/>
      <c r="BS847" s="319"/>
      <c r="BT847" s="319"/>
      <c r="BU847" s="319"/>
      <c r="BV847" s="319"/>
      <c r="BW847" s="319"/>
      <c r="BX847" s="319"/>
      <c r="BY847" s="319"/>
      <c r="BZ847" s="319"/>
      <c r="CA847" s="319"/>
      <c r="CB847" s="319"/>
      <c r="CC847" s="319"/>
      <c r="CD847" s="319"/>
      <c r="CE847" s="319"/>
      <c r="CF847" s="319"/>
      <c r="CG847" s="319"/>
      <c r="CH847" s="319"/>
      <c r="CI847" s="319"/>
      <c r="CJ847" s="319"/>
      <c r="CK847" s="319"/>
    </row>
    <row r="848" spans="1:89" ht="13.5" hidden="1" customHeight="1">
      <c r="A848" s="12"/>
      <c r="B848" s="1" t="str">
        <f>Language!C388</f>
        <v>Custo total de eletricidade</v>
      </c>
      <c r="C848" s="29" t="str">
        <f>$C$805</f>
        <v>€</v>
      </c>
      <c r="D848" s="30">
        <f>IF(EE_PS_CB2=1,D846,D845)*D847*1000</f>
        <v>0</v>
      </c>
      <c r="E848" s="30">
        <f>E846*E847*1000</f>
        <v>0</v>
      </c>
      <c r="F848" s="1"/>
      <c r="G848" s="1"/>
      <c r="H848" s="1"/>
      <c r="I848" s="1"/>
      <c r="J848" s="1"/>
      <c r="K848" s="9"/>
      <c r="L848" s="1"/>
      <c r="M848" s="319"/>
      <c r="N848" s="319">
        <v>2000000</v>
      </c>
      <c r="O848" s="319"/>
      <c r="P848" s="319"/>
      <c r="Q848" s="319"/>
      <c r="R848" s="319"/>
      <c r="S848" s="319"/>
      <c r="T848" s="319"/>
      <c r="U848" s="319"/>
      <c r="V848" s="319"/>
      <c r="W848" s="319"/>
      <c r="X848" s="319"/>
      <c r="Y848" s="319"/>
      <c r="Z848" s="319"/>
      <c r="AA848" s="319"/>
      <c r="AB848" s="319"/>
      <c r="AC848" s="319"/>
      <c r="AD848" s="319"/>
      <c r="AE848" s="319"/>
      <c r="AF848" s="319"/>
      <c r="AG848" s="319"/>
      <c r="AH848" s="319"/>
      <c r="AI848" s="319"/>
      <c r="AJ848" s="319"/>
      <c r="AK848" s="319"/>
      <c r="AL848" s="319"/>
      <c r="AM848" s="319"/>
      <c r="AN848" s="319"/>
      <c r="AO848" s="319"/>
      <c r="AP848" s="319"/>
      <c r="AQ848" s="319"/>
      <c r="AR848" s="319"/>
      <c r="AS848" s="319"/>
      <c r="AT848" s="319"/>
      <c r="AU848" s="319"/>
      <c r="AV848" s="319"/>
      <c r="AW848" s="319"/>
      <c r="AX848" s="319"/>
      <c r="AY848" s="319"/>
      <c r="AZ848" s="319"/>
      <c r="BA848" s="319"/>
      <c r="BB848" s="319"/>
      <c r="BC848" s="319"/>
      <c r="BD848" s="319"/>
      <c r="BE848" s="319"/>
      <c r="BF848" s="319"/>
      <c r="BG848" s="319"/>
      <c r="BH848" s="319"/>
      <c r="BI848" s="319"/>
      <c r="BJ848" s="319"/>
      <c r="BK848" s="319"/>
      <c r="BL848" s="319"/>
      <c r="BM848" s="319"/>
      <c r="BN848" s="319"/>
      <c r="BO848" s="319"/>
      <c r="BP848" s="319"/>
      <c r="BQ848" s="319"/>
      <c r="BR848" s="319"/>
      <c r="BS848" s="319"/>
      <c r="BT848" s="319"/>
      <c r="BU848" s="319"/>
      <c r="BV848" s="319"/>
      <c r="BW848" s="319"/>
      <c r="BX848" s="319"/>
      <c r="BY848" s="319"/>
      <c r="BZ848" s="319"/>
      <c r="CA848" s="319"/>
      <c r="CB848" s="319"/>
      <c r="CC848" s="319"/>
      <c r="CD848" s="319"/>
      <c r="CE848" s="319"/>
      <c r="CF848" s="319"/>
      <c r="CG848" s="319"/>
      <c r="CH848" s="319"/>
      <c r="CI848" s="319"/>
      <c r="CJ848" s="319"/>
      <c r="CK848" s="319"/>
    </row>
    <row r="849" spans="1:89" ht="13.5" hidden="1" customHeight="1">
      <c r="A849" s="12"/>
      <c r="B849" s="1"/>
      <c r="C849" s="1"/>
      <c r="D849" s="1"/>
      <c r="E849" s="1"/>
      <c r="F849" s="1"/>
      <c r="G849" s="1"/>
      <c r="H849" s="1"/>
      <c r="I849" s="1"/>
      <c r="J849" s="1"/>
      <c r="K849" s="9"/>
      <c r="L849" s="1"/>
      <c r="M849" s="319"/>
      <c r="N849" s="319">
        <v>2000000</v>
      </c>
      <c r="O849" s="319"/>
      <c r="P849" s="319"/>
      <c r="Q849" s="319"/>
      <c r="R849" s="319"/>
      <c r="S849" s="319"/>
      <c r="T849" s="319"/>
      <c r="U849" s="319"/>
      <c r="V849" s="319"/>
      <c r="W849" s="319"/>
      <c r="X849" s="319"/>
      <c r="Y849" s="319"/>
      <c r="Z849" s="319"/>
      <c r="AA849" s="319"/>
      <c r="AB849" s="319"/>
      <c r="AC849" s="319"/>
      <c r="AD849" s="319"/>
      <c r="AE849" s="319"/>
      <c r="AF849" s="319"/>
      <c r="AG849" s="319"/>
      <c r="AH849" s="319"/>
      <c r="AI849" s="319"/>
      <c r="AJ849" s="319"/>
      <c r="AK849" s="319"/>
      <c r="AL849" s="319"/>
      <c r="AM849" s="319"/>
      <c r="AN849" s="319"/>
      <c r="AO849" s="319"/>
      <c r="AP849" s="319"/>
      <c r="AQ849" s="319"/>
      <c r="AR849" s="319"/>
      <c r="AS849" s="319"/>
      <c r="AT849" s="319"/>
      <c r="AU849" s="319"/>
      <c r="AV849" s="319"/>
      <c r="AW849" s="319"/>
      <c r="AX849" s="319"/>
      <c r="AY849" s="319"/>
      <c r="AZ849" s="319"/>
      <c r="BA849" s="319"/>
      <c r="BB849" s="319"/>
      <c r="BC849" s="319"/>
      <c r="BD849" s="319"/>
      <c r="BE849" s="319"/>
      <c r="BF849" s="319"/>
      <c r="BG849" s="319"/>
      <c r="BH849" s="319"/>
      <c r="BI849" s="319"/>
      <c r="BJ849" s="319"/>
      <c r="BK849" s="319"/>
      <c r="BL849" s="319"/>
      <c r="BM849" s="319"/>
      <c r="BN849" s="319"/>
      <c r="BO849" s="319"/>
      <c r="BP849" s="319"/>
      <c r="BQ849" s="319"/>
      <c r="BR849" s="319"/>
      <c r="BS849" s="319"/>
      <c r="BT849" s="319"/>
      <c r="BU849" s="319"/>
      <c r="BV849" s="319"/>
      <c r="BW849" s="319"/>
      <c r="BX849" s="319"/>
      <c r="BY849" s="319"/>
      <c r="BZ849" s="319"/>
      <c r="CA849" s="319"/>
      <c r="CB849" s="319"/>
      <c r="CC849" s="319"/>
      <c r="CD849" s="319"/>
      <c r="CE849" s="319"/>
      <c r="CF849" s="319"/>
      <c r="CG849" s="319"/>
      <c r="CH849" s="319"/>
      <c r="CI849" s="319"/>
      <c r="CJ849" s="319"/>
      <c r="CK849" s="319"/>
    </row>
    <row r="850" spans="1:89" ht="13.5" hidden="1" customHeight="1">
      <c r="A850" s="14"/>
      <c r="B850" s="15"/>
      <c r="C850" s="15"/>
      <c r="D850" s="15"/>
      <c r="E850" s="15"/>
      <c r="F850" s="15"/>
      <c r="G850" s="15"/>
      <c r="H850" s="15"/>
      <c r="I850" s="15"/>
      <c r="J850" s="15"/>
      <c r="K850" s="11"/>
      <c r="L850" s="1"/>
      <c r="M850" s="319"/>
      <c r="N850" s="319">
        <v>2000000</v>
      </c>
      <c r="O850" s="319"/>
      <c r="P850" s="319"/>
      <c r="Q850" s="319"/>
      <c r="R850" s="319"/>
      <c r="S850" s="319"/>
      <c r="T850" s="319"/>
      <c r="U850" s="319"/>
      <c r="V850" s="319"/>
      <c r="W850" s="319"/>
      <c r="X850" s="319"/>
      <c r="Y850" s="319"/>
      <c r="Z850" s="319"/>
      <c r="AA850" s="319"/>
      <c r="AB850" s="319"/>
      <c r="AC850" s="319"/>
      <c r="AD850" s="319"/>
      <c r="AE850" s="319"/>
      <c r="AF850" s="319"/>
      <c r="AG850" s="319"/>
      <c r="AH850" s="319"/>
      <c r="AI850" s="319"/>
      <c r="AJ850" s="319"/>
      <c r="AK850" s="319"/>
      <c r="AL850" s="319"/>
      <c r="AM850" s="319"/>
      <c r="AN850" s="319"/>
      <c r="AO850" s="319"/>
      <c r="AP850" s="319"/>
      <c r="AQ850" s="319"/>
      <c r="AR850" s="319"/>
      <c r="AS850" s="319"/>
      <c r="AT850" s="319"/>
      <c r="AU850" s="319"/>
      <c r="AV850" s="319"/>
      <c r="AW850" s="319"/>
      <c r="AX850" s="319"/>
      <c r="AY850" s="319"/>
      <c r="AZ850" s="319"/>
      <c r="BA850" s="319"/>
      <c r="BB850" s="319"/>
      <c r="BC850" s="319"/>
      <c r="BD850" s="319"/>
      <c r="BE850" s="319"/>
      <c r="BF850" s="319"/>
      <c r="BG850" s="319"/>
      <c r="BH850" s="319"/>
      <c r="BI850" s="319"/>
      <c r="BJ850" s="319"/>
      <c r="BK850" s="319"/>
      <c r="BL850" s="319"/>
      <c r="BM850" s="319"/>
      <c r="BN850" s="319"/>
      <c r="BO850" s="319"/>
      <c r="BP850" s="319"/>
      <c r="BQ850" s="319"/>
      <c r="BR850" s="319"/>
      <c r="BS850" s="319"/>
      <c r="BT850" s="319"/>
      <c r="BU850" s="319"/>
      <c r="BV850" s="319"/>
      <c r="BW850" s="319"/>
      <c r="BX850" s="319"/>
      <c r="BY850" s="319"/>
      <c r="BZ850" s="319"/>
      <c r="CA850" s="319"/>
      <c r="CB850" s="319"/>
      <c r="CC850" s="319"/>
      <c r="CD850" s="319"/>
      <c r="CE850" s="319"/>
      <c r="CF850" s="319"/>
      <c r="CG850" s="319"/>
      <c r="CH850" s="319"/>
      <c r="CI850" s="319"/>
      <c r="CJ850" s="319"/>
      <c r="CK850" s="319"/>
    </row>
    <row r="851" spans="1:89" ht="13.5" hidden="1" customHeight="1">
      <c r="A851" s="12"/>
      <c r="B851" s="1"/>
      <c r="C851" s="1"/>
      <c r="D851" s="1"/>
      <c r="E851" s="1"/>
      <c r="F851" s="1"/>
      <c r="G851" s="1"/>
      <c r="H851" s="1"/>
      <c r="I851" s="1"/>
      <c r="J851" s="1"/>
      <c r="K851" s="9"/>
      <c r="L851" s="1"/>
      <c r="M851" s="319"/>
      <c r="N851" s="319">
        <v>2000000</v>
      </c>
      <c r="O851" s="319"/>
      <c r="P851" s="319"/>
      <c r="Q851" s="319"/>
      <c r="R851" s="319"/>
      <c r="S851" s="319"/>
      <c r="T851" s="319"/>
      <c r="U851" s="319"/>
      <c r="V851" s="319"/>
      <c r="W851" s="319"/>
      <c r="X851" s="319"/>
      <c r="Y851" s="319"/>
      <c r="Z851" s="319"/>
      <c r="AA851" s="319"/>
      <c r="AB851" s="319"/>
      <c r="AC851" s="319"/>
      <c r="AD851" s="319"/>
      <c r="AE851" s="319"/>
      <c r="AF851" s="319"/>
      <c r="AG851" s="319"/>
      <c r="AH851" s="319"/>
      <c r="AI851" s="319"/>
      <c r="AJ851" s="319"/>
      <c r="AK851" s="319"/>
      <c r="AL851" s="319"/>
      <c r="AM851" s="319"/>
      <c r="AN851" s="319"/>
      <c r="AO851" s="319"/>
      <c r="AP851" s="319"/>
      <c r="AQ851" s="319"/>
      <c r="AR851" s="319"/>
      <c r="AS851" s="319"/>
      <c r="AT851" s="319"/>
      <c r="AU851" s="319"/>
      <c r="AV851" s="319"/>
      <c r="AW851" s="319"/>
      <c r="AX851" s="319"/>
      <c r="AY851" s="319"/>
      <c r="AZ851" s="319"/>
      <c r="BA851" s="319"/>
      <c r="BB851" s="319"/>
      <c r="BC851" s="319"/>
      <c r="BD851" s="319"/>
      <c r="BE851" s="319"/>
      <c r="BF851" s="319"/>
      <c r="BG851" s="319"/>
      <c r="BH851" s="319"/>
      <c r="BI851" s="319"/>
      <c r="BJ851" s="319"/>
      <c r="BK851" s="319"/>
      <c r="BL851" s="319"/>
      <c r="BM851" s="319"/>
      <c r="BN851" s="319"/>
      <c r="BO851" s="319"/>
      <c r="BP851" s="319"/>
      <c r="BQ851" s="319"/>
      <c r="BR851" s="319"/>
      <c r="BS851" s="319"/>
      <c r="BT851" s="319"/>
      <c r="BU851" s="319"/>
      <c r="BV851" s="319"/>
      <c r="BW851" s="319"/>
      <c r="BX851" s="319"/>
      <c r="BY851" s="319"/>
      <c r="BZ851" s="319"/>
      <c r="CA851" s="319"/>
      <c r="CB851" s="319"/>
      <c r="CC851" s="319"/>
      <c r="CD851" s="319"/>
      <c r="CE851" s="319"/>
      <c r="CF851" s="319"/>
      <c r="CG851" s="319"/>
      <c r="CH851" s="319"/>
      <c r="CI851" s="319"/>
      <c r="CJ851" s="319"/>
      <c r="CK851" s="319"/>
    </row>
    <row r="852" spans="1:89" ht="13.5" hidden="1" customHeight="1">
      <c r="A852" s="12"/>
      <c r="B852" s="28" t="str">
        <f>Language!C141</f>
        <v>Fotovoltaica</v>
      </c>
      <c r="C852" s="1"/>
      <c r="D852" s="1"/>
      <c r="E852" s="1"/>
      <c r="F852" s="1"/>
      <c r="G852" s="1"/>
      <c r="H852" s="1"/>
      <c r="I852" s="1"/>
      <c r="J852" s="1"/>
      <c r="K852" s="9"/>
      <c r="L852" s="1"/>
      <c r="M852" s="319"/>
      <c r="N852" s="319">
        <v>2000000</v>
      </c>
      <c r="O852" s="319"/>
      <c r="P852" s="319"/>
      <c r="Q852" s="319"/>
      <c r="R852" s="319"/>
      <c r="S852" s="319"/>
      <c r="T852" s="319"/>
      <c r="U852" s="319"/>
      <c r="V852" s="319"/>
      <c r="W852" s="319"/>
      <c r="X852" s="319"/>
      <c r="Y852" s="319"/>
      <c r="Z852" s="319"/>
      <c r="AA852" s="319"/>
      <c r="AB852" s="319"/>
      <c r="AC852" s="319"/>
      <c r="AD852" s="319"/>
      <c r="AE852" s="319"/>
      <c r="AF852" s="319"/>
      <c r="AG852" s="319"/>
      <c r="AH852" s="319"/>
      <c r="AI852" s="319"/>
      <c r="AJ852" s="319"/>
      <c r="AK852" s="319"/>
      <c r="AL852" s="319"/>
      <c r="AM852" s="319"/>
      <c r="AN852" s="319"/>
      <c r="AO852" s="319"/>
      <c r="AP852" s="319"/>
      <c r="AQ852" s="319"/>
      <c r="AR852" s="319"/>
      <c r="AS852" s="319"/>
      <c r="AT852" s="319"/>
      <c r="AU852" s="319"/>
      <c r="AV852" s="319"/>
      <c r="AW852" s="319"/>
      <c r="AX852" s="319"/>
      <c r="AY852" s="319"/>
      <c r="AZ852" s="319"/>
      <c r="BA852" s="319"/>
      <c r="BB852" s="319"/>
      <c r="BC852" s="319"/>
      <c r="BD852" s="319"/>
      <c r="BE852" s="319"/>
      <c r="BF852" s="319"/>
      <c r="BG852" s="319"/>
      <c r="BH852" s="319"/>
      <c r="BI852" s="319"/>
      <c r="BJ852" s="319"/>
      <c r="BK852" s="319"/>
      <c r="BL852" s="319"/>
      <c r="BM852" s="319"/>
      <c r="BN852" s="319"/>
      <c r="BO852" s="319"/>
      <c r="BP852" s="319"/>
      <c r="BQ852" s="319"/>
      <c r="BR852" s="319"/>
      <c r="BS852" s="319"/>
      <c r="BT852" s="319"/>
      <c r="BU852" s="319"/>
      <c r="BV852" s="319"/>
      <c r="BW852" s="319"/>
      <c r="BX852" s="319"/>
      <c r="BY852" s="319"/>
      <c r="BZ852" s="319"/>
      <c r="CA852" s="319"/>
      <c r="CB852" s="319"/>
      <c r="CC852" s="319"/>
      <c r="CD852" s="319"/>
      <c r="CE852" s="319"/>
      <c r="CF852" s="319"/>
      <c r="CG852" s="319"/>
      <c r="CH852" s="319"/>
      <c r="CI852" s="319"/>
      <c r="CJ852" s="319"/>
      <c r="CK852" s="319"/>
    </row>
    <row r="853" spans="1:89" ht="13.5" hidden="1" customHeight="1">
      <c r="A853" s="12"/>
      <c r="B853" s="329" t="str">
        <f>Language!C427</f>
        <v>Potência elétrica</v>
      </c>
      <c r="C853" s="29" t="str">
        <f>F1169</f>
        <v>kW</v>
      </c>
      <c r="D853" s="797"/>
      <c r="E853" s="103"/>
      <c r="F853" s="79"/>
      <c r="G853" s="1367"/>
      <c r="H853" s="1"/>
      <c r="I853" s="1"/>
      <c r="J853" s="1"/>
      <c r="K853" s="9"/>
      <c r="L853" s="1"/>
      <c r="M853" s="319"/>
      <c r="N853" s="319">
        <v>2000000</v>
      </c>
      <c r="O853" s="319"/>
      <c r="P853" s="319"/>
      <c r="Q853" s="319"/>
      <c r="R853" s="319"/>
      <c r="S853" s="319"/>
      <c r="T853" s="319"/>
      <c r="U853" s="319"/>
      <c r="V853" s="319"/>
      <c r="W853" s="319"/>
      <c r="X853" s="319"/>
      <c r="Y853" s="319"/>
      <c r="Z853" s="319"/>
      <c r="AA853" s="319"/>
      <c r="AB853" s="319"/>
      <c r="AC853" s="319"/>
      <c r="AD853" s="319"/>
      <c r="AE853" s="319"/>
      <c r="AF853" s="319"/>
      <c r="AG853" s="319"/>
      <c r="AH853" s="319"/>
      <c r="AI853" s="319"/>
      <c r="AJ853" s="319"/>
      <c r="AK853" s="319"/>
      <c r="AL853" s="319"/>
      <c r="AM853" s="319"/>
      <c r="AN853" s="319"/>
      <c r="AO853" s="319"/>
      <c r="AP853" s="319"/>
      <c r="AQ853" s="319"/>
      <c r="AR853" s="319"/>
      <c r="AS853" s="319"/>
      <c r="AT853" s="319"/>
      <c r="AU853" s="319"/>
      <c r="AV853" s="319"/>
      <c r="AW853" s="319"/>
      <c r="AX853" s="319"/>
      <c r="AY853" s="319"/>
      <c r="AZ853" s="319"/>
      <c r="BA853" s="319"/>
      <c r="BB853" s="319"/>
      <c r="BC853" s="319"/>
      <c r="BD853" s="319"/>
      <c r="BE853" s="319"/>
      <c r="BF853" s="319"/>
      <c r="BG853" s="319"/>
      <c r="BH853" s="319"/>
      <c r="BI853" s="319"/>
      <c r="BJ853" s="319"/>
      <c r="BK853" s="319"/>
      <c r="BL853" s="319"/>
      <c r="BM853" s="319"/>
      <c r="BN853" s="319"/>
      <c r="BO853" s="319"/>
      <c r="BP853" s="319"/>
      <c r="BQ853" s="319"/>
      <c r="BR853" s="319"/>
      <c r="BS853" s="319"/>
      <c r="BT853" s="319"/>
      <c r="BU853" s="319"/>
      <c r="BV853" s="319"/>
      <c r="BW853" s="319"/>
      <c r="BX853" s="319"/>
      <c r="BY853" s="319"/>
      <c r="BZ853" s="319"/>
      <c r="CA853" s="319"/>
      <c r="CB853" s="319"/>
      <c r="CC853" s="319"/>
      <c r="CD853" s="319"/>
      <c r="CE853" s="319"/>
      <c r="CF853" s="319"/>
      <c r="CG853" s="319"/>
      <c r="CH853" s="319"/>
      <c r="CI853" s="319"/>
      <c r="CJ853" s="319"/>
      <c r="CK853" s="319"/>
    </row>
    <row r="854" spans="1:89" ht="13.5" hidden="1" customHeight="1">
      <c r="A854" s="12"/>
      <c r="B854" s="1" t="str">
        <f>$B$760</f>
        <v>Fabricante</v>
      </c>
      <c r="C854" s="1152"/>
      <c r="D854" s="1153"/>
      <c r="E854" s="1154"/>
      <c r="F854" s="1"/>
      <c r="G854" s="1"/>
      <c r="H854" s="1"/>
      <c r="I854" s="1209" t="str">
        <f>Language!C61</f>
        <v>Ver banco de dados de produtos</v>
      </c>
      <c r="J854" s="1191"/>
      <c r="K854" s="1210"/>
      <c r="L854" s="1"/>
      <c r="M854" s="319"/>
      <c r="N854" s="319">
        <v>2000000</v>
      </c>
      <c r="O854" s="818" t="s">
        <v>3316</v>
      </c>
      <c r="P854" s="319"/>
      <c r="Q854" s="319"/>
      <c r="R854" s="319"/>
      <c r="S854" s="319"/>
      <c r="T854" s="319"/>
      <c r="U854" s="319"/>
      <c r="V854" s="319"/>
      <c r="W854" s="319"/>
      <c r="X854" s="319"/>
      <c r="Y854" s="319"/>
      <c r="Z854" s="319"/>
      <c r="AA854" s="319"/>
      <c r="AB854" s="319"/>
      <c r="AC854" s="319"/>
      <c r="AD854" s="319"/>
      <c r="AE854" s="319"/>
      <c r="AF854" s="319"/>
      <c r="AG854" s="319"/>
      <c r="AH854" s="319"/>
      <c r="AI854" s="319"/>
      <c r="AJ854" s="319"/>
      <c r="AK854" s="319"/>
      <c r="AL854" s="319"/>
      <c r="AM854" s="319"/>
      <c r="AN854" s="319"/>
      <c r="AO854" s="319"/>
      <c r="AP854" s="319"/>
      <c r="AQ854" s="319"/>
      <c r="AR854" s="319"/>
      <c r="AS854" s="319"/>
      <c r="AT854" s="319"/>
      <c r="AU854" s="319"/>
      <c r="AV854" s="319"/>
      <c r="AW854" s="319"/>
      <c r="AX854" s="319"/>
      <c r="AY854" s="319"/>
      <c r="AZ854" s="319"/>
      <c r="BA854" s="319"/>
      <c r="BB854" s="319"/>
      <c r="BC854" s="319"/>
      <c r="BD854" s="319"/>
      <c r="BE854" s="319"/>
      <c r="BF854" s="319"/>
      <c r="BG854" s="319"/>
      <c r="BH854" s="319"/>
      <c r="BI854" s="319"/>
      <c r="BJ854" s="319"/>
      <c r="BK854" s="319"/>
      <c r="BL854" s="319"/>
      <c r="BM854" s="319"/>
      <c r="BN854" s="319"/>
      <c r="BO854" s="319"/>
      <c r="BP854" s="319"/>
      <c r="BQ854" s="319"/>
      <c r="BR854" s="319"/>
      <c r="BS854" s="319"/>
      <c r="BT854" s="319"/>
      <c r="BU854" s="319"/>
      <c r="BV854" s="319"/>
      <c r="BW854" s="319"/>
      <c r="BX854" s="319"/>
      <c r="BY854" s="319"/>
      <c r="BZ854" s="319"/>
      <c r="CA854" s="319"/>
      <c r="CB854" s="319"/>
      <c r="CC854" s="319"/>
      <c r="CD854" s="319"/>
      <c r="CE854" s="319"/>
      <c r="CF854" s="319"/>
      <c r="CG854" s="319"/>
      <c r="CH854" s="319"/>
      <c r="CI854" s="319"/>
      <c r="CJ854" s="319"/>
      <c r="CK854" s="319"/>
    </row>
    <row r="855" spans="1:89" ht="13.5" hidden="1" customHeight="1">
      <c r="A855" s="12"/>
      <c r="B855" s="1" t="str">
        <f>$B$761</f>
        <v>Modelo</v>
      </c>
      <c r="C855" s="1152"/>
      <c r="D855" s="1153"/>
      <c r="E855" s="1154"/>
      <c r="F855" s="1" t="str">
        <f>$I$1194 &amp; Lang_Unit</f>
        <v>6 unidade(s)</v>
      </c>
      <c r="G855" s="1"/>
      <c r="H855" s="1"/>
      <c r="I855" s="1"/>
      <c r="J855" s="1"/>
      <c r="K855" s="9"/>
      <c r="L855" s="1"/>
      <c r="M855" s="319"/>
      <c r="N855" s="319">
        <v>2000000</v>
      </c>
      <c r="O855" s="319"/>
      <c r="P855" s="319"/>
      <c r="Q855" s="319"/>
      <c r="R855" s="319"/>
      <c r="S855" s="319"/>
      <c r="T855" s="319"/>
      <c r="U855" s="319"/>
      <c r="V855" s="319"/>
      <c r="W855" s="319"/>
      <c r="X855" s="319"/>
      <c r="Y855" s="319"/>
      <c r="Z855" s="319"/>
      <c r="AA855" s="319"/>
      <c r="AB855" s="319"/>
      <c r="AC855" s="319"/>
      <c r="AD855" s="319"/>
      <c r="AE855" s="319"/>
      <c r="AF855" s="319"/>
      <c r="AG855" s="319"/>
      <c r="AH855" s="319"/>
      <c r="AI855" s="319"/>
      <c r="AJ855" s="319"/>
      <c r="AK855" s="319"/>
      <c r="AL855" s="319"/>
      <c r="AM855" s="319"/>
      <c r="AN855" s="319"/>
      <c r="AO855" s="319"/>
      <c r="AP855" s="319"/>
      <c r="AQ855" s="319"/>
      <c r="AR855" s="319"/>
      <c r="AS855" s="319"/>
      <c r="AT855" s="319"/>
      <c r="AU855" s="319"/>
      <c r="AV855" s="319"/>
      <c r="AW855" s="319"/>
      <c r="AX855" s="319"/>
      <c r="AY855" s="319"/>
      <c r="AZ855" s="319"/>
      <c r="BA855" s="319"/>
      <c r="BB855" s="319"/>
      <c r="BC855" s="319"/>
      <c r="BD855" s="319"/>
      <c r="BE855" s="319"/>
      <c r="BF855" s="319"/>
      <c r="BG855" s="319"/>
      <c r="BH855" s="319"/>
      <c r="BI855" s="319"/>
      <c r="BJ855" s="319"/>
      <c r="BK855" s="319"/>
      <c r="BL855" s="319"/>
      <c r="BM855" s="319"/>
      <c r="BN855" s="319"/>
      <c r="BO855" s="319"/>
      <c r="BP855" s="319"/>
      <c r="BQ855" s="319"/>
      <c r="BR855" s="319"/>
      <c r="BS855" s="319"/>
      <c r="BT855" s="319"/>
      <c r="BU855" s="319"/>
      <c r="BV855" s="319"/>
      <c r="BW855" s="319"/>
      <c r="BX855" s="319"/>
      <c r="BY855" s="319"/>
      <c r="BZ855" s="319"/>
      <c r="CA855" s="319"/>
      <c r="CB855" s="319"/>
      <c r="CC855" s="319"/>
      <c r="CD855" s="319"/>
      <c r="CE855" s="319"/>
      <c r="CF855" s="319"/>
      <c r="CG855" s="319"/>
      <c r="CH855" s="319"/>
      <c r="CI855" s="319"/>
      <c r="CJ855" s="319"/>
      <c r="CK855" s="319"/>
    </row>
    <row r="856" spans="1:89" ht="13.5" hidden="1" customHeight="1">
      <c r="A856" s="12"/>
      <c r="B856" s="1" t="str">
        <f>Language!C462</f>
        <v>Fator de Utilização</v>
      </c>
      <c r="C856" s="29" t="str">
        <f>$C$254</f>
        <v>%</v>
      </c>
      <c r="D856" s="422"/>
      <c r="E856" s="1"/>
      <c r="F856" s="1"/>
      <c r="G856" s="1"/>
      <c r="H856" s="1"/>
      <c r="I856" s="1"/>
      <c r="J856" s="1"/>
      <c r="K856" s="9"/>
      <c r="L856" s="1"/>
      <c r="M856" s="319"/>
      <c r="N856" s="319">
        <v>2000000</v>
      </c>
      <c r="O856" s="319"/>
      <c r="P856" s="319"/>
      <c r="Q856" s="319"/>
      <c r="R856" s="319"/>
      <c r="S856" s="319"/>
      <c r="T856" s="319"/>
      <c r="U856" s="319"/>
      <c r="V856" s="319"/>
      <c r="W856" s="319"/>
      <c r="X856" s="319"/>
      <c r="Y856" s="319"/>
      <c r="Z856" s="319"/>
      <c r="AA856" s="319"/>
      <c r="AB856" s="319"/>
      <c r="AC856" s="319"/>
      <c r="AD856" s="319"/>
      <c r="AE856" s="319"/>
      <c r="AF856" s="319"/>
      <c r="AG856" s="319"/>
      <c r="AH856" s="319"/>
      <c r="AI856" s="319"/>
      <c r="AJ856" s="319"/>
      <c r="AK856" s="319"/>
      <c r="AL856" s="319"/>
      <c r="AM856" s="319"/>
      <c r="AN856" s="319"/>
      <c r="AO856" s="319"/>
      <c r="AP856" s="319"/>
      <c r="AQ856" s="319"/>
      <c r="AR856" s="319"/>
      <c r="AS856" s="319"/>
      <c r="AT856" s="319"/>
      <c r="AU856" s="319"/>
      <c r="AV856" s="319"/>
      <c r="AW856" s="319"/>
      <c r="AX856" s="319"/>
      <c r="AY856" s="319"/>
      <c r="AZ856" s="319"/>
      <c r="BA856" s="319"/>
      <c r="BB856" s="319"/>
      <c r="BC856" s="319"/>
      <c r="BD856" s="319"/>
      <c r="BE856" s="319"/>
      <c r="BF856" s="319"/>
      <c r="BG856" s="319"/>
      <c r="BH856" s="319"/>
      <c r="BI856" s="319"/>
      <c r="BJ856" s="319"/>
      <c r="BK856" s="319"/>
      <c r="BL856" s="319"/>
      <c r="BM856" s="319"/>
      <c r="BN856" s="319"/>
      <c r="BO856" s="319"/>
      <c r="BP856" s="319"/>
      <c r="BQ856" s="319"/>
      <c r="BR856" s="319"/>
      <c r="BS856" s="319"/>
      <c r="BT856" s="319"/>
      <c r="BU856" s="319"/>
      <c r="BV856" s="319"/>
      <c r="BW856" s="319"/>
      <c r="BX856" s="319"/>
      <c r="BY856" s="319"/>
      <c r="BZ856" s="319"/>
      <c r="CA856" s="319"/>
      <c r="CB856" s="319"/>
      <c r="CC856" s="319"/>
      <c r="CD856" s="319"/>
      <c r="CE856" s="319"/>
      <c r="CF856" s="319"/>
      <c r="CG856" s="319"/>
      <c r="CH856" s="319"/>
      <c r="CI856" s="319"/>
      <c r="CJ856" s="319"/>
      <c r="CK856" s="319"/>
    </row>
    <row r="857" spans="1:89" ht="13.5" hidden="1" customHeight="1">
      <c r="A857" s="12"/>
      <c r="B857" s="1" t="str">
        <f>Language!C206</f>
        <v>Eletricidade exportada p/ rede</v>
      </c>
      <c r="C857" s="29" t="str">
        <f>$J$1184</f>
        <v>MWh</v>
      </c>
      <c r="D857" s="140">
        <f>D853*D856*8.76</f>
        <v>0</v>
      </c>
      <c r="E857" s="109"/>
      <c r="F857" s="1"/>
      <c r="G857" s="1"/>
      <c r="H857" s="1"/>
      <c r="I857" s="1"/>
      <c r="J857" s="1"/>
      <c r="K857" s="9"/>
      <c r="L857" s="1"/>
      <c r="M857" s="319"/>
      <c r="N857" s="319">
        <v>2000000</v>
      </c>
      <c r="O857" s="319"/>
      <c r="P857" s="319"/>
      <c r="Q857" s="319"/>
      <c r="R857" s="319"/>
      <c r="S857" s="319"/>
      <c r="T857" s="319"/>
      <c r="U857" s="319"/>
      <c r="V857" s="319"/>
      <c r="W857" s="319"/>
      <c r="X857" s="319"/>
      <c r="Y857" s="319"/>
      <c r="Z857" s="319"/>
      <c r="AA857" s="319"/>
      <c r="AB857" s="319"/>
      <c r="AC857" s="319"/>
      <c r="AD857" s="319"/>
      <c r="AE857" s="319"/>
      <c r="AF857" s="319"/>
      <c r="AG857" s="319"/>
      <c r="AH857" s="319"/>
      <c r="AI857" s="319"/>
      <c r="AJ857" s="319"/>
      <c r="AK857" s="319"/>
      <c r="AL857" s="319"/>
      <c r="AM857" s="319"/>
      <c r="AN857" s="319"/>
      <c r="AO857" s="319"/>
      <c r="AP857" s="319"/>
      <c r="AQ857" s="319"/>
      <c r="AR857" s="319"/>
      <c r="AS857" s="319"/>
      <c r="AT857" s="319"/>
      <c r="AU857" s="319"/>
      <c r="AV857" s="319"/>
      <c r="AW857" s="319"/>
      <c r="AX857" s="319"/>
      <c r="AY857" s="319"/>
      <c r="AZ857" s="319"/>
      <c r="BA857" s="319"/>
      <c r="BB857" s="319"/>
      <c r="BC857" s="319"/>
      <c r="BD857" s="319"/>
      <c r="BE857" s="319"/>
      <c r="BF857" s="319"/>
      <c r="BG857" s="319"/>
      <c r="BH857" s="319"/>
      <c r="BI857" s="319"/>
      <c r="BJ857" s="319"/>
      <c r="BK857" s="319"/>
      <c r="BL857" s="319"/>
      <c r="BM857" s="319"/>
      <c r="BN857" s="319"/>
      <c r="BO857" s="319"/>
      <c r="BP857" s="319"/>
      <c r="BQ857" s="319"/>
      <c r="BR857" s="319"/>
      <c r="BS857" s="319"/>
      <c r="BT857" s="319"/>
      <c r="BU857" s="319"/>
      <c r="BV857" s="319"/>
      <c r="BW857" s="319"/>
      <c r="BX857" s="319"/>
      <c r="BY857" s="319"/>
      <c r="BZ857" s="319"/>
      <c r="CA857" s="319"/>
      <c r="CB857" s="319"/>
      <c r="CC857" s="319"/>
      <c r="CD857" s="319"/>
      <c r="CE857" s="319"/>
      <c r="CF857" s="319"/>
      <c r="CG857" s="319"/>
      <c r="CH857" s="319"/>
      <c r="CI857" s="319"/>
      <c r="CJ857" s="319"/>
      <c r="CK857" s="319"/>
    </row>
    <row r="858" spans="1:89" ht="13.5" hidden="1" customHeight="1">
      <c r="A858" s="12"/>
      <c r="B858" s="1" t="str">
        <f>Language!C469</f>
        <v>Preço eletricidade exportada</v>
      </c>
      <c r="C858" s="29" t="str">
        <f>Currency&amp;Language!C1297</f>
        <v>€/kWh</v>
      </c>
      <c r="D858" s="399"/>
      <c r="E858" s="1"/>
      <c r="F858" s="1"/>
      <c r="G858" s="1"/>
      <c r="H858" s="1"/>
      <c r="I858" s="1"/>
      <c r="J858" s="1"/>
      <c r="K858" s="9"/>
      <c r="L858" s="1"/>
      <c r="M858" s="319"/>
      <c r="N858" s="319">
        <v>2000000</v>
      </c>
      <c r="O858" s="319"/>
      <c r="P858" s="319"/>
      <c r="Q858" s="319"/>
      <c r="R858" s="319"/>
      <c r="S858" s="319"/>
      <c r="T858" s="319"/>
      <c r="U858" s="319"/>
      <c r="V858" s="319"/>
      <c r="W858" s="319"/>
      <c r="X858" s="319"/>
      <c r="Y858" s="319"/>
      <c r="Z858" s="319"/>
      <c r="AA858" s="319"/>
      <c r="AB858" s="319"/>
      <c r="AC858" s="319"/>
      <c r="AD858" s="319"/>
      <c r="AE858" s="319"/>
      <c r="AF858" s="319"/>
      <c r="AG858" s="319"/>
      <c r="AH858" s="319"/>
      <c r="AI858" s="319"/>
      <c r="AJ858" s="319"/>
      <c r="AK858" s="319"/>
      <c r="AL858" s="319"/>
      <c r="AM858" s="319"/>
      <c r="AN858" s="319"/>
      <c r="AO858" s="319"/>
      <c r="AP858" s="319"/>
      <c r="AQ858" s="319"/>
      <c r="AR858" s="319"/>
      <c r="AS858" s="319"/>
      <c r="AT858" s="319"/>
      <c r="AU858" s="319"/>
      <c r="AV858" s="319"/>
      <c r="AW858" s="319"/>
      <c r="AX858" s="319"/>
      <c r="AY858" s="319"/>
      <c r="AZ858" s="319"/>
      <c r="BA858" s="319"/>
      <c r="BB858" s="319"/>
      <c r="BC858" s="319"/>
      <c r="BD858" s="319"/>
      <c r="BE858" s="319"/>
      <c r="BF858" s="319"/>
      <c r="BG858" s="319"/>
      <c r="BH858" s="319"/>
      <c r="BI858" s="319"/>
      <c r="BJ858" s="319"/>
      <c r="BK858" s="319"/>
      <c r="BL858" s="319"/>
      <c r="BM858" s="319"/>
      <c r="BN858" s="319"/>
      <c r="BO858" s="319"/>
      <c r="BP858" s="319"/>
      <c r="BQ858" s="319"/>
      <c r="BR858" s="319"/>
      <c r="BS858" s="319"/>
      <c r="BT858" s="319"/>
      <c r="BU858" s="319"/>
      <c r="BV858" s="319"/>
      <c r="BW858" s="319"/>
      <c r="BX858" s="319"/>
      <c r="BY858" s="319"/>
      <c r="BZ858" s="319"/>
      <c r="CA858" s="319"/>
      <c r="CB858" s="319"/>
      <c r="CC858" s="319"/>
      <c r="CD858" s="319"/>
      <c r="CE858" s="319"/>
      <c r="CF858" s="319"/>
      <c r="CG858" s="319"/>
      <c r="CH858" s="319"/>
      <c r="CI858" s="319"/>
      <c r="CJ858" s="319"/>
      <c r="CK858" s="319"/>
    </row>
    <row r="859" spans="1:89" ht="13.5" hidden="1" customHeight="1">
      <c r="A859" s="12"/>
      <c r="B859" s="1"/>
      <c r="C859" s="1"/>
      <c r="D859" s="1"/>
      <c r="E859" s="1"/>
      <c r="F859" s="1"/>
      <c r="G859" s="1"/>
      <c r="H859" s="1"/>
      <c r="I859" s="1"/>
      <c r="J859" s="1"/>
      <c r="K859" s="9"/>
      <c r="L859" s="1"/>
      <c r="M859" s="319"/>
      <c r="N859" s="319">
        <v>2000000</v>
      </c>
      <c r="O859" s="319"/>
      <c r="P859" s="319"/>
      <c r="Q859" s="319"/>
      <c r="R859" s="319"/>
      <c r="S859" s="319"/>
      <c r="T859" s="319"/>
      <c r="U859" s="319"/>
      <c r="V859" s="319"/>
      <c r="W859" s="319"/>
      <c r="X859" s="319"/>
      <c r="Y859" s="319"/>
      <c r="Z859" s="319"/>
      <c r="AA859" s="319"/>
      <c r="AB859" s="319"/>
      <c r="AC859" s="319"/>
      <c r="AD859" s="319"/>
      <c r="AE859" s="319"/>
      <c r="AF859" s="319"/>
      <c r="AG859" s="319"/>
      <c r="AH859" s="319"/>
      <c r="AI859" s="319"/>
      <c r="AJ859" s="319"/>
      <c r="AK859" s="319"/>
      <c r="AL859" s="319"/>
      <c r="AM859" s="319"/>
      <c r="AN859" s="319"/>
      <c r="AO859" s="319"/>
      <c r="AP859" s="319"/>
      <c r="AQ859" s="319"/>
      <c r="AR859" s="319"/>
      <c r="AS859" s="319"/>
      <c r="AT859" s="319"/>
      <c r="AU859" s="319"/>
      <c r="AV859" s="319"/>
      <c r="AW859" s="319"/>
      <c r="AX859" s="319"/>
      <c r="AY859" s="319"/>
      <c r="AZ859" s="319"/>
      <c r="BA859" s="319"/>
      <c r="BB859" s="319"/>
      <c r="BC859" s="319"/>
      <c r="BD859" s="319"/>
      <c r="BE859" s="319"/>
      <c r="BF859" s="319"/>
      <c r="BG859" s="319"/>
      <c r="BH859" s="319"/>
      <c r="BI859" s="319"/>
      <c r="BJ859" s="319"/>
      <c r="BK859" s="319"/>
      <c r="BL859" s="319"/>
      <c r="BM859" s="319"/>
      <c r="BN859" s="319"/>
      <c r="BO859" s="319"/>
      <c r="BP859" s="319"/>
      <c r="BQ859" s="319"/>
      <c r="BR859" s="319"/>
      <c r="BS859" s="319"/>
      <c r="BT859" s="319"/>
      <c r="BU859" s="319"/>
      <c r="BV859" s="319"/>
      <c r="BW859" s="319"/>
      <c r="BX859" s="319"/>
      <c r="BY859" s="319"/>
      <c r="BZ859" s="319"/>
      <c r="CA859" s="319"/>
      <c r="CB859" s="319"/>
      <c r="CC859" s="319"/>
      <c r="CD859" s="319"/>
      <c r="CE859" s="319"/>
      <c r="CF859" s="319"/>
      <c r="CG859" s="319"/>
      <c r="CH859" s="319"/>
      <c r="CI859" s="319"/>
      <c r="CJ859" s="319"/>
      <c r="CK859" s="319"/>
    </row>
    <row r="860" spans="1:89" ht="13.5" hidden="1" customHeight="1">
      <c r="A860" s="12"/>
      <c r="B860" s="1"/>
      <c r="C860" s="1"/>
      <c r="D860" s="1"/>
      <c r="E860" s="1"/>
      <c r="F860" s="1"/>
      <c r="G860" s="1"/>
      <c r="H860" s="1"/>
      <c r="I860" s="1"/>
      <c r="J860" s="1"/>
      <c r="K860" s="9"/>
      <c r="L860" s="1"/>
      <c r="M860" s="319"/>
      <c r="N860" s="319">
        <v>2000000</v>
      </c>
      <c r="O860" s="319"/>
      <c r="P860" s="319"/>
      <c r="Q860" s="319"/>
      <c r="R860" s="319"/>
      <c r="S860" s="319"/>
      <c r="T860" s="319"/>
      <c r="U860" s="319"/>
      <c r="V860" s="319"/>
      <c r="W860" s="319"/>
      <c r="X860" s="319"/>
      <c r="Y860" s="319"/>
      <c r="Z860" s="319"/>
      <c r="AA860" s="319"/>
      <c r="AB860" s="319"/>
      <c r="AC860" s="319"/>
      <c r="AD860" s="319"/>
      <c r="AE860" s="319"/>
      <c r="AF860" s="319"/>
      <c r="AG860" s="319"/>
      <c r="AH860" s="319"/>
      <c r="AI860" s="319"/>
      <c r="AJ860" s="319"/>
      <c r="AK860" s="319"/>
      <c r="AL860" s="319"/>
      <c r="AM860" s="319"/>
      <c r="AN860" s="319"/>
      <c r="AO860" s="319"/>
      <c r="AP860" s="319"/>
      <c r="AQ860" s="319"/>
      <c r="AR860" s="319"/>
      <c r="AS860" s="319"/>
      <c r="AT860" s="319"/>
      <c r="AU860" s="319"/>
      <c r="AV860" s="319"/>
      <c r="AW860" s="319"/>
      <c r="AX860" s="319"/>
      <c r="AY860" s="319"/>
      <c r="AZ860" s="319"/>
      <c r="BA860" s="319"/>
      <c r="BB860" s="319"/>
      <c r="BC860" s="319"/>
      <c r="BD860" s="319"/>
      <c r="BE860" s="319"/>
      <c r="BF860" s="319"/>
      <c r="BG860" s="319"/>
      <c r="BH860" s="319"/>
      <c r="BI860" s="319"/>
      <c r="BJ860" s="319"/>
      <c r="BK860" s="319"/>
      <c r="BL860" s="319"/>
      <c r="BM860" s="319"/>
      <c r="BN860" s="319"/>
      <c r="BO860" s="319"/>
      <c r="BP860" s="319"/>
      <c r="BQ860" s="319"/>
      <c r="BR860" s="319"/>
      <c r="BS860" s="319"/>
      <c r="BT860" s="319"/>
      <c r="BU860" s="319"/>
      <c r="BV860" s="319"/>
      <c r="BW860" s="319"/>
      <c r="BX860" s="319"/>
      <c r="BY860" s="319"/>
      <c r="BZ860" s="319"/>
      <c r="CA860" s="319"/>
      <c r="CB860" s="319"/>
      <c r="CC860" s="319"/>
      <c r="CD860" s="319"/>
      <c r="CE860" s="319"/>
      <c r="CF860" s="319"/>
      <c r="CG860" s="319"/>
      <c r="CH860" s="319"/>
      <c r="CI860" s="319"/>
      <c r="CJ860" s="319"/>
      <c r="CK860" s="319"/>
    </row>
    <row r="861" spans="1:89" ht="13.5" hidden="1" customHeight="1">
      <c r="A861" s="12"/>
      <c r="B861" s="28" t="str">
        <f>Lang_ES_Wind</f>
        <v>Turbina eólica</v>
      </c>
      <c r="C861" s="1"/>
      <c r="D861" s="1"/>
      <c r="E861" s="1"/>
      <c r="F861" s="1"/>
      <c r="G861" s="1"/>
      <c r="H861" s="1"/>
      <c r="I861" s="1"/>
      <c r="J861" s="1"/>
      <c r="K861" s="9"/>
      <c r="L861" s="1"/>
      <c r="M861" s="319"/>
      <c r="N861" s="319">
        <v>2000000</v>
      </c>
      <c r="O861" s="319"/>
      <c r="P861" s="319"/>
      <c r="Q861" s="319"/>
      <c r="R861" s="319"/>
      <c r="S861" s="319"/>
      <c r="T861" s="319"/>
      <c r="U861" s="319"/>
      <c r="V861" s="319"/>
      <c r="W861" s="319"/>
      <c r="X861" s="319"/>
      <c r="Y861" s="319"/>
      <c r="Z861" s="319"/>
      <c r="AA861" s="319"/>
      <c r="AB861" s="319"/>
      <c r="AC861" s="319"/>
      <c r="AD861" s="319"/>
      <c r="AE861" s="319"/>
      <c r="AF861" s="319"/>
      <c r="AG861" s="319"/>
      <c r="AH861" s="319"/>
      <c r="AI861" s="319"/>
      <c r="AJ861" s="319"/>
      <c r="AK861" s="319"/>
      <c r="AL861" s="319"/>
      <c r="AM861" s="319"/>
      <c r="AN861" s="319"/>
      <c r="AO861" s="319"/>
      <c r="AP861" s="319"/>
      <c r="AQ861" s="319"/>
      <c r="AR861" s="319"/>
      <c r="AS861" s="319"/>
      <c r="AT861" s="319"/>
      <c r="AU861" s="319"/>
      <c r="AV861" s="319"/>
      <c r="AW861" s="319"/>
      <c r="AX861" s="319"/>
      <c r="AY861" s="319"/>
      <c r="AZ861" s="319"/>
      <c r="BA861" s="319"/>
      <c r="BB861" s="319"/>
      <c r="BC861" s="319"/>
      <c r="BD861" s="319"/>
      <c r="BE861" s="319"/>
      <c r="BF861" s="319"/>
      <c r="BG861" s="319"/>
      <c r="BH861" s="319"/>
      <c r="BI861" s="319"/>
      <c r="BJ861" s="319"/>
      <c r="BK861" s="319"/>
      <c r="BL861" s="319"/>
      <c r="BM861" s="319"/>
      <c r="BN861" s="319"/>
      <c r="BO861" s="319"/>
      <c r="BP861" s="319"/>
      <c r="BQ861" s="319"/>
      <c r="BR861" s="319"/>
      <c r="BS861" s="319"/>
      <c r="BT861" s="319"/>
      <c r="BU861" s="319"/>
      <c r="BV861" s="319"/>
      <c r="BW861" s="319"/>
      <c r="BX861" s="319"/>
      <c r="BY861" s="319"/>
      <c r="BZ861" s="319"/>
      <c r="CA861" s="319"/>
      <c r="CB861" s="319"/>
      <c r="CC861" s="319"/>
      <c r="CD861" s="319"/>
      <c r="CE861" s="319"/>
      <c r="CF861" s="319"/>
      <c r="CG861" s="319"/>
      <c r="CH861" s="319"/>
      <c r="CI861" s="319"/>
      <c r="CJ861" s="319"/>
      <c r="CK861" s="319"/>
    </row>
    <row r="862" spans="1:89" ht="13.5" hidden="1" customHeight="1">
      <c r="A862" s="12"/>
      <c r="B862" s="1" t="str">
        <f>B853</f>
        <v>Potência elétrica</v>
      </c>
      <c r="C862" s="29" t="str">
        <f>F1169</f>
        <v>kW</v>
      </c>
      <c r="D862" s="412"/>
      <c r="E862" s="1"/>
      <c r="F862" s="79"/>
      <c r="G862" s="1367"/>
      <c r="H862" s="1"/>
      <c r="I862" s="1"/>
      <c r="J862" s="1"/>
      <c r="K862" s="9"/>
      <c r="L862" s="1"/>
      <c r="M862" s="319"/>
      <c r="N862" s="319">
        <v>2000000</v>
      </c>
      <c r="O862" s="319"/>
      <c r="P862" s="319"/>
      <c r="Q862" s="319"/>
      <c r="R862" s="319"/>
      <c r="S862" s="319"/>
      <c r="T862" s="319"/>
      <c r="U862" s="319"/>
      <c r="V862" s="319"/>
      <c r="W862" s="319"/>
      <c r="X862" s="319"/>
      <c r="Y862" s="319"/>
      <c r="Z862" s="319"/>
      <c r="AA862" s="319"/>
      <c r="AB862" s="319"/>
      <c r="AC862" s="319"/>
      <c r="AD862" s="319"/>
      <c r="AE862" s="319"/>
      <c r="AF862" s="319"/>
      <c r="AG862" s="319"/>
      <c r="AH862" s="319"/>
      <c r="AI862" s="319"/>
      <c r="AJ862" s="319"/>
      <c r="AK862" s="319"/>
      <c r="AL862" s="319"/>
      <c r="AM862" s="319"/>
      <c r="AN862" s="319"/>
      <c r="AO862" s="319"/>
      <c r="AP862" s="319"/>
      <c r="AQ862" s="319"/>
      <c r="AR862" s="319"/>
      <c r="AS862" s="319"/>
      <c r="AT862" s="319"/>
      <c r="AU862" s="319"/>
      <c r="AV862" s="319"/>
      <c r="AW862" s="319"/>
      <c r="AX862" s="319"/>
      <c r="AY862" s="319"/>
      <c r="AZ862" s="319"/>
      <c r="BA862" s="319"/>
      <c r="BB862" s="319"/>
      <c r="BC862" s="319"/>
      <c r="BD862" s="319"/>
      <c r="BE862" s="319"/>
      <c r="BF862" s="319"/>
      <c r="BG862" s="319"/>
      <c r="BH862" s="319"/>
      <c r="BI862" s="319"/>
      <c r="BJ862" s="319"/>
      <c r="BK862" s="319"/>
      <c r="BL862" s="319"/>
      <c r="BM862" s="319"/>
      <c r="BN862" s="319"/>
      <c r="BO862" s="319"/>
      <c r="BP862" s="319"/>
      <c r="BQ862" s="319"/>
      <c r="BR862" s="319"/>
      <c r="BS862" s="319"/>
      <c r="BT862" s="319"/>
      <c r="BU862" s="319"/>
      <c r="BV862" s="319"/>
      <c r="BW862" s="319"/>
      <c r="BX862" s="319"/>
      <c r="BY862" s="319"/>
      <c r="BZ862" s="319"/>
      <c r="CA862" s="319"/>
      <c r="CB862" s="319"/>
      <c r="CC862" s="319"/>
      <c r="CD862" s="319"/>
      <c r="CE862" s="319"/>
      <c r="CF862" s="319"/>
      <c r="CG862" s="319"/>
      <c r="CH862" s="319"/>
      <c r="CI862" s="319"/>
      <c r="CJ862" s="319"/>
      <c r="CK862" s="319"/>
    </row>
    <row r="863" spans="1:89" ht="13.5" hidden="1" customHeight="1">
      <c r="A863" s="12"/>
      <c r="B863" s="1" t="str">
        <f>$B$760</f>
        <v>Fabricante</v>
      </c>
      <c r="C863" s="1152"/>
      <c r="D863" s="1153"/>
      <c r="E863" s="1154"/>
      <c r="F863" s="1"/>
      <c r="G863" s="1"/>
      <c r="H863" s="1"/>
      <c r="I863" s="1209" t="str">
        <f>Language!C61</f>
        <v>Ver banco de dados de produtos</v>
      </c>
      <c r="J863" s="1191"/>
      <c r="K863" s="1210"/>
      <c r="L863" s="1"/>
      <c r="M863" s="319"/>
      <c r="N863" s="319">
        <v>2000000</v>
      </c>
      <c r="O863" s="319"/>
      <c r="P863" s="319"/>
      <c r="Q863" s="319"/>
      <c r="R863" s="319"/>
      <c r="S863" s="319"/>
      <c r="T863" s="319"/>
      <c r="U863" s="319"/>
      <c r="V863" s="319"/>
      <c r="W863" s="319"/>
      <c r="X863" s="319"/>
      <c r="Y863" s="319"/>
      <c r="Z863" s="319"/>
      <c r="AA863" s="319"/>
      <c r="AB863" s="319"/>
      <c r="AC863" s="319"/>
      <c r="AD863" s="319"/>
      <c r="AE863" s="319"/>
      <c r="AF863" s="319"/>
      <c r="AG863" s="319"/>
      <c r="AH863" s="319"/>
      <c r="AI863" s="319"/>
      <c r="AJ863" s="319"/>
      <c r="AK863" s="319"/>
      <c r="AL863" s="319"/>
      <c r="AM863" s="319"/>
      <c r="AN863" s="319"/>
      <c r="AO863" s="319"/>
      <c r="AP863" s="319"/>
      <c r="AQ863" s="319"/>
      <c r="AR863" s="319"/>
      <c r="AS863" s="319"/>
      <c r="AT863" s="319"/>
      <c r="AU863" s="319"/>
      <c r="AV863" s="319"/>
      <c r="AW863" s="319"/>
      <c r="AX863" s="319"/>
      <c r="AY863" s="319"/>
      <c r="AZ863" s="319"/>
      <c r="BA863" s="319"/>
      <c r="BB863" s="319"/>
      <c r="BC863" s="319"/>
      <c r="BD863" s="319"/>
      <c r="BE863" s="319"/>
      <c r="BF863" s="319"/>
      <c r="BG863" s="319"/>
      <c r="BH863" s="319"/>
      <c r="BI863" s="319"/>
      <c r="BJ863" s="319"/>
      <c r="BK863" s="319"/>
      <c r="BL863" s="319"/>
      <c r="BM863" s="319"/>
      <c r="BN863" s="319"/>
      <c r="BO863" s="319"/>
      <c r="BP863" s="319"/>
      <c r="BQ863" s="319"/>
      <c r="BR863" s="319"/>
      <c r="BS863" s="319"/>
      <c r="BT863" s="319"/>
      <c r="BU863" s="319"/>
      <c r="BV863" s="319"/>
      <c r="BW863" s="319"/>
      <c r="BX863" s="319"/>
      <c r="BY863" s="319"/>
      <c r="BZ863" s="319"/>
      <c r="CA863" s="319"/>
      <c r="CB863" s="319"/>
      <c r="CC863" s="319"/>
      <c r="CD863" s="319"/>
      <c r="CE863" s="319"/>
      <c r="CF863" s="319"/>
      <c r="CG863" s="319"/>
      <c r="CH863" s="319"/>
      <c r="CI863" s="319"/>
      <c r="CJ863" s="319"/>
      <c r="CK863" s="319"/>
    </row>
    <row r="864" spans="1:89" ht="13.5" hidden="1" customHeight="1">
      <c r="A864" s="12"/>
      <c r="B864" s="1" t="str">
        <f>$B$761</f>
        <v>Modelo</v>
      </c>
      <c r="C864" s="1152"/>
      <c r="D864" s="1153"/>
      <c r="E864" s="1154"/>
      <c r="F864" s="1" t="str">
        <f>$I$1195 &amp; Lang_Unit</f>
        <v xml:space="preserve"> unidade(s)</v>
      </c>
      <c r="G864" s="1"/>
      <c r="H864" s="1"/>
      <c r="I864" s="1"/>
      <c r="J864" s="1"/>
      <c r="K864" s="9"/>
      <c r="L864" s="1"/>
      <c r="M864" s="319"/>
      <c r="N864" s="319">
        <v>2000000</v>
      </c>
      <c r="O864" s="319"/>
      <c r="P864" s="319"/>
      <c r="Q864" s="319"/>
      <c r="R864" s="319"/>
      <c r="S864" s="319"/>
      <c r="T864" s="319"/>
      <c r="U864" s="319"/>
      <c r="V864" s="319"/>
      <c r="W864" s="319"/>
      <c r="X864" s="319"/>
      <c r="Y864" s="319"/>
      <c r="Z864" s="319"/>
      <c r="AA864" s="319"/>
      <c r="AB864" s="319"/>
      <c r="AC864" s="319"/>
      <c r="AD864" s="319"/>
      <c r="AE864" s="319"/>
      <c r="AF864" s="319"/>
      <c r="AG864" s="319"/>
      <c r="AH864" s="319"/>
      <c r="AI864" s="319"/>
      <c r="AJ864" s="319"/>
      <c r="AK864" s="319"/>
      <c r="AL864" s="319"/>
      <c r="AM864" s="319"/>
      <c r="AN864" s="319"/>
      <c r="AO864" s="319"/>
      <c r="AP864" s="319"/>
      <c r="AQ864" s="319"/>
      <c r="AR864" s="319"/>
      <c r="AS864" s="319"/>
      <c r="AT864" s="319"/>
      <c r="AU864" s="319"/>
      <c r="AV864" s="319"/>
      <c r="AW864" s="319"/>
      <c r="AX864" s="319"/>
      <c r="AY864" s="319"/>
      <c r="AZ864" s="319"/>
      <c r="BA864" s="319"/>
      <c r="BB864" s="319"/>
      <c r="BC864" s="319"/>
      <c r="BD864" s="319"/>
      <c r="BE864" s="319"/>
      <c r="BF864" s="319"/>
      <c r="BG864" s="319"/>
      <c r="BH864" s="319"/>
      <c r="BI864" s="319"/>
      <c r="BJ864" s="319"/>
      <c r="BK864" s="319"/>
      <c r="BL864" s="319"/>
      <c r="BM864" s="319"/>
      <c r="BN864" s="319"/>
      <c r="BO864" s="319"/>
      <c r="BP864" s="319"/>
      <c r="BQ864" s="319"/>
      <c r="BR864" s="319"/>
      <c r="BS864" s="319"/>
      <c r="BT864" s="319"/>
      <c r="BU864" s="319"/>
      <c r="BV864" s="319"/>
      <c r="BW864" s="319"/>
      <c r="BX864" s="319"/>
      <c r="BY864" s="319"/>
      <c r="BZ864" s="319"/>
      <c r="CA864" s="319"/>
      <c r="CB864" s="319"/>
      <c r="CC864" s="319"/>
      <c r="CD864" s="319"/>
      <c r="CE864" s="319"/>
      <c r="CF864" s="319"/>
      <c r="CG864" s="319"/>
      <c r="CH864" s="319"/>
      <c r="CI864" s="319"/>
      <c r="CJ864" s="319"/>
      <c r="CK864" s="319"/>
    </row>
    <row r="865" spans="1:89" ht="13.5" hidden="1" customHeight="1">
      <c r="A865" s="12"/>
      <c r="B865" s="1" t="str">
        <f>$B$856</f>
        <v>Fator de Utilização</v>
      </c>
      <c r="C865" s="29"/>
      <c r="D865" s="422"/>
      <c r="E865" s="1"/>
      <c r="F865" s="1"/>
      <c r="G865" s="1"/>
      <c r="H865" s="1"/>
      <c r="I865" s="1"/>
      <c r="J865" s="1"/>
      <c r="K865" s="9"/>
      <c r="L865" s="1"/>
      <c r="M865" s="319"/>
      <c r="N865" s="319">
        <v>2000000</v>
      </c>
      <c r="O865" s="319"/>
      <c r="P865" s="319"/>
      <c r="Q865" s="319"/>
      <c r="R865" s="319"/>
      <c r="S865" s="319"/>
      <c r="T865" s="319"/>
      <c r="U865" s="319"/>
      <c r="V865" s="319"/>
      <c r="W865" s="319"/>
      <c r="X865" s="319"/>
      <c r="Y865" s="319"/>
      <c r="Z865" s="319"/>
      <c r="AA865" s="319"/>
      <c r="AB865" s="319"/>
      <c r="AC865" s="319"/>
      <c r="AD865" s="319"/>
      <c r="AE865" s="319"/>
      <c r="AF865" s="319"/>
      <c r="AG865" s="319"/>
      <c r="AH865" s="319"/>
      <c r="AI865" s="319"/>
      <c r="AJ865" s="319"/>
      <c r="AK865" s="319"/>
      <c r="AL865" s="319"/>
      <c r="AM865" s="319"/>
      <c r="AN865" s="319"/>
      <c r="AO865" s="319"/>
      <c r="AP865" s="319"/>
      <c r="AQ865" s="319"/>
      <c r="AR865" s="319"/>
      <c r="AS865" s="319"/>
      <c r="AT865" s="319"/>
      <c r="AU865" s="319"/>
      <c r="AV865" s="319"/>
      <c r="AW865" s="319"/>
      <c r="AX865" s="319"/>
      <c r="AY865" s="319"/>
      <c r="AZ865" s="319"/>
      <c r="BA865" s="319"/>
      <c r="BB865" s="319"/>
      <c r="BC865" s="319"/>
      <c r="BD865" s="319"/>
      <c r="BE865" s="319"/>
      <c r="BF865" s="319"/>
      <c r="BG865" s="319"/>
      <c r="BH865" s="319"/>
      <c r="BI865" s="319"/>
      <c r="BJ865" s="319"/>
      <c r="BK865" s="319"/>
      <c r="BL865" s="319"/>
      <c r="BM865" s="319"/>
      <c r="BN865" s="319"/>
      <c r="BO865" s="319"/>
      <c r="BP865" s="319"/>
      <c r="BQ865" s="319"/>
      <c r="BR865" s="319"/>
      <c r="BS865" s="319"/>
      <c r="BT865" s="319"/>
      <c r="BU865" s="319"/>
      <c r="BV865" s="319"/>
      <c r="BW865" s="319"/>
      <c r="BX865" s="319"/>
      <c r="BY865" s="319"/>
      <c r="BZ865" s="319"/>
      <c r="CA865" s="319"/>
      <c r="CB865" s="319"/>
      <c r="CC865" s="319"/>
      <c r="CD865" s="319"/>
      <c r="CE865" s="319"/>
      <c r="CF865" s="319"/>
      <c r="CG865" s="319"/>
      <c r="CH865" s="319"/>
      <c r="CI865" s="319"/>
      <c r="CJ865" s="319"/>
      <c r="CK865" s="319"/>
    </row>
    <row r="866" spans="1:89" ht="13.5" hidden="1" customHeight="1">
      <c r="A866" s="12"/>
      <c r="B866" s="1" t="str">
        <f>$B$857</f>
        <v>Eletricidade exportada p/ rede</v>
      </c>
      <c r="C866" s="29" t="str">
        <f>$J$1184</f>
        <v>MWh</v>
      </c>
      <c r="D866" s="30">
        <f>D862*D865*8.76</f>
        <v>0</v>
      </c>
      <c r="E866" s="1"/>
      <c r="F866" s="1"/>
      <c r="G866" s="1"/>
      <c r="H866" s="1"/>
      <c r="I866" s="1"/>
      <c r="J866" s="1"/>
      <c r="K866" s="9"/>
      <c r="L866" s="1"/>
      <c r="M866" s="319"/>
      <c r="N866" s="319">
        <v>2000000</v>
      </c>
      <c r="O866" s="319"/>
      <c r="P866" s="319"/>
      <c r="Q866" s="319"/>
      <c r="R866" s="319"/>
      <c r="S866" s="319"/>
      <c r="T866" s="319"/>
      <c r="U866" s="319"/>
      <c r="V866" s="319"/>
      <c r="W866" s="319"/>
      <c r="X866" s="319"/>
      <c r="Y866" s="319"/>
      <c r="Z866" s="319"/>
      <c r="AA866" s="319"/>
      <c r="AB866" s="319"/>
      <c r="AC866" s="319"/>
      <c r="AD866" s="319"/>
      <c r="AE866" s="319"/>
      <c r="AF866" s="319"/>
      <c r="AG866" s="319"/>
      <c r="AH866" s="319"/>
      <c r="AI866" s="319"/>
      <c r="AJ866" s="319"/>
      <c r="AK866" s="319"/>
      <c r="AL866" s="319"/>
      <c r="AM866" s="319"/>
      <c r="AN866" s="319"/>
      <c r="AO866" s="319"/>
      <c r="AP866" s="319"/>
      <c r="AQ866" s="319"/>
      <c r="AR866" s="319"/>
      <c r="AS866" s="319"/>
      <c r="AT866" s="319"/>
      <c r="AU866" s="319"/>
      <c r="AV866" s="319"/>
      <c r="AW866" s="319"/>
      <c r="AX866" s="319"/>
      <c r="AY866" s="319"/>
      <c r="AZ866" s="319"/>
      <c r="BA866" s="319"/>
      <c r="BB866" s="319"/>
      <c r="BC866" s="319"/>
      <c r="BD866" s="319"/>
      <c r="BE866" s="319"/>
      <c r="BF866" s="319"/>
      <c r="BG866" s="319"/>
      <c r="BH866" s="319"/>
      <c r="BI866" s="319"/>
      <c r="BJ866" s="319"/>
      <c r="BK866" s="319"/>
      <c r="BL866" s="319"/>
      <c r="BM866" s="319"/>
      <c r="BN866" s="319"/>
      <c r="BO866" s="319"/>
      <c r="BP866" s="319"/>
      <c r="BQ866" s="319"/>
      <c r="BR866" s="319"/>
      <c r="BS866" s="319"/>
      <c r="BT866" s="319"/>
      <c r="BU866" s="319"/>
      <c r="BV866" s="319"/>
      <c r="BW866" s="319"/>
      <c r="BX866" s="319"/>
      <c r="BY866" s="319"/>
      <c r="BZ866" s="319"/>
      <c r="CA866" s="319"/>
      <c r="CB866" s="319"/>
      <c r="CC866" s="319"/>
      <c r="CD866" s="319"/>
      <c r="CE866" s="319"/>
      <c r="CF866" s="319"/>
      <c r="CG866" s="319"/>
      <c r="CH866" s="319"/>
      <c r="CI866" s="319"/>
      <c r="CJ866" s="319"/>
      <c r="CK866" s="319"/>
    </row>
    <row r="867" spans="1:89" ht="13.5" hidden="1" customHeight="1">
      <c r="A867" s="12"/>
      <c r="B867" s="1" t="str">
        <f>$B$858</f>
        <v>Preço eletricidade exportada</v>
      </c>
      <c r="C867" s="29" t="str">
        <f>Currency&amp;Language!C1297</f>
        <v>€/kWh</v>
      </c>
      <c r="D867" s="399"/>
      <c r="E867" s="1"/>
      <c r="F867" s="1"/>
      <c r="G867" s="1"/>
      <c r="H867" s="1"/>
      <c r="I867" s="1"/>
      <c r="J867" s="1"/>
      <c r="K867" s="9"/>
      <c r="L867" s="1"/>
      <c r="M867" s="319"/>
      <c r="N867" s="319">
        <v>2000000</v>
      </c>
      <c r="O867" s="319"/>
      <c r="P867" s="319"/>
      <c r="Q867" s="319"/>
      <c r="R867" s="319"/>
      <c r="S867" s="319"/>
      <c r="T867" s="319"/>
      <c r="U867" s="319"/>
      <c r="V867" s="319"/>
      <c r="W867" s="319"/>
      <c r="X867" s="319"/>
      <c r="Y867" s="319"/>
      <c r="Z867" s="319"/>
      <c r="AA867" s="319"/>
      <c r="AB867" s="319"/>
      <c r="AC867" s="319"/>
      <c r="AD867" s="319"/>
      <c r="AE867" s="319"/>
      <c r="AF867" s="319"/>
      <c r="AG867" s="319"/>
      <c r="AH867" s="319"/>
      <c r="AI867" s="319"/>
      <c r="AJ867" s="319"/>
      <c r="AK867" s="319"/>
      <c r="AL867" s="319"/>
      <c r="AM867" s="319"/>
      <c r="AN867" s="319"/>
      <c r="AO867" s="319"/>
      <c r="AP867" s="319"/>
      <c r="AQ867" s="319"/>
      <c r="AR867" s="319"/>
      <c r="AS867" s="319"/>
      <c r="AT867" s="319"/>
      <c r="AU867" s="319"/>
      <c r="AV867" s="319"/>
      <c r="AW867" s="319"/>
      <c r="AX867" s="319"/>
      <c r="AY867" s="319"/>
      <c r="AZ867" s="319"/>
      <c r="BA867" s="319"/>
      <c r="BB867" s="319"/>
      <c r="BC867" s="319"/>
      <c r="BD867" s="319"/>
      <c r="BE867" s="319"/>
      <c r="BF867" s="319"/>
      <c r="BG867" s="319"/>
      <c r="BH867" s="319"/>
      <c r="BI867" s="319"/>
      <c r="BJ867" s="319"/>
      <c r="BK867" s="319"/>
      <c r="BL867" s="319"/>
      <c r="BM867" s="319"/>
      <c r="BN867" s="319"/>
      <c r="BO867" s="319"/>
      <c r="BP867" s="319"/>
      <c r="BQ867" s="319"/>
      <c r="BR867" s="319"/>
      <c r="BS867" s="319"/>
      <c r="BT867" s="319"/>
      <c r="BU867" s="319"/>
      <c r="BV867" s="319"/>
      <c r="BW867" s="319"/>
      <c r="BX867" s="319"/>
      <c r="BY867" s="319"/>
      <c r="BZ867" s="319"/>
      <c r="CA867" s="319"/>
      <c r="CB867" s="319"/>
      <c r="CC867" s="319"/>
      <c r="CD867" s="319"/>
      <c r="CE867" s="319"/>
      <c r="CF867" s="319"/>
      <c r="CG867" s="319"/>
      <c r="CH867" s="319"/>
      <c r="CI867" s="319"/>
      <c r="CJ867" s="319"/>
      <c r="CK867" s="319"/>
    </row>
    <row r="868" spans="1:89" ht="13.5" hidden="1" customHeight="1">
      <c r="A868" s="12"/>
      <c r="B868" s="1"/>
      <c r="C868" s="1"/>
      <c r="D868" s="1"/>
      <c r="E868" s="1"/>
      <c r="F868" s="1"/>
      <c r="G868" s="1"/>
      <c r="H868" s="1"/>
      <c r="I868" s="1"/>
      <c r="J868" s="1"/>
      <c r="K868" s="9"/>
      <c r="L868" s="1"/>
      <c r="M868" s="319"/>
      <c r="N868" s="319">
        <v>2000000</v>
      </c>
      <c r="O868" s="319"/>
      <c r="P868" s="319"/>
      <c r="Q868" s="319"/>
      <c r="R868" s="319"/>
      <c r="S868" s="319"/>
      <c r="T868" s="319"/>
      <c r="U868" s="319"/>
      <c r="V868" s="319"/>
      <c r="W868" s="319"/>
      <c r="X868" s="319"/>
      <c r="Y868" s="319"/>
      <c r="Z868" s="319"/>
      <c r="AA868" s="319"/>
      <c r="AB868" s="319"/>
      <c r="AC868" s="319"/>
      <c r="AD868" s="319"/>
      <c r="AE868" s="319"/>
      <c r="AF868" s="319"/>
      <c r="AG868" s="319"/>
      <c r="AH868" s="319"/>
      <c r="AI868" s="319"/>
      <c r="AJ868" s="319"/>
      <c r="AK868" s="319"/>
      <c r="AL868" s="319"/>
      <c r="AM868" s="319"/>
      <c r="AN868" s="319"/>
      <c r="AO868" s="319"/>
      <c r="AP868" s="319"/>
      <c r="AQ868" s="319"/>
      <c r="AR868" s="319"/>
      <c r="AS868" s="319"/>
      <c r="AT868" s="319"/>
      <c r="AU868" s="319"/>
      <c r="AV868" s="319"/>
      <c r="AW868" s="319"/>
      <c r="AX868" s="319"/>
      <c r="AY868" s="319"/>
      <c r="AZ868" s="319"/>
      <c r="BA868" s="319"/>
      <c r="BB868" s="319"/>
      <c r="BC868" s="319"/>
      <c r="BD868" s="319"/>
      <c r="BE868" s="319"/>
      <c r="BF868" s="319"/>
      <c r="BG868" s="319"/>
      <c r="BH868" s="319"/>
      <c r="BI868" s="319"/>
      <c r="BJ868" s="319"/>
      <c r="BK868" s="319"/>
      <c r="BL868" s="319"/>
      <c r="BM868" s="319"/>
      <c r="BN868" s="319"/>
      <c r="BO868" s="319"/>
      <c r="BP868" s="319"/>
      <c r="BQ868" s="319"/>
      <c r="BR868" s="319"/>
      <c r="BS868" s="319"/>
      <c r="BT868" s="319"/>
      <c r="BU868" s="319"/>
      <c r="BV868" s="319"/>
      <c r="BW868" s="319"/>
      <c r="BX868" s="319"/>
      <c r="BY868" s="319"/>
      <c r="BZ868" s="319"/>
      <c r="CA868" s="319"/>
      <c r="CB868" s="319"/>
      <c r="CC868" s="319"/>
      <c r="CD868" s="319"/>
      <c r="CE868" s="319"/>
      <c r="CF868" s="319"/>
      <c r="CG868" s="319"/>
      <c r="CH868" s="319"/>
      <c r="CI868" s="319"/>
      <c r="CJ868" s="319"/>
      <c r="CK868" s="319"/>
    </row>
    <row r="869" spans="1:89" ht="13.5" hidden="1" customHeight="1">
      <c r="A869" s="12"/>
      <c r="B869" s="28" t="str">
        <f>Language!C140</f>
        <v>Turbina hidráulica</v>
      </c>
      <c r="C869" s="1"/>
      <c r="D869" s="1"/>
      <c r="E869" s="1"/>
      <c r="F869" s="1"/>
      <c r="G869" s="1"/>
      <c r="H869" s="1"/>
      <c r="I869" s="1"/>
      <c r="J869" s="1"/>
      <c r="K869" s="9"/>
      <c r="L869" s="1"/>
      <c r="M869" s="319"/>
      <c r="N869" s="319">
        <v>2000000</v>
      </c>
      <c r="O869" s="319"/>
      <c r="P869" s="319"/>
      <c r="Q869" s="319"/>
      <c r="R869" s="319"/>
      <c r="S869" s="319"/>
      <c r="T869" s="319"/>
      <c r="U869" s="319"/>
      <c r="V869" s="319"/>
      <c r="W869" s="319"/>
      <c r="X869" s="319"/>
      <c r="Y869" s="319"/>
      <c r="Z869" s="319"/>
      <c r="AA869" s="319"/>
      <c r="AB869" s="319"/>
      <c r="AC869" s="319"/>
      <c r="AD869" s="319"/>
      <c r="AE869" s="319"/>
      <c r="AF869" s="319"/>
      <c r="AG869" s="319"/>
      <c r="AH869" s="319"/>
      <c r="AI869" s="319"/>
      <c r="AJ869" s="319"/>
      <c r="AK869" s="319"/>
      <c r="AL869" s="319"/>
      <c r="AM869" s="319"/>
      <c r="AN869" s="319"/>
      <c r="AO869" s="319"/>
      <c r="AP869" s="319"/>
      <c r="AQ869" s="319"/>
      <c r="AR869" s="319"/>
      <c r="AS869" s="319"/>
      <c r="AT869" s="319"/>
      <c r="AU869" s="319"/>
      <c r="AV869" s="319"/>
      <c r="AW869" s="319"/>
      <c r="AX869" s="319"/>
      <c r="AY869" s="319"/>
      <c r="AZ869" s="319"/>
      <c r="BA869" s="319"/>
      <c r="BB869" s="319"/>
      <c r="BC869" s="319"/>
      <c r="BD869" s="319"/>
      <c r="BE869" s="319"/>
      <c r="BF869" s="319"/>
      <c r="BG869" s="319"/>
      <c r="BH869" s="319"/>
      <c r="BI869" s="319"/>
      <c r="BJ869" s="319"/>
      <c r="BK869" s="319"/>
      <c r="BL869" s="319"/>
      <c r="BM869" s="319"/>
      <c r="BN869" s="319"/>
      <c r="BO869" s="319"/>
      <c r="BP869" s="319"/>
      <c r="BQ869" s="319"/>
      <c r="BR869" s="319"/>
      <c r="BS869" s="319"/>
      <c r="BT869" s="319"/>
      <c r="BU869" s="319"/>
      <c r="BV869" s="319"/>
      <c r="BW869" s="319"/>
      <c r="BX869" s="319"/>
      <c r="BY869" s="319"/>
      <c r="BZ869" s="319"/>
      <c r="CA869" s="319"/>
      <c r="CB869" s="319"/>
      <c r="CC869" s="319"/>
      <c r="CD869" s="319"/>
      <c r="CE869" s="319"/>
      <c r="CF869" s="319"/>
      <c r="CG869" s="319"/>
      <c r="CH869" s="319"/>
      <c r="CI869" s="319"/>
      <c r="CJ869" s="319"/>
      <c r="CK869" s="319"/>
    </row>
    <row r="870" spans="1:89" ht="13.5" hidden="1" customHeight="1">
      <c r="A870" s="12"/>
      <c r="B870" s="1" t="str">
        <f>$B$853</f>
        <v>Potência elétrica</v>
      </c>
      <c r="C870" s="29" t="str">
        <f>F1169</f>
        <v>kW</v>
      </c>
      <c r="D870" s="307"/>
      <c r="E870" s="1"/>
      <c r="F870" s="79"/>
      <c r="G870" s="1367"/>
      <c r="H870" s="1"/>
      <c r="I870" s="1"/>
      <c r="J870" s="1"/>
      <c r="K870" s="9"/>
      <c r="L870" s="1"/>
      <c r="M870" s="319"/>
      <c r="N870" s="319">
        <v>2000000</v>
      </c>
      <c r="O870" s="319"/>
      <c r="P870" s="319"/>
      <c r="Q870" s="319"/>
      <c r="R870" s="319"/>
      <c r="S870" s="319"/>
      <c r="T870" s="319"/>
      <c r="U870" s="319"/>
      <c r="V870" s="319"/>
      <c r="W870" s="319"/>
      <c r="X870" s="319"/>
      <c r="Y870" s="319"/>
      <c r="Z870" s="319"/>
      <c r="AA870" s="319"/>
      <c r="AB870" s="319"/>
      <c r="AC870" s="319"/>
      <c r="AD870" s="319"/>
      <c r="AE870" s="319"/>
      <c r="AF870" s="319"/>
      <c r="AG870" s="319"/>
      <c r="AH870" s="319"/>
      <c r="AI870" s="319"/>
      <c r="AJ870" s="319"/>
      <c r="AK870" s="319"/>
      <c r="AL870" s="319"/>
      <c r="AM870" s="319"/>
      <c r="AN870" s="319"/>
      <c r="AO870" s="319"/>
      <c r="AP870" s="319"/>
      <c r="AQ870" s="319"/>
      <c r="AR870" s="319"/>
      <c r="AS870" s="319"/>
      <c r="AT870" s="319"/>
      <c r="AU870" s="319"/>
      <c r="AV870" s="319"/>
      <c r="AW870" s="319"/>
      <c r="AX870" s="319"/>
      <c r="AY870" s="319"/>
      <c r="AZ870" s="319"/>
      <c r="BA870" s="319"/>
      <c r="BB870" s="319"/>
      <c r="BC870" s="319"/>
      <c r="BD870" s="319"/>
      <c r="BE870" s="319"/>
      <c r="BF870" s="319"/>
      <c r="BG870" s="319"/>
      <c r="BH870" s="319"/>
      <c r="BI870" s="319"/>
      <c r="BJ870" s="319"/>
      <c r="BK870" s="319"/>
      <c r="BL870" s="319"/>
      <c r="BM870" s="319"/>
      <c r="BN870" s="319"/>
      <c r="BO870" s="319"/>
      <c r="BP870" s="319"/>
      <c r="BQ870" s="319"/>
      <c r="BR870" s="319"/>
      <c r="BS870" s="319"/>
      <c r="BT870" s="319"/>
      <c r="BU870" s="319"/>
      <c r="BV870" s="319"/>
      <c r="BW870" s="319"/>
      <c r="BX870" s="319"/>
      <c r="BY870" s="319"/>
      <c r="BZ870" s="319"/>
      <c r="CA870" s="319"/>
      <c r="CB870" s="319"/>
      <c r="CC870" s="319"/>
      <c r="CD870" s="319"/>
      <c r="CE870" s="319"/>
      <c r="CF870" s="319"/>
      <c r="CG870" s="319"/>
      <c r="CH870" s="319"/>
      <c r="CI870" s="319"/>
      <c r="CJ870" s="319"/>
      <c r="CK870" s="319"/>
    </row>
    <row r="871" spans="1:89" ht="13.5" hidden="1" customHeight="1">
      <c r="A871" s="12"/>
      <c r="B871" s="1" t="str">
        <f>$B$760</f>
        <v>Fabricante</v>
      </c>
      <c r="C871" s="1152"/>
      <c r="D871" s="1153"/>
      <c r="E871" s="1154"/>
      <c r="F871" s="1"/>
      <c r="G871" s="1"/>
      <c r="H871" s="1"/>
      <c r="I871" s="1209" t="str">
        <f>Language!C61</f>
        <v>Ver banco de dados de produtos</v>
      </c>
      <c r="J871" s="1191"/>
      <c r="K871" s="1210"/>
      <c r="L871" s="1"/>
      <c r="M871" s="319"/>
      <c r="N871" s="319">
        <v>2000000</v>
      </c>
      <c r="O871" s="319"/>
      <c r="P871" s="319"/>
      <c r="Q871" s="319"/>
      <c r="R871" s="319"/>
      <c r="S871" s="319"/>
      <c r="T871" s="319"/>
      <c r="U871" s="319"/>
      <c r="V871" s="319"/>
      <c r="W871" s="319"/>
      <c r="X871" s="319"/>
      <c r="Y871" s="319"/>
      <c r="Z871" s="319"/>
      <c r="AA871" s="319"/>
      <c r="AB871" s="319"/>
      <c r="AC871" s="319"/>
      <c r="AD871" s="319"/>
      <c r="AE871" s="319"/>
      <c r="AF871" s="319"/>
      <c r="AG871" s="319"/>
      <c r="AH871" s="319"/>
      <c r="AI871" s="319"/>
      <c r="AJ871" s="319"/>
      <c r="AK871" s="319"/>
      <c r="AL871" s="319"/>
      <c r="AM871" s="319"/>
      <c r="AN871" s="319"/>
      <c r="AO871" s="319"/>
      <c r="AP871" s="319"/>
      <c r="AQ871" s="319"/>
      <c r="AR871" s="319"/>
      <c r="AS871" s="319"/>
      <c r="AT871" s="319"/>
      <c r="AU871" s="319"/>
      <c r="AV871" s="319"/>
      <c r="AW871" s="319"/>
      <c r="AX871" s="319"/>
      <c r="AY871" s="319"/>
      <c r="AZ871" s="319"/>
      <c r="BA871" s="319"/>
      <c r="BB871" s="319"/>
      <c r="BC871" s="319"/>
      <c r="BD871" s="319"/>
      <c r="BE871" s="319"/>
      <c r="BF871" s="319"/>
      <c r="BG871" s="319"/>
      <c r="BH871" s="319"/>
      <c r="BI871" s="319"/>
      <c r="BJ871" s="319"/>
      <c r="BK871" s="319"/>
      <c r="BL871" s="319"/>
      <c r="BM871" s="319"/>
      <c r="BN871" s="319"/>
      <c r="BO871" s="319"/>
      <c r="BP871" s="319"/>
      <c r="BQ871" s="319"/>
      <c r="BR871" s="319"/>
      <c r="BS871" s="319"/>
      <c r="BT871" s="319"/>
      <c r="BU871" s="319"/>
      <c r="BV871" s="319"/>
      <c r="BW871" s="319"/>
      <c r="BX871" s="319"/>
      <c r="BY871" s="319"/>
      <c r="BZ871" s="319"/>
      <c r="CA871" s="319"/>
      <c r="CB871" s="319"/>
      <c r="CC871" s="319"/>
      <c r="CD871" s="319"/>
      <c r="CE871" s="319"/>
      <c r="CF871" s="319"/>
      <c r="CG871" s="319"/>
      <c r="CH871" s="319"/>
      <c r="CI871" s="319"/>
      <c r="CJ871" s="319"/>
      <c r="CK871" s="319"/>
    </row>
    <row r="872" spans="1:89" ht="13.5" hidden="1" customHeight="1">
      <c r="A872" s="12"/>
      <c r="B872" s="1" t="str">
        <f>$B$761</f>
        <v>Modelo</v>
      </c>
      <c r="C872" s="1152"/>
      <c r="D872" s="1153"/>
      <c r="E872" s="1154"/>
      <c r="F872" s="1"/>
      <c r="G872" s="1"/>
      <c r="H872" s="1"/>
      <c r="I872" s="1"/>
      <c r="J872" s="1"/>
      <c r="K872" s="9"/>
      <c r="L872" s="1"/>
      <c r="M872" s="319"/>
      <c r="N872" s="319">
        <v>2000000</v>
      </c>
      <c r="O872" s="319"/>
      <c r="P872" s="319"/>
      <c r="Q872" s="319"/>
      <c r="R872" s="319"/>
      <c r="S872" s="319"/>
      <c r="T872" s="319"/>
      <c r="U872" s="319"/>
      <c r="V872" s="319"/>
      <c r="W872" s="319"/>
      <c r="X872" s="319"/>
      <c r="Y872" s="319"/>
      <c r="Z872" s="319"/>
      <c r="AA872" s="319"/>
      <c r="AB872" s="319"/>
      <c r="AC872" s="319"/>
      <c r="AD872" s="319"/>
      <c r="AE872" s="319"/>
      <c r="AF872" s="319"/>
      <c r="AG872" s="319"/>
      <c r="AH872" s="319"/>
      <c r="AI872" s="319"/>
      <c r="AJ872" s="319"/>
      <c r="AK872" s="319"/>
      <c r="AL872" s="319"/>
      <c r="AM872" s="319"/>
      <c r="AN872" s="319"/>
      <c r="AO872" s="319"/>
      <c r="AP872" s="319"/>
      <c r="AQ872" s="319"/>
      <c r="AR872" s="319"/>
      <c r="AS872" s="319"/>
      <c r="AT872" s="319"/>
      <c r="AU872" s="319"/>
      <c r="AV872" s="319"/>
      <c r="AW872" s="319"/>
      <c r="AX872" s="319"/>
      <c r="AY872" s="319"/>
      <c r="AZ872" s="319"/>
      <c r="BA872" s="319"/>
      <c r="BB872" s="319"/>
      <c r="BC872" s="319"/>
      <c r="BD872" s="319"/>
      <c r="BE872" s="319"/>
      <c r="BF872" s="319"/>
      <c r="BG872" s="319"/>
      <c r="BH872" s="319"/>
      <c r="BI872" s="319"/>
      <c r="BJ872" s="319"/>
      <c r="BK872" s="319"/>
      <c r="BL872" s="319"/>
      <c r="BM872" s="319"/>
      <c r="BN872" s="319"/>
      <c r="BO872" s="319"/>
      <c r="BP872" s="319"/>
      <c r="BQ872" s="319"/>
      <c r="BR872" s="319"/>
      <c r="BS872" s="319"/>
      <c r="BT872" s="319"/>
      <c r="BU872" s="319"/>
      <c r="BV872" s="319"/>
      <c r="BW872" s="319"/>
      <c r="BX872" s="319"/>
      <c r="BY872" s="319"/>
      <c r="BZ872" s="319"/>
      <c r="CA872" s="319"/>
      <c r="CB872" s="319"/>
      <c r="CC872" s="319"/>
      <c r="CD872" s="319"/>
      <c r="CE872" s="319"/>
      <c r="CF872" s="319"/>
      <c r="CG872" s="319"/>
      <c r="CH872" s="319"/>
      <c r="CI872" s="319"/>
      <c r="CJ872" s="319"/>
      <c r="CK872" s="319"/>
    </row>
    <row r="873" spans="1:89" ht="13.5" hidden="1" customHeight="1">
      <c r="A873" s="12"/>
      <c r="B873" s="1" t="str">
        <f>$B$856</f>
        <v>Fator de Utilização</v>
      </c>
      <c r="C873" s="29" t="str">
        <f>$C$254</f>
        <v>%</v>
      </c>
      <c r="D873" s="422"/>
      <c r="E873" s="1"/>
      <c r="F873" s="1"/>
      <c r="G873" s="1"/>
      <c r="H873" s="1"/>
      <c r="I873" s="1"/>
      <c r="J873" s="1"/>
      <c r="K873" s="9"/>
      <c r="L873" s="1"/>
      <c r="M873" s="319"/>
      <c r="N873" s="319">
        <v>2000000</v>
      </c>
      <c r="O873" s="319"/>
      <c r="P873" s="319"/>
      <c r="Q873" s="319"/>
      <c r="R873" s="319"/>
      <c r="S873" s="319"/>
      <c r="T873" s="319"/>
      <c r="U873" s="319"/>
      <c r="V873" s="319"/>
      <c r="W873" s="319"/>
      <c r="X873" s="319"/>
      <c r="Y873" s="319"/>
      <c r="Z873" s="319"/>
      <c r="AA873" s="319"/>
      <c r="AB873" s="319"/>
      <c r="AC873" s="319"/>
      <c r="AD873" s="319"/>
      <c r="AE873" s="319"/>
      <c r="AF873" s="319"/>
      <c r="AG873" s="319"/>
      <c r="AH873" s="319"/>
      <c r="AI873" s="319"/>
      <c r="AJ873" s="319"/>
      <c r="AK873" s="319"/>
      <c r="AL873" s="319"/>
      <c r="AM873" s="319"/>
      <c r="AN873" s="319"/>
      <c r="AO873" s="319"/>
      <c r="AP873" s="319"/>
      <c r="AQ873" s="319"/>
      <c r="AR873" s="319"/>
      <c r="AS873" s="319"/>
      <c r="AT873" s="319"/>
      <c r="AU873" s="319"/>
      <c r="AV873" s="319"/>
      <c r="AW873" s="319"/>
      <c r="AX873" s="319"/>
      <c r="AY873" s="319"/>
      <c r="AZ873" s="319"/>
      <c r="BA873" s="319"/>
      <c r="BB873" s="319"/>
      <c r="BC873" s="319"/>
      <c r="BD873" s="319"/>
      <c r="BE873" s="319"/>
      <c r="BF873" s="319"/>
      <c r="BG873" s="319"/>
      <c r="BH873" s="319"/>
      <c r="BI873" s="319"/>
      <c r="BJ873" s="319"/>
      <c r="BK873" s="319"/>
      <c r="BL873" s="319"/>
      <c r="BM873" s="319"/>
      <c r="BN873" s="319"/>
      <c r="BO873" s="319"/>
      <c r="BP873" s="319"/>
      <c r="BQ873" s="319"/>
      <c r="BR873" s="319"/>
      <c r="BS873" s="319"/>
      <c r="BT873" s="319"/>
      <c r="BU873" s="319"/>
      <c r="BV873" s="319"/>
      <c r="BW873" s="319"/>
      <c r="BX873" s="319"/>
      <c r="BY873" s="319"/>
      <c r="BZ873" s="319"/>
      <c r="CA873" s="319"/>
      <c r="CB873" s="319"/>
      <c r="CC873" s="319"/>
      <c r="CD873" s="319"/>
      <c r="CE873" s="319"/>
      <c r="CF873" s="319"/>
      <c r="CG873" s="319"/>
      <c r="CH873" s="319"/>
      <c r="CI873" s="319"/>
      <c r="CJ873" s="319"/>
      <c r="CK873" s="319"/>
    </row>
    <row r="874" spans="1:89" ht="13.5" hidden="1" customHeight="1">
      <c r="A874" s="12"/>
      <c r="B874" s="1" t="str">
        <f>$B$857</f>
        <v>Eletricidade exportada p/ rede</v>
      </c>
      <c r="C874" s="29" t="str">
        <f>$J$1184</f>
        <v>MWh</v>
      </c>
      <c r="D874" s="30">
        <f>D870*D873*8.76</f>
        <v>0</v>
      </c>
      <c r="E874" s="1"/>
      <c r="F874" s="1"/>
      <c r="G874" s="1"/>
      <c r="H874" s="1"/>
      <c r="I874" s="1"/>
      <c r="J874" s="1"/>
      <c r="K874" s="9"/>
      <c r="L874" s="1"/>
      <c r="M874" s="319"/>
      <c r="N874" s="319">
        <v>2000000</v>
      </c>
      <c r="O874" s="319"/>
      <c r="P874" s="319"/>
      <c r="Q874" s="319"/>
      <c r="R874" s="319"/>
      <c r="S874" s="319"/>
      <c r="T874" s="319"/>
      <c r="U874" s="319"/>
      <c r="V874" s="319"/>
      <c r="W874" s="319"/>
      <c r="X874" s="319"/>
      <c r="Y874" s="319"/>
      <c r="Z874" s="319"/>
      <c r="AA874" s="319"/>
      <c r="AB874" s="319"/>
      <c r="AC874" s="319"/>
      <c r="AD874" s="319"/>
      <c r="AE874" s="319"/>
      <c r="AF874" s="319"/>
      <c r="AG874" s="319"/>
      <c r="AH874" s="319"/>
      <c r="AI874" s="319"/>
      <c r="AJ874" s="319"/>
      <c r="AK874" s="319"/>
      <c r="AL874" s="319"/>
      <c r="AM874" s="319"/>
      <c r="AN874" s="319"/>
      <c r="AO874" s="319"/>
      <c r="AP874" s="319"/>
      <c r="AQ874" s="319"/>
      <c r="AR874" s="319"/>
      <c r="AS874" s="319"/>
      <c r="AT874" s="319"/>
      <c r="AU874" s="319"/>
      <c r="AV874" s="319"/>
      <c r="AW874" s="319"/>
      <c r="AX874" s="319"/>
      <c r="AY874" s="319"/>
      <c r="AZ874" s="319"/>
      <c r="BA874" s="319"/>
      <c r="BB874" s="319"/>
      <c r="BC874" s="319"/>
      <c r="BD874" s="319"/>
      <c r="BE874" s="319"/>
      <c r="BF874" s="319"/>
      <c r="BG874" s="319"/>
      <c r="BH874" s="319"/>
      <c r="BI874" s="319"/>
      <c r="BJ874" s="319"/>
      <c r="BK874" s="319"/>
      <c r="BL874" s="319"/>
      <c r="BM874" s="319"/>
      <c r="BN874" s="319"/>
      <c r="BO874" s="319"/>
      <c r="BP874" s="319"/>
      <c r="BQ874" s="319"/>
      <c r="BR874" s="319"/>
      <c r="BS874" s="319"/>
      <c r="BT874" s="319"/>
      <c r="BU874" s="319"/>
      <c r="BV874" s="319"/>
      <c r="BW874" s="319"/>
      <c r="BX874" s="319"/>
      <c r="BY874" s="319"/>
      <c r="BZ874" s="319"/>
      <c r="CA874" s="319"/>
      <c r="CB874" s="319"/>
      <c r="CC874" s="319"/>
      <c r="CD874" s="319"/>
      <c r="CE874" s="319"/>
      <c r="CF874" s="319"/>
      <c r="CG874" s="319"/>
      <c r="CH874" s="319"/>
      <c r="CI874" s="319"/>
      <c r="CJ874" s="319"/>
      <c r="CK874" s="319"/>
    </row>
    <row r="875" spans="1:89" ht="13.5" hidden="1" customHeight="1">
      <c r="A875" s="12"/>
      <c r="B875" s="1" t="str">
        <f>$B$858</f>
        <v>Preço eletricidade exportada</v>
      </c>
      <c r="C875" s="29" t="str">
        <f>Currency&amp;Language!C1297</f>
        <v>€/kWh</v>
      </c>
      <c r="D875" s="399"/>
      <c r="E875" s="1"/>
      <c r="F875" s="1"/>
      <c r="G875" s="1"/>
      <c r="H875" s="1"/>
      <c r="I875" s="1"/>
      <c r="J875" s="1"/>
      <c r="K875" s="9"/>
      <c r="L875" s="1"/>
      <c r="M875" s="319"/>
      <c r="N875" s="319">
        <v>2000000</v>
      </c>
      <c r="O875" s="319"/>
      <c r="P875" s="319"/>
      <c r="Q875" s="319"/>
      <c r="R875" s="319"/>
      <c r="S875" s="319"/>
      <c r="T875" s="319"/>
      <c r="U875" s="319"/>
      <c r="V875" s="319"/>
      <c r="W875" s="319"/>
      <c r="X875" s="319"/>
      <c r="Y875" s="319"/>
      <c r="Z875" s="319"/>
      <c r="AA875" s="319"/>
      <c r="AB875" s="319"/>
      <c r="AC875" s="319"/>
      <c r="AD875" s="319"/>
      <c r="AE875" s="319"/>
      <c r="AF875" s="319"/>
      <c r="AG875" s="319"/>
      <c r="AH875" s="319"/>
      <c r="AI875" s="319"/>
      <c r="AJ875" s="319"/>
      <c r="AK875" s="319"/>
      <c r="AL875" s="319"/>
      <c r="AM875" s="319"/>
      <c r="AN875" s="319"/>
      <c r="AO875" s="319"/>
      <c r="AP875" s="319"/>
      <c r="AQ875" s="319"/>
      <c r="AR875" s="319"/>
      <c r="AS875" s="319"/>
      <c r="AT875" s="319"/>
      <c r="AU875" s="319"/>
      <c r="AV875" s="319"/>
      <c r="AW875" s="319"/>
      <c r="AX875" s="319"/>
      <c r="AY875" s="319"/>
      <c r="AZ875" s="319"/>
      <c r="BA875" s="319"/>
      <c r="BB875" s="319"/>
      <c r="BC875" s="319"/>
      <c r="BD875" s="319"/>
      <c r="BE875" s="319"/>
      <c r="BF875" s="319"/>
      <c r="BG875" s="319"/>
      <c r="BH875" s="319"/>
      <c r="BI875" s="319"/>
      <c r="BJ875" s="319"/>
      <c r="BK875" s="319"/>
      <c r="BL875" s="319"/>
      <c r="BM875" s="319"/>
      <c r="BN875" s="319"/>
      <c r="BO875" s="319"/>
      <c r="BP875" s="319"/>
      <c r="BQ875" s="319"/>
      <c r="BR875" s="319"/>
      <c r="BS875" s="319"/>
      <c r="BT875" s="319"/>
      <c r="BU875" s="319"/>
      <c r="BV875" s="319"/>
      <c r="BW875" s="319"/>
      <c r="BX875" s="319"/>
      <c r="BY875" s="319"/>
      <c r="BZ875" s="319"/>
      <c r="CA875" s="319"/>
      <c r="CB875" s="319"/>
      <c r="CC875" s="319"/>
      <c r="CD875" s="319"/>
      <c r="CE875" s="319"/>
      <c r="CF875" s="319"/>
      <c r="CG875" s="319"/>
      <c r="CH875" s="319"/>
      <c r="CI875" s="319"/>
      <c r="CJ875" s="319"/>
      <c r="CK875" s="319"/>
    </row>
    <row r="876" spans="1:89" ht="13.5" hidden="1" customHeight="1">
      <c r="A876" s="12"/>
      <c r="B876" s="1"/>
      <c r="C876" s="1"/>
      <c r="D876" s="1"/>
      <c r="E876" s="1"/>
      <c r="F876" s="1"/>
      <c r="G876" s="1"/>
      <c r="H876" s="1"/>
      <c r="I876" s="1"/>
      <c r="J876" s="1"/>
      <c r="K876" s="9"/>
      <c r="L876" s="1"/>
      <c r="M876" s="319"/>
      <c r="N876" s="319">
        <v>2000000</v>
      </c>
      <c r="O876" s="319"/>
      <c r="P876" s="319"/>
      <c r="Q876" s="319"/>
      <c r="R876" s="319"/>
      <c r="S876" s="319"/>
      <c r="T876" s="319"/>
      <c r="U876" s="319"/>
      <c r="V876" s="319"/>
      <c r="W876" s="319"/>
      <c r="X876" s="319"/>
      <c r="Y876" s="319"/>
      <c r="Z876" s="319"/>
      <c r="AA876" s="319"/>
      <c r="AB876" s="319"/>
      <c r="AC876" s="319"/>
      <c r="AD876" s="319"/>
      <c r="AE876" s="319"/>
      <c r="AF876" s="319"/>
      <c r="AG876" s="319"/>
      <c r="AH876" s="319"/>
      <c r="AI876" s="319"/>
      <c r="AJ876" s="319"/>
      <c r="AK876" s="319"/>
      <c r="AL876" s="319"/>
      <c r="AM876" s="319"/>
      <c r="AN876" s="319"/>
      <c r="AO876" s="319"/>
      <c r="AP876" s="319"/>
      <c r="AQ876" s="319"/>
      <c r="AR876" s="319"/>
      <c r="AS876" s="319"/>
      <c r="AT876" s="319"/>
      <c r="AU876" s="319"/>
      <c r="AV876" s="319"/>
      <c r="AW876" s="319"/>
      <c r="AX876" s="319"/>
      <c r="AY876" s="319"/>
      <c r="AZ876" s="319"/>
      <c r="BA876" s="319"/>
      <c r="BB876" s="319"/>
      <c r="BC876" s="319"/>
      <c r="BD876" s="319"/>
      <c r="BE876" s="319"/>
      <c r="BF876" s="319"/>
      <c r="BG876" s="319"/>
      <c r="BH876" s="319"/>
      <c r="BI876" s="319"/>
      <c r="BJ876" s="319"/>
      <c r="BK876" s="319"/>
      <c r="BL876" s="319"/>
      <c r="BM876" s="319"/>
      <c r="BN876" s="319"/>
      <c r="BO876" s="319"/>
      <c r="BP876" s="319"/>
      <c r="BQ876" s="319"/>
      <c r="BR876" s="319"/>
      <c r="BS876" s="319"/>
      <c r="BT876" s="319"/>
      <c r="BU876" s="319"/>
      <c r="BV876" s="319"/>
      <c r="BW876" s="319"/>
      <c r="BX876" s="319"/>
      <c r="BY876" s="319"/>
      <c r="BZ876" s="319"/>
      <c r="CA876" s="319"/>
      <c r="CB876" s="319"/>
      <c r="CC876" s="319"/>
      <c r="CD876" s="319"/>
      <c r="CE876" s="319"/>
      <c r="CF876" s="319"/>
      <c r="CG876" s="319"/>
      <c r="CH876" s="319"/>
      <c r="CI876" s="319"/>
      <c r="CJ876" s="319"/>
      <c r="CK876" s="319"/>
    </row>
    <row r="877" spans="1:89" ht="25.5" hidden="1" customHeight="1">
      <c r="A877" s="12"/>
      <c r="B877" s="28"/>
      <c r="C877" s="1"/>
      <c r="D877" s="82" t="str">
        <f>D221</f>
        <v>Caso de referência</v>
      </c>
      <c r="E877" s="82" t="str">
        <f>E221</f>
        <v>Caso proposto</v>
      </c>
      <c r="F877" s="1"/>
      <c r="G877" s="82" t="str">
        <f>$G$244</f>
        <v>Custo inicial incremental</v>
      </c>
      <c r="H877" s="1"/>
      <c r="I877" s="1"/>
      <c r="J877" s="1"/>
      <c r="K877" s="9"/>
      <c r="L877" s="1"/>
      <c r="M877" s="319"/>
      <c r="N877" s="319">
        <v>5098000</v>
      </c>
      <c r="O877" s="319"/>
      <c r="P877" s="319"/>
      <c r="Q877" s="319"/>
      <c r="R877" s="319"/>
      <c r="S877" s="319"/>
      <c r="T877" s="319"/>
      <c r="U877" s="319"/>
      <c r="V877" s="319"/>
      <c r="W877" s="319"/>
      <c r="X877" s="319"/>
      <c r="Y877" s="319"/>
      <c r="Z877" s="319"/>
      <c r="AA877" s="319"/>
      <c r="AB877" s="319"/>
      <c r="AC877" s="319"/>
      <c r="AD877" s="319"/>
      <c r="AE877" s="319"/>
      <c r="AF877" s="319"/>
      <c r="AG877" s="319"/>
      <c r="AH877" s="319"/>
      <c r="AI877" s="319"/>
      <c r="AJ877" s="319"/>
      <c r="AK877" s="319"/>
      <c r="AL877" s="319"/>
      <c r="AM877" s="319"/>
      <c r="AN877" s="319"/>
      <c r="AO877" s="319"/>
      <c r="AP877" s="319"/>
      <c r="AQ877" s="319"/>
      <c r="AR877" s="319"/>
      <c r="AS877" s="319"/>
      <c r="AT877" s="319"/>
      <c r="AU877" s="319"/>
      <c r="AV877" s="319"/>
      <c r="AW877" s="319"/>
      <c r="AX877" s="319"/>
      <c r="AY877" s="319"/>
      <c r="AZ877" s="319"/>
      <c r="BA877" s="319"/>
      <c r="BB877" s="319"/>
      <c r="BC877" s="319"/>
      <c r="BD877" s="319"/>
      <c r="BE877" s="319"/>
      <c r="BF877" s="319"/>
      <c r="BG877" s="319"/>
      <c r="BH877" s="319"/>
      <c r="BI877" s="319"/>
      <c r="BJ877" s="319"/>
      <c r="BK877" s="319"/>
      <c r="BL877" s="319"/>
      <c r="BM877" s="319"/>
      <c r="BN877" s="319"/>
      <c r="BO877" s="319"/>
      <c r="BP877" s="319"/>
      <c r="BQ877" s="319"/>
      <c r="BR877" s="319"/>
      <c r="BS877" s="319"/>
      <c r="BT877" s="319"/>
      <c r="BU877" s="319"/>
      <c r="BV877" s="319"/>
      <c r="BW877" s="319"/>
      <c r="BX877" s="319"/>
      <c r="BY877" s="319"/>
      <c r="BZ877" s="319"/>
      <c r="CA877" s="319"/>
      <c r="CB877" s="319"/>
      <c r="CC877" s="319"/>
      <c r="CD877" s="319"/>
      <c r="CE877" s="319"/>
      <c r="CF877" s="319"/>
      <c r="CG877" s="319"/>
      <c r="CH877" s="319"/>
      <c r="CI877" s="319"/>
      <c r="CJ877" s="319"/>
      <c r="CK877" s="319"/>
    </row>
    <row r="878" spans="1:89" ht="13.5" hidden="1" customHeight="1">
      <c r="A878" s="12"/>
      <c r="B878" s="1" t="str">
        <f>Language!C340</f>
        <v>Área de piso resfriado para o prédio</v>
      </c>
      <c r="C878" s="303" t="s">
        <v>5430</v>
      </c>
      <c r="D878" s="307"/>
      <c r="E878" s="1"/>
      <c r="F878" s="1"/>
      <c r="G878" s="1"/>
      <c r="H878" s="1"/>
      <c r="I878" s="1"/>
      <c r="J878" s="1"/>
      <c r="K878" s="9"/>
      <c r="L878" s="1"/>
      <c r="M878" s="319"/>
      <c r="N878" s="319">
        <v>5098100</v>
      </c>
      <c r="O878" s="319"/>
      <c r="P878" s="319"/>
      <c r="Q878" s="319"/>
      <c r="R878" s="319"/>
      <c r="S878" s="319"/>
      <c r="T878" s="319"/>
      <c r="U878" s="319"/>
      <c r="V878" s="319"/>
      <c r="W878" s="319"/>
      <c r="X878" s="319"/>
      <c r="Y878" s="319"/>
      <c r="Z878" s="319"/>
      <c r="AA878" s="319"/>
      <c r="AB878" s="319"/>
      <c r="AC878" s="319"/>
      <c r="AD878" s="319"/>
      <c r="AE878" s="319"/>
      <c r="AF878" s="319"/>
      <c r="AG878" s="319"/>
      <c r="AH878" s="319"/>
      <c r="AI878" s="319"/>
      <c r="AJ878" s="319"/>
      <c r="AK878" s="319"/>
      <c r="AL878" s="319"/>
      <c r="AM878" s="319"/>
      <c r="AN878" s="319"/>
      <c r="AO878" s="319"/>
      <c r="AP878" s="319"/>
      <c r="AQ878" s="319"/>
      <c r="AR878" s="319"/>
      <c r="AS878" s="319"/>
      <c r="AT878" s="319"/>
      <c r="AU878" s="319"/>
      <c r="AV878" s="319"/>
      <c r="AW878" s="319"/>
      <c r="AX878" s="319"/>
      <c r="AY878" s="319"/>
      <c r="AZ878" s="319"/>
      <c r="BA878" s="319"/>
      <c r="BB878" s="319"/>
      <c r="BC878" s="319"/>
      <c r="BD878" s="319"/>
      <c r="BE878" s="319"/>
      <c r="BF878" s="319"/>
      <c r="BG878" s="319"/>
      <c r="BH878" s="319"/>
      <c r="BI878" s="319"/>
      <c r="BJ878" s="319"/>
      <c r="BK878" s="319"/>
      <c r="BL878" s="319"/>
      <c r="BM878" s="319"/>
      <c r="BN878" s="319"/>
      <c r="BO878" s="319"/>
      <c r="BP878" s="319"/>
      <c r="BQ878" s="319"/>
      <c r="BR878" s="319"/>
      <c r="BS878" s="319"/>
      <c r="BT878" s="319"/>
      <c r="BU878" s="319"/>
      <c r="BV878" s="319"/>
      <c r="BW878" s="319"/>
      <c r="BX878" s="319"/>
      <c r="BY878" s="319"/>
      <c r="BZ878" s="319"/>
      <c r="CA878" s="319"/>
      <c r="CB878" s="319"/>
      <c r="CC878" s="319"/>
      <c r="CD878" s="319"/>
      <c r="CE878" s="319"/>
      <c r="CF878" s="319"/>
      <c r="CG878" s="319"/>
      <c r="CH878" s="319"/>
      <c r="CI878" s="319"/>
      <c r="CJ878" s="319"/>
      <c r="CK878" s="319"/>
    </row>
    <row r="879" spans="1:89" ht="13.5" hidden="1" customHeight="1">
      <c r="A879" s="12"/>
      <c r="B879" s="1" t="str">
        <f>B907</f>
        <v>Ações de Eficiência energética</v>
      </c>
      <c r="C879" s="1"/>
      <c r="D879" s="1"/>
      <c r="E879" s="159"/>
      <c r="F879" s="79"/>
      <c r="G879" s="1367"/>
      <c r="H879" s="1"/>
      <c r="I879" s="1"/>
      <c r="J879" s="1"/>
      <c r="K879" s="9"/>
      <c r="L879" s="1"/>
      <c r="M879" s="319"/>
      <c r="N879" s="319">
        <v>5098102</v>
      </c>
      <c r="O879" s="319"/>
      <c r="P879" s="319"/>
      <c r="Q879" s="319"/>
      <c r="R879" s="319"/>
      <c r="S879" s="319"/>
      <c r="T879" s="319"/>
      <c r="U879" s="319"/>
      <c r="V879" s="319"/>
      <c r="W879" s="319"/>
      <c r="X879" s="319"/>
      <c r="Y879" s="319"/>
      <c r="Z879" s="319"/>
      <c r="AA879" s="319"/>
      <c r="AB879" s="319"/>
      <c r="AC879" s="319"/>
      <c r="AD879" s="319"/>
      <c r="AE879" s="319"/>
      <c r="AF879" s="319"/>
      <c r="AG879" s="319"/>
      <c r="AH879" s="319"/>
      <c r="AI879" s="319"/>
      <c r="AJ879" s="319"/>
      <c r="AK879" s="319"/>
      <c r="AL879" s="319"/>
      <c r="AM879" s="319"/>
      <c r="AN879" s="319"/>
      <c r="AO879" s="319"/>
      <c r="AP879" s="319"/>
      <c r="AQ879" s="319"/>
      <c r="AR879" s="319"/>
      <c r="AS879" s="319"/>
      <c r="AT879" s="319"/>
      <c r="AU879" s="319"/>
      <c r="AV879" s="319"/>
      <c r="AW879" s="319"/>
      <c r="AX879" s="319"/>
      <c r="AY879" s="319"/>
      <c r="AZ879" s="319"/>
      <c r="BA879" s="319"/>
      <c r="BB879" s="319"/>
      <c r="BC879" s="319"/>
      <c r="BD879" s="319"/>
      <c r="BE879" s="319"/>
      <c r="BF879" s="319"/>
      <c r="BG879" s="319"/>
      <c r="BH879" s="319"/>
      <c r="BI879" s="319"/>
      <c r="BJ879" s="319"/>
      <c r="BK879" s="319"/>
      <c r="BL879" s="319"/>
      <c r="BM879" s="319"/>
      <c r="BN879" s="319"/>
      <c r="BO879" s="319"/>
      <c r="BP879" s="319"/>
      <c r="BQ879" s="319"/>
      <c r="BR879" s="319"/>
      <c r="BS879" s="319"/>
      <c r="BT879" s="319"/>
      <c r="BU879" s="319"/>
      <c r="BV879" s="319"/>
      <c r="BW879" s="319"/>
      <c r="BX879" s="319"/>
      <c r="BY879" s="319"/>
      <c r="BZ879" s="319"/>
      <c r="CA879" s="319"/>
      <c r="CB879" s="319"/>
      <c r="CC879" s="319"/>
      <c r="CD879" s="319"/>
      <c r="CE879" s="319"/>
      <c r="CF879" s="319"/>
      <c r="CG879" s="319"/>
      <c r="CH879" s="319"/>
      <c r="CI879" s="319"/>
      <c r="CJ879" s="319"/>
      <c r="CK879" s="319"/>
    </row>
    <row r="880" spans="1:89" ht="13.5" hidden="1" customHeight="1">
      <c r="A880" s="12"/>
      <c r="B880" s="1" t="str">
        <f>Language!C342</f>
        <v>Carga de refrigeração por prédio</v>
      </c>
      <c r="C880" s="303" t="s">
        <v>2335</v>
      </c>
      <c r="D880" s="307"/>
      <c r="E880" s="30">
        <f>(1-E879)*D880</f>
        <v>0</v>
      </c>
      <c r="F880" s="1"/>
      <c r="G880" s="1"/>
      <c r="H880" s="1"/>
      <c r="I880" s="1"/>
      <c r="J880" s="1"/>
      <c r="K880" s="9"/>
      <c r="L880" s="1"/>
      <c r="M880" s="319"/>
      <c r="N880" s="319">
        <v>5098104</v>
      </c>
      <c r="O880" s="319"/>
      <c r="P880" s="319"/>
      <c r="Q880" s="319"/>
      <c r="R880" s="319"/>
      <c r="S880" s="319"/>
      <c r="T880" s="319"/>
      <c r="U880" s="319"/>
      <c r="V880" s="319"/>
      <c r="W880" s="319"/>
      <c r="X880" s="319"/>
      <c r="Y880" s="319"/>
      <c r="Z880" s="319"/>
      <c r="AA880" s="319"/>
      <c r="AB880" s="319"/>
      <c r="AC880" s="319"/>
      <c r="AD880" s="319"/>
      <c r="AE880" s="319"/>
      <c r="AF880" s="319"/>
      <c r="AG880" s="319"/>
      <c r="AH880" s="319"/>
      <c r="AI880" s="319"/>
      <c r="AJ880" s="319"/>
      <c r="AK880" s="319"/>
      <c r="AL880" s="319"/>
      <c r="AM880" s="319"/>
      <c r="AN880" s="319"/>
      <c r="AO880" s="319"/>
      <c r="AP880" s="319"/>
      <c r="AQ880" s="319"/>
      <c r="AR880" s="319"/>
      <c r="AS880" s="319"/>
      <c r="AT880" s="319"/>
      <c r="AU880" s="319"/>
      <c r="AV880" s="319"/>
      <c r="AW880" s="319"/>
      <c r="AX880" s="319"/>
      <c r="AY880" s="319"/>
      <c r="AZ880" s="319"/>
      <c r="BA880" s="319"/>
      <c r="BB880" s="319"/>
      <c r="BC880" s="319"/>
      <c r="BD880" s="319"/>
      <c r="BE880" s="319"/>
      <c r="BF880" s="319"/>
      <c r="BG880" s="319"/>
      <c r="BH880" s="319"/>
      <c r="BI880" s="319"/>
      <c r="BJ880" s="319"/>
      <c r="BK880" s="319"/>
      <c r="BL880" s="319"/>
      <c r="BM880" s="319"/>
      <c r="BN880" s="319"/>
      <c r="BO880" s="319"/>
      <c r="BP880" s="319"/>
      <c r="BQ880" s="319"/>
      <c r="BR880" s="319"/>
      <c r="BS880" s="319"/>
      <c r="BT880" s="319"/>
      <c r="BU880" s="319"/>
      <c r="BV880" s="319"/>
      <c r="BW880" s="319"/>
      <c r="BX880" s="319"/>
      <c r="BY880" s="319"/>
      <c r="BZ880" s="319"/>
      <c r="CA880" s="319"/>
      <c r="CB880" s="319"/>
      <c r="CC880" s="319"/>
      <c r="CD880" s="319"/>
      <c r="CE880" s="319"/>
      <c r="CF880" s="319"/>
      <c r="CG880" s="319"/>
      <c r="CH880" s="319"/>
      <c r="CI880" s="319"/>
      <c r="CJ880" s="319"/>
      <c r="CK880" s="319"/>
    </row>
    <row r="881" spans="1:89" ht="13.5" hidden="1" customHeight="1">
      <c r="A881" s="12"/>
      <c r="B881" s="1" t="str">
        <f>Language!C338</f>
        <v>Demanda refrigeração independente da temperatura externa</v>
      </c>
      <c r="C881" s="29" t="str">
        <f>$C$254</f>
        <v>%</v>
      </c>
      <c r="D881" s="339">
        <v>0</v>
      </c>
      <c r="E881" s="96">
        <f>D881</f>
        <v>0</v>
      </c>
      <c r="F881" s="1"/>
      <c r="G881" s="1"/>
      <c r="H881" s="1"/>
      <c r="I881" s="1"/>
      <c r="J881" s="1"/>
      <c r="K881" s="9"/>
      <c r="L881" s="1"/>
      <c r="M881" s="319"/>
      <c r="N881" s="319">
        <v>5098106</v>
      </c>
      <c r="O881" s="319"/>
      <c r="P881" s="319"/>
      <c r="Q881" s="319"/>
      <c r="R881" s="319"/>
      <c r="S881" s="319"/>
      <c r="T881" s="319"/>
      <c r="U881" s="319"/>
      <c r="V881" s="319"/>
      <c r="W881" s="319"/>
      <c r="X881" s="319"/>
      <c r="Y881" s="319"/>
      <c r="Z881" s="319"/>
      <c r="AA881" s="319"/>
      <c r="AB881" s="319"/>
      <c r="AC881" s="319"/>
      <c r="AD881" s="319"/>
      <c r="AE881" s="319"/>
      <c r="AF881" s="319"/>
      <c r="AG881" s="319"/>
      <c r="AH881" s="319"/>
      <c r="AI881" s="319"/>
      <c r="AJ881" s="319"/>
      <c r="AK881" s="319"/>
      <c r="AL881" s="319"/>
      <c r="AM881" s="319"/>
      <c r="AN881" s="319"/>
      <c r="AO881" s="319"/>
      <c r="AP881" s="319"/>
      <c r="AQ881" s="319"/>
      <c r="AR881" s="319"/>
      <c r="AS881" s="319"/>
      <c r="AT881" s="319"/>
      <c r="AU881" s="319"/>
      <c r="AV881" s="319"/>
      <c r="AW881" s="319"/>
      <c r="AX881" s="319"/>
      <c r="AY881" s="319"/>
      <c r="AZ881" s="319"/>
      <c r="BA881" s="319"/>
      <c r="BB881" s="319"/>
      <c r="BC881" s="319"/>
      <c r="BD881" s="319"/>
      <c r="BE881" s="319"/>
      <c r="BF881" s="319"/>
      <c r="BG881" s="319"/>
      <c r="BH881" s="319"/>
      <c r="BI881" s="319"/>
      <c r="BJ881" s="319"/>
      <c r="BK881" s="319"/>
      <c r="BL881" s="319"/>
      <c r="BM881" s="319"/>
      <c r="BN881" s="319"/>
      <c r="BO881" s="319"/>
      <c r="BP881" s="319"/>
      <c r="BQ881" s="319"/>
      <c r="BR881" s="319"/>
      <c r="BS881" s="319"/>
      <c r="BT881" s="319"/>
      <c r="BU881" s="319"/>
      <c r="BV881" s="319"/>
      <c r="BW881" s="319"/>
      <c r="BX881" s="319"/>
      <c r="BY881" s="319"/>
      <c r="BZ881" s="319"/>
      <c r="CA881" s="319"/>
      <c r="CB881" s="319"/>
      <c r="CC881" s="319"/>
      <c r="CD881" s="319"/>
      <c r="CE881" s="319"/>
      <c r="CF881" s="319"/>
      <c r="CG881" s="319"/>
      <c r="CH881" s="319"/>
      <c r="CI881" s="319"/>
      <c r="CJ881" s="319"/>
      <c r="CK881" s="319"/>
    </row>
    <row r="882" spans="1:89" ht="13.5" hidden="1" customHeight="1">
      <c r="A882" s="12"/>
      <c r="B882" s="1" t="str">
        <f>Language!C348</f>
        <v>Demanda total de frio</v>
      </c>
      <c r="C882" s="29" t="str">
        <f>IF(Unit=TRUE,C577,J1186)</f>
        <v>MWh</v>
      </c>
      <c r="D882" s="30">
        <f>IF(Unit=TRUE,1,$K$1186)*P882</f>
        <v>0</v>
      </c>
      <c r="E882" s="30">
        <f>IF(Unit=TRUE,1,$K$1186)*Q882</f>
        <v>0</v>
      </c>
      <c r="F882" s="1"/>
      <c r="G882" s="1"/>
      <c r="H882" s="1"/>
      <c r="I882" s="1"/>
      <c r="J882" s="1"/>
      <c r="K882" s="9"/>
      <c r="L882" s="1"/>
      <c r="M882" s="319"/>
      <c r="N882" s="319">
        <v>5098108</v>
      </c>
      <c r="O882" s="319" t="s">
        <v>2745</v>
      </c>
      <c r="P882" s="494">
        <f>'Carga e Rede'!L335</f>
        <v>0</v>
      </c>
      <c r="Q882" s="319">
        <f>P882*(1-E879)</f>
        <v>0</v>
      </c>
      <c r="R882" s="319"/>
      <c r="S882" s="319"/>
      <c r="T882" s="319"/>
      <c r="U882" s="319"/>
      <c r="V882" s="319"/>
      <c r="W882" s="319"/>
      <c r="X882" s="319"/>
      <c r="Y882" s="319"/>
      <c r="Z882" s="319"/>
      <c r="AA882" s="319"/>
      <c r="AB882" s="319"/>
      <c r="AC882" s="319"/>
      <c r="AD882" s="319"/>
      <c r="AE882" s="319"/>
      <c r="AF882" s="319"/>
      <c r="AG882" s="319"/>
      <c r="AH882" s="319"/>
      <c r="AI882" s="319"/>
      <c r="AJ882" s="319"/>
      <c r="AK882" s="319"/>
      <c r="AL882" s="319"/>
      <c r="AM882" s="319"/>
      <c r="AN882" s="319"/>
      <c r="AO882" s="319"/>
      <c r="AP882" s="319"/>
      <c r="AQ882" s="319"/>
      <c r="AR882" s="319"/>
      <c r="AS882" s="319"/>
      <c r="AT882" s="319"/>
      <c r="AU882" s="319"/>
      <c r="AV882" s="319"/>
      <c r="AW882" s="319"/>
      <c r="AX882" s="319"/>
      <c r="AY882" s="319"/>
      <c r="AZ882" s="319"/>
      <c r="BA882" s="319"/>
      <c r="BB882" s="319"/>
      <c r="BC882" s="319"/>
      <c r="BD882" s="319"/>
      <c r="BE882" s="319"/>
      <c r="BF882" s="319"/>
      <c r="BG882" s="319"/>
      <c r="BH882" s="319"/>
      <c r="BI882" s="319"/>
      <c r="BJ882" s="319"/>
      <c r="BK882" s="319"/>
      <c r="BL882" s="319"/>
      <c r="BM882" s="319"/>
      <c r="BN882" s="319"/>
      <c r="BO882" s="319"/>
      <c r="BP882" s="319"/>
      <c r="BQ882" s="319"/>
      <c r="BR882" s="319"/>
      <c r="BS882" s="319"/>
      <c r="BT882" s="319"/>
      <c r="BU882" s="319"/>
      <c r="BV882" s="319"/>
      <c r="BW882" s="319"/>
      <c r="BX882" s="319"/>
      <c r="BY882" s="319"/>
      <c r="BZ882" s="319"/>
      <c r="CA882" s="319"/>
      <c r="CB882" s="319"/>
      <c r="CC882" s="319"/>
      <c r="CD882" s="319"/>
      <c r="CE882" s="319"/>
      <c r="CF882" s="319"/>
      <c r="CG882" s="319"/>
      <c r="CH882" s="319"/>
      <c r="CI882" s="319"/>
      <c r="CJ882" s="319"/>
      <c r="CK882" s="319"/>
    </row>
    <row r="883" spans="1:89" ht="13.2" hidden="1">
      <c r="A883" s="12"/>
      <c r="B883" s="1"/>
      <c r="C883" s="1"/>
      <c r="D883" s="1"/>
      <c r="E883" s="1"/>
      <c r="F883" s="1"/>
      <c r="G883" s="1"/>
      <c r="H883" s="1"/>
      <c r="I883" s="1"/>
      <c r="J883" s="1"/>
      <c r="K883" s="9"/>
      <c r="L883" s="1"/>
      <c r="M883" s="319"/>
      <c r="N883" s="319">
        <v>5098000</v>
      </c>
      <c r="O883" s="319"/>
      <c r="P883" s="319"/>
      <c r="Q883" s="319"/>
      <c r="R883" s="319"/>
      <c r="S883" s="319"/>
      <c r="T883" s="319"/>
      <c r="U883" s="319"/>
      <c r="V883" s="319"/>
      <c r="W883" s="319"/>
      <c r="X883" s="319"/>
      <c r="Y883" s="319"/>
      <c r="Z883" s="319"/>
      <c r="AA883" s="319"/>
      <c r="AB883" s="319"/>
      <c r="AC883" s="319"/>
      <c r="AD883" s="319"/>
      <c r="AE883" s="319"/>
      <c r="AF883" s="319"/>
      <c r="AG883" s="319"/>
      <c r="AH883" s="319"/>
      <c r="AI883" s="319"/>
      <c r="AJ883" s="319"/>
      <c r="AK883" s="319"/>
      <c r="AL883" s="319"/>
      <c r="AM883" s="319"/>
      <c r="AN883" s="319"/>
      <c r="AO883" s="319"/>
      <c r="AP883" s="319"/>
      <c r="AQ883" s="319"/>
      <c r="AR883" s="319"/>
      <c r="AS883" s="319"/>
      <c r="AT883" s="319"/>
      <c r="AU883" s="319"/>
      <c r="AV883" s="319"/>
      <c r="AW883" s="319"/>
      <c r="AX883" s="319"/>
      <c r="AY883" s="319"/>
      <c r="AZ883" s="319"/>
      <c r="BA883" s="319"/>
      <c r="BB883" s="319"/>
      <c r="BC883" s="319"/>
      <c r="BD883" s="319"/>
      <c r="BE883" s="319"/>
      <c r="BF883" s="319"/>
      <c r="BG883" s="319"/>
      <c r="BH883" s="319"/>
      <c r="BI883" s="319"/>
      <c r="BJ883" s="319"/>
      <c r="BK883" s="319"/>
      <c r="BL883" s="319"/>
      <c r="BM883" s="319"/>
      <c r="BN883" s="319"/>
      <c r="BO883" s="319"/>
      <c r="BP883" s="319"/>
      <c r="BQ883" s="319"/>
      <c r="BR883" s="319"/>
      <c r="BS883" s="319"/>
      <c r="BT883" s="319"/>
      <c r="BU883" s="319"/>
      <c r="BV883" s="319"/>
      <c r="BW883" s="319"/>
      <c r="BX883" s="319"/>
      <c r="BY883" s="319"/>
      <c r="BZ883" s="319"/>
      <c r="CA883" s="319"/>
      <c r="CB883" s="319"/>
      <c r="CC883" s="319"/>
      <c r="CD883" s="319"/>
      <c r="CE883" s="319"/>
      <c r="CF883" s="319"/>
      <c r="CG883" s="319"/>
      <c r="CH883" s="319"/>
      <c r="CI883" s="319"/>
      <c r="CJ883" s="319"/>
      <c r="CK883" s="319"/>
    </row>
    <row r="884" spans="1:89" ht="13.2" hidden="1">
      <c r="A884" s="12"/>
      <c r="B884" s="905" t="str">
        <f>Language!C222</f>
        <v>Carga base do sistema de refrigeração</v>
      </c>
      <c r="C884" s="1"/>
      <c r="D884" s="1"/>
      <c r="E884" s="1"/>
      <c r="F884" s="82"/>
      <c r="G884" s="1"/>
      <c r="H884" s="1"/>
      <c r="I884" s="1"/>
      <c r="J884" s="1"/>
      <c r="K884" s="9"/>
      <c r="L884" s="1"/>
      <c r="M884" s="319"/>
      <c r="N884" s="319">
        <v>5098200</v>
      </c>
      <c r="O884" s="319"/>
      <c r="P884" s="319"/>
      <c r="Q884" s="319"/>
      <c r="R884" s="319"/>
      <c r="S884" s="319"/>
      <c r="T884" s="319"/>
      <c r="U884" s="319"/>
      <c r="V884" s="319"/>
      <c r="W884" s="319"/>
      <c r="X884" s="319"/>
      <c r="Y884" s="319"/>
      <c r="Z884" s="319"/>
      <c r="AA884" s="319"/>
      <c r="AB884" s="319"/>
      <c r="AC884" s="319"/>
      <c r="AD884" s="319"/>
      <c r="AE884" s="319"/>
      <c r="AF884" s="319"/>
      <c r="AG884" s="319"/>
      <c r="AH884" s="319"/>
      <c r="AI884" s="319"/>
      <c r="AJ884" s="319"/>
      <c r="AK884" s="319"/>
      <c r="AL884" s="319"/>
      <c r="AM884" s="319"/>
      <c r="AN884" s="319"/>
      <c r="AO884" s="319"/>
      <c r="AP884" s="319"/>
      <c r="AQ884" s="319"/>
      <c r="AR884" s="319"/>
      <c r="AS884" s="319"/>
      <c r="AT884" s="319"/>
      <c r="AU884" s="319"/>
      <c r="AV884" s="319"/>
      <c r="AW884" s="319"/>
      <c r="AX884" s="319"/>
      <c r="AY884" s="319"/>
      <c r="AZ884" s="319"/>
      <c r="BA884" s="319"/>
      <c r="BB884" s="319"/>
      <c r="BC884" s="319"/>
      <c r="BD884" s="319"/>
      <c r="BE884" s="319"/>
      <c r="BF884" s="319"/>
      <c r="BG884" s="319"/>
      <c r="BH884" s="319"/>
      <c r="BI884" s="319"/>
      <c r="BJ884" s="319"/>
      <c r="BK884" s="319"/>
      <c r="BL884" s="319"/>
      <c r="BM884" s="319"/>
      <c r="BN884" s="319"/>
      <c r="BO884" s="319"/>
      <c r="BP884" s="319"/>
      <c r="BQ884" s="319"/>
      <c r="BR884" s="319"/>
      <c r="BS884" s="319"/>
      <c r="BT884" s="319"/>
      <c r="BU884" s="319"/>
      <c r="BV884" s="319"/>
      <c r="BW884" s="319"/>
      <c r="BX884" s="319"/>
      <c r="BY884" s="319"/>
      <c r="BZ884" s="319"/>
      <c r="CA884" s="319"/>
      <c r="CB884" s="319"/>
      <c r="CC884" s="319"/>
      <c r="CD884" s="319"/>
      <c r="CE884" s="319"/>
      <c r="CF884" s="319"/>
      <c r="CG884" s="319"/>
      <c r="CH884" s="319"/>
      <c r="CI884" s="319"/>
      <c r="CJ884" s="319"/>
      <c r="CK884" s="319"/>
    </row>
    <row r="885" spans="1:89" ht="13.2" hidden="1">
      <c r="A885" s="12"/>
      <c r="B885" s="1" t="str">
        <f>B194</f>
        <v>Tecnologia</v>
      </c>
      <c r="C885" s="1"/>
      <c r="D885" s="313"/>
      <c r="E885" s="826" t="str">
        <f>Set_T3</f>
        <v>Bomba de calor</v>
      </c>
      <c r="F885" s="82"/>
      <c r="G885" s="1"/>
      <c r="H885" s="1"/>
      <c r="I885" s="1"/>
      <c r="J885" s="1"/>
      <c r="K885" s="9"/>
      <c r="L885" s="1"/>
      <c r="M885" s="319"/>
      <c r="N885" s="319">
        <v>5097202</v>
      </c>
      <c r="O885" s="319"/>
      <c r="P885" s="319"/>
      <c r="Q885" s="319"/>
      <c r="R885" s="319"/>
      <c r="S885" s="319"/>
      <c r="T885" s="319"/>
      <c r="U885" s="319"/>
      <c r="V885" s="319"/>
      <c r="W885" s="319"/>
      <c r="X885" s="319"/>
      <c r="Y885" s="319"/>
      <c r="Z885" s="319"/>
      <c r="AA885" s="319"/>
      <c r="AB885" s="319"/>
      <c r="AC885" s="319"/>
      <c r="AD885" s="319"/>
      <c r="AE885" s="319"/>
      <c r="AF885" s="319"/>
      <c r="AG885" s="319"/>
      <c r="AH885" s="319"/>
      <c r="AI885" s="319"/>
      <c r="AJ885" s="319"/>
      <c r="AK885" s="319"/>
      <c r="AL885" s="319"/>
      <c r="AM885" s="319"/>
      <c r="AN885" s="319"/>
      <c r="AO885" s="319"/>
      <c r="AP885" s="319"/>
      <c r="AQ885" s="319"/>
      <c r="AR885" s="319"/>
      <c r="AS885" s="319"/>
      <c r="AT885" s="319"/>
      <c r="AU885" s="319"/>
      <c r="AV885" s="319"/>
      <c r="AW885" s="319"/>
      <c r="AX885" s="319"/>
      <c r="AY885" s="319"/>
      <c r="AZ885" s="319"/>
      <c r="BA885" s="319"/>
      <c r="BB885" s="319"/>
      <c r="BC885" s="319"/>
      <c r="BD885" s="319"/>
      <c r="BE885" s="319"/>
      <c r="BF885" s="319"/>
      <c r="BG885" s="319"/>
      <c r="BH885" s="319"/>
      <c r="BI885" s="319"/>
      <c r="BJ885" s="319"/>
      <c r="BK885" s="319"/>
      <c r="BL885" s="319"/>
      <c r="BM885" s="319"/>
      <c r="BN885" s="319"/>
      <c r="BO885" s="319"/>
      <c r="BP885" s="319"/>
      <c r="BQ885" s="319"/>
      <c r="BR885" s="319"/>
      <c r="BS885" s="319"/>
      <c r="BT885" s="319"/>
      <c r="BU885" s="319"/>
      <c r="BV885" s="319"/>
      <c r="BW885" s="319"/>
      <c r="BX885" s="319"/>
      <c r="BY885" s="319"/>
      <c r="BZ885" s="319"/>
      <c r="CA885" s="319"/>
      <c r="CB885" s="319"/>
      <c r="CC885" s="319"/>
      <c r="CD885" s="319"/>
      <c r="CE885" s="319"/>
      <c r="CF885" s="319"/>
      <c r="CG885" s="319"/>
      <c r="CH885" s="319"/>
      <c r="CI885" s="319"/>
      <c r="CJ885" s="319"/>
      <c r="CK885" s="319"/>
    </row>
    <row r="886" spans="1:89" ht="13.5" hidden="1" customHeight="1">
      <c r="A886" s="12"/>
      <c r="B886" s="1" t="str">
        <f>Language!C202</f>
        <v>Capacidade</v>
      </c>
      <c r="C886" s="303" t="s">
        <v>5700</v>
      </c>
      <c r="D886" s="140">
        <f>IF(C886=J1176,$K$1176,1)*P886</f>
        <v>0</v>
      </c>
      <c r="E886" s="395"/>
      <c r="F886" s="55" t="e">
        <f>E886/(D886*(1-E879))</f>
        <v>#DIV/0!</v>
      </c>
      <c r="G886" s="1367"/>
      <c r="H886" s="1"/>
      <c r="I886" s="1"/>
      <c r="J886" s="1"/>
      <c r="K886" s="9"/>
      <c r="L886" s="1"/>
      <c r="M886" s="319"/>
      <c r="N886" s="319">
        <v>5098202</v>
      </c>
      <c r="O886" s="319" t="s">
        <v>5700</v>
      </c>
      <c r="P886" s="845">
        <f>IF(C878=J1191,K1191*D878,D878)*IF(C880=J1180,K1180*D880,IF(C880=J1181,1/D880*K1181,D880))/1000</f>
        <v>0</v>
      </c>
      <c r="Q886" s="319">
        <f>IF(C886=$J$1176,1/$K$1176,1)*E886</f>
        <v>0</v>
      </c>
      <c r="R886" s="319"/>
      <c r="S886" s="319"/>
      <c r="T886" s="319"/>
      <c r="U886" s="319"/>
      <c r="V886" s="319"/>
      <c r="W886" s="319"/>
      <c r="X886" s="319"/>
      <c r="Y886" s="319"/>
      <c r="Z886" s="319"/>
      <c r="AA886" s="319"/>
      <c r="AB886" s="319"/>
      <c r="AC886" s="319"/>
      <c r="AD886" s="319"/>
      <c r="AE886" s="319"/>
      <c r="AF886" s="319"/>
      <c r="AG886" s="319"/>
      <c r="AH886" s="319"/>
      <c r="AI886" s="319"/>
      <c r="AJ886" s="319"/>
      <c r="AK886" s="319"/>
      <c r="AL886" s="319"/>
      <c r="AM886" s="319"/>
      <c r="AN886" s="319"/>
      <c r="AO886" s="319"/>
      <c r="AP886" s="319"/>
      <c r="AQ886" s="319"/>
      <c r="AR886" s="319"/>
      <c r="AS886" s="319"/>
      <c r="AT886" s="319"/>
      <c r="AU886" s="319"/>
      <c r="AV886" s="319"/>
      <c r="AW886" s="319"/>
      <c r="AX886" s="319"/>
      <c r="AY886" s="319"/>
      <c r="AZ886" s="319"/>
      <c r="BA886" s="319"/>
      <c r="BB886" s="319"/>
      <c r="BC886" s="319"/>
      <c r="BD886" s="319"/>
      <c r="BE886" s="319"/>
      <c r="BF886" s="319"/>
      <c r="BG886" s="319"/>
      <c r="BH886" s="319"/>
      <c r="BI886" s="319"/>
      <c r="BJ886" s="319"/>
      <c r="BK886" s="319"/>
      <c r="BL886" s="319"/>
      <c r="BM886" s="319"/>
      <c r="BN886" s="319"/>
      <c r="BO886" s="319"/>
      <c r="BP886" s="319"/>
      <c r="BQ886" s="319"/>
      <c r="BR886" s="319"/>
      <c r="BS886" s="319"/>
      <c r="BT886" s="319"/>
      <c r="BU886" s="319"/>
      <c r="BV886" s="319"/>
      <c r="BW886" s="319"/>
      <c r="BX886" s="319"/>
      <c r="BY886" s="319"/>
      <c r="BZ886" s="319"/>
      <c r="CA886" s="319"/>
      <c r="CB886" s="319"/>
      <c r="CC886" s="319"/>
      <c r="CD886" s="319"/>
      <c r="CE886" s="319"/>
      <c r="CF886" s="319"/>
      <c r="CG886" s="319"/>
      <c r="CH886" s="319"/>
      <c r="CI886" s="319"/>
      <c r="CJ886" s="319"/>
      <c r="CK886" s="319"/>
    </row>
    <row r="887" spans="1:89" ht="13.5" hidden="1" customHeight="1">
      <c r="A887" s="12"/>
      <c r="B887" s="1" t="str">
        <f>Language!C204</f>
        <v>Frio fornecido</v>
      </c>
      <c r="C887" s="29" t="str">
        <f>C882</f>
        <v>MWh</v>
      </c>
      <c r="D887" s="140">
        <f>D882</f>
        <v>0</v>
      </c>
      <c r="E887" s="140">
        <f>IF(Unit=TRUE,1,$K$1186)*P887</f>
        <v>0</v>
      </c>
      <c r="F887" s="80" t="e">
        <f>P887/Q882</f>
        <v>#DIV/0!</v>
      </c>
      <c r="G887" s="1"/>
      <c r="H887" s="1"/>
      <c r="I887" s="1"/>
      <c r="J887" s="1"/>
      <c r="K887" s="9"/>
      <c r="L887" s="1"/>
      <c r="M887" s="319"/>
      <c r="N887" s="319">
        <v>2010118</v>
      </c>
      <c r="O887" s="319"/>
      <c r="P887" s="494">
        <f>N1205</f>
        <v>0</v>
      </c>
      <c r="Q887" s="319"/>
      <c r="R887" s="319"/>
      <c r="S887" s="319"/>
      <c r="T887" s="319"/>
      <c r="U887" s="319"/>
      <c r="V887" s="319"/>
      <c r="W887" s="319"/>
      <c r="X887" s="319"/>
      <c r="Y887" s="319"/>
      <c r="Z887" s="319"/>
      <c r="AA887" s="319"/>
      <c r="AB887" s="319"/>
      <c r="AC887" s="319"/>
      <c r="AD887" s="319"/>
      <c r="AE887" s="319"/>
      <c r="AF887" s="319"/>
      <c r="AG887" s="319"/>
      <c r="AH887" s="319"/>
      <c r="AI887" s="319"/>
      <c r="AJ887" s="319"/>
      <c r="AK887" s="319"/>
      <c r="AL887" s="319"/>
      <c r="AM887" s="319"/>
      <c r="AN887" s="319"/>
      <c r="AO887" s="319"/>
      <c r="AP887" s="319"/>
      <c r="AQ887" s="319"/>
      <c r="AR887" s="319"/>
      <c r="AS887" s="319"/>
      <c r="AT887" s="319"/>
      <c r="AU887" s="319"/>
      <c r="AV887" s="319"/>
      <c r="AW887" s="319"/>
      <c r="AX887" s="319"/>
      <c r="AY887" s="319"/>
      <c r="AZ887" s="319"/>
      <c r="BA887" s="319"/>
      <c r="BB887" s="319"/>
      <c r="BC887" s="319"/>
      <c r="BD887" s="319"/>
      <c r="BE887" s="319"/>
      <c r="BF887" s="319"/>
      <c r="BG887" s="319"/>
      <c r="BH887" s="319"/>
      <c r="BI887" s="319"/>
      <c r="BJ887" s="319"/>
      <c r="BK887" s="319"/>
      <c r="BL887" s="319"/>
      <c r="BM887" s="319"/>
      <c r="BN887" s="319"/>
      <c r="BO887" s="319"/>
      <c r="BP887" s="319"/>
      <c r="BQ887" s="319"/>
      <c r="BR887" s="319"/>
      <c r="BS887" s="319"/>
      <c r="BT887" s="319"/>
      <c r="BU887" s="319"/>
      <c r="BV887" s="319"/>
      <c r="BW887" s="319"/>
      <c r="BX887" s="319"/>
      <c r="BY887" s="319"/>
      <c r="BZ887" s="319"/>
      <c r="CA887" s="319"/>
      <c r="CB887" s="319"/>
      <c r="CC887" s="319"/>
      <c r="CD887" s="319"/>
      <c r="CE887" s="319"/>
      <c r="CF887" s="319"/>
      <c r="CG887" s="319"/>
      <c r="CH887" s="319"/>
      <c r="CI887" s="319"/>
      <c r="CJ887" s="319"/>
      <c r="CK887" s="319"/>
    </row>
    <row r="888" spans="1:89" ht="13.2" hidden="1">
      <c r="A888" s="12"/>
      <c r="B888" s="1" t="str">
        <f>B801</f>
        <v>Tipo de Combustível</v>
      </c>
      <c r="C888" s="1"/>
      <c r="D888" s="419" t="s">
        <v>7151</v>
      </c>
      <c r="E888" s="419" t="s">
        <v>7151</v>
      </c>
      <c r="F888" s="1"/>
      <c r="G888" s="1"/>
      <c r="H888" s="1"/>
      <c r="I888" s="1"/>
      <c r="J888" s="1"/>
      <c r="K888" s="9"/>
      <c r="L888" s="1"/>
      <c r="M888" s="319"/>
      <c r="N888" s="319">
        <v>2010106</v>
      </c>
      <c r="O888" s="319"/>
      <c r="P888" s="319"/>
      <c r="Q888" s="319"/>
      <c r="R888" s="319"/>
      <c r="S888" s="319"/>
      <c r="T888" s="319"/>
      <c r="U888" s="319"/>
      <c r="V888" s="319"/>
      <c r="W888" s="319"/>
      <c r="X888" s="319"/>
      <c r="Y888" s="319"/>
      <c r="Z888" s="319"/>
      <c r="AA888" s="319"/>
      <c r="AB888" s="319"/>
      <c r="AC888" s="319"/>
      <c r="AD888" s="319"/>
      <c r="AE888" s="319"/>
      <c r="AF888" s="319"/>
      <c r="AG888" s="319"/>
      <c r="AH888" s="319"/>
      <c r="AI888" s="319"/>
      <c r="AJ888" s="319"/>
      <c r="AK888" s="319"/>
      <c r="AL888" s="319"/>
      <c r="AM888" s="319"/>
      <c r="AN888" s="319"/>
      <c r="AO888" s="319"/>
      <c r="AP888" s="319"/>
      <c r="AQ888" s="319"/>
      <c r="AR888" s="319"/>
      <c r="AS888" s="319"/>
      <c r="AT888" s="319"/>
      <c r="AU888" s="319"/>
      <c r="AV888" s="319"/>
      <c r="AW888" s="319"/>
      <c r="AX888" s="319"/>
      <c r="AY888" s="319"/>
      <c r="AZ888" s="319"/>
      <c r="BA888" s="319"/>
      <c r="BB888" s="319"/>
      <c r="BC888" s="319"/>
      <c r="BD888" s="319"/>
      <c r="BE888" s="319"/>
      <c r="BF888" s="319"/>
      <c r="BG888" s="319"/>
      <c r="BH888" s="319"/>
      <c r="BI888" s="319"/>
      <c r="BJ888" s="319"/>
      <c r="BK888" s="319"/>
      <c r="BL888" s="319"/>
      <c r="BM888" s="319"/>
      <c r="BN888" s="319"/>
      <c r="BO888" s="319"/>
      <c r="BP888" s="319"/>
      <c r="BQ888" s="319"/>
      <c r="BR888" s="319"/>
      <c r="BS888" s="319"/>
      <c r="BT888" s="319"/>
      <c r="BU888" s="319"/>
      <c r="BV888" s="319"/>
      <c r="BW888" s="319"/>
      <c r="BX888" s="319"/>
      <c r="BY888" s="319"/>
      <c r="BZ888" s="319"/>
      <c r="CA888" s="319"/>
      <c r="CB888" s="319"/>
      <c r="CC888" s="319"/>
      <c r="CD888" s="319"/>
      <c r="CE888" s="319"/>
      <c r="CF888" s="319"/>
      <c r="CG888" s="319"/>
      <c r="CH888" s="319"/>
      <c r="CI888" s="319"/>
      <c r="CJ888" s="319"/>
      <c r="CK888" s="319"/>
    </row>
    <row r="889" spans="1:89" ht="13.5" hidden="1" customHeight="1">
      <c r="A889" s="12"/>
      <c r="B889" s="1" t="str">
        <f>B899</f>
        <v>Coeficiente de desempenho - sazonal</v>
      </c>
      <c r="C889" s="29"/>
      <c r="D889" s="367"/>
      <c r="E889" s="367"/>
      <c r="F889" s="1"/>
      <c r="G889" s="1"/>
      <c r="H889" s="1"/>
      <c r="I889" s="1"/>
      <c r="J889" s="1"/>
      <c r="K889" s="9"/>
      <c r="L889" s="1"/>
      <c r="M889" s="319"/>
      <c r="N889" s="319">
        <v>2010112</v>
      </c>
      <c r="O889" s="319"/>
      <c r="P889" s="319"/>
      <c r="Q889" s="319"/>
      <c r="R889" s="319"/>
      <c r="S889" s="319"/>
      <c r="T889" s="319"/>
      <c r="U889" s="319"/>
      <c r="V889" s="319"/>
      <c r="W889" s="319"/>
      <c r="X889" s="319"/>
      <c r="Y889" s="319"/>
      <c r="Z889" s="319"/>
      <c r="AA889" s="319"/>
      <c r="AB889" s="319"/>
      <c r="AC889" s="319"/>
      <c r="AD889" s="319"/>
      <c r="AE889" s="319"/>
      <c r="AF889" s="319"/>
      <c r="AG889" s="319"/>
      <c r="AH889" s="319"/>
      <c r="AI889" s="319"/>
      <c r="AJ889" s="319"/>
      <c r="AK889" s="319"/>
      <c r="AL889" s="319"/>
      <c r="AM889" s="319"/>
      <c r="AN889" s="319"/>
      <c r="AO889" s="319"/>
      <c r="AP889" s="319"/>
      <c r="AQ889" s="319"/>
      <c r="AR889" s="319"/>
      <c r="AS889" s="319"/>
      <c r="AT889" s="319"/>
      <c r="AU889" s="319"/>
      <c r="AV889" s="319"/>
      <c r="AW889" s="319"/>
      <c r="AX889" s="319"/>
      <c r="AY889" s="319"/>
      <c r="AZ889" s="319"/>
      <c r="BA889" s="319"/>
      <c r="BB889" s="319"/>
      <c r="BC889" s="319"/>
      <c r="BD889" s="319"/>
      <c r="BE889" s="319"/>
      <c r="BF889" s="319"/>
      <c r="BG889" s="319"/>
      <c r="BH889" s="319"/>
      <c r="BI889" s="319"/>
      <c r="BJ889" s="319"/>
      <c r="BK889" s="319"/>
      <c r="BL889" s="319"/>
      <c r="BM889" s="319"/>
      <c r="BN889" s="319"/>
      <c r="BO889" s="319"/>
      <c r="BP889" s="319"/>
      <c r="BQ889" s="319"/>
      <c r="BR889" s="319"/>
      <c r="BS889" s="319"/>
      <c r="BT889" s="319"/>
      <c r="BU889" s="319"/>
      <c r="BV889" s="319"/>
      <c r="BW889" s="319"/>
      <c r="BX889" s="319"/>
      <c r="BY889" s="319"/>
      <c r="BZ889" s="319"/>
      <c r="CA889" s="319"/>
      <c r="CB889" s="319"/>
      <c r="CC889" s="319"/>
      <c r="CD889" s="319"/>
      <c r="CE889" s="319"/>
      <c r="CF889" s="319"/>
      <c r="CG889" s="319"/>
      <c r="CH889" s="319"/>
      <c r="CI889" s="319"/>
      <c r="CJ889" s="319"/>
      <c r="CK889" s="319"/>
    </row>
    <row r="890" spans="1:89" ht="12.75" hidden="1" customHeight="1">
      <c r="A890" s="12"/>
      <c r="B890" s="1" t="str">
        <f>B918</f>
        <v>Consumo de combustível - anual</v>
      </c>
      <c r="C890" s="29" t="str">
        <f>VLOOKUP(D888,LN_FuelList,3,FALSE)</f>
        <v>MWh</v>
      </c>
      <c r="D890" s="30">
        <f>IF(ISERROR(P882/VLOOKUP(D888,LN_FuelList,4,FALSE)*1000/D889),0,P882/VLOOKUP(D888,LN_FuelList,4,FALSE)*1000/D889)</f>
        <v>0</v>
      </c>
      <c r="E890" s="30">
        <f>IF(ISERROR(P887/VLOOKUP(E888,LN_FuelList,4,FALSE)*1000/E889),0,P887/VLOOKUP(E888,LN_FuelList,4,FALSE)*1000/E889)</f>
        <v>0</v>
      </c>
      <c r="F890" s="29" t="str">
        <f>VLOOKUP(E888,LN_FuelList,3,FALSE)</f>
        <v>MWh</v>
      </c>
      <c r="G890" s="1"/>
      <c r="H890" s="1"/>
      <c r="I890" s="1"/>
      <c r="J890" s="1"/>
      <c r="K890" s="9"/>
      <c r="L890" s="1"/>
      <c r="M890" s="319"/>
      <c r="N890" s="319">
        <v>5097208</v>
      </c>
      <c r="O890" s="319"/>
      <c r="P890" s="319"/>
      <c r="Q890" s="319"/>
      <c r="R890" s="319"/>
      <c r="S890" s="319"/>
      <c r="T890" s="319"/>
      <c r="U890" s="319"/>
      <c r="V890" s="319"/>
      <c r="W890" s="319"/>
      <c r="X890" s="319"/>
      <c r="Y890" s="319"/>
      <c r="Z890" s="319"/>
      <c r="AA890" s="319"/>
      <c r="AB890" s="319"/>
      <c r="AC890" s="319"/>
      <c r="AD890" s="319"/>
      <c r="AE890" s="319"/>
      <c r="AF890" s="319"/>
      <c r="AG890" s="319"/>
      <c r="AH890" s="319"/>
      <c r="AI890" s="319"/>
      <c r="AJ890" s="319"/>
      <c r="AK890" s="319"/>
      <c r="AL890" s="319"/>
      <c r="AM890" s="319"/>
      <c r="AN890" s="319"/>
      <c r="AO890" s="319"/>
      <c r="AP890" s="319"/>
      <c r="AQ890" s="319"/>
      <c r="AR890" s="319"/>
      <c r="AS890" s="319"/>
      <c r="AT890" s="319"/>
      <c r="AU890" s="319"/>
      <c r="AV890" s="319"/>
      <c r="AW890" s="319"/>
      <c r="AX890" s="319"/>
      <c r="AY890" s="319"/>
      <c r="AZ890" s="319"/>
      <c r="BA890" s="319"/>
      <c r="BB890" s="319"/>
      <c r="BC890" s="319"/>
      <c r="BD890" s="319"/>
      <c r="BE890" s="319"/>
      <c r="BF890" s="319"/>
      <c r="BG890" s="319"/>
      <c r="BH890" s="319"/>
      <c r="BI890" s="319"/>
      <c r="BJ890" s="319"/>
      <c r="BK890" s="319"/>
      <c r="BL890" s="319"/>
      <c r="BM890" s="319"/>
      <c r="BN890" s="319"/>
      <c r="BO890" s="319"/>
      <c r="BP890" s="319"/>
      <c r="BQ890" s="319"/>
      <c r="BR890" s="319"/>
      <c r="BS890" s="319"/>
      <c r="BT890" s="319"/>
      <c r="BU890" s="319"/>
      <c r="BV890" s="319"/>
      <c r="BW890" s="319"/>
      <c r="BX890" s="319"/>
      <c r="BY890" s="319"/>
      <c r="BZ890" s="319"/>
      <c r="CA890" s="319"/>
      <c r="CB890" s="319"/>
      <c r="CC890" s="319"/>
      <c r="CD890" s="319"/>
      <c r="CE890" s="319"/>
      <c r="CF890" s="319"/>
      <c r="CG890" s="319"/>
      <c r="CH890" s="319"/>
      <c r="CI890" s="319"/>
      <c r="CJ890" s="319"/>
      <c r="CK890" s="319"/>
    </row>
    <row r="891" spans="1:89" ht="13.5" hidden="1" customHeight="1">
      <c r="A891" s="12"/>
      <c r="B891" s="1" t="str">
        <f>B804</f>
        <v>Preço do combustível</v>
      </c>
      <c r="C891" s="29" t="str">
        <f>VLOOKUP(D888,LN_FuelList,5,FALSE)</f>
        <v>€/kWh</v>
      </c>
      <c r="D891" s="399"/>
      <c r="E891" s="399"/>
      <c r="F891" s="29" t="str">
        <f>VLOOKUP(E888,LN_FuelList,5,FALSE)</f>
        <v>€/kWh</v>
      </c>
      <c r="G891" s="1"/>
      <c r="H891" s="1"/>
      <c r="I891" s="1"/>
      <c r="J891" s="1"/>
      <c r="K891" s="9"/>
      <c r="L891" s="1"/>
      <c r="M891" s="319"/>
      <c r="N891" s="319">
        <v>2010108</v>
      </c>
      <c r="O891" s="319"/>
      <c r="P891" s="319"/>
      <c r="Q891" s="319"/>
      <c r="R891" s="319"/>
      <c r="S891" s="319"/>
      <c r="T891" s="319"/>
      <c r="U891" s="319"/>
      <c r="V891" s="319"/>
      <c r="W891" s="319"/>
      <c r="X891" s="319"/>
      <c r="Y891" s="319"/>
      <c r="Z891" s="319"/>
      <c r="AA891" s="319"/>
      <c r="AB891" s="319"/>
      <c r="AC891" s="319"/>
      <c r="AD891" s="319"/>
      <c r="AE891" s="319"/>
      <c r="AF891" s="319"/>
      <c r="AG891" s="319"/>
      <c r="AH891" s="319"/>
      <c r="AI891" s="319"/>
      <c r="AJ891" s="319"/>
      <c r="AK891" s="319"/>
      <c r="AL891" s="319"/>
      <c r="AM891" s="319"/>
      <c r="AN891" s="319"/>
      <c r="AO891" s="319"/>
      <c r="AP891" s="319"/>
      <c r="AQ891" s="319"/>
      <c r="AR891" s="319"/>
      <c r="AS891" s="319"/>
      <c r="AT891" s="319"/>
      <c r="AU891" s="319"/>
      <c r="AV891" s="319"/>
      <c r="AW891" s="319"/>
      <c r="AX891" s="319"/>
      <c r="AY891" s="319"/>
      <c r="AZ891" s="319"/>
      <c r="BA891" s="319"/>
      <c r="BB891" s="319"/>
      <c r="BC891" s="319"/>
      <c r="BD891" s="319"/>
      <c r="BE891" s="319"/>
      <c r="BF891" s="319"/>
      <c r="BG891" s="319"/>
      <c r="BH891" s="319"/>
      <c r="BI891" s="319"/>
      <c r="BJ891" s="319"/>
      <c r="BK891" s="319"/>
      <c r="BL891" s="319"/>
      <c r="BM891" s="319"/>
      <c r="BN891" s="319"/>
      <c r="BO891" s="319"/>
      <c r="BP891" s="319"/>
      <c r="BQ891" s="319"/>
      <c r="BR891" s="319"/>
      <c r="BS891" s="319"/>
      <c r="BT891" s="319"/>
      <c r="BU891" s="319"/>
      <c r="BV891" s="319"/>
      <c r="BW891" s="319"/>
      <c r="BX891" s="319"/>
      <c r="BY891" s="319"/>
      <c r="BZ891" s="319"/>
      <c r="CA891" s="319"/>
      <c r="CB891" s="319"/>
      <c r="CC891" s="319"/>
      <c r="CD891" s="319"/>
      <c r="CE891" s="319"/>
      <c r="CF891" s="319"/>
      <c r="CG891" s="319"/>
      <c r="CH891" s="319"/>
      <c r="CI891" s="319"/>
      <c r="CJ891" s="319"/>
      <c r="CK891" s="319"/>
    </row>
    <row r="892" spans="1:89" ht="13.5" hidden="1" customHeight="1">
      <c r="A892" s="12"/>
      <c r="B892" s="1" t="str">
        <f>B805</f>
        <v>Custo do combustível</v>
      </c>
      <c r="C892" s="29" t="str">
        <f>$C$805</f>
        <v>€</v>
      </c>
      <c r="D892" s="30">
        <f>IF(D888=F1098,1000,1)*D890*D891</f>
        <v>0</v>
      </c>
      <c r="E892" s="30">
        <f>IF(E888=F1098,1000,1)*E890*E891</f>
        <v>0</v>
      </c>
      <c r="F892" s="1"/>
      <c r="G892" s="1"/>
      <c r="H892" s="1"/>
      <c r="I892" s="1"/>
      <c r="J892" s="1"/>
      <c r="K892" s="9"/>
      <c r="L892" s="1"/>
      <c r="M892" s="319"/>
      <c r="N892" s="319">
        <v>5097210</v>
      </c>
      <c r="O892" s="319"/>
      <c r="P892" s="319"/>
      <c r="Q892" s="319"/>
      <c r="R892" s="319"/>
      <c r="S892" s="319"/>
      <c r="T892" s="319"/>
      <c r="U892" s="319"/>
      <c r="V892" s="319"/>
      <c r="W892" s="319"/>
      <c r="X892" s="319"/>
      <c r="Y892" s="319"/>
      <c r="Z892" s="319"/>
      <c r="AA892" s="319"/>
      <c r="AB892" s="319"/>
      <c r="AC892" s="319"/>
      <c r="AD892" s="319"/>
      <c r="AE892" s="319"/>
      <c r="AF892" s="319"/>
      <c r="AG892" s="319"/>
      <c r="AH892" s="319"/>
      <c r="AI892" s="319"/>
      <c r="AJ892" s="319"/>
      <c r="AK892" s="319"/>
      <c r="AL892" s="319"/>
      <c r="AM892" s="319"/>
      <c r="AN892" s="319"/>
      <c r="AO892" s="319"/>
      <c r="AP892" s="319"/>
      <c r="AQ892" s="319"/>
      <c r="AR892" s="319"/>
      <c r="AS892" s="319"/>
      <c r="AT892" s="319"/>
      <c r="AU892" s="319"/>
      <c r="AV892" s="319"/>
      <c r="AW892" s="319"/>
      <c r="AX892" s="319"/>
      <c r="AY892" s="319"/>
      <c r="AZ892" s="319"/>
      <c r="BA892" s="319"/>
      <c r="BB892" s="319"/>
      <c r="BC892" s="319"/>
      <c r="BD892" s="319"/>
      <c r="BE892" s="319"/>
      <c r="BF892" s="319"/>
      <c r="BG892" s="319"/>
      <c r="BH892" s="319"/>
      <c r="BI892" s="319"/>
      <c r="BJ892" s="319"/>
      <c r="BK892" s="319"/>
      <c r="BL892" s="319"/>
      <c r="BM892" s="319"/>
      <c r="BN892" s="319"/>
      <c r="BO892" s="319"/>
      <c r="BP892" s="319"/>
      <c r="BQ892" s="319"/>
      <c r="BR892" s="319"/>
      <c r="BS892" s="319"/>
      <c r="BT892" s="319"/>
      <c r="BU892" s="319"/>
      <c r="BV892" s="319"/>
      <c r="BW892" s="319"/>
      <c r="BX892" s="319"/>
      <c r="BY892" s="319"/>
      <c r="BZ892" s="319"/>
      <c r="CA892" s="319"/>
      <c r="CB892" s="319"/>
      <c r="CC892" s="319"/>
      <c r="CD892" s="319"/>
      <c r="CE892" s="319"/>
      <c r="CF892" s="319"/>
      <c r="CG892" s="319"/>
      <c r="CH892" s="319"/>
      <c r="CI892" s="319"/>
      <c r="CJ892" s="319"/>
      <c r="CK892" s="319"/>
    </row>
    <row r="893" spans="1:89" ht="13.5" hidden="1" customHeight="1">
      <c r="A893" s="12"/>
      <c r="B893" s="1"/>
      <c r="C893" s="1"/>
      <c r="D893" s="1"/>
      <c r="E893" s="1"/>
      <c r="F893" s="1"/>
      <c r="G893" s="1"/>
      <c r="H893" s="1"/>
      <c r="I893" s="1"/>
      <c r="J893" s="1"/>
      <c r="K893" s="9"/>
      <c r="L893" s="1"/>
      <c r="M893" s="319"/>
      <c r="N893" s="319">
        <v>5098200</v>
      </c>
      <c r="O893" s="319"/>
      <c r="P893" s="319"/>
      <c r="Q893" s="319"/>
      <c r="R893" s="319"/>
      <c r="S893" s="319"/>
      <c r="T893" s="319"/>
      <c r="U893" s="319"/>
      <c r="V893" s="319"/>
      <c r="W893" s="319"/>
      <c r="X893" s="319"/>
      <c r="Y893" s="319"/>
      <c r="Z893" s="319"/>
      <c r="AA893" s="319"/>
      <c r="AB893" s="319"/>
      <c r="AC893" s="319"/>
      <c r="AD893" s="319"/>
      <c r="AE893" s="319"/>
      <c r="AF893" s="319"/>
      <c r="AG893" s="319"/>
      <c r="AH893" s="319"/>
      <c r="AI893" s="319"/>
      <c r="AJ893" s="319"/>
      <c r="AK893" s="319"/>
      <c r="AL893" s="319"/>
      <c r="AM893" s="319"/>
      <c r="AN893" s="319"/>
      <c r="AO893" s="319"/>
      <c r="AP893" s="319"/>
      <c r="AQ893" s="319"/>
      <c r="AR893" s="319"/>
      <c r="AS893" s="319"/>
      <c r="AT893" s="319"/>
      <c r="AU893" s="319"/>
      <c r="AV893" s="319"/>
      <c r="AW893" s="319"/>
      <c r="AX893" s="319"/>
      <c r="AY893" s="319"/>
      <c r="AZ893" s="319"/>
      <c r="BA893" s="319"/>
      <c r="BB893" s="319"/>
      <c r="BC893" s="319"/>
      <c r="BD893" s="319"/>
      <c r="BE893" s="319"/>
      <c r="BF893" s="319"/>
      <c r="BG893" s="319"/>
      <c r="BH893" s="319"/>
      <c r="BI893" s="319"/>
      <c r="BJ893" s="319"/>
      <c r="BK893" s="319"/>
      <c r="BL893" s="319"/>
      <c r="BM893" s="319"/>
      <c r="BN893" s="319"/>
      <c r="BO893" s="319"/>
      <c r="BP893" s="319"/>
      <c r="BQ893" s="319"/>
      <c r="BR893" s="319"/>
      <c r="BS893" s="319"/>
      <c r="BT893" s="319"/>
      <c r="BU893" s="319"/>
      <c r="BV893" s="319"/>
      <c r="BW893" s="319"/>
      <c r="BX893" s="319"/>
      <c r="BY893" s="319"/>
      <c r="BZ893" s="319"/>
      <c r="CA893" s="319"/>
      <c r="CB893" s="319"/>
      <c r="CC893" s="319"/>
      <c r="CD893" s="319"/>
      <c r="CE893" s="319"/>
      <c r="CF893" s="319"/>
      <c r="CG893" s="319"/>
      <c r="CH893" s="319"/>
      <c r="CI893" s="319"/>
      <c r="CJ893" s="319"/>
      <c r="CK893" s="319"/>
    </row>
    <row r="894" spans="1:89" ht="12.75" hidden="1" customHeight="1">
      <c r="A894" s="12"/>
      <c r="B894" s="905" t="str">
        <f>Language!C223</f>
        <v>Carga de ponta do sistema de refrigeração</v>
      </c>
      <c r="C894" s="1"/>
      <c r="D894" s="1"/>
      <c r="E894" s="1"/>
      <c r="F894" s="1"/>
      <c r="G894" s="1"/>
      <c r="H894" s="1"/>
      <c r="I894" s="1"/>
      <c r="J894" s="1"/>
      <c r="K894" s="9"/>
      <c r="L894" s="1"/>
      <c r="M894" s="319"/>
      <c r="N894" s="319">
        <v>5098300</v>
      </c>
      <c r="O894" s="319"/>
      <c r="P894" s="319"/>
      <c r="Q894" s="319"/>
      <c r="R894" s="319"/>
      <c r="S894" s="319"/>
      <c r="T894" s="319"/>
      <c r="U894" s="319"/>
      <c r="V894" s="319"/>
      <c r="W894" s="319"/>
      <c r="X894" s="319"/>
      <c r="Y894" s="319"/>
      <c r="Z894" s="319"/>
      <c r="AA894" s="319"/>
      <c r="AB894" s="319"/>
      <c r="AC894" s="319"/>
      <c r="AD894" s="319"/>
      <c r="AE894" s="319"/>
      <c r="AF894" s="319"/>
      <c r="AG894" s="319"/>
      <c r="AH894" s="319"/>
      <c r="AI894" s="319"/>
      <c r="AJ894" s="319"/>
      <c r="AK894" s="319"/>
      <c r="AL894" s="319"/>
      <c r="AM894" s="319"/>
      <c r="AN894" s="319"/>
      <c r="AO894" s="319"/>
      <c r="AP894" s="319"/>
      <c r="AQ894" s="319"/>
      <c r="AR894" s="319"/>
      <c r="AS894" s="319"/>
      <c r="AT894" s="319"/>
      <c r="AU894" s="319"/>
      <c r="AV894" s="319"/>
      <c r="AW894" s="319"/>
      <c r="AX894" s="319"/>
      <c r="AY894" s="319"/>
      <c r="AZ894" s="319"/>
      <c r="BA894" s="319"/>
      <c r="BB894" s="319"/>
      <c r="BC894" s="319"/>
      <c r="BD894" s="319"/>
      <c r="BE894" s="319"/>
      <c r="BF894" s="319"/>
      <c r="BG894" s="319"/>
      <c r="BH894" s="319"/>
      <c r="BI894" s="319"/>
      <c r="BJ894" s="319"/>
      <c r="BK894" s="319"/>
      <c r="BL894" s="319"/>
      <c r="BM894" s="319"/>
      <c r="BN894" s="319"/>
      <c r="BO894" s="319"/>
      <c r="BP894" s="319"/>
      <c r="BQ894" s="319"/>
      <c r="BR894" s="319"/>
      <c r="BS894" s="319"/>
      <c r="BT894" s="319"/>
      <c r="BU894" s="319"/>
      <c r="BV894" s="319"/>
      <c r="BW894" s="319"/>
      <c r="BX894" s="319"/>
      <c r="BY894" s="319"/>
      <c r="BZ894" s="319"/>
      <c r="CA894" s="319"/>
      <c r="CB894" s="319"/>
      <c r="CC894" s="319"/>
      <c r="CD894" s="319"/>
      <c r="CE894" s="319"/>
      <c r="CF894" s="319"/>
      <c r="CG894" s="319"/>
      <c r="CH894" s="319"/>
      <c r="CI894" s="319"/>
      <c r="CJ894" s="319"/>
      <c r="CK894" s="319"/>
    </row>
    <row r="895" spans="1:89" ht="13.5" hidden="1" customHeight="1">
      <c r="A895" s="12"/>
      <c r="B895" s="1" t="str">
        <f>B194</f>
        <v>Tecnologia</v>
      </c>
      <c r="C895" s="1"/>
      <c r="D895" s="1"/>
      <c r="E895" s="901"/>
      <c r="F895" s="1"/>
      <c r="G895" s="1"/>
      <c r="H895" s="1"/>
      <c r="I895" s="1"/>
      <c r="J895" s="1"/>
      <c r="K895" s="9"/>
      <c r="L895" s="1"/>
      <c r="M895" s="319"/>
      <c r="N895" s="319">
        <v>5097302</v>
      </c>
      <c r="O895" s="319"/>
      <c r="P895" s="319"/>
      <c r="Q895" s="319"/>
      <c r="R895" s="319"/>
      <c r="S895" s="319"/>
      <c r="T895" s="319"/>
      <c r="U895" s="319"/>
      <c r="V895" s="319"/>
      <c r="W895" s="319"/>
      <c r="X895" s="319"/>
      <c r="Y895" s="319"/>
      <c r="Z895" s="319"/>
      <c r="AA895" s="319"/>
      <c r="AB895" s="319"/>
      <c r="AC895" s="319"/>
      <c r="AD895" s="319"/>
      <c r="AE895" s="319"/>
      <c r="AF895" s="319"/>
      <c r="AG895" s="319"/>
      <c r="AH895" s="319"/>
      <c r="AI895" s="319"/>
      <c r="AJ895" s="319"/>
      <c r="AK895" s="319"/>
      <c r="AL895" s="319"/>
      <c r="AM895" s="319"/>
      <c r="AN895" s="319"/>
      <c r="AO895" s="319"/>
      <c r="AP895" s="319"/>
      <c r="AQ895" s="319"/>
      <c r="AR895" s="319"/>
      <c r="AS895" s="319"/>
      <c r="AT895" s="319"/>
      <c r="AU895" s="319"/>
      <c r="AV895" s="319"/>
      <c r="AW895" s="319"/>
      <c r="AX895" s="319"/>
      <c r="AY895" s="319"/>
      <c r="AZ895" s="319"/>
      <c r="BA895" s="319"/>
      <c r="BB895" s="319"/>
      <c r="BC895" s="319"/>
      <c r="BD895" s="319"/>
      <c r="BE895" s="319"/>
      <c r="BF895" s="319"/>
      <c r="BG895" s="319"/>
      <c r="BH895" s="319"/>
      <c r="BI895" s="319"/>
      <c r="BJ895" s="319"/>
      <c r="BK895" s="319"/>
      <c r="BL895" s="319"/>
      <c r="BM895" s="319"/>
      <c r="BN895" s="319"/>
      <c r="BO895" s="319"/>
      <c r="BP895" s="319"/>
      <c r="BQ895" s="319"/>
      <c r="BR895" s="319"/>
      <c r="BS895" s="319"/>
      <c r="BT895" s="319"/>
      <c r="BU895" s="319"/>
      <c r="BV895" s="319"/>
      <c r="BW895" s="319"/>
      <c r="BX895" s="319"/>
      <c r="BY895" s="319"/>
      <c r="BZ895" s="319"/>
      <c r="CA895" s="319"/>
      <c r="CB895" s="319"/>
      <c r="CC895" s="319"/>
      <c r="CD895" s="319"/>
      <c r="CE895" s="319"/>
      <c r="CF895" s="319"/>
      <c r="CG895" s="319"/>
      <c r="CH895" s="319"/>
      <c r="CI895" s="319"/>
      <c r="CJ895" s="319"/>
      <c r="CK895" s="319"/>
    </row>
    <row r="896" spans="1:89" ht="13.5" hidden="1" customHeight="1">
      <c r="A896" s="12"/>
      <c r="B896" s="1" t="str">
        <f>B534</f>
        <v>Capacidade sugerida</v>
      </c>
      <c r="C896" s="29" t="str">
        <f>C886</f>
        <v>kW</v>
      </c>
      <c r="D896" s="1"/>
      <c r="E896" s="140">
        <f>IF(D886*(1-E879)-E886&lt;0,0,D886*(1-E879)-E886)</f>
        <v>0</v>
      </c>
      <c r="F896" s="1"/>
      <c r="G896" s="1"/>
      <c r="H896" s="1"/>
      <c r="I896" s="1"/>
      <c r="J896" s="1"/>
      <c r="K896" s="9"/>
      <c r="L896" s="1"/>
      <c r="M896" s="319"/>
      <c r="N896" s="319">
        <v>5097304</v>
      </c>
      <c r="O896" s="319"/>
      <c r="P896" s="319"/>
      <c r="Q896" s="319"/>
      <c r="R896" s="319"/>
      <c r="S896" s="319"/>
      <c r="T896" s="319"/>
      <c r="U896" s="319"/>
      <c r="V896" s="319"/>
      <c r="W896" s="319"/>
      <c r="X896" s="319"/>
      <c r="Y896" s="319"/>
      <c r="Z896" s="319"/>
      <c r="AA896" s="319"/>
      <c r="AB896" s="319"/>
      <c r="AC896" s="319"/>
      <c r="AD896" s="319"/>
      <c r="AE896" s="319"/>
      <c r="AF896" s="319"/>
      <c r="AG896" s="319"/>
      <c r="AH896" s="319"/>
      <c r="AI896" s="319"/>
      <c r="AJ896" s="319"/>
      <c r="AK896" s="319"/>
      <c r="AL896" s="319"/>
      <c r="AM896" s="319"/>
      <c r="AN896" s="319"/>
      <c r="AO896" s="319"/>
      <c r="AP896" s="319"/>
      <c r="AQ896" s="319"/>
      <c r="AR896" s="319"/>
      <c r="AS896" s="319"/>
      <c r="AT896" s="319"/>
      <c r="AU896" s="319"/>
      <c r="AV896" s="319"/>
      <c r="AW896" s="319"/>
      <c r="AX896" s="319"/>
      <c r="AY896" s="319"/>
      <c r="AZ896" s="319"/>
      <c r="BA896" s="319"/>
      <c r="BB896" s="319"/>
      <c r="BC896" s="319"/>
      <c r="BD896" s="319"/>
      <c r="BE896" s="319"/>
      <c r="BF896" s="319"/>
      <c r="BG896" s="319"/>
      <c r="BH896" s="319"/>
      <c r="BI896" s="319"/>
      <c r="BJ896" s="319"/>
      <c r="BK896" s="319"/>
      <c r="BL896" s="319"/>
      <c r="BM896" s="319"/>
      <c r="BN896" s="319"/>
      <c r="BO896" s="319"/>
      <c r="BP896" s="319"/>
      <c r="BQ896" s="319"/>
      <c r="BR896" s="319"/>
      <c r="BS896" s="319"/>
      <c r="BT896" s="319"/>
      <c r="BU896" s="319"/>
      <c r="BV896" s="319"/>
      <c r="BW896" s="319"/>
      <c r="BX896" s="319"/>
      <c r="BY896" s="319"/>
      <c r="BZ896" s="319"/>
      <c r="CA896" s="319"/>
      <c r="CB896" s="319"/>
      <c r="CC896" s="319"/>
      <c r="CD896" s="319"/>
      <c r="CE896" s="319"/>
      <c r="CF896" s="319"/>
      <c r="CG896" s="319"/>
      <c r="CH896" s="319"/>
      <c r="CI896" s="319"/>
      <c r="CJ896" s="319"/>
      <c r="CK896" s="319"/>
    </row>
    <row r="897" spans="1:89" ht="13.5" hidden="1" customHeight="1">
      <c r="A897" s="12"/>
      <c r="B897" s="1" t="str">
        <f>B886</f>
        <v>Capacidade</v>
      </c>
      <c r="C897" s="303" t="s">
        <v>5700</v>
      </c>
      <c r="D897" s="1"/>
      <c r="E897" s="395"/>
      <c r="F897" s="55" t="e">
        <f>Q897/(P886*(1-E879))</f>
        <v>#DIV/0!</v>
      </c>
      <c r="G897" s="1367"/>
      <c r="H897" s="1"/>
      <c r="I897" s="1"/>
      <c r="J897" s="1"/>
      <c r="K897" s="9"/>
      <c r="L897" s="1"/>
      <c r="M897" s="319"/>
      <c r="N897" s="319">
        <v>5098302</v>
      </c>
      <c r="O897" s="319"/>
      <c r="P897" s="319"/>
      <c r="Q897" s="319">
        <f>IF(C897=$J$1176,1/$K$1176,1)*E897</f>
        <v>0</v>
      </c>
      <c r="R897" s="319"/>
      <c r="S897" s="319"/>
      <c r="T897" s="319"/>
      <c r="U897" s="319"/>
      <c r="V897" s="319"/>
      <c r="W897" s="319"/>
      <c r="X897" s="319"/>
      <c r="Y897" s="319"/>
      <c r="Z897" s="319"/>
      <c r="AA897" s="319"/>
      <c r="AB897" s="319"/>
      <c r="AC897" s="319"/>
      <c r="AD897" s="319"/>
      <c r="AE897" s="319"/>
      <c r="AF897" s="319"/>
      <c r="AG897" s="319"/>
      <c r="AH897" s="319"/>
      <c r="AI897" s="319"/>
      <c r="AJ897" s="319"/>
      <c r="AK897" s="319"/>
      <c r="AL897" s="319"/>
      <c r="AM897" s="319"/>
      <c r="AN897" s="319"/>
      <c r="AO897" s="319"/>
      <c r="AP897" s="319"/>
      <c r="AQ897" s="319"/>
      <c r="AR897" s="319"/>
      <c r="AS897" s="319"/>
      <c r="AT897" s="319"/>
      <c r="AU897" s="319"/>
      <c r="AV897" s="319"/>
      <c r="AW897" s="319"/>
      <c r="AX897" s="319"/>
      <c r="AY897" s="319"/>
      <c r="AZ897" s="319"/>
      <c r="BA897" s="319"/>
      <c r="BB897" s="319"/>
      <c r="BC897" s="319"/>
      <c r="BD897" s="319"/>
      <c r="BE897" s="319"/>
      <c r="BF897" s="319"/>
      <c r="BG897" s="319"/>
      <c r="BH897" s="319"/>
      <c r="BI897" s="319"/>
      <c r="BJ897" s="319"/>
      <c r="BK897" s="319"/>
      <c r="BL897" s="319"/>
      <c r="BM897" s="319"/>
      <c r="BN897" s="319"/>
      <c r="BO897" s="319"/>
      <c r="BP897" s="319"/>
      <c r="BQ897" s="319"/>
      <c r="BR897" s="319"/>
      <c r="BS897" s="319"/>
      <c r="BT897" s="319"/>
      <c r="BU897" s="319"/>
      <c r="BV897" s="319"/>
      <c r="BW897" s="319"/>
      <c r="BX897" s="319"/>
      <c r="BY897" s="319"/>
      <c r="BZ897" s="319"/>
      <c r="CA897" s="319"/>
      <c r="CB897" s="319"/>
      <c r="CC897" s="319"/>
      <c r="CD897" s="319"/>
      <c r="CE897" s="319"/>
      <c r="CF897" s="319"/>
      <c r="CG897" s="319"/>
      <c r="CH897" s="319"/>
      <c r="CI897" s="319"/>
      <c r="CJ897" s="319"/>
      <c r="CK897" s="319"/>
    </row>
    <row r="898" spans="1:89" ht="13.2" hidden="1">
      <c r="A898" s="12"/>
      <c r="B898" s="1" t="str">
        <f>B801</f>
        <v>Tipo de Combustível</v>
      </c>
      <c r="C898" s="1"/>
      <c r="D898" s="1"/>
      <c r="E898" s="419" t="s">
        <v>7151</v>
      </c>
      <c r="F898" s="1"/>
      <c r="G898" s="1"/>
      <c r="H898" s="1"/>
      <c r="I898" s="1"/>
      <c r="J898" s="1"/>
      <c r="K898" s="9"/>
      <c r="L898" s="1"/>
      <c r="M898" s="319"/>
      <c r="N898" s="319">
        <v>2010106</v>
      </c>
      <c r="O898" s="319"/>
      <c r="P898" s="319"/>
      <c r="Q898" s="319"/>
      <c r="R898" s="319"/>
      <c r="S898" s="319"/>
      <c r="T898" s="319"/>
      <c r="U898" s="319"/>
      <c r="V898" s="319"/>
      <c r="W898" s="319"/>
      <c r="X898" s="319"/>
      <c r="Y898" s="319"/>
      <c r="Z898" s="319"/>
      <c r="AA898" s="319"/>
      <c r="AB898" s="319"/>
      <c r="AC898" s="319"/>
      <c r="AD898" s="319"/>
      <c r="AE898" s="319"/>
      <c r="AF898" s="319"/>
      <c r="AG898" s="319"/>
      <c r="AH898" s="319"/>
      <c r="AI898" s="319"/>
      <c r="AJ898" s="319"/>
      <c r="AK898" s="319"/>
      <c r="AL898" s="319"/>
      <c r="AM898" s="319"/>
      <c r="AN898" s="319"/>
      <c r="AO898" s="319"/>
      <c r="AP898" s="319"/>
      <c r="AQ898" s="319"/>
      <c r="AR898" s="319"/>
      <c r="AS898" s="319"/>
      <c r="AT898" s="319"/>
      <c r="AU898" s="319"/>
      <c r="AV898" s="319"/>
      <c r="AW898" s="319"/>
      <c r="AX898" s="319"/>
      <c r="AY898" s="319"/>
      <c r="AZ898" s="319"/>
      <c r="BA898" s="319"/>
      <c r="BB898" s="319"/>
      <c r="BC898" s="319"/>
      <c r="BD898" s="319"/>
      <c r="BE898" s="319"/>
      <c r="BF898" s="319"/>
      <c r="BG898" s="319"/>
      <c r="BH898" s="319"/>
      <c r="BI898" s="319"/>
      <c r="BJ898" s="319"/>
      <c r="BK898" s="319"/>
      <c r="BL898" s="319"/>
      <c r="BM898" s="319"/>
      <c r="BN898" s="319"/>
      <c r="BO898" s="319"/>
      <c r="BP898" s="319"/>
      <c r="BQ898" s="319"/>
      <c r="BR898" s="319"/>
      <c r="BS898" s="319"/>
      <c r="BT898" s="319"/>
      <c r="BU898" s="319"/>
      <c r="BV898" s="319"/>
      <c r="BW898" s="319"/>
      <c r="BX898" s="319"/>
      <c r="BY898" s="319"/>
      <c r="BZ898" s="319"/>
      <c r="CA898" s="319"/>
      <c r="CB898" s="319"/>
      <c r="CC898" s="319"/>
      <c r="CD898" s="319"/>
      <c r="CE898" s="319"/>
      <c r="CF898" s="319"/>
      <c r="CG898" s="319"/>
      <c r="CH898" s="319"/>
      <c r="CI898" s="319"/>
      <c r="CJ898" s="319"/>
      <c r="CK898" s="319"/>
    </row>
    <row r="899" spans="1:89" ht="13.5" hidden="1" customHeight="1">
      <c r="A899" s="12"/>
      <c r="B899" s="1" t="str">
        <f>Language!C1544</f>
        <v>Coeficiente de desempenho - sazonal</v>
      </c>
      <c r="C899" s="29"/>
      <c r="D899" s="1"/>
      <c r="E899" s="367"/>
      <c r="F899" s="1"/>
      <c r="G899" s="1"/>
      <c r="H899" s="1"/>
      <c r="I899" s="1"/>
      <c r="J899" s="1"/>
      <c r="K899" s="9"/>
      <c r="L899" s="1"/>
      <c r="M899" s="319"/>
      <c r="N899" s="319">
        <v>2010112</v>
      </c>
      <c r="O899" s="319"/>
      <c r="P899" s="319"/>
      <c r="Q899" s="319"/>
      <c r="R899" s="319"/>
      <c r="S899" s="319"/>
      <c r="T899" s="319"/>
      <c r="U899" s="319"/>
      <c r="V899" s="319"/>
      <c r="W899" s="319"/>
      <c r="X899" s="319"/>
      <c r="Y899" s="319"/>
      <c r="Z899" s="319"/>
      <c r="AA899" s="319"/>
      <c r="AB899" s="319"/>
      <c r="AC899" s="319"/>
      <c r="AD899" s="319"/>
      <c r="AE899" s="319"/>
      <c r="AF899" s="319"/>
      <c r="AG899" s="319"/>
      <c r="AH899" s="319"/>
      <c r="AI899" s="319"/>
      <c r="AJ899" s="319"/>
      <c r="AK899" s="319"/>
      <c r="AL899" s="319"/>
      <c r="AM899" s="319"/>
      <c r="AN899" s="319"/>
      <c r="AO899" s="319"/>
      <c r="AP899" s="319"/>
      <c r="AQ899" s="319"/>
      <c r="AR899" s="319"/>
      <c r="AS899" s="319"/>
      <c r="AT899" s="319"/>
      <c r="AU899" s="319"/>
      <c r="AV899" s="319"/>
      <c r="AW899" s="319"/>
      <c r="AX899" s="319"/>
      <c r="AY899" s="319"/>
      <c r="AZ899" s="319"/>
      <c r="BA899" s="319"/>
      <c r="BB899" s="319"/>
      <c r="BC899" s="319"/>
      <c r="BD899" s="319"/>
      <c r="BE899" s="319"/>
      <c r="BF899" s="319"/>
      <c r="BG899" s="319"/>
      <c r="BH899" s="319"/>
      <c r="BI899" s="319"/>
      <c r="BJ899" s="319"/>
      <c r="BK899" s="319"/>
      <c r="BL899" s="319"/>
      <c r="BM899" s="319"/>
      <c r="BN899" s="319"/>
      <c r="BO899" s="319"/>
      <c r="BP899" s="319"/>
      <c r="BQ899" s="319"/>
      <c r="BR899" s="319"/>
      <c r="BS899" s="319"/>
      <c r="BT899" s="319"/>
      <c r="BU899" s="319"/>
      <c r="BV899" s="319"/>
      <c r="BW899" s="319"/>
      <c r="BX899" s="319"/>
      <c r="BY899" s="319"/>
      <c r="BZ899" s="319"/>
      <c r="CA899" s="319"/>
      <c r="CB899" s="319"/>
      <c r="CC899" s="319"/>
      <c r="CD899" s="319"/>
      <c r="CE899" s="319"/>
      <c r="CF899" s="319"/>
      <c r="CG899" s="319"/>
      <c r="CH899" s="319"/>
      <c r="CI899" s="319"/>
      <c r="CJ899" s="319"/>
      <c r="CK899" s="319"/>
    </row>
    <row r="900" spans="1:89" ht="13.5" hidden="1" customHeight="1">
      <c r="A900" s="12"/>
      <c r="B900" s="1" t="str">
        <f>B803</f>
        <v>Consumo de combustível - anual</v>
      </c>
      <c r="C900" s="29" t="str">
        <f>VLOOKUP(E898,LN_FuelList,3,FALSE)</f>
        <v>MWh</v>
      </c>
      <c r="D900" s="1"/>
      <c r="E900" s="30">
        <f>IF(ISERROR((Q882-P887)/VLOOKUP(E898,LN_FuelList,4,FALSE)*1000/E899*O900),0,(Q882-P887)/VLOOKUP(E898,LN_FuelList,4,FALSE)*1000/E899*O900)</f>
        <v>0</v>
      </c>
      <c r="F900" s="1"/>
      <c r="G900" s="1"/>
      <c r="H900" s="1"/>
      <c r="I900" s="1"/>
      <c r="J900" s="1"/>
      <c r="K900" s="9"/>
      <c r="L900" s="1"/>
      <c r="M900" s="319"/>
      <c r="N900" s="319">
        <v>5097208</v>
      </c>
      <c r="O900" s="319">
        <f>IF(E896=0,1,IF((Q897/(IF(C886=$J$1176,1/$K$1176,1)*E896))&gt;1,1,Q897/(IF(C886=$J$1176,1/$K$1176,1)*E896)))</f>
        <v>1</v>
      </c>
      <c r="P900" s="319"/>
      <c r="Q900" s="319"/>
      <c r="R900" s="319"/>
      <c r="S900" s="319"/>
      <c r="T900" s="319"/>
      <c r="U900" s="319"/>
      <c r="V900" s="319"/>
      <c r="W900" s="319"/>
      <c r="X900" s="319"/>
      <c r="Y900" s="319"/>
      <c r="Z900" s="319"/>
      <c r="AA900" s="319"/>
      <c r="AB900" s="319"/>
      <c r="AC900" s="319"/>
      <c r="AD900" s="319"/>
      <c r="AE900" s="319"/>
      <c r="AF900" s="319"/>
      <c r="AG900" s="319"/>
      <c r="AH900" s="319"/>
      <c r="AI900" s="319"/>
      <c r="AJ900" s="319"/>
      <c r="AK900" s="319"/>
      <c r="AL900" s="319"/>
      <c r="AM900" s="319"/>
      <c r="AN900" s="319"/>
      <c r="AO900" s="319"/>
      <c r="AP900" s="319"/>
      <c r="AQ900" s="319"/>
      <c r="AR900" s="319"/>
      <c r="AS900" s="319"/>
      <c r="AT900" s="319"/>
      <c r="AU900" s="319"/>
      <c r="AV900" s="319"/>
      <c r="AW900" s="319"/>
      <c r="AX900" s="319"/>
      <c r="AY900" s="319"/>
      <c r="AZ900" s="319"/>
      <c r="BA900" s="319"/>
      <c r="BB900" s="319"/>
      <c r="BC900" s="319"/>
      <c r="BD900" s="319"/>
      <c r="BE900" s="319"/>
      <c r="BF900" s="319"/>
      <c r="BG900" s="319"/>
      <c r="BH900" s="319"/>
      <c r="BI900" s="319"/>
      <c r="BJ900" s="319"/>
      <c r="BK900" s="319"/>
      <c r="BL900" s="319"/>
      <c r="BM900" s="319"/>
      <c r="BN900" s="319"/>
      <c r="BO900" s="319"/>
      <c r="BP900" s="319"/>
      <c r="BQ900" s="319"/>
      <c r="BR900" s="319"/>
      <c r="BS900" s="319"/>
      <c r="BT900" s="319"/>
      <c r="BU900" s="319"/>
      <c r="BV900" s="319"/>
      <c r="BW900" s="319"/>
      <c r="BX900" s="319"/>
      <c r="BY900" s="319"/>
      <c r="BZ900" s="319"/>
      <c r="CA900" s="319"/>
      <c r="CB900" s="319"/>
      <c r="CC900" s="319"/>
      <c r="CD900" s="319"/>
      <c r="CE900" s="319"/>
      <c r="CF900" s="319"/>
      <c r="CG900" s="319"/>
      <c r="CH900" s="319"/>
      <c r="CI900" s="319"/>
      <c r="CJ900" s="319"/>
      <c r="CK900" s="319"/>
    </row>
    <row r="901" spans="1:89" ht="13.5" hidden="1" customHeight="1">
      <c r="A901" s="12"/>
      <c r="B901" s="1" t="str">
        <f>B887</f>
        <v>Frio fornecido</v>
      </c>
      <c r="C901" s="29" t="str">
        <f>C882</f>
        <v>MWh</v>
      </c>
      <c r="D901" s="1"/>
      <c r="E901" s="140">
        <f>IF(E882-E887&lt;0,0,E882-E887)*O900</f>
        <v>0</v>
      </c>
      <c r="F901" s="80" t="e">
        <f>E901/Q882</f>
        <v>#DIV/0!</v>
      </c>
      <c r="G901" s="1"/>
      <c r="H901" s="1"/>
      <c r="I901" s="1"/>
      <c r="J901" s="1"/>
      <c r="K901" s="9"/>
      <c r="L901" s="1"/>
      <c r="M901" s="319"/>
      <c r="N901" s="319">
        <v>2010118</v>
      </c>
      <c r="O901" s="319"/>
      <c r="P901" s="319"/>
      <c r="Q901" s="319"/>
      <c r="R901" s="319"/>
      <c r="S901" s="319"/>
      <c r="T901" s="319"/>
      <c r="U901" s="319"/>
      <c r="V901" s="319"/>
      <c r="W901" s="319"/>
      <c r="X901" s="319"/>
      <c r="Y901" s="319"/>
      <c r="Z901" s="319"/>
      <c r="AA901" s="319"/>
      <c r="AB901" s="319"/>
      <c r="AC901" s="319"/>
      <c r="AD901" s="319"/>
      <c r="AE901" s="319"/>
      <c r="AF901" s="319"/>
      <c r="AG901" s="319"/>
      <c r="AH901" s="319"/>
      <c r="AI901" s="319"/>
      <c r="AJ901" s="319"/>
      <c r="AK901" s="319"/>
      <c r="AL901" s="319"/>
      <c r="AM901" s="319"/>
      <c r="AN901" s="319"/>
      <c r="AO901" s="319"/>
      <c r="AP901" s="319"/>
      <c r="AQ901" s="319"/>
      <c r="AR901" s="319"/>
      <c r="AS901" s="319"/>
      <c r="AT901" s="319"/>
      <c r="AU901" s="319"/>
      <c r="AV901" s="319"/>
      <c r="AW901" s="319"/>
      <c r="AX901" s="319"/>
      <c r="AY901" s="319"/>
      <c r="AZ901" s="319"/>
      <c r="BA901" s="319"/>
      <c r="BB901" s="319"/>
      <c r="BC901" s="319"/>
      <c r="BD901" s="319"/>
      <c r="BE901" s="319"/>
      <c r="BF901" s="319"/>
      <c r="BG901" s="319"/>
      <c r="BH901" s="319"/>
      <c r="BI901" s="319"/>
      <c r="BJ901" s="319"/>
      <c r="BK901" s="319"/>
      <c r="BL901" s="319"/>
      <c r="BM901" s="319"/>
      <c r="BN901" s="319"/>
      <c r="BO901" s="319"/>
      <c r="BP901" s="319"/>
      <c r="BQ901" s="319"/>
      <c r="BR901" s="319"/>
      <c r="BS901" s="319"/>
      <c r="BT901" s="319"/>
      <c r="BU901" s="319"/>
      <c r="BV901" s="319"/>
      <c r="BW901" s="319"/>
      <c r="BX901" s="319"/>
      <c r="BY901" s="319"/>
      <c r="BZ901" s="319"/>
      <c r="CA901" s="319"/>
      <c r="CB901" s="319"/>
      <c r="CC901" s="319"/>
      <c r="CD901" s="319"/>
      <c r="CE901" s="319"/>
      <c r="CF901" s="319"/>
      <c r="CG901" s="319"/>
      <c r="CH901" s="319"/>
      <c r="CI901" s="319"/>
      <c r="CJ901" s="319"/>
      <c r="CK901" s="319"/>
    </row>
    <row r="902" spans="1:89" ht="13.5" hidden="1" customHeight="1">
      <c r="A902" s="12"/>
      <c r="B902" s="1" t="str">
        <f>B804</f>
        <v>Preço do combustível</v>
      </c>
      <c r="C902" s="29" t="str">
        <f>VLOOKUP(E898,LN_FuelList,5,FALSE)</f>
        <v>€/kWh</v>
      </c>
      <c r="D902" s="1"/>
      <c r="E902" s="399"/>
      <c r="F902" s="1"/>
      <c r="G902" s="1"/>
      <c r="H902" s="1"/>
      <c r="I902" s="1"/>
      <c r="J902" s="1"/>
      <c r="K902" s="9"/>
      <c r="L902" s="1"/>
      <c r="M902" s="319"/>
      <c r="N902" s="319">
        <v>2010108</v>
      </c>
      <c r="O902" s="319"/>
      <c r="P902" s="319"/>
      <c r="Q902" s="319"/>
      <c r="R902" s="319"/>
      <c r="S902" s="319"/>
      <c r="T902" s="319"/>
      <c r="U902" s="319"/>
      <c r="V902" s="319"/>
      <c r="W902" s="319"/>
      <c r="X902" s="319"/>
      <c r="Y902" s="319"/>
      <c r="Z902" s="319"/>
      <c r="AA902" s="319"/>
      <c r="AB902" s="319"/>
      <c r="AC902" s="319"/>
      <c r="AD902" s="319"/>
      <c r="AE902" s="319"/>
      <c r="AF902" s="319"/>
      <c r="AG902" s="319"/>
      <c r="AH902" s="319"/>
      <c r="AI902" s="319"/>
      <c r="AJ902" s="319"/>
      <c r="AK902" s="319"/>
      <c r="AL902" s="319"/>
      <c r="AM902" s="319"/>
      <c r="AN902" s="319"/>
      <c r="AO902" s="319"/>
      <c r="AP902" s="319"/>
      <c r="AQ902" s="319"/>
      <c r="AR902" s="319"/>
      <c r="AS902" s="319"/>
      <c r="AT902" s="319"/>
      <c r="AU902" s="319"/>
      <c r="AV902" s="319"/>
      <c r="AW902" s="319"/>
      <c r="AX902" s="319"/>
      <c r="AY902" s="319"/>
      <c r="AZ902" s="319"/>
      <c r="BA902" s="319"/>
      <c r="BB902" s="319"/>
      <c r="BC902" s="319"/>
      <c r="BD902" s="319"/>
      <c r="BE902" s="319"/>
      <c r="BF902" s="319"/>
      <c r="BG902" s="319"/>
      <c r="BH902" s="319"/>
      <c r="BI902" s="319"/>
      <c r="BJ902" s="319"/>
      <c r="BK902" s="319"/>
      <c r="BL902" s="319"/>
      <c r="BM902" s="319"/>
      <c r="BN902" s="319"/>
      <c r="BO902" s="319"/>
      <c r="BP902" s="319"/>
      <c r="BQ902" s="319"/>
      <c r="BR902" s="319"/>
      <c r="BS902" s="319"/>
      <c r="BT902" s="319"/>
      <c r="BU902" s="319"/>
      <c r="BV902" s="319"/>
      <c r="BW902" s="319"/>
      <c r="BX902" s="319"/>
      <c r="BY902" s="319"/>
      <c r="BZ902" s="319"/>
      <c r="CA902" s="319"/>
      <c r="CB902" s="319"/>
      <c r="CC902" s="319"/>
      <c r="CD902" s="319"/>
      <c r="CE902" s="319"/>
      <c r="CF902" s="319"/>
      <c r="CG902" s="319"/>
      <c r="CH902" s="319"/>
      <c r="CI902" s="319"/>
      <c r="CJ902" s="319"/>
      <c r="CK902" s="319"/>
    </row>
    <row r="903" spans="1:89" ht="13.5" hidden="1" customHeight="1">
      <c r="A903" s="12"/>
      <c r="B903" s="1" t="str">
        <f>B805</f>
        <v>Custo do combustível</v>
      </c>
      <c r="C903" s="29" t="str">
        <f>$C$805</f>
        <v>€</v>
      </c>
      <c r="D903" s="1"/>
      <c r="E903" s="30">
        <f>IF(E898=F1098,1000,1)*E900*E902</f>
        <v>0</v>
      </c>
      <c r="F903" s="1"/>
      <c r="G903" s="1"/>
      <c r="H903" s="1"/>
      <c r="I903" s="1"/>
      <c r="J903" s="1"/>
      <c r="K903" s="9"/>
      <c r="L903" s="1"/>
      <c r="M903" s="319"/>
      <c r="N903" s="319">
        <v>5097210</v>
      </c>
      <c r="O903" s="319"/>
      <c r="P903" s="319"/>
      <c r="Q903" s="319"/>
      <c r="R903" s="319"/>
      <c r="S903" s="319"/>
      <c r="T903" s="319"/>
      <c r="U903" s="319"/>
      <c r="V903" s="319"/>
      <c r="W903" s="319"/>
      <c r="X903" s="319"/>
      <c r="Y903" s="319"/>
      <c r="Z903" s="319"/>
      <c r="AA903" s="319"/>
      <c r="AB903" s="319"/>
      <c r="AC903" s="319"/>
      <c r="AD903" s="319"/>
      <c r="AE903" s="319"/>
      <c r="AF903" s="319"/>
      <c r="AG903" s="319"/>
      <c r="AH903" s="319"/>
      <c r="AI903" s="319"/>
      <c r="AJ903" s="319"/>
      <c r="AK903" s="319"/>
      <c r="AL903" s="319"/>
      <c r="AM903" s="319"/>
      <c r="AN903" s="319"/>
      <c r="AO903" s="319"/>
      <c r="AP903" s="319"/>
      <c r="AQ903" s="319"/>
      <c r="AR903" s="319"/>
      <c r="AS903" s="319"/>
      <c r="AT903" s="319"/>
      <c r="AU903" s="319"/>
      <c r="AV903" s="319"/>
      <c r="AW903" s="319"/>
      <c r="AX903" s="319"/>
      <c r="AY903" s="319"/>
      <c r="AZ903" s="319"/>
      <c r="BA903" s="319"/>
      <c r="BB903" s="319"/>
      <c r="BC903" s="319"/>
      <c r="BD903" s="319"/>
      <c r="BE903" s="319"/>
      <c r="BF903" s="319"/>
      <c r="BG903" s="319"/>
      <c r="BH903" s="319"/>
      <c r="BI903" s="319"/>
      <c r="BJ903" s="319"/>
      <c r="BK903" s="319"/>
      <c r="BL903" s="319"/>
      <c r="BM903" s="319"/>
      <c r="BN903" s="319"/>
      <c r="BO903" s="319"/>
      <c r="BP903" s="319"/>
      <c r="BQ903" s="319"/>
      <c r="BR903" s="319"/>
      <c r="BS903" s="319"/>
      <c r="BT903" s="319"/>
      <c r="BU903" s="319"/>
      <c r="BV903" s="319"/>
      <c r="BW903" s="319"/>
      <c r="BX903" s="319"/>
      <c r="BY903" s="319"/>
      <c r="BZ903" s="319"/>
      <c r="CA903" s="319"/>
      <c r="CB903" s="319"/>
      <c r="CC903" s="319"/>
      <c r="CD903" s="319"/>
      <c r="CE903" s="319"/>
      <c r="CF903" s="319"/>
      <c r="CG903" s="319"/>
      <c r="CH903" s="319"/>
      <c r="CI903" s="319"/>
      <c r="CJ903" s="319"/>
      <c r="CK903" s="319"/>
    </row>
    <row r="904" spans="1:89" ht="13.5" hidden="1" customHeight="1">
      <c r="A904" s="12"/>
      <c r="B904" s="1"/>
      <c r="C904" s="1"/>
      <c r="D904" s="1"/>
      <c r="E904" s="1"/>
      <c r="F904" s="1"/>
      <c r="G904" s="1"/>
      <c r="H904" s="1"/>
      <c r="I904" s="1"/>
      <c r="J904" s="1"/>
      <c r="K904" s="9"/>
      <c r="L904" s="1"/>
      <c r="M904" s="319"/>
      <c r="N904" s="319">
        <v>5098300</v>
      </c>
      <c r="O904" s="319"/>
      <c r="P904" s="319"/>
      <c r="Q904" s="319"/>
      <c r="R904" s="319"/>
      <c r="S904" s="319"/>
      <c r="T904" s="319"/>
      <c r="U904" s="319"/>
      <c r="V904" s="319"/>
      <c r="W904" s="319"/>
      <c r="X904" s="319"/>
      <c r="Y904" s="319"/>
      <c r="Z904" s="319"/>
      <c r="AA904" s="319"/>
      <c r="AB904" s="319"/>
      <c r="AC904" s="319"/>
      <c r="AD904" s="319"/>
      <c r="AE904" s="319"/>
      <c r="AF904" s="319"/>
      <c r="AG904" s="319"/>
      <c r="AH904" s="319"/>
      <c r="AI904" s="319"/>
      <c r="AJ904" s="319"/>
      <c r="AK904" s="319"/>
      <c r="AL904" s="319"/>
      <c r="AM904" s="319"/>
      <c r="AN904" s="319"/>
      <c r="AO904" s="319"/>
      <c r="AP904" s="319"/>
      <c r="AQ904" s="319"/>
      <c r="AR904" s="319"/>
      <c r="AS904" s="319"/>
      <c r="AT904" s="319"/>
      <c r="AU904" s="319"/>
      <c r="AV904" s="319"/>
      <c r="AW904" s="319"/>
      <c r="AX904" s="319"/>
      <c r="AY904" s="319"/>
      <c r="AZ904" s="319"/>
      <c r="BA904" s="319"/>
      <c r="BB904" s="319"/>
      <c r="BC904" s="319"/>
      <c r="BD904" s="319"/>
      <c r="BE904" s="319"/>
      <c r="BF904" s="319"/>
      <c r="BG904" s="319"/>
      <c r="BH904" s="319"/>
      <c r="BI904" s="319"/>
      <c r="BJ904" s="319"/>
      <c r="BK904" s="319"/>
      <c r="BL904" s="319"/>
      <c r="BM904" s="319"/>
      <c r="BN904" s="319"/>
      <c r="BO904" s="319"/>
      <c r="BP904" s="319"/>
      <c r="BQ904" s="319"/>
      <c r="BR904" s="319"/>
      <c r="BS904" s="319"/>
      <c r="BT904" s="319"/>
      <c r="BU904" s="319"/>
      <c r="BV904" s="319"/>
      <c r="BW904" s="319"/>
      <c r="BX904" s="319"/>
      <c r="BY904" s="319"/>
      <c r="BZ904" s="319"/>
      <c r="CA904" s="319"/>
      <c r="CB904" s="319"/>
      <c r="CC904" s="319"/>
      <c r="CD904" s="319"/>
      <c r="CE904" s="319"/>
      <c r="CF904" s="319"/>
      <c r="CG904" s="319"/>
      <c r="CH904" s="319"/>
      <c r="CI904" s="319"/>
      <c r="CJ904" s="319"/>
      <c r="CK904" s="319"/>
    </row>
    <row r="905" spans="1:89" ht="25.5" hidden="1" customHeight="1">
      <c r="A905" s="12"/>
      <c r="B905" s="28"/>
      <c r="C905" s="1"/>
      <c r="D905" s="82" t="str">
        <f>D221</f>
        <v>Caso de referência</v>
      </c>
      <c r="E905" s="82" t="str">
        <f>E221</f>
        <v>Caso proposto</v>
      </c>
      <c r="F905" s="143"/>
      <c r="G905" s="82" t="str">
        <f>$G$244</f>
        <v>Custo inicial incremental</v>
      </c>
      <c r="H905" s="1"/>
      <c r="I905" s="1"/>
      <c r="J905" s="1"/>
      <c r="K905" s="9"/>
      <c r="L905" s="1"/>
      <c r="M905" s="319"/>
      <c r="N905" s="319">
        <v>5097000</v>
      </c>
      <c r="O905" s="319"/>
      <c r="P905" s="319"/>
      <c r="Q905" s="319"/>
      <c r="R905" s="319"/>
      <c r="S905" s="319"/>
      <c r="T905" s="319"/>
      <c r="U905" s="319"/>
      <c r="V905" s="319"/>
      <c r="W905" s="319"/>
      <c r="X905" s="319"/>
      <c r="Y905" s="319"/>
      <c r="Z905" s="319"/>
      <c r="AA905" s="319"/>
      <c r="AB905" s="319"/>
      <c r="AC905" s="319"/>
      <c r="AD905" s="319"/>
      <c r="AE905" s="319"/>
      <c r="AF905" s="319"/>
      <c r="AG905" s="319"/>
      <c r="AH905" s="319"/>
      <c r="AI905" s="319"/>
      <c r="AJ905" s="319"/>
      <c r="AK905" s="319"/>
      <c r="AL905" s="319"/>
      <c r="AM905" s="319"/>
      <c r="AN905" s="319"/>
      <c r="AO905" s="319"/>
      <c r="AP905" s="319"/>
      <c r="AQ905" s="319"/>
      <c r="AR905" s="319"/>
      <c r="AS905" s="319"/>
      <c r="AT905" s="319"/>
      <c r="AU905" s="319"/>
      <c r="AV905" s="319"/>
      <c r="AW905" s="319"/>
      <c r="AX905" s="319"/>
      <c r="AY905" s="319"/>
      <c r="AZ905" s="319"/>
      <c r="BA905" s="319"/>
      <c r="BB905" s="319"/>
      <c r="BC905" s="319"/>
      <c r="BD905" s="319"/>
      <c r="BE905" s="319"/>
      <c r="BF905" s="319"/>
      <c r="BG905" s="319"/>
      <c r="BH905" s="319"/>
      <c r="BI905" s="319"/>
      <c r="BJ905" s="319"/>
      <c r="BK905" s="319"/>
      <c r="BL905" s="319"/>
      <c r="BM905" s="319"/>
      <c r="BN905" s="319"/>
      <c r="BO905" s="319"/>
      <c r="BP905" s="319"/>
      <c r="BQ905" s="319"/>
      <c r="BR905" s="319"/>
      <c r="BS905" s="319"/>
      <c r="BT905" s="319"/>
      <c r="BU905" s="319"/>
      <c r="BV905" s="319"/>
      <c r="BW905" s="319"/>
      <c r="BX905" s="319"/>
      <c r="BY905" s="319"/>
      <c r="BZ905" s="319"/>
      <c r="CA905" s="319"/>
      <c r="CB905" s="319"/>
      <c r="CC905" s="319"/>
      <c r="CD905" s="319"/>
      <c r="CE905" s="319"/>
      <c r="CF905" s="319"/>
      <c r="CG905" s="319"/>
      <c r="CH905" s="319"/>
      <c r="CI905" s="319"/>
      <c r="CJ905" s="319"/>
      <c r="CK905" s="319"/>
    </row>
    <row r="906" spans="1:89" ht="13.5" hidden="1" customHeight="1">
      <c r="A906" s="12"/>
      <c r="B906" s="1" t="str">
        <f>B794</f>
        <v>Área de piso aquecido para o prédio</v>
      </c>
      <c r="C906" s="303" t="s">
        <v>5430</v>
      </c>
      <c r="D906" s="307"/>
      <c r="E906" s="1"/>
      <c r="F906" s="1"/>
      <c r="G906" s="1"/>
      <c r="H906" s="1"/>
      <c r="I906" s="1"/>
      <c r="J906" s="1"/>
      <c r="K906" s="9"/>
      <c r="L906" s="1"/>
      <c r="M906" s="319"/>
      <c r="N906" s="319">
        <v>5097100</v>
      </c>
      <c r="O906" s="319"/>
      <c r="P906" s="319"/>
      <c r="Q906" s="319"/>
      <c r="R906" s="319"/>
      <c r="S906" s="319"/>
      <c r="T906" s="319"/>
      <c r="U906" s="319"/>
      <c r="V906" s="319"/>
      <c r="W906" s="319"/>
      <c r="X906" s="319"/>
      <c r="Y906" s="319"/>
      <c r="Z906" s="319"/>
      <c r="AA906" s="319"/>
      <c r="AB906" s="319"/>
      <c r="AC906" s="319"/>
      <c r="AD906" s="319"/>
      <c r="AE906" s="319"/>
      <c r="AF906" s="319"/>
      <c r="AG906" s="319"/>
      <c r="AH906" s="319"/>
      <c r="AI906" s="319"/>
      <c r="AJ906" s="319"/>
      <c r="AK906" s="319"/>
      <c r="AL906" s="319"/>
      <c r="AM906" s="319"/>
      <c r="AN906" s="319"/>
      <c r="AO906" s="319"/>
      <c r="AP906" s="319"/>
      <c r="AQ906" s="319"/>
      <c r="AR906" s="319"/>
      <c r="AS906" s="319"/>
      <c r="AT906" s="319"/>
      <c r="AU906" s="319"/>
      <c r="AV906" s="319"/>
      <c r="AW906" s="319"/>
      <c r="AX906" s="319"/>
      <c r="AY906" s="319"/>
      <c r="AZ906" s="319"/>
      <c r="BA906" s="319"/>
      <c r="BB906" s="319"/>
      <c r="BC906" s="319"/>
      <c r="BD906" s="319"/>
      <c r="BE906" s="319"/>
      <c r="BF906" s="319"/>
      <c r="BG906" s="319"/>
      <c r="BH906" s="319"/>
      <c r="BI906" s="319"/>
      <c r="BJ906" s="319"/>
      <c r="BK906" s="319"/>
      <c r="BL906" s="319"/>
      <c r="BM906" s="319"/>
      <c r="BN906" s="319"/>
      <c r="BO906" s="319"/>
      <c r="BP906" s="319"/>
      <c r="BQ906" s="319"/>
      <c r="BR906" s="319"/>
      <c r="BS906" s="319"/>
      <c r="BT906" s="319"/>
      <c r="BU906" s="319"/>
      <c r="BV906" s="319"/>
      <c r="BW906" s="319"/>
      <c r="BX906" s="319"/>
      <c r="BY906" s="319"/>
      <c r="BZ906" s="319"/>
      <c r="CA906" s="319"/>
      <c r="CB906" s="319"/>
      <c r="CC906" s="319"/>
      <c r="CD906" s="319"/>
      <c r="CE906" s="319"/>
      <c r="CF906" s="319"/>
      <c r="CG906" s="319"/>
      <c r="CH906" s="319"/>
      <c r="CI906" s="319"/>
      <c r="CJ906" s="319"/>
      <c r="CK906" s="319"/>
    </row>
    <row r="907" spans="1:89" ht="13.5" hidden="1" customHeight="1">
      <c r="A907" s="12"/>
      <c r="B907" s="1" t="str">
        <f>Language!C234</f>
        <v>Ações de Eficiência energética</v>
      </c>
      <c r="C907" s="1"/>
      <c r="D907" s="1"/>
      <c r="E907" s="159"/>
      <c r="F907" s="1"/>
      <c r="G907" s="1367"/>
      <c r="H907" s="1"/>
      <c r="I907" s="1"/>
      <c r="J907" s="1"/>
      <c r="K907" s="9"/>
      <c r="L907" s="1"/>
      <c r="M907" s="319"/>
      <c r="N907" s="319">
        <v>5097102</v>
      </c>
      <c r="O907" s="319"/>
      <c r="P907" s="319"/>
      <c r="Q907" s="319"/>
      <c r="R907" s="319"/>
      <c r="S907" s="319"/>
      <c r="T907" s="319"/>
      <c r="U907" s="319"/>
      <c r="V907" s="319"/>
      <c r="W907" s="319"/>
      <c r="X907" s="319"/>
      <c r="Y907" s="319"/>
      <c r="Z907" s="319"/>
      <c r="AA907" s="319"/>
      <c r="AB907" s="319"/>
      <c r="AC907" s="319"/>
      <c r="AD907" s="319"/>
      <c r="AE907" s="319"/>
      <c r="AF907" s="319"/>
      <c r="AG907" s="319"/>
      <c r="AH907" s="319"/>
      <c r="AI907" s="319"/>
      <c r="AJ907" s="319"/>
      <c r="AK907" s="319"/>
      <c r="AL907" s="319"/>
      <c r="AM907" s="319"/>
      <c r="AN907" s="319"/>
      <c r="AO907" s="319"/>
      <c r="AP907" s="319"/>
      <c r="AQ907" s="319"/>
      <c r="AR907" s="319"/>
      <c r="AS907" s="319"/>
      <c r="AT907" s="319"/>
      <c r="AU907" s="319"/>
      <c r="AV907" s="319"/>
      <c r="AW907" s="319"/>
      <c r="AX907" s="319"/>
      <c r="AY907" s="319"/>
      <c r="AZ907" s="319"/>
      <c r="BA907" s="319"/>
      <c r="BB907" s="319"/>
      <c r="BC907" s="319"/>
      <c r="BD907" s="319"/>
      <c r="BE907" s="319"/>
      <c r="BF907" s="319"/>
      <c r="BG907" s="319"/>
      <c r="BH907" s="319"/>
      <c r="BI907" s="319"/>
      <c r="BJ907" s="319"/>
      <c r="BK907" s="319"/>
      <c r="BL907" s="319"/>
      <c r="BM907" s="319"/>
      <c r="BN907" s="319"/>
      <c r="BO907" s="319"/>
      <c r="BP907" s="319"/>
      <c r="BQ907" s="319"/>
      <c r="BR907" s="319"/>
      <c r="BS907" s="319"/>
      <c r="BT907" s="319"/>
      <c r="BU907" s="319"/>
      <c r="BV907" s="319"/>
      <c r="BW907" s="319"/>
      <c r="BX907" s="319"/>
      <c r="BY907" s="319"/>
      <c r="BZ907" s="319"/>
      <c r="CA907" s="319"/>
      <c r="CB907" s="319"/>
      <c r="CC907" s="319"/>
      <c r="CD907" s="319"/>
      <c r="CE907" s="319"/>
      <c r="CF907" s="319"/>
      <c r="CG907" s="319"/>
      <c r="CH907" s="319"/>
      <c r="CI907" s="319"/>
      <c r="CJ907" s="319"/>
      <c r="CK907" s="319"/>
    </row>
    <row r="908" spans="1:89" ht="12.75" hidden="1" customHeight="1">
      <c r="A908" s="12"/>
      <c r="B908" s="1" t="str">
        <f>B795</f>
        <v>Carga p/ aquecimento do prédio</v>
      </c>
      <c r="C908" s="303" t="s">
        <v>2335</v>
      </c>
      <c r="D908" s="307"/>
      <c r="E908" s="30">
        <f>(1-E907)*D908</f>
        <v>0</v>
      </c>
      <c r="F908" s="1"/>
      <c r="G908" s="1"/>
      <c r="H908" s="1"/>
      <c r="I908" s="1"/>
      <c r="J908" s="1"/>
      <c r="K908" s="9"/>
      <c r="L908" s="1"/>
      <c r="M908" s="319"/>
      <c r="N908" s="319">
        <v>5091102</v>
      </c>
      <c r="O908" s="319"/>
      <c r="P908" s="319"/>
      <c r="Q908" s="319"/>
      <c r="R908" s="319"/>
      <c r="S908" s="319"/>
      <c r="T908" s="319"/>
      <c r="U908" s="319"/>
      <c r="V908" s="319"/>
      <c r="W908" s="319"/>
      <c r="X908" s="319"/>
      <c r="Y908" s="319"/>
      <c r="Z908" s="319"/>
      <c r="AA908" s="319"/>
      <c r="AB908" s="319"/>
      <c r="AC908" s="319"/>
      <c r="AD908" s="319"/>
      <c r="AE908" s="319"/>
      <c r="AF908" s="319"/>
      <c r="AG908" s="319"/>
      <c r="AH908" s="319"/>
      <c r="AI908" s="319"/>
      <c r="AJ908" s="319"/>
      <c r="AK908" s="319"/>
      <c r="AL908" s="319"/>
      <c r="AM908" s="319"/>
      <c r="AN908" s="319"/>
      <c r="AO908" s="319"/>
      <c r="AP908" s="319"/>
      <c r="AQ908" s="319"/>
      <c r="AR908" s="319"/>
      <c r="AS908" s="319"/>
      <c r="AT908" s="319"/>
      <c r="AU908" s="319"/>
      <c r="AV908" s="319"/>
      <c r="AW908" s="319"/>
      <c r="AX908" s="319"/>
      <c r="AY908" s="319"/>
      <c r="AZ908" s="319"/>
      <c r="BA908" s="319"/>
      <c r="BB908" s="319"/>
      <c r="BC908" s="319"/>
      <c r="BD908" s="319"/>
      <c r="BE908" s="319"/>
      <c r="BF908" s="319"/>
      <c r="BG908" s="319"/>
      <c r="BH908" s="319"/>
      <c r="BI908" s="319"/>
      <c r="BJ908" s="319"/>
      <c r="BK908" s="319"/>
      <c r="BL908" s="319"/>
      <c r="BM908" s="319"/>
      <c r="BN908" s="319"/>
      <c r="BO908" s="319"/>
      <c r="BP908" s="319"/>
      <c r="BQ908" s="319"/>
      <c r="BR908" s="319"/>
      <c r="BS908" s="319"/>
      <c r="BT908" s="319"/>
      <c r="BU908" s="319"/>
      <c r="BV908" s="319"/>
      <c r="BW908" s="319"/>
      <c r="BX908" s="319"/>
      <c r="BY908" s="319"/>
      <c r="BZ908" s="319"/>
      <c r="CA908" s="319"/>
      <c r="CB908" s="319"/>
      <c r="CC908" s="319"/>
      <c r="CD908" s="319"/>
      <c r="CE908" s="319"/>
      <c r="CF908" s="319"/>
      <c r="CG908" s="319"/>
      <c r="CH908" s="319"/>
      <c r="CI908" s="319"/>
      <c r="CJ908" s="319"/>
      <c r="CK908" s="319"/>
    </row>
    <row r="909" spans="1:89" ht="12.75" hidden="1" customHeight="1">
      <c r="A909" s="12"/>
      <c r="B909" s="357" t="str">
        <f>B796</f>
        <v>Demanda base calor p/ rede água quente</v>
      </c>
      <c r="C909" s="29" t="str">
        <f>$C$254</f>
        <v>%</v>
      </c>
      <c r="D909" s="339"/>
      <c r="E909" s="96">
        <f>P909</f>
        <v>0</v>
      </c>
      <c r="F909" s="1"/>
      <c r="G909" s="1"/>
      <c r="H909" s="1"/>
      <c r="I909" s="1"/>
      <c r="J909" s="1"/>
      <c r="K909" s="9"/>
      <c r="L909" s="1"/>
      <c r="M909" s="319"/>
      <c r="N909" s="319">
        <v>5097106</v>
      </c>
      <c r="O909" s="855" t="s">
        <v>4323</v>
      </c>
      <c r="P909" s="742">
        <f>IF(OR(Set_H=7,Set_H=8),D796,D909)</f>
        <v>0</v>
      </c>
      <c r="Q909" s="319"/>
      <c r="R909" s="319"/>
      <c r="S909" s="319"/>
      <c r="T909" s="319"/>
      <c r="U909" s="319"/>
      <c r="V909" s="319"/>
      <c r="W909" s="319"/>
      <c r="X909" s="319"/>
      <c r="Y909" s="319"/>
      <c r="Z909" s="319"/>
      <c r="AA909" s="319"/>
      <c r="AB909" s="319"/>
      <c r="AC909" s="319"/>
      <c r="AD909" s="319"/>
      <c r="AE909" s="319"/>
      <c r="AF909" s="319"/>
      <c r="AG909" s="319"/>
      <c r="AH909" s="319"/>
      <c r="AI909" s="319"/>
      <c r="AJ909" s="319"/>
      <c r="AK909" s="319"/>
      <c r="AL909" s="319"/>
      <c r="AM909" s="319"/>
      <c r="AN909" s="319"/>
      <c r="AO909" s="319"/>
      <c r="AP909" s="319"/>
      <c r="AQ909" s="319"/>
      <c r="AR909" s="319"/>
      <c r="AS909" s="319"/>
      <c r="AT909" s="319"/>
      <c r="AU909" s="319"/>
      <c r="AV909" s="319"/>
      <c r="AW909" s="319"/>
      <c r="AX909" s="319"/>
      <c r="AY909" s="319"/>
      <c r="AZ909" s="319"/>
      <c r="BA909" s="319"/>
      <c r="BB909" s="319"/>
      <c r="BC909" s="319"/>
      <c r="BD909" s="319"/>
      <c r="BE909" s="319"/>
      <c r="BF909" s="319"/>
      <c r="BG909" s="319"/>
      <c r="BH909" s="319"/>
      <c r="BI909" s="319"/>
      <c r="BJ909" s="319"/>
      <c r="BK909" s="319"/>
      <c r="BL909" s="319"/>
      <c r="BM909" s="319"/>
      <c r="BN909" s="319"/>
      <c r="BO909" s="319"/>
      <c r="BP909" s="319"/>
      <c r="BQ909" s="319"/>
      <c r="BR909" s="319"/>
      <c r="BS909" s="319"/>
      <c r="BT909" s="319"/>
      <c r="BU909" s="319"/>
      <c r="BV909" s="319"/>
      <c r="BW909" s="319"/>
      <c r="BX909" s="319"/>
      <c r="BY909" s="319"/>
      <c r="BZ909" s="319"/>
      <c r="CA909" s="319"/>
      <c r="CB909" s="319"/>
      <c r="CC909" s="319"/>
      <c r="CD909" s="319"/>
      <c r="CE909" s="319"/>
      <c r="CF909" s="319"/>
      <c r="CG909" s="319"/>
      <c r="CH909" s="319"/>
      <c r="CI909" s="319"/>
      <c r="CJ909" s="319"/>
      <c r="CK909" s="319"/>
    </row>
    <row r="910" spans="1:89" ht="25.5" hidden="1" customHeight="1">
      <c r="A910" s="12"/>
      <c r="B910" s="1" t="str">
        <f>B797</f>
        <v>Demanda total p/ aquecimento</v>
      </c>
      <c r="C910" s="29" t="str">
        <f>C577</f>
        <v>MWh</v>
      </c>
      <c r="D910" s="30">
        <f>IF(Unit=TRUE,1,$K$1185)*P910</f>
        <v>0</v>
      </c>
      <c r="E910" s="30">
        <f>IF(Unit=TRUE,1,$K$1185)*Q910</f>
        <v>0</v>
      </c>
      <c r="F910" s="1"/>
      <c r="G910" s="1"/>
      <c r="H910" s="1"/>
      <c r="I910" s="1"/>
      <c r="J910" s="1"/>
      <c r="K910" s="9"/>
      <c r="L910" s="1"/>
      <c r="M910" s="319"/>
      <c r="N910" s="319">
        <v>5097108</v>
      </c>
      <c r="O910" s="855" t="s">
        <v>2745</v>
      </c>
      <c r="P910" s="319">
        <f>'Carga e Rede'!D335</f>
        <v>0</v>
      </c>
      <c r="Q910" s="319">
        <f>P910*(1-E907)</f>
        <v>0</v>
      </c>
      <c r="R910" s="319"/>
      <c r="S910" s="319"/>
      <c r="T910" s="319"/>
      <c r="U910" s="319"/>
      <c r="V910" s="319"/>
      <c r="W910" s="319"/>
      <c r="X910" s="319"/>
      <c r="Y910" s="319"/>
      <c r="Z910" s="319"/>
      <c r="AA910" s="319"/>
      <c r="AB910" s="319"/>
      <c r="AC910" s="319"/>
      <c r="AD910" s="319"/>
      <c r="AE910" s="319"/>
      <c r="AF910" s="319"/>
      <c r="AG910" s="319"/>
      <c r="AH910" s="319"/>
      <c r="AI910" s="319"/>
      <c r="AJ910" s="319"/>
      <c r="AK910" s="319"/>
      <c r="AL910" s="319"/>
      <c r="AM910" s="319"/>
      <c r="AN910" s="319"/>
      <c r="AO910" s="319"/>
      <c r="AP910" s="319"/>
      <c r="AQ910" s="319"/>
      <c r="AR910" s="319"/>
      <c r="AS910" s="319"/>
      <c r="AT910" s="319"/>
      <c r="AU910" s="319"/>
      <c r="AV910" s="319"/>
      <c r="AW910" s="319"/>
      <c r="AX910" s="319"/>
      <c r="AY910" s="319"/>
      <c r="AZ910" s="319"/>
      <c r="BA910" s="319"/>
      <c r="BB910" s="319"/>
      <c r="BC910" s="319"/>
      <c r="BD910" s="319"/>
      <c r="BE910" s="319"/>
      <c r="BF910" s="319"/>
      <c r="BG910" s="319"/>
      <c r="BH910" s="319"/>
      <c r="BI910" s="319"/>
      <c r="BJ910" s="319"/>
      <c r="BK910" s="319"/>
      <c r="BL910" s="319"/>
      <c r="BM910" s="319"/>
      <c r="BN910" s="319"/>
      <c r="BO910" s="319"/>
      <c r="BP910" s="319"/>
      <c r="BQ910" s="319"/>
      <c r="BR910" s="319"/>
      <c r="BS910" s="319"/>
      <c r="BT910" s="319"/>
      <c r="BU910" s="319"/>
      <c r="BV910" s="319"/>
      <c r="BW910" s="319"/>
      <c r="BX910" s="319"/>
      <c r="BY910" s="319"/>
      <c r="BZ910" s="319"/>
      <c r="CA910" s="319"/>
      <c r="CB910" s="319"/>
      <c r="CC910" s="319"/>
      <c r="CD910" s="319"/>
      <c r="CE910" s="319"/>
      <c r="CF910" s="319"/>
      <c r="CG910" s="319"/>
      <c r="CH910" s="319"/>
      <c r="CI910" s="319"/>
      <c r="CJ910" s="319"/>
      <c r="CK910" s="319"/>
    </row>
    <row r="911" spans="1:89" ht="13.2" hidden="1">
      <c r="A911" s="12"/>
      <c r="B911" s="1"/>
      <c r="C911" s="1"/>
      <c r="D911" s="1"/>
      <c r="E911" s="1"/>
      <c r="F911" s="1"/>
      <c r="G911" s="1"/>
      <c r="H911" s="1"/>
      <c r="I911" s="1"/>
      <c r="J911" s="1"/>
      <c r="K911" s="9"/>
      <c r="L911" s="1"/>
      <c r="M911" s="319"/>
      <c r="N911" s="319">
        <v>5097000</v>
      </c>
      <c r="O911" s="319"/>
      <c r="P911" s="319"/>
      <c r="Q911" s="319"/>
      <c r="R911" s="319"/>
      <c r="S911" s="319"/>
      <c r="T911" s="319"/>
      <c r="U911" s="319"/>
      <c r="V911" s="319"/>
      <c r="W911" s="319"/>
      <c r="X911" s="319"/>
      <c r="Y911" s="319"/>
      <c r="Z911" s="319"/>
      <c r="AA911" s="319"/>
      <c r="AB911" s="319"/>
      <c r="AC911" s="319"/>
      <c r="AD911" s="319"/>
      <c r="AE911" s="319"/>
      <c r="AF911" s="319"/>
      <c r="AG911" s="319"/>
      <c r="AH911" s="319"/>
      <c r="AI911" s="319"/>
      <c r="AJ911" s="319"/>
      <c r="AK911" s="319"/>
      <c r="AL911" s="319"/>
      <c r="AM911" s="319"/>
      <c r="AN911" s="319"/>
      <c r="AO911" s="319"/>
      <c r="AP911" s="319"/>
      <c r="AQ911" s="319"/>
      <c r="AR911" s="319"/>
      <c r="AS911" s="319"/>
      <c r="AT911" s="319"/>
      <c r="AU911" s="319"/>
      <c r="AV911" s="319"/>
      <c r="AW911" s="319"/>
      <c r="AX911" s="319"/>
      <c r="AY911" s="319"/>
      <c r="AZ911" s="319"/>
      <c r="BA911" s="319"/>
      <c r="BB911" s="319"/>
      <c r="BC911" s="319"/>
      <c r="BD911" s="319"/>
      <c r="BE911" s="319"/>
      <c r="BF911" s="319"/>
      <c r="BG911" s="319"/>
      <c r="BH911" s="319"/>
      <c r="BI911" s="319"/>
      <c r="BJ911" s="319"/>
      <c r="BK911" s="319"/>
      <c r="BL911" s="319"/>
      <c r="BM911" s="319"/>
      <c r="BN911" s="319"/>
      <c r="BO911" s="319"/>
      <c r="BP911" s="319"/>
      <c r="BQ911" s="319"/>
      <c r="BR911" s="319"/>
      <c r="BS911" s="319"/>
      <c r="BT911" s="319"/>
      <c r="BU911" s="319"/>
      <c r="BV911" s="319"/>
      <c r="BW911" s="319"/>
      <c r="BX911" s="319"/>
      <c r="BY911" s="319"/>
      <c r="BZ911" s="319"/>
      <c r="CA911" s="319"/>
      <c r="CB911" s="319"/>
      <c r="CC911" s="319"/>
      <c r="CD911" s="319"/>
      <c r="CE911" s="319"/>
      <c r="CF911" s="319"/>
      <c r="CG911" s="319"/>
      <c r="CH911" s="319"/>
      <c r="CI911" s="319"/>
      <c r="CJ911" s="319"/>
      <c r="CK911" s="319"/>
    </row>
    <row r="912" spans="1:89" ht="12.75" hidden="1" customHeight="1">
      <c r="A912" s="12"/>
      <c r="B912" s="905" t="str">
        <f>Language!C218</f>
        <v>Carga de base do Sistema de Aquecimento</v>
      </c>
      <c r="C912" s="1"/>
      <c r="D912" s="1"/>
      <c r="E912" s="1"/>
      <c r="F912" s="82"/>
      <c r="G912" s="1"/>
      <c r="H912" s="1"/>
      <c r="I912" s="1"/>
      <c r="J912" s="1"/>
      <c r="K912" s="9"/>
      <c r="L912" s="1"/>
      <c r="M912" s="319"/>
      <c r="N912" s="319">
        <v>5097200</v>
      </c>
      <c r="O912" s="319"/>
      <c r="P912" s="319"/>
      <c r="Q912" s="319"/>
      <c r="R912" s="319"/>
      <c r="S912" s="319"/>
      <c r="T912" s="319"/>
      <c r="U912" s="319"/>
      <c r="V912" s="319"/>
      <c r="W912" s="319"/>
      <c r="X912" s="319"/>
      <c r="Y912" s="319"/>
      <c r="Z912" s="319"/>
      <c r="AA912" s="319"/>
      <c r="AB912" s="319"/>
      <c r="AC912" s="319"/>
      <c r="AD912" s="319"/>
      <c r="AE912" s="319"/>
      <c r="AF912" s="319"/>
      <c r="AG912" s="319"/>
      <c r="AH912" s="319"/>
      <c r="AI912" s="319"/>
      <c r="AJ912" s="319"/>
      <c r="AK912" s="319"/>
      <c r="AL912" s="319"/>
      <c r="AM912" s="319"/>
      <c r="AN912" s="319"/>
      <c r="AO912" s="319"/>
      <c r="AP912" s="319"/>
      <c r="AQ912" s="319"/>
      <c r="AR912" s="319"/>
      <c r="AS912" s="319"/>
      <c r="AT912" s="319"/>
      <c r="AU912" s="319"/>
      <c r="AV912" s="319"/>
      <c r="AW912" s="319"/>
      <c r="AX912" s="319"/>
      <c r="AY912" s="319"/>
      <c r="AZ912" s="319"/>
      <c r="BA912" s="319"/>
      <c r="BB912" s="319"/>
      <c r="BC912" s="319"/>
      <c r="BD912" s="319"/>
      <c r="BE912" s="319"/>
      <c r="BF912" s="319"/>
      <c r="BG912" s="319"/>
      <c r="BH912" s="319"/>
      <c r="BI912" s="319"/>
      <c r="BJ912" s="319"/>
      <c r="BK912" s="319"/>
      <c r="BL912" s="319"/>
      <c r="BM912" s="319"/>
      <c r="BN912" s="319"/>
      <c r="BO912" s="319"/>
      <c r="BP912" s="319"/>
      <c r="BQ912" s="319"/>
      <c r="BR912" s="319"/>
      <c r="BS912" s="319"/>
      <c r="BT912" s="319"/>
      <c r="BU912" s="319"/>
      <c r="BV912" s="319"/>
      <c r="BW912" s="319"/>
      <c r="BX912" s="319"/>
      <c r="BY912" s="319"/>
      <c r="BZ912" s="319"/>
      <c r="CA912" s="319"/>
      <c r="CB912" s="319"/>
      <c r="CC912" s="319"/>
      <c r="CD912" s="319"/>
      <c r="CE912" s="319"/>
      <c r="CF912" s="319"/>
      <c r="CG912" s="319"/>
      <c r="CH912" s="319"/>
      <c r="CI912" s="319"/>
      <c r="CJ912" s="319"/>
      <c r="CK912" s="319"/>
    </row>
    <row r="913" spans="1:89" ht="12.75" hidden="1" customHeight="1">
      <c r="A913" s="12"/>
      <c r="B913" s="1" t="str">
        <f>B194</f>
        <v>Tecnologia</v>
      </c>
      <c r="C913" s="1"/>
      <c r="D913" s="313"/>
      <c r="E913" s="826" t="str">
        <f>Set_T1</f>
        <v>Sistema à biomassa</v>
      </c>
      <c r="F913" s="82"/>
      <c r="G913" s="1"/>
      <c r="H913" s="1"/>
      <c r="I913" s="1"/>
      <c r="J913" s="1"/>
      <c r="K913" s="9"/>
      <c r="L913" s="1"/>
      <c r="M913" s="319"/>
      <c r="N913" s="319">
        <v>5097202</v>
      </c>
      <c r="O913" s="319"/>
      <c r="P913" s="319"/>
      <c r="Q913" s="319"/>
      <c r="R913" s="319"/>
      <c r="S913" s="319"/>
      <c r="T913" s="319"/>
      <c r="U913" s="319"/>
      <c r="V913" s="319"/>
      <c r="W913" s="319"/>
      <c r="X913" s="319"/>
      <c r="Y913" s="319"/>
      <c r="Z913" s="319"/>
      <c r="AA913" s="319"/>
      <c r="AB913" s="319"/>
      <c r="AC913" s="319"/>
      <c r="AD913" s="319"/>
      <c r="AE913" s="319"/>
      <c r="AF913" s="319"/>
      <c r="AG913" s="319"/>
      <c r="AH913" s="319"/>
      <c r="AI913" s="319"/>
      <c r="AJ913" s="319"/>
      <c r="AK913" s="319"/>
      <c r="AL913" s="319"/>
      <c r="AM913" s="319"/>
      <c r="AN913" s="319"/>
      <c r="AO913" s="319"/>
      <c r="AP913" s="319"/>
      <c r="AQ913" s="319"/>
      <c r="AR913" s="319"/>
      <c r="AS913" s="319"/>
      <c r="AT913" s="319"/>
      <c r="AU913" s="319"/>
      <c r="AV913" s="319"/>
      <c r="AW913" s="319"/>
      <c r="AX913" s="319"/>
      <c r="AY913" s="319"/>
      <c r="AZ913" s="319"/>
      <c r="BA913" s="319"/>
      <c r="BB913" s="319"/>
      <c r="BC913" s="319"/>
      <c r="BD913" s="319"/>
      <c r="BE913" s="319"/>
      <c r="BF913" s="319"/>
      <c r="BG913" s="319"/>
      <c r="BH913" s="319"/>
      <c r="BI913" s="319"/>
      <c r="BJ913" s="319"/>
      <c r="BK913" s="319"/>
      <c r="BL913" s="319"/>
      <c r="BM913" s="319"/>
      <c r="BN913" s="319"/>
      <c r="BO913" s="319"/>
      <c r="BP913" s="319"/>
      <c r="BQ913" s="319"/>
      <c r="BR913" s="319"/>
      <c r="BS913" s="319"/>
      <c r="BT913" s="319"/>
      <c r="BU913" s="319"/>
      <c r="BV913" s="319"/>
      <c r="BW913" s="319"/>
      <c r="BX913" s="319"/>
      <c r="BY913" s="319"/>
      <c r="BZ913" s="319"/>
      <c r="CA913" s="319"/>
      <c r="CB913" s="319"/>
      <c r="CC913" s="319"/>
      <c r="CD913" s="319"/>
      <c r="CE913" s="319"/>
      <c r="CF913" s="319"/>
      <c r="CG913" s="319"/>
      <c r="CH913" s="319"/>
      <c r="CI913" s="319"/>
      <c r="CJ913" s="319"/>
      <c r="CK913" s="319"/>
    </row>
    <row r="914" spans="1:89" ht="13.2" hidden="1">
      <c r="A914" s="12"/>
      <c r="B914" s="1" t="str">
        <f>B886</f>
        <v>Capacidade</v>
      </c>
      <c r="C914" s="303" t="s">
        <v>5700</v>
      </c>
      <c r="D914" s="140">
        <f>IF(C914=$F$1170,1/$G$1170,1)*P914</f>
        <v>0</v>
      </c>
      <c r="E914" s="395"/>
      <c r="F914" s="55" t="e">
        <f>E914/(D914*(1-E907))</f>
        <v>#DIV/0!</v>
      </c>
      <c r="G914" s="1367"/>
      <c r="H914" s="1"/>
      <c r="I914" s="1"/>
      <c r="J914" s="1"/>
      <c r="K914" s="9"/>
      <c r="L914" s="1"/>
      <c r="M914" s="319"/>
      <c r="N914" s="319">
        <v>5097204</v>
      </c>
      <c r="O914" s="855" t="s">
        <v>5700</v>
      </c>
      <c r="P914" s="319">
        <f>IF(OR(Set_H=7,Set_H=8),IF(C794=J1191,K1191,1)*D794*IF(C795=J1180,K1180,1)*D795/1000,IF(C906=J1191,K1191,1)*D906*IF(C908=J1180,K1180,1)*D908/1000)</f>
        <v>0</v>
      </c>
      <c r="Q914" s="319">
        <f>IF(C914=$F$1170,$G$1170,1)*E914</f>
        <v>0</v>
      </c>
      <c r="R914" s="319"/>
      <c r="S914" s="319"/>
      <c r="T914" s="319"/>
      <c r="U914" s="319"/>
      <c r="V914" s="319"/>
      <c r="W914" s="319"/>
      <c r="X914" s="319"/>
      <c r="Y914" s="319"/>
      <c r="Z914" s="319"/>
      <c r="AA914" s="319"/>
      <c r="AB914" s="319"/>
      <c r="AC914" s="319"/>
      <c r="AD914" s="319"/>
      <c r="AE914" s="319"/>
      <c r="AF914" s="319"/>
      <c r="AG914" s="319"/>
      <c r="AH914" s="319"/>
      <c r="AI914" s="319"/>
      <c r="AJ914" s="319"/>
      <c r="AK914" s="319"/>
      <c r="AL914" s="319"/>
      <c r="AM914" s="319"/>
      <c r="AN914" s="319"/>
      <c r="AO914" s="319"/>
      <c r="AP914" s="319"/>
      <c r="AQ914" s="319"/>
      <c r="AR914" s="319"/>
      <c r="AS914" s="319"/>
      <c r="AT914" s="319"/>
      <c r="AU914" s="319"/>
      <c r="AV914" s="319"/>
      <c r="AW914" s="319"/>
      <c r="AX914" s="319"/>
      <c r="AY914" s="319"/>
      <c r="AZ914" s="319"/>
      <c r="BA914" s="319"/>
      <c r="BB914" s="319"/>
      <c r="BC914" s="319"/>
      <c r="BD914" s="319"/>
      <c r="BE914" s="319"/>
      <c r="BF914" s="319"/>
      <c r="BG914" s="319"/>
      <c r="BH914" s="319"/>
      <c r="BI914" s="319"/>
      <c r="BJ914" s="319"/>
      <c r="BK914" s="319"/>
      <c r="BL914" s="319"/>
      <c r="BM914" s="319"/>
      <c r="BN914" s="319"/>
      <c r="BO914" s="319"/>
      <c r="BP914" s="319"/>
      <c r="BQ914" s="319"/>
      <c r="BR914" s="319"/>
      <c r="BS914" s="319"/>
      <c r="BT914" s="319"/>
      <c r="BU914" s="319"/>
      <c r="BV914" s="319"/>
      <c r="BW914" s="319"/>
      <c r="BX914" s="319"/>
      <c r="BY914" s="319"/>
      <c r="BZ914" s="319"/>
      <c r="CA914" s="319"/>
      <c r="CB914" s="319"/>
      <c r="CC914" s="319"/>
      <c r="CD914" s="319"/>
      <c r="CE914" s="319"/>
      <c r="CF914" s="319"/>
      <c r="CG914" s="319"/>
      <c r="CH914" s="319"/>
      <c r="CI914" s="319"/>
      <c r="CJ914" s="319"/>
      <c r="CK914" s="319"/>
    </row>
    <row r="915" spans="1:89" ht="13.5" hidden="1" customHeight="1">
      <c r="A915" s="12"/>
      <c r="B915" s="1" t="str">
        <f>B786</f>
        <v>Calor fornecido</v>
      </c>
      <c r="C915" s="29" t="str">
        <f>C910</f>
        <v>MWh</v>
      </c>
      <c r="D915" s="140">
        <f>D910</f>
        <v>0</v>
      </c>
      <c r="E915" s="140">
        <f>IF(Unit=TRUE,1,$K$1185)*P915</f>
        <v>0</v>
      </c>
      <c r="F915" s="80" t="e">
        <f>P915/Q910</f>
        <v>#DIV/0!</v>
      </c>
      <c r="G915" s="1"/>
      <c r="H915" s="1"/>
      <c r="I915" s="1"/>
      <c r="J915" s="1"/>
      <c r="K915" s="9"/>
      <c r="L915" s="1"/>
      <c r="M915" s="319"/>
      <c r="N915" s="319">
        <v>5097206</v>
      </c>
      <c r="O915" s="319"/>
      <c r="P915" s="319">
        <f>H1205</f>
        <v>0</v>
      </c>
      <c r="Q915" s="319"/>
      <c r="R915" s="319"/>
      <c r="S915" s="319"/>
      <c r="T915" s="319"/>
      <c r="U915" s="319"/>
      <c r="V915" s="319"/>
      <c r="W915" s="319"/>
      <c r="X915" s="319"/>
      <c r="Y915" s="319"/>
      <c r="Z915" s="319"/>
      <c r="AA915" s="319"/>
      <c r="AB915" s="319"/>
      <c r="AC915" s="319"/>
      <c r="AD915" s="319"/>
      <c r="AE915" s="319"/>
      <c r="AF915" s="319"/>
      <c r="AG915" s="319"/>
      <c r="AH915" s="319"/>
      <c r="AI915" s="319"/>
      <c r="AJ915" s="319"/>
      <c r="AK915" s="319"/>
      <c r="AL915" s="319"/>
      <c r="AM915" s="319"/>
      <c r="AN915" s="319"/>
      <c r="AO915" s="319"/>
      <c r="AP915" s="319"/>
      <c r="AQ915" s="319"/>
      <c r="AR915" s="319"/>
      <c r="AS915" s="319"/>
      <c r="AT915" s="319"/>
      <c r="AU915" s="319"/>
      <c r="AV915" s="319"/>
      <c r="AW915" s="319"/>
      <c r="AX915" s="319"/>
      <c r="AY915" s="319"/>
      <c r="AZ915" s="319"/>
      <c r="BA915" s="319"/>
      <c r="BB915" s="319"/>
      <c r="BC915" s="319"/>
      <c r="BD915" s="319"/>
      <c r="BE915" s="319"/>
      <c r="BF915" s="319"/>
      <c r="BG915" s="319"/>
      <c r="BH915" s="319"/>
      <c r="BI915" s="319"/>
      <c r="BJ915" s="319"/>
      <c r="BK915" s="319"/>
      <c r="BL915" s="319"/>
      <c r="BM915" s="319"/>
      <c r="BN915" s="319"/>
      <c r="BO915" s="319"/>
      <c r="BP915" s="319"/>
      <c r="BQ915" s="319"/>
      <c r="BR915" s="319"/>
      <c r="BS915" s="319"/>
      <c r="BT915" s="319"/>
      <c r="BU915" s="319"/>
      <c r="BV915" s="319"/>
      <c r="BW915" s="319"/>
      <c r="BX915" s="319"/>
      <c r="BY915" s="319"/>
      <c r="BZ915" s="319"/>
      <c r="CA915" s="319"/>
      <c r="CB915" s="319"/>
      <c r="CC915" s="319"/>
      <c r="CD915" s="319"/>
      <c r="CE915" s="319"/>
      <c r="CF915" s="319"/>
      <c r="CG915" s="319"/>
      <c r="CH915" s="319"/>
      <c r="CI915" s="319"/>
      <c r="CJ915" s="319"/>
      <c r="CK915" s="319"/>
    </row>
    <row r="916" spans="1:89" ht="13.2" hidden="1">
      <c r="A916" s="12"/>
      <c r="B916" s="1" t="str">
        <f>B801</f>
        <v>Tipo de Combustível</v>
      </c>
      <c r="C916" s="1"/>
      <c r="D916" s="419" t="s">
        <v>7046</v>
      </c>
      <c r="E916" s="419" t="s">
        <v>7152</v>
      </c>
      <c r="F916" s="1"/>
      <c r="G916" s="1"/>
      <c r="H916" s="1"/>
      <c r="I916" s="1"/>
      <c r="J916" s="1"/>
      <c r="K916" s="9"/>
      <c r="L916" s="1"/>
      <c r="M916" s="319"/>
      <c r="N916" s="319">
        <v>2010106</v>
      </c>
      <c r="O916" s="319"/>
      <c r="P916" s="319"/>
      <c r="Q916" s="319"/>
      <c r="R916" s="319"/>
      <c r="S916" s="319"/>
      <c r="T916" s="319"/>
      <c r="U916" s="319"/>
      <c r="V916" s="319"/>
      <c r="W916" s="319"/>
      <c r="X916" s="319"/>
      <c r="Y916" s="319"/>
      <c r="Z916" s="319"/>
      <c r="AA916" s="319"/>
      <c r="AB916" s="319"/>
      <c r="AC916" s="319"/>
      <c r="AD916" s="319"/>
      <c r="AE916" s="319"/>
      <c r="AF916" s="319"/>
      <c r="AG916" s="319"/>
      <c r="AH916" s="319"/>
      <c r="AI916" s="319"/>
      <c r="AJ916" s="319"/>
      <c r="AK916" s="319"/>
      <c r="AL916" s="319"/>
      <c r="AM916" s="319"/>
      <c r="AN916" s="319"/>
      <c r="AO916" s="319"/>
      <c r="AP916" s="319"/>
      <c r="AQ916" s="319"/>
      <c r="AR916" s="319"/>
      <c r="AS916" s="319"/>
      <c r="AT916" s="319"/>
      <c r="AU916" s="319"/>
      <c r="AV916" s="319"/>
      <c r="AW916" s="319"/>
      <c r="AX916" s="319"/>
      <c r="AY916" s="319"/>
      <c r="AZ916" s="319"/>
      <c r="BA916" s="319"/>
      <c r="BB916" s="319"/>
      <c r="BC916" s="319"/>
      <c r="BD916" s="319"/>
      <c r="BE916" s="319"/>
      <c r="BF916" s="319"/>
      <c r="BG916" s="319"/>
      <c r="BH916" s="319"/>
      <c r="BI916" s="319"/>
      <c r="BJ916" s="319"/>
      <c r="BK916" s="319"/>
      <c r="BL916" s="319"/>
      <c r="BM916" s="319"/>
      <c r="BN916" s="319"/>
      <c r="BO916" s="319"/>
      <c r="BP916" s="319"/>
      <c r="BQ916" s="319"/>
      <c r="BR916" s="319"/>
      <c r="BS916" s="319"/>
      <c r="BT916" s="319"/>
      <c r="BU916" s="319"/>
      <c r="BV916" s="319"/>
      <c r="BW916" s="319"/>
      <c r="BX916" s="319"/>
      <c r="BY916" s="319"/>
      <c r="BZ916" s="319"/>
      <c r="CA916" s="319"/>
      <c r="CB916" s="319"/>
      <c r="CC916" s="319"/>
      <c r="CD916" s="319"/>
      <c r="CE916" s="319"/>
      <c r="CF916" s="319"/>
      <c r="CG916" s="319"/>
      <c r="CH916" s="319"/>
      <c r="CI916" s="319"/>
      <c r="CJ916" s="319"/>
      <c r="CK916" s="319"/>
    </row>
    <row r="917" spans="1:89" ht="13.5" hidden="1" customHeight="1">
      <c r="A917" s="12"/>
      <c r="B917" s="1" t="str">
        <f>$B$802</f>
        <v>Eficiência Sazonal</v>
      </c>
      <c r="C917" s="29" t="str">
        <f>$C$254</f>
        <v>%</v>
      </c>
      <c r="D917" s="339"/>
      <c r="E917" s="339"/>
      <c r="F917" s="1"/>
      <c r="G917" s="1"/>
      <c r="H917" s="1"/>
      <c r="I917" s="1"/>
      <c r="J917" s="1"/>
      <c r="K917" s="9"/>
      <c r="L917" s="1"/>
      <c r="M917" s="319"/>
      <c r="N917" s="319">
        <v>2020208</v>
      </c>
      <c r="O917" s="319"/>
      <c r="P917" s="319"/>
      <c r="Q917" s="319"/>
      <c r="R917" s="319"/>
      <c r="S917" s="319"/>
      <c r="T917" s="319"/>
      <c r="U917" s="319"/>
      <c r="V917" s="319"/>
      <c r="W917" s="319"/>
      <c r="X917" s="319"/>
      <c r="Y917" s="319"/>
      <c r="Z917" s="319"/>
      <c r="AA917" s="319"/>
      <c r="AB917" s="319"/>
      <c r="AC917" s="319"/>
      <c r="AD917" s="319"/>
      <c r="AE917" s="319"/>
      <c r="AF917" s="319"/>
      <c r="AG917" s="319"/>
      <c r="AH917" s="319"/>
      <c r="AI917" s="319"/>
      <c r="AJ917" s="319"/>
      <c r="AK917" s="319"/>
      <c r="AL917" s="319"/>
      <c r="AM917" s="319"/>
      <c r="AN917" s="319"/>
      <c r="AO917" s="319"/>
      <c r="AP917" s="319"/>
      <c r="AQ917" s="319"/>
      <c r="AR917" s="319"/>
      <c r="AS917" s="319"/>
      <c r="AT917" s="319"/>
      <c r="AU917" s="319"/>
      <c r="AV917" s="319"/>
      <c r="AW917" s="319"/>
      <c r="AX917" s="319"/>
      <c r="AY917" s="319"/>
      <c r="AZ917" s="319"/>
      <c r="BA917" s="319"/>
      <c r="BB917" s="319"/>
      <c r="BC917" s="319"/>
      <c r="BD917" s="319"/>
      <c r="BE917" s="319"/>
      <c r="BF917" s="319"/>
      <c r="BG917" s="319"/>
      <c r="BH917" s="319"/>
      <c r="BI917" s="319"/>
      <c r="BJ917" s="319"/>
      <c r="BK917" s="319"/>
      <c r="BL917" s="319"/>
      <c r="BM917" s="319"/>
      <c r="BN917" s="319"/>
      <c r="BO917" s="319"/>
      <c r="BP917" s="319"/>
      <c r="BQ917" s="319"/>
      <c r="BR917" s="319"/>
      <c r="BS917" s="319"/>
      <c r="BT917" s="319"/>
      <c r="BU917" s="319"/>
      <c r="BV917" s="319"/>
      <c r="BW917" s="319"/>
      <c r="BX917" s="319"/>
      <c r="BY917" s="319"/>
      <c r="BZ917" s="319"/>
      <c r="CA917" s="319"/>
      <c r="CB917" s="319"/>
      <c r="CC917" s="319"/>
      <c r="CD917" s="319"/>
      <c r="CE917" s="319"/>
      <c r="CF917" s="319"/>
      <c r="CG917" s="319"/>
      <c r="CH917" s="319"/>
      <c r="CI917" s="319"/>
      <c r="CJ917" s="319"/>
      <c r="CK917" s="319"/>
    </row>
    <row r="918" spans="1:89" ht="13.5" hidden="1" customHeight="1">
      <c r="A918" s="12"/>
      <c r="B918" s="1" t="str">
        <f>B803</f>
        <v>Consumo de combustível - anual</v>
      </c>
      <c r="C918" s="29" t="str">
        <f>VLOOKUP(D916,LN_FuelList,3,FALSE)</f>
        <v>m³</v>
      </c>
      <c r="D918" s="30">
        <f>IF(ISERROR(P910/VLOOKUP(D916,LN_FuelList,4,FALSE)*1000/D917),0,P910/VLOOKUP(D916,LN_FuelList,4,FALSE)*1000/D917)</f>
        <v>0</v>
      </c>
      <c r="E918" s="30">
        <f>IF(ISERROR(P915/VLOOKUP(E916,LN_FuelList,4,FALSE)*1000/E917),0,P915/VLOOKUP(E916,LN_FuelList,4,FALSE)*1000/E917)</f>
        <v>0</v>
      </c>
      <c r="F918" s="29" t="str">
        <f>VLOOKUP(E916,LN_FuelList,3,FALSE)</f>
        <v>t</v>
      </c>
      <c r="G918" s="1"/>
      <c r="H918" s="1"/>
      <c r="I918" s="1"/>
      <c r="J918" s="1"/>
      <c r="K918" s="9"/>
      <c r="L918" s="1"/>
      <c r="M918" s="319"/>
      <c r="N918" s="319">
        <v>5097208</v>
      </c>
      <c r="O918" s="319"/>
      <c r="P918" s="319"/>
      <c r="Q918" s="319"/>
      <c r="R918" s="319"/>
      <c r="S918" s="319"/>
      <c r="T918" s="319"/>
      <c r="U918" s="319"/>
      <c r="V918" s="319"/>
      <c r="W918" s="319"/>
      <c r="X918" s="319"/>
      <c r="Y918" s="319"/>
      <c r="Z918" s="319"/>
      <c r="AA918" s="319"/>
      <c r="AB918" s="319"/>
      <c r="AC918" s="319"/>
      <c r="AD918" s="319"/>
      <c r="AE918" s="319"/>
      <c r="AF918" s="319"/>
      <c r="AG918" s="319"/>
      <c r="AH918" s="319"/>
      <c r="AI918" s="319"/>
      <c r="AJ918" s="319"/>
      <c r="AK918" s="319"/>
      <c r="AL918" s="319"/>
      <c r="AM918" s="319"/>
      <c r="AN918" s="319"/>
      <c r="AO918" s="319"/>
      <c r="AP918" s="319"/>
      <c r="AQ918" s="319"/>
      <c r="AR918" s="319"/>
      <c r="AS918" s="319"/>
      <c r="AT918" s="319"/>
      <c r="AU918" s="319"/>
      <c r="AV918" s="319"/>
      <c r="AW918" s="319"/>
      <c r="AX918" s="319"/>
      <c r="AY918" s="319"/>
      <c r="AZ918" s="319"/>
      <c r="BA918" s="319"/>
      <c r="BB918" s="319"/>
      <c r="BC918" s="319"/>
      <c r="BD918" s="319"/>
      <c r="BE918" s="319"/>
      <c r="BF918" s="319"/>
      <c r="BG918" s="319"/>
      <c r="BH918" s="319"/>
      <c r="BI918" s="319"/>
      <c r="BJ918" s="319"/>
      <c r="BK918" s="319"/>
      <c r="BL918" s="319"/>
      <c r="BM918" s="319"/>
      <c r="BN918" s="319"/>
      <c r="BO918" s="319"/>
      <c r="BP918" s="319"/>
      <c r="BQ918" s="319"/>
      <c r="BR918" s="319"/>
      <c r="BS918" s="319"/>
      <c r="BT918" s="319"/>
      <c r="BU918" s="319"/>
      <c r="BV918" s="319"/>
      <c r="BW918" s="319"/>
      <c r="BX918" s="319"/>
      <c r="BY918" s="319"/>
      <c r="BZ918" s="319"/>
      <c r="CA918" s="319"/>
      <c r="CB918" s="319"/>
      <c r="CC918" s="319"/>
      <c r="CD918" s="319"/>
      <c r="CE918" s="319"/>
      <c r="CF918" s="319"/>
      <c r="CG918" s="319"/>
      <c r="CH918" s="319"/>
      <c r="CI918" s="319"/>
      <c r="CJ918" s="319"/>
      <c r="CK918" s="319"/>
    </row>
    <row r="919" spans="1:89" ht="13.5" hidden="1" customHeight="1">
      <c r="A919" s="12"/>
      <c r="B919" s="1" t="str">
        <f>B804</f>
        <v>Preço do combustível</v>
      </c>
      <c r="C919" s="29" t="str">
        <f>VLOOKUP(D916,LN_FuelList,5,FALSE)</f>
        <v>€/m³</v>
      </c>
      <c r="D919" s="399"/>
      <c r="E919" s="399"/>
      <c r="F919" s="29" t="str">
        <f>VLOOKUP(E916,LN_FuelList,5,FALSE)</f>
        <v>€/t</v>
      </c>
      <c r="G919" s="1"/>
      <c r="H919" s="1"/>
      <c r="I919" s="1"/>
      <c r="J919" s="1"/>
      <c r="K919" s="9"/>
      <c r="L919" s="1"/>
      <c r="M919" s="319"/>
      <c r="N919" s="319">
        <v>2010108</v>
      </c>
      <c r="O919" s="319"/>
      <c r="P919" s="319"/>
      <c r="Q919" s="319"/>
      <c r="R919" s="319"/>
      <c r="S919" s="319"/>
      <c r="T919" s="319"/>
      <c r="U919" s="319"/>
      <c r="V919" s="319"/>
      <c r="W919" s="319"/>
      <c r="X919" s="319"/>
      <c r="Y919" s="319"/>
      <c r="Z919" s="319"/>
      <c r="AA919" s="319"/>
      <c r="AB919" s="319"/>
      <c r="AC919" s="319"/>
      <c r="AD919" s="319"/>
      <c r="AE919" s="319"/>
      <c r="AF919" s="319"/>
      <c r="AG919" s="319"/>
      <c r="AH919" s="319"/>
      <c r="AI919" s="319"/>
      <c r="AJ919" s="319"/>
      <c r="AK919" s="319"/>
      <c r="AL919" s="319"/>
      <c r="AM919" s="319"/>
      <c r="AN919" s="319"/>
      <c r="AO919" s="319"/>
      <c r="AP919" s="319"/>
      <c r="AQ919" s="319"/>
      <c r="AR919" s="319"/>
      <c r="AS919" s="319"/>
      <c r="AT919" s="319"/>
      <c r="AU919" s="319"/>
      <c r="AV919" s="319"/>
      <c r="AW919" s="319"/>
      <c r="AX919" s="319"/>
      <c r="AY919" s="319"/>
      <c r="AZ919" s="319"/>
      <c r="BA919" s="319"/>
      <c r="BB919" s="319"/>
      <c r="BC919" s="319"/>
      <c r="BD919" s="319"/>
      <c r="BE919" s="319"/>
      <c r="BF919" s="319"/>
      <c r="BG919" s="319"/>
      <c r="BH919" s="319"/>
      <c r="BI919" s="319"/>
      <c r="BJ919" s="319"/>
      <c r="BK919" s="319"/>
      <c r="BL919" s="319"/>
      <c r="BM919" s="319"/>
      <c r="BN919" s="319"/>
      <c r="BO919" s="319"/>
      <c r="BP919" s="319"/>
      <c r="BQ919" s="319"/>
      <c r="BR919" s="319"/>
      <c r="BS919" s="319"/>
      <c r="BT919" s="319"/>
      <c r="BU919" s="319"/>
      <c r="BV919" s="319"/>
      <c r="BW919" s="319"/>
      <c r="BX919" s="319"/>
      <c r="BY919" s="319"/>
      <c r="BZ919" s="319"/>
      <c r="CA919" s="319"/>
      <c r="CB919" s="319"/>
      <c r="CC919" s="319"/>
      <c r="CD919" s="319"/>
      <c r="CE919" s="319"/>
      <c r="CF919" s="319"/>
      <c r="CG919" s="319"/>
      <c r="CH919" s="319"/>
      <c r="CI919" s="319"/>
      <c r="CJ919" s="319"/>
      <c r="CK919" s="319"/>
    </row>
    <row r="920" spans="1:89" ht="25.5" hidden="1" customHeight="1">
      <c r="A920" s="12"/>
      <c r="B920" s="1" t="str">
        <f>B805</f>
        <v>Custo do combustível</v>
      </c>
      <c r="C920" s="29" t="str">
        <f>$C$805</f>
        <v>€</v>
      </c>
      <c r="D920" s="30">
        <f>IF(D916=F1098,1000,1)*D918*D919</f>
        <v>0</v>
      </c>
      <c r="E920" s="30">
        <f>IF(E916=F1098,1000,1)*E918*E919</f>
        <v>0</v>
      </c>
      <c r="F920" s="1"/>
      <c r="G920" s="1"/>
      <c r="H920" s="1"/>
      <c r="I920" s="1"/>
      <c r="J920" s="1"/>
      <c r="K920" s="9"/>
      <c r="L920" s="1"/>
      <c r="M920" s="319"/>
      <c r="N920" s="319">
        <v>5097210</v>
      </c>
      <c r="O920" s="319"/>
      <c r="P920" s="319"/>
      <c r="Q920" s="319"/>
      <c r="R920" s="319"/>
      <c r="S920" s="319"/>
      <c r="T920" s="319"/>
      <c r="U920" s="319"/>
      <c r="V920" s="319"/>
      <c r="W920" s="319"/>
      <c r="X920" s="319"/>
      <c r="Y920" s="319"/>
      <c r="Z920" s="319"/>
      <c r="AA920" s="319"/>
      <c r="AB920" s="319"/>
      <c r="AC920" s="319"/>
      <c r="AD920" s="319"/>
      <c r="AE920" s="319"/>
      <c r="AF920" s="319"/>
      <c r="AG920" s="319"/>
      <c r="AH920" s="319"/>
      <c r="AI920" s="319"/>
      <c r="AJ920" s="319"/>
      <c r="AK920" s="319"/>
      <c r="AL920" s="319"/>
      <c r="AM920" s="319"/>
      <c r="AN920" s="319"/>
      <c r="AO920" s="319"/>
      <c r="AP920" s="319"/>
      <c r="AQ920" s="319"/>
      <c r="AR920" s="319"/>
      <c r="AS920" s="319"/>
      <c r="AT920" s="319"/>
      <c r="AU920" s="319"/>
      <c r="AV920" s="319"/>
      <c r="AW920" s="319"/>
      <c r="AX920" s="319"/>
      <c r="AY920" s="319"/>
      <c r="AZ920" s="319"/>
      <c r="BA920" s="319"/>
      <c r="BB920" s="319"/>
      <c r="BC920" s="319"/>
      <c r="BD920" s="319"/>
      <c r="BE920" s="319"/>
      <c r="BF920" s="319"/>
      <c r="BG920" s="319"/>
      <c r="BH920" s="319"/>
      <c r="BI920" s="319"/>
      <c r="BJ920" s="319"/>
      <c r="BK920" s="319"/>
      <c r="BL920" s="319"/>
      <c r="BM920" s="319"/>
      <c r="BN920" s="319"/>
      <c r="BO920" s="319"/>
      <c r="BP920" s="319"/>
      <c r="BQ920" s="319"/>
      <c r="BR920" s="319"/>
      <c r="BS920" s="319"/>
      <c r="BT920" s="319"/>
      <c r="BU920" s="319"/>
      <c r="BV920" s="319"/>
      <c r="BW920" s="319"/>
      <c r="BX920" s="319"/>
      <c r="BY920" s="319"/>
      <c r="BZ920" s="319"/>
      <c r="CA920" s="319"/>
      <c r="CB920" s="319"/>
      <c r="CC920" s="319"/>
      <c r="CD920" s="319"/>
      <c r="CE920" s="319"/>
      <c r="CF920" s="319"/>
      <c r="CG920" s="319"/>
      <c r="CH920" s="319"/>
      <c r="CI920" s="319"/>
      <c r="CJ920" s="319"/>
      <c r="CK920" s="319"/>
    </row>
    <row r="921" spans="1:89" ht="13.2" hidden="1">
      <c r="A921" s="12"/>
      <c r="B921" s="1"/>
      <c r="C921" s="1"/>
      <c r="D921" s="1"/>
      <c r="E921" s="1"/>
      <c r="F921" s="1"/>
      <c r="G921" s="1"/>
      <c r="H921" s="1"/>
      <c r="I921" s="1"/>
      <c r="J921" s="1"/>
      <c r="K921" s="9"/>
      <c r="L921" s="1"/>
      <c r="M921" s="319"/>
      <c r="N921" s="319">
        <v>5097200</v>
      </c>
      <c r="O921" s="319"/>
      <c r="P921" s="319"/>
      <c r="Q921" s="319"/>
      <c r="R921" s="319"/>
      <c r="S921" s="319"/>
      <c r="T921" s="319"/>
      <c r="U921" s="319"/>
      <c r="V921" s="319"/>
      <c r="W921" s="319"/>
      <c r="X921" s="319"/>
      <c r="Y921" s="319"/>
      <c r="Z921" s="319"/>
      <c r="AA921" s="319"/>
      <c r="AB921" s="319"/>
      <c r="AC921" s="319"/>
      <c r="AD921" s="319"/>
      <c r="AE921" s="319"/>
      <c r="AF921" s="319"/>
      <c r="AG921" s="319"/>
      <c r="AH921" s="319"/>
      <c r="AI921" s="319"/>
      <c r="AJ921" s="319"/>
      <c r="AK921" s="319"/>
      <c r="AL921" s="319"/>
      <c r="AM921" s="319"/>
      <c r="AN921" s="319"/>
      <c r="AO921" s="319"/>
      <c r="AP921" s="319"/>
      <c r="AQ921" s="319"/>
      <c r="AR921" s="319"/>
      <c r="AS921" s="319"/>
      <c r="AT921" s="319"/>
      <c r="AU921" s="319"/>
      <c r="AV921" s="319"/>
      <c r="AW921" s="319"/>
      <c r="AX921" s="319"/>
      <c r="AY921" s="319"/>
      <c r="AZ921" s="319"/>
      <c r="BA921" s="319"/>
      <c r="BB921" s="319"/>
      <c r="BC921" s="319"/>
      <c r="BD921" s="319"/>
      <c r="BE921" s="319"/>
      <c r="BF921" s="319"/>
      <c r="BG921" s="319"/>
      <c r="BH921" s="319"/>
      <c r="BI921" s="319"/>
      <c r="BJ921" s="319"/>
      <c r="BK921" s="319"/>
      <c r="BL921" s="319"/>
      <c r="BM921" s="319"/>
      <c r="BN921" s="319"/>
      <c r="BO921" s="319"/>
      <c r="BP921" s="319"/>
      <c r="BQ921" s="319"/>
      <c r="BR921" s="319"/>
      <c r="BS921" s="319"/>
      <c r="BT921" s="319"/>
      <c r="BU921" s="319"/>
      <c r="BV921" s="319"/>
      <c r="BW921" s="319"/>
      <c r="BX921" s="319"/>
      <c r="BY921" s="319"/>
      <c r="BZ921" s="319"/>
      <c r="CA921" s="319"/>
      <c r="CB921" s="319"/>
      <c r="CC921" s="319"/>
      <c r="CD921" s="319"/>
      <c r="CE921" s="319"/>
      <c r="CF921" s="319"/>
      <c r="CG921" s="319"/>
      <c r="CH921" s="319"/>
      <c r="CI921" s="319"/>
      <c r="CJ921" s="319"/>
      <c r="CK921" s="319"/>
    </row>
    <row r="922" spans="1:89" ht="13.2" hidden="1">
      <c r="A922" s="12"/>
      <c r="B922" s="905" t="str">
        <f>Language!C220</f>
        <v>Carga de ponta do sistema de Aquecimento</v>
      </c>
      <c r="C922" s="1"/>
      <c r="D922" s="1"/>
      <c r="E922" s="1"/>
      <c r="F922" s="1"/>
      <c r="G922" s="1"/>
      <c r="H922" s="1"/>
      <c r="I922" s="1"/>
      <c r="J922" s="1"/>
      <c r="K922" s="9"/>
      <c r="L922" s="1"/>
      <c r="M922" s="319"/>
      <c r="N922" s="319">
        <v>5097300</v>
      </c>
      <c r="O922" s="319"/>
      <c r="P922" s="319"/>
      <c r="Q922" s="319"/>
      <c r="R922" s="319"/>
      <c r="S922" s="319"/>
      <c r="T922" s="319"/>
      <c r="U922" s="319"/>
      <c r="V922" s="319"/>
      <c r="W922" s="319"/>
      <c r="X922" s="319"/>
      <c r="Y922" s="319"/>
      <c r="Z922" s="319"/>
      <c r="AA922" s="319"/>
      <c r="AB922" s="319"/>
      <c r="AC922" s="319"/>
      <c r="AD922" s="319"/>
      <c r="AE922" s="319"/>
      <c r="AF922" s="319"/>
      <c r="AG922" s="319"/>
      <c r="AH922" s="319"/>
      <c r="AI922" s="319"/>
      <c r="AJ922" s="319"/>
      <c r="AK922" s="319"/>
      <c r="AL922" s="319"/>
      <c r="AM922" s="319"/>
      <c r="AN922" s="319"/>
      <c r="AO922" s="319"/>
      <c r="AP922" s="319"/>
      <c r="AQ922" s="319"/>
      <c r="AR922" s="319"/>
      <c r="AS922" s="319"/>
      <c r="AT922" s="319"/>
      <c r="AU922" s="319"/>
      <c r="AV922" s="319"/>
      <c r="AW922" s="319"/>
      <c r="AX922" s="319"/>
      <c r="AY922" s="319"/>
      <c r="AZ922" s="319"/>
      <c r="BA922" s="319"/>
      <c r="BB922" s="319"/>
      <c r="BC922" s="319"/>
      <c r="BD922" s="319"/>
      <c r="BE922" s="319"/>
      <c r="BF922" s="319"/>
      <c r="BG922" s="319"/>
      <c r="BH922" s="319"/>
      <c r="BI922" s="319"/>
      <c r="BJ922" s="319"/>
      <c r="BK922" s="319"/>
      <c r="BL922" s="319"/>
      <c r="BM922" s="319"/>
      <c r="BN922" s="319"/>
      <c r="BO922" s="319"/>
      <c r="BP922" s="319"/>
      <c r="BQ922" s="319"/>
      <c r="BR922" s="319"/>
      <c r="BS922" s="319"/>
      <c r="BT922" s="319"/>
      <c r="BU922" s="319"/>
      <c r="BV922" s="319"/>
      <c r="BW922" s="319"/>
      <c r="BX922" s="319"/>
      <c r="BY922" s="319"/>
      <c r="BZ922" s="319"/>
      <c r="CA922" s="319"/>
      <c r="CB922" s="319"/>
      <c r="CC922" s="319"/>
      <c r="CD922" s="319"/>
      <c r="CE922" s="319"/>
      <c r="CF922" s="319"/>
      <c r="CG922" s="319"/>
      <c r="CH922" s="319"/>
      <c r="CI922" s="319"/>
      <c r="CJ922" s="319"/>
      <c r="CK922" s="319"/>
    </row>
    <row r="923" spans="1:89" ht="13.2" hidden="1">
      <c r="A923" s="12"/>
      <c r="B923" s="1" t="str">
        <f>B194</f>
        <v>Tecnologia</v>
      </c>
      <c r="C923" s="1"/>
      <c r="D923" s="1"/>
      <c r="E923" s="901"/>
      <c r="F923" s="1"/>
      <c r="G923" s="1"/>
      <c r="H923" s="1"/>
      <c r="I923" s="1"/>
      <c r="J923" s="1"/>
      <c r="K923" s="9"/>
      <c r="L923" s="1"/>
      <c r="M923" s="319"/>
      <c r="N923" s="319">
        <v>5097302</v>
      </c>
      <c r="O923" s="319"/>
      <c r="P923" s="319"/>
      <c r="Q923" s="319"/>
      <c r="R923" s="319"/>
      <c r="S923" s="319"/>
      <c r="T923" s="319"/>
      <c r="U923" s="319"/>
      <c r="V923" s="319"/>
      <c r="W923" s="319"/>
      <c r="X923" s="319"/>
      <c r="Y923" s="319"/>
      <c r="Z923" s="319"/>
      <c r="AA923" s="319"/>
      <c r="AB923" s="319"/>
      <c r="AC923" s="319"/>
      <c r="AD923" s="319"/>
      <c r="AE923" s="319"/>
      <c r="AF923" s="319"/>
      <c r="AG923" s="319"/>
      <c r="AH923" s="319"/>
      <c r="AI923" s="319"/>
      <c r="AJ923" s="319"/>
      <c r="AK923" s="319"/>
      <c r="AL923" s="319"/>
      <c r="AM923" s="319"/>
      <c r="AN923" s="319"/>
      <c r="AO923" s="319"/>
      <c r="AP923" s="319"/>
      <c r="AQ923" s="319"/>
      <c r="AR923" s="319"/>
      <c r="AS923" s="319"/>
      <c r="AT923" s="319"/>
      <c r="AU923" s="319"/>
      <c r="AV923" s="319"/>
      <c r="AW923" s="319"/>
      <c r="AX923" s="319"/>
      <c r="AY923" s="319"/>
      <c r="AZ923" s="319"/>
      <c r="BA923" s="319"/>
      <c r="BB923" s="319"/>
      <c r="BC923" s="319"/>
      <c r="BD923" s="319"/>
      <c r="BE923" s="319"/>
      <c r="BF923" s="319"/>
      <c r="BG923" s="319"/>
      <c r="BH923" s="319"/>
      <c r="BI923" s="319"/>
      <c r="BJ923" s="319"/>
      <c r="BK923" s="319"/>
      <c r="BL923" s="319"/>
      <c r="BM923" s="319"/>
      <c r="BN923" s="319"/>
      <c r="BO923" s="319"/>
      <c r="BP923" s="319"/>
      <c r="BQ923" s="319"/>
      <c r="BR923" s="319"/>
      <c r="BS923" s="319"/>
      <c r="BT923" s="319"/>
      <c r="BU923" s="319"/>
      <c r="BV923" s="319"/>
      <c r="BW923" s="319"/>
      <c r="BX923" s="319"/>
      <c r="BY923" s="319"/>
      <c r="BZ923" s="319"/>
      <c r="CA923" s="319"/>
      <c r="CB923" s="319"/>
      <c r="CC923" s="319"/>
      <c r="CD923" s="319"/>
      <c r="CE923" s="319"/>
      <c r="CF923" s="319"/>
      <c r="CG923" s="319"/>
      <c r="CH923" s="319"/>
      <c r="CI923" s="319"/>
      <c r="CJ923" s="319"/>
      <c r="CK923" s="319"/>
    </row>
    <row r="924" spans="1:89" ht="13.2" hidden="1">
      <c r="A924" s="12"/>
      <c r="B924" s="1" t="str">
        <f>B534</f>
        <v>Capacidade sugerida</v>
      </c>
      <c r="C924" s="29" t="str">
        <f>C914</f>
        <v>kW</v>
      </c>
      <c r="D924" s="1"/>
      <c r="E924" s="140">
        <f>IF(D914*(1-E907)-E914&lt;0,0,D914*(1-E907)-E914)</f>
        <v>0</v>
      </c>
      <c r="F924" s="1"/>
      <c r="G924" s="1"/>
      <c r="H924" s="1"/>
      <c r="I924" s="1"/>
      <c r="J924" s="1"/>
      <c r="K924" s="9"/>
      <c r="L924" s="1"/>
      <c r="M924" s="319"/>
      <c r="N924" s="319">
        <v>5097304</v>
      </c>
      <c r="O924" s="319"/>
      <c r="P924" s="319"/>
      <c r="Q924" s="319"/>
      <c r="R924" s="319"/>
      <c r="S924" s="319"/>
      <c r="T924" s="319"/>
      <c r="U924" s="319"/>
      <c r="V924" s="319"/>
      <c r="W924" s="319"/>
      <c r="X924" s="319"/>
      <c r="Y924" s="319"/>
      <c r="Z924" s="319"/>
      <c r="AA924" s="319"/>
      <c r="AB924" s="319"/>
      <c r="AC924" s="319"/>
      <c r="AD924" s="319"/>
      <c r="AE924" s="319"/>
      <c r="AF924" s="319"/>
      <c r="AG924" s="319"/>
      <c r="AH924" s="319"/>
      <c r="AI924" s="319"/>
      <c r="AJ924" s="319"/>
      <c r="AK924" s="319"/>
      <c r="AL924" s="319"/>
      <c r="AM924" s="319"/>
      <c r="AN924" s="319"/>
      <c r="AO924" s="319"/>
      <c r="AP924" s="319"/>
      <c r="AQ924" s="319"/>
      <c r="AR924" s="319"/>
      <c r="AS924" s="319"/>
      <c r="AT924" s="319"/>
      <c r="AU924" s="319"/>
      <c r="AV924" s="319"/>
      <c r="AW924" s="319"/>
      <c r="AX924" s="319"/>
      <c r="AY924" s="319"/>
      <c r="AZ924" s="319"/>
      <c r="BA924" s="319"/>
      <c r="BB924" s="319"/>
      <c r="BC924" s="319"/>
      <c r="BD924" s="319"/>
      <c r="BE924" s="319"/>
      <c r="BF924" s="319"/>
      <c r="BG924" s="319"/>
      <c r="BH924" s="319"/>
      <c r="BI924" s="319"/>
      <c r="BJ924" s="319"/>
      <c r="BK924" s="319"/>
      <c r="BL924" s="319"/>
      <c r="BM924" s="319"/>
      <c r="BN924" s="319"/>
      <c r="BO924" s="319"/>
      <c r="BP924" s="319"/>
      <c r="BQ924" s="319"/>
      <c r="BR924" s="319"/>
      <c r="BS924" s="319"/>
      <c r="BT924" s="319"/>
      <c r="BU924" s="319"/>
      <c r="BV924" s="319"/>
      <c r="BW924" s="319"/>
      <c r="BX924" s="319"/>
      <c r="BY924" s="319"/>
      <c r="BZ924" s="319"/>
      <c r="CA924" s="319"/>
      <c r="CB924" s="319"/>
      <c r="CC924" s="319"/>
      <c r="CD924" s="319"/>
      <c r="CE924" s="319"/>
      <c r="CF924" s="319"/>
      <c r="CG924" s="319"/>
      <c r="CH924" s="319"/>
      <c r="CI924" s="319"/>
      <c r="CJ924" s="319"/>
      <c r="CK924" s="319"/>
    </row>
    <row r="925" spans="1:89" ht="13.2" hidden="1">
      <c r="A925" s="12"/>
      <c r="B925" s="1" t="str">
        <f>B886</f>
        <v>Capacidade</v>
      </c>
      <c r="C925" s="303" t="s">
        <v>5700</v>
      </c>
      <c r="D925" s="1"/>
      <c r="E925" s="395"/>
      <c r="F925" s="55" t="e">
        <f>Q925/(P914*(1-E907))</f>
        <v>#DIV/0!</v>
      </c>
      <c r="G925" s="1367"/>
      <c r="H925" s="1"/>
      <c r="I925" s="1"/>
      <c r="J925" s="1"/>
      <c r="K925" s="9"/>
      <c r="L925" s="1"/>
      <c r="M925" s="319"/>
      <c r="N925" s="319">
        <v>5097306</v>
      </c>
      <c r="O925" s="319"/>
      <c r="P925" s="319"/>
      <c r="Q925" s="319">
        <f>IF(C925=$F$1170,$G$1170,1)*E925</f>
        <v>0</v>
      </c>
      <c r="R925" s="319"/>
      <c r="S925" s="319"/>
      <c r="T925" s="319"/>
      <c r="U925" s="319"/>
      <c r="V925" s="319"/>
      <c r="W925" s="319"/>
      <c r="X925" s="319"/>
      <c r="Y925" s="319"/>
      <c r="Z925" s="319"/>
      <c r="AA925" s="319"/>
      <c r="AB925" s="319"/>
      <c r="AC925" s="319"/>
      <c r="AD925" s="319"/>
      <c r="AE925" s="319"/>
      <c r="AF925" s="319"/>
      <c r="AG925" s="319"/>
      <c r="AH925" s="319"/>
      <c r="AI925" s="319"/>
      <c r="AJ925" s="319"/>
      <c r="AK925" s="319"/>
      <c r="AL925" s="319"/>
      <c r="AM925" s="319"/>
      <c r="AN925" s="319"/>
      <c r="AO925" s="319"/>
      <c r="AP925" s="319"/>
      <c r="AQ925" s="319"/>
      <c r="AR925" s="319"/>
      <c r="AS925" s="319"/>
      <c r="AT925" s="319"/>
      <c r="AU925" s="319"/>
      <c r="AV925" s="319"/>
      <c r="AW925" s="319"/>
      <c r="AX925" s="319"/>
      <c r="AY925" s="319"/>
      <c r="AZ925" s="319"/>
      <c r="BA925" s="319"/>
      <c r="BB925" s="319"/>
      <c r="BC925" s="319"/>
      <c r="BD925" s="319"/>
      <c r="BE925" s="319"/>
      <c r="BF925" s="319"/>
      <c r="BG925" s="319"/>
      <c r="BH925" s="319"/>
      <c r="BI925" s="319"/>
      <c r="BJ925" s="319"/>
      <c r="BK925" s="319"/>
      <c r="BL925" s="319"/>
      <c r="BM925" s="319"/>
      <c r="BN925" s="319"/>
      <c r="BO925" s="319"/>
      <c r="BP925" s="319"/>
      <c r="BQ925" s="319"/>
      <c r="BR925" s="319"/>
      <c r="BS925" s="319"/>
      <c r="BT925" s="319"/>
      <c r="BU925" s="319"/>
      <c r="BV925" s="319"/>
      <c r="BW925" s="319"/>
      <c r="BX925" s="319"/>
      <c r="BY925" s="319"/>
      <c r="BZ925" s="319"/>
      <c r="CA925" s="319"/>
      <c r="CB925" s="319"/>
      <c r="CC925" s="319"/>
      <c r="CD925" s="319"/>
      <c r="CE925" s="319"/>
      <c r="CF925" s="319"/>
      <c r="CG925" s="319"/>
      <c r="CH925" s="319"/>
      <c r="CI925" s="319"/>
      <c r="CJ925" s="319"/>
      <c r="CK925" s="319"/>
    </row>
    <row r="926" spans="1:89" ht="13.2" hidden="1">
      <c r="A926" s="12"/>
      <c r="B926" s="1" t="str">
        <f>B916</f>
        <v>Tipo de Combustível</v>
      </c>
      <c r="C926" s="1"/>
      <c r="D926" s="1"/>
      <c r="E926" s="419" t="s">
        <v>7046</v>
      </c>
      <c r="F926" s="1"/>
      <c r="G926" s="1"/>
      <c r="H926" s="1"/>
      <c r="I926" s="1"/>
      <c r="J926" s="1"/>
      <c r="K926" s="9"/>
      <c r="L926" s="1"/>
      <c r="M926" s="319"/>
      <c r="N926" s="319">
        <v>2010106</v>
      </c>
      <c r="O926" s="319"/>
      <c r="P926" s="319"/>
      <c r="Q926" s="319"/>
      <c r="R926" s="319"/>
      <c r="S926" s="319"/>
      <c r="T926" s="319"/>
      <c r="U926" s="319"/>
      <c r="V926" s="319"/>
      <c r="W926" s="319"/>
      <c r="X926" s="319"/>
      <c r="Y926" s="319"/>
      <c r="Z926" s="319"/>
      <c r="AA926" s="319"/>
      <c r="AB926" s="319"/>
      <c r="AC926" s="319"/>
      <c r="AD926" s="319"/>
      <c r="AE926" s="319"/>
      <c r="AF926" s="319"/>
      <c r="AG926" s="319"/>
      <c r="AH926" s="319"/>
      <c r="AI926" s="319"/>
      <c r="AJ926" s="319"/>
      <c r="AK926" s="319"/>
      <c r="AL926" s="319"/>
      <c r="AM926" s="319"/>
      <c r="AN926" s="319"/>
      <c r="AO926" s="319"/>
      <c r="AP926" s="319"/>
      <c r="AQ926" s="319"/>
      <c r="AR926" s="319"/>
      <c r="AS926" s="319"/>
      <c r="AT926" s="319"/>
      <c r="AU926" s="319"/>
      <c r="AV926" s="319"/>
      <c r="AW926" s="319"/>
      <c r="AX926" s="319"/>
      <c r="AY926" s="319"/>
      <c r="AZ926" s="319"/>
      <c r="BA926" s="319"/>
      <c r="BB926" s="319"/>
      <c r="BC926" s="319"/>
      <c r="BD926" s="319"/>
      <c r="BE926" s="319"/>
      <c r="BF926" s="319"/>
      <c r="BG926" s="319"/>
      <c r="BH926" s="319"/>
      <c r="BI926" s="319"/>
      <c r="BJ926" s="319"/>
      <c r="BK926" s="319"/>
      <c r="BL926" s="319"/>
      <c r="BM926" s="319"/>
      <c r="BN926" s="319"/>
      <c r="BO926" s="319"/>
      <c r="BP926" s="319"/>
      <c r="BQ926" s="319"/>
      <c r="BR926" s="319"/>
      <c r="BS926" s="319"/>
      <c r="BT926" s="319"/>
      <c r="BU926" s="319"/>
      <c r="BV926" s="319"/>
      <c r="BW926" s="319"/>
      <c r="BX926" s="319"/>
      <c r="BY926" s="319"/>
      <c r="BZ926" s="319"/>
      <c r="CA926" s="319"/>
      <c r="CB926" s="319"/>
      <c r="CC926" s="319"/>
      <c r="CD926" s="319"/>
      <c r="CE926" s="319"/>
      <c r="CF926" s="319"/>
      <c r="CG926" s="319"/>
      <c r="CH926" s="319"/>
      <c r="CI926" s="319"/>
      <c r="CJ926" s="319"/>
      <c r="CK926" s="319"/>
    </row>
    <row r="927" spans="1:89" ht="13.5" hidden="1" customHeight="1">
      <c r="A927" s="12"/>
      <c r="B927" s="1" t="str">
        <f>$B$802</f>
        <v>Eficiência Sazonal</v>
      </c>
      <c r="C927" s="29" t="str">
        <f>$C$254</f>
        <v>%</v>
      </c>
      <c r="D927" s="1"/>
      <c r="E927" s="339"/>
      <c r="F927" s="1"/>
      <c r="G927" s="1"/>
      <c r="H927" s="1"/>
      <c r="I927" s="1"/>
      <c r="J927" s="1"/>
      <c r="K927" s="9"/>
      <c r="L927" s="1"/>
      <c r="M927" s="319"/>
      <c r="N927" s="319">
        <v>2020208</v>
      </c>
      <c r="O927" s="319"/>
      <c r="P927" s="319"/>
      <c r="Q927" s="319"/>
      <c r="R927" s="319"/>
      <c r="S927" s="319"/>
      <c r="T927" s="319"/>
      <c r="U927" s="319"/>
      <c r="V927" s="319"/>
      <c r="W927" s="319"/>
      <c r="X927" s="319"/>
      <c r="Y927" s="319"/>
      <c r="Z927" s="319"/>
      <c r="AA927" s="319"/>
      <c r="AB927" s="319"/>
      <c r="AC927" s="319"/>
      <c r="AD927" s="319"/>
      <c r="AE927" s="319"/>
      <c r="AF927" s="319"/>
      <c r="AG927" s="319"/>
      <c r="AH927" s="319"/>
      <c r="AI927" s="319"/>
      <c r="AJ927" s="319"/>
      <c r="AK927" s="319"/>
      <c r="AL927" s="319"/>
      <c r="AM927" s="319"/>
      <c r="AN927" s="319"/>
      <c r="AO927" s="319"/>
      <c r="AP927" s="319"/>
      <c r="AQ927" s="319"/>
      <c r="AR927" s="319"/>
      <c r="AS927" s="319"/>
      <c r="AT927" s="319"/>
      <c r="AU927" s="319"/>
      <c r="AV927" s="319"/>
      <c r="AW927" s="319"/>
      <c r="AX927" s="319"/>
      <c r="AY927" s="319"/>
      <c r="AZ927" s="319"/>
      <c r="BA927" s="319"/>
      <c r="BB927" s="319"/>
      <c r="BC927" s="319"/>
      <c r="BD927" s="319"/>
      <c r="BE927" s="319"/>
      <c r="BF927" s="319"/>
      <c r="BG927" s="319"/>
      <c r="BH927" s="319"/>
      <c r="BI927" s="319"/>
      <c r="BJ927" s="319"/>
      <c r="BK927" s="319"/>
      <c r="BL927" s="319"/>
      <c r="BM927" s="319"/>
      <c r="BN927" s="319"/>
      <c r="BO927" s="319"/>
      <c r="BP927" s="319"/>
      <c r="BQ927" s="319"/>
      <c r="BR927" s="319"/>
      <c r="BS927" s="319"/>
      <c r="BT927" s="319"/>
      <c r="BU927" s="319"/>
      <c r="BV927" s="319"/>
      <c r="BW927" s="319"/>
      <c r="BX927" s="319"/>
      <c r="BY927" s="319"/>
      <c r="BZ927" s="319"/>
      <c r="CA927" s="319"/>
      <c r="CB927" s="319"/>
      <c r="CC927" s="319"/>
      <c r="CD927" s="319"/>
      <c r="CE927" s="319"/>
      <c r="CF927" s="319"/>
      <c r="CG927" s="319"/>
      <c r="CH927" s="319"/>
      <c r="CI927" s="319"/>
      <c r="CJ927" s="319"/>
      <c r="CK927" s="319"/>
    </row>
    <row r="928" spans="1:89" ht="13.5" hidden="1" customHeight="1">
      <c r="A928" s="12"/>
      <c r="B928" s="1" t="str">
        <f>B918</f>
        <v>Consumo de combustível - anual</v>
      </c>
      <c r="C928" s="29" t="str">
        <f>VLOOKUP(E926,LN_FuelList,3,FALSE)</f>
        <v>m³</v>
      </c>
      <c r="D928" s="1"/>
      <c r="E928" s="30">
        <f>IF(ISERROR((Q910-P915)/VLOOKUP(E926,LN_FuelList,4,FALSE)*1000/E927*O928),0,(Q910-P915)/VLOOKUP(E926,LN_FuelList,4,FALSE)*1000/E927*O928)</f>
        <v>0</v>
      </c>
      <c r="F928" s="1"/>
      <c r="G928" s="1"/>
      <c r="H928" s="1"/>
      <c r="I928" s="1"/>
      <c r="J928" s="1"/>
      <c r="K928" s="9"/>
      <c r="L928" s="1"/>
      <c r="M928" s="319"/>
      <c r="N928" s="319">
        <v>5097208</v>
      </c>
      <c r="O928" s="319">
        <f>IF(E924=0,1,IF(Q925/(IF(C914=$F$1170,$G$1170,1)*E924)&gt;1,1,Q925/(IF(C914=$F$1170,$G$1170,1)*E924)))</f>
        <v>1</v>
      </c>
      <c r="P928" s="319"/>
      <c r="Q928" s="319"/>
      <c r="R928" s="319"/>
      <c r="S928" s="319"/>
      <c r="T928" s="319"/>
      <c r="U928" s="319"/>
      <c r="V928" s="319"/>
      <c r="W928" s="319"/>
      <c r="X928" s="319"/>
      <c r="Y928" s="319"/>
      <c r="Z928" s="319"/>
      <c r="AA928" s="319"/>
      <c r="AB928" s="319"/>
      <c r="AC928" s="319"/>
      <c r="AD928" s="319"/>
      <c r="AE928" s="319"/>
      <c r="AF928" s="319"/>
      <c r="AG928" s="319"/>
      <c r="AH928" s="319"/>
      <c r="AI928" s="319"/>
      <c r="AJ928" s="319"/>
      <c r="AK928" s="319"/>
      <c r="AL928" s="319"/>
      <c r="AM928" s="319"/>
      <c r="AN928" s="319"/>
      <c r="AO928" s="319"/>
      <c r="AP928" s="319"/>
      <c r="AQ928" s="319"/>
      <c r="AR928" s="319"/>
      <c r="AS928" s="319"/>
      <c r="AT928" s="319"/>
      <c r="AU928" s="319"/>
      <c r="AV928" s="319"/>
      <c r="AW928" s="319"/>
      <c r="AX928" s="319"/>
      <c r="AY928" s="319"/>
      <c r="AZ928" s="319"/>
      <c r="BA928" s="319"/>
      <c r="BB928" s="319"/>
      <c r="BC928" s="319"/>
      <c r="BD928" s="319"/>
      <c r="BE928" s="319"/>
      <c r="BF928" s="319"/>
      <c r="BG928" s="319"/>
      <c r="BH928" s="319"/>
      <c r="BI928" s="319"/>
      <c r="BJ928" s="319"/>
      <c r="BK928" s="319"/>
      <c r="BL928" s="319"/>
      <c r="BM928" s="319"/>
      <c r="BN928" s="319"/>
      <c r="BO928" s="319"/>
      <c r="BP928" s="319"/>
      <c r="BQ928" s="319"/>
      <c r="BR928" s="319"/>
      <c r="BS928" s="319"/>
      <c r="BT928" s="319"/>
      <c r="BU928" s="319"/>
      <c r="BV928" s="319"/>
      <c r="BW928" s="319"/>
      <c r="BX928" s="319"/>
      <c r="BY928" s="319"/>
      <c r="BZ928" s="319"/>
      <c r="CA928" s="319"/>
      <c r="CB928" s="319"/>
      <c r="CC928" s="319"/>
      <c r="CD928" s="319"/>
      <c r="CE928" s="319"/>
      <c r="CF928" s="319"/>
      <c r="CG928" s="319"/>
      <c r="CH928" s="319"/>
      <c r="CI928" s="319"/>
      <c r="CJ928" s="319"/>
      <c r="CK928" s="319"/>
    </row>
    <row r="929" spans="1:89" ht="12.75" hidden="1" customHeight="1">
      <c r="A929" s="12"/>
      <c r="B929" s="1" t="str">
        <f>B786</f>
        <v>Calor fornecido</v>
      </c>
      <c r="C929" s="29" t="str">
        <f>C577</f>
        <v>MWh</v>
      </c>
      <c r="D929" s="1"/>
      <c r="E929" s="140">
        <f>IF(E910-E915&lt;0,0,E910-E915)*O928</f>
        <v>0</v>
      </c>
      <c r="F929" s="80" t="e">
        <f>1-F915</f>
        <v>#DIV/0!</v>
      </c>
      <c r="G929" s="1"/>
      <c r="H929" s="1"/>
      <c r="I929" s="1"/>
      <c r="J929" s="1"/>
      <c r="K929" s="9"/>
      <c r="L929" s="1"/>
      <c r="M929" s="319"/>
      <c r="N929" s="319">
        <v>5097206</v>
      </c>
      <c r="O929" s="319"/>
      <c r="P929" s="319"/>
      <c r="Q929" s="319"/>
      <c r="R929" s="319"/>
      <c r="S929" s="319"/>
      <c r="T929" s="319"/>
      <c r="U929" s="319"/>
      <c r="V929" s="319"/>
      <c r="W929" s="319"/>
      <c r="X929" s="319"/>
      <c r="Y929" s="319"/>
      <c r="Z929" s="319"/>
      <c r="AA929" s="319"/>
      <c r="AB929" s="319"/>
      <c r="AC929" s="319"/>
      <c r="AD929" s="319"/>
      <c r="AE929" s="319"/>
      <c r="AF929" s="319"/>
      <c r="AG929" s="319"/>
      <c r="AH929" s="319"/>
      <c r="AI929" s="319"/>
      <c r="AJ929" s="319"/>
      <c r="AK929" s="319"/>
      <c r="AL929" s="319"/>
      <c r="AM929" s="319"/>
      <c r="AN929" s="319"/>
      <c r="AO929" s="319"/>
      <c r="AP929" s="319"/>
      <c r="AQ929" s="319"/>
      <c r="AR929" s="319"/>
      <c r="AS929" s="319"/>
      <c r="AT929" s="319"/>
      <c r="AU929" s="319"/>
      <c r="AV929" s="319"/>
      <c r="AW929" s="319"/>
      <c r="AX929" s="319"/>
      <c r="AY929" s="319"/>
      <c r="AZ929" s="319"/>
      <c r="BA929" s="319"/>
      <c r="BB929" s="319"/>
      <c r="BC929" s="319"/>
      <c r="BD929" s="319"/>
      <c r="BE929" s="319"/>
      <c r="BF929" s="319"/>
      <c r="BG929" s="319"/>
      <c r="BH929" s="319"/>
      <c r="BI929" s="319"/>
      <c r="BJ929" s="319"/>
      <c r="BK929" s="319"/>
      <c r="BL929" s="319"/>
      <c r="BM929" s="319"/>
      <c r="BN929" s="319"/>
      <c r="BO929" s="319"/>
      <c r="BP929" s="319"/>
      <c r="BQ929" s="319"/>
      <c r="BR929" s="319"/>
      <c r="BS929" s="319"/>
      <c r="BT929" s="319"/>
      <c r="BU929" s="319"/>
      <c r="BV929" s="319"/>
      <c r="BW929" s="319"/>
      <c r="BX929" s="319"/>
      <c r="BY929" s="319"/>
      <c r="BZ929" s="319"/>
      <c r="CA929" s="319"/>
      <c r="CB929" s="319"/>
      <c r="CC929" s="319"/>
      <c r="CD929" s="319"/>
      <c r="CE929" s="319"/>
      <c r="CF929" s="319"/>
      <c r="CG929" s="319"/>
      <c r="CH929" s="319"/>
      <c r="CI929" s="319"/>
      <c r="CJ929" s="319"/>
      <c r="CK929" s="319"/>
    </row>
    <row r="930" spans="1:89" ht="12.75" hidden="1" customHeight="1">
      <c r="A930" s="12"/>
      <c r="B930" s="1" t="str">
        <f>B919</f>
        <v>Preço do combustível</v>
      </c>
      <c r="C930" s="29" t="str">
        <f>VLOOKUP(E926,LN_FuelList,5,FALSE)</f>
        <v>€/m³</v>
      </c>
      <c r="D930" s="1"/>
      <c r="E930" s="399"/>
      <c r="F930" s="1"/>
      <c r="G930" s="1"/>
      <c r="H930" s="1"/>
      <c r="I930" s="1"/>
      <c r="J930" s="1"/>
      <c r="K930" s="9"/>
      <c r="L930" s="1"/>
      <c r="M930" s="319"/>
      <c r="N930" s="319">
        <v>2010108</v>
      </c>
      <c r="O930" s="319"/>
      <c r="P930" s="319"/>
      <c r="Q930" s="319"/>
      <c r="R930" s="319"/>
      <c r="S930" s="319"/>
      <c r="T930" s="319"/>
      <c r="U930" s="319"/>
      <c r="V930" s="319"/>
      <c r="W930" s="319"/>
      <c r="X930" s="319"/>
      <c r="Y930" s="319"/>
      <c r="Z930" s="319"/>
      <c r="AA930" s="319"/>
      <c r="AB930" s="319"/>
      <c r="AC930" s="319"/>
      <c r="AD930" s="319"/>
      <c r="AE930" s="319"/>
      <c r="AF930" s="319"/>
      <c r="AG930" s="319"/>
      <c r="AH930" s="319"/>
      <c r="AI930" s="319"/>
      <c r="AJ930" s="319"/>
      <c r="AK930" s="319"/>
      <c r="AL930" s="319"/>
      <c r="AM930" s="319"/>
      <c r="AN930" s="319"/>
      <c r="AO930" s="319"/>
      <c r="AP930" s="319"/>
      <c r="AQ930" s="319"/>
      <c r="AR930" s="319"/>
      <c r="AS930" s="319"/>
      <c r="AT930" s="319"/>
      <c r="AU930" s="319"/>
      <c r="AV930" s="319"/>
      <c r="AW930" s="319"/>
      <c r="AX930" s="319"/>
      <c r="AY930" s="319"/>
      <c r="AZ930" s="319"/>
      <c r="BA930" s="319"/>
      <c r="BB930" s="319"/>
      <c r="BC930" s="319"/>
      <c r="BD930" s="319"/>
      <c r="BE930" s="319"/>
      <c r="BF930" s="319"/>
      <c r="BG930" s="319"/>
      <c r="BH930" s="319"/>
      <c r="BI930" s="319"/>
      <c r="BJ930" s="319"/>
      <c r="BK930" s="319"/>
      <c r="BL930" s="319"/>
      <c r="BM930" s="319"/>
      <c r="BN930" s="319"/>
      <c r="BO930" s="319"/>
      <c r="BP930" s="319"/>
      <c r="BQ930" s="319"/>
      <c r="BR930" s="319"/>
      <c r="BS930" s="319"/>
      <c r="BT930" s="319"/>
      <c r="BU930" s="319"/>
      <c r="BV930" s="319"/>
      <c r="BW930" s="319"/>
      <c r="BX930" s="319"/>
      <c r="BY930" s="319"/>
      <c r="BZ930" s="319"/>
      <c r="CA930" s="319"/>
      <c r="CB930" s="319"/>
      <c r="CC930" s="319"/>
      <c r="CD930" s="319"/>
      <c r="CE930" s="319"/>
      <c r="CF930" s="319"/>
      <c r="CG930" s="319"/>
      <c r="CH930" s="319"/>
      <c r="CI930" s="319"/>
      <c r="CJ930" s="319"/>
      <c r="CK930" s="319"/>
    </row>
    <row r="931" spans="1:89" ht="13.5" hidden="1" customHeight="1">
      <c r="A931" s="12"/>
      <c r="B931" s="1" t="str">
        <f>B920</f>
        <v>Custo do combustível</v>
      </c>
      <c r="C931" s="29" t="str">
        <f>$C$805</f>
        <v>€</v>
      </c>
      <c r="D931" s="1"/>
      <c r="E931" s="30">
        <f>IF(E926=F1098,1000,1)*E928*E930</f>
        <v>0</v>
      </c>
      <c r="F931" s="1"/>
      <c r="G931" s="1"/>
      <c r="H931" s="1"/>
      <c r="I931" s="1"/>
      <c r="J931" s="1"/>
      <c r="K931" s="9"/>
      <c r="L931" s="1"/>
      <c r="M931" s="319"/>
      <c r="N931" s="319">
        <v>5097210</v>
      </c>
      <c r="O931" s="319"/>
      <c r="P931" s="319"/>
      <c r="Q931" s="319"/>
      <c r="R931" s="319"/>
      <c r="S931" s="319"/>
      <c r="T931" s="319"/>
      <c r="U931" s="319"/>
      <c r="V931" s="319"/>
      <c r="W931" s="319"/>
      <c r="X931" s="319"/>
      <c r="Y931" s="319"/>
      <c r="Z931" s="319"/>
      <c r="AA931" s="319"/>
      <c r="AB931" s="319"/>
      <c r="AC931" s="319"/>
      <c r="AD931" s="319"/>
      <c r="AE931" s="319"/>
      <c r="AF931" s="319"/>
      <c r="AG931" s="319"/>
      <c r="AH931" s="319"/>
      <c r="AI931" s="319"/>
      <c r="AJ931" s="319"/>
      <c r="AK931" s="319"/>
      <c r="AL931" s="319"/>
      <c r="AM931" s="319"/>
      <c r="AN931" s="319"/>
      <c r="AO931" s="319"/>
      <c r="AP931" s="319"/>
      <c r="AQ931" s="319"/>
      <c r="AR931" s="319"/>
      <c r="AS931" s="319"/>
      <c r="AT931" s="319"/>
      <c r="AU931" s="319"/>
      <c r="AV931" s="319"/>
      <c r="AW931" s="319"/>
      <c r="AX931" s="319"/>
      <c r="AY931" s="319"/>
      <c r="AZ931" s="319"/>
      <c r="BA931" s="319"/>
      <c r="BB931" s="319"/>
      <c r="BC931" s="319"/>
      <c r="BD931" s="319"/>
      <c r="BE931" s="319"/>
      <c r="BF931" s="319"/>
      <c r="BG931" s="319"/>
      <c r="BH931" s="319"/>
      <c r="BI931" s="319"/>
      <c r="BJ931" s="319"/>
      <c r="BK931" s="319"/>
      <c r="BL931" s="319"/>
      <c r="BM931" s="319"/>
      <c r="BN931" s="319"/>
      <c r="BO931" s="319"/>
      <c r="BP931" s="319"/>
      <c r="BQ931" s="319"/>
      <c r="BR931" s="319"/>
      <c r="BS931" s="319"/>
      <c r="BT931" s="319"/>
      <c r="BU931" s="319"/>
      <c r="BV931" s="319"/>
      <c r="BW931" s="319"/>
      <c r="BX931" s="319"/>
      <c r="BY931" s="319"/>
      <c r="BZ931" s="319"/>
      <c r="CA931" s="319"/>
      <c r="CB931" s="319"/>
      <c r="CC931" s="319"/>
      <c r="CD931" s="319"/>
      <c r="CE931" s="319"/>
      <c r="CF931" s="319"/>
      <c r="CG931" s="319"/>
      <c r="CH931" s="319"/>
      <c r="CI931" s="319"/>
      <c r="CJ931" s="319"/>
      <c r="CK931" s="319"/>
    </row>
    <row r="932" spans="1:89" ht="13.5" hidden="1" customHeight="1">
      <c r="A932" s="14"/>
      <c r="B932" s="15"/>
      <c r="C932" s="33"/>
      <c r="D932" s="15"/>
      <c r="E932" s="34"/>
      <c r="F932" s="15"/>
      <c r="G932" s="15"/>
      <c r="H932" s="15"/>
      <c r="I932" s="15"/>
      <c r="J932" s="15"/>
      <c r="K932" s="11"/>
      <c r="L932" s="1"/>
      <c r="M932" s="319"/>
      <c r="N932" s="319">
        <v>5097300</v>
      </c>
      <c r="O932" s="319"/>
      <c r="P932" s="319"/>
      <c r="Q932" s="556"/>
      <c r="R932" s="319" t="s">
        <v>5769</v>
      </c>
      <c r="S932" s="319" t="str">
        <f>IF(EE_UserCode=1,D938,F1098)</f>
        <v>Gas natural - m³</v>
      </c>
      <c r="T932" s="319" t="str">
        <f>IF(EE_UserCode=1,E938,IF(EE_UserCode=2,VLOOKUP(E943,H1150:I1156,2,FALSE),D943))</f>
        <v xml:space="preserve">Biomassa </v>
      </c>
      <c r="U932" s="319"/>
      <c r="V932" s="319"/>
      <c r="W932" s="319"/>
      <c r="X932" s="319"/>
      <c r="Y932" s="319"/>
      <c r="Z932" s="319"/>
      <c r="AA932" s="319"/>
      <c r="AB932" s="319"/>
      <c r="AC932" s="319"/>
      <c r="AD932" s="319"/>
      <c r="AE932" s="319"/>
      <c r="AF932" s="319"/>
      <c r="AG932" s="319"/>
      <c r="AH932" s="319"/>
      <c r="AI932" s="319"/>
      <c r="AJ932" s="319"/>
      <c r="AK932" s="319"/>
      <c r="AL932" s="319"/>
      <c r="AM932" s="319"/>
      <c r="AN932" s="319"/>
      <c r="AO932" s="319"/>
      <c r="AP932" s="319"/>
      <c r="AQ932" s="319"/>
      <c r="AR932" s="319"/>
      <c r="AS932" s="319"/>
      <c r="AT932" s="319"/>
      <c r="AU932" s="319"/>
      <c r="AV932" s="319"/>
      <c r="AW932" s="319"/>
      <c r="AX932" s="319"/>
      <c r="AY932" s="319"/>
      <c r="AZ932" s="319"/>
      <c r="BA932" s="319"/>
      <c r="BB932" s="319"/>
      <c r="BC932" s="319"/>
      <c r="BD932" s="319"/>
      <c r="BE932" s="319"/>
      <c r="BF932" s="319"/>
      <c r="BG932" s="319"/>
      <c r="BH932" s="319"/>
      <c r="BI932" s="319"/>
      <c r="BJ932" s="319"/>
      <c r="BK932" s="319"/>
      <c r="BL932" s="319"/>
      <c r="BM932" s="319"/>
      <c r="BN932" s="319"/>
      <c r="BO932" s="319"/>
      <c r="BP932" s="319"/>
      <c r="BQ932" s="319"/>
      <c r="BR932" s="319"/>
      <c r="BS932" s="319"/>
      <c r="BT932" s="319"/>
      <c r="BU932" s="319"/>
      <c r="BV932" s="319"/>
      <c r="BW932" s="319"/>
      <c r="BX932" s="319"/>
      <c r="BY932" s="319"/>
      <c r="BZ932" s="319"/>
      <c r="CA932" s="319"/>
      <c r="CB932" s="319"/>
      <c r="CC932" s="319"/>
      <c r="CD932" s="319"/>
      <c r="CE932" s="319"/>
      <c r="CF932" s="319"/>
      <c r="CG932" s="319"/>
      <c r="CH932" s="319"/>
      <c r="CI932" s="319"/>
      <c r="CJ932" s="319"/>
      <c r="CK932" s="319"/>
    </row>
    <row r="933" spans="1:89" ht="12.75" hidden="1" customHeight="1">
      <c r="A933" s="12"/>
      <c r="B933" s="28" t="str">
        <f>G1183</f>
        <v>Definido pelo usuário</v>
      </c>
      <c r="C933" s="1011" t="s">
        <v>942</v>
      </c>
      <c r="D933" s="265" t="str">
        <f>Language!C847</f>
        <v>Energia</v>
      </c>
      <c r="E933" s="30"/>
      <c r="F933" s="1"/>
      <c r="G933" s="1"/>
      <c r="H933" s="1"/>
      <c r="I933" s="1"/>
      <c r="J933" s="1"/>
      <c r="K933" s="9"/>
      <c r="L933" s="1"/>
      <c r="M933" s="393">
        <f>IF(Q933=TRUE,1,IF(Q934=TRUE,2,3))</f>
        <v>1</v>
      </c>
      <c r="N933" s="319">
        <v>5099000</v>
      </c>
      <c r="O933" s="319"/>
      <c r="P933" s="319"/>
      <c r="Q933" s="3" t="b">
        <v>1</v>
      </c>
      <c r="R933" s="319" t="s">
        <v>2984</v>
      </c>
      <c r="S933" s="494">
        <f>IF(EE_UserCode=1,D939,IF(EE_UserCode=2,E944*E945*8.76,0))</f>
        <v>0</v>
      </c>
      <c r="T933" s="494">
        <f>IF(EE_UserCode=1,E939,IF(EE_UserCode=2,E944*E945*8.76,0))</f>
        <v>0</v>
      </c>
      <c r="U933" s="319"/>
      <c r="V933" s="319"/>
      <c r="W933" s="319"/>
      <c r="X933" s="319"/>
      <c r="Y933" s="319"/>
      <c r="Z933" s="319"/>
      <c r="AA933" s="319"/>
      <c r="AB933" s="319"/>
      <c r="AC933" s="319"/>
      <c r="AD933" s="319"/>
      <c r="AE933" s="319"/>
      <c r="AF933" s="319"/>
      <c r="AG933" s="319"/>
      <c r="AH933" s="319"/>
      <c r="AI933" s="319"/>
      <c r="AJ933" s="319"/>
      <c r="AK933" s="319"/>
      <c r="AL933" s="319"/>
      <c r="AM933" s="319"/>
      <c r="AN933" s="319"/>
      <c r="AO933" s="319"/>
      <c r="AP933" s="319"/>
      <c r="AQ933" s="319"/>
      <c r="AR933" s="319"/>
      <c r="AS933" s="319"/>
      <c r="AT933" s="319"/>
      <c r="AU933" s="319"/>
      <c r="AV933" s="319"/>
      <c r="AW933" s="319"/>
      <c r="AX933" s="319"/>
      <c r="AY933" s="319"/>
      <c r="AZ933" s="319"/>
      <c r="BA933" s="319"/>
      <c r="BB933" s="319"/>
      <c r="BC933" s="319"/>
      <c r="BD933" s="319"/>
      <c r="BE933" s="319"/>
      <c r="BF933" s="319"/>
      <c r="BG933" s="319"/>
      <c r="BH933" s="319"/>
      <c r="BI933" s="319"/>
      <c r="BJ933" s="319"/>
      <c r="BK933" s="319"/>
      <c r="BL933" s="319"/>
      <c r="BM933" s="319"/>
      <c r="BN933" s="319"/>
      <c r="BO933" s="319"/>
      <c r="BP933" s="319"/>
      <c r="BQ933" s="319"/>
      <c r="BR933" s="319"/>
      <c r="BS933" s="319"/>
      <c r="BT933" s="319"/>
      <c r="BU933" s="319"/>
      <c r="BV933" s="319"/>
      <c r="BW933" s="319"/>
      <c r="BX933" s="319"/>
      <c r="BY933" s="319"/>
      <c r="BZ933" s="319"/>
      <c r="CA933" s="319"/>
      <c r="CB933" s="319"/>
      <c r="CC933" s="319"/>
      <c r="CD933" s="319"/>
      <c r="CE933" s="319"/>
      <c r="CF933" s="319"/>
      <c r="CG933" s="319"/>
      <c r="CH933" s="319"/>
      <c r="CI933" s="319"/>
      <c r="CJ933" s="319"/>
      <c r="CK933" s="319"/>
    </row>
    <row r="934" spans="1:89" ht="12.75" hidden="1" customHeight="1">
      <c r="A934" s="12"/>
      <c r="B934" s="1"/>
      <c r="C934" s="1011" t="s">
        <v>943</v>
      </c>
      <c r="D934" s="265" t="str">
        <f>Language!C1703</f>
        <v>Energia Verde</v>
      </c>
      <c r="E934" s="30"/>
      <c r="F934" s="1"/>
      <c r="G934" s="1"/>
      <c r="H934" s="1"/>
      <c r="I934" s="1"/>
      <c r="J934" s="1"/>
      <c r="K934" s="9"/>
      <c r="L934" s="1"/>
      <c r="M934" s="319">
        <f>IF(Q933=TRUE,100,IF(Q934=TRUE,200,300))</f>
        <v>100</v>
      </c>
      <c r="N934" s="319">
        <v>5099000</v>
      </c>
      <c r="O934" s="319"/>
      <c r="P934" s="319"/>
      <c r="Q934" s="3" t="b">
        <v>0</v>
      </c>
      <c r="R934" s="319" t="s">
        <v>5685</v>
      </c>
      <c r="S934" s="494">
        <f>IF(EE_UserCode=1,D940,IF(EE_UserCode=2,0,D950))</f>
        <v>0</v>
      </c>
      <c r="T934" s="494">
        <f>IF(EE_UserCode=1,E940,IF(EE_UserCode=2,0,E950))</f>
        <v>0</v>
      </c>
      <c r="U934" s="319"/>
      <c r="V934" s="319"/>
      <c r="W934" s="319"/>
      <c r="X934" s="319"/>
      <c r="Y934" s="319"/>
      <c r="Z934" s="319"/>
      <c r="AA934" s="319"/>
      <c r="AB934" s="319"/>
      <c r="AC934" s="319"/>
      <c r="AD934" s="319"/>
      <c r="AE934" s="319"/>
      <c r="AF934" s="319"/>
      <c r="AG934" s="319"/>
      <c r="AH934" s="319"/>
      <c r="AI934" s="319"/>
      <c r="AJ934" s="319"/>
      <c r="AK934" s="319"/>
      <c r="AL934" s="319"/>
      <c r="AM934" s="319"/>
      <c r="AN934" s="319"/>
      <c r="AO934" s="319"/>
      <c r="AP934" s="319"/>
      <c r="AQ934" s="319"/>
      <c r="AR934" s="319"/>
      <c r="AS934" s="319"/>
      <c r="AT934" s="319"/>
      <c r="AU934" s="319"/>
      <c r="AV934" s="319"/>
      <c r="AW934" s="319"/>
      <c r="AX934" s="319"/>
      <c r="AY934" s="319"/>
      <c r="AZ934" s="319"/>
      <c r="BA934" s="319"/>
      <c r="BB934" s="319"/>
      <c r="BC934" s="319"/>
      <c r="BD934" s="319"/>
      <c r="BE934" s="319"/>
      <c r="BF934" s="319"/>
      <c r="BG934" s="319"/>
      <c r="BH934" s="319"/>
      <c r="BI934" s="319"/>
      <c r="BJ934" s="319"/>
      <c r="BK934" s="319"/>
      <c r="BL934" s="319"/>
      <c r="BM934" s="319"/>
      <c r="BN934" s="319"/>
      <c r="BO934" s="319"/>
      <c r="BP934" s="319"/>
      <c r="BQ934" s="319"/>
      <c r="BR934" s="319"/>
      <c r="BS934" s="319"/>
      <c r="BT934" s="319"/>
      <c r="BU934" s="319"/>
      <c r="BV934" s="319"/>
      <c r="BW934" s="319"/>
      <c r="BX934" s="319"/>
      <c r="BY934" s="319"/>
      <c r="BZ934" s="319"/>
      <c r="CA934" s="319"/>
      <c r="CB934" s="319"/>
      <c r="CC934" s="319"/>
      <c r="CD934" s="319"/>
      <c r="CE934" s="319"/>
      <c r="CF934" s="319"/>
      <c r="CG934" s="319"/>
      <c r="CH934" s="319"/>
      <c r="CI934" s="319"/>
      <c r="CJ934" s="319"/>
      <c r="CK934" s="319"/>
    </row>
    <row r="935" spans="1:89" ht="13.5" hidden="1" customHeight="1">
      <c r="A935" s="12"/>
      <c r="B935" s="1"/>
      <c r="C935" s="1011" t="s">
        <v>943</v>
      </c>
      <c r="D935" s="265" t="str">
        <f>B1163</f>
        <v>Outro</v>
      </c>
      <c r="E935" s="30"/>
      <c r="F935" s="1"/>
      <c r="G935" s="1"/>
      <c r="H935" s="1"/>
      <c r="I935" s="1"/>
      <c r="J935" s="1"/>
      <c r="K935" s="9"/>
      <c r="L935" s="1"/>
      <c r="M935" s="319"/>
      <c r="N935" s="319">
        <v>5099000</v>
      </c>
      <c r="O935" s="319"/>
      <c r="P935" s="319"/>
      <c r="Q935" s="3" t="b">
        <v>0</v>
      </c>
      <c r="R935" s="319" t="s">
        <v>4129</v>
      </c>
      <c r="S935" s="319"/>
      <c r="T935" s="494">
        <f>IF(EE_UserCode=1,E941,IF(EE_UserCode=2,E944*E947,E951))</f>
        <v>0</v>
      </c>
      <c r="U935" s="319"/>
      <c r="V935" s="319"/>
      <c r="W935" s="319"/>
      <c r="X935" s="319"/>
      <c r="Y935" s="319"/>
      <c r="Z935" s="319"/>
      <c r="AA935" s="319"/>
      <c r="AB935" s="319"/>
      <c r="AC935" s="319"/>
      <c r="AD935" s="319"/>
      <c r="AE935" s="319"/>
      <c r="AF935" s="319"/>
      <c r="AG935" s="319"/>
      <c r="AH935" s="319"/>
      <c r="AI935" s="319"/>
      <c r="AJ935" s="319"/>
      <c r="AK935" s="319"/>
      <c r="AL935" s="319"/>
      <c r="AM935" s="319"/>
      <c r="AN935" s="319"/>
      <c r="AO935" s="319"/>
      <c r="AP935" s="319"/>
      <c r="AQ935" s="319"/>
      <c r="AR935" s="319"/>
      <c r="AS935" s="319"/>
      <c r="AT935" s="319"/>
      <c r="AU935" s="319"/>
      <c r="AV935" s="319"/>
      <c r="AW935" s="319"/>
      <c r="AX935" s="319"/>
      <c r="AY935" s="319"/>
      <c r="AZ935" s="319"/>
      <c r="BA935" s="319"/>
      <c r="BB935" s="319"/>
      <c r="BC935" s="319"/>
      <c r="BD935" s="319"/>
      <c r="BE935" s="319"/>
      <c r="BF935" s="319"/>
      <c r="BG935" s="319"/>
      <c r="BH935" s="319"/>
      <c r="BI935" s="319"/>
      <c r="BJ935" s="319"/>
      <c r="BK935" s="319"/>
      <c r="BL935" s="319"/>
      <c r="BM935" s="319"/>
      <c r="BN935" s="319"/>
      <c r="BO935" s="319"/>
      <c r="BP935" s="319"/>
      <c r="BQ935" s="319"/>
      <c r="BR935" s="319"/>
      <c r="BS935" s="319"/>
      <c r="BT935" s="319"/>
      <c r="BU935" s="319"/>
      <c r="BV935" s="319"/>
      <c r="BW935" s="319"/>
      <c r="BX935" s="319"/>
      <c r="BY935" s="319"/>
      <c r="BZ935" s="319"/>
      <c r="CA935" s="319"/>
      <c r="CB935" s="319"/>
      <c r="CC935" s="319"/>
      <c r="CD935" s="319"/>
      <c r="CE935" s="319"/>
      <c r="CF935" s="319"/>
      <c r="CG935" s="319"/>
      <c r="CH935" s="319"/>
      <c r="CI935" s="319"/>
      <c r="CJ935" s="319"/>
      <c r="CK935" s="319"/>
    </row>
    <row r="936" spans="1:89" ht="13.5" hidden="1" customHeight="1">
      <c r="A936" s="12"/>
      <c r="B936" s="1"/>
      <c r="C936" s="29"/>
      <c r="D936" s="1"/>
      <c r="E936" s="30"/>
      <c r="F936" s="1"/>
      <c r="G936" s="1"/>
      <c r="H936" s="1"/>
      <c r="I936" s="1"/>
      <c r="J936" s="1"/>
      <c r="K936" s="9"/>
      <c r="L936" s="1"/>
      <c r="M936" s="319"/>
      <c r="N936" s="319">
        <v>5099000</v>
      </c>
      <c r="O936" s="319"/>
      <c r="P936" s="319"/>
      <c r="Q936" s="319"/>
      <c r="R936" s="319" t="s">
        <v>3288</v>
      </c>
      <c r="S936" s="319"/>
      <c r="T936" s="494">
        <f>IF(HideCode_projectType=9,IF(EE_UserCode=1,E942,IF(EE_UserCode=2,E944*E945*8760*E948,0)),0)</f>
        <v>0</v>
      </c>
      <c r="U936" s="319"/>
      <c r="V936" s="319"/>
      <c r="W936" s="319"/>
      <c r="X936" s="319"/>
      <c r="Y936" s="319"/>
      <c r="Z936" s="319"/>
      <c r="AA936" s="319"/>
      <c r="AB936" s="319"/>
      <c r="AC936" s="319"/>
      <c r="AD936" s="319"/>
      <c r="AE936" s="319"/>
      <c r="AF936" s="319"/>
      <c r="AG936" s="319"/>
      <c r="AH936" s="319"/>
      <c r="AI936" s="319"/>
      <c r="AJ936" s="319"/>
      <c r="AK936" s="319"/>
      <c r="AL936" s="319"/>
      <c r="AM936" s="319"/>
      <c r="AN936" s="319"/>
      <c r="AO936" s="319"/>
      <c r="AP936" s="319"/>
      <c r="AQ936" s="319"/>
      <c r="AR936" s="319"/>
      <c r="AS936" s="319"/>
      <c r="AT936" s="319"/>
      <c r="AU936" s="319"/>
      <c r="AV936" s="319"/>
      <c r="AW936" s="319"/>
      <c r="AX936" s="319"/>
      <c r="AY936" s="319"/>
      <c r="AZ936" s="319"/>
      <c r="BA936" s="319"/>
      <c r="BB936" s="319"/>
      <c r="BC936" s="319"/>
      <c r="BD936" s="319"/>
      <c r="BE936" s="319"/>
      <c r="BF936" s="319"/>
      <c r="BG936" s="319"/>
      <c r="BH936" s="319"/>
      <c r="BI936" s="319"/>
      <c r="BJ936" s="319"/>
      <c r="BK936" s="319"/>
      <c r="BL936" s="319"/>
      <c r="BM936" s="319"/>
      <c r="BN936" s="319"/>
      <c r="BO936" s="319"/>
      <c r="BP936" s="319"/>
      <c r="BQ936" s="319"/>
      <c r="BR936" s="319"/>
      <c r="BS936" s="319"/>
      <c r="BT936" s="319"/>
      <c r="BU936" s="319"/>
      <c r="BV936" s="319"/>
      <c r="BW936" s="319"/>
      <c r="BX936" s="319"/>
      <c r="BY936" s="319"/>
      <c r="BZ936" s="319"/>
      <c r="CA936" s="319"/>
      <c r="CB936" s="319"/>
      <c r="CC936" s="319"/>
      <c r="CD936" s="319"/>
      <c r="CE936" s="319"/>
      <c r="CF936" s="319"/>
      <c r="CG936" s="319"/>
      <c r="CH936" s="319"/>
      <c r="CI936" s="319"/>
      <c r="CJ936" s="319"/>
      <c r="CK936" s="319"/>
    </row>
    <row r="937" spans="1:89" ht="25.5" hidden="1" customHeight="1">
      <c r="A937" s="12"/>
      <c r="B937" s="1"/>
      <c r="C937" s="29"/>
      <c r="D937" s="82" t="str">
        <f>D221</f>
        <v>Caso de referência</v>
      </c>
      <c r="E937" s="82" t="str">
        <f>E221</f>
        <v>Caso proposto</v>
      </c>
      <c r="F937" s="1"/>
      <c r="G937" s="1"/>
      <c r="H937" s="1"/>
      <c r="I937" s="1"/>
      <c r="J937" s="1"/>
      <c r="K937" s="9"/>
      <c r="L937" s="1"/>
      <c r="M937" s="319"/>
      <c r="N937" s="319">
        <v>5099000</v>
      </c>
      <c r="O937" s="319"/>
      <c r="P937" s="319"/>
      <c r="Q937" s="319"/>
      <c r="R937" s="319" t="s">
        <v>4130</v>
      </c>
      <c r="S937" s="319"/>
      <c r="T937" s="494">
        <f>IF(EE_UserCode=1,0,IF(EE_UserCode=2,1,0))*E944*E945*8.76</f>
        <v>0</v>
      </c>
      <c r="U937" s="319"/>
      <c r="V937" s="319"/>
      <c r="W937" s="319"/>
      <c r="X937" s="319"/>
      <c r="Y937" s="319"/>
      <c r="Z937" s="319"/>
      <c r="AA937" s="319"/>
      <c r="AB937" s="319"/>
      <c r="AC937" s="319"/>
      <c r="AD937" s="319"/>
      <c r="AE937" s="319"/>
      <c r="AF937" s="319"/>
      <c r="AG937" s="319"/>
      <c r="AH937" s="319"/>
      <c r="AI937" s="319"/>
      <c r="AJ937" s="319"/>
      <c r="AK937" s="319"/>
      <c r="AL937" s="319"/>
      <c r="AM937" s="319"/>
      <c r="AN937" s="319"/>
      <c r="AO937" s="319"/>
      <c r="AP937" s="319"/>
      <c r="AQ937" s="319"/>
      <c r="AR937" s="319"/>
      <c r="AS937" s="319"/>
      <c r="AT937" s="319"/>
      <c r="AU937" s="319"/>
      <c r="AV937" s="319"/>
      <c r="AW937" s="319"/>
      <c r="AX937" s="319"/>
      <c r="AY937" s="319"/>
      <c r="AZ937" s="319"/>
      <c r="BA937" s="319"/>
      <c r="BB937" s="319"/>
      <c r="BC937" s="319"/>
      <c r="BD937" s="319"/>
      <c r="BE937" s="319"/>
      <c r="BF937" s="319"/>
      <c r="BG937" s="319"/>
      <c r="BH937" s="319"/>
      <c r="BI937" s="319"/>
      <c r="BJ937" s="319"/>
      <c r="BK937" s="319"/>
      <c r="BL937" s="319"/>
      <c r="BM937" s="319"/>
      <c r="BN937" s="319"/>
      <c r="BO937" s="319"/>
      <c r="BP937" s="319"/>
      <c r="BQ937" s="319"/>
      <c r="BR937" s="319"/>
      <c r="BS937" s="319"/>
      <c r="BT937" s="319"/>
      <c r="BU937" s="319"/>
      <c r="BV937" s="319"/>
      <c r="BW937" s="319"/>
      <c r="BX937" s="319"/>
      <c r="BY937" s="319"/>
      <c r="BZ937" s="319"/>
      <c r="CA937" s="319"/>
      <c r="CB937" s="319"/>
      <c r="CC937" s="319"/>
      <c r="CD937" s="319"/>
      <c r="CE937" s="319"/>
      <c r="CF937" s="319"/>
      <c r="CG937" s="319"/>
      <c r="CH937" s="319"/>
      <c r="CI937" s="319"/>
      <c r="CJ937" s="319"/>
      <c r="CK937" s="319"/>
    </row>
    <row r="938" spans="1:89" ht="13.2" hidden="1">
      <c r="A938" s="12"/>
      <c r="B938" s="1" t="str">
        <f>C957</f>
        <v>Tipo de Combustível</v>
      </c>
      <c r="C938" s="29"/>
      <c r="D938" s="419" t="s">
        <v>7046</v>
      </c>
      <c r="E938" s="419" t="s">
        <v>7152</v>
      </c>
      <c r="F938" s="1"/>
      <c r="G938" s="1"/>
      <c r="H938" s="1"/>
      <c r="I938" s="1"/>
      <c r="J938" s="1"/>
      <c r="K938" s="9"/>
      <c r="L938" s="1"/>
      <c r="M938" s="319"/>
      <c r="N938" s="319">
        <v>2010106</v>
      </c>
      <c r="O938" s="319"/>
      <c r="P938" s="319"/>
      <c r="Q938" s="319"/>
      <c r="R938" s="319"/>
      <c r="S938" s="319"/>
      <c r="T938" s="319"/>
      <c r="U938" s="319"/>
      <c r="V938" s="319"/>
      <c r="W938" s="319"/>
      <c r="X938" s="319"/>
      <c r="Y938" s="319"/>
      <c r="Z938" s="319"/>
      <c r="AA938" s="319"/>
      <c r="AB938" s="319"/>
      <c r="AC938" s="319"/>
      <c r="AD938" s="319"/>
      <c r="AE938" s="319"/>
      <c r="AF938" s="319"/>
      <c r="AG938" s="319"/>
      <c r="AH938" s="319"/>
      <c r="AI938" s="319"/>
      <c r="AJ938" s="319"/>
      <c r="AK938" s="319"/>
      <c r="AL938" s="319"/>
      <c r="AM938" s="319"/>
      <c r="AN938" s="319"/>
      <c r="AO938" s="319"/>
      <c r="AP938" s="319"/>
      <c r="AQ938" s="319"/>
      <c r="AR938" s="319"/>
      <c r="AS938" s="319"/>
      <c r="AT938" s="319"/>
      <c r="AU938" s="319"/>
      <c r="AV938" s="319"/>
      <c r="AW938" s="319"/>
      <c r="AX938" s="319"/>
      <c r="AY938" s="319"/>
      <c r="AZ938" s="319"/>
      <c r="BA938" s="319"/>
      <c r="BB938" s="319"/>
      <c r="BC938" s="319"/>
      <c r="BD938" s="319"/>
      <c r="BE938" s="319"/>
      <c r="BF938" s="319"/>
      <c r="BG938" s="319"/>
      <c r="BH938" s="319"/>
      <c r="BI938" s="319"/>
      <c r="BJ938" s="319"/>
      <c r="BK938" s="319"/>
      <c r="BL938" s="319"/>
      <c r="BM938" s="319"/>
      <c r="BN938" s="319"/>
      <c r="BO938" s="319"/>
      <c r="BP938" s="319"/>
      <c r="BQ938" s="319"/>
      <c r="BR938" s="319"/>
      <c r="BS938" s="319"/>
      <c r="BT938" s="319"/>
      <c r="BU938" s="319"/>
      <c r="BV938" s="319"/>
      <c r="BW938" s="319"/>
      <c r="BX938" s="319"/>
      <c r="BY938" s="319"/>
      <c r="BZ938" s="319"/>
      <c r="CA938" s="319"/>
      <c r="CB938" s="319"/>
      <c r="CC938" s="319"/>
      <c r="CD938" s="319"/>
      <c r="CE938" s="319"/>
      <c r="CF938" s="319"/>
      <c r="CG938" s="319"/>
      <c r="CH938" s="319"/>
      <c r="CI938" s="319"/>
      <c r="CJ938" s="319"/>
      <c r="CK938" s="319"/>
    </row>
    <row r="939" spans="1:89" ht="13.5" hidden="1" customHeight="1">
      <c r="A939" s="12"/>
      <c r="B939" s="1" t="str">
        <f>$B$803</f>
        <v>Consumo de combustível - anual</v>
      </c>
      <c r="C939" s="29" t="str">
        <f>VLOOKUP(D938,LN_FuelList,3,FALSE)</f>
        <v>m³</v>
      </c>
      <c r="D939" s="307"/>
      <c r="E939" s="307"/>
      <c r="F939" s="29" t="str">
        <f>VLOOKUP(E938,LN_FuelList,3,FALSE)</f>
        <v>t</v>
      </c>
      <c r="G939" s="1"/>
      <c r="H939" s="1"/>
      <c r="I939" s="1"/>
      <c r="J939" s="1"/>
      <c r="K939" s="9"/>
      <c r="L939" s="1"/>
      <c r="M939" s="319"/>
      <c r="N939" s="319">
        <v>5099104</v>
      </c>
      <c r="O939" s="319"/>
      <c r="P939" s="319"/>
      <c r="Q939" s="319"/>
      <c r="R939" s="319"/>
      <c r="S939" s="319"/>
      <c r="T939" s="319"/>
      <c r="U939" s="319"/>
      <c r="V939" s="319"/>
      <c r="W939" s="319"/>
      <c r="X939" s="319"/>
      <c r="Y939" s="319"/>
      <c r="Z939" s="319"/>
      <c r="AA939" s="319"/>
      <c r="AB939" s="319"/>
      <c r="AC939" s="319"/>
      <c r="AD939" s="319"/>
      <c r="AE939" s="319"/>
      <c r="AF939" s="319"/>
      <c r="AG939" s="319"/>
      <c r="AH939" s="319"/>
      <c r="AI939" s="319"/>
      <c r="AJ939" s="319"/>
      <c r="AK939" s="319"/>
      <c r="AL939" s="319"/>
      <c r="AM939" s="319"/>
      <c r="AN939" s="319"/>
      <c r="AO939" s="319"/>
      <c r="AP939" s="319"/>
      <c r="AQ939" s="319"/>
      <c r="AR939" s="319"/>
      <c r="AS939" s="319"/>
      <c r="AT939" s="319"/>
      <c r="AU939" s="319"/>
      <c r="AV939" s="319"/>
      <c r="AW939" s="319"/>
      <c r="AX939" s="319"/>
      <c r="AY939" s="319"/>
      <c r="AZ939" s="319"/>
      <c r="BA939" s="319"/>
      <c r="BB939" s="319"/>
      <c r="BC939" s="319"/>
      <c r="BD939" s="319"/>
      <c r="BE939" s="319"/>
      <c r="BF939" s="319"/>
      <c r="BG939" s="319"/>
      <c r="BH939" s="319"/>
      <c r="BI939" s="319"/>
      <c r="BJ939" s="319"/>
      <c r="BK939" s="319"/>
      <c r="BL939" s="319"/>
      <c r="BM939" s="319"/>
      <c r="BN939" s="319"/>
      <c r="BO939" s="319"/>
      <c r="BP939" s="319"/>
      <c r="BQ939" s="319"/>
      <c r="BR939" s="319"/>
      <c r="BS939" s="319"/>
      <c r="BT939" s="319"/>
      <c r="BU939" s="319"/>
      <c r="BV939" s="319"/>
      <c r="BW939" s="319"/>
      <c r="BX939" s="319"/>
      <c r="BY939" s="319"/>
      <c r="BZ939" s="319"/>
      <c r="CA939" s="319"/>
      <c r="CB939" s="319"/>
      <c r="CC939" s="319"/>
      <c r="CD939" s="319"/>
      <c r="CE939" s="319"/>
      <c r="CF939" s="319"/>
      <c r="CG939" s="319"/>
      <c r="CH939" s="319"/>
      <c r="CI939" s="319"/>
      <c r="CJ939" s="319"/>
      <c r="CK939" s="319"/>
    </row>
    <row r="940" spans="1:89" ht="12.75" hidden="1" customHeight="1">
      <c r="A940" s="12"/>
      <c r="B940" s="1" t="str">
        <f>$B$805</f>
        <v>Custo do combustível</v>
      </c>
      <c r="C940" s="29" t="str">
        <f>$C$805</f>
        <v>€</v>
      </c>
      <c r="D940" s="307"/>
      <c r="E940" s="307"/>
      <c r="F940" s="1"/>
      <c r="G940" s="1"/>
      <c r="H940" s="1"/>
      <c r="I940" s="1"/>
      <c r="J940" s="1"/>
      <c r="K940" s="9"/>
      <c r="L940" s="1"/>
      <c r="M940" s="319"/>
      <c r="N940" s="319">
        <v>5099106</v>
      </c>
      <c r="O940" s="319"/>
      <c r="P940" s="319"/>
      <c r="Q940" s="319"/>
      <c r="R940" s="319"/>
      <c r="S940" s="319"/>
      <c r="T940" s="319"/>
      <c r="U940" s="319"/>
      <c r="V940" s="319"/>
      <c r="W940" s="319"/>
      <c r="X940" s="319"/>
      <c r="Y940" s="319"/>
      <c r="Z940" s="319"/>
      <c r="AA940" s="319"/>
      <c r="AB940" s="319"/>
      <c r="AC940" s="319"/>
      <c r="AD940" s="319"/>
      <c r="AE940" s="319"/>
      <c r="AF940" s="319"/>
      <c r="AG940" s="319"/>
      <c r="AH940" s="319"/>
      <c r="AI940" s="319"/>
      <c r="AJ940" s="319"/>
      <c r="AK940" s="319"/>
      <c r="AL940" s="319"/>
      <c r="AM940" s="319"/>
      <c r="AN940" s="319"/>
      <c r="AO940" s="319"/>
      <c r="AP940" s="319"/>
      <c r="AQ940" s="319"/>
      <c r="AR940" s="319"/>
      <c r="AS940" s="319"/>
      <c r="AT940" s="319"/>
      <c r="AU940" s="319"/>
      <c r="AV940" s="319"/>
      <c r="AW940" s="319"/>
      <c r="AX940" s="319"/>
      <c r="AY940" s="319"/>
      <c r="AZ940" s="319"/>
      <c r="BA940" s="319"/>
      <c r="BB940" s="319"/>
      <c r="BC940" s="319"/>
      <c r="BD940" s="319"/>
      <c r="BE940" s="319"/>
      <c r="BF940" s="319"/>
      <c r="BG940" s="319"/>
      <c r="BH940" s="319"/>
      <c r="BI940" s="319"/>
      <c r="BJ940" s="319"/>
      <c r="BK940" s="319"/>
      <c r="BL940" s="319"/>
      <c r="BM940" s="319"/>
      <c r="BN940" s="319"/>
      <c r="BO940" s="319"/>
      <c r="BP940" s="319"/>
      <c r="BQ940" s="319"/>
      <c r="BR940" s="319"/>
      <c r="BS940" s="319"/>
      <c r="BT940" s="319"/>
      <c r="BU940" s="319"/>
      <c r="BV940" s="319"/>
      <c r="BW940" s="319"/>
      <c r="BX940" s="319"/>
      <c r="BY940" s="319"/>
      <c r="BZ940" s="319"/>
      <c r="CA940" s="319"/>
      <c r="CB940" s="319"/>
      <c r="CC940" s="319"/>
      <c r="CD940" s="319"/>
      <c r="CE940" s="319"/>
      <c r="CF940" s="319"/>
      <c r="CG940" s="319"/>
      <c r="CH940" s="319"/>
      <c r="CI940" s="319"/>
      <c r="CJ940" s="319"/>
      <c r="CK940" s="319"/>
    </row>
    <row r="941" spans="1:89" ht="12.75" hidden="1" customHeight="1">
      <c r="A941" s="12"/>
      <c r="B941" s="1" t="str">
        <f>B986</f>
        <v>Custo inicial incremental</v>
      </c>
      <c r="C941" s="29" t="str">
        <f>$C$805</f>
        <v>€</v>
      </c>
      <c r="D941" s="1"/>
      <c r="E941" s="307"/>
      <c r="F941" s="1"/>
      <c r="G941" s="1"/>
      <c r="H941" s="1"/>
      <c r="I941" s="1"/>
      <c r="J941" s="1"/>
      <c r="K941" s="9"/>
      <c r="L941" s="1"/>
      <c r="M941" s="319"/>
      <c r="N941" s="319">
        <v>5099108</v>
      </c>
      <c r="O941" s="319"/>
      <c r="P941" s="319"/>
      <c r="Q941" s="319"/>
      <c r="R941" s="319"/>
      <c r="S941" s="319"/>
      <c r="T941" s="319"/>
      <c r="U941" s="319"/>
      <c r="V941" s="319"/>
      <c r="W941" s="319"/>
      <c r="X941" s="319"/>
      <c r="Y941" s="319"/>
      <c r="Z941" s="319"/>
      <c r="AA941" s="319"/>
      <c r="AB941" s="319"/>
      <c r="AC941" s="319"/>
      <c r="AD941" s="319"/>
      <c r="AE941" s="319"/>
      <c r="AF941" s="319"/>
      <c r="AG941" s="319"/>
      <c r="AH941" s="319"/>
      <c r="AI941" s="319"/>
      <c r="AJ941" s="319"/>
      <c r="AK941" s="319"/>
      <c r="AL941" s="319"/>
      <c r="AM941" s="319"/>
      <c r="AN941" s="319"/>
      <c r="AO941" s="319"/>
      <c r="AP941" s="319"/>
      <c r="AQ941" s="319"/>
      <c r="AR941" s="319"/>
      <c r="AS941" s="319"/>
      <c r="AT941" s="319"/>
      <c r="AU941" s="319"/>
      <c r="AV941" s="319"/>
      <c r="AW941" s="319"/>
      <c r="AX941" s="319"/>
      <c r="AY941" s="319"/>
      <c r="AZ941" s="319"/>
      <c r="BA941" s="319"/>
      <c r="BB941" s="319"/>
      <c r="BC941" s="319"/>
      <c r="BD941" s="319"/>
      <c r="BE941" s="319"/>
      <c r="BF941" s="319"/>
      <c r="BG941" s="319"/>
      <c r="BH941" s="319"/>
      <c r="BI941" s="319"/>
      <c r="BJ941" s="319"/>
      <c r="BK941" s="319"/>
      <c r="BL941" s="319"/>
      <c r="BM941" s="319"/>
      <c r="BN941" s="319"/>
      <c r="BO941" s="319"/>
      <c r="BP941" s="319"/>
      <c r="BQ941" s="319"/>
      <c r="BR941" s="319"/>
      <c r="BS941" s="319"/>
      <c r="BT941" s="319"/>
      <c r="BU941" s="319"/>
      <c r="BV941" s="319"/>
      <c r="BW941" s="319"/>
      <c r="BX941" s="319"/>
      <c r="BY941" s="319"/>
      <c r="BZ941" s="319"/>
      <c r="CA941" s="319"/>
      <c r="CB941" s="319"/>
      <c r="CC941" s="319"/>
      <c r="CD941" s="319"/>
      <c r="CE941" s="319"/>
      <c r="CF941" s="319"/>
      <c r="CG941" s="319"/>
      <c r="CH941" s="319"/>
      <c r="CI941" s="319"/>
      <c r="CJ941" s="319"/>
      <c r="CK941" s="319"/>
    </row>
    <row r="942" spans="1:89" ht="13.5" hidden="1" customHeight="1">
      <c r="A942" s="12"/>
      <c r="B942" s="1" t="str">
        <f>B948</f>
        <v>Custo (economia) de O&amp;M</v>
      </c>
      <c r="C942" s="29" t="str">
        <f>$C$805</f>
        <v>€</v>
      </c>
      <c r="D942" s="1"/>
      <c r="E942" s="307"/>
      <c r="F942" s="1"/>
      <c r="G942" s="1"/>
      <c r="H942" s="1"/>
      <c r="I942" s="1"/>
      <c r="J942" s="1"/>
      <c r="K942" s="9"/>
      <c r="L942" s="1"/>
      <c r="M942" s="319"/>
      <c r="N942" s="319">
        <v>5099110</v>
      </c>
      <c r="O942" s="319"/>
      <c r="P942" s="319"/>
      <c r="Q942" s="319"/>
      <c r="R942" s="319"/>
      <c r="S942" s="319"/>
      <c r="T942" s="319"/>
      <c r="U942" s="319"/>
      <c r="V942" s="319"/>
      <c r="W942" s="319"/>
      <c r="X942" s="319"/>
      <c r="Y942" s="319"/>
      <c r="Z942" s="319"/>
      <c r="AA942" s="319"/>
      <c r="AB942" s="319"/>
      <c r="AC942" s="319"/>
      <c r="AD942" s="319"/>
      <c r="AE942" s="319"/>
      <c r="AF942" s="319"/>
      <c r="AG942" s="319"/>
      <c r="AH942" s="319"/>
      <c r="AI942" s="319"/>
      <c r="AJ942" s="319"/>
      <c r="AK942" s="319"/>
      <c r="AL942" s="319"/>
      <c r="AM942" s="319"/>
      <c r="AN942" s="319"/>
      <c r="AO942" s="319"/>
      <c r="AP942" s="319"/>
      <c r="AQ942" s="319"/>
      <c r="AR942" s="319"/>
      <c r="AS942" s="319"/>
      <c r="AT942" s="319"/>
      <c r="AU942" s="319"/>
      <c r="AV942" s="319"/>
      <c r="AW942" s="319"/>
      <c r="AX942" s="319"/>
      <c r="AY942" s="319"/>
      <c r="AZ942" s="319"/>
      <c r="BA942" s="319"/>
      <c r="BB942" s="319"/>
      <c r="BC942" s="319"/>
      <c r="BD942" s="319"/>
      <c r="BE942" s="319"/>
      <c r="BF942" s="319"/>
      <c r="BG942" s="319"/>
      <c r="BH942" s="319"/>
      <c r="BI942" s="319"/>
      <c r="BJ942" s="319"/>
      <c r="BK942" s="319"/>
      <c r="BL942" s="319"/>
      <c r="BM942" s="319"/>
      <c r="BN942" s="319"/>
      <c r="BO942" s="319"/>
      <c r="BP942" s="319"/>
      <c r="BQ942" s="319"/>
      <c r="BR942" s="319"/>
      <c r="BS942" s="319"/>
      <c r="BT942" s="319"/>
      <c r="BU942" s="319"/>
      <c r="BV942" s="319"/>
      <c r="BW942" s="319"/>
      <c r="BX942" s="319"/>
      <c r="BY942" s="319"/>
      <c r="BZ942" s="319"/>
      <c r="CA942" s="319"/>
      <c r="CB942" s="319"/>
      <c r="CC942" s="319"/>
      <c r="CD942" s="319"/>
      <c r="CE942" s="319"/>
      <c r="CF942" s="319"/>
      <c r="CG942" s="319"/>
      <c r="CH942" s="319"/>
      <c r="CI942" s="319"/>
      <c r="CJ942" s="319"/>
      <c r="CK942" s="319"/>
    </row>
    <row r="943" spans="1:89" ht="13.2" hidden="1">
      <c r="A943" s="12"/>
      <c r="B943" s="1" t="str">
        <f>B194</f>
        <v>Tecnologia</v>
      </c>
      <c r="C943" s="29"/>
      <c r="D943" s="143" t="str">
        <f>J1152</f>
        <v>Eletricidade da Rede</v>
      </c>
      <c r="E943" s="419" t="s">
        <v>6151</v>
      </c>
      <c r="F943" s="1"/>
      <c r="G943" s="1"/>
      <c r="H943" s="1"/>
      <c r="I943" s="1"/>
      <c r="J943" s="1"/>
      <c r="K943" s="9"/>
      <c r="L943" s="1"/>
      <c r="M943" s="319"/>
      <c r="N943" s="319">
        <v>5099202</v>
      </c>
      <c r="O943" s="319"/>
      <c r="P943" s="319"/>
      <c r="Q943" s="319"/>
      <c r="R943" s="319"/>
      <c r="S943" s="319"/>
      <c r="T943" s="319"/>
      <c r="U943" s="319"/>
      <c r="V943" s="319"/>
      <c r="W943" s="319"/>
      <c r="X943" s="319"/>
      <c r="Y943" s="319"/>
      <c r="Z943" s="319"/>
      <c r="AA943" s="319"/>
      <c r="AB943" s="319"/>
      <c r="AC943" s="319"/>
      <c r="AD943" s="319"/>
      <c r="AE943" s="319"/>
      <c r="AF943" s="319"/>
      <c r="AG943" s="319"/>
      <c r="AH943" s="319"/>
      <c r="AI943" s="319"/>
      <c r="AJ943" s="319"/>
      <c r="AK943" s="319"/>
      <c r="AL943" s="319"/>
      <c r="AM943" s="319"/>
      <c r="AN943" s="319"/>
      <c r="AO943" s="319"/>
      <c r="AP943" s="319"/>
      <c r="AQ943" s="319"/>
      <c r="AR943" s="319"/>
      <c r="AS943" s="319"/>
      <c r="AT943" s="319"/>
      <c r="AU943" s="319"/>
      <c r="AV943" s="319"/>
      <c r="AW943" s="319"/>
      <c r="AX943" s="319"/>
      <c r="AY943" s="319"/>
      <c r="AZ943" s="319"/>
      <c r="BA943" s="319"/>
      <c r="BB943" s="319"/>
      <c r="BC943" s="319"/>
      <c r="BD943" s="319"/>
      <c r="BE943" s="319"/>
      <c r="BF943" s="319"/>
      <c r="BG943" s="319"/>
      <c r="BH943" s="319"/>
      <c r="BI943" s="319"/>
      <c r="BJ943" s="319"/>
      <c r="BK943" s="319"/>
      <c r="BL943" s="319"/>
      <c r="BM943" s="319"/>
      <c r="BN943" s="319"/>
      <c r="BO943" s="319"/>
      <c r="BP943" s="319"/>
      <c r="BQ943" s="319"/>
      <c r="BR943" s="319"/>
      <c r="BS943" s="319"/>
      <c r="BT943" s="319"/>
      <c r="BU943" s="319"/>
      <c r="BV943" s="319"/>
      <c r="BW943" s="319"/>
      <c r="BX943" s="319"/>
      <c r="BY943" s="319"/>
      <c r="BZ943" s="319"/>
      <c r="CA943" s="319"/>
      <c r="CB943" s="319"/>
      <c r="CC943" s="319"/>
      <c r="CD943" s="319"/>
      <c r="CE943" s="319"/>
      <c r="CF943" s="319"/>
      <c r="CG943" s="319"/>
      <c r="CH943" s="319"/>
      <c r="CI943" s="319"/>
      <c r="CJ943" s="319"/>
      <c r="CK943" s="319"/>
    </row>
    <row r="944" spans="1:89" ht="13.5" hidden="1" customHeight="1">
      <c r="A944" s="12"/>
      <c r="B944" s="1" t="str">
        <f>Language!C427</f>
        <v>Potência elétrica</v>
      </c>
      <c r="C944" s="29" t="str">
        <f>$F$1169</f>
        <v>kW</v>
      </c>
      <c r="D944" s="1"/>
      <c r="E944" s="307"/>
      <c r="F944" s="1"/>
      <c r="G944" s="1"/>
      <c r="H944" s="1"/>
      <c r="I944" s="1"/>
      <c r="J944" s="1"/>
      <c r="K944" s="9"/>
      <c r="L944" s="1"/>
      <c r="M944" s="319"/>
      <c r="N944" s="319">
        <v>5099220</v>
      </c>
      <c r="O944" s="319"/>
      <c r="P944" s="319"/>
      <c r="Q944" s="319"/>
      <c r="R944" s="319"/>
      <c r="S944" s="319"/>
      <c r="T944" s="319"/>
      <c r="U944" s="319"/>
      <c r="V944" s="319"/>
      <c r="W944" s="319"/>
      <c r="X944" s="319"/>
      <c r="Y944" s="319"/>
      <c r="Z944" s="319"/>
      <c r="AA944" s="319"/>
      <c r="AB944" s="319"/>
      <c r="AC944" s="319"/>
      <c r="AD944" s="319"/>
      <c r="AE944" s="319"/>
      <c r="AF944" s="319"/>
      <c r="AG944" s="319"/>
      <c r="AH944" s="319"/>
      <c r="AI944" s="319"/>
      <c r="AJ944" s="319"/>
      <c r="AK944" s="319"/>
      <c r="AL944" s="319"/>
      <c r="AM944" s="319"/>
      <c r="AN944" s="319"/>
      <c r="AO944" s="319"/>
      <c r="AP944" s="319"/>
      <c r="AQ944" s="319"/>
      <c r="AR944" s="319"/>
      <c r="AS944" s="319"/>
      <c r="AT944" s="319"/>
      <c r="AU944" s="319"/>
      <c r="AV944" s="319"/>
      <c r="AW944" s="319"/>
      <c r="AX944" s="319"/>
      <c r="AY944" s="319"/>
      <c r="AZ944" s="319"/>
      <c r="BA944" s="319"/>
      <c r="BB944" s="319"/>
      <c r="BC944" s="319"/>
      <c r="BD944" s="319"/>
      <c r="BE944" s="319"/>
      <c r="BF944" s="319"/>
      <c r="BG944" s="319"/>
      <c r="BH944" s="319"/>
      <c r="BI944" s="319"/>
      <c r="BJ944" s="319"/>
      <c r="BK944" s="319"/>
      <c r="BL944" s="319"/>
      <c r="BM944" s="319"/>
      <c r="BN944" s="319"/>
      <c r="BO944" s="319"/>
      <c r="BP944" s="319"/>
      <c r="BQ944" s="319"/>
      <c r="BR944" s="319"/>
      <c r="BS944" s="319"/>
      <c r="BT944" s="319"/>
      <c r="BU944" s="319"/>
      <c r="BV944" s="319"/>
      <c r="BW944" s="319"/>
      <c r="BX944" s="319"/>
      <c r="BY944" s="319"/>
      <c r="BZ944" s="319"/>
      <c r="CA944" s="319"/>
      <c r="CB944" s="319"/>
      <c r="CC944" s="319"/>
      <c r="CD944" s="319"/>
      <c r="CE944" s="319"/>
      <c r="CF944" s="319"/>
      <c r="CG944" s="319"/>
      <c r="CH944" s="319"/>
      <c r="CI944" s="319"/>
      <c r="CJ944" s="319"/>
      <c r="CK944" s="319"/>
    </row>
    <row r="945" spans="1:89" ht="12.75" hidden="1" customHeight="1">
      <c r="A945" s="12"/>
      <c r="B945" s="1" t="str">
        <f>Language!C462</f>
        <v>Fator de Utilização</v>
      </c>
      <c r="C945" s="29" t="str">
        <f>$C$254</f>
        <v>%</v>
      </c>
      <c r="D945" s="1"/>
      <c r="E945" s="339"/>
      <c r="F945" s="1"/>
      <c r="G945" s="1"/>
      <c r="H945" s="1"/>
      <c r="I945" s="1"/>
      <c r="J945" s="1"/>
      <c r="K945" s="9"/>
      <c r="L945" s="1"/>
      <c r="M945" s="319"/>
      <c r="N945" s="319">
        <v>2070000</v>
      </c>
      <c r="O945" s="319"/>
      <c r="P945" s="319"/>
      <c r="Q945" s="319"/>
      <c r="R945" s="319"/>
      <c r="S945" s="319"/>
      <c r="T945" s="319"/>
      <c r="U945" s="319"/>
      <c r="V945" s="319"/>
      <c r="W945" s="319"/>
      <c r="X945" s="319"/>
      <c r="Y945" s="319"/>
      <c r="Z945" s="319"/>
      <c r="AA945" s="319"/>
      <c r="AB945" s="319"/>
      <c r="AC945" s="319"/>
      <c r="AD945" s="319"/>
      <c r="AE945" s="319"/>
      <c r="AF945" s="319"/>
      <c r="AG945" s="319"/>
      <c r="AH945" s="319"/>
      <c r="AI945" s="319"/>
      <c r="AJ945" s="319"/>
      <c r="AK945" s="319"/>
      <c r="AL945" s="319"/>
      <c r="AM945" s="319"/>
      <c r="AN945" s="319"/>
      <c r="AO945" s="319"/>
      <c r="AP945" s="319"/>
      <c r="AQ945" s="319"/>
      <c r="AR945" s="319"/>
      <c r="AS945" s="319"/>
      <c r="AT945" s="319"/>
      <c r="AU945" s="319"/>
      <c r="AV945" s="319"/>
      <c r="AW945" s="319"/>
      <c r="AX945" s="319"/>
      <c r="AY945" s="319"/>
      <c r="AZ945" s="319"/>
      <c r="BA945" s="319"/>
      <c r="BB945" s="319"/>
      <c r="BC945" s="319"/>
      <c r="BD945" s="319"/>
      <c r="BE945" s="319"/>
      <c r="BF945" s="319"/>
      <c r="BG945" s="319"/>
      <c r="BH945" s="319"/>
      <c r="BI945" s="319"/>
      <c r="BJ945" s="319"/>
      <c r="BK945" s="319"/>
      <c r="BL945" s="319"/>
      <c r="BM945" s="319"/>
      <c r="BN945" s="319"/>
      <c r="BO945" s="319"/>
      <c r="BP945" s="319"/>
      <c r="BQ945" s="319"/>
      <c r="BR945" s="319"/>
      <c r="BS945" s="319"/>
      <c r="BT945" s="319"/>
      <c r="BU945" s="319"/>
      <c r="BV945" s="319"/>
      <c r="BW945" s="319"/>
      <c r="BX945" s="319"/>
      <c r="BY945" s="319"/>
      <c r="BZ945" s="319"/>
      <c r="CA945" s="319"/>
      <c r="CB945" s="319"/>
      <c r="CC945" s="319"/>
      <c r="CD945" s="319"/>
      <c r="CE945" s="319"/>
      <c r="CF945" s="319"/>
      <c r="CG945" s="319"/>
      <c r="CH945" s="319"/>
      <c r="CI945" s="319"/>
      <c r="CJ945" s="319"/>
      <c r="CK945" s="319"/>
    </row>
    <row r="946" spans="1:89" ht="13.5" hidden="1" customHeight="1">
      <c r="A946" s="12"/>
      <c r="B946" s="1" t="str">
        <f>B857</f>
        <v>Eletricidade exportada p/ rede</v>
      </c>
      <c r="C946" s="29" t="str">
        <f>C866</f>
        <v>MWh</v>
      </c>
      <c r="D946" s="1"/>
      <c r="E946" s="30">
        <f>E944*E945*8.76</f>
        <v>0</v>
      </c>
      <c r="F946" s="1"/>
      <c r="G946" s="1"/>
      <c r="H946" s="1"/>
      <c r="I946" s="1"/>
      <c r="J946" s="1"/>
      <c r="K946" s="9"/>
      <c r="L946" s="1"/>
      <c r="M946" s="319"/>
      <c r="N946" s="319">
        <v>5099222</v>
      </c>
      <c r="O946" s="319"/>
      <c r="P946" s="319"/>
      <c r="Q946" s="319"/>
      <c r="R946" s="319"/>
      <c r="S946" s="319"/>
      <c r="T946" s="319"/>
      <c r="U946" s="319"/>
      <c r="V946" s="319"/>
      <c r="W946" s="319"/>
      <c r="X946" s="319"/>
      <c r="Y946" s="319"/>
      <c r="Z946" s="319"/>
      <c r="AA946" s="319"/>
      <c r="AB946" s="319"/>
      <c r="AC946" s="319"/>
      <c r="AD946" s="319"/>
      <c r="AE946" s="319"/>
      <c r="AF946" s="319"/>
      <c r="AG946" s="319"/>
      <c r="AH946" s="319"/>
      <c r="AI946" s="319"/>
      <c r="AJ946" s="319"/>
      <c r="AK946" s="319"/>
      <c r="AL946" s="319"/>
      <c r="AM946" s="319"/>
      <c r="AN946" s="319"/>
      <c r="AO946" s="319"/>
      <c r="AP946" s="319"/>
      <c r="AQ946" s="319"/>
      <c r="AR946" s="319"/>
      <c r="AS946" s="319"/>
      <c r="AT946" s="319"/>
      <c r="AU946" s="319"/>
      <c r="AV946" s="319"/>
      <c r="AW946" s="319"/>
      <c r="AX946" s="319"/>
      <c r="AY946" s="319"/>
      <c r="AZ946" s="319"/>
      <c r="BA946" s="319"/>
      <c r="BB946" s="319"/>
      <c r="BC946" s="319"/>
      <c r="BD946" s="319"/>
      <c r="BE946" s="319"/>
      <c r="BF946" s="319"/>
      <c r="BG946" s="319"/>
      <c r="BH946" s="319"/>
      <c r="BI946" s="319"/>
      <c r="BJ946" s="319"/>
      <c r="BK946" s="319"/>
      <c r="BL946" s="319"/>
      <c r="BM946" s="319"/>
      <c r="BN946" s="319"/>
      <c r="BO946" s="319"/>
      <c r="BP946" s="319"/>
      <c r="BQ946" s="319"/>
      <c r="BR946" s="319"/>
      <c r="BS946" s="319"/>
      <c r="BT946" s="319"/>
      <c r="BU946" s="319"/>
      <c r="BV946" s="319"/>
      <c r="BW946" s="319"/>
      <c r="BX946" s="319"/>
      <c r="BY946" s="319"/>
      <c r="BZ946" s="319"/>
      <c r="CA946" s="319"/>
      <c r="CB946" s="319"/>
      <c r="CC946" s="319"/>
      <c r="CD946" s="319"/>
      <c r="CE946" s="319"/>
      <c r="CF946" s="319"/>
      <c r="CG946" s="319"/>
      <c r="CH946" s="319"/>
      <c r="CI946" s="319"/>
      <c r="CJ946" s="319"/>
      <c r="CK946" s="319"/>
    </row>
    <row r="947" spans="1:89" ht="13.5" hidden="1" customHeight="1">
      <c r="A947" s="12"/>
      <c r="B947" s="1" t="str">
        <f>B986</f>
        <v>Custo inicial incremental</v>
      </c>
      <c r="C947" s="29" t="str">
        <f>Currency&amp;"/"&amp;C944</f>
        <v>€/kW</v>
      </c>
      <c r="D947" s="1"/>
      <c r="E947" s="307"/>
      <c r="F947" s="1"/>
      <c r="G947" s="1"/>
      <c r="H947" s="1"/>
      <c r="I947" s="1"/>
      <c r="J947" s="1"/>
      <c r="K947" s="9"/>
      <c r="L947" s="1"/>
      <c r="M947" s="319"/>
      <c r="N947" s="319">
        <v>5099224</v>
      </c>
      <c r="O947" s="319"/>
      <c r="P947" s="319"/>
      <c r="Q947" s="319"/>
      <c r="R947" s="319"/>
      <c r="S947" s="319"/>
      <c r="T947" s="319"/>
      <c r="U947" s="319"/>
      <c r="V947" s="319"/>
      <c r="W947" s="319"/>
      <c r="X947" s="319"/>
      <c r="Y947" s="319"/>
      <c r="Z947" s="319"/>
      <c r="AA947" s="319"/>
      <c r="AB947" s="319"/>
      <c r="AC947" s="319"/>
      <c r="AD947" s="319"/>
      <c r="AE947" s="319"/>
      <c r="AF947" s="319"/>
      <c r="AG947" s="319"/>
      <c r="AH947" s="319"/>
      <c r="AI947" s="319"/>
      <c r="AJ947" s="319"/>
      <c r="AK947" s="319"/>
      <c r="AL947" s="319"/>
      <c r="AM947" s="319"/>
      <c r="AN947" s="319"/>
      <c r="AO947" s="319"/>
      <c r="AP947" s="319"/>
      <c r="AQ947" s="319"/>
      <c r="AR947" s="319"/>
      <c r="AS947" s="319"/>
      <c r="AT947" s="319"/>
      <c r="AU947" s="319"/>
      <c r="AV947" s="319"/>
      <c r="AW947" s="319"/>
      <c r="AX947" s="319"/>
      <c r="AY947" s="319"/>
      <c r="AZ947" s="319"/>
      <c r="BA947" s="319"/>
      <c r="BB947" s="319"/>
      <c r="BC947" s="319"/>
      <c r="BD947" s="319"/>
      <c r="BE947" s="319"/>
      <c r="BF947" s="319"/>
      <c r="BG947" s="319"/>
      <c r="BH947" s="319"/>
      <c r="BI947" s="319"/>
      <c r="BJ947" s="319"/>
      <c r="BK947" s="319"/>
      <c r="BL947" s="319"/>
      <c r="BM947" s="319"/>
      <c r="BN947" s="319"/>
      <c r="BO947" s="319"/>
      <c r="BP947" s="319"/>
      <c r="BQ947" s="319"/>
      <c r="BR947" s="319"/>
      <c r="BS947" s="319"/>
      <c r="BT947" s="319"/>
      <c r="BU947" s="319"/>
      <c r="BV947" s="319"/>
      <c r="BW947" s="319"/>
      <c r="BX947" s="319"/>
      <c r="BY947" s="319"/>
      <c r="BZ947" s="319"/>
      <c r="CA947" s="319"/>
      <c r="CB947" s="319"/>
      <c r="CC947" s="319"/>
      <c r="CD947" s="319"/>
      <c r="CE947" s="319"/>
      <c r="CF947" s="319"/>
      <c r="CG947" s="319"/>
      <c r="CH947" s="319"/>
      <c r="CI947" s="319"/>
      <c r="CJ947" s="319"/>
      <c r="CK947" s="319"/>
    </row>
    <row r="948" spans="1:89" ht="12.75" hidden="1" customHeight="1">
      <c r="A948" s="12"/>
      <c r="B948" s="1" t="str">
        <f>Language!C2594</f>
        <v>Custo (economia) de O&amp;M</v>
      </c>
      <c r="C948" s="29" t="str">
        <f>Currency&amp;Language!C1297</f>
        <v>€/kWh</v>
      </c>
      <c r="D948" s="1"/>
      <c r="E948" s="312"/>
      <c r="F948" s="1"/>
      <c r="G948" s="1"/>
      <c r="H948" s="1"/>
      <c r="I948" s="1"/>
      <c r="J948" s="1"/>
      <c r="K948" s="9"/>
      <c r="L948" s="1"/>
      <c r="M948" s="319"/>
      <c r="N948" s="319">
        <v>5099226</v>
      </c>
      <c r="O948" s="319"/>
      <c r="P948" s="319"/>
      <c r="Q948" s="319"/>
      <c r="R948" s="319"/>
      <c r="S948" s="319"/>
      <c r="T948" s="319"/>
      <c r="U948" s="319"/>
      <c r="V948" s="319"/>
      <c r="W948" s="319"/>
      <c r="X948" s="319"/>
      <c r="Y948" s="319"/>
      <c r="Z948" s="319"/>
      <c r="AA948" s="319"/>
      <c r="AB948" s="319"/>
      <c r="AC948" s="319"/>
      <c r="AD948" s="319"/>
      <c r="AE948" s="319"/>
      <c r="AF948" s="319"/>
      <c r="AG948" s="319"/>
      <c r="AH948" s="319"/>
      <c r="AI948" s="319"/>
      <c r="AJ948" s="319"/>
      <c r="AK948" s="319"/>
      <c r="AL948" s="319"/>
      <c r="AM948" s="319"/>
      <c r="AN948" s="319"/>
      <c r="AO948" s="319"/>
      <c r="AP948" s="319"/>
      <c r="AQ948" s="319"/>
      <c r="AR948" s="319"/>
      <c r="AS948" s="319"/>
      <c r="AT948" s="319"/>
      <c r="AU948" s="319"/>
      <c r="AV948" s="319"/>
      <c r="AW948" s="319"/>
      <c r="AX948" s="319"/>
      <c r="AY948" s="319"/>
      <c r="AZ948" s="319"/>
      <c r="BA948" s="319"/>
      <c r="BB948" s="319"/>
      <c r="BC948" s="319"/>
      <c r="BD948" s="319"/>
      <c r="BE948" s="319"/>
      <c r="BF948" s="319"/>
      <c r="BG948" s="319"/>
      <c r="BH948" s="319"/>
      <c r="BI948" s="319"/>
      <c r="BJ948" s="319"/>
      <c r="BK948" s="319"/>
      <c r="BL948" s="319"/>
      <c r="BM948" s="319"/>
      <c r="BN948" s="319"/>
      <c r="BO948" s="319"/>
      <c r="BP948" s="319"/>
      <c r="BQ948" s="319"/>
      <c r="BR948" s="319"/>
      <c r="BS948" s="319"/>
      <c r="BT948" s="319"/>
      <c r="BU948" s="319"/>
      <c r="BV948" s="319"/>
      <c r="BW948" s="319"/>
      <c r="BX948" s="319"/>
      <c r="BY948" s="319"/>
      <c r="BZ948" s="319"/>
      <c r="CA948" s="319"/>
      <c r="CB948" s="319"/>
      <c r="CC948" s="319"/>
      <c r="CD948" s="319"/>
      <c r="CE948" s="319"/>
      <c r="CF948" s="319"/>
      <c r="CG948" s="319"/>
      <c r="CH948" s="319"/>
      <c r="CI948" s="319"/>
      <c r="CJ948" s="319"/>
      <c r="CK948" s="319"/>
    </row>
    <row r="949" spans="1:89" ht="12.75" hidden="1" customHeight="1">
      <c r="A949" s="12"/>
      <c r="B949" s="1" t="str">
        <f>Language!C469</f>
        <v>Preço eletricidade exportada</v>
      </c>
      <c r="C949" s="29" t="str">
        <f>C948</f>
        <v>€/kWh</v>
      </c>
      <c r="D949" s="1"/>
      <c r="E949" s="312"/>
      <c r="F949" s="1"/>
      <c r="G949" s="1"/>
      <c r="H949" s="1"/>
      <c r="I949" s="1"/>
      <c r="J949" s="1"/>
      <c r="K949" s="9"/>
      <c r="L949" s="1"/>
      <c r="M949" s="319"/>
      <c r="N949" s="319">
        <v>5099228</v>
      </c>
      <c r="O949" s="319"/>
      <c r="P949" s="319"/>
      <c r="Q949" s="319"/>
      <c r="R949" s="319"/>
      <c r="S949" s="319"/>
      <c r="T949" s="319"/>
      <c r="U949" s="319"/>
      <c r="V949" s="319"/>
      <c r="W949" s="319"/>
      <c r="X949" s="319"/>
      <c r="Y949" s="319"/>
      <c r="Z949" s="319"/>
      <c r="AA949" s="319"/>
      <c r="AB949" s="319"/>
      <c r="AC949" s="319"/>
      <c r="AD949" s="319"/>
      <c r="AE949" s="319"/>
      <c r="AF949" s="319"/>
      <c r="AG949" s="319"/>
      <c r="AH949" s="319"/>
      <c r="AI949" s="319"/>
      <c r="AJ949" s="319"/>
      <c r="AK949" s="319"/>
      <c r="AL949" s="319"/>
      <c r="AM949" s="319"/>
      <c r="AN949" s="319"/>
      <c r="AO949" s="319"/>
      <c r="AP949" s="319"/>
      <c r="AQ949" s="319"/>
      <c r="AR949" s="319"/>
      <c r="AS949" s="319"/>
      <c r="AT949" s="319"/>
      <c r="AU949" s="319"/>
      <c r="AV949" s="319"/>
      <c r="AW949" s="319"/>
      <c r="AX949" s="319"/>
      <c r="AY949" s="319"/>
      <c r="AZ949" s="319"/>
      <c r="BA949" s="319"/>
      <c r="BB949" s="319"/>
      <c r="BC949" s="319"/>
      <c r="BD949" s="319"/>
      <c r="BE949" s="319"/>
      <c r="BF949" s="319"/>
      <c r="BG949" s="319"/>
      <c r="BH949" s="319"/>
      <c r="BI949" s="319"/>
      <c r="BJ949" s="319"/>
      <c r="BK949" s="319"/>
      <c r="BL949" s="319"/>
      <c r="BM949" s="319"/>
      <c r="BN949" s="319"/>
      <c r="BO949" s="319"/>
      <c r="BP949" s="319"/>
      <c r="BQ949" s="319"/>
      <c r="BR949" s="319"/>
      <c r="BS949" s="319"/>
      <c r="BT949" s="319"/>
      <c r="BU949" s="319"/>
      <c r="BV949" s="319"/>
      <c r="BW949" s="319"/>
      <c r="BX949" s="319"/>
      <c r="BY949" s="319"/>
      <c r="BZ949" s="319"/>
      <c r="CA949" s="319"/>
      <c r="CB949" s="319"/>
      <c r="CC949" s="319"/>
      <c r="CD949" s="319"/>
      <c r="CE949" s="319"/>
      <c r="CF949" s="319"/>
      <c r="CG949" s="319"/>
      <c r="CH949" s="319"/>
      <c r="CI949" s="319"/>
      <c r="CJ949" s="319"/>
      <c r="CK949" s="319"/>
    </row>
    <row r="950" spans="1:89" ht="13.5" hidden="1" customHeight="1">
      <c r="A950" s="12"/>
      <c r="B950" s="8" t="str">
        <f>Language!C2320</f>
        <v>Custo anual</v>
      </c>
      <c r="C950" s="29" t="str">
        <f>$C$805</f>
        <v>€</v>
      </c>
      <c r="D950" s="307"/>
      <c r="E950" s="307"/>
      <c r="F950" s="1"/>
      <c r="G950" s="1"/>
      <c r="H950" s="1"/>
      <c r="I950" s="1"/>
      <c r="J950" s="1"/>
      <c r="K950" s="9"/>
      <c r="L950" s="1"/>
      <c r="M950" s="319"/>
      <c r="N950" s="319">
        <v>5099302</v>
      </c>
      <c r="O950" s="319"/>
      <c r="P950" s="319"/>
      <c r="Q950" s="319"/>
      <c r="R950" s="319"/>
      <c r="S950" s="319"/>
      <c r="T950" s="319"/>
      <c r="U950" s="319"/>
      <c r="V950" s="319"/>
      <c r="W950" s="319"/>
      <c r="X950" s="319"/>
      <c r="Y950" s="319"/>
      <c r="Z950" s="319"/>
      <c r="AA950" s="319"/>
      <c r="AB950" s="319"/>
      <c r="AC950" s="319"/>
      <c r="AD950" s="319"/>
      <c r="AE950" s="319"/>
      <c r="AF950" s="319"/>
      <c r="AG950" s="319"/>
      <c r="AH950" s="319"/>
      <c r="AI950" s="319"/>
      <c r="AJ950" s="319"/>
      <c r="AK950" s="319"/>
      <c r="AL950" s="319"/>
      <c r="AM950" s="319"/>
      <c r="AN950" s="319"/>
      <c r="AO950" s="319"/>
      <c r="AP950" s="319"/>
      <c r="AQ950" s="319"/>
      <c r="AR950" s="319"/>
      <c r="AS950" s="319"/>
      <c r="AT950" s="319"/>
      <c r="AU950" s="319"/>
      <c r="AV950" s="319"/>
      <c r="AW950" s="319"/>
      <c r="AX950" s="319"/>
      <c r="AY950" s="319"/>
      <c r="AZ950" s="319"/>
      <c r="BA950" s="319"/>
      <c r="BB950" s="319"/>
      <c r="BC950" s="319"/>
      <c r="BD950" s="319"/>
      <c r="BE950" s="319"/>
      <c r="BF950" s="319"/>
      <c r="BG950" s="319"/>
      <c r="BH950" s="319"/>
      <c r="BI950" s="319"/>
      <c r="BJ950" s="319"/>
      <c r="BK950" s="319"/>
      <c r="BL950" s="319"/>
      <c r="BM950" s="319"/>
      <c r="BN950" s="319"/>
      <c r="BO950" s="319"/>
      <c r="BP950" s="319"/>
      <c r="BQ950" s="319"/>
      <c r="BR950" s="319"/>
      <c r="BS950" s="319"/>
      <c r="BT950" s="319"/>
      <c r="BU950" s="319"/>
      <c r="BV950" s="319"/>
      <c r="BW950" s="319"/>
      <c r="BX950" s="319"/>
      <c r="BY950" s="319"/>
      <c r="BZ950" s="319"/>
      <c r="CA950" s="319"/>
      <c r="CB950" s="319"/>
      <c r="CC950" s="319"/>
      <c r="CD950" s="319"/>
      <c r="CE950" s="319"/>
      <c r="CF950" s="319"/>
      <c r="CG950" s="319"/>
      <c r="CH950" s="319"/>
      <c r="CI950" s="319"/>
      <c r="CJ950" s="319"/>
      <c r="CK950" s="319"/>
    </row>
    <row r="951" spans="1:89" ht="13.5" hidden="1" customHeight="1">
      <c r="A951" s="12"/>
      <c r="B951" s="8" t="str">
        <f>B986</f>
        <v>Custo inicial incremental</v>
      </c>
      <c r="C951" s="29" t="str">
        <f>$C$805</f>
        <v>€</v>
      </c>
      <c r="D951" s="1"/>
      <c r="E951" s="307"/>
      <c r="F951" s="1"/>
      <c r="G951" s="1"/>
      <c r="H951" s="1"/>
      <c r="I951" s="1"/>
      <c r="J951" s="1"/>
      <c r="K951" s="9"/>
      <c r="L951" s="1"/>
      <c r="M951" s="319"/>
      <c r="N951" s="319">
        <v>5099304</v>
      </c>
      <c r="O951" s="319"/>
      <c r="P951" s="319"/>
      <c r="Q951" s="319"/>
      <c r="R951" s="319"/>
      <c r="S951" s="319"/>
      <c r="T951" s="319"/>
      <c r="U951" s="319"/>
      <c r="V951" s="319"/>
      <c r="W951" s="319"/>
      <c r="X951" s="319"/>
      <c r="Y951" s="319"/>
      <c r="Z951" s="319"/>
      <c r="AA951" s="319"/>
      <c r="AB951" s="319"/>
      <c r="AC951" s="319"/>
      <c r="AD951" s="319"/>
      <c r="AE951" s="319"/>
      <c r="AF951" s="319"/>
      <c r="AG951" s="319"/>
      <c r="AH951" s="319"/>
      <c r="AI951" s="319"/>
      <c r="AJ951" s="319"/>
      <c r="AK951" s="319"/>
      <c r="AL951" s="319"/>
      <c r="AM951" s="319"/>
      <c r="AN951" s="319"/>
      <c r="AO951" s="319"/>
      <c r="AP951" s="319"/>
      <c r="AQ951" s="319"/>
      <c r="AR951" s="319"/>
      <c r="AS951" s="319"/>
      <c r="AT951" s="319"/>
      <c r="AU951" s="319"/>
      <c r="AV951" s="319"/>
      <c r="AW951" s="319"/>
      <c r="AX951" s="319"/>
      <c r="AY951" s="319"/>
      <c r="AZ951" s="319"/>
      <c r="BA951" s="319"/>
      <c r="BB951" s="319"/>
      <c r="BC951" s="319"/>
      <c r="BD951" s="319"/>
      <c r="BE951" s="319"/>
      <c r="BF951" s="319"/>
      <c r="BG951" s="319"/>
      <c r="BH951" s="319"/>
      <c r="BI951" s="319"/>
      <c r="BJ951" s="319"/>
      <c r="BK951" s="319"/>
      <c r="BL951" s="319"/>
      <c r="BM951" s="319"/>
      <c r="BN951" s="319"/>
      <c r="BO951" s="319"/>
      <c r="BP951" s="319"/>
      <c r="BQ951" s="319"/>
      <c r="BR951" s="319"/>
      <c r="BS951" s="319"/>
      <c r="BT951" s="319"/>
      <c r="BU951" s="319"/>
      <c r="BV951" s="319"/>
      <c r="BW951" s="319"/>
      <c r="BX951" s="319"/>
      <c r="BY951" s="319"/>
      <c r="BZ951" s="319"/>
      <c r="CA951" s="319"/>
      <c r="CB951" s="319"/>
      <c r="CC951" s="319"/>
      <c r="CD951" s="319"/>
      <c r="CE951" s="319"/>
      <c r="CF951" s="319"/>
      <c r="CG951" s="319"/>
      <c r="CH951" s="319"/>
      <c r="CI951" s="319"/>
      <c r="CJ951" s="319"/>
      <c r="CK951" s="319"/>
    </row>
    <row r="952" spans="1:89" ht="12.75" hidden="1" customHeight="1">
      <c r="A952" s="14"/>
      <c r="B952" s="15"/>
      <c r="C952" s="15"/>
      <c r="D952" s="15"/>
      <c r="E952" s="15"/>
      <c r="F952" s="15"/>
      <c r="G952" s="15"/>
      <c r="H952" s="15"/>
      <c r="I952" s="15"/>
      <c r="J952" s="15"/>
      <c r="K952" s="11"/>
      <c r="L952" s="1"/>
      <c r="M952" s="319"/>
      <c r="N952" s="319">
        <v>5099000</v>
      </c>
      <c r="O952" s="319"/>
      <c r="P952" s="319"/>
      <c r="Q952" s="319"/>
      <c r="R952" s="319"/>
      <c r="S952" s="319"/>
      <c r="T952" s="319"/>
      <c r="U952" s="319"/>
      <c r="V952" s="319"/>
      <c r="W952" s="319"/>
      <c r="X952" s="319"/>
      <c r="Y952" s="319"/>
      <c r="Z952" s="319"/>
      <c r="AA952" s="319"/>
      <c r="AB952" s="319"/>
      <c r="AC952" s="319"/>
      <c r="AD952" s="319"/>
      <c r="AE952" s="319"/>
      <c r="AF952" s="319"/>
      <c r="AG952" s="319"/>
      <c r="AH952" s="319"/>
      <c r="AI952" s="319"/>
      <c r="AJ952" s="319"/>
      <c r="AK952" s="319"/>
      <c r="AL952" s="319"/>
      <c r="AM952" s="319"/>
      <c r="AN952" s="319"/>
      <c r="AO952" s="319"/>
      <c r="AP952" s="319"/>
      <c r="AQ952" s="319"/>
      <c r="AR952" s="319"/>
      <c r="AS952" s="319"/>
      <c r="AT952" s="319"/>
      <c r="AU952" s="319"/>
      <c r="AV952" s="319"/>
      <c r="AW952" s="319"/>
      <c r="AX952" s="319"/>
      <c r="AY952" s="319"/>
      <c r="AZ952" s="319"/>
      <c r="BA952" s="319"/>
      <c r="BB952" s="319"/>
      <c r="BC952" s="319"/>
      <c r="BD952" s="319"/>
      <c r="BE952" s="319"/>
      <c r="BF952" s="319"/>
      <c r="BG952" s="319"/>
      <c r="BH952" s="319"/>
      <c r="BI952" s="319"/>
      <c r="BJ952" s="319"/>
      <c r="BK952" s="319"/>
      <c r="BL952" s="319"/>
      <c r="BM952" s="319"/>
      <c r="BN952" s="319"/>
      <c r="BO952" s="319"/>
      <c r="BP952" s="319"/>
      <c r="BQ952" s="319"/>
      <c r="BR952" s="319"/>
      <c r="BS952" s="319"/>
      <c r="BT952" s="319"/>
      <c r="BU952" s="319"/>
      <c r="BV952" s="319"/>
      <c r="BW952" s="319"/>
      <c r="BX952" s="319"/>
      <c r="BY952" s="319"/>
      <c r="BZ952" s="319"/>
      <c r="CA952" s="319"/>
      <c r="CB952" s="319"/>
      <c r="CC952" s="319"/>
      <c r="CD952" s="319"/>
      <c r="CE952" s="319"/>
      <c r="CF952" s="319"/>
      <c r="CG952" s="319"/>
      <c r="CH952" s="319"/>
      <c r="CI952" s="319"/>
      <c r="CJ952" s="319"/>
      <c r="CK952" s="319"/>
    </row>
    <row r="953" spans="1:89" ht="13.5" customHeight="1">
      <c r="A953" s="5"/>
      <c r="B953" s="5"/>
      <c r="C953" s="5"/>
      <c r="D953" s="5"/>
      <c r="E953" s="5"/>
      <c r="F953" s="5"/>
      <c r="G953" s="5"/>
      <c r="H953" s="5"/>
      <c r="I953" s="5"/>
      <c r="J953" s="5"/>
      <c r="K953" s="5"/>
      <c r="L953" s="1"/>
      <c r="M953" s="319"/>
      <c r="N953" s="319">
        <v>2000000</v>
      </c>
      <c r="O953" s="319"/>
      <c r="P953" s="319"/>
      <c r="Q953" s="3" t="b">
        <v>1</v>
      </c>
      <c r="R953" s="319"/>
      <c r="S953" s="319"/>
      <c r="T953" s="319"/>
      <c r="U953" s="319"/>
      <c r="V953" s="319"/>
      <c r="W953" s="319"/>
      <c r="X953" s="319"/>
      <c r="Y953" s="319"/>
      <c r="Z953" s="319"/>
      <c r="AA953" s="319"/>
      <c r="AB953" s="319"/>
      <c r="AC953" s="319"/>
      <c r="AD953" s="319"/>
      <c r="AE953" s="319"/>
      <c r="AF953" s="319"/>
      <c r="AG953" s="319"/>
      <c r="AH953" s="319"/>
      <c r="AI953" s="319"/>
      <c r="AJ953" s="319"/>
      <c r="AK953" s="319"/>
      <c r="AL953" s="319"/>
      <c r="AM953" s="319"/>
      <c r="AN953" s="319"/>
      <c r="AO953" s="319"/>
      <c r="AP953" s="319"/>
      <c r="AQ953" s="319"/>
      <c r="AR953" s="319"/>
      <c r="AS953" s="319"/>
      <c r="AT953" s="319"/>
      <c r="AU953" s="319"/>
      <c r="AV953" s="319"/>
      <c r="AW953" s="319"/>
      <c r="AX953" s="319"/>
      <c r="AY953" s="319"/>
      <c r="AZ953" s="319"/>
      <c r="BA953" s="319"/>
      <c r="BB953" s="319"/>
      <c r="BC953" s="319"/>
      <c r="BD953" s="319"/>
      <c r="BE953" s="319"/>
      <c r="BF953" s="319"/>
      <c r="BG953" s="319"/>
      <c r="BH953" s="319"/>
      <c r="BI953" s="319"/>
      <c r="BJ953" s="319"/>
      <c r="BK953" s="319"/>
      <c r="BL953" s="319"/>
      <c r="BM953" s="319"/>
      <c r="BN953" s="319"/>
      <c r="BO953" s="319"/>
      <c r="BP953" s="319"/>
      <c r="BQ953" s="319"/>
      <c r="BR953" s="319"/>
      <c r="BS953" s="319"/>
      <c r="BT953" s="319"/>
      <c r="BU953" s="319"/>
      <c r="BV953" s="319"/>
      <c r="BW953" s="319"/>
      <c r="BX953" s="319"/>
      <c r="BY953" s="319"/>
      <c r="BZ953" s="319"/>
      <c r="CA953" s="319"/>
      <c r="CB953" s="319"/>
      <c r="CC953" s="319"/>
      <c r="CD953" s="319"/>
      <c r="CE953" s="319"/>
      <c r="CF953" s="319"/>
      <c r="CG953" s="319"/>
      <c r="CH953" s="319"/>
      <c r="CI953" s="319"/>
      <c r="CJ953" s="319"/>
      <c r="CK953" s="319"/>
    </row>
    <row r="954" spans="1:89" ht="13.5" customHeight="1">
      <c r="A954" s="1019" t="s">
        <v>4190</v>
      </c>
      <c r="B954" s="25" t="str">
        <f>CHPGHGName</f>
        <v>Análise de Emissões</v>
      </c>
      <c r="C954" s="25"/>
      <c r="D954" s="505"/>
      <c r="E954" s="25"/>
      <c r="F954" s="25"/>
      <c r="G954" s="25"/>
      <c r="H954" s="25"/>
      <c r="I954" s="25"/>
      <c r="J954" s="25"/>
      <c r="K954" s="27"/>
      <c r="L954" s="1"/>
      <c r="M954" s="319">
        <f>IF(EE_GHG_CB=TRUE,44,77)</f>
        <v>44</v>
      </c>
      <c r="N954" s="319">
        <v>5110000</v>
      </c>
      <c r="O954" s="319"/>
      <c r="P954" s="319"/>
      <c r="Q954" s="319">
        <f>IF(M_GHG2="",1,MATCH(M_GHG2,GHG_Etype,0))</f>
        <v>1</v>
      </c>
      <c r="R954" s="319"/>
      <c r="S954" s="319"/>
      <c r="T954" s="319"/>
      <c r="U954" s="319"/>
      <c r="V954" s="319"/>
      <c r="W954" s="319"/>
      <c r="X954" s="319"/>
      <c r="Y954" s="319"/>
      <c r="Z954" s="319"/>
      <c r="AA954" s="319"/>
      <c r="AB954" s="319"/>
      <c r="AC954" s="319"/>
      <c r="AD954" s="319"/>
      <c r="AE954" s="319"/>
      <c r="AF954" s="319"/>
      <c r="AG954" s="319"/>
      <c r="AH954" s="319"/>
      <c r="AI954" s="319"/>
      <c r="AJ954" s="319"/>
      <c r="AK954" s="319"/>
      <c r="AL954" s="319"/>
      <c r="AM954" s="319"/>
      <c r="AN954" s="319"/>
      <c r="AO954" s="319"/>
      <c r="AP954" s="319"/>
      <c r="AQ954" s="319"/>
      <c r="AR954" s="319"/>
      <c r="AS954" s="319"/>
      <c r="AT954" s="319"/>
      <c r="AU954" s="319"/>
      <c r="AV954" s="319"/>
      <c r="AW954" s="319"/>
      <c r="AX954" s="319"/>
      <c r="AY954" s="319"/>
      <c r="AZ954" s="319"/>
      <c r="BA954" s="319"/>
      <c r="BB954" s="319"/>
      <c r="BC954" s="319"/>
      <c r="BD954" s="319"/>
      <c r="BE954" s="319"/>
      <c r="BF954" s="319"/>
      <c r="BG954" s="319"/>
      <c r="BH954" s="319"/>
      <c r="BI954" s="319"/>
      <c r="BJ954" s="319"/>
      <c r="BK954" s="319"/>
      <c r="BL954" s="319"/>
      <c r="BM954" s="319"/>
      <c r="BN954" s="319"/>
      <c r="BO954" s="319"/>
      <c r="BP954" s="319"/>
      <c r="BQ954" s="319"/>
      <c r="BR954" s="319"/>
      <c r="BS954" s="319"/>
      <c r="BT954" s="319"/>
      <c r="BU954" s="319"/>
      <c r="BV954" s="319"/>
      <c r="BW954" s="319"/>
      <c r="BX954" s="319"/>
      <c r="BY954" s="319"/>
      <c r="BZ954" s="319"/>
      <c r="CA954" s="319"/>
      <c r="CB954" s="319"/>
      <c r="CC954" s="319"/>
      <c r="CD954" s="319"/>
      <c r="CE954" s="319"/>
      <c r="CF954" s="319"/>
      <c r="CG954" s="319"/>
      <c r="CH954" s="319"/>
      <c r="CI954" s="319"/>
      <c r="CJ954" s="319"/>
      <c r="CK954" s="319"/>
    </row>
    <row r="955" spans="1:89" ht="13.5" customHeight="1">
      <c r="A955" s="12"/>
      <c r="B955" s="1"/>
      <c r="C955" s="1"/>
      <c r="D955" s="1"/>
      <c r="E955" s="1"/>
      <c r="F955" s="1"/>
      <c r="G955" s="1"/>
      <c r="H955" s="1"/>
      <c r="I955" s="1"/>
      <c r="J955" s="1"/>
      <c r="K955" s="9"/>
      <c r="L955" s="1"/>
      <c r="M955" s="319"/>
      <c r="N955" s="319">
        <v>5110000</v>
      </c>
      <c r="O955" s="319"/>
      <c r="P955" s="319"/>
      <c r="Q955" s="319"/>
      <c r="R955" s="319"/>
      <c r="S955" s="319"/>
      <c r="T955" s="319"/>
      <c r="U955" s="319"/>
      <c r="V955" s="319"/>
      <c r="Z955" s="319"/>
      <c r="AA955" s="319"/>
      <c r="AB955" s="319"/>
      <c r="AC955" s="319"/>
      <c r="AD955" s="319"/>
      <c r="AE955" s="319"/>
      <c r="AF955" s="319"/>
      <c r="AG955" s="319"/>
      <c r="AH955" s="319"/>
      <c r="AI955" s="319"/>
      <c r="AJ955" s="319"/>
      <c r="AK955" s="319"/>
      <c r="AL955" s="319"/>
      <c r="AM955" s="319"/>
      <c r="AN955" s="319"/>
      <c r="AO955" s="319"/>
      <c r="AP955" s="319"/>
      <c r="AQ955" s="319"/>
      <c r="AR955" s="319"/>
      <c r="AS955" s="319"/>
      <c r="AT955" s="319"/>
      <c r="AU955" s="319"/>
      <c r="AV955" s="319"/>
      <c r="AW955" s="319"/>
      <c r="AX955" s="319"/>
      <c r="AY955" s="319"/>
      <c r="AZ955" s="319"/>
      <c r="BA955" s="319"/>
      <c r="BB955" s="319"/>
      <c r="BC955" s="319"/>
      <c r="BD955" s="319"/>
      <c r="BE955" s="319"/>
      <c r="BF955" s="319"/>
      <c r="BG955" s="319"/>
      <c r="BH955" s="319"/>
      <c r="BI955" s="319"/>
      <c r="BJ955" s="319"/>
      <c r="BK955" s="319"/>
      <c r="BL955" s="319"/>
      <c r="BM955" s="319"/>
      <c r="BN955" s="319"/>
      <c r="BO955" s="319"/>
      <c r="BP955" s="319"/>
      <c r="BQ955" s="319"/>
      <c r="BR955" s="319"/>
      <c r="BS955" s="319"/>
      <c r="BT955" s="319"/>
      <c r="BU955" s="319"/>
      <c r="BV955" s="319"/>
      <c r="BW955" s="319"/>
      <c r="BX955" s="319"/>
      <c r="BY955" s="319"/>
      <c r="BZ955" s="319"/>
      <c r="CA955" s="319"/>
      <c r="CB955" s="319"/>
      <c r="CC955" s="319"/>
      <c r="CD955" s="319"/>
      <c r="CE955" s="319"/>
      <c r="CF955" s="319"/>
      <c r="CG955" s="319"/>
      <c r="CH955" s="319"/>
      <c r="CI955" s="319"/>
      <c r="CJ955" s="319"/>
      <c r="CK955" s="319"/>
    </row>
    <row r="956" spans="1:89" ht="51" hidden="1" customHeight="1">
      <c r="A956" s="12"/>
      <c r="B956" s="28" t="str">
        <f>Language!C590</f>
        <v>Sistema elétrico de referência ( Baseline)</v>
      </c>
      <c r="C956" s="1"/>
      <c r="D956" s="82" t="str">
        <f>Language!C597</f>
        <v>Fator de
Emissão de GEE
(excl. T&amp;D)</v>
      </c>
      <c r="E956" s="82" t="str">
        <f>Language!C595</f>
        <v>Perdas
T&amp;D</v>
      </c>
      <c r="F956" s="82" t="str">
        <f>Language!C596</f>
        <v>Fator de emissão
de GEE</v>
      </c>
      <c r="G956" s="1"/>
      <c r="H956" s="1"/>
      <c r="I956" s="1"/>
      <c r="J956" s="1"/>
      <c r="K956" s="9"/>
      <c r="L956" s="1"/>
      <c r="M956" s="319"/>
      <c r="N956" s="319">
        <v>5111000</v>
      </c>
      <c r="O956" s="319"/>
      <c r="P956" s="319"/>
      <c r="Q956" s="319"/>
      <c r="R956" s="319"/>
      <c r="S956" s="319"/>
      <c r="T956" s="319"/>
      <c r="U956" s="319"/>
      <c r="V956" s="319"/>
      <c r="Z956" s="319"/>
      <c r="AA956" s="319"/>
      <c r="AB956" s="319"/>
      <c r="AC956" s="319"/>
      <c r="AD956" s="319"/>
      <c r="AE956" s="319"/>
      <c r="AF956" s="319"/>
      <c r="AG956" s="319"/>
      <c r="AH956" s="319"/>
      <c r="AI956" s="319"/>
      <c r="AJ956" s="319"/>
      <c r="AK956" s="319"/>
      <c r="AL956" s="319"/>
      <c r="AM956" s="319"/>
      <c r="AN956" s="319"/>
      <c r="AO956" s="319"/>
      <c r="AP956" s="319"/>
      <c r="AQ956" s="319"/>
      <c r="AR956" s="319"/>
      <c r="AS956" s="319"/>
      <c r="AT956" s="319"/>
      <c r="AU956" s="319"/>
      <c r="AV956" s="319"/>
      <c r="AW956" s="319"/>
      <c r="AX956" s="319"/>
      <c r="AY956" s="319"/>
      <c r="AZ956" s="319"/>
      <c r="BA956" s="319"/>
      <c r="BB956" s="319"/>
      <c r="BC956" s="319"/>
      <c r="BD956" s="319"/>
      <c r="BE956" s="319"/>
      <c r="BF956" s="319"/>
      <c r="BG956" s="319"/>
      <c r="BH956" s="319"/>
      <c r="BI956" s="319"/>
      <c r="BJ956" s="319"/>
      <c r="BK956" s="319"/>
      <c r="BL956" s="319"/>
      <c r="BM956" s="319"/>
      <c r="BN956" s="319"/>
      <c r="BO956" s="319"/>
      <c r="BP956" s="319"/>
      <c r="BQ956" s="319"/>
      <c r="BR956" s="319"/>
      <c r="BS956" s="319"/>
      <c r="BT956" s="319"/>
      <c r="BU956" s="319"/>
      <c r="BV956" s="319"/>
      <c r="BW956" s="319"/>
      <c r="BX956" s="319"/>
      <c r="BY956" s="319"/>
      <c r="BZ956" s="319"/>
      <c r="CA956" s="319"/>
      <c r="CB956" s="319"/>
      <c r="CC956" s="319"/>
      <c r="CD956" s="319"/>
      <c r="CE956" s="319"/>
      <c r="CF956" s="319"/>
      <c r="CG956" s="319"/>
      <c r="CH956" s="319"/>
      <c r="CI956" s="319"/>
      <c r="CJ956" s="319"/>
      <c r="CK956" s="319"/>
    </row>
    <row r="957" spans="1:89" ht="12.75" hidden="1" customHeight="1">
      <c r="A957" s="12"/>
      <c r="B957" s="28" t="str">
        <f>Language!C631</f>
        <v>País - região</v>
      </c>
      <c r="C957" s="82" t="str">
        <f>Language!C211</f>
        <v>Tipo de Combustível</v>
      </c>
      <c r="D957" s="936" t="s">
        <v>4285</v>
      </c>
      <c r="E957" s="45" t="s">
        <v>739</v>
      </c>
      <c r="F957" s="937" t="s">
        <v>4285</v>
      </c>
      <c r="G957" s="1"/>
      <c r="H957" s="1"/>
      <c r="I957" s="1"/>
      <c r="J957" s="1"/>
      <c r="K957" s="9"/>
      <c r="L957" s="1"/>
      <c r="M957" s="319"/>
      <c r="N957" s="319">
        <v>5111000</v>
      </c>
      <c r="O957" s="319"/>
      <c r="P957" s="319"/>
      <c r="Q957" s="319"/>
      <c r="R957" s="319"/>
      <c r="S957" s="319"/>
      <c r="T957" s="319"/>
      <c r="U957" s="319"/>
      <c r="V957" s="319"/>
      <c r="Z957" s="319"/>
      <c r="AA957" s="319"/>
      <c r="AB957" s="319"/>
      <c r="AC957" s="319"/>
      <c r="AD957" s="319"/>
      <c r="AE957" s="319"/>
      <c r="AF957" s="319"/>
      <c r="AG957" s="319"/>
      <c r="AH957" s="319"/>
      <c r="AI957" s="319"/>
      <c r="AJ957" s="319"/>
      <c r="AK957" s="319"/>
      <c r="AL957" s="319"/>
      <c r="AM957" s="319"/>
      <c r="AN957" s="319"/>
      <c r="AO957" s="319"/>
      <c r="AP957" s="319"/>
      <c r="AQ957" s="319"/>
      <c r="AR957" s="319"/>
      <c r="AS957" s="319"/>
      <c r="AT957" s="319"/>
      <c r="AU957" s="319"/>
      <c r="AV957" s="319"/>
      <c r="AW957" s="319"/>
      <c r="AX957" s="319"/>
      <c r="AY957" s="319"/>
      <c r="AZ957" s="319"/>
      <c r="BA957" s="319"/>
      <c r="BB957" s="319"/>
      <c r="BC957" s="319"/>
      <c r="BD957" s="319"/>
      <c r="BE957" s="319"/>
      <c r="BF957" s="319"/>
      <c r="BG957" s="319"/>
      <c r="BH957" s="319"/>
      <c r="BI957" s="319"/>
      <c r="BJ957" s="319"/>
      <c r="BK957" s="319"/>
      <c r="BL957" s="319"/>
      <c r="BM957" s="319"/>
      <c r="BN957" s="319"/>
      <c r="BO957" s="319"/>
      <c r="BP957" s="319"/>
      <c r="BQ957" s="319"/>
      <c r="BR957" s="319"/>
      <c r="BS957" s="319"/>
      <c r="BT957" s="319"/>
      <c r="BU957" s="319"/>
      <c r="BV957" s="319"/>
      <c r="BW957" s="319"/>
      <c r="BX957" s="319"/>
      <c r="BY957" s="319"/>
      <c r="BZ957" s="319"/>
      <c r="CA957" s="319"/>
      <c r="CB957" s="319"/>
      <c r="CC957" s="319"/>
      <c r="CD957" s="319"/>
      <c r="CE957" s="319"/>
      <c r="CF957" s="319"/>
      <c r="CG957" s="319"/>
      <c r="CH957" s="319"/>
      <c r="CI957" s="319"/>
      <c r="CJ957" s="319"/>
      <c r="CK957" s="319"/>
    </row>
    <row r="958" spans="1:89" ht="13.2" hidden="1">
      <c r="A958" s="12"/>
      <c r="B958" s="299" t="s">
        <v>5312</v>
      </c>
      <c r="C958" s="419" t="s">
        <v>6609</v>
      </c>
      <c r="D958" s="399">
        <v>0.1963</v>
      </c>
      <c r="E958" s="422"/>
      <c r="F958" s="124">
        <f>D958*(1/(1-E958))</f>
        <v>0.1963</v>
      </c>
      <c r="G958" s="1"/>
      <c r="H958" s="1"/>
      <c r="I958" s="1"/>
      <c r="J958" s="1"/>
      <c r="K958" s="9"/>
      <c r="L958" s="1"/>
      <c r="M958" s="319"/>
      <c r="N958" s="319">
        <v>5111000</v>
      </c>
      <c r="O958" s="319"/>
      <c r="P958" s="319"/>
      <c r="Q958" s="319"/>
      <c r="R958" s="319"/>
      <c r="S958" s="319"/>
      <c r="T958" s="319"/>
      <c r="U958" s="319"/>
      <c r="V958" s="319"/>
      <c r="Z958" s="319"/>
      <c r="AA958" s="319"/>
      <c r="AB958" s="319"/>
      <c r="AC958" s="319"/>
      <c r="AD958" s="319"/>
      <c r="AE958" s="319"/>
      <c r="AF958" s="319"/>
      <c r="AG958" s="319"/>
      <c r="AH958" s="319"/>
      <c r="AI958" s="319"/>
      <c r="AJ958" s="319"/>
      <c r="AK958" s="319"/>
      <c r="AL958" s="319"/>
      <c r="AM958" s="319"/>
      <c r="AN958" s="319"/>
      <c r="AO958" s="319"/>
      <c r="AP958" s="319"/>
      <c r="AQ958" s="319"/>
      <c r="AR958" s="319"/>
      <c r="AS958" s="319"/>
      <c r="AT958" s="319"/>
      <c r="AU958" s="319"/>
      <c r="AV958" s="319"/>
      <c r="AW958" s="319"/>
      <c r="AX958" s="319"/>
      <c r="AY958" s="319"/>
      <c r="AZ958" s="319"/>
      <c r="BA958" s="319"/>
      <c r="BB958" s="319"/>
      <c r="BC958" s="319"/>
      <c r="BD958" s="319"/>
      <c r="BE958" s="319"/>
      <c r="BF958" s="319"/>
      <c r="BG958" s="319"/>
      <c r="BH958" s="319"/>
      <c r="BI958" s="319"/>
      <c r="BJ958" s="319"/>
      <c r="BK958" s="319"/>
      <c r="BL958" s="319"/>
      <c r="BM958" s="319"/>
      <c r="BN958" s="319"/>
      <c r="BO958" s="319"/>
      <c r="BP958" s="319"/>
      <c r="BQ958" s="319"/>
      <c r="BR958" s="319"/>
      <c r="BS958" s="319"/>
      <c r="BT958" s="319"/>
      <c r="BU958" s="319"/>
      <c r="BV958" s="319"/>
      <c r="BW958" s="319"/>
      <c r="BX958" s="319"/>
      <c r="BY958" s="319"/>
      <c r="BZ958" s="319"/>
      <c r="CA958" s="319"/>
      <c r="CB958" s="319"/>
      <c r="CC958" s="319"/>
      <c r="CD958" s="319"/>
      <c r="CE958" s="319"/>
      <c r="CF958" s="319"/>
      <c r="CG958" s="319"/>
      <c r="CH958" s="319"/>
      <c r="CI958" s="319"/>
      <c r="CJ958" s="319"/>
      <c r="CK958" s="319"/>
    </row>
    <row r="959" spans="1:89" ht="13.5" hidden="1" customHeight="1">
      <c r="A959" s="12"/>
      <c r="B959" s="1"/>
      <c r="C959" s="1"/>
      <c r="D959" s="1"/>
      <c r="E959" s="1"/>
      <c r="F959" s="1"/>
      <c r="G959" s="1"/>
      <c r="H959" s="1"/>
      <c r="I959" s="1"/>
      <c r="J959" s="1"/>
      <c r="K959" s="9"/>
      <c r="L959" s="1"/>
      <c r="M959" s="319"/>
      <c r="N959" s="319">
        <v>5110000</v>
      </c>
      <c r="O959" s="319"/>
      <c r="P959" s="319"/>
      <c r="Q959" s="319"/>
      <c r="R959" s="319"/>
      <c r="S959" s="319"/>
      <c r="T959" s="319"/>
      <c r="U959" s="319"/>
      <c r="V959" s="319"/>
      <c r="Z959" s="319"/>
      <c r="AA959" s="319"/>
      <c r="AB959" s="319"/>
      <c r="AC959" s="319"/>
      <c r="AD959" s="319"/>
      <c r="AE959" s="319"/>
      <c r="AF959" s="319"/>
      <c r="AG959" s="319"/>
      <c r="AH959" s="319"/>
      <c r="AI959" s="319"/>
      <c r="AJ959" s="319"/>
      <c r="AK959" s="319"/>
      <c r="AL959" s="319"/>
      <c r="AM959" s="319"/>
      <c r="AN959" s="319"/>
      <c r="AO959" s="319"/>
      <c r="AP959" s="319"/>
      <c r="AQ959" s="319"/>
      <c r="AR959" s="319"/>
      <c r="AS959" s="319"/>
      <c r="AT959" s="319"/>
      <c r="AU959" s="319"/>
      <c r="AV959" s="319"/>
      <c r="AW959" s="319"/>
      <c r="AX959" s="319"/>
      <c r="AY959" s="319"/>
      <c r="AZ959" s="319"/>
      <c r="BA959" s="319"/>
      <c r="BB959" s="319"/>
      <c r="BC959" s="319"/>
      <c r="BD959" s="319"/>
      <c r="BE959" s="319"/>
      <c r="BF959" s="319"/>
      <c r="BG959" s="319"/>
      <c r="BH959" s="319"/>
      <c r="BI959" s="319"/>
      <c r="BJ959" s="319"/>
      <c r="BK959" s="319"/>
      <c r="BL959" s="319"/>
      <c r="BM959" s="319"/>
      <c r="BN959" s="319"/>
      <c r="BO959" s="319"/>
      <c r="BP959" s="319"/>
      <c r="BQ959" s="319"/>
      <c r="BR959" s="319"/>
      <c r="BS959" s="319"/>
      <c r="BT959" s="319"/>
      <c r="BU959" s="319"/>
      <c r="BV959" s="319"/>
      <c r="BW959" s="319"/>
      <c r="BX959" s="319"/>
      <c r="BY959" s="319"/>
      <c r="BZ959" s="319"/>
      <c r="CA959" s="319"/>
      <c r="CB959" s="319"/>
      <c r="CC959" s="319"/>
      <c r="CD959" s="319"/>
      <c r="CE959" s="319"/>
      <c r="CF959" s="319"/>
      <c r="CG959" s="319"/>
      <c r="CH959" s="319"/>
      <c r="CI959" s="319"/>
      <c r="CJ959" s="319"/>
      <c r="CK959" s="319"/>
    </row>
    <row r="960" spans="1:89" ht="13.2" hidden="1">
      <c r="A960" s="12"/>
      <c r="B960" s="1" t="str">
        <f>Language!C206</f>
        <v>Eletricidade exportada p/ rede</v>
      </c>
      <c r="C960" s="29" t="str">
        <f>C866</f>
        <v>MWh</v>
      </c>
      <c r="D960" s="30">
        <f>I1113</f>
        <v>0</v>
      </c>
      <c r="E960" s="143" t="str">
        <f>Language!C611</f>
        <v>Perdas T&amp;D</v>
      </c>
      <c r="F960" s="422"/>
      <c r="G960" s="1"/>
      <c r="H960" s="1"/>
      <c r="I960" s="1"/>
      <c r="J960" s="1"/>
      <c r="K960" s="9"/>
      <c r="L960" s="1"/>
      <c r="M960" s="319">
        <f>IF(D960=0,0,123)</f>
        <v>0</v>
      </c>
      <c r="N960" s="319">
        <v>5111012</v>
      </c>
      <c r="O960" s="319"/>
      <c r="P960" s="319"/>
      <c r="Q960" s="319"/>
      <c r="R960" s="319"/>
      <c r="S960" s="319"/>
      <c r="T960" s="319"/>
      <c r="U960" s="319"/>
      <c r="V960" s="319"/>
      <c r="Z960" s="319"/>
      <c r="AA960" s="319"/>
      <c r="AB960" s="319"/>
      <c r="AC960" s="319"/>
      <c r="AD960" s="319"/>
      <c r="AE960" s="319"/>
      <c r="AF960" s="319"/>
      <c r="AG960" s="319"/>
      <c r="AH960" s="319"/>
      <c r="AI960" s="319"/>
      <c r="AJ960" s="319"/>
      <c r="AK960" s="319"/>
      <c r="AL960" s="319"/>
      <c r="AM960" s="319"/>
      <c r="AN960" s="319"/>
      <c r="AO960" s="319"/>
      <c r="AP960" s="319"/>
      <c r="AQ960" s="319"/>
      <c r="AR960" s="319"/>
      <c r="AS960" s="319"/>
      <c r="AT960" s="319"/>
      <c r="AU960" s="319"/>
      <c r="AV960" s="319"/>
      <c r="AW960" s="319"/>
      <c r="AX960" s="319"/>
      <c r="AY960" s="319"/>
      <c r="AZ960" s="319"/>
      <c r="BA960" s="319"/>
      <c r="BB960" s="319"/>
      <c r="BC960" s="319"/>
      <c r="BD960" s="319"/>
      <c r="BE960" s="319"/>
      <c r="BF960" s="319"/>
      <c r="BG960" s="319"/>
      <c r="BH960" s="319"/>
      <c r="BI960" s="319"/>
      <c r="BJ960" s="319"/>
      <c r="BK960" s="319"/>
      <c r="BL960" s="319"/>
      <c r="BM960" s="319"/>
      <c r="BN960" s="319"/>
      <c r="BO960" s="319"/>
      <c r="BP960" s="319"/>
      <c r="BQ960" s="319"/>
      <c r="BR960" s="319"/>
      <c r="BS960" s="319"/>
      <c r="BT960" s="319"/>
      <c r="BU960" s="319"/>
      <c r="BV960" s="319"/>
      <c r="BW960" s="319"/>
      <c r="BX960" s="319"/>
      <c r="BY960" s="319"/>
      <c r="BZ960" s="319"/>
      <c r="CA960" s="319"/>
      <c r="CB960" s="319"/>
      <c r="CC960" s="319"/>
      <c r="CD960" s="319"/>
      <c r="CE960" s="319"/>
      <c r="CF960" s="319"/>
      <c r="CG960" s="319"/>
      <c r="CH960" s="319"/>
      <c r="CI960" s="319"/>
      <c r="CJ960" s="319"/>
      <c r="CK960" s="319"/>
    </row>
    <row r="961" spans="1:89" ht="13.5" hidden="1" customHeight="1">
      <c r="A961" s="12"/>
      <c r="B961" s="1"/>
      <c r="C961" s="1"/>
      <c r="D961" s="1"/>
      <c r="E961" s="1"/>
      <c r="F961" s="1"/>
      <c r="G961" s="1"/>
      <c r="H961" s="1"/>
      <c r="I961" s="1"/>
      <c r="J961" s="1"/>
      <c r="K961" s="9"/>
      <c r="L961" s="1"/>
      <c r="M961" s="319"/>
      <c r="N961" s="319">
        <v>5110000</v>
      </c>
      <c r="O961" s="319"/>
      <c r="P961" s="319"/>
      <c r="Q961" s="319"/>
      <c r="R961" s="319"/>
      <c r="S961" s="319"/>
      <c r="T961" s="319"/>
      <c r="U961" s="319"/>
      <c r="V961" s="319"/>
      <c r="Z961" s="319"/>
      <c r="AA961" s="319"/>
      <c r="AB961" s="319"/>
      <c r="AC961" s="319"/>
      <c r="AD961" s="319"/>
      <c r="AE961" s="319"/>
      <c r="AF961" s="319"/>
      <c r="AG961" s="319"/>
      <c r="AH961" s="319"/>
      <c r="AI961" s="319"/>
      <c r="AJ961" s="319"/>
      <c r="AK961" s="319"/>
      <c r="AL961" s="319"/>
      <c r="AM961" s="319"/>
      <c r="AN961" s="319"/>
      <c r="AO961" s="319"/>
      <c r="AP961" s="319"/>
      <c r="AQ961" s="319"/>
      <c r="AR961" s="319"/>
      <c r="AS961" s="319"/>
      <c r="AT961" s="319"/>
      <c r="AU961" s="319"/>
      <c r="AV961" s="319"/>
      <c r="AW961" s="319"/>
      <c r="AX961" s="319"/>
      <c r="AY961" s="319"/>
      <c r="AZ961" s="319"/>
      <c r="BA961" s="319"/>
      <c r="BB961" s="319"/>
      <c r="BC961" s="319"/>
      <c r="BD961" s="319"/>
      <c r="BE961" s="319"/>
      <c r="BF961" s="319"/>
      <c r="BG961" s="319"/>
      <c r="BH961" s="319"/>
      <c r="BI961" s="319"/>
      <c r="BJ961" s="319"/>
      <c r="BK961" s="319"/>
      <c r="BL961" s="319"/>
      <c r="BM961" s="319"/>
      <c r="BN961" s="319"/>
      <c r="BO961" s="319"/>
      <c r="BP961" s="319"/>
      <c r="BQ961" s="319"/>
      <c r="BR961" s="319"/>
      <c r="BS961" s="319"/>
      <c r="BT961" s="319"/>
      <c r="BU961" s="319"/>
      <c r="BV961" s="319"/>
      <c r="BW961" s="319"/>
      <c r="BX961" s="319"/>
      <c r="BY961" s="319"/>
      <c r="BZ961" s="319"/>
      <c r="CA961" s="319"/>
      <c r="CB961" s="319"/>
      <c r="CC961" s="319"/>
      <c r="CD961" s="319"/>
      <c r="CE961" s="319"/>
      <c r="CF961" s="319"/>
      <c r="CG961" s="319"/>
      <c r="CH961" s="319"/>
      <c r="CI961" s="319"/>
      <c r="CJ961" s="319"/>
      <c r="CK961" s="319"/>
    </row>
    <row r="962" spans="1:89" ht="13.5" customHeight="1">
      <c r="A962" s="12"/>
      <c r="B962" s="28" t="str">
        <f>Language!C599</f>
        <v>Emissão de GEE</v>
      </c>
      <c r="C962" s="1"/>
      <c r="D962" s="1"/>
      <c r="E962" s="1"/>
      <c r="F962" s="1"/>
      <c r="G962" s="1"/>
      <c r="H962" s="1"/>
      <c r="I962" s="1"/>
      <c r="J962" s="1"/>
      <c r="K962" s="9"/>
      <c r="L962" s="1"/>
      <c r="M962" s="319"/>
      <c r="N962" s="319">
        <v>5112000</v>
      </c>
      <c r="O962" s="319"/>
      <c r="P962" s="319"/>
      <c r="Q962" s="319"/>
      <c r="R962" s="319"/>
      <c r="S962" s="319"/>
      <c r="T962" s="319"/>
      <c r="U962" s="319"/>
      <c r="V962" s="319"/>
      <c r="Z962" s="319"/>
      <c r="AA962" s="319"/>
      <c r="AB962" s="319"/>
      <c r="AC962" s="319"/>
      <c r="AD962" s="319"/>
      <c r="AE962" s="319"/>
      <c r="AF962" s="319"/>
      <c r="AG962" s="319"/>
      <c r="AH962" s="319"/>
      <c r="AI962" s="319"/>
      <c r="AJ962" s="319"/>
      <c r="AK962" s="319"/>
      <c r="AL962" s="319"/>
      <c r="AM962" s="319"/>
      <c r="AN962" s="319"/>
      <c r="AO962" s="319"/>
      <c r="AP962" s="319"/>
      <c r="AQ962" s="319"/>
      <c r="AR962" s="319"/>
      <c r="AS962" s="319"/>
      <c r="AT962" s="319"/>
      <c r="AU962" s="319"/>
      <c r="AV962" s="319"/>
      <c r="AW962" s="319"/>
      <c r="AX962" s="319"/>
      <c r="AY962" s="319"/>
      <c r="AZ962" s="319"/>
      <c r="BA962" s="319"/>
      <c r="BB962" s="319"/>
      <c r="BC962" s="319"/>
      <c r="BD962" s="319"/>
      <c r="BE962" s="319"/>
      <c r="BF962" s="319"/>
      <c r="BG962" s="319"/>
      <c r="BH962" s="319"/>
      <c r="BI962" s="319"/>
      <c r="BJ962" s="319"/>
      <c r="BK962" s="319"/>
      <c r="BL962" s="319"/>
      <c r="BM962" s="319"/>
      <c r="BN962" s="319"/>
      <c r="BO962" s="319"/>
      <c r="BP962" s="319"/>
      <c r="BQ962" s="319"/>
      <c r="BR962" s="319"/>
      <c r="BS962" s="319"/>
      <c r="BT962" s="319"/>
      <c r="BU962" s="319"/>
      <c r="BV962" s="319"/>
      <c r="BW962" s="319"/>
      <c r="BX962" s="319"/>
      <c r="BY962" s="319"/>
      <c r="BZ962" s="319"/>
      <c r="CA962" s="319"/>
      <c r="CB962" s="319"/>
      <c r="CC962" s="319"/>
      <c r="CD962" s="319"/>
      <c r="CE962" s="319"/>
      <c r="CF962" s="319"/>
      <c r="CG962" s="319"/>
      <c r="CH962" s="319"/>
      <c r="CI962" s="319"/>
      <c r="CJ962" s="319"/>
      <c r="CK962" s="319"/>
    </row>
    <row r="963" spans="1:89" ht="13.5" customHeight="1">
      <c r="A963" s="12"/>
      <c r="B963" s="5" t="str">
        <f>D221</f>
        <v>Caso de referência</v>
      </c>
      <c r="C963" s="85" t="str">
        <f>Language!C1409</f>
        <v>tCO2</v>
      </c>
      <c r="D963" s="244">
        <f>'Análise de Emissões'!E189</f>
        <v>2.4308661043954918</v>
      </c>
      <c r="E963" s="1"/>
      <c r="F963" s="1"/>
      <c r="G963" s="1"/>
      <c r="H963" s="1"/>
      <c r="I963" s="1"/>
      <c r="J963" s="1"/>
      <c r="K963" s="9"/>
      <c r="L963" s="1"/>
      <c r="M963" s="319"/>
      <c r="N963" s="319">
        <v>5112002</v>
      </c>
      <c r="O963" s="319"/>
      <c r="P963" s="319"/>
      <c r="Q963" s="319"/>
      <c r="R963" s="319"/>
      <c r="S963" s="319"/>
      <c r="T963" s="319"/>
      <c r="U963" s="319"/>
      <c r="V963" s="319"/>
      <c r="W963" s="319"/>
      <c r="X963" s="319"/>
      <c r="Y963" s="319"/>
      <c r="Z963" s="319"/>
      <c r="AA963" s="319"/>
      <c r="AB963" s="319"/>
      <c r="AC963" s="319"/>
      <c r="AD963" s="319"/>
      <c r="AE963" s="319"/>
      <c r="AF963" s="319"/>
      <c r="AG963" s="319"/>
      <c r="AH963" s="319"/>
      <c r="AI963" s="319"/>
      <c r="AJ963" s="319"/>
      <c r="AK963" s="319"/>
      <c r="AL963" s="319"/>
      <c r="AM963" s="319"/>
      <c r="AN963" s="319"/>
      <c r="AO963" s="319"/>
      <c r="AP963" s="319"/>
      <c r="AQ963" s="319"/>
      <c r="AR963" s="319"/>
      <c r="AS963" s="319"/>
      <c r="AT963" s="319"/>
      <c r="AU963" s="319"/>
      <c r="AV963" s="319"/>
      <c r="AW963" s="319"/>
      <c r="AX963" s="319"/>
      <c r="AY963" s="319"/>
      <c r="AZ963" s="319"/>
      <c r="BA963" s="319"/>
      <c r="BB963" s="319"/>
      <c r="BC963" s="319"/>
      <c r="BD963" s="319"/>
      <c r="BE963" s="319"/>
      <c r="BF963" s="319"/>
      <c r="BG963" s="319"/>
      <c r="BH963" s="319"/>
      <c r="BI963" s="319"/>
      <c r="BJ963" s="319"/>
      <c r="BK963" s="319"/>
      <c r="BL963" s="319"/>
      <c r="BM963" s="319"/>
      <c r="BN963" s="319"/>
      <c r="BO963" s="319"/>
      <c r="BP963" s="319"/>
      <c r="BQ963" s="319"/>
      <c r="BR963" s="319"/>
      <c r="BS963" s="319"/>
      <c r="BT963" s="319"/>
      <c r="BU963" s="319"/>
      <c r="BV963" s="319"/>
      <c r="BW963" s="319"/>
      <c r="BX963" s="319"/>
      <c r="BY963" s="319"/>
      <c r="BZ963" s="319"/>
      <c r="CA963" s="319"/>
      <c r="CB963" s="319"/>
      <c r="CC963" s="319"/>
      <c r="CD963" s="319"/>
      <c r="CE963" s="319"/>
      <c r="CF963" s="319"/>
      <c r="CG963" s="319"/>
      <c r="CH963" s="319"/>
      <c r="CI963" s="319"/>
      <c r="CJ963" s="319"/>
      <c r="CK963" s="319"/>
    </row>
    <row r="964" spans="1:89" ht="13.5" customHeight="1">
      <c r="A964" s="12"/>
      <c r="B964" s="15" t="str">
        <f>E221</f>
        <v>Caso proposto</v>
      </c>
      <c r="C964" s="33" t="str">
        <f>C963</f>
        <v>tCO2</v>
      </c>
      <c r="D964" s="245">
        <f>'Análise de Emissões'!F189</f>
        <v>0</v>
      </c>
      <c r="E964" s="1"/>
      <c r="F964" s="1"/>
      <c r="G964" s="1"/>
      <c r="H964" s="1"/>
      <c r="I964" s="1"/>
      <c r="J964" s="1"/>
      <c r="K964" s="9"/>
      <c r="L964" s="1"/>
      <c r="M964" s="319"/>
      <c r="N964" s="319">
        <v>5112004</v>
      </c>
      <c r="O964" s="319"/>
      <c r="P964" s="319"/>
      <c r="Q964" s="319"/>
      <c r="R964" s="319"/>
      <c r="S964" s="319"/>
      <c r="T964" s="319"/>
      <c r="U964" s="319"/>
      <c r="V964" s="319"/>
      <c r="W964" s="319"/>
      <c r="X964" s="319"/>
      <c r="Y964" s="319"/>
      <c r="Z964" s="319"/>
      <c r="AA964" s="319"/>
      <c r="AB964" s="319"/>
      <c r="AC964" s="319"/>
      <c r="AD964" s="319"/>
      <c r="AE964" s="319"/>
      <c r="AF964" s="319"/>
      <c r="AG964" s="319"/>
      <c r="AH964" s="319"/>
      <c r="AI964" s="319"/>
      <c r="AJ964" s="319"/>
      <c r="AK964" s="319"/>
      <c r="AL964" s="319"/>
      <c r="AM964" s="319"/>
      <c r="AN964" s="319"/>
      <c r="AO964" s="319"/>
      <c r="AP964" s="319"/>
      <c r="AQ964" s="319"/>
      <c r="AR964" s="319"/>
      <c r="AS964" s="319"/>
      <c r="AT964" s="319"/>
      <c r="AU964" s="319"/>
      <c r="AV964" s="319"/>
      <c r="AW964" s="319"/>
      <c r="AX964" s="319"/>
      <c r="AY964" s="319"/>
      <c r="AZ964" s="319"/>
      <c r="BA964" s="319"/>
      <c r="BB964" s="319"/>
      <c r="BC964" s="319"/>
      <c r="BD964" s="319"/>
      <c r="BE964" s="319"/>
      <c r="BF964" s="319"/>
      <c r="BG964" s="319"/>
      <c r="BH964" s="319"/>
      <c r="BI964" s="319"/>
      <c r="BJ964" s="319"/>
      <c r="BK964" s="319"/>
      <c r="BL964" s="319"/>
      <c r="BM964" s="319"/>
      <c r="BN964" s="319"/>
      <c r="BO964" s="319"/>
      <c r="BP964" s="319"/>
      <c r="BQ964" s="319"/>
      <c r="BR964" s="319"/>
      <c r="BS964" s="319"/>
      <c r="BT964" s="319"/>
      <c r="BU964" s="319"/>
      <c r="BV964" s="319"/>
      <c r="BW964" s="319"/>
      <c r="BX964" s="319"/>
      <c r="BY964" s="319"/>
      <c r="BZ964" s="319"/>
      <c r="CA964" s="319"/>
      <c r="CB964" s="319"/>
      <c r="CC964" s="319"/>
      <c r="CD964" s="319"/>
      <c r="CE964" s="319"/>
      <c r="CF964" s="319"/>
      <c r="CG964" s="319"/>
      <c r="CH964" s="319"/>
      <c r="CI964" s="319"/>
      <c r="CJ964" s="319"/>
      <c r="CK964" s="319"/>
    </row>
    <row r="965" spans="1:89" ht="13.5" customHeight="1">
      <c r="A965" s="12"/>
      <c r="B965" s="28" t="str">
        <f>Language!C2608</f>
        <v>Redução anual bruta de emissões de GEE</v>
      </c>
      <c r="C965" s="29" t="str">
        <f>$C$963</f>
        <v>tCO2</v>
      </c>
      <c r="D965" s="140">
        <f>D963-D964</f>
        <v>2.4308661043954918</v>
      </c>
      <c r="E965" s="1"/>
      <c r="F965" s="1"/>
      <c r="G965" s="1"/>
      <c r="H965" s="1"/>
      <c r="I965" s="1"/>
      <c r="J965" s="1"/>
      <c r="K965" s="9"/>
      <c r="L965" s="1"/>
      <c r="M965" s="319"/>
      <c r="N965" s="319">
        <v>96008</v>
      </c>
      <c r="O965" s="319"/>
      <c r="P965" s="319"/>
      <c r="Q965" s="319"/>
      <c r="R965" s="319"/>
      <c r="S965" s="319"/>
      <c r="T965" s="319"/>
      <c r="U965" s="319"/>
      <c r="V965" s="319"/>
      <c r="W965" s="319"/>
      <c r="X965" s="319"/>
      <c r="Y965" s="319"/>
      <c r="Z965" s="319"/>
      <c r="AA965" s="319"/>
      <c r="AB965" s="319"/>
      <c r="AC965" s="319"/>
      <c r="AD965" s="319"/>
      <c r="AE965" s="319"/>
      <c r="AF965" s="319"/>
      <c r="AG965" s="319"/>
      <c r="AH965" s="319"/>
      <c r="AI965" s="319"/>
      <c r="AJ965" s="319"/>
      <c r="AK965" s="319"/>
      <c r="AL965" s="319"/>
      <c r="AM965" s="319"/>
      <c r="AN965" s="319"/>
      <c r="AO965" s="319"/>
      <c r="AP965" s="319"/>
      <c r="AQ965" s="319"/>
      <c r="AR965" s="319"/>
      <c r="AS965" s="319"/>
      <c r="AT965" s="319"/>
      <c r="AU965" s="319"/>
      <c r="AV965" s="319"/>
      <c r="AW965" s="319"/>
      <c r="AX965" s="319"/>
      <c r="AY965" s="319"/>
      <c r="AZ965" s="319"/>
      <c r="BA965" s="319"/>
      <c r="BB965" s="319"/>
      <c r="BC965" s="319"/>
      <c r="BD965" s="319"/>
      <c r="BE965" s="319"/>
      <c r="BF965" s="319"/>
      <c r="BG965" s="319"/>
      <c r="BH965" s="319"/>
      <c r="BI965" s="319"/>
      <c r="BJ965" s="319"/>
      <c r="BK965" s="319"/>
      <c r="BL965" s="319"/>
      <c r="BM965" s="319"/>
      <c r="BN965" s="319"/>
      <c r="BO965" s="319"/>
      <c r="BP965" s="319"/>
      <c r="BQ965" s="319"/>
      <c r="BR965" s="319"/>
      <c r="BS965" s="319"/>
      <c r="BT965" s="319"/>
      <c r="BU965" s="319"/>
      <c r="BV965" s="319"/>
      <c r="BW965" s="319"/>
      <c r="BX965" s="319"/>
      <c r="BY965" s="319"/>
      <c r="BZ965" s="319"/>
      <c r="CA965" s="319"/>
      <c r="CB965" s="319"/>
      <c r="CC965" s="319"/>
      <c r="CD965" s="319"/>
      <c r="CE965" s="319"/>
      <c r="CF965" s="319"/>
      <c r="CG965" s="319"/>
      <c r="CH965" s="319"/>
      <c r="CI965" s="319"/>
      <c r="CJ965" s="319"/>
      <c r="CK965" s="319"/>
    </row>
    <row r="966" spans="1:89" ht="13.5" customHeight="1">
      <c r="A966" s="12"/>
      <c r="B966" s="56" t="str">
        <f>Language!C2609</f>
        <v>Custo de transação dos créditos de GEE</v>
      </c>
      <c r="C966" s="29" t="str">
        <f>$C$254</f>
        <v>%</v>
      </c>
      <c r="D966" s="422"/>
      <c r="E966" s="1"/>
      <c r="F966" s="1"/>
      <c r="G966" s="1"/>
      <c r="H966" s="1"/>
      <c r="I966" s="1"/>
      <c r="J966" s="1"/>
      <c r="K966" s="9"/>
      <c r="L966" s="1"/>
      <c r="M966" s="319"/>
      <c r="N966" s="319">
        <v>96010</v>
      </c>
      <c r="O966" s="319"/>
      <c r="P966" s="319"/>
      <c r="Q966" s="319"/>
      <c r="R966" s="319"/>
      <c r="S966" s="319"/>
      <c r="T966" s="319"/>
      <c r="U966" s="319"/>
      <c r="V966" s="319"/>
      <c r="W966" s="319"/>
      <c r="X966" s="319"/>
      <c r="Y966" s="319"/>
      <c r="Z966" s="319"/>
      <c r="AA966" s="319"/>
      <c r="AB966" s="319"/>
      <c r="AC966" s="319"/>
      <c r="AD966" s="319"/>
      <c r="AE966" s="319"/>
      <c r="AF966" s="319"/>
      <c r="AG966" s="319"/>
      <c r="AH966" s="319"/>
      <c r="AI966" s="319"/>
      <c r="AJ966" s="319"/>
      <c r="AK966" s="319"/>
      <c r="AL966" s="319"/>
      <c r="AM966" s="319"/>
      <c r="AN966" s="319"/>
      <c r="AO966" s="319"/>
      <c r="AP966" s="319"/>
      <c r="AQ966" s="319"/>
      <c r="AR966" s="319"/>
      <c r="AS966" s="319"/>
      <c r="AT966" s="319"/>
      <c r="AU966" s="319"/>
      <c r="AV966" s="319"/>
      <c r="AW966" s="319"/>
      <c r="AX966" s="319"/>
      <c r="AY966" s="319"/>
      <c r="AZ966" s="319"/>
      <c r="BA966" s="319"/>
      <c r="BB966" s="319"/>
      <c r="BC966" s="319"/>
      <c r="BD966" s="319"/>
      <c r="BE966" s="319"/>
      <c r="BF966" s="319"/>
      <c r="BG966" s="319"/>
      <c r="BH966" s="319"/>
      <c r="BI966" s="319"/>
      <c r="BJ966" s="319"/>
      <c r="BK966" s="319"/>
      <c r="BL966" s="319"/>
      <c r="BM966" s="319"/>
      <c r="BN966" s="319"/>
      <c r="BO966" s="319"/>
      <c r="BP966" s="319"/>
      <c r="BQ966" s="319"/>
      <c r="BR966" s="319"/>
      <c r="BS966" s="319"/>
      <c r="BT966" s="319"/>
      <c r="BU966" s="319"/>
      <c r="BV966" s="319"/>
      <c r="BW966" s="319"/>
      <c r="BX966" s="319"/>
      <c r="BY966" s="319"/>
      <c r="BZ966" s="319"/>
      <c r="CA966" s="319"/>
      <c r="CB966" s="319"/>
      <c r="CC966" s="319"/>
      <c r="CD966" s="319"/>
      <c r="CE966" s="319"/>
      <c r="CF966" s="319"/>
      <c r="CG966" s="319"/>
      <c r="CH966" s="319"/>
      <c r="CI966" s="319"/>
      <c r="CJ966" s="319"/>
      <c r="CK966" s="319"/>
    </row>
    <row r="967" spans="1:89" ht="13.5" customHeight="1">
      <c r="A967" s="12"/>
      <c r="B967" s="28" t="str">
        <f>Language!C619</f>
        <v>Redução anual líquida de emissões de GEE</v>
      </c>
      <c r="C967" s="29" t="str">
        <f>$C$963</f>
        <v>tCO2</v>
      </c>
      <c r="D967" s="140">
        <f>(D963-D964)*(1-D966)</f>
        <v>2.4308661043954918</v>
      </c>
      <c r="E967" s="29" t="str">
        <f>Language!C839</f>
        <v>é equivalente a</v>
      </c>
      <c r="F967" s="29" t="str">
        <f>FIXED(VLOOKUP(G967,GHG_convT,2,FALSE)/VLOOKUP(C967,GHG_convT,2,FALSE)*D967,IF(VLOOKUP(G967,GHG_convT,2,FALSE)/VLOOKUP(C967,GHG_convT,2,FALSE)*D967&gt;=100,0,1))</f>
        <v>0,4</v>
      </c>
      <c r="G967" s="1243" t="s">
        <v>6805</v>
      </c>
      <c r="H967" s="1244"/>
      <c r="I967" s="1245"/>
      <c r="J967" s="1"/>
      <c r="K967" s="9"/>
      <c r="L967" s="1"/>
      <c r="M967" s="319"/>
      <c r="N967" s="319">
        <v>5112010</v>
      </c>
      <c r="O967" s="319"/>
      <c r="P967" s="319"/>
      <c r="Q967" s="319"/>
      <c r="R967" s="319"/>
      <c r="S967" s="319"/>
      <c r="T967" s="319"/>
      <c r="U967" s="319"/>
      <c r="V967" s="319"/>
      <c r="W967" s="319"/>
      <c r="X967" s="319"/>
      <c r="Y967" s="319"/>
      <c r="Z967" s="319"/>
      <c r="AA967" s="319"/>
      <c r="AB967" s="319"/>
      <c r="AC967" s="319"/>
      <c r="AD967" s="319"/>
      <c r="AE967" s="319"/>
      <c r="AF967" s="319"/>
      <c r="AG967" s="319"/>
      <c r="AH967" s="319"/>
      <c r="AI967" s="319"/>
      <c r="AJ967" s="319"/>
      <c r="AK967" s="319"/>
      <c r="AL967" s="319"/>
      <c r="AM967" s="319"/>
      <c r="AN967" s="319"/>
      <c r="AO967" s="319"/>
      <c r="AP967" s="319"/>
      <c r="AQ967" s="319"/>
      <c r="AR967" s="319"/>
      <c r="AS967" s="319"/>
      <c r="AT967" s="319"/>
      <c r="AU967" s="319"/>
      <c r="AV967" s="319"/>
      <c r="AW967" s="319"/>
      <c r="AX967" s="319"/>
      <c r="AY967" s="319"/>
      <c r="AZ967" s="319"/>
      <c r="BA967" s="319"/>
      <c r="BB967" s="319"/>
      <c r="BC967" s="319"/>
      <c r="BD967" s="319"/>
      <c r="BE967" s="319"/>
      <c r="BF967" s="319"/>
      <c r="BG967" s="319"/>
      <c r="BH967" s="319"/>
      <c r="BI967" s="319"/>
      <c r="BJ967" s="319"/>
      <c r="BK967" s="319"/>
      <c r="BL967" s="319"/>
      <c r="BM967" s="319"/>
      <c r="BN967" s="319"/>
      <c r="BO967" s="319"/>
      <c r="BP967" s="319"/>
      <c r="BQ967" s="319"/>
      <c r="BR967" s="319"/>
      <c r="BS967" s="319"/>
      <c r="BT967" s="319"/>
      <c r="BU967" s="319"/>
      <c r="BV967" s="319"/>
      <c r="BW967" s="319"/>
      <c r="BX967" s="319"/>
      <c r="BY967" s="319"/>
      <c r="BZ967" s="319"/>
      <c r="CA967" s="319"/>
      <c r="CB967" s="319"/>
      <c r="CC967" s="319"/>
      <c r="CD967" s="319"/>
      <c r="CE967" s="319"/>
      <c r="CF967" s="319"/>
      <c r="CG967" s="319"/>
      <c r="CH967" s="319"/>
      <c r="CI967" s="319"/>
      <c r="CJ967" s="319"/>
      <c r="CK967" s="319"/>
    </row>
    <row r="968" spans="1:89" ht="13.5" customHeight="1">
      <c r="A968" s="12"/>
      <c r="B968" s="1"/>
      <c r="C968" s="1"/>
      <c r="D968" s="1"/>
      <c r="E968" s="1"/>
      <c r="F968" s="1"/>
      <c r="G968" s="1"/>
      <c r="H968" s="1"/>
      <c r="I968" s="1"/>
      <c r="J968" s="1"/>
      <c r="K968" s="9"/>
      <c r="L968" s="1"/>
      <c r="M968" s="319"/>
      <c r="N968" s="319">
        <v>5110000</v>
      </c>
      <c r="O968" s="319"/>
      <c r="P968" s="319"/>
      <c r="Q968" s="319"/>
      <c r="R968" s="319"/>
      <c r="S968" s="319"/>
      <c r="T968" s="319"/>
      <c r="U968" s="319"/>
      <c r="V968" s="319"/>
      <c r="W968" s="319"/>
      <c r="X968" s="319"/>
      <c r="Y968" s="319"/>
      <c r="Z968" s="319"/>
      <c r="AA968" s="319"/>
      <c r="AB968" s="319"/>
      <c r="AC968" s="319"/>
      <c r="AD968" s="319"/>
      <c r="AE968" s="319"/>
      <c r="AF968" s="319"/>
      <c r="AG968" s="319"/>
      <c r="AH968" s="319"/>
      <c r="AI968" s="319"/>
      <c r="AJ968" s="319"/>
      <c r="AK968" s="319"/>
      <c r="AL968" s="319"/>
      <c r="AM968" s="319"/>
      <c r="AN968" s="319"/>
      <c r="AO968" s="319"/>
      <c r="AP968" s="319"/>
      <c r="AQ968" s="319"/>
      <c r="AR968" s="319"/>
      <c r="AS968" s="319"/>
      <c r="AT968" s="319"/>
      <c r="AU968" s="319"/>
      <c r="AV968" s="319"/>
      <c r="AW968" s="319"/>
      <c r="AX968" s="319"/>
      <c r="AY968" s="319"/>
      <c r="AZ968" s="319"/>
      <c r="BA968" s="319"/>
      <c r="BB968" s="319"/>
      <c r="BC968" s="319"/>
      <c r="BD968" s="319"/>
      <c r="BE968" s="319"/>
      <c r="BF968" s="319"/>
      <c r="BG968" s="319"/>
      <c r="BH968" s="319"/>
      <c r="BI968" s="319"/>
      <c r="BJ968" s="319"/>
      <c r="BK968" s="319"/>
      <c r="BL968" s="319"/>
      <c r="BM968" s="319"/>
      <c r="BN968" s="319"/>
      <c r="BO968" s="319"/>
      <c r="BP968" s="319"/>
      <c r="BQ968" s="319"/>
      <c r="BR968" s="319"/>
      <c r="BS968" s="319"/>
      <c r="BT968" s="319"/>
      <c r="BU968" s="319"/>
      <c r="BV968" s="319"/>
      <c r="BW968" s="319"/>
      <c r="BX968" s="319"/>
      <c r="BY968" s="319"/>
      <c r="BZ968" s="319"/>
      <c r="CA968" s="319"/>
      <c r="CB968" s="319"/>
      <c r="CC968" s="319"/>
      <c r="CD968" s="319"/>
      <c r="CE968" s="319"/>
      <c r="CF968" s="319"/>
      <c r="CG968" s="319"/>
      <c r="CH968" s="319"/>
      <c r="CI968" s="319"/>
      <c r="CJ968" s="319"/>
      <c r="CK968" s="319"/>
    </row>
    <row r="969" spans="1:89" ht="13.5" customHeight="1">
      <c r="A969" s="12"/>
      <c r="B969" s="28" t="str">
        <f>Language!C690</f>
        <v>Receita pela redução de GEE</v>
      </c>
      <c r="C969" s="1"/>
      <c r="D969" s="1"/>
      <c r="E969" s="1"/>
      <c r="F969" s="1"/>
      <c r="G969" s="1"/>
      <c r="H969" s="1"/>
      <c r="I969" s="1"/>
      <c r="J969" s="1"/>
      <c r="K969" s="9"/>
      <c r="L969" s="1"/>
      <c r="M969" s="319"/>
      <c r="N969" s="319">
        <v>5113000</v>
      </c>
      <c r="O969" s="319"/>
      <c r="P969" s="319"/>
      <c r="Q969" s="319"/>
      <c r="R969" s="319"/>
      <c r="S969" s="319"/>
      <c r="T969" s="319"/>
      <c r="U969" s="319"/>
      <c r="V969" s="319"/>
      <c r="W969" s="319"/>
      <c r="X969" s="319"/>
      <c r="Y969" s="319"/>
      <c r="Z969" s="319"/>
      <c r="AA969" s="319"/>
      <c r="AB969" s="319"/>
      <c r="AC969" s="319"/>
      <c r="AD969" s="319"/>
      <c r="AE969" s="319"/>
      <c r="AF969" s="319"/>
      <c r="AG969" s="319"/>
      <c r="AH969" s="319"/>
      <c r="AI969" s="319"/>
      <c r="AJ969" s="319"/>
      <c r="AK969" s="319"/>
      <c r="AL969" s="319"/>
      <c r="AM969" s="319"/>
      <c r="AN969" s="319"/>
      <c r="AO969" s="319"/>
      <c r="AP969" s="319"/>
      <c r="AQ969" s="319"/>
      <c r="AR969" s="319"/>
      <c r="AS969" s="319"/>
      <c r="AT969" s="319"/>
      <c r="AU969" s="319"/>
      <c r="AV969" s="319"/>
      <c r="AW969" s="319"/>
      <c r="AX969" s="319"/>
      <c r="AY969" s="319"/>
      <c r="AZ969" s="319"/>
      <c r="BA969" s="319"/>
      <c r="BB969" s="319"/>
      <c r="BC969" s="319"/>
      <c r="BD969" s="319"/>
      <c r="BE969" s="319"/>
      <c r="BF969" s="319"/>
      <c r="BG969" s="319"/>
      <c r="BH969" s="319"/>
      <c r="BI969" s="319"/>
      <c r="BJ969" s="319"/>
      <c r="BK969" s="319"/>
      <c r="BL969" s="319"/>
      <c r="BM969" s="319"/>
      <c r="BN969" s="319"/>
      <c r="BO969" s="319"/>
      <c r="BP969" s="319"/>
      <c r="BQ969" s="319"/>
      <c r="BR969" s="319"/>
      <c r="BS969" s="319"/>
      <c r="BT969" s="319"/>
      <c r="BU969" s="319"/>
      <c r="BV969" s="319"/>
      <c r="BW969" s="319"/>
      <c r="BX969" s="319"/>
      <c r="BY969" s="319"/>
      <c r="BZ969" s="319"/>
      <c r="CA969" s="319"/>
      <c r="CB969" s="319"/>
      <c r="CC969" s="319"/>
      <c r="CD969" s="319"/>
      <c r="CE969" s="319"/>
      <c r="CF969" s="319"/>
      <c r="CG969" s="319"/>
      <c r="CH969" s="319"/>
      <c r="CI969" s="319"/>
      <c r="CJ969" s="319"/>
      <c r="CK969" s="319"/>
    </row>
    <row r="970" spans="1:89" ht="13.5" customHeight="1">
      <c r="A970" s="12"/>
      <c r="B970" s="1" t="str">
        <f>Language!C654</f>
        <v>Crédito para redução de GEE</v>
      </c>
      <c r="C970" s="29" t="str">
        <f>$C$805&amp;"/"&amp;C963</f>
        <v>€/tCO2</v>
      </c>
      <c r="D970" s="310"/>
      <c r="E970" s="1"/>
      <c r="F970" s="1"/>
      <c r="G970" s="1"/>
      <c r="H970" s="1"/>
      <c r="I970" s="1"/>
      <c r="J970" s="1"/>
      <c r="K970" s="9"/>
      <c r="L970" s="1"/>
      <c r="M970" s="319"/>
      <c r="N970" s="319">
        <v>73208</v>
      </c>
      <c r="O970" s="319"/>
      <c r="P970" s="319"/>
      <c r="Q970" s="319"/>
      <c r="R970" s="319"/>
      <c r="S970" s="319"/>
      <c r="T970" s="319"/>
      <c r="U970" s="319"/>
      <c r="V970" s="319"/>
      <c r="W970" s="319"/>
      <c r="X970" s="319"/>
      <c r="Y970" s="319"/>
      <c r="Z970" s="319"/>
      <c r="AA970" s="319"/>
      <c r="AB970" s="319"/>
      <c r="AC970" s="319"/>
      <c r="AD970" s="319"/>
      <c r="AE970" s="319"/>
      <c r="AF970" s="319"/>
      <c r="AG970" s="319"/>
      <c r="AH970" s="319"/>
      <c r="AI970" s="319"/>
      <c r="AJ970" s="319"/>
      <c r="AK970" s="319"/>
      <c r="AL970" s="319"/>
      <c r="AM970" s="319"/>
      <c r="AN970" s="319"/>
      <c r="AO970" s="319"/>
      <c r="AP970" s="319"/>
      <c r="AQ970" s="319"/>
      <c r="AR970" s="319"/>
      <c r="AS970" s="319"/>
      <c r="AT970" s="319"/>
      <c r="AU970" s="319"/>
      <c r="AV970" s="319"/>
      <c r="AW970" s="319"/>
      <c r="AX970" s="319"/>
      <c r="AY970" s="319"/>
      <c r="AZ970" s="319"/>
      <c r="BA970" s="319"/>
      <c r="BB970" s="319"/>
      <c r="BC970" s="319"/>
      <c r="BD970" s="319"/>
      <c r="BE970" s="319"/>
      <c r="BF970" s="319"/>
      <c r="BG970" s="319"/>
      <c r="BH970" s="319"/>
      <c r="BI970" s="319"/>
      <c r="BJ970" s="319"/>
      <c r="BK970" s="319"/>
      <c r="BL970" s="319"/>
      <c r="BM970" s="319"/>
      <c r="BN970" s="319"/>
      <c r="BO970" s="319"/>
      <c r="BP970" s="319"/>
      <c r="BQ970" s="319"/>
      <c r="BR970" s="319"/>
      <c r="BS970" s="319"/>
      <c r="BT970" s="319"/>
      <c r="BU970" s="319"/>
      <c r="BV970" s="319"/>
      <c r="BW970" s="319"/>
      <c r="BX970" s="319"/>
      <c r="BY970" s="319"/>
      <c r="BZ970" s="319"/>
      <c r="CA970" s="319"/>
      <c r="CB970" s="319"/>
      <c r="CC970" s="319"/>
      <c r="CD970" s="319"/>
      <c r="CE970" s="319"/>
      <c r="CF970" s="319"/>
      <c r="CG970" s="319"/>
      <c r="CH970" s="319"/>
      <c r="CI970" s="319"/>
      <c r="CJ970" s="319"/>
      <c r="CK970" s="319"/>
    </row>
    <row r="971" spans="1:89" ht="13.5" hidden="1" customHeight="1">
      <c r="A971" s="12"/>
      <c r="B971" s="1" t="str">
        <f>Language!C655</f>
        <v>Duração do crédito para redução de GEE</v>
      </c>
      <c r="C971" s="29" t="str">
        <f>$C$1014</f>
        <v>ano</v>
      </c>
      <c r="D971" s="303"/>
      <c r="E971" s="1"/>
      <c r="F971" s="1"/>
      <c r="G971" s="1"/>
      <c r="H971" s="1"/>
      <c r="I971" s="1"/>
      <c r="J971" s="1"/>
      <c r="K971" s="9"/>
      <c r="L971" s="1"/>
      <c r="M971" s="319"/>
      <c r="N971" s="319">
        <v>73212</v>
      </c>
      <c r="O971" s="319"/>
      <c r="P971" s="319"/>
      <c r="Q971" s="319"/>
      <c r="R971" s="319"/>
      <c r="S971" s="319"/>
      <c r="T971" s="319"/>
      <c r="U971" s="319"/>
      <c r="V971" s="319"/>
      <c r="W971" s="319"/>
      <c r="X971" s="319"/>
      <c r="Y971" s="319"/>
      <c r="Z971" s="319"/>
      <c r="AA971" s="319"/>
      <c r="AB971" s="319"/>
      <c r="AC971" s="319"/>
      <c r="AD971" s="319"/>
      <c r="AE971" s="319"/>
      <c r="AF971" s="319"/>
      <c r="AG971" s="319"/>
      <c r="AH971" s="319"/>
      <c r="AI971" s="319"/>
      <c r="AJ971" s="319"/>
      <c r="AK971" s="319"/>
      <c r="AL971" s="319"/>
      <c r="AM971" s="319"/>
      <c r="AN971" s="319"/>
      <c r="AO971" s="319"/>
      <c r="AP971" s="319"/>
      <c r="AQ971" s="319"/>
      <c r="AR971" s="319"/>
      <c r="AS971" s="319"/>
      <c r="AT971" s="319"/>
      <c r="AU971" s="319"/>
      <c r="AV971" s="319"/>
      <c r="AW971" s="319"/>
      <c r="AX971" s="319"/>
      <c r="AY971" s="319"/>
      <c r="AZ971" s="319"/>
      <c r="BA971" s="319"/>
      <c r="BB971" s="319"/>
      <c r="BC971" s="319"/>
      <c r="BD971" s="319"/>
      <c r="BE971" s="319"/>
      <c r="BF971" s="319"/>
      <c r="BG971" s="319"/>
      <c r="BH971" s="319"/>
      <c r="BI971" s="319"/>
      <c r="BJ971" s="319"/>
      <c r="BK971" s="319"/>
      <c r="BL971" s="319"/>
      <c r="BM971" s="319"/>
      <c r="BN971" s="319"/>
      <c r="BO971" s="319"/>
      <c r="BP971" s="319"/>
      <c r="BQ971" s="319"/>
      <c r="BR971" s="319"/>
      <c r="BS971" s="319"/>
      <c r="BT971" s="319"/>
      <c r="BU971" s="319"/>
      <c r="BV971" s="319"/>
      <c r="BW971" s="319"/>
      <c r="BX971" s="319"/>
      <c r="BY971" s="319"/>
      <c r="BZ971" s="319"/>
      <c r="CA971" s="319"/>
      <c r="CB971" s="319"/>
      <c r="CC971" s="319"/>
      <c r="CD971" s="319"/>
      <c r="CE971" s="319"/>
      <c r="CF971" s="319"/>
      <c r="CG971" s="319"/>
      <c r="CH971" s="319"/>
      <c r="CI971" s="319"/>
      <c r="CJ971" s="319"/>
      <c r="CK971" s="319"/>
    </row>
    <row r="972" spans="1:89" ht="13.5" hidden="1" customHeight="1">
      <c r="A972" s="12"/>
      <c r="B972" s="1" t="str">
        <f>Language!C656</f>
        <v>Taxa de indexação do crédito para redução de GEE</v>
      </c>
      <c r="C972" s="29" t="str">
        <f>$C$254</f>
        <v>%</v>
      </c>
      <c r="D972" s="422"/>
      <c r="E972" s="1"/>
      <c r="F972" s="1"/>
      <c r="G972" s="1"/>
      <c r="H972" s="1"/>
      <c r="I972" s="1"/>
      <c r="J972" s="1"/>
      <c r="K972" s="9"/>
      <c r="L972" s="1"/>
      <c r="M972" s="319"/>
      <c r="N972" s="319">
        <v>73216</v>
      </c>
      <c r="O972" s="319"/>
      <c r="P972" s="319"/>
      <c r="Q972" s="319"/>
      <c r="R972" s="319"/>
      <c r="S972" s="319"/>
      <c r="T972" s="319"/>
      <c r="U972" s="319"/>
      <c r="V972" s="319"/>
      <c r="W972" s="319"/>
      <c r="X972" s="319"/>
      <c r="Y972" s="319"/>
      <c r="Z972" s="319"/>
      <c r="AA972" s="319"/>
      <c r="AB972" s="319"/>
      <c r="AC972" s="319"/>
      <c r="AD972" s="319"/>
      <c r="AE972" s="319"/>
      <c r="AF972" s="319"/>
      <c r="AG972" s="319"/>
      <c r="AH972" s="319"/>
      <c r="AI972" s="319"/>
      <c r="AJ972" s="319"/>
      <c r="AK972" s="319"/>
      <c r="AL972" s="319"/>
      <c r="AM972" s="319"/>
      <c r="AN972" s="319"/>
      <c r="AO972" s="319"/>
      <c r="AP972" s="319"/>
      <c r="AQ972" s="319"/>
      <c r="AR972" s="319"/>
      <c r="AS972" s="319"/>
      <c r="AT972" s="319"/>
      <c r="AU972" s="319"/>
      <c r="AV972" s="319"/>
      <c r="AW972" s="319"/>
      <c r="AX972" s="319"/>
      <c r="AY972" s="319"/>
      <c r="AZ972" s="319"/>
      <c r="BA972" s="319"/>
      <c r="BB972" s="319"/>
      <c r="BC972" s="319"/>
      <c r="BD972" s="319"/>
      <c r="BE972" s="319"/>
      <c r="BF972" s="319"/>
      <c r="BG972" s="319"/>
      <c r="BH972" s="319"/>
      <c r="BI972" s="319"/>
      <c r="BJ972" s="319"/>
      <c r="BK972" s="319"/>
      <c r="BL972" s="319"/>
      <c r="BM972" s="319"/>
      <c r="BN972" s="319"/>
      <c r="BO972" s="319"/>
      <c r="BP972" s="319"/>
      <c r="BQ972" s="319"/>
      <c r="BR972" s="319"/>
      <c r="BS972" s="319"/>
      <c r="BT972" s="319"/>
      <c r="BU972" s="319"/>
      <c r="BV972" s="319"/>
      <c r="BW972" s="319"/>
      <c r="BX972" s="319"/>
      <c r="BY972" s="319"/>
      <c r="BZ972" s="319"/>
      <c r="CA972" s="319"/>
      <c r="CB972" s="319"/>
      <c r="CC972" s="319"/>
      <c r="CD972" s="319"/>
      <c r="CE972" s="319"/>
      <c r="CF972" s="319"/>
      <c r="CG972" s="319"/>
      <c r="CH972" s="319"/>
      <c r="CI972" s="319"/>
      <c r="CJ972" s="319"/>
      <c r="CK972" s="319"/>
    </row>
    <row r="973" spans="1:89" ht="13.5" customHeight="1">
      <c r="A973" s="14"/>
      <c r="B973" s="15"/>
      <c r="C973" s="15"/>
      <c r="D973" s="15"/>
      <c r="E973" s="15"/>
      <c r="F973" s="15"/>
      <c r="G973" s="15"/>
      <c r="H973" s="15"/>
      <c r="I973" s="15"/>
      <c r="J973" s="15"/>
      <c r="K973" s="11"/>
      <c r="L973" s="1"/>
      <c r="M973" s="319"/>
      <c r="N973" s="319">
        <v>5110000</v>
      </c>
      <c r="O973" s="319"/>
      <c r="P973" s="319"/>
      <c r="Q973" s="319"/>
      <c r="R973" s="319"/>
      <c r="S973" s="319"/>
      <c r="T973" s="319"/>
      <c r="U973" s="319"/>
      <c r="V973" s="319"/>
      <c r="W973" s="319"/>
      <c r="X973" s="319"/>
      <c r="Y973" s="319"/>
      <c r="Z973" s="319"/>
      <c r="AA973" s="319"/>
      <c r="AB973" s="319"/>
      <c r="AC973" s="319"/>
      <c r="AD973" s="319"/>
      <c r="AE973" s="319"/>
      <c r="AF973" s="319"/>
      <c r="AG973" s="319"/>
      <c r="AH973" s="319"/>
      <c r="AI973" s="319"/>
      <c r="AJ973" s="319"/>
      <c r="AK973" s="319"/>
      <c r="AL973" s="319"/>
      <c r="AM973" s="319"/>
      <c r="AN973" s="319"/>
      <c r="AO973" s="319"/>
      <c r="AP973" s="319"/>
      <c r="AQ973" s="319"/>
      <c r="AR973" s="319"/>
      <c r="AS973" s="319"/>
      <c r="AT973" s="319"/>
      <c r="AU973" s="319"/>
      <c r="AV973" s="319"/>
      <c r="AW973" s="319"/>
      <c r="AX973" s="319"/>
      <c r="AY973" s="319"/>
      <c r="AZ973" s="319"/>
      <c r="BA973" s="319"/>
      <c r="BB973" s="319"/>
      <c r="BC973" s="319"/>
      <c r="BD973" s="319"/>
      <c r="BE973" s="319"/>
      <c r="BF973" s="319"/>
      <c r="BG973" s="319"/>
      <c r="BH973" s="319"/>
      <c r="BI973" s="319"/>
      <c r="BJ973" s="319"/>
      <c r="BK973" s="319"/>
      <c r="BL973" s="319"/>
      <c r="BM973" s="319"/>
      <c r="BN973" s="319"/>
      <c r="BO973" s="319"/>
      <c r="BP973" s="319"/>
      <c r="BQ973" s="319"/>
      <c r="BR973" s="319"/>
      <c r="BS973" s="319"/>
      <c r="BT973" s="319"/>
      <c r="BU973" s="319"/>
      <c r="BV973" s="319"/>
      <c r="BW973" s="319"/>
      <c r="BX973" s="319"/>
      <c r="BY973" s="319"/>
      <c r="BZ973" s="319"/>
      <c r="CA973" s="319"/>
      <c r="CB973" s="319"/>
      <c r="CC973" s="319"/>
      <c r="CD973" s="319"/>
      <c r="CE973" s="319"/>
      <c r="CF973" s="319"/>
      <c r="CG973" s="319"/>
      <c r="CH973" s="319"/>
      <c r="CI973" s="319"/>
      <c r="CJ973" s="319"/>
      <c r="CK973" s="319"/>
    </row>
    <row r="974" spans="1:89" ht="13.5" customHeight="1">
      <c r="A974" s="1"/>
      <c r="B974" s="1"/>
      <c r="C974" s="1"/>
      <c r="D974" s="1"/>
      <c r="E974" s="1"/>
      <c r="F974" s="1"/>
      <c r="G974" s="1"/>
      <c r="H974" s="1"/>
      <c r="I974" s="1"/>
      <c r="J974" s="1"/>
      <c r="K974" s="1"/>
      <c r="L974" s="1"/>
      <c r="M974" s="319"/>
      <c r="N974" s="319">
        <v>2000000</v>
      </c>
      <c r="O974" s="319"/>
      <c r="P974" s="319"/>
      <c r="Q974" s="319"/>
      <c r="R974" s="319"/>
      <c r="S974" s="319"/>
      <c r="T974" s="319"/>
      <c r="U974" s="319"/>
      <c r="V974" s="319"/>
      <c r="W974" s="319"/>
      <c r="X974" s="319"/>
      <c r="Y974" s="319"/>
      <c r="Z974" s="319"/>
      <c r="AA974" s="319"/>
      <c r="AB974" s="319"/>
      <c r="AC974" s="319"/>
      <c r="AD974" s="319"/>
      <c r="AE974" s="319"/>
      <c r="AF974" s="319"/>
      <c r="AG974" s="319"/>
      <c r="AH974" s="319"/>
      <c r="AI974" s="319"/>
      <c r="AJ974" s="319"/>
      <c r="AK974" s="319"/>
      <c r="AL974" s="319"/>
      <c r="AM974" s="319"/>
      <c r="AN974" s="319"/>
      <c r="AO974" s="319"/>
      <c r="AP974" s="319"/>
      <c r="AQ974" s="319"/>
      <c r="AR974" s="319"/>
      <c r="AS974" s="319"/>
      <c r="AT974" s="319"/>
      <c r="AU974" s="319"/>
      <c r="AV974" s="319"/>
      <c r="AW974" s="319"/>
      <c r="AX974" s="319"/>
      <c r="AY974" s="319"/>
      <c r="AZ974" s="319"/>
      <c r="BA974" s="319"/>
      <c r="BB974" s="319"/>
      <c r="BC974" s="319"/>
      <c r="BD974" s="319"/>
      <c r="BE974" s="319"/>
      <c r="BF974" s="319"/>
      <c r="BG974" s="319"/>
      <c r="BH974" s="319"/>
      <c r="BI974" s="319"/>
      <c r="BJ974" s="319"/>
      <c r="BK974" s="319"/>
      <c r="BL974" s="319"/>
      <c r="BM974" s="319"/>
      <c r="BN974" s="319"/>
      <c r="BO974" s="319"/>
      <c r="BP974" s="319"/>
      <c r="BQ974" s="319"/>
      <c r="BR974" s="319"/>
      <c r="BS974" s="319"/>
      <c r="BT974" s="319"/>
      <c r="BU974" s="319"/>
      <c r="BV974" s="319"/>
      <c r="BW974" s="319"/>
      <c r="BX974" s="319"/>
      <c r="BY974" s="319"/>
      <c r="BZ974" s="319"/>
      <c r="CA974" s="319"/>
      <c r="CB974" s="319"/>
      <c r="CC974" s="319"/>
      <c r="CD974" s="319"/>
      <c r="CE974" s="319"/>
      <c r="CF974" s="319"/>
      <c r="CG974" s="319"/>
      <c r="CH974" s="319"/>
      <c r="CI974" s="319"/>
      <c r="CJ974" s="319"/>
      <c r="CK974" s="319"/>
    </row>
    <row r="975" spans="1:89" ht="13.5" customHeight="1">
      <c r="A975" s="1174" t="str">
        <f>Language!C25</f>
        <v>Análise Financeira</v>
      </c>
      <c r="B975" s="1175"/>
      <c r="C975" s="25"/>
      <c r="D975" s="25"/>
      <c r="E975" s="25"/>
      <c r="F975" s="25"/>
      <c r="G975" s="25"/>
      <c r="H975" s="25"/>
      <c r="I975" s="25"/>
      <c r="J975" s="25"/>
      <c r="K975" s="27"/>
      <c r="L975" s="1"/>
      <c r="M975" s="319"/>
      <c r="N975" s="319">
        <v>5120000</v>
      </c>
      <c r="O975" s="319"/>
      <c r="P975" s="319"/>
      <c r="Q975" s="319"/>
      <c r="R975" s="319"/>
      <c r="S975" s="319"/>
      <c r="T975" s="319"/>
      <c r="U975" s="319"/>
      <c r="V975" s="319"/>
      <c r="W975" s="319"/>
      <c r="X975" s="319"/>
      <c r="Y975" s="319"/>
      <c r="Z975" s="319"/>
      <c r="AA975" s="319"/>
      <c r="AB975" s="319"/>
      <c r="AC975" s="319"/>
      <c r="AD975" s="319"/>
      <c r="AE975" s="319"/>
      <c r="AF975" s="319"/>
      <c r="AG975" s="319"/>
      <c r="AH975" s="319"/>
      <c r="AI975" s="319"/>
      <c r="AJ975" s="319"/>
      <c r="AK975" s="319"/>
      <c r="AL975" s="319"/>
      <c r="AM975" s="319"/>
      <c r="AN975" s="319"/>
      <c r="AO975" s="319"/>
      <c r="AP975" s="319"/>
      <c r="AQ975" s="319"/>
      <c r="AR975" s="319"/>
      <c r="AS975" s="319"/>
      <c r="AT975" s="319"/>
      <c r="AU975" s="319"/>
      <c r="AV975" s="319"/>
      <c r="AW975" s="319"/>
      <c r="AX975" s="319"/>
      <c r="AY975" s="319"/>
      <c r="AZ975" s="319"/>
      <c r="BA975" s="319"/>
      <c r="BB975" s="319"/>
      <c r="BC975" s="319"/>
      <c r="BD975" s="319"/>
      <c r="BE975" s="319"/>
      <c r="BF975" s="319"/>
      <c r="BG975" s="319"/>
      <c r="BH975" s="319"/>
      <c r="BI975" s="319"/>
      <c r="BJ975" s="319"/>
      <c r="BK975" s="319"/>
      <c r="BL975" s="319"/>
      <c r="BM975" s="319"/>
      <c r="BN975" s="319"/>
      <c r="BO975" s="319"/>
      <c r="BP975" s="319"/>
      <c r="BQ975" s="319"/>
      <c r="BR975" s="319"/>
      <c r="BS975" s="319"/>
      <c r="BT975" s="319"/>
      <c r="BU975" s="319"/>
      <c r="BV975" s="319"/>
      <c r="BW975" s="319"/>
      <c r="BX975" s="319"/>
      <c r="BY975" s="319"/>
      <c r="BZ975" s="319"/>
      <c r="CA975" s="319"/>
      <c r="CB975" s="319"/>
      <c r="CC975" s="319"/>
      <c r="CD975" s="319"/>
      <c r="CE975" s="319"/>
      <c r="CF975" s="319"/>
      <c r="CG975" s="319"/>
      <c r="CH975" s="319"/>
      <c r="CI975" s="319"/>
      <c r="CJ975" s="319"/>
      <c r="CK975" s="319"/>
    </row>
    <row r="976" spans="1:89" ht="13.5" customHeight="1">
      <c r="A976" s="12"/>
      <c r="B976" s="1"/>
      <c r="C976" s="1"/>
      <c r="D976" s="1"/>
      <c r="E976" s="1"/>
      <c r="F976" s="1"/>
      <c r="G976" s="1"/>
      <c r="H976" s="1"/>
      <c r="I976" s="1"/>
      <c r="J976" s="1"/>
      <c r="K976" s="9"/>
      <c r="L976" s="1"/>
      <c r="M976" s="319"/>
      <c r="N976" s="319">
        <v>5120000</v>
      </c>
      <c r="O976" s="319"/>
      <c r="P976" s="319"/>
      <c r="Q976" s="319"/>
      <c r="R976" s="319"/>
      <c r="S976" s="319"/>
      <c r="T976" s="319"/>
      <c r="U976" s="319"/>
      <c r="V976" s="319"/>
      <c r="W976" s="319"/>
      <c r="X976" s="319"/>
      <c r="Y976" s="319"/>
      <c r="Z976" s="319"/>
      <c r="AA976" s="319"/>
      <c r="AB976" s="319"/>
      <c r="AC976" s="319"/>
      <c r="AD976" s="319"/>
      <c r="AE976" s="319"/>
      <c r="AF976" s="319"/>
      <c r="AG976" s="319"/>
      <c r="AH976" s="319"/>
      <c r="AI976" s="319"/>
      <c r="AJ976" s="319"/>
      <c r="AK976" s="319"/>
      <c r="AL976" s="319"/>
      <c r="AM976" s="319"/>
      <c r="AN976" s="319"/>
      <c r="AO976" s="319"/>
      <c r="AP976" s="319"/>
      <c r="AQ976" s="319"/>
      <c r="AR976" s="319"/>
      <c r="AS976" s="319"/>
      <c r="AT976" s="319"/>
      <c r="AU976" s="319"/>
      <c r="AV976" s="319"/>
      <c r="AW976" s="319"/>
      <c r="AX976" s="319"/>
      <c r="AY976" s="319"/>
      <c r="AZ976" s="319"/>
      <c r="BA976" s="319"/>
      <c r="BB976" s="319"/>
      <c r="BC976" s="319"/>
      <c r="BD976" s="319"/>
      <c r="BE976" s="319"/>
      <c r="BF976" s="319"/>
      <c r="BG976" s="319"/>
      <c r="BH976" s="319"/>
      <c r="BI976" s="319"/>
      <c r="BJ976" s="319"/>
      <c r="BK976" s="319"/>
      <c r="BL976" s="319"/>
      <c r="BM976" s="319"/>
      <c r="BN976" s="319"/>
      <c r="BO976" s="319"/>
      <c r="BP976" s="319"/>
      <c r="BQ976" s="319"/>
      <c r="BR976" s="319"/>
      <c r="BS976" s="319"/>
      <c r="BT976" s="319"/>
      <c r="BU976" s="319"/>
      <c r="BV976" s="319"/>
      <c r="BW976" s="319"/>
      <c r="BX976" s="319"/>
      <c r="BY976" s="319"/>
      <c r="BZ976" s="319"/>
      <c r="CA976" s="319"/>
      <c r="CB976" s="319"/>
      <c r="CC976" s="319"/>
      <c r="CD976" s="319"/>
      <c r="CE976" s="319"/>
      <c r="CF976" s="319"/>
      <c r="CG976" s="319"/>
      <c r="CH976" s="319"/>
      <c r="CI976" s="319"/>
      <c r="CJ976" s="319"/>
      <c r="CK976" s="319"/>
    </row>
    <row r="977" spans="1:89" ht="13.5" customHeight="1">
      <c r="A977" s="12"/>
      <c r="B977" s="28" t="str">
        <f>Language!C647</f>
        <v>Parâmetros financeiros</v>
      </c>
      <c r="C977" s="1"/>
      <c r="D977" s="1"/>
      <c r="E977" s="1"/>
      <c r="F977" s="8"/>
      <c r="G977" s="8"/>
      <c r="H977" s="8"/>
      <c r="I977" s="8"/>
      <c r="J977" s="8"/>
      <c r="K977" s="9"/>
      <c r="L977" s="1"/>
      <c r="M977" s="319"/>
      <c r="N977" s="319">
        <v>5121000</v>
      </c>
      <c r="O977" s="319"/>
      <c r="P977" s="319"/>
      <c r="Q977" s="319"/>
      <c r="R977" s="319"/>
      <c r="S977" s="319"/>
      <c r="T977" s="319"/>
      <c r="U977" s="319"/>
      <c r="V977" s="319"/>
      <c r="W977" s="319"/>
      <c r="X977" s="319"/>
      <c r="Y977" s="319"/>
      <c r="Z977" s="319"/>
      <c r="AA977" s="319"/>
      <c r="AB977" s="319"/>
      <c r="AC977" s="319"/>
      <c r="AD977" s="319"/>
      <c r="AE977" s="319"/>
      <c r="AF977" s="319"/>
      <c r="AG977" s="319"/>
      <c r="AH977" s="319"/>
      <c r="AI977" s="319"/>
      <c r="AJ977" s="319"/>
      <c r="AK977" s="319"/>
      <c r="AL977" s="319"/>
      <c r="AM977" s="319"/>
      <c r="AN977" s="319"/>
      <c r="AO977" s="319"/>
      <c r="AP977" s="319"/>
      <c r="AQ977" s="319"/>
      <c r="AR977" s="319"/>
      <c r="AS977" s="319"/>
      <c r="AT977" s="319"/>
      <c r="AU977" s="319"/>
      <c r="AV977" s="319"/>
      <c r="AW977" s="319"/>
      <c r="AX977" s="319"/>
      <c r="AY977" s="319"/>
      <c r="AZ977" s="319"/>
      <c r="BA977" s="319"/>
      <c r="BB977" s="319"/>
      <c r="BC977" s="319"/>
      <c r="BD977" s="319"/>
      <c r="BE977" s="319"/>
      <c r="BF977" s="319"/>
      <c r="BG977" s="319"/>
      <c r="BH977" s="319"/>
      <c r="BI977" s="319"/>
      <c r="BJ977" s="319"/>
      <c r="BK977" s="319"/>
      <c r="BL977" s="319"/>
      <c r="BM977" s="319"/>
      <c r="BN977" s="319"/>
      <c r="BO977" s="319"/>
      <c r="BP977" s="319"/>
      <c r="BQ977" s="319"/>
      <c r="BR977" s="319"/>
      <c r="BS977" s="319"/>
      <c r="BT977" s="319"/>
      <c r="BU977" s="319"/>
      <c r="BV977" s="319"/>
      <c r="BW977" s="319"/>
      <c r="BX977" s="319"/>
      <c r="BY977" s="319"/>
      <c r="BZ977" s="319"/>
      <c r="CA977" s="319"/>
      <c r="CB977" s="319"/>
      <c r="CC977" s="319"/>
      <c r="CD977" s="319"/>
      <c r="CE977" s="319"/>
      <c r="CF977" s="319"/>
      <c r="CG977" s="319"/>
      <c r="CH977" s="319"/>
      <c r="CI977" s="319"/>
      <c r="CJ977" s="319"/>
      <c r="CK977" s="319"/>
    </row>
    <row r="978" spans="1:89" ht="13.5" customHeight="1">
      <c r="A978" s="12"/>
      <c r="B978" s="1" t="str">
        <f>Language!C659</f>
        <v>Taxa de inflação</v>
      </c>
      <c r="C978" s="29" t="str">
        <f>$C$254</f>
        <v>%</v>
      </c>
      <c r="D978" s="426"/>
      <c r="E978" s="1"/>
      <c r="F978" s="8"/>
      <c r="G978" s="8"/>
      <c r="H978" s="8"/>
      <c r="I978" s="8"/>
      <c r="J978" s="8"/>
      <c r="K978" s="9"/>
      <c r="L978" s="1"/>
      <c r="M978" s="319"/>
      <c r="N978" s="319">
        <v>72104</v>
      </c>
      <c r="O978" s="319"/>
      <c r="P978" s="319"/>
      <c r="Q978" s="319"/>
      <c r="R978" s="319"/>
      <c r="S978" s="319"/>
      <c r="T978" s="319"/>
      <c r="U978" s="319"/>
      <c r="V978" s="319"/>
      <c r="W978" s="319"/>
      <c r="X978" s="319"/>
      <c r="Y978" s="319"/>
      <c r="Z978" s="319"/>
      <c r="AA978" s="319"/>
      <c r="AB978" s="319"/>
      <c r="AC978" s="319"/>
      <c r="AD978" s="319"/>
      <c r="AE978" s="319"/>
      <c r="AF978" s="319"/>
      <c r="AG978" s="319"/>
      <c r="AH978" s="319"/>
      <c r="AI978" s="319"/>
      <c r="AJ978" s="319"/>
      <c r="AK978" s="319"/>
      <c r="AL978" s="319"/>
      <c r="AM978" s="319"/>
      <c r="AN978" s="319"/>
      <c r="AO978" s="319"/>
      <c r="AP978" s="319"/>
      <c r="AQ978" s="319"/>
      <c r="AR978" s="319"/>
      <c r="AS978" s="319"/>
      <c r="AT978" s="319"/>
      <c r="AU978" s="319"/>
      <c r="AV978" s="319"/>
      <c r="AW978" s="319"/>
      <c r="AX978" s="319"/>
      <c r="AY978" s="319"/>
      <c r="AZ978" s="319"/>
      <c r="BA978" s="319"/>
      <c r="BB978" s="319"/>
      <c r="BC978" s="319"/>
      <c r="BD978" s="319"/>
      <c r="BE978" s="319"/>
      <c r="BF978" s="319"/>
      <c r="BG978" s="319"/>
      <c r="BH978" s="319"/>
      <c r="BI978" s="319"/>
      <c r="BJ978" s="319"/>
      <c r="BK978" s="319"/>
      <c r="BL978" s="319"/>
      <c r="BM978" s="319"/>
      <c r="BN978" s="319"/>
      <c r="BO978" s="319"/>
      <c r="BP978" s="319"/>
      <c r="BQ978" s="319"/>
      <c r="BR978" s="319"/>
      <c r="BS978" s="319"/>
      <c r="BT978" s="319"/>
      <c r="BU978" s="319"/>
      <c r="BV978" s="319"/>
      <c r="BW978" s="319"/>
      <c r="BX978" s="319"/>
      <c r="BY978" s="319"/>
      <c r="BZ978" s="319"/>
      <c r="CA978" s="319"/>
      <c r="CB978" s="319"/>
      <c r="CC978" s="319"/>
      <c r="CD978" s="319"/>
      <c r="CE978" s="319"/>
      <c r="CF978" s="319"/>
      <c r="CG978" s="319"/>
      <c r="CH978" s="319"/>
      <c r="CI978" s="319"/>
      <c r="CJ978" s="319"/>
      <c r="CK978" s="319"/>
    </row>
    <row r="979" spans="1:89" ht="13.5" customHeight="1">
      <c r="A979" s="12"/>
      <c r="B979" s="1" t="str">
        <f>Language!C661</f>
        <v>Vida do projeto</v>
      </c>
      <c r="C979" s="29" t="str">
        <f>$C$1014</f>
        <v>ano</v>
      </c>
      <c r="D979" s="299"/>
      <c r="E979" s="1"/>
      <c r="F979" s="8"/>
      <c r="G979" s="8"/>
      <c r="H979" s="8"/>
      <c r="I979" s="8"/>
      <c r="J979" s="8"/>
      <c r="K979" s="9"/>
      <c r="L979" s="1"/>
      <c r="M979" s="319"/>
      <c r="N979" s="319">
        <v>72108</v>
      </c>
      <c r="O979" s="319"/>
      <c r="P979" s="319"/>
      <c r="Q979" s="319"/>
      <c r="R979" s="319"/>
      <c r="S979" s="319"/>
      <c r="T979" s="319"/>
      <c r="U979" s="319"/>
      <c r="V979" s="319"/>
      <c r="W979" s="319"/>
      <c r="X979" s="319"/>
      <c r="Y979" s="319"/>
      <c r="Z979" s="319"/>
      <c r="AA979" s="319"/>
      <c r="AB979" s="319"/>
      <c r="AC979" s="319"/>
      <c r="AD979" s="319"/>
      <c r="AE979" s="319"/>
      <c r="AF979" s="319"/>
      <c r="AG979" s="319"/>
      <c r="AH979" s="319"/>
      <c r="AI979" s="319"/>
      <c r="AJ979" s="319"/>
      <c r="AK979" s="319"/>
      <c r="AL979" s="319"/>
      <c r="AM979" s="319"/>
      <c r="AN979" s="319"/>
      <c r="AO979" s="319"/>
      <c r="AP979" s="319"/>
      <c r="AQ979" s="319"/>
      <c r="AR979" s="319"/>
      <c r="AS979" s="319"/>
      <c r="AT979" s="319"/>
      <c r="AU979" s="319"/>
      <c r="AV979" s="319"/>
      <c r="AW979" s="319"/>
      <c r="AX979" s="319"/>
      <c r="AY979" s="319"/>
      <c r="AZ979" s="319"/>
      <c r="BA979" s="319"/>
      <c r="BB979" s="319"/>
      <c r="BC979" s="319"/>
      <c r="BD979" s="319"/>
      <c r="BE979" s="319"/>
      <c r="BF979" s="319"/>
      <c r="BG979" s="319"/>
      <c r="BH979" s="319"/>
      <c r="BI979" s="319"/>
      <c r="BJ979" s="319"/>
      <c r="BK979" s="319"/>
      <c r="BL979" s="319"/>
      <c r="BM979" s="319"/>
      <c r="BN979" s="319"/>
      <c r="BO979" s="319"/>
      <c r="BP979" s="319"/>
      <c r="BQ979" s="319"/>
      <c r="BR979" s="319"/>
      <c r="BS979" s="319"/>
      <c r="BT979" s="319"/>
      <c r="BU979" s="319"/>
      <c r="BV979" s="319"/>
      <c r="BW979" s="319"/>
      <c r="BX979" s="319"/>
      <c r="BY979" s="319"/>
      <c r="BZ979" s="319"/>
      <c r="CA979" s="319"/>
      <c r="CB979" s="319"/>
      <c r="CC979" s="319"/>
      <c r="CD979" s="319"/>
      <c r="CE979" s="319"/>
      <c r="CF979" s="319"/>
      <c r="CG979" s="319"/>
      <c r="CH979" s="319"/>
      <c r="CI979" s="319"/>
      <c r="CJ979" s="319"/>
      <c r="CK979" s="319"/>
    </row>
    <row r="980" spans="1:89" ht="13.5" customHeight="1">
      <c r="A980" s="12"/>
      <c r="B980" s="56" t="str">
        <f>Language!C663</f>
        <v>Razão da dívida</v>
      </c>
      <c r="C980" s="29" t="str">
        <f>$C$254</f>
        <v>%</v>
      </c>
      <c r="D980" s="424"/>
      <c r="E980" s="1"/>
      <c r="F980" s="8"/>
      <c r="G980" s="8"/>
      <c r="H980" s="8"/>
      <c r="I980" s="8"/>
      <c r="J980" s="8"/>
      <c r="K980" s="9"/>
      <c r="L980" s="1"/>
      <c r="M980" s="319"/>
      <c r="N980" s="319">
        <v>72204</v>
      </c>
      <c r="O980" s="319"/>
      <c r="P980" s="319"/>
      <c r="Q980" s="319"/>
      <c r="R980" s="319"/>
      <c r="S980" s="319"/>
      <c r="T980" s="319"/>
      <c r="U980" s="319"/>
      <c r="V980" s="319"/>
      <c r="W980" s="319"/>
      <c r="X980" s="319"/>
      <c r="Y980" s="319"/>
      <c r="Z980" s="319"/>
      <c r="AA980" s="319"/>
      <c r="AB980" s="319"/>
      <c r="AC980" s="319"/>
      <c r="AD980" s="319"/>
      <c r="AE980" s="319"/>
      <c r="AF980" s="319"/>
      <c r="AG980" s="319"/>
      <c r="AH980" s="319"/>
      <c r="AI980" s="319"/>
      <c r="AJ980" s="319"/>
      <c r="AK980" s="319"/>
      <c r="AL980" s="319"/>
      <c r="AM980" s="319"/>
      <c r="AN980" s="319"/>
      <c r="AO980" s="319"/>
      <c r="AP980" s="319"/>
      <c r="AQ980" s="319"/>
      <c r="AR980" s="319"/>
      <c r="AS980" s="319"/>
      <c r="AT980" s="319"/>
      <c r="AU980" s="319"/>
      <c r="AV980" s="319"/>
      <c r="AW980" s="319"/>
      <c r="AX980" s="319"/>
      <c r="AY980" s="319"/>
      <c r="AZ980" s="319"/>
      <c r="BA980" s="319"/>
      <c r="BB980" s="319"/>
      <c r="BC980" s="319"/>
      <c r="BD980" s="319"/>
      <c r="BE980" s="319"/>
      <c r="BF980" s="319"/>
      <c r="BG980" s="319"/>
      <c r="BH980" s="319"/>
      <c r="BI980" s="319"/>
      <c r="BJ980" s="319"/>
      <c r="BK980" s="319"/>
      <c r="BL980" s="319"/>
      <c r="BM980" s="319"/>
      <c r="BN980" s="319"/>
      <c r="BO980" s="319"/>
      <c r="BP980" s="319"/>
      <c r="BQ980" s="319"/>
      <c r="BR980" s="319"/>
      <c r="BS980" s="319"/>
      <c r="BT980" s="319"/>
      <c r="BU980" s="319"/>
      <c r="BV980" s="319"/>
      <c r="BW980" s="319"/>
      <c r="BX980" s="319"/>
      <c r="BY980" s="319"/>
      <c r="BZ980" s="319"/>
      <c r="CA980" s="319"/>
      <c r="CB980" s="319"/>
      <c r="CC980" s="319"/>
      <c r="CD980" s="319"/>
      <c r="CE980" s="319"/>
      <c r="CF980" s="319"/>
      <c r="CG980" s="319"/>
      <c r="CH980" s="319"/>
      <c r="CI980" s="319"/>
      <c r="CJ980" s="319"/>
      <c r="CK980" s="319"/>
    </row>
    <row r="981" spans="1:89" ht="13.5" hidden="1" customHeight="1">
      <c r="A981" s="12"/>
      <c r="B981" s="56" t="str">
        <f>Language!C664</f>
        <v>Taxa de juros da dívida</v>
      </c>
      <c r="C981" s="29" t="str">
        <f>$C$254</f>
        <v>%</v>
      </c>
      <c r="D981" s="425"/>
      <c r="E981" s="1"/>
      <c r="F981" s="8"/>
      <c r="G981" s="8"/>
      <c r="H981" s="8"/>
      <c r="I981" s="8"/>
      <c r="J981" s="8"/>
      <c r="K981" s="9"/>
      <c r="L981" s="1"/>
      <c r="M981" s="319">
        <f>IF(OR(D980=0,D980=""),0,1)</f>
        <v>0</v>
      </c>
      <c r="N981" s="319">
        <v>72210</v>
      </c>
      <c r="O981" s="319"/>
      <c r="P981" s="319"/>
      <c r="Q981" s="319"/>
      <c r="R981" s="319"/>
      <c r="S981" s="319"/>
      <c r="T981" s="319"/>
      <c r="U981" s="319"/>
      <c r="V981" s="319"/>
      <c r="W981" s="319"/>
      <c r="X981" s="319"/>
      <c r="Y981" s="319"/>
      <c r="Z981" s="319"/>
      <c r="AA981" s="319"/>
      <c r="AB981" s="319"/>
      <c r="AC981" s="319"/>
      <c r="AD981" s="319"/>
      <c r="AE981" s="319"/>
      <c r="AF981" s="319"/>
      <c r="AG981" s="319"/>
      <c r="AH981" s="319"/>
      <c r="AI981" s="319"/>
      <c r="AJ981" s="319"/>
      <c r="AK981" s="319"/>
      <c r="AL981" s="319"/>
      <c r="AM981" s="319"/>
      <c r="AN981" s="319"/>
      <c r="AO981" s="319"/>
      <c r="AP981" s="319"/>
      <c r="AQ981" s="319"/>
      <c r="AR981" s="319"/>
      <c r="AS981" s="319"/>
      <c r="AT981" s="319"/>
      <c r="AU981" s="319"/>
      <c r="AV981" s="319"/>
      <c r="AW981" s="319"/>
      <c r="AX981" s="319"/>
      <c r="AY981" s="319"/>
      <c r="AZ981" s="319"/>
      <c r="BA981" s="319"/>
      <c r="BB981" s="319"/>
      <c r="BC981" s="319"/>
      <c r="BD981" s="319"/>
      <c r="BE981" s="319"/>
      <c r="BF981" s="319"/>
      <c r="BG981" s="319"/>
      <c r="BH981" s="319"/>
      <c r="BI981" s="319"/>
      <c r="BJ981" s="319"/>
      <c r="BK981" s="319"/>
      <c r="BL981" s="319"/>
      <c r="BM981" s="319"/>
      <c r="BN981" s="319"/>
      <c r="BO981" s="319"/>
      <c r="BP981" s="319"/>
      <c r="BQ981" s="319"/>
      <c r="BR981" s="319"/>
      <c r="BS981" s="319"/>
      <c r="BT981" s="319"/>
      <c r="BU981" s="319"/>
      <c r="BV981" s="319"/>
      <c r="BW981" s="319"/>
      <c r="BX981" s="319"/>
      <c r="BY981" s="319"/>
      <c r="BZ981" s="319"/>
      <c r="CA981" s="319"/>
      <c r="CB981" s="319"/>
      <c r="CC981" s="319"/>
      <c r="CD981" s="319"/>
      <c r="CE981" s="319"/>
      <c r="CF981" s="319"/>
      <c r="CG981" s="319"/>
      <c r="CH981" s="319"/>
      <c r="CI981" s="319"/>
      <c r="CJ981" s="319"/>
      <c r="CK981" s="319"/>
    </row>
    <row r="982" spans="1:89" ht="13.5" hidden="1" customHeight="1">
      <c r="A982" s="12"/>
      <c r="B982" s="56" t="str">
        <f>Language!C665</f>
        <v>Duração da dívida</v>
      </c>
      <c r="C982" s="29" t="str">
        <f>$C$1014</f>
        <v>ano</v>
      </c>
      <c r="D982" s="299"/>
      <c r="E982" s="1"/>
      <c r="F982" s="8"/>
      <c r="G982" s="8"/>
      <c r="H982" s="8"/>
      <c r="I982" s="8"/>
      <c r="J982" s="8"/>
      <c r="K982" s="9"/>
      <c r="L982" s="1"/>
      <c r="M982" s="319">
        <f>M981</f>
        <v>0</v>
      </c>
      <c r="N982" s="319">
        <v>72212</v>
      </c>
      <c r="O982" s="319"/>
      <c r="P982" s="319"/>
      <c r="Q982" s="319"/>
      <c r="R982" s="319"/>
      <c r="S982" s="319"/>
      <c r="T982" s="319"/>
      <c r="U982" s="319"/>
      <c r="V982" s="319"/>
      <c r="W982" s="319"/>
      <c r="X982" s="319"/>
      <c r="Y982" s="319"/>
      <c r="Z982" s="319"/>
      <c r="AA982" s="319"/>
      <c r="AB982" s="319"/>
      <c r="AC982" s="319"/>
      <c r="AD982" s="319"/>
      <c r="AE982" s="319"/>
      <c r="AF982" s="319"/>
      <c r="AG982" s="319"/>
      <c r="AH982" s="319"/>
      <c r="AI982" s="319"/>
      <c r="AJ982" s="319"/>
      <c r="AK982" s="319"/>
      <c r="AL982" s="319"/>
      <c r="AM982" s="319"/>
      <c r="AN982" s="319"/>
      <c r="AO982" s="319"/>
      <c r="AP982" s="319"/>
      <c r="AQ982" s="319"/>
      <c r="AR982" s="319"/>
      <c r="AS982" s="319"/>
      <c r="AT982" s="319"/>
      <c r="AU982" s="319"/>
      <c r="AV982" s="319"/>
      <c r="AW982" s="319"/>
      <c r="AX982" s="319"/>
      <c r="AY982" s="319"/>
      <c r="AZ982" s="319"/>
      <c r="BA982" s="319"/>
      <c r="BB982" s="319"/>
      <c r="BC982" s="319"/>
      <c r="BD982" s="319"/>
      <c r="BE982" s="319"/>
      <c r="BF982" s="319"/>
      <c r="BG982" s="319"/>
      <c r="BH982" s="319"/>
      <c r="BI982" s="319"/>
      <c r="BJ982" s="319"/>
      <c r="BK982" s="319"/>
      <c r="BL982" s="319"/>
      <c r="BM982" s="319"/>
      <c r="BN982" s="319"/>
      <c r="BO982" s="319"/>
      <c r="BP982" s="319"/>
      <c r="BQ982" s="319"/>
      <c r="BR982" s="319"/>
      <c r="BS982" s="319"/>
      <c r="BT982" s="319"/>
      <c r="BU982" s="319"/>
      <c r="BV982" s="319"/>
      <c r="BW982" s="319"/>
      <c r="BX982" s="319"/>
      <c r="BY982" s="319"/>
      <c r="BZ982" s="319"/>
      <c r="CA982" s="319"/>
      <c r="CB982" s="319"/>
      <c r="CC982" s="319"/>
      <c r="CD982" s="319"/>
      <c r="CE982" s="319"/>
      <c r="CF982" s="319"/>
      <c r="CG982" s="319"/>
      <c r="CH982" s="319"/>
      <c r="CI982" s="319"/>
      <c r="CJ982" s="319"/>
      <c r="CK982" s="319"/>
    </row>
    <row r="983" spans="1:89" ht="13.5" customHeight="1">
      <c r="A983" s="12"/>
      <c r="B983" s="56"/>
      <c r="C983" s="29"/>
      <c r="D983" s="1"/>
      <c r="E983" s="1"/>
      <c r="F983" s="8"/>
      <c r="G983" s="8"/>
      <c r="H983" s="8"/>
      <c r="I983" s="8"/>
      <c r="J983" s="8"/>
      <c r="K983" s="9"/>
      <c r="L983" s="1"/>
      <c r="M983" s="319">
        <v>1</v>
      </c>
      <c r="N983" s="319">
        <v>5120000</v>
      </c>
      <c r="O983" s="319"/>
      <c r="P983" s="319"/>
      <c r="Q983" s="319"/>
      <c r="R983" s="319"/>
      <c r="S983" s="319"/>
      <c r="T983" s="319"/>
      <c r="U983" s="319"/>
      <c r="V983" s="319"/>
      <c r="W983" s="319"/>
      <c r="X983" s="319"/>
      <c r="Y983" s="319"/>
      <c r="Z983" s="319"/>
      <c r="AA983" s="319"/>
      <c r="AB983" s="319"/>
      <c r="AC983" s="319"/>
      <c r="AD983" s="319"/>
      <c r="AE983" s="319"/>
      <c r="AF983" s="319"/>
      <c r="AG983" s="319"/>
      <c r="AH983" s="319"/>
      <c r="AI983" s="319"/>
      <c r="AJ983" s="319"/>
      <c r="AK983" s="319"/>
      <c r="AL983" s="319"/>
      <c r="AM983" s="319"/>
      <c r="AN983" s="319"/>
      <c r="AO983" s="319"/>
      <c r="AP983" s="319"/>
      <c r="AQ983" s="319"/>
      <c r="AR983" s="319"/>
      <c r="AS983" s="319"/>
      <c r="AT983" s="319"/>
      <c r="AU983" s="319"/>
      <c r="AV983" s="319"/>
      <c r="AW983" s="319"/>
      <c r="AX983" s="319"/>
      <c r="AY983" s="319"/>
      <c r="AZ983" s="319"/>
      <c r="BA983" s="319"/>
      <c r="BB983" s="319"/>
      <c r="BC983" s="319"/>
      <c r="BD983" s="319"/>
      <c r="BE983" s="319"/>
      <c r="BF983" s="319"/>
      <c r="BG983" s="319"/>
      <c r="BH983" s="319"/>
      <c r="BI983" s="319"/>
      <c r="BJ983" s="319"/>
      <c r="BK983" s="319"/>
      <c r="BL983" s="319"/>
      <c r="BM983" s="319"/>
      <c r="BN983" s="319"/>
      <c r="BO983" s="319"/>
      <c r="BP983" s="319"/>
      <c r="BQ983" s="319"/>
      <c r="BR983" s="319"/>
      <c r="BS983" s="319"/>
      <c r="BT983" s="319"/>
      <c r="BU983" s="319"/>
      <c r="BV983" s="319"/>
      <c r="BW983" s="319"/>
      <c r="BX983" s="319"/>
      <c r="BY983" s="319"/>
      <c r="BZ983" s="319"/>
      <c r="CA983" s="319"/>
      <c r="CB983" s="319"/>
      <c r="CC983" s="319"/>
      <c r="CD983" s="319"/>
      <c r="CE983" s="319"/>
      <c r="CF983" s="319"/>
      <c r="CG983" s="319"/>
      <c r="CH983" s="319"/>
      <c r="CI983" s="319"/>
      <c r="CJ983" s="319"/>
      <c r="CK983" s="319"/>
    </row>
    <row r="984" spans="1:89" ht="13.5" customHeight="1">
      <c r="A984" s="12"/>
      <c r="B984" s="153" t="str">
        <f>Language!C683</f>
        <v>Custos iniciais</v>
      </c>
      <c r="C984" s="8"/>
      <c r="D984" s="8"/>
      <c r="E984" s="8"/>
      <c r="F984" s="8"/>
      <c r="G984" s="8"/>
      <c r="H984" s="8"/>
      <c r="I984" s="8"/>
      <c r="J984" s="8"/>
      <c r="K984" s="9"/>
      <c r="L984" s="1"/>
      <c r="M984" s="319">
        <v>1</v>
      </c>
      <c r="N984" s="319">
        <v>5122000</v>
      </c>
      <c r="O984" s="319"/>
      <c r="P984" s="319"/>
      <c r="Q984" s="319"/>
      <c r="R984" s="319"/>
      <c r="S984" s="319"/>
      <c r="T984" s="319"/>
      <c r="U984" s="319"/>
      <c r="V984" s="319"/>
      <c r="W984" s="319"/>
      <c r="X984" s="319"/>
      <c r="Y984" s="319"/>
      <c r="Z984" s="319"/>
      <c r="AA984" s="319"/>
      <c r="AB984" s="319"/>
      <c r="AC984" s="319"/>
      <c r="AD984" s="319"/>
      <c r="AE984" s="319"/>
      <c r="AF984" s="319"/>
      <c r="AG984" s="319"/>
      <c r="AH984" s="319"/>
      <c r="AI984" s="319"/>
      <c r="AJ984" s="319"/>
      <c r="AK984" s="319"/>
      <c r="AL984" s="319"/>
      <c r="AM984" s="319"/>
      <c r="AN984" s="319"/>
      <c r="AO984" s="319"/>
      <c r="AP984" s="319"/>
      <c r="AQ984" s="319"/>
      <c r="AR984" s="319"/>
      <c r="AS984" s="319"/>
      <c r="AT984" s="319"/>
      <c r="AU984" s="319"/>
      <c r="AV984" s="319"/>
      <c r="AW984" s="319"/>
      <c r="AX984" s="319"/>
      <c r="AY984" s="319"/>
      <c r="AZ984" s="319"/>
      <c r="BA984" s="319"/>
      <c r="BB984" s="319"/>
      <c r="BC984" s="319"/>
      <c r="BD984" s="319"/>
      <c r="BE984" s="319"/>
      <c r="BF984" s="319"/>
      <c r="BG984" s="319"/>
      <c r="BH984" s="319"/>
      <c r="BI984" s="319"/>
      <c r="BJ984" s="319"/>
      <c r="BK984" s="319"/>
      <c r="BL984" s="319"/>
      <c r="BM984" s="319"/>
      <c r="BN984" s="319"/>
      <c r="BO984" s="319"/>
      <c r="BP984" s="319"/>
      <c r="BQ984" s="319"/>
      <c r="BR984" s="319"/>
      <c r="BS984" s="319"/>
      <c r="BT984" s="319"/>
      <c r="BU984" s="319"/>
      <c r="BV984" s="319"/>
      <c r="BW984" s="319"/>
      <c r="BX984" s="319"/>
      <c r="BY984" s="319"/>
      <c r="BZ984" s="319"/>
      <c r="CA984" s="319"/>
      <c r="CB984" s="319"/>
      <c r="CC984" s="319"/>
      <c r="CD984" s="319"/>
      <c r="CE984" s="319"/>
      <c r="CF984" s="319"/>
      <c r="CG984" s="319"/>
      <c r="CH984" s="319"/>
      <c r="CI984" s="319"/>
      <c r="CJ984" s="319"/>
      <c r="CK984" s="319"/>
    </row>
    <row r="985" spans="1:89" ht="13.5" customHeight="1">
      <c r="A985" s="12"/>
      <c r="B985" s="8" t="str">
        <f>B907</f>
        <v>Ações de Eficiência energética</v>
      </c>
      <c r="C985" s="21" t="str">
        <f t="shared" ref="C985:C991" si="209">$C$805</f>
        <v>€</v>
      </c>
      <c r="D985" s="125">
        <f>IF(HideCode_projectType=8,G1091,0)</f>
        <v>0</v>
      </c>
      <c r="E985" s="235" t="str">
        <f t="shared" ref="E985:E990" si="210">IF(ISERROR(D985/$D$991),"",D985/$D$991)</f>
        <v/>
      </c>
      <c r="F985" s="8"/>
      <c r="G985" s="8"/>
      <c r="H985" s="8"/>
      <c r="I985" s="8"/>
      <c r="J985" s="8"/>
      <c r="K985" s="9"/>
      <c r="L985" s="1"/>
      <c r="M985" s="319">
        <f>IF(HideCode_projectType=8,1,0)</f>
        <v>0</v>
      </c>
      <c r="N985" s="319">
        <v>74116</v>
      </c>
      <c r="O985" s="319"/>
      <c r="P985" s="319"/>
      <c r="Q985" s="319"/>
      <c r="R985" s="319"/>
      <c r="S985" s="319"/>
      <c r="T985" s="319"/>
      <c r="U985" s="319"/>
      <c r="V985" s="319"/>
      <c r="W985" s="319"/>
      <c r="X985" s="319"/>
      <c r="Y985" s="319"/>
      <c r="Z985" s="319"/>
      <c r="AA985" s="319"/>
      <c r="AB985" s="319"/>
      <c r="AC985" s="319"/>
      <c r="AD985" s="319"/>
      <c r="AE985" s="319"/>
      <c r="AF985" s="319"/>
      <c r="AG985" s="319"/>
      <c r="AH985" s="319"/>
      <c r="AI985" s="319"/>
      <c r="AJ985" s="319"/>
      <c r="AK985" s="319"/>
      <c r="AL985" s="319"/>
      <c r="AM985" s="319"/>
      <c r="AN985" s="319"/>
      <c r="AO985" s="319"/>
      <c r="AP985" s="319"/>
      <c r="AQ985" s="319"/>
      <c r="AR985" s="319"/>
      <c r="AS985" s="319"/>
      <c r="AT985" s="319"/>
      <c r="AU985" s="319"/>
      <c r="AV985" s="319"/>
      <c r="AW985" s="319"/>
      <c r="AX985" s="319"/>
      <c r="AY985" s="319"/>
      <c r="AZ985" s="319"/>
      <c r="BA985" s="319"/>
      <c r="BB985" s="319"/>
      <c r="BC985" s="319"/>
      <c r="BD985" s="319"/>
      <c r="BE985" s="319"/>
      <c r="BF985" s="319"/>
      <c r="BG985" s="319"/>
      <c r="BH985" s="319"/>
      <c r="BI985" s="319"/>
      <c r="BJ985" s="319"/>
      <c r="BK985" s="319"/>
      <c r="BL985" s="319"/>
      <c r="BM985" s="319"/>
      <c r="BN985" s="319"/>
      <c r="BO985" s="319"/>
      <c r="BP985" s="319"/>
      <c r="BQ985" s="319"/>
      <c r="BR985" s="319"/>
      <c r="BS985" s="319"/>
      <c r="BT985" s="319"/>
      <c r="BU985" s="319"/>
      <c r="BV985" s="319"/>
      <c r="BW985" s="319"/>
      <c r="BX985" s="319"/>
      <c r="BY985" s="319"/>
      <c r="BZ985" s="319"/>
      <c r="CA985" s="319"/>
      <c r="CB985" s="319"/>
      <c r="CC985" s="319"/>
      <c r="CD985" s="319"/>
      <c r="CE985" s="319"/>
      <c r="CF985" s="319"/>
      <c r="CG985" s="319"/>
      <c r="CH985" s="319"/>
      <c r="CI985" s="319"/>
      <c r="CJ985" s="319"/>
      <c r="CK985" s="319"/>
    </row>
    <row r="986" spans="1:89" ht="13.5" hidden="1" customHeight="1">
      <c r="A986" s="12"/>
      <c r="B986" s="8" t="str">
        <f>G244</f>
        <v>Custo inicial incremental</v>
      </c>
      <c r="C986" s="21" t="str">
        <f t="shared" si="209"/>
        <v>€</v>
      </c>
      <c r="D986" s="125">
        <f>T935*D1080</f>
        <v>0</v>
      </c>
      <c r="E986" s="235" t="str">
        <f t="shared" si="210"/>
        <v/>
      </c>
      <c r="F986" s="8"/>
      <c r="G986" s="8"/>
      <c r="H986" s="8"/>
      <c r="I986" s="8"/>
      <c r="J986" s="8"/>
      <c r="K986" s="9"/>
      <c r="L986" s="1"/>
      <c r="M986" s="319">
        <f>IF(D1080=1,1,0)</f>
        <v>0</v>
      </c>
      <c r="N986" s="319">
        <v>5122004</v>
      </c>
      <c r="O986" s="319"/>
      <c r="P986" s="319"/>
      <c r="Q986" s="319"/>
      <c r="R986" s="319"/>
      <c r="S986" s="319"/>
      <c r="T986" s="319"/>
      <c r="U986" s="319"/>
      <c r="V986" s="319"/>
      <c r="W986" s="319"/>
      <c r="X986" s="319"/>
      <c r="Y986" s="319"/>
      <c r="Z986" s="319"/>
      <c r="AA986" s="319"/>
      <c r="AB986" s="319"/>
      <c r="AC986" s="319"/>
      <c r="AD986" s="319"/>
      <c r="AE986" s="319"/>
      <c r="AF986" s="319"/>
      <c r="AG986" s="319"/>
      <c r="AH986" s="319"/>
      <c r="AI986" s="319"/>
      <c r="AJ986" s="319"/>
      <c r="AK986" s="319"/>
      <c r="AL986" s="319"/>
      <c r="AM986" s="319"/>
      <c r="AN986" s="319"/>
      <c r="AO986" s="319"/>
      <c r="AP986" s="319"/>
      <c r="AQ986" s="319"/>
      <c r="AR986" s="319"/>
      <c r="AS986" s="319"/>
      <c r="AT986" s="319"/>
      <c r="AU986" s="319"/>
      <c r="AV986" s="319"/>
      <c r="AW986" s="319"/>
      <c r="AX986" s="319"/>
      <c r="AY986" s="319"/>
      <c r="AZ986" s="319"/>
      <c r="BA986" s="319"/>
      <c r="BB986" s="319"/>
      <c r="BC986" s="319"/>
      <c r="BD986" s="319"/>
      <c r="BE986" s="319"/>
      <c r="BF986" s="319"/>
      <c r="BG986" s="319"/>
      <c r="BH986" s="319"/>
      <c r="BI986" s="319"/>
      <c r="BJ986" s="319"/>
      <c r="BK986" s="319"/>
      <c r="BL986" s="319"/>
      <c r="BM986" s="319"/>
      <c r="BN986" s="319"/>
      <c r="BO986" s="319"/>
      <c r="BP986" s="319"/>
      <c r="BQ986" s="319"/>
      <c r="BR986" s="319"/>
      <c r="BS986" s="319"/>
      <c r="BT986" s="319"/>
      <c r="BU986" s="319"/>
      <c r="BV986" s="319"/>
      <c r="BW986" s="319"/>
      <c r="BX986" s="319"/>
      <c r="BY986" s="319"/>
      <c r="BZ986" s="319"/>
      <c r="CA986" s="319"/>
      <c r="CB986" s="319"/>
      <c r="CC986" s="319"/>
      <c r="CD986" s="319"/>
      <c r="CE986" s="319"/>
      <c r="CF986" s="319"/>
      <c r="CG986" s="319"/>
      <c r="CH986" s="319"/>
      <c r="CI986" s="319"/>
      <c r="CJ986" s="319"/>
      <c r="CK986" s="319"/>
    </row>
    <row r="987" spans="1:89" ht="13.5" hidden="1" customHeight="1">
      <c r="A987" s="12"/>
      <c r="B987" s="8" t="str">
        <f>Language!C1284</f>
        <v>Sistema de produção de eletricidade</v>
      </c>
      <c r="C987" s="21" t="str">
        <f t="shared" si="209"/>
        <v>€</v>
      </c>
      <c r="D987" s="125">
        <f>G1085</f>
        <v>0</v>
      </c>
      <c r="E987" s="235" t="str">
        <f t="shared" si="210"/>
        <v/>
      </c>
      <c r="F987" s="8"/>
      <c r="G987" s="8"/>
      <c r="H987" s="8"/>
      <c r="I987" s="8"/>
      <c r="J987" s="8"/>
      <c r="K987" s="9"/>
      <c r="L987" s="1"/>
      <c r="M987" s="319">
        <f>IF(OR(HideCode_projectType3=2,HideCode_projectType3=4,HideCode_projectType3=5,HideCode_projectType3=7,,HideCode_projectType3=10),1,0)</f>
        <v>1</v>
      </c>
      <c r="N987" s="319">
        <v>5122006</v>
      </c>
      <c r="O987" s="319"/>
      <c r="P987" s="319"/>
      <c r="Q987" s="319"/>
      <c r="R987" s="319"/>
      <c r="S987" s="319"/>
      <c r="T987" s="319"/>
      <c r="U987" s="319"/>
      <c r="V987" s="319"/>
      <c r="W987" s="319"/>
      <c r="X987" s="319"/>
      <c r="Y987" s="319"/>
      <c r="Z987" s="319"/>
      <c r="AA987" s="319"/>
      <c r="AB987" s="319"/>
      <c r="AC987" s="319"/>
      <c r="AD987" s="319"/>
      <c r="AE987" s="319"/>
      <c r="AF987" s="319"/>
      <c r="AG987" s="319"/>
      <c r="AH987" s="319"/>
      <c r="AI987" s="319"/>
      <c r="AJ987" s="319"/>
      <c r="AK987" s="319"/>
      <c r="AL987" s="319"/>
      <c r="AM987" s="319"/>
      <c r="AN987" s="319"/>
      <c r="AO987" s="319"/>
      <c r="AP987" s="319"/>
      <c r="AQ987" s="319"/>
      <c r="AR987" s="319"/>
      <c r="AS987" s="319"/>
      <c r="AT987" s="319"/>
      <c r="AU987" s="319"/>
      <c r="AV987" s="319"/>
      <c r="AW987" s="319"/>
      <c r="AX987" s="319"/>
      <c r="AY987" s="319"/>
      <c r="AZ987" s="319"/>
      <c r="BA987" s="319"/>
      <c r="BB987" s="319"/>
      <c r="BC987" s="319"/>
      <c r="BD987" s="319"/>
      <c r="BE987" s="319"/>
      <c r="BF987" s="319"/>
      <c r="BG987" s="319"/>
      <c r="BH987" s="319"/>
      <c r="BI987" s="319"/>
      <c r="BJ987" s="319"/>
      <c r="BK987" s="319"/>
      <c r="BL987" s="319"/>
      <c r="BM987" s="319"/>
      <c r="BN987" s="319"/>
      <c r="BO987" s="319"/>
      <c r="BP987" s="319"/>
      <c r="BQ987" s="319"/>
      <c r="BR987" s="319"/>
      <c r="BS987" s="319"/>
      <c r="BT987" s="319"/>
      <c r="BU987" s="319"/>
      <c r="BV987" s="319"/>
      <c r="BW987" s="319"/>
      <c r="BX987" s="319"/>
      <c r="BY987" s="319"/>
      <c r="BZ987" s="319"/>
      <c r="CA987" s="319"/>
      <c r="CB987" s="319"/>
      <c r="CC987" s="319"/>
      <c r="CD987" s="319"/>
      <c r="CE987" s="319"/>
      <c r="CF987" s="319"/>
      <c r="CG987" s="319"/>
      <c r="CH987" s="319"/>
      <c r="CI987" s="319"/>
      <c r="CJ987" s="319"/>
      <c r="CK987" s="319"/>
    </row>
    <row r="988" spans="1:89" ht="13.5" hidden="1" customHeight="1">
      <c r="A988" s="12"/>
      <c r="B988" s="8" t="str">
        <f>B40</f>
        <v>Sistema de Aquecimento</v>
      </c>
      <c r="C988" s="21" t="str">
        <f t="shared" si="209"/>
        <v>€</v>
      </c>
      <c r="D988" s="125">
        <f>G1083</f>
        <v>0</v>
      </c>
      <c r="E988" s="235" t="str">
        <f t="shared" si="210"/>
        <v/>
      </c>
      <c r="F988" s="8"/>
      <c r="G988" s="8"/>
      <c r="H988" s="8"/>
      <c r="I988" s="8"/>
      <c r="J988" s="8"/>
      <c r="K988" s="9"/>
      <c r="L988" s="1"/>
      <c r="M988" s="319">
        <f>IF(OR(D1083=TRUE,D1076=1),1,0)</f>
        <v>0</v>
      </c>
      <c r="N988" s="319">
        <v>5122008</v>
      </c>
      <c r="O988" s="319"/>
      <c r="P988" s="319"/>
      <c r="Q988" s="319"/>
      <c r="R988" s="319"/>
      <c r="S988" s="319"/>
      <c r="T988" s="319"/>
      <c r="U988" s="319"/>
      <c r="V988" s="319"/>
      <c r="W988" s="319"/>
      <c r="X988" s="319"/>
      <c r="Y988" s="319"/>
      <c r="Z988" s="319"/>
      <c r="AA988" s="319"/>
      <c r="AB988" s="319"/>
      <c r="AC988" s="319"/>
      <c r="AD988" s="319"/>
      <c r="AE988" s="319"/>
      <c r="AF988" s="319"/>
      <c r="AG988" s="319"/>
      <c r="AH988" s="319"/>
      <c r="AI988" s="319"/>
      <c r="AJ988" s="319"/>
      <c r="AK988" s="319"/>
      <c r="AL988" s="319"/>
      <c r="AM988" s="319"/>
      <c r="AN988" s="319"/>
      <c r="AO988" s="319"/>
      <c r="AP988" s="319"/>
      <c r="AQ988" s="319"/>
      <c r="AR988" s="319"/>
      <c r="AS988" s="319"/>
      <c r="AT988" s="319"/>
      <c r="AU988" s="319"/>
      <c r="AV988" s="319"/>
      <c r="AW988" s="319"/>
      <c r="AX988" s="319"/>
      <c r="AY988" s="319"/>
      <c r="AZ988" s="319"/>
      <c r="BA988" s="319"/>
      <c r="BB988" s="319"/>
      <c r="BC988" s="319"/>
      <c r="BD988" s="319"/>
      <c r="BE988" s="319"/>
      <c r="BF988" s="319"/>
      <c r="BG988" s="319"/>
      <c r="BH988" s="319"/>
      <c r="BI988" s="319"/>
      <c r="BJ988" s="319"/>
      <c r="BK988" s="319"/>
      <c r="BL988" s="319"/>
      <c r="BM988" s="319"/>
      <c r="BN988" s="319"/>
      <c r="BO988" s="319"/>
      <c r="BP988" s="319"/>
      <c r="BQ988" s="319"/>
      <c r="BR988" s="319"/>
      <c r="BS988" s="319"/>
      <c r="BT988" s="319"/>
      <c r="BU988" s="319"/>
      <c r="BV988" s="319"/>
      <c r="BW988" s="319"/>
      <c r="BX988" s="319"/>
      <c r="BY988" s="319"/>
      <c r="BZ988" s="319"/>
      <c r="CA988" s="319"/>
      <c r="CB988" s="319"/>
      <c r="CC988" s="319"/>
      <c r="CD988" s="319"/>
      <c r="CE988" s="319"/>
      <c r="CF988" s="319"/>
      <c r="CG988" s="319"/>
      <c r="CH988" s="319"/>
      <c r="CI988" s="319"/>
      <c r="CJ988" s="319"/>
      <c r="CK988" s="319"/>
    </row>
    <row r="989" spans="1:89" ht="13.5" hidden="1" customHeight="1">
      <c r="A989" s="12"/>
      <c r="B989" s="8" t="str">
        <f>B808</f>
        <v>Sistema de refrigeração</v>
      </c>
      <c r="C989" s="21" t="str">
        <f t="shared" si="209"/>
        <v>€</v>
      </c>
      <c r="D989" s="125">
        <f>G1084</f>
        <v>0</v>
      </c>
      <c r="E989" s="235" t="str">
        <f t="shared" si="210"/>
        <v/>
      </c>
      <c r="F989" s="8"/>
      <c r="G989" s="8"/>
      <c r="H989" s="8"/>
      <c r="I989" s="8"/>
      <c r="J989" s="8"/>
      <c r="K989" s="9"/>
      <c r="L989" s="1"/>
      <c r="M989" s="319">
        <f>IF(D1084=TRUE,1,0)</f>
        <v>0</v>
      </c>
      <c r="N989" s="319">
        <v>5122010</v>
      </c>
      <c r="O989" s="319"/>
      <c r="P989" s="319"/>
      <c r="Q989" s="319"/>
      <c r="R989" s="319"/>
      <c r="S989" s="319"/>
      <c r="T989" s="319"/>
      <c r="U989" s="319"/>
      <c r="V989" s="319"/>
      <c r="W989" s="319"/>
      <c r="X989" s="319"/>
      <c r="Y989" s="319"/>
      <c r="Z989" s="319"/>
      <c r="AA989" s="319"/>
      <c r="AB989" s="319"/>
      <c r="AC989" s="319"/>
      <c r="AD989" s="319"/>
      <c r="AE989" s="319"/>
      <c r="AF989" s="319"/>
      <c r="AG989" s="319"/>
      <c r="AH989" s="319"/>
      <c r="AI989" s="319"/>
      <c r="AJ989" s="319"/>
      <c r="AK989" s="319"/>
      <c r="AL989" s="319"/>
      <c r="AM989" s="319"/>
      <c r="AN989" s="319"/>
      <c r="AO989" s="319"/>
      <c r="AP989" s="319"/>
      <c r="AQ989" s="319"/>
      <c r="AR989" s="319"/>
      <c r="AS989" s="319"/>
      <c r="AT989" s="319"/>
      <c r="AU989" s="319"/>
      <c r="AV989" s="319"/>
      <c r="AW989" s="319"/>
      <c r="AX989" s="319"/>
      <c r="AY989" s="319"/>
      <c r="AZ989" s="319"/>
      <c r="BA989" s="319"/>
      <c r="BB989" s="319"/>
      <c r="BC989" s="319"/>
      <c r="BD989" s="319"/>
      <c r="BE989" s="319"/>
      <c r="BF989" s="319"/>
      <c r="BG989" s="319"/>
      <c r="BH989" s="319"/>
      <c r="BI989" s="319"/>
      <c r="BJ989" s="319"/>
      <c r="BK989" s="319"/>
      <c r="BL989" s="319"/>
      <c r="BM989" s="319"/>
      <c r="BN989" s="319"/>
      <c r="BO989" s="319"/>
      <c r="BP989" s="319"/>
      <c r="BQ989" s="319"/>
      <c r="BR989" s="319"/>
      <c r="BS989" s="319"/>
      <c r="BT989" s="319"/>
      <c r="BU989" s="319"/>
      <c r="BV989" s="319"/>
      <c r="BW989" s="319"/>
      <c r="BX989" s="319"/>
      <c r="BY989" s="319"/>
      <c r="BZ989" s="319"/>
      <c r="CA989" s="319"/>
      <c r="CB989" s="319"/>
      <c r="CC989" s="319"/>
      <c r="CD989" s="319"/>
      <c r="CE989" s="319"/>
      <c r="CF989" s="319"/>
      <c r="CG989" s="319"/>
      <c r="CH989" s="319"/>
      <c r="CI989" s="319"/>
      <c r="CJ989" s="319"/>
      <c r="CK989" s="319"/>
    </row>
    <row r="990" spans="1:89" ht="13.5" customHeight="1">
      <c r="A990" s="12"/>
      <c r="B990" s="334" t="str">
        <f>J1155</f>
        <v>Outro</v>
      </c>
      <c r="C990" s="95" t="str">
        <f t="shared" si="209"/>
        <v>€</v>
      </c>
      <c r="D990" s="301"/>
      <c r="E990" s="248" t="str">
        <f t="shared" si="210"/>
        <v/>
      </c>
      <c r="F990" s="8"/>
      <c r="G990" s="8"/>
      <c r="H990" s="8"/>
      <c r="I990" s="8"/>
      <c r="J990" s="8"/>
      <c r="K990" s="9"/>
      <c r="L990" s="1"/>
      <c r="M990" s="319">
        <v>1</v>
      </c>
      <c r="N990" s="319">
        <v>5122012</v>
      </c>
      <c r="O990" s="319"/>
      <c r="P990" s="319"/>
      <c r="Q990" s="319"/>
      <c r="R990" s="319"/>
      <c r="S990" s="319"/>
      <c r="T990" s="319"/>
      <c r="U990" s="319"/>
      <c r="V990" s="319"/>
      <c r="W990" s="319"/>
      <c r="X990" s="319"/>
      <c r="Y990" s="319"/>
      <c r="Z990" s="319"/>
      <c r="AA990" s="319"/>
      <c r="AB990" s="319"/>
      <c r="AC990" s="319"/>
      <c r="AD990" s="319"/>
      <c r="AE990" s="319"/>
      <c r="AF990" s="319"/>
      <c r="AG990" s="319"/>
      <c r="AH990" s="319"/>
      <c r="AI990" s="319"/>
      <c r="AJ990" s="319"/>
      <c r="AK990" s="319"/>
      <c r="AL990" s="319"/>
      <c r="AM990" s="319"/>
      <c r="AN990" s="319"/>
      <c r="AO990" s="319"/>
      <c r="AP990" s="319"/>
      <c r="AQ990" s="319"/>
      <c r="AR990" s="319"/>
      <c r="AS990" s="319"/>
      <c r="AT990" s="319"/>
      <c r="AU990" s="319"/>
      <c r="AV990" s="319"/>
      <c r="AW990" s="319"/>
      <c r="AX990" s="319"/>
      <c r="AY990" s="319"/>
      <c r="AZ990" s="319"/>
      <c r="BA990" s="319"/>
      <c r="BB990" s="319"/>
      <c r="BC990" s="319"/>
      <c r="BD990" s="319"/>
      <c r="BE990" s="319"/>
      <c r="BF990" s="319"/>
      <c r="BG990" s="319"/>
      <c r="BH990" s="319"/>
      <c r="BI990" s="319"/>
      <c r="BJ990" s="319"/>
      <c r="BK990" s="319"/>
      <c r="BL990" s="319"/>
      <c r="BM990" s="319"/>
      <c r="BN990" s="319"/>
      <c r="BO990" s="319"/>
      <c r="BP990" s="319"/>
      <c r="BQ990" s="319"/>
      <c r="BR990" s="319"/>
      <c r="BS990" s="319"/>
      <c r="BT990" s="319"/>
      <c r="BU990" s="319"/>
      <c r="BV990" s="319"/>
      <c r="BW990" s="319"/>
      <c r="BX990" s="319"/>
      <c r="BY990" s="319"/>
      <c r="BZ990" s="319"/>
      <c r="CA990" s="319"/>
      <c r="CB990" s="319"/>
      <c r="CC990" s="319"/>
      <c r="CD990" s="319"/>
      <c r="CE990" s="319"/>
      <c r="CF990" s="319"/>
      <c r="CG990" s="319"/>
      <c r="CH990" s="319"/>
      <c r="CI990" s="319"/>
      <c r="CJ990" s="319"/>
      <c r="CK990" s="319"/>
    </row>
    <row r="991" spans="1:89" ht="13.5" customHeight="1">
      <c r="A991" s="12"/>
      <c r="B991" s="153" t="str">
        <f>Language!C572</f>
        <v>Total de custos de investimento</v>
      </c>
      <c r="C991" s="21" t="str">
        <f t="shared" si="209"/>
        <v>€</v>
      </c>
      <c r="D991" s="125">
        <f>SUM(D985:D990)</f>
        <v>0</v>
      </c>
      <c r="E991" s="235">
        <f>IF(ISERROR(SUM(E985:E990)),"",SUM(E985:E990))</f>
        <v>0</v>
      </c>
      <c r="F991" s="8"/>
      <c r="G991" s="8"/>
      <c r="H991" s="8"/>
      <c r="I991" s="8"/>
      <c r="J991" s="8"/>
      <c r="K991" s="9"/>
      <c r="L991" s="1"/>
      <c r="M991" s="319">
        <v>1</v>
      </c>
      <c r="N991" s="319">
        <v>5122000</v>
      </c>
      <c r="O991" s="319"/>
      <c r="P991" s="319"/>
      <c r="Q991" s="319"/>
      <c r="R991" s="319"/>
      <c r="S991" s="319"/>
      <c r="T991" s="319"/>
      <c r="U991" s="319"/>
      <c r="V991" s="319"/>
      <c r="W991" s="319"/>
      <c r="X991" s="319"/>
      <c r="Y991" s="319"/>
      <c r="Z991" s="319"/>
      <c r="AA991" s="319"/>
      <c r="AB991" s="319"/>
      <c r="AC991" s="319"/>
      <c r="AD991" s="319"/>
      <c r="AE991" s="319"/>
      <c r="AF991" s="319"/>
      <c r="AG991" s="319"/>
      <c r="AH991" s="319"/>
      <c r="AI991" s="319"/>
      <c r="AJ991" s="319"/>
      <c r="AK991" s="319"/>
      <c r="AL991" s="319"/>
      <c r="AM991" s="319"/>
      <c r="AN991" s="319"/>
      <c r="AO991" s="319"/>
      <c r="AP991" s="319"/>
      <c r="AQ991" s="319"/>
      <c r="AR991" s="319"/>
      <c r="AS991" s="319"/>
      <c r="AT991" s="319"/>
      <c r="AU991" s="319"/>
      <c r="AV991" s="319"/>
      <c r="AW991" s="319"/>
      <c r="AX991" s="319"/>
      <c r="AY991" s="319"/>
      <c r="AZ991" s="319"/>
      <c r="BA991" s="319"/>
      <c r="BB991" s="319"/>
      <c r="BC991" s="319"/>
      <c r="BD991" s="319"/>
      <c r="BE991" s="319"/>
      <c r="BF991" s="319"/>
      <c r="BG991" s="319"/>
      <c r="BH991" s="319"/>
      <c r="BI991" s="319"/>
      <c r="BJ991" s="319"/>
      <c r="BK991" s="319"/>
      <c r="BL991" s="319"/>
      <c r="BM991" s="319"/>
      <c r="BN991" s="319"/>
      <c r="BO991" s="319"/>
      <c r="BP991" s="319"/>
      <c r="BQ991" s="319"/>
      <c r="BR991" s="319"/>
      <c r="BS991" s="319"/>
      <c r="BT991" s="319"/>
      <c r="BU991" s="319"/>
      <c r="BV991" s="319"/>
      <c r="BW991" s="319"/>
      <c r="BX991" s="319"/>
      <c r="BY991" s="319"/>
      <c r="BZ991" s="319"/>
      <c r="CA991" s="319"/>
      <c r="CB991" s="319"/>
      <c r="CC991" s="319"/>
      <c r="CD991" s="319"/>
      <c r="CE991" s="319"/>
      <c r="CF991" s="319"/>
      <c r="CG991" s="319"/>
      <c r="CH991" s="319"/>
      <c r="CI991" s="319"/>
      <c r="CJ991" s="319"/>
      <c r="CK991" s="319"/>
    </row>
    <row r="992" spans="1:89" ht="13.5" customHeight="1">
      <c r="A992" s="12"/>
      <c r="B992" s="8"/>
      <c r="C992" s="8"/>
      <c r="D992" s="8"/>
      <c r="E992" s="8"/>
      <c r="F992" s="1"/>
      <c r="G992" s="1"/>
      <c r="H992" s="1"/>
      <c r="I992" s="1"/>
      <c r="J992" s="1"/>
      <c r="K992" s="9"/>
      <c r="L992" s="1"/>
      <c r="M992" s="319">
        <v>1</v>
      </c>
      <c r="N992" s="319">
        <v>5120000</v>
      </c>
      <c r="O992" s="319"/>
      <c r="P992" s="319"/>
      <c r="Q992" s="319"/>
      <c r="R992" s="319">
        <f>((SUM(EET!X3:'EET'!X8)+SUM(EET!AS3:'EET'!AS8)+EET!BI3)-(EET!AE1+EET!AZ1+EET!BK3))*3.6</f>
        <v>0</v>
      </c>
      <c r="S992" s="319" t="s">
        <v>5865</v>
      </c>
      <c r="T992" s="319"/>
      <c r="U992" s="319"/>
      <c r="V992" s="319"/>
      <c r="W992" s="319"/>
      <c r="X992" s="319"/>
      <c r="Y992" s="319"/>
      <c r="Z992" s="319"/>
      <c r="AA992" s="319"/>
      <c r="AB992" s="319"/>
      <c r="AC992" s="319"/>
      <c r="AD992" s="319"/>
      <c r="AE992" s="319"/>
      <c r="AF992" s="319"/>
      <c r="AG992" s="319"/>
      <c r="AH992" s="319"/>
      <c r="AI992" s="319"/>
      <c r="AJ992" s="319"/>
      <c r="AK992" s="319"/>
      <c r="AL992" s="319"/>
      <c r="AM992" s="319"/>
      <c r="AN992" s="319"/>
      <c r="AO992" s="319"/>
      <c r="AP992" s="319"/>
      <c r="AQ992" s="319"/>
      <c r="AR992" s="319"/>
      <c r="AS992" s="319"/>
      <c r="AT992" s="319"/>
      <c r="AU992" s="319"/>
      <c r="AV992" s="319"/>
      <c r="AW992" s="319"/>
      <c r="AX992" s="319"/>
      <c r="AY992" s="319"/>
      <c r="AZ992" s="319"/>
      <c r="BA992" s="319"/>
      <c r="BB992" s="319"/>
      <c r="BC992" s="319"/>
      <c r="BD992" s="319"/>
      <c r="BE992" s="319"/>
      <c r="BF992" s="319"/>
      <c r="BG992" s="319"/>
      <c r="BH992" s="319"/>
      <c r="BI992" s="319"/>
      <c r="BJ992" s="319"/>
      <c r="BK992" s="319"/>
      <c r="BL992" s="319"/>
      <c r="BM992" s="319"/>
      <c r="BN992" s="319"/>
      <c r="BO992" s="319"/>
      <c r="BP992" s="319"/>
      <c r="BQ992" s="319"/>
      <c r="BR992" s="319"/>
      <c r="BS992" s="319"/>
      <c r="BT992" s="319"/>
      <c r="BU992" s="319"/>
      <c r="BV992" s="319"/>
      <c r="BW992" s="319"/>
      <c r="BX992" s="319"/>
      <c r="BY992" s="319"/>
      <c r="BZ992" s="319"/>
      <c r="CA992" s="319"/>
      <c r="CB992" s="319"/>
      <c r="CC992" s="319"/>
      <c r="CD992" s="319"/>
      <c r="CE992" s="319"/>
      <c r="CF992" s="319"/>
      <c r="CG992" s="319"/>
      <c r="CH992" s="319"/>
      <c r="CI992" s="319"/>
      <c r="CJ992" s="319"/>
      <c r="CK992" s="319"/>
    </row>
    <row r="993" spans="1:89" ht="13.5" customHeight="1">
      <c r="A993" s="12"/>
      <c r="B993" s="153" t="str">
        <f>Language!C685</f>
        <v>Incentivos e subsídios</v>
      </c>
      <c r="C993" s="21" t="str">
        <f>$C$805</f>
        <v>€</v>
      </c>
      <c r="D993" s="409"/>
      <c r="E993" s="198" t="str">
        <f>IF(ISERROR(D993/D991),"",D993/D991)</f>
        <v/>
      </c>
      <c r="F993" s="1241" t="str">
        <f>Language!C710</f>
        <v>Gráfico de fluxo de caixa cumulativo</v>
      </c>
      <c r="G993" s="1241"/>
      <c r="H993" s="1241"/>
      <c r="I993" s="1241"/>
      <c r="J993" s="1241"/>
      <c r="K993" s="1242"/>
      <c r="L993" s="1"/>
      <c r="M993" s="319">
        <v>1</v>
      </c>
      <c r="N993" s="319">
        <v>5123000</v>
      </c>
      <c r="O993" s="319"/>
      <c r="P993" s="319"/>
      <c r="Q993" s="483">
        <f>IF(OR(D1021=1,AND(D1080=1,EE_UserCode&lt;3)),D996,IF(AND(D1080=1,EE_UserCode=3),0,D997))+D1000</f>
        <v>0</v>
      </c>
      <c r="R993" s="319">
        <f>IF(ISERROR(S993),0,S993)</f>
        <v>0</v>
      </c>
      <c r="S993" s="319">
        <f>MIN(R992*10,D991*0.25,50000,IF(D991/(D1008-D1001-D999)&lt;1,0,50000))</f>
        <v>0</v>
      </c>
      <c r="T993" s="319"/>
      <c r="U993" s="319"/>
      <c r="V993" s="319"/>
      <c r="W993" s="319"/>
      <c r="X993" s="319"/>
      <c r="Y993" s="319"/>
      <c r="Z993" s="319"/>
      <c r="AA993" s="319"/>
      <c r="AB993" s="319"/>
      <c r="AC993" s="319"/>
      <c r="AD993" s="319"/>
      <c r="AE993" s="319"/>
      <c r="AF993" s="319"/>
      <c r="AG993" s="319"/>
      <c r="AH993" s="319"/>
      <c r="AI993" s="319"/>
      <c r="AJ993" s="319"/>
      <c r="AK993" s="319"/>
      <c r="AL993" s="319"/>
      <c r="AM993" s="319"/>
      <c r="AN993" s="319"/>
      <c r="AO993" s="319"/>
      <c r="AP993" s="319"/>
      <c r="AQ993" s="319"/>
      <c r="AR993" s="319"/>
      <c r="AS993" s="319"/>
      <c r="AT993" s="319"/>
      <c r="AU993" s="319"/>
      <c r="AV993" s="319"/>
      <c r="AW993" s="319"/>
      <c r="AX993" s="319"/>
      <c r="AY993" s="319"/>
      <c r="AZ993" s="319"/>
      <c r="BA993" s="319"/>
      <c r="BB993" s="319"/>
      <c r="BC993" s="319"/>
      <c r="BD993" s="319"/>
      <c r="BE993" s="319"/>
      <c r="BF993" s="319"/>
      <c r="BG993" s="319"/>
      <c r="BH993" s="319"/>
      <c r="BI993" s="319"/>
      <c r="BJ993" s="319"/>
      <c r="BK993" s="319"/>
      <c r="BL993" s="319"/>
      <c r="BM993" s="319"/>
      <c r="BN993" s="319"/>
      <c r="BO993" s="319"/>
      <c r="BP993" s="319"/>
      <c r="BQ993" s="319"/>
      <c r="BR993" s="319"/>
      <c r="BS993" s="319"/>
      <c r="BT993" s="319"/>
      <c r="BU993" s="319"/>
      <c r="BV993" s="319"/>
      <c r="BW993" s="319"/>
      <c r="BX993" s="319"/>
      <c r="BY993" s="319"/>
      <c r="BZ993" s="319"/>
      <c r="CA993" s="319"/>
      <c r="CB993" s="319"/>
      <c r="CC993" s="319"/>
      <c r="CD993" s="319"/>
      <c r="CE993" s="319"/>
      <c r="CF993" s="319"/>
      <c r="CG993" s="319"/>
      <c r="CH993" s="319"/>
      <c r="CI993" s="319"/>
      <c r="CJ993" s="319"/>
      <c r="CK993" s="319"/>
    </row>
    <row r="994" spans="1:89" ht="13.5" customHeight="1">
      <c r="A994" s="12"/>
      <c r="B994" s="1"/>
      <c r="C994" s="1"/>
      <c r="D994" s="1"/>
      <c r="E994" s="1"/>
      <c r="F994" s="1"/>
      <c r="G994" s="1"/>
      <c r="H994" s="1"/>
      <c r="I994" s="1"/>
      <c r="J994" s="1"/>
      <c r="K994" s="9"/>
      <c r="L994" s="1"/>
      <c r="M994" s="319">
        <v>1</v>
      </c>
      <c r="N994" s="319">
        <v>5120000</v>
      </c>
      <c r="O994" s="319"/>
      <c r="P994" s="319"/>
      <c r="Q994" s="319"/>
      <c r="R994" s="319"/>
      <c r="S994" s="319"/>
      <c r="T994" s="319"/>
      <c r="U994" s="319"/>
      <c r="V994" s="319"/>
      <c r="W994" s="319"/>
      <c r="X994" s="319"/>
      <c r="Y994" s="319"/>
      <c r="Z994" s="319"/>
      <c r="AA994" s="319"/>
      <c r="AB994" s="319"/>
      <c r="AC994" s="319"/>
      <c r="AD994" s="319"/>
      <c r="AE994" s="319"/>
      <c r="AF994" s="319"/>
      <c r="AG994" s="319"/>
      <c r="AH994" s="319"/>
      <c r="AI994" s="319"/>
      <c r="AJ994" s="319"/>
      <c r="AK994" s="319"/>
      <c r="AL994" s="319"/>
      <c r="AM994" s="319"/>
      <c r="AN994" s="319"/>
      <c r="AO994" s="319"/>
      <c r="AP994" s="319"/>
      <c r="AQ994" s="319"/>
      <c r="AR994" s="319"/>
      <c r="AS994" s="319"/>
      <c r="AT994" s="319"/>
      <c r="AU994" s="319"/>
      <c r="AV994" s="319"/>
      <c r="AW994" s="319"/>
      <c r="AX994" s="319"/>
      <c r="AY994" s="319"/>
      <c r="AZ994" s="319"/>
      <c r="BA994" s="319"/>
      <c r="BB994" s="319"/>
      <c r="BC994" s="319"/>
      <c r="BD994" s="319"/>
      <c r="BE994" s="319"/>
      <c r="BF994" s="319"/>
      <c r="BG994" s="319"/>
      <c r="BH994" s="319"/>
      <c r="BI994" s="319"/>
      <c r="BJ994" s="319"/>
      <c r="BK994" s="319"/>
      <c r="BL994" s="319"/>
      <c r="BM994" s="319"/>
      <c r="BN994" s="319"/>
      <c r="BO994" s="319"/>
      <c r="BP994" s="319"/>
      <c r="BQ994" s="319"/>
      <c r="BR994" s="319"/>
      <c r="BS994" s="319"/>
      <c r="BT994" s="319"/>
      <c r="BU994" s="319"/>
      <c r="BV994" s="319"/>
      <c r="BW994" s="319"/>
      <c r="BX994" s="319"/>
      <c r="BY994" s="319"/>
      <c r="BZ994" s="319"/>
      <c r="CA994" s="319"/>
      <c r="CB994" s="319"/>
      <c r="CC994" s="319"/>
      <c r="CD994" s="319"/>
      <c r="CE994" s="319"/>
      <c r="CF994" s="319"/>
      <c r="CG994" s="319"/>
      <c r="CH994" s="319"/>
      <c r="CI994" s="319"/>
      <c r="CJ994" s="319"/>
      <c r="CK994" s="319"/>
    </row>
    <row r="995" spans="1:89" ht="13.5" customHeight="1">
      <c r="A995" s="12"/>
      <c r="B995" s="28" t="str">
        <f>Language!C686</f>
        <v>Pagamento anual de custos e empréstimos</v>
      </c>
      <c r="C995" s="1"/>
      <c r="D995" s="1"/>
      <c r="E995" s="1240" t="str">
        <f>Language!C711&amp;" ("&amp;Currency&amp;")"</f>
        <v>Fluxo de caixa cumulativo (€)</v>
      </c>
      <c r="F995" s="1"/>
      <c r="G995" s="1"/>
      <c r="H995" s="1"/>
      <c r="I995" s="1"/>
      <c r="J995" s="1"/>
      <c r="K995" s="9"/>
      <c r="L995" s="1"/>
      <c r="M995" s="319">
        <v>1</v>
      </c>
      <c r="N995" s="319">
        <v>5124000</v>
      </c>
      <c r="O995" s="319"/>
      <c r="P995" s="319"/>
      <c r="Q995" s="319"/>
      <c r="R995" s="319"/>
      <c r="S995" s="319"/>
      <c r="T995" s="319"/>
      <c r="U995" s="319"/>
      <c r="V995" s="319"/>
      <c r="W995" s="319"/>
      <c r="X995" s="319"/>
      <c r="Y995" s="319"/>
      <c r="Z995" s="319"/>
      <c r="AA995" s="319"/>
      <c r="AB995" s="319"/>
      <c r="AC995" s="319"/>
      <c r="AD995" s="319"/>
      <c r="AE995" s="319"/>
      <c r="AF995" s="319"/>
      <c r="AG995" s="319"/>
      <c r="AH995" s="319"/>
      <c r="AI995" s="319"/>
      <c r="AJ995" s="319"/>
      <c r="AK995" s="319"/>
      <c r="AL995" s="319"/>
      <c r="AM995" s="319"/>
      <c r="AN995" s="319"/>
      <c r="AO995" s="319"/>
      <c r="AP995" s="319"/>
      <c r="AQ995" s="319"/>
      <c r="AR995" s="319"/>
      <c r="AS995" s="319"/>
      <c r="AT995" s="319"/>
      <c r="AU995" s="319"/>
      <c r="AV995" s="319"/>
      <c r="AW995" s="319"/>
      <c r="AX995" s="319"/>
      <c r="AY995" s="319"/>
      <c r="AZ995" s="319"/>
      <c r="BA995" s="319"/>
      <c r="BB995" s="319"/>
      <c r="BC995" s="319"/>
      <c r="BD995" s="319"/>
      <c r="BE995" s="319"/>
      <c r="BF995" s="319"/>
      <c r="BG995" s="319"/>
      <c r="BH995" s="319"/>
      <c r="BI995" s="319"/>
      <c r="BJ995" s="319"/>
      <c r="BK995" s="319"/>
      <c r="BL995" s="319"/>
      <c r="BM995" s="319"/>
      <c r="BN995" s="319"/>
      <c r="BO995" s="319"/>
      <c r="BP995" s="319"/>
      <c r="BQ995" s="319"/>
      <c r="BR995" s="319"/>
      <c r="BS995" s="319"/>
      <c r="BT995" s="319"/>
      <c r="BU995" s="319"/>
      <c r="BV995" s="319"/>
      <c r="BW995" s="319"/>
      <c r="BX995" s="319"/>
      <c r="BY995" s="319"/>
      <c r="BZ995" s="319"/>
      <c r="CA995" s="319"/>
      <c r="CB995" s="319"/>
      <c r="CC995" s="319"/>
      <c r="CD995" s="319"/>
      <c r="CE995" s="319"/>
      <c r="CF995" s="319"/>
      <c r="CG995" s="319"/>
      <c r="CH995" s="319"/>
      <c r="CI995" s="319"/>
      <c r="CJ995" s="319"/>
      <c r="CK995" s="319"/>
    </row>
    <row r="996" spans="1:89" ht="13.5" customHeight="1">
      <c r="A996" s="12"/>
      <c r="B996" s="56" t="str">
        <f>B948</f>
        <v>Custo (economia) de O&amp;M</v>
      </c>
      <c r="C996" s="29" t="str">
        <f t="shared" ref="C996:C1001" si="211">$C$805</f>
        <v>€</v>
      </c>
      <c r="D996" s="144">
        <f>IF(HideCode_projectType=8,-H148,T936)</f>
        <v>0</v>
      </c>
      <c r="E996" s="1240"/>
      <c r="F996" s="1"/>
      <c r="G996" s="1"/>
      <c r="H996" s="1"/>
      <c r="I996" s="1"/>
      <c r="J996" s="1"/>
      <c r="K996" s="9"/>
      <c r="L996" s="1"/>
      <c r="M996" s="319">
        <f>IF(OR(EE_CB1=TRUE,AND(EE_CB27=TRUE,EE_UserCode&lt;3)),1,0)</f>
        <v>0</v>
      </c>
      <c r="N996" s="319">
        <v>5124002</v>
      </c>
      <c r="O996" s="319"/>
      <c r="P996" s="319"/>
      <c r="Q996" s="319"/>
      <c r="R996" s="319"/>
      <c r="S996" s="319"/>
      <c r="T996" s="319"/>
      <c r="U996" s="319"/>
      <c r="V996" s="319"/>
      <c r="W996" s="319"/>
      <c r="X996" s="319"/>
      <c r="Y996" s="319"/>
      <c r="Z996" s="319"/>
      <c r="AA996" s="319"/>
      <c r="AB996" s="319"/>
      <c r="AC996" s="319"/>
      <c r="AD996" s="319"/>
      <c r="AE996" s="319"/>
      <c r="AF996" s="319"/>
      <c r="AG996" s="319"/>
      <c r="AH996" s="319"/>
      <c r="AI996" s="319"/>
      <c r="AJ996" s="319"/>
      <c r="AK996" s="319"/>
      <c r="AL996" s="319"/>
      <c r="AM996" s="319"/>
      <c r="AN996" s="319"/>
      <c r="AO996" s="319"/>
      <c r="AP996" s="319"/>
      <c r="AQ996" s="319"/>
      <c r="AR996" s="319"/>
      <c r="AS996" s="319"/>
      <c r="AT996" s="319"/>
      <c r="AU996" s="319"/>
      <c r="AV996" s="319"/>
      <c r="AW996" s="319"/>
      <c r="AX996" s="319"/>
      <c r="AY996" s="319"/>
      <c r="AZ996" s="319"/>
      <c r="BA996" s="319"/>
      <c r="BB996" s="319"/>
      <c r="BC996" s="319"/>
      <c r="BD996" s="319"/>
      <c r="BE996" s="319"/>
      <c r="BF996" s="319"/>
      <c r="BG996" s="319"/>
      <c r="BH996" s="319"/>
      <c r="BI996" s="319"/>
      <c r="BJ996" s="319"/>
      <c r="BK996" s="319"/>
      <c r="BL996" s="319"/>
      <c r="BM996" s="319"/>
      <c r="BN996" s="319"/>
      <c r="BO996" s="319"/>
      <c r="BP996" s="319"/>
      <c r="BQ996" s="319"/>
      <c r="BR996" s="319"/>
      <c r="BS996" s="319"/>
      <c r="BT996" s="319"/>
      <c r="BU996" s="319"/>
      <c r="BV996" s="319"/>
      <c r="BW996" s="319"/>
      <c r="BX996" s="319"/>
      <c r="BY996" s="319"/>
      <c r="BZ996" s="319"/>
      <c r="CA996" s="319"/>
      <c r="CB996" s="319"/>
      <c r="CC996" s="319"/>
      <c r="CD996" s="319"/>
      <c r="CE996" s="319"/>
      <c r="CF996" s="319"/>
      <c r="CG996" s="319"/>
      <c r="CH996" s="319"/>
      <c r="CI996" s="319"/>
      <c r="CJ996" s="319"/>
      <c r="CK996" s="319"/>
    </row>
    <row r="997" spans="1:89" ht="13.5" hidden="1" customHeight="1">
      <c r="A997" s="12"/>
      <c r="B997" s="56" t="str">
        <f>B948</f>
        <v>Custo (economia) de O&amp;M</v>
      </c>
      <c r="C997" s="29" t="str">
        <f t="shared" si="211"/>
        <v>€</v>
      </c>
      <c r="D997" s="409"/>
      <c r="E997" s="1240"/>
      <c r="F997" s="1"/>
      <c r="G997" s="1"/>
      <c r="H997" s="1"/>
      <c r="I997" s="1"/>
      <c r="J997" s="1"/>
      <c r="K997" s="9"/>
      <c r="L997" s="1"/>
      <c r="M997" s="319">
        <f>IF(OR(M996=1,AND(EE_CB27=TRUE,EE_UserCode=3)),0,10)</f>
        <v>10</v>
      </c>
      <c r="N997" s="319">
        <v>5124004</v>
      </c>
      <c r="O997" s="319"/>
      <c r="P997" s="319"/>
      <c r="Q997" s="319"/>
      <c r="R997" s="319"/>
      <c r="S997" s="319"/>
      <c r="T997" s="319"/>
      <c r="U997" s="319"/>
      <c r="V997" s="319"/>
      <c r="W997" s="319"/>
      <c r="X997" s="319"/>
      <c r="Y997" s="319"/>
      <c r="Z997" s="319"/>
      <c r="AA997" s="319"/>
      <c r="AB997" s="319"/>
      <c r="AC997" s="319"/>
      <c r="AD997" s="319"/>
      <c r="AE997" s="319"/>
      <c r="AF997" s="319"/>
      <c r="AG997" s="319"/>
      <c r="AH997" s="319"/>
      <c r="AI997" s="319"/>
      <c r="AJ997" s="319"/>
      <c r="AK997" s="319"/>
      <c r="AL997" s="319"/>
      <c r="AM997" s="319"/>
      <c r="AN997" s="319"/>
      <c r="AO997" s="319"/>
      <c r="AP997" s="319"/>
      <c r="AQ997" s="319"/>
      <c r="AR997" s="319"/>
      <c r="AS997" s="319"/>
      <c r="AT997" s="319"/>
      <c r="AU997" s="319"/>
      <c r="AV997" s="319"/>
      <c r="AW997" s="319"/>
      <c r="AX997" s="319"/>
      <c r="AY997" s="319"/>
      <c r="AZ997" s="319"/>
      <c r="BA997" s="319"/>
      <c r="BB997" s="319"/>
      <c r="BC997" s="319"/>
      <c r="BD997" s="319"/>
      <c r="BE997" s="319"/>
      <c r="BF997" s="319"/>
      <c r="BG997" s="319"/>
      <c r="BH997" s="319"/>
      <c r="BI997" s="319"/>
      <c r="BJ997" s="319"/>
      <c r="BK997" s="319"/>
      <c r="BL997" s="319"/>
      <c r="BM997" s="319"/>
      <c r="BN997" s="319"/>
      <c r="BO997" s="319"/>
      <c r="BP997" s="319"/>
      <c r="BQ997" s="319"/>
      <c r="BR997" s="319"/>
      <c r="BS997" s="319"/>
      <c r="BT997" s="319"/>
      <c r="BU997" s="319"/>
      <c r="BV997" s="319"/>
      <c r="BW997" s="319"/>
      <c r="BX997" s="319"/>
      <c r="BY997" s="319"/>
      <c r="BZ997" s="319"/>
      <c r="CA997" s="319"/>
      <c r="CB997" s="319"/>
      <c r="CC997" s="319"/>
      <c r="CD997" s="319"/>
      <c r="CE997" s="319"/>
      <c r="CF997" s="319"/>
      <c r="CG997" s="319"/>
      <c r="CH997" s="319"/>
      <c r="CI997" s="319"/>
      <c r="CJ997" s="319"/>
      <c r="CK997" s="319"/>
    </row>
    <row r="998" spans="1:89" ht="13.5" customHeight="1">
      <c r="A998" s="12"/>
      <c r="B998" s="56" t="str">
        <f>IF(AND(D1080=1,EE_UserCode=3),B950&amp;" - "&amp;E221,Language!C692)</f>
        <v>Custo combustível - caso proposto</v>
      </c>
      <c r="C998" s="29" t="str">
        <f t="shared" si="211"/>
        <v>€</v>
      </c>
      <c r="D998" s="144">
        <f>H1110</f>
        <v>0</v>
      </c>
      <c r="E998" s="1240"/>
      <c r="F998" s="1"/>
      <c r="G998" s="1"/>
      <c r="H998" s="1"/>
      <c r="I998" s="1"/>
      <c r="J998" s="1"/>
      <c r="K998" s="9"/>
      <c r="L998" s="1"/>
      <c r="M998" s="319">
        <v>1</v>
      </c>
      <c r="N998" s="319">
        <v>5124006</v>
      </c>
      <c r="O998" s="319"/>
      <c r="P998" s="319"/>
      <c r="Q998" s="319"/>
      <c r="R998" s="319"/>
      <c r="S998" s="319"/>
      <c r="T998" s="319"/>
      <c r="U998" s="319"/>
      <c r="V998" s="319"/>
      <c r="W998" s="319"/>
      <c r="X998" s="319"/>
      <c r="Y998" s="319"/>
      <c r="Z998" s="319"/>
      <c r="AA998" s="319"/>
      <c r="AB998" s="319"/>
      <c r="AC998" s="319"/>
      <c r="AD998" s="319"/>
      <c r="AE998" s="319"/>
      <c r="AF998" s="319"/>
      <c r="AG998" s="319"/>
      <c r="AH998" s="319"/>
      <c r="AI998" s="319"/>
      <c r="AJ998" s="319"/>
      <c r="AK998" s="319"/>
      <c r="AL998" s="319"/>
      <c r="AM998" s="319"/>
      <c r="AN998" s="319"/>
      <c r="AO998" s="319"/>
      <c r="AP998" s="319"/>
      <c r="AQ998" s="319"/>
      <c r="AR998" s="319"/>
      <c r="AS998" s="319"/>
      <c r="AT998" s="319"/>
      <c r="AU998" s="319"/>
      <c r="AV998" s="319"/>
      <c r="AW998" s="319"/>
      <c r="AX998" s="319"/>
      <c r="AY998" s="319"/>
      <c r="AZ998" s="319"/>
      <c r="BA998" s="319"/>
      <c r="BB998" s="319"/>
      <c r="BC998" s="319"/>
      <c r="BD998" s="319"/>
      <c r="BE998" s="319"/>
      <c r="BF998" s="319"/>
      <c r="BG998" s="319"/>
      <c r="BH998" s="319"/>
      <c r="BI998" s="319"/>
      <c r="BJ998" s="319"/>
      <c r="BK998" s="319"/>
      <c r="BL998" s="319"/>
      <c r="BM998" s="319"/>
      <c r="BN998" s="319"/>
      <c r="BO998" s="319"/>
      <c r="BP998" s="319"/>
      <c r="BQ998" s="319"/>
      <c r="BR998" s="319"/>
      <c r="BS998" s="319"/>
      <c r="BT998" s="319"/>
      <c r="BU998" s="319"/>
      <c r="BV998" s="319"/>
      <c r="BW998" s="319"/>
      <c r="BX998" s="319"/>
      <c r="BY998" s="319"/>
      <c r="BZ998" s="319"/>
      <c r="CA998" s="319"/>
      <c r="CB998" s="319"/>
      <c r="CC998" s="319"/>
      <c r="CD998" s="319"/>
      <c r="CE998" s="319"/>
      <c r="CF998" s="319"/>
      <c r="CG998" s="319"/>
      <c r="CH998" s="319"/>
      <c r="CI998" s="319"/>
      <c r="CJ998" s="319"/>
      <c r="CK998" s="319"/>
    </row>
    <row r="999" spans="1:89" ht="13.5" hidden="1" customHeight="1">
      <c r="A999" s="12"/>
      <c r="B999" s="1" t="str">
        <f>'Análise Financeira'!G21</f>
        <v>Pagamento da dívida - 0 anos</v>
      </c>
      <c r="C999" s="29" t="str">
        <f t="shared" si="211"/>
        <v>€</v>
      </c>
      <c r="D999" s="144">
        <f>'Análise Financeira'!K21</f>
        <v>0</v>
      </c>
      <c r="E999" s="1240"/>
      <c r="F999" s="1"/>
      <c r="G999" s="1"/>
      <c r="H999" s="1"/>
      <c r="I999" s="1"/>
      <c r="J999" s="1"/>
      <c r="K999" s="9"/>
      <c r="L999" s="1"/>
      <c r="M999" s="319">
        <f>M981</f>
        <v>0</v>
      </c>
      <c r="N999" s="319">
        <v>74306</v>
      </c>
      <c r="O999" s="319"/>
      <c r="P999" s="319"/>
      <c r="Q999" s="319"/>
      <c r="R999" s="319"/>
      <c r="S999" s="319"/>
      <c r="T999" s="319"/>
      <c r="U999" s="319"/>
      <c r="V999" s="319"/>
      <c r="W999" s="319"/>
      <c r="X999" s="319"/>
      <c r="Y999" s="319"/>
      <c r="Z999" s="319"/>
      <c r="AA999" s="319"/>
      <c r="AB999" s="319"/>
      <c r="AC999" s="319"/>
      <c r="AD999" s="319"/>
      <c r="AE999" s="319"/>
      <c r="AF999" s="319"/>
      <c r="AG999" s="319"/>
      <c r="AH999" s="319"/>
      <c r="AI999" s="319"/>
      <c r="AJ999" s="319"/>
      <c r="AK999" s="319"/>
      <c r="AL999" s="319"/>
      <c r="AM999" s="319"/>
      <c r="AN999" s="319"/>
      <c r="AO999" s="319"/>
      <c r="AP999" s="319"/>
      <c r="AQ999" s="319"/>
      <c r="AR999" s="319"/>
      <c r="AS999" s="319"/>
      <c r="AT999" s="319"/>
      <c r="AU999" s="319"/>
      <c r="AV999" s="319"/>
      <c r="AW999" s="319"/>
      <c r="AX999" s="319"/>
      <c r="AY999" s="319"/>
      <c r="AZ999" s="319"/>
      <c r="BA999" s="319"/>
      <c r="BB999" s="319"/>
      <c r="BC999" s="319"/>
      <c r="BD999" s="319"/>
      <c r="BE999" s="319"/>
      <c r="BF999" s="319"/>
      <c r="BG999" s="319"/>
      <c r="BH999" s="319"/>
      <c r="BI999" s="319"/>
      <c r="BJ999" s="319"/>
      <c r="BK999" s="319"/>
      <c r="BL999" s="319"/>
      <c r="BM999" s="319"/>
      <c r="BN999" s="319"/>
      <c r="BO999" s="319"/>
      <c r="BP999" s="319"/>
      <c r="BQ999" s="319"/>
      <c r="BR999" s="319"/>
      <c r="BS999" s="319"/>
      <c r="BT999" s="319"/>
      <c r="BU999" s="319"/>
      <c r="BV999" s="319"/>
      <c r="BW999" s="319"/>
      <c r="BX999" s="319"/>
      <c r="BY999" s="319"/>
      <c r="BZ999" s="319"/>
      <c r="CA999" s="319"/>
      <c r="CB999" s="319"/>
      <c r="CC999" s="319"/>
      <c r="CD999" s="319"/>
      <c r="CE999" s="319"/>
      <c r="CF999" s="319"/>
      <c r="CG999" s="319"/>
      <c r="CH999" s="319"/>
      <c r="CI999" s="319"/>
      <c r="CJ999" s="319"/>
      <c r="CK999" s="319"/>
    </row>
    <row r="1000" spans="1:89" ht="13.5" customHeight="1">
      <c r="A1000" s="12"/>
      <c r="B1000" s="377" t="str">
        <f>J1155</f>
        <v>Outro</v>
      </c>
      <c r="C1000" s="33" t="str">
        <f t="shared" si="211"/>
        <v>€</v>
      </c>
      <c r="D1000" s="409"/>
      <c r="E1000" s="1240"/>
      <c r="F1000" s="1"/>
      <c r="G1000" s="1"/>
      <c r="H1000" s="1"/>
      <c r="I1000" s="1"/>
      <c r="J1000" s="1"/>
      <c r="K1000" s="9"/>
      <c r="L1000" s="1"/>
      <c r="M1000" s="319">
        <v>1</v>
      </c>
      <c r="N1000" s="319">
        <v>5124010</v>
      </c>
      <c r="O1000" s="319"/>
      <c r="P1000" s="319"/>
      <c r="Q1000" s="319"/>
      <c r="R1000" s="319"/>
      <c r="S1000" s="319"/>
      <c r="T1000" s="319"/>
      <c r="U1000" s="319"/>
      <c r="V1000" s="319"/>
      <c r="W1000" s="319"/>
      <c r="X1000" s="319"/>
      <c r="Y1000" s="319"/>
      <c r="Z1000" s="319"/>
      <c r="AA1000" s="319"/>
      <c r="AB1000" s="319"/>
      <c r="AC1000" s="319"/>
      <c r="AD1000" s="319"/>
      <c r="AE1000" s="319"/>
      <c r="AF1000" s="319"/>
      <c r="AG1000" s="319"/>
      <c r="AH1000" s="319"/>
      <c r="AI1000" s="319"/>
      <c r="AJ1000" s="319"/>
      <c r="AK1000" s="319"/>
      <c r="AL1000" s="319"/>
      <c r="AM1000" s="319"/>
      <c r="AN1000" s="319"/>
      <c r="AO1000" s="319"/>
      <c r="AP1000" s="319"/>
      <c r="AQ1000" s="319"/>
      <c r="AR1000" s="319"/>
      <c r="AS1000" s="319"/>
      <c r="AT1000" s="319"/>
      <c r="AU1000" s="319"/>
      <c r="AV1000" s="319"/>
      <c r="AW1000" s="319"/>
      <c r="AX1000" s="319"/>
      <c r="AY1000" s="319"/>
      <c r="AZ1000" s="319"/>
      <c r="BA1000" s="319"/>
      <c r="BB1000" s="319"/>
      <c r="BC1000" s="319"/>
      <c r="BD1000" s="319"/>
      <c r="BE1000" s="319"/>
      <c r="BF1000" s="319"/>
      <c r="BG1000" s="319"/>
      <c r="BH1000" s="319"/>
      <c r="BI1000" s="319"/>
      <c r="BJ1000" s="319"/>
      <c r="BK1000" s="319"/>
      <c r="BL1000" s="319"/>
      <c r="BM1000" s="319"/>
      <c r="BN1000" s="319"/>
      <c r="BO1000" s="319"/>
      <c r="BP1000" s="319"/>
      <c r="BQ1000" s="319"/>
      <c r="BR1000" s="319"/>
      <c r="BS1000" s="319"/>
      <c r="BT1000" s="319"/>
      <c r="BU1000" s="319"/>
      <c r="BV1000" s="319"/>
      <c r="BW1000" s="319"/>
      <c r="BX1000" s="319"/>
      <c r="BY1000" s="319"/>
      <c r="BZ1000" s="319"/>
      <c r="CA1000" s="319"/>
      <c r="CB1000" s="319"/>
      <c r="CC1000" s="319"/>
      <c r="CD1000" s="319"/>
      <c r="CE1000" s="319"/>
      <c r="CF1000" s="319"/>
      <c r="CG1000" s="319"/>
      <c r="CH1000" s="319"/>
      <c r="CI1000" s="319"/>
      <c r="CJ1000" s="319"/>
      <c r="CK1000" s="319"/>
    </row>
    <row r="1001" spans="1:89" ht="13.5" customHeight="1">
      <c r="A1001" s="12"/>
      <c r="B1001" s="98" t="str">
        <f>Language!C576</f>
        <v>Total de custos anuais</v>
      </c>
      <c r="C1001" s="29" t="str">
        <f t="shared" si="211"/>
        <v>€</v>
      </c>
      <c r="D1001" s="145">
        <f>'Análise Financeira'!Ann_costs</f>
        <v>300</v>
      </c>
      <c r="E1001" s="1240"/>
      <c r="F1001" s="1"/>
      <c r="G1001" s="1"/>
      <c r="H1001" s="1"/>
      <c r="I1001" s="1"/>
      <c r="J1001" s="1"/>
      <c r="K1001" s="9"/>
      <c r="L1001" s="1"/>
      <c r="M1001" s="319">
        <v>1</v>
      </c>
      <c r="N1001" s="319">
        <v>5124000</v>
      </c>
      <c r="O1001" s="319"/>
      <c r="P1001" s="319"/>
      <c r="Q1001" s="319"/>
      <c r="R1001" s="319"/>
      <c r="S1001" s="319"/>
      <c r="T1001" s="319"/>
      <c r="U1001" s="319"/>
      <c r="V1001" s="319"/>
      <c r="W1001" s="319"/>
      <c r="X1001" s="319"/>
      <c r="Y1001" s="319"/>
      <c r="Z1001" s="319"/>
      <c r="AA1001" s="319"/>
      <c r="AB1001" s="319"/>
      <c r="AC1001" s="319"/>
      <c r="AD1001" s="319"/>
      <c r="AE1001" s="319"/>
      <c r="AF1001" s="319"/>
      <c r="AG1001" s="319"/>
      <c r="AH1001" s="319"/>
      <c r="AI1001" s="319"/>
      <c r="AJ1001" s="319"/>
      <c r="AK1001" s="319"/>
      <c r="AL1001" s="319"/>
      <c r="AM1001" s="319"/>
      <c r="AN1001" s="319"/>
      <c r="AO1001" s="319"/>
      <c r="AP1001" s="319"/>
      <c r="AQ1001" s="319"/>
      <c r="AR1001" s="319"/>
      <c r="AS1001" s="319"/>
      <c r="AT1001" s="319"/>
      <c r="AU1001" s="319"/>
      <c r="AV1001" s="319"/>
      <c r="AW1001" s="319"/>
      <c r="AX1001" s="319"/>
      <c r="AY1001" s="319"/>
      <c r="AZ1001" s="319"/>
      <c r="BA1001" s="319"/>
      <c r="BB1001" s="319"/>
      <c r="BC1001" s="319"/>
      <c r="BD1001" s="319"/>
      <c r="BE1001" s="319"/>
      <c r="BF1001" s="319"/>
      <c r="BG1001" s="319"/>
      <c r="BH1001" s="319"/>
      <c r="BI1001" s="319"/>
      <c r="BJ1001" s="319"/>
      <c r="BK1001" s="319"/>
      <c r="BL1001" s="319"/>
      <c r="BM1001" s="319"/>
      <c r="BN1001" s="319"/>
      <c r="BO1001" s="319"/>
      <c r="BP1001" s="319"/>
      <c r="BQ1001" s="319"/>
      <c r="BR1001" s="319"/>
      <c r="BS1001" s="319"/>
      <c r="BT1001" s="319"/>
      <c r="BU1001" s="319"/>
      <c r="BV1001" s="319"/>
      <c r="BW1001" s="319"/>
      <c r="BX1001" s="319"/>
      <c r="BY1001" s="319"/>
      <c r="BZ1001" s="319"/>
      <c r="CA1001" s="319"/>
      <c r="CB1001" s="319"/>
      <c r="CC1001" s="319"/>
      <c r="CD1001" s="319"/>
      <c r="CE1001" s="319"/>
      <c r="CF1001" s="319"/>
      <c r="CG1001" s="319"/>
      <c r="CH1001" s="319"/>
      <c r="CI1001" s="319"/>
      <c r="CJ1001" s="319"/>
      <c r="CK1001" s="319"/>
    </row>
    <row r="1002" spans="1:89" ht="13.5" customHeight="1">
      <c r="A1002" s="12"/>
      <c r="B1002" s="1"/>
      <c r="C1002" s="1"/>
      <c r="D1002" s="1"/>
      <c r="E1002" s="1240"/>
      <c r="F1002" s="1"/>
      <c r="G1002" s="1"/>
      <c r="H1002" s="1"/>
      <c r="I1002" s="1"/>
      <c r="J1002" s="1"/>
      <c r="K1002" s="9"/>
      <c r="L1002" s="1"/>
      <c r="M1002" s="319">
        <v>1</v>
      </c>
      <c r="N1002" s="319">
        <v>5120000</v>
      </c>
      <c r="O1002" s="319"/>
      <c r="P1002" s="319"/>
      <c r="Q1002" s="319"/>
      <c r="R1002" s="319"/>
      <c r="S1002" s="319"/>
      <c r="T1002" s="319"/>
      <c r="U1002" s="319"/>
      <c r="V1002" s="319"/>
      <c r="W1002" s="319"/>
      <c r="X1002" s="319"/>
      <c r="Y1002" s="319"/>
      <c r="Z1002" s="319"/>
      <c r="AA1002" s="319"/>
      <c r="AB1002" s="319"/>
      <c r="AC1002" s="319"/>
      <c r="AD1002" s="319"/>
      <c r="AE1002" s="319"/>
      <c r="AF1002" s="319"/>
      <c r="AG1002" s="319"/>
      <c r="AH1002" s="319"/>
      <c r="AI1002" s="319"/>
      <c r="AJ1002" s="319"/>
      <c r="AK1002" s="319"/>
      <c r="AL1002" s="319"/>
      <c r="AM1002" s="319"/>
      <c r="AN1002" s="319"/>
      <c r="AO1002" s="319"/>
      <c r="AP1002" s="319"/>
      <c r="AQ1002" s="319"/>
      <c r="AR1002" s="319"/>
      <c r="AS1002" s="319"/>
      <c r="AT1002" s="319"/>
      <c r="AU1002" s="319"/>
      <c r="AV1002" s="319"/>
      <c r="AW1002" s="319"/>
      <c r="AX1002" s="319"/>
      <c r="AY1002" s="319"/>
      <c r="AZ1002" s="319"/>
      <c r="BA1002" s="319"/>
      <c r="BB1002" s="319"/>
      <c r="BC1002" s="319"/>
      <c r="BD1002" s="319"/>
      <c r="BE1002" s="319"/>
      <c r="BF1002" s="319"/>
      <c r="BG1002" s="319"/>
      <c r="BH1002" s="319"/>
      <c r="BI1002" s="319"/>
      <c r="BJ1002" s="319"/>
      <c r="BK1002" s="319"/>
      <c r="BL1002" s="319"/>
      <c r="BM1002" s="319"/>
      <c r="BN1002" s="319"/>
      <c r="BO1002" s="319"/>
      <c r="BP1002" s="319"/>
      <c r="BQ1002" s="319"/>
      <c r="BR1002" s="319"/>
      <c r="BS1002" s="319"/>
      <c r="BT1002" s="319"/>
      <c r="BU1002" s="319"/>
      <c r="BV1002" s="319"/>
      <c r="BW1002" s="319"/>
      <c r="BX1002" s="319"/>
      <c r="BY1002" s="319"/>
      <c r="BZ1002" s="319"/>
      <c r="CA1002" s="319"/>
      <c r="CB1002" s="319"/>
      <c r="CC1002" s="319"/>
      <c r="CD1002" s="319"/>
      <c r="CE1002" s="319"/>
      <c r="CF1002" s="319"/>
      <c r="CG1002" s="319"/>
      <c r="CH1002" s="319"/>
      <c r="CI1002" s="319"/>
      <c r="CJ1002" s="319"/>
      <c r="CK1002" s="319"/>
    </row>
    <row r="1003" spans="1:89" ht="13.5" customHeight="1">
      <c r="A1003" s="12"/>
      <c r="B1003" s="28" t="str">
        <f>Language!C687</f>
        <v>Economia anual e receita</v>
      </c>
      <c r="C1003" s="1"/>
      <c r="D1003" s="1"/>
      <c r="E1003" s="1240"/>
      <c r="F1003" s="1"/>
      <c r="G1003" s="1"/>
      <c r="H1003" s="1"/>
      <c r="I1003" s="1"/>
      <c r="J1003" s="1"/>
      <c r="K1003" s="9"/>
      <c r="L1003" s="1"/>
      <c r="M1003" s="319">
        <v>1</v>
      </c>
      <c r="N1003" s="319">
        <v>5125000</v>
      </c>
      <c r="O1003" s="319"/>
      <c r="P1003" s="319"/>
      <c r="Q1003" s="319"/>
      <c r="R1003" s="319"/>
      <c r="S1003" s="319"/>
      <c r="T1003" s="319"/>
      <c r="U1003" s="319"/>
      <c r="V1003" s="319"/>
      <c r="W1003" s="319"/>
      <c r="X1003" s="319"/>
      <c r="Y1003" s="319"/>
      <c r="Z1003" s="319"/>
      <c r="AA1003" s="319"/>
      <c r="AB1003" s="319"/>
      <c r="AC1003" s="319"/>
      <c r="AD1003" s="319"/>
      <c r="AE1003" s="319"/>
      <c r="AF1003" s="319"/>
      <c r="AG1003" s="319"/>
      <c r="AH1003" s="319"/>
      <c r="AI1003" s="319"/>
      <c r="AJ1003" s="319"/>
      <c r="AK1003" s="319"/>
      <c r="AL1003" s="319"/>
      <c r="AM1003" s="319"/>
      <c r="AN1003" s="319"/>
      <c r="AO1003" s="319"/>
      <c r="AP1003" s="319"/>
      <c r="AQ1003" s="319"/>
      <c r="AR1003" s="319"/>
      <c r="AS1003" s="319"/>
      <c r="AT1003" s="319"/>
      <c r="AU1003" s="319"/>
      <c r="AV1003" s="319"/>
      <c r="AW1003" s="319"/>
      <c r="AX1003" s="319"/>
      <c r="AY1003" s="319"/>
      <c r="AZ1003" s="319"/>
      <c r="BA1003" s="319"/>
      <c r="BB1003" s="319"/>
      <c r="BC1003" s="319"/>
      <c r="BD1003" s="319"/>
      <c r="BE1003" s="319"/>
      <c r="BF1003" s="319"/>
      <c r="BG1003" s="319"/>
      <c r="BH1003" s="319"/>
      <c r="BI1003" s="319"/>
      <c r="BJ1003" s="319"/>
      <c r="BK1003" s="319"/>
      <c r="BL1003" s="319"/>
      <c r="BM1003" s="319"/>
      <c r="BN1003" s="319"/>
      <c r="BO1003" s="319"/>
      <c r="BP1003" s="319"/>
      <c r="BQ1003" s="319"/>
      <c r="BR1003" s="319"/>
      <c r="BS1003" s="319"/>
      <c r="BT1003" s="319"/>
      <c r="BU1003" s="319"/>
      <c r="BV1003" s="319"/>
      <c r="BW1003" s="319"/>
      <c r="BX1003" s="319"/>
      <c r="BY1003" s="319"/>
      <c r="BZ1003" s="319"/>
      <c r="CA1003" s="319"/>
      <c r="CB1003" s="319"/>
      <c r="CC1003" s="319"/>
      <c r="CD1003" s="319"/>
      <c r="CE1003" s="319"/>
      <c r="CF1003" s="319"/>
      <c r="CG1003" s="319"/>
      <c r="CH1003" s="319"/>
      <c r="CI1003" s="319"/>
      <c r="CJ1003" s="319"/>
      <c r="CK1003" s="319"/>
    </row>
    <row r="1004" spans="1:89" ht="13.5" customHeight="1">
      <c r="A1004" s="12"/>
      <c r="B1004" s="56" t="str">
        <f>IF(AND(D1080=1,EE_UserCode=3),B950&amp;" - "&amp;D221,Language!C693)</f>
        <v>Custo combustível - caso de referência</v>
      </c>
      <c r="C1004" s="29" t="str">
        <f>$C$805</f>
        <v>€</v>
      </c>
      <c r="D1004" s="144">
        <f>D1110</f>
        <v>0</v>
      </c>
      <c r="E1004" s="1240"/>
      <c r="F1004" s="1"/>
      <c r="G1004" s="1"/>
      <c r="H1004" s="1"/>
      <c r="I1004" s="1"/>
      <c r="J1004" s="1"/>
      <c r="K1004" s="9"/>
      <c r="L1004" s="1"/>
      <c r="M1004" s="319">
        <v>1</v>
      </c>
      <c r="N1004" s="319">
        <v>5125002</v>
      </c>
      <c r="O1004" s="319"/>
      <c r="P1004" s="319"/>
      <c r="Q1004" s="319"/>
      <c r="R1004" s="319"/>
      <c r="S1004" s="319"/>
      <c r="T1004" s="319"/>
      <c r="U1004" s="319"/>
      <c r="V1004" s="319"/>
      <c r="W1004" s="319"/>
      <c r="X1004" s="319"/>
      <c r="Y1004" s="319"/>
      <c r="Z1004" s="319"/>
      <c r="AA1004" s="319"/>
      <c r="AB1004" s="319"/>
      <c r="AC1004" s="319"/>
      <c r="AD1004" s="319"/>
      <c r="AE1004" s="319"/>
      <c r="AF1004" s="319"/>
      <c r="AG1004" s="319"/>
      <c r="AH1004" s="319"/>
      <c r="AI1004" s="319"/>
      <c r="AJ1004" s="319"/>
      <c r="AK1004" s="319"/>
      <c r="AL1004" s="319"/>
      <c r="AM1004" s="319"/>
      <c r="AN1004" s="319"/>
      <c r="AO1004" s="319"/>
      <c r="AP1004" s="319"/>
      <c r="AQ1004" s="319"/>
      <c r="AR1004" s="319"/>
      <c r="AS1004" s="319"/>
      <c r="AT1004" s="319"/>
      <c r="AU1004" s="319"/>
      <c r="AV1004" s="319"/>
      <c r="AW1004" s="319"/>
      <c r="AX1004" s="319"/>
      <c r="AY1004" s="319"/>
      <c r="AZ1004" s="319"/>
      <c r="BA1004" s="319"/>
      <c r="BB1004" s="319"/>
      <c r="BC1004" s="319"/>
      <c r="BD1004" s="319"/>
      <c r="BE1004" s="319"/>
      <c r="BF1004" s="319"/>
      <c r="BG1004" s="319"/>
      <c r="BH1004" s="319"/>
      <c r="BI1004" s="319"/>
      <c r="BJ1004" s="319"/>
      <c r="BK1004" s="319"/>
      <c r="BL1004" s="319"/>
      <c r="BM1004" s="319"/>
      <c r="BN1004" s="319"/>
      <c r="BO1004" s="319"/>
      <c r="BP1004" s="319"/>
      <c r="BQ1004" s="319"/>
      <c r="BR1004" s="319"/>
      <c r="BS1004" s="319"/>
      <c r="BT1004" s="319"/>
      <c r="BU1004" s="319"/>
      <c r="BV1004" s="319"/>
      <c r="BW1004" s="319"/>
      <c r="BX1004" s="319"/>
      <c r="BY1004" s="319"/>
      <c r="BZ1004" s="319"/>
      <c r="CA1004" s="319"/>
      <c r="CB1004" s="319"/>
      <c r="CC1004" s="319"/>
      <c r="CD1004" s="319"/>
      <c r="CE1004" s="319"/>
      <c r="CF1004" s="319"/>
      <c r="CG1004" s="319"/>
      <c r="CH1004" s="319"/>
      <c r="CI1004" s="319"/>
      <c r="CJ1004" s="319"/>
      <c r="CK1004" s="319"/>
    </row>
    <row r="1005" spans="1:89" ht="13.5" hidden="1" customHeight="1">
      <c r="A1005" s="12"/>
      <c r="B1005" s="1" t="str">
        <f>Language!C207</f>
        <v>Receita com eletricidade exportada</v>
      </c>
      <c r="C1005" s="29" t="str">
        <f>$C$805</f>
        <v>€</v>
      </c>
      <c r="D1005" s="144">
        <f>'Análise Financeira'!K31</f>
        <v>1078.0665126789729</v>
      </c>
      <c r="E1005" s="1240"/>
      <c r="F1005" s="1"/>
      <c r="G1005" s="1"/>
      <c r="H1005" s="1"/>
      <c r="I1005" s="1"/>
      <c r="J1005" s="1"/>
      <c r="K1005" s="9"/>
      <c r="L1005" s="1"/>
      <c r="M1005" s="319">
        <f>IF(D1005=0,0,1)</f>
        <v>1</v>
      </c>
      <c r="N1005" s="319">
        <v>5125004</v>
      </c>
      <c r="O1005" s="319"/>
      <c r="P1005" s="319"/>
      <c r="Q1005" s="319"/>
      <c r="R1005" s="319"/>
      <c r="S1005" s="319"/>
      <c r="T1005" s="319"/>
      <c r="U1005" s="319"/>
      <c r="V1005" s="319"/>
      <c r="W1005" s="319"/>
      <c r="X1005" s="319"/>
      <c r="Y1005" s="319"/>
      <c r="Z1005" s="319"/>
      <c r="AA1005" s="319"/>
      <c r="AB1005" s="319"/>
      <c r="AC1005" s="319"/>
      <c r="AD1005" s="319"/>
      <c r="AE1005" s="319"/>
      <c r="AF1005" s="319"/>
      <c r="AG1005" s="319"/>
      <c r="AH1005" s="319"/>
      <c r="AI1005" s="319"/>
      <c r="AJ1005" s="319"/>
      <c r="AK1005" s="319"/>
      <c r="AL1005" s="319"/>
      <c r="AM1005" s="319"/>
      <c r="AN1005" s="319"/>
      <c r="AO1005" s="319"/>
      <c r="AP1005" s="319"/>
      <c r="AQ1005" s="319"/>
      <c r="AR1005" s="319"/>
      <c r="AS1005" s="319"/>
      <c r="AT1005" s="319"/>
      <c r="AU1005" s="319"/>
      <c r="AV1005" s="319"/>
      <c r="AW1005" s="319"/>
      <c r="AX1005" s="319"/>
      <c r="AY1005" s="319"/>
      <c r="AZ1005" s="319"/>
      <c r="BA1005" s="319"/>
      <c r="BB1005" s="319"/>
      <c r="BC1005" s="319"/>
      <c r="BD1005" s="319"/>
      <c r="BE1005" s="319"/>
      <c r="BF1005" s="319"/>
      <c r="BG1005" s="319"/>
      <c r="BH1005" s="319"/>
      <c r="BI1005" s="319"/>
      <c r="BJ1005" s="319"/>
      <c r="BK1005" s="319"/>
      <c r="BL1005" s="319"/>
      <c r="BM1005" s="319"/>
      <c r="BN1005" s="319"/>
      <c r="BO1005" s="319"/>
      <c r="BP1005" s="319"/>
      <c r="BQ1005" s="319"/>
      <c r="BR1005" s="319"/>
      <c r="BS1005" s="319"/>
      <c r="BT1005" s="319"/>
      <c r="BU1005" s="319"/>
      <c r="BV1005" s="319"/>
      <c r="BW1005" s="319"/>
      <c r="BX1005" s="319"/>
      <c r="BY1005" s="319"/>
      <c r="BZ1005" s="319"/>
      <c r="CA1005" s="319"/>
      <c r="CB1005" s="319"/>
      <c r="CC1005" s="319"/>
      <c r="CD1005" s="319"/>
      <c r="CE1005" s="319"/>
      <c r="CF1005" s="319"/>
      <c r="CG1005" s="319"/>
      <c r="CH1005" s="319"/>
      <c r="CI1005" s="319"/>
      <c r="CJ1005" s="319"/>
      <c r="CK1005" s="319"/>
    </row>
    <row r="1006" spans="1:89" ht="13.5" hidden="1" customHeight="1">
      <c r="A1006" s="12"/>
      <c r="B1006" s="1" t="str">
        <f>'Análise Financeira'!G32</f>
        <v>Receita pela redução de GEE - 0 anos</v>
      </c>
      <c r="C1006" s="29" t="str">
        <f>$C$805</f>
        <v>€</v>
      </c>
      <c r="D1006" s="144">
        <f>'Análise Financeira'!K32</f>
        <v>0</v>
      </c>
      <c r="E1006" s="1240"/>
      <c r="F1006" s="1"/>
      <c r="G1006" s="1"/>
      <c r="H1006" s="1"/>
      <c r="I1006" s="1"/>
      <c r="J1006" s="1"/>
      <c r="K1006" s="9"/>
      <c r="L1006" s="1"/>
      <c r="M1006" s="319">
        <f>IF(OR(EE_GHG_CR=0,EE_GHG_CR="",EE_GHG_CB=FALSE),0,IF(AND(EE_CB27=TRUE,EE_UserCode=3),0,1))</f>
        <v>0</v>
      </c>
      <c r="N1006" s="319">
        <v>74506</v>
      </c>
      <c r="O1006" s="319"/>
      <c r="P1006" s="319"/>
      <c r="Q1006" s="319"/>
      <c r="R1006" s="319"/>
      <c r="S1006" s="319"/>
      <c r="T1006" s="319"/>
      <c r="U1006" s="319"/>
      <c r="V1006" s="319"/>
      <c r="W1006" s="319"/>
      <c r="X1006" s="319"/>
      <c r="Y1006" s="319"/>
      <c r="Z1006" s="319"/>
      <c r="AA1006" s="319"/>
      <c r="AB1006" s="319"/>
      <c r="AC1006" s="319"/>
      <c r="AD1006" s="319"/>
      <c r="AE1006" s="319"/>
      <c r="AF1006" s="319"/>
      <c r="AG1006" s="319"/>
      <c r="AH1006" s="319"/>
      <c r="AI1006" s="319"/>
      <c r="AJ1006" s="319"/>
      <c r="AK1006" s="319"/>
      <c r="AL1006" s="319"/>
      <c r="AM1006" s="319"/>
      <c r="AN1006" s="319"/>
      <c r="AO1006" s="319"/>
      <c r="AP1006" s="319"/>
      <c r="AQ1006" s="319"/>
      <c r="AR1006" s="319"/>
      <c r="AS1006" s="319"/>
      <c r="AT1006" s="319"/>
      <c r="AU1006" s="319"/>
      <c r="AV1006" s="319"/>
      <c r="AW1006" s="319"/>
      <c r="AX1006" s="319"/>
      <c r="AY1006" s="319"/>
      <c r="AZ1006" s="319"/>
      <c r="BA1006" s="319"/>
      <c r="BB1006" s="319"/>
      <c r="BC1006" s="319"/>
      <c r="BD1006" s="319"/>
      <c r="BE1006" s="319"/>
      <c r="BF1006" s="319"/>
      <c r="BG1006" s="319"/>
      <c r="BH1006" s="319"/>
      <c r="BI1006" s="319"/>
      <c r="BJ1006" s="319"/>
      <c r="BK1006" s="319"/>
      <c r="BL1006" s="319"/>
      <c r="BM1006" s="319"/>
      <c r="BN1006" s="319"/>
      <c r="BO1006" s="319"/>
      <c r="BP1006" s="319"/>
      <c r="BQ1006" s="319"/>
      <c r="BR1006" s="319"/>
      <c r="BS1006" s="319"/>
      <c r="BT1006" s="319"/>
      <c r="BU1006" s="319"/>
      <c r="BV1006" s="319"/>
      <c r="BW1006" s="319"/>
      <c r="BX1006" s="319"/>
      <c r="BY1006" s="319"/>
      <c r="BZ1006" s="319"/>
      <c r="CA1006" s="319"/>
      <c r="CB1006" s="319"/>
      <c r="CC1006" s="319"/>
      <c r="CD1006" s="319"/>
      <c r="CE1006" s="319"/>
      <c r="CF1006" s="319"/>
      <c r="CG1006" s="319"/>
      <c r="CH1006" s="319"/>
      <c r="CI1006" s="319"/>
      <c r="CJ1006" s="319"/>
      <c r="CK1006" s="319"/>
    </row>
    <row r="1007" spans="1:89" ht="13.5" customHeight="1">
      <c r="A1007" s="12"/>
      <c r="B1007" s="377" t="str">
        <f>J1155</f>
        <v>Outro</v>
      </c>
      <c r="C1007" s="33" t="str">
        <f>$C$805</f>
        <v>€</v>
      </c>
      <c r="D1007" s="409"/>
      <c r="E1007" s="1240"/>
      <c r="F1007" s="1"/>
      <c r="G1007" s="1"/>
      <c r="H1007" s="1"/>
      <c r="I1007" s="1"/>
      <c r="J1007" s="1"/>
      <c r="K1007" s="9"/>
      <c r="L1007" s="1"/>
      <c r="M1007" s="319">
        <v>1</v>
      </c>
      <c r="N1007" s="319">
        <v>5125008</v>
      </c>
      <c r="O1007" s="319"/>
      <c r="P1007" s="319"/>
      <c r="Q1007" s="319"/>
      <c r="R1007" s="319"/>
      <c r="S1007" s="319"/>
      <c r="T1007" s="319"/>
      <c r="U1007" s="319"/>
      <c r="V1007" s="319"/>
      <c r="W1007" s="319"/>
      <c r="X1007" s="319"/>
      <c r="Y1007" s="319"/>
      <c r="Z1007" s="319"/>
      <c r="AA1007" s="319"/>
      <c r="AB1007" s="319"/>
      <c r="AC1007" s="319"/>
      <c r="AD1007" s="319"/>
      <c r="AE1007" s="319"/>
      <c r="AF1007" s="319"/>
      <c r="AG1007" s="319"/>
      <c r="AH1007" s="319"/>
      <c r="AI1007" s="319"/>
      <c r="AJ1007" s="319"/>
      <c r="AK1007" s="319"/>
      <c r="AL1007" s="319"/>
      <c r="AM1007" s="319"/>
      <c r="AN1007" s="319"/>
      <c r="AO1007" s="319"/>
      <c r="AP1007" s="319"/>
      <c r="AQ1007" s="319"/>
      <c r="AR1007" s="319"/>
      <c r="AS1007" s="319"/>
      <c r="AT1007" s="319"/>
      <c r="AU1007" s="319"/>
      <c r="AV1007" s="319"/>
      <c r="AW1007" s="319"/>
      <c r="AX1007" s="319"/>
      <c r="AY1007" s="319"/>
      <c r="AZ1007" s="319"/>
      <c r="BA1007" s="319"/>
      <c r="BB1007" s="319"/>
      <c r="BC1007" s="319"/>
      <c r="BD1007" s="319"/>
      <c r="BE1007" s="319"/>
      <c r="BF1007" s="319"/>
      <c r="BG1007" s="319"/>
      <c r="BH1007" s="319"/>
      <c r="BI1007" s="319"/>
      <c r="BJ1007" s="319"/>
      <c r="BK1007" s="319"/>
      <c r="BL1007" s="319"/>
      <c r="BM1007" s="319"/>
      <c r="BN1007" s="319"/>
      <c r="BO1007" s="319"/>
      <c r="BP1007" s="319"/>
      <c r="BQ1007" s="319"/>
      <c r="BR1007" s="319"/>
      <c r="BS1007" s="319"/>
      <c r="BT1007" s="319"/>
      <c r="BU1007" s="319"/>
      <c r="BV1007" s="319"/>
      <c r="BW1007" s="319"/>
      <c r="BX1007" s="319"/>
      <c r="BY1007" s="319"/>
      <c r="BZ1007" s="319"/>
      <c r="CA1007" s="319"/>
      <c r="CB1007" s="319"/>
      <c r="CC1007" s="319"/>
      <c r="CD1007" s="319"/>
      <c r="CE1007" s="319"/>
      <c r="CF1007" s="319"/>
      <c r="CG1007" s="319"/>
      <c r="CH1007" s="319"/>
      <c r="CI1007" s="319"/>
      <c r="CJ1007" s="319"/>
      <c r="CK1007" s="319"/>
    </row>
    <row r="1008" spans="1:89" ht="13.5" customHeight="1">
      <c r="A1008" s="12"/>
      <c r="B1008" s="98" t="str">
        <f>Language!C691</f>
        <v>Total de economia e receita anual</v>
      </c>
      <c r="C1008" s="29" t="str">
        <f>$C$805</f>
        <v>€</v>
      </c>
      <c r="D1008" s="145">
        <f>SUM(D1004:D1007)</f>
        <v>1078.0665126789729</v>
      </c>
      <c r="E1008" s="1240"/>
      <c r="F1008" s="1"/>
      <c r="G1008" s="1"/>
      <c r="H1008" s="1"/>
      <c r="I1008" s="1"/>
      <c r="J1008" s="1"/>
      <c r="K1008" s="9"/>
      <c r="L1008" s="1"/>
      <c r="M1008" s="319">
        <v>1</v>
      </c>
      <c r="N1008" s="319">
        <v>5125000</v>
      </c>
      <c r="O1008" s="319"/>
      <c r="P1008" s="319"/>
      <c r="Q1008" s="319"/>
      <c r="R1008" s="319"/>
      <c r="S1008" s="319"/>
      <c r="T1008" s="319"/>
      <c r="U1008" s="319"/>
      <c r="V1008" s="319"/>
      <c r="W1008" s="319"/>
      <c r="X1008" s="319"/>
      <c r="Y1008" s="319"/>
      <c r="Z1008" s="319"/>
      <c r="AA1008" s="319"/>
      <c r="AB1008" s="319"/>
      <c r="AC1008" s="319"/>
      <c r="AD1008" s="319"/>
      <c r="AE1008" s="319"/>
      <c r="AF1008" s="319"/>
      <c r="AG1008" s="319"/>
      <c r="AH1008" s="319"/>
      <c r="AI1008" s="319"/>
      <c r="AJ1008" s="319"/>
      <c r="AK1008" s="319"/>
      <c r="AL1008" s="319"/>
      <c r="AM1008" s="319"/>
      <c r="AN1008" s="319"/>
      <c r="AO1008" s="319"/>
      <c r="AP1008" s="319"/>
      <c r="AQ1008" s="319"/>
      <c r="AR1008" s="319"/>
      <c r="AS1008" s="319"/>
      <c r="AT1008" s="319"/>
      <c r="AU1008" s="319"/>
      <c r="AV1008" s="319"/>
      <c r="AW1008" s="319"/>
      <c r="AX1008" s="319"/>
      <c r="AY1008" s="319"/>
      <c r="AZ1008" s="319"/>
      <c r="BA1008" s="319"/>
      <c r="BB1008" s="319"/>
      <c r="BC1008" s="319"/>
      <c r="BD1008" s="319"/>
      <c r="BE1008" s="319"/>
      <c r="BF1008" s="319"/>
      <c r="BG1008" s="319"/>
      <c r="BH1008" s="319"/>
      <c r="BI1008" s="319"/>
      <c r="BJ1008" s="319"/>
      <c r="BK1008" s="319"/>
      <c r="BL1008" s="319"/>
      <c r="BM1008" s="319"/>
      <c r="BN1008" s="319"/>
      <c r="BO1008" s="319"/>
      <c r="BP1008" s="319"/>
      <c r="BQ1008" s="319"/>
      <c r="BR1008" s="319"/>
      <c r="BS1008" s="319"/>
      <c r="BT1008" s="319"/>
      <c r="BU1008" s="319"/>
      <c r="BV1008" s="319"/>
      <c r="BW1008" s="319"/>
      <c r="BX1008" s="319"/>
      <c r="BY1008" s="319"/>
      <c r="BZ1008" s="319"/>
      <c r="CA1008" s="319"/>
      <c r="CB1008" s="319"/>
      <c r="CC1008" s="319"/>
      <c r="CD1008" s="319"/>
      <c r="CE1008" s="319"/>
      <c r="CF1008" s="319"/>
      <c r="CG1008" s="319"/>
      <c r="CH1008" s="319"/>
      <c r="CI1008" s="319"/>
      <c r="CJ1008" s="319"/>
      <c r="CK1008" s="319"/>
    </row>
    <row r="1009" spans="1:89" ht="13.5" customHeight="1">
      <c r="A1009" s="12"/>
      <c r="B1009" s="1"/>
      <c r="C1009" s="1"/>
      <c r="D1009" s="1"/>
      <c r="E1009" s="1240"/>
      <c r="F1009" s="1"/>
      <c r="G1009" s="1"/>
      <c r="H1009" s="1"/>
      <c r="I1009" s="1"/>
      <c r="J1009" s="1"/>
      <c r="K1009" s="9"/>
      <c r="L1009" s="1"/>
      <c r="M1009" s="319">
        <v>1</v>
      </c>
      <c r="N1009" s="319">
        <v>5120000</v>
      </c>
      <c r="O1009" s="319"/>
      <c r="P1009" s="319"/>
      <c r="Q1009" s="319"/>
      <c r="R1009" s="319"/>
      <c r="S1009" s="319"/>
      <c r="T1009" s="319"/>
      <c r="U1009" s="319"/>
      <c r="V1009" s="319"/>
      <c r="W1009" s="319"/>
      <c r="X1009" s="319"/>
      <c r="Y1009" s="319"/>
      <c r="Z1009" s="319"/>
      <c r="AA1009" s="319"/>
      <c r="AB1009" s="319"/>
      <c r="AC1009" s="319"/>
      <c r="AD1009" s="319"/>
      <c r="AE1009" s="319"/>
      <c r="AF1009" s="319"/>
      <c r="AG1009" s="319"/>
      <c r="AH1009" s="319"/>
      <c r="AI1009" s="319"/>
      <c r="AJ1009" s="319"/>
      <c r="AK1009" s="319"/>
      <c r="AL1009" s="319"/>
      <c r="AM1009" s="319"/>
      <c r="AN1009" s="319"/>
      <c r="AO1009" s="319"/>
      <c r="AP1009" s="319"/>
      <c r="AQ1009" s="319"/>
      <c r="AR1009" s="319"/>
      <c r="AS1009" s="319"/>
      <c r="AT1009" s="319"/>
      <c r="AU1009" s="319"/>
      <c r="AV1009" s="319"/>
      <c r="AW1009" s="319"/>
      <c r="AX1009" s="319"/>
      <c r="AY1009" s="319"/>
      <c r="AZ1009" s="319"/>
      <c r="BA1009" s="319"/>
      <c r="BB1009" s="319"/>
      <c r="BC1009" s="319"/>
      <c r="BD1009" s="319"/>
      <c r="BE1009" s="319"/>
      <c r="BF1009" s="319"/>
      <c r="BG1009" s="319"/>
      <c r="BH1009" s="319"/>
      <c r="BI1009" s="319"/>
      <c r="BJ1009" s="319"/>
      <c r="BK1009" s="319"/>
      <c r="BL1009" s="319"/>
      <c r="BM1009" s="319"/>
      <c r="BN1009" s="319"/>
      <c r="BO1009" s="319"/>
      <c r="BP1009" s="319"/>
      <c r="BQ1009" s="319"/>
      <c r="BR1009" s="319"/>
      <c r="BS1009" s="319"/>
      <c r="BT1009" s="319"/>
      <c r="BU1009" s="319"/>
      <c r="BV1009" s="319"/>
      <c r="BW1009" s="319"/>
      <c r="BX1009" s="319"/>
      <c r="BY1009" s="319"/>
      <c r="BZ1009" s="319"/>
      <c r="CA1009" s="319"/>
      <c r="CB1009" s="319"/>
      <c r="CC1009" s="319"/>
      <c r="CD1009" s="319"/>
      <c r="CE1009" s="319"/>
      <c r="CF1009" s="319"/>
      <c r="CG1009" s="319"/>
      <c r="CH1009" s="319"/>
      <c r="CI1009" s="319"/>
      <c r="CJ1009" s="319"/>
      <c r="CK1009" s="319"/>
    </row>
    <row r="1010" spans="1:89" ht="13.5" customHeight="1">
      <c r="A1010" s="12"/>
      <c r="B1010" s="28" t="str">
        <f>Language!C694</f>
        <v>Viabil. Financeira</v>
      </c>
      <c r="C1010" s="1"/>
      <c r="D1010" s="1"/>
      <c r="E1010" s="1240"/>
      <c r="F1010" s="1"/>
      <c r="G1010" s="1"/>
      <c r="H1010" s="1"/>
      <c r="I1010" s="1"/>
      <c r="J1010" s="1"/>
      <c r="K1010" s="9"/>
      <c r="L1010" s="1"/>
      <c r="M1010" s="319">
        <v>1</v>
      </c>
      <c r="N1010" s="319">
        <v>5126000</v>
      </c>
      <c r="O1010" s="319"/>
      <c r="P1010" s="319"/>
      <c r="Q1010" s="319"/>
      <c r="R1010" s="319"/>
      <c r="S1010" s="319"/>
      <c r="T1010" s="319"/>
      <c r="U1010" s="319"/>
      <c r="V1010" s="319"/>
      <c r="W1010" s="319"/>
      <c r="X1010" s="319"/>
      <c r="Y1010" s="319"/>
      <c r="Z1010" s="319"/>
      <c r="AA1010" s="319"/>
      <c r="AB1010" s="319"/>
      <c r="AC1010" s="319"/>
      <c r="AD1010" s="319"/>
      <c r="AE1010" s="319"/>
      <c r="AF1010" s="319"/>
      <c r="AG1010" s="319"/>
      <c r="AH1010" s="319"/>
      <c r="AI1010" s="319"/>
      <c r="AJ1010" s="319"/>
      <c r="AK1010" s="319"/>
      <c r="AL1010" s="319"/>
      <c r="AM1010" s="319"/>
      <c r="AN1010" s="319"/>
      <c r="AO1010" s="319"/>
      <c r="AP1010" s="319"/>
      <c r="AQ1010" s="319"/>
      <c r="AR1010" s="319"/>
      <c r="AS1010" s="319"/>
      <c r="AT1010" s="319"/>
      <c r="AU1010" s="319"/>
      <c r="AV1010" s="319"/>
      <c r="AW1010" s="319"/>
      <c r="AX1010" s="319"/>
      <c r="AY1010" s="319"/>
      <c r="AZ1010" s="319"/>
      <c r="BA1010" s="319"/>
      <c r="BB1010" s="319"/>
      <c r="BC1010" s="319"/>
      <c r="BD1010" s="319"/>
      <c r="BE1010" s="319"/>
      <c r="BF1010" s="319"/>
      <c r="BG1010" s="319"/>
      <c r="BH1010" s="319"/>
      <c r="BI1010" s="319"/>
      <c r="BJ1010" s="319"/>
      <c r="BK1010" s="319"/>
      <c r="BL1010" s="319"/>
      <c r="BM1010" s="319"/>
      <c r="BN1010" s="319"/>
      <c r="BO1010" s="319"/>
      <c r="BP1010" s="319"/>
      <c r="BQ1010" s="319"/>
      <c r="BR1010" s="319"/>
      <c r="BS1010" s="319"/>
      <c r="BT1010" s="319"/>
      <c r="BU1010" s="319"/>
      <c r="BV1010" s="319"/>
      <c r="BW1010" s="319"/>
      <c r="BX1010" s="319"/>
      <c r="BY1010" s="319"/>
      <c r="BZ1010" s="319"/>
      <c r="CA1010" s="319"/>
      <c r="CB1010" s="319"/>
      <c r="CC1010" s="319"/>
      <c r="CD1010" s="319"/>
      <c r="CE1010" s="319"/>
      <c r="CF1010" s="319"/>
      <c r="CG1010" s="319"/>
      <c r="CH1010" s="319"/>
      <c r="CI1010" s="319"/>
      <c r="CJ1010" s="319"/>
      <c r="CK1010" s="319"/>
    </row>
    <row r="1011" spans="1:89" ht="13.5" hidden="1" customHeight="1">
      <c r="A1011" s="12"/>
      <c r="B1011" s="56" t="str">
        <f>Language!C695</f>
        <v>TIR antes impostos-capital próprio</v>
      </c>
      <c r="C1011" s="29" t="str">
        <f>$C$254</f>
        <v>%</v>
      </c>
      <c r="D1011" s="251">
        <f ca="1">'Análise Financeira'!K41</f>
        <v>0.15476812490800973</v>
      </c>
      <c r="E1011" s="1240"/>
      <c r="F1011" s="1"/>
      <c r="G1011" s="1"/>
      <c r="H1011" s="1"/>
      <c r="I1011" s="1"/>
      <c r="J1011" s="1"/>
      <c r="K1011" s="9"/>
      <c r="L1011" s="1"/>
      <c r="M1011" s="319">
        <f>M981</f>
        <v>0</v>
      </c>
      <c r="N1011" s="319">
        <v>75002</v>
      </c>
      <c r="O1011" s="319"/>
      <c r="P1011" s="319"/>
      <c r="Q1011" s="319"/>
      <c r="R1011" s="319"/>
      <c r="S1011" s="319"/>
      <c r="T1011" s="319"/>
      <c r="U1011" s="319"/>
      <c r="V1011" s="319"/>
      <c r="W1011" s="319"/>
      <c r="X1011" s="319"/>
      <c r="Y1011" s="319"/>
      <c r="Z1011" s="319"/>
      <c r="AA1011" s="319"/>
      <c r="AB1011" s="319"/>
      <c r="AC1011" s="319"/>
      <c r="AD1011" s="319"/>
      <c r="AE1011" s="319"/>
      <c r="AF1011" s="319"/>
      <c r="AG1011" s="319"/>
      <c r="AH1011" s="319"/>
      <c r="AI1011" s="319"/>
      <c r="AJ1011" s="319"/>
      <c r="AK1011" s="319"/>
      <c r="AL1011" s="319"/>
      <c r="AM1011" s="319"/>
      <c r="AN1011" s="319"/>
      <c r="AO1011" s="319"/>
      <c r="AP1011" s="319"/>
      <c r="AQ1011" s="319"/>
      <c r="AR1011" s="319"/>
      <c r="AS1011" s="319"/>
      <c r="AT1011" s="319"/>
      <c r="AU1011" s="319"/>
      <c r="AV1011" s="319"/>
      <c r="AW1011" s="319"/>
      <c r="AX1011" s="319"/>
      <c r="AY1011" s="319"/>
      <c r="AZ1011" s="319"/>
      <c r="BA1011" s="319"/>
      <c r="BB1011" s="319"/>
      <c r="BC1011" s="319"/>
      <c r="BD1011" s="319"/>
      <c r="BE1011" s="319"/>
      <c r="BF1011" s="319"/>
      <c r="BG1011" s="319"/>
      <c r="BH1011" s="319"/>
      <c r="BI1011" s="319"/>
      <c r="BJ1011" s="319"/>
      <c r="BK1011" s="319"/>
      <c r="BL1011" s="319"/>
      <c r="BM1011" s="319"/>
      <c r="BN1011" s="319"/>
      <c r="BO1011" s="319"/>
      <c r="BP1011" s="319"/>
      <c r="BQ1011" s="319"/>
      <c r="BR1011" s="319"/>
      <c r="BS1011" s="319"/>
      <c r="BT1011" s="319"/>
      <c r="BU1011" s="319"/>
      <c r="BV1011" s="319"/>
      <c r="BW1011" s="319"/>
      <c r="BX1011" s="319"/>
      <c r="BY1011" s="319"/>
      <c r="BZ1011" s="319"/>
      <c r="CA1011" s="319"/>
      <c r="CB1011" s="319"/>
      <c r="CC1011" s="319"/>
      <c r="CD1011" s="319"/>
      <c r="CE1011" s="319"/>
      <c r="CF1011" s="319"/>
      <c r="CG1011" s="319"/>
      <c r="CH1011" s="319"/>
      <c r="CI1011" s="319"/>
      <c r="CJ1011" s="319"/>
      <c r="CK1011" s="319"/>
    </row>
    <row r="1012" spans="1:89" ht="13.5" customHeight="1">
      <c r="A1012" s="12"/>
      <c r="B1012" s="1" t="str">
        <f>Language!C168</f>
        <v>TIR antes impostos - ativos</v>
      </c>
      <c r="C1012" s="29" t="str">
        <f>$C$254</f>
        <v>%</v>
      </c>
      <c r="D1012" s="251">
        <f ca="1">IF(ISERROR('Análise Financeira'!K42),"",'Análise Financeira'!K42)</f>
        <v>0.15476812490800973</v>
      </c>
      <c r="E1012" s="1240"/>
      <c r="F1012" s="1"/>
      <c r="G1012" s="1"/>
      <c r="H1012" s="1"/>
      <c r="I1012" s="1"/>
      <c r="J1012" s="1"/>
      <c r="K1012" s="9"/>
      <c r="L1012" s="1"/>
      <c r="M1012" s="319">
        <v>1</v>
      </c>
      <c r="N1012" s="319">
        <v>75004</v>
      </c>
      <c r="O1012" s="319"/>
      <c r="P1012" s="319"/>
      <c r="Q1012" s="319"/>
      <c r="R1012" s="319"/>
      <c r="S1012" s="319"/>
      <c r="T1012" s="319"/>
      <c r="U1012" s="319"/>
      <c r="V1012" s="319"/>
      <c r="W1012" s="319"/>
      <c r="X1012" s="319"/>
      <c r="Y1012" s="319"/>
      <c r="Z1012" s="319"/>
      <c r="AA1012" s="319"/>
      <c r="AB1012" s="319"/>
      <c r="AC1012" s="319"/>
      <c r="AD1012" s="319"/>
      <c r="AE1012" s="319"/>
      <c r="AF1012" s="319"/>
      <c r="AG1012" s="319"/>
      <c r="AH1012" s="319"/>
      <c r="AI1012" s="319"/>
      <c r="AJ1012" s="319"/>
      <c r="AK1012" s="319"/>
      <c r="AL1012" s="319"/>
      <c r="AM1012" s="319"/>
      <c r="AN1012" s="319"/>
      <c r="AO1012" s="319"/>
      <c r="AP1012" s="319"/>
      <c r="AQ1012" s="319"/>
      <c r="AR1012" s="319"/>
      <c r="AS1012" s="319"/>
      <c r="AT1012" s="319"/>
      <c r="AU1012" s="319"/>
      <c r="AV1012" s="319"/>
      <c r="AW1012" s="319"/>
      <c r="AX1012" s="319"/>
      <c r="AY1012" s="319"/>
      <c r="AZ1012" s="319"/>
      <c r="BA1012" s="319"/>
      <c r="BB1012" s="319"/>
      <c r="BC1012" s="319"/>
      <c r="BD1012" s="319"/>
      <c r="BE1012" s="319"/>
      <c r="BF1012" s="319"/>
      <c r="BG1012" s="319"/>
      <c r="BH1012" s="319"/>
      <c r="BI1012" s="319"/>
      <c r="BJ1012" s="319"/>
      <c r="BK1012" s="319"/>
      <c r="BL1012" s="319"/>
      <c r="BM1012" s="319"/>
      <c r="BN1012" s="319"/>
      <c r="BO1012" s="319"/>
      <c r="BP1012" s="319"/>
      <c r="BQ1012" s="319"/>
      <c r="BR1012" s="319"/>
      <c r="BS1012" s="319"/>
      <c r="BT1012" s="319"/>
      <c r="BU1012" s="319"/>
      <c r="BV1012" s="319"/>
      <c r="BW1012" s="319"/>
      <c r="BX1012" s="319"/>
      <c r="BY1012" s="319"/>
      <c r="BZ1012" s="319"/>
      <c r="CA1012" s="319"/>
      <c r="CB1012" s="319"/>
      <c r="CC1012" s="319"/>
      <c r="CD1012" s="319"/>
      <c r="CE1012" s="319"/>
      <c r="CF1012" s="319"/>
      <c r="CG1012" s="319"/>
      <c r="CH1012" s="319"/>
      <c r="CI1012" s="319"/>
      <c r="CJ1012" s="319"/>
      <c r="CK1012" s="319"/>
    </row>
    <row r="1013" spans="1:89" ht="13.5" customHeight="1">
      <c r="A1013" s="12"/>
      <c r="B1013" s="1" t="str">
        <f>Language!C696</f>
        <v>Retorno simples</v>
      </c>
      <c r="C1013" s="29" t="str">
        <f>$C$1014</f>
        <v>ano</v>
      </c>
      <c r="D1013" s="252">
        <f ca="1">IF(ISERROR('Análise Financeira'!K47),"",'Análise Financeira'!K47)</f>
        <v>7.8169731004853826</v>
      </c>
      <c r="E1013" s="1240"/>
      <c r="F1013" s="1"/>
      <c r="G1013" s="1"/>
      <c r="H1013" s="1"/>
      <c r="I1013" s="1"/>
      <c r="J1013" s="1"/>
      <c r="K1013" s="9"/>
      <c r="L1013" s="1"/>
      <c r="M1013" s="319"/>
      <c r="N1013" s="319">
        <v>75010</v>
      </c>
      <c r="O1013" s="319"/>
      <c r="P1013" s="319"/>
      <c r="Q1013" s="319"/>
      <c r="R1013" s="319"/>
      <c r="S1013" s="319"/>
      <c r="T1013" s="319"/>
      <c r="U1013" s="319"/>
      <c r="V1013" s="319"/>
      <c r="W1013" s="319"/>
      <c r="X1013" s="319"/>
      <c r="Y1013" s="319"/>
      <c r="Z1013" s="319"/>
      <c r="AA1013" s="319"/>
      <c r="AB1013" s="319"/>
      <c r="AC1013" s="319"/>
      <c r="AD1013" s="319"/>
      <c r="AE1013" s="319"/>
      <c r="AF1013" s="319"/>
      <c r="AG1013" s="319"/>
      <c r="AH1013" s="319"/>
      <c r="AI1013" s="319"/>
      <c r="AJ1013" s="319"/>
      <c r="AK1013" s="319"/>
      <c r="AL1013" s="319"/>
      <c r="AM1013" s="319"/>
      <c r="AN1013" s="319"/>
      <c r="AO1013" s="319"/>
      <c r="AP1013" s="319"/>
      <c r="AQ1013" s="319"/>
      <c r="AR1013" s="319"/>
      <c r="AS1013" s="319"/>
      <c r="AT1013" s="319"/>
      <c r="AU1013" s="319"/>
      <c r="AV1013" s="319"/>
      <c r="AW1013" s="319"/>
      <c r="AX1013" s="319"/>
      <c r="AY1013" s="319"/>
      <c r="AZ1013" s="319"/>
      <c r="BA1013" s="319"/>
      <c r="BB1013" s="319"/>
      <c r="BC1013" s="319"/>
      <c r="BD1013" s="319"/>
      <c r="BE1013" s="319"/>
      <c r="BF1013" s="319"/>
      <c r="BG1013" s="319"/>
      <c r="BH1013" s="319"/>
      <c r="BI1013" s="319"/>
      <c r="BJ1013" s="319"/>
      <c r="BK1013" s="319"/>
      <c r="BL1013" s="319"/>
      <c r="BM1013" s="319"/>
      <c r="BN1013" s="319"/>
      <c r="BO1013" s="319"/>
      <c r="BP1013" s="319"/>
      <c r="BQ1013" s="319"/>
      <c r="BR1013" s="319"/>
      <c r="BS1013" s="319"/>
      <c r="BT1013" s="319"/>
      <c r="BU1013" s="319"/>
      <c r="BV1013" s="319"/>
      <c r="BW1013" s="319"/>
      <c r="BX1013" s="319"/>
      <c r="BY1013" s="319"/>
      <c r="BZ1013" s="319"/>
      <c r="CA1013" s="319"/>
      <c r="CB1013" s="319"/>
      <c r="CC1013" s="319"/>
      <c r="CD1013" s="319"/>
      <c r="CE1013" s="319"/>
      <c r="CF1013" s="319"/>
      <c r="CG1013" s="319"/>
      <c r="CH1013" s="319"/>
      <c r="CI1013" s="319"/>
      <c r="CJ1013" s="319"/>
      <c r="CK1013" s="319"/>
    </row>
    <row r="1014" spans="1:89" ht="13.5" customHeight="1">
      <c r="A1014" s="12"/>
      <c r="B1014" s="1" t="str">
        <f>Language!C170</f>
        <v>Retorno do capital próprio</v>
      </c>
      <c r="C1014" s="29" t="str">
        <f>Language!C1420</f>
        <v>ano</v>
      </c>
      <c r="D1014" s="252">
        <f ca="1">IF(ISERROR(YearPos),"",YearPos)</f>
        <v>6.6135500499685849</v>
      </c>
      <c r="E1014" s="1240"/>
      <c r="F1014" s="1241" t="str">
        <f>Language!C643</f>
        <v>Ano</v>
      </c>
      <c r="G1014" s="1241"/>
      <c r="H1014" s="1241"/>
      <c r="I1014" s="1241"/>
      <c r="J1014" s="1241"/>
      <c r="K1014" s="1242"/>
      <c r="L1014" s="1"/>
      <c r="M1014" s="319"/>
      <c r="N1014" s="319">
        <v>75012</v>
      </c>
      <c r="O1014" s="319"/>
      <c r="P1014" s="319"/>
      <c r="Q1014" s="319"/>
      <c r="R1014" s="319"/>
      <c r="S1014" s="319"/>
      <c r="T1014" s="319"/>
      <c r="U1014" s="319"/>
      <c r="V1014" s="319"/>
      <c r="W1014" s="319"/>
      <c r="X1014" s="319"/>
      <c r="Y1014" s="319"/>
      <c r="Z1014" s="319"/>
      <c r="AA1014" s="319"/>
      <c r="AB1014" s="319"/>
      <c r="AC1014" s="319"/>
      <c r="AD1014" s="319"/>
      <c r="AE1014" s="319"/>
      <c r="AF1014" s="319"/>
      <c r="AG1014" s="319"/>
      <c r="AH1014" s="319"/>
      <c r="AI1014" s="319"/>
      <c r="AJ1014" s="319"/>
      <c r="AK1014" s="319"/>
      <c r="AL1014" s="319"/>
      <c r="AM1014" s="319"/>
      <c r="AN1014" s="319"/>
      <c r="AO1014" s="319"/>
      <c r="AP1014" s="319"/>
      <c r="AQ1014" s="319"/>
      <c r="AR1014" s="319"/>
      <c r="AS1014" s="319"/>
      <c r="AT1014" s="319"/>
      <c r="AU1014" s="319"/>
      <c r="AV1014" s="319"/>
      <c r="AW1014" s="319"/>
      <c r="AX1014" s="319"/>
      <c r="AY1014" s="319"/>
      <c r="AZ1014" s="319"/>
      <c r="BA1014" s="319"/>
      <c r="BB1014" s="319"/>
      <c r="BC1014" s="319"/>
      <c r="BD1014" s="319"/>
      <c r="BE1014" s="319"/>
      <c r="BF1014" s="319"/>
      <c r="BG1014" s="319"/>
      <c r="BH1014" s="319"/>
      <c r="BI1014" s="319"/>
      <c r="BJ1014" s="319"/>
      <c r="BK1014" s="319"/>
      <c r="BL1014" s="319"/>
      <c r="BM1014" s="319"/>
      <c r="BN1014" s="319"/>
      <c r="BO1014" s="319"/>
      <c r="BP1014" s="319"/>
      <c r="BQ1014" s="319"/>
      <c r="BR1014" s="319"/>
      <c r="BS1014" s="319"/>
      <c r="BT1014" s="319"/>
      <c r="BU1014" s="319"/>
      <c r="BV1014" s="319"/>
      <c r="BW1014" s="319"/>
      <c r="BX1014" s="319"/>
      <c r="BY1014" s="319"/>
      <c r="BZ1014" s="319"/>
      <c r="CA1014" s="319"/>
      <c r="CB1014" s="319"/>
      <c r="CC1014" s="319"/>
      <c r="CD1014" s="319"/>
      <c r="CE1014" s="319"/>
      <c r="CF1014" s="319"/>
      <c r="CG1014" s="319"/>
      <c r="CH1014" s="319"/>
      <c r="CI1014" s="319"/>
      <c r="CJ1014" s="319"/>
      <c r="CK1014" s="319"/>
    </row>
    <row r="1015" spans="1:89" ht="13.5" customHeight="1">
      <c r="A1015" s="14"/>
      <c r="B1015" s="15"/>
      <c r="C1015" s="15"/>
      <c r="D1015" s="15"/>
      <c r="E1015" s="15"/>
      <c r="F1015" s="15"/>
      <c r="G1015" s="15"/>
      <c r="H1015" s="15"/>
      <c r="I1015" s="15"/>
      <c r="J1015" s="15"/>
      <c r="K1015" s="11"/>
      <c r="L1015" s="1"/>
      <c r="M1015" s="319"/>
      <c r="N1015" s="319">
        <v>5120000</v>
      </c>
      <c r="O1015" s="319"/>
      <c r="P1015" s="319"/>
      <c r="Q1015" s="319"/>
      <c r="R1015" s="319"/>
      <c r="S1015" s="319"/>
      <c r="T1015" s="319"/>
      <c r="U1015" s="319"/>
      <c r="V1015" s="319"/>
      <c r="W1015" s="319"/>
      <c r="X1015" s="319"/>
      <c r="Y1015" s="319"/>
      <c r="Z1015" s="319"/>
      <c r="AA1015" s="319"/>
      <c r="AB1015" s="319"/>
      <c r="AC1015" s="319"/>
      <c r="AD1015" s="319"/>
      <c r="AE1015" s="319"/>
      <c r="AF1015" s="319"/>
      <c r="AG1015" s="319"/>
      <c r="AH1015" s="319"/>
      <c r="AI1015" s="319"/>
      <c r="AJ1015" s="319"/>
      <c r="AK1015" s="319"/>
      <c r="AL1015" s="319"/>
      <c r="AM1015" s="319"/>
      <c r="AN1015" s="319"/>
      <c r="AO1015" s="319"/>
      <c r="AP1015" s="319"/>
      <c r="AQ1015" s="319"/>
      <c r="AR1015" s="319"/>
      <c r="AS1015" s="319"/>
      <c r="AT1015" s="319"/>
      <c r="AU1015" s="319"/>
      <c r="AV1015" s="319"/>
      <c r="AW1015" s="319"/>
      <c r="AX1015" s="319"/>
      <c r="AY1015" s="319"/>
      <c r="AZ1015" s="319"/>
      <c r="BA1015" s="319"/>
      <c r="BB1015" s="319"/>
      <c r="BC1015" s="319"/>
      <c r="BD1015" s="319"/>
      <c r="BE1015" s="319"/>
      <c r="BF1015" s="319"/>
      <c r="BG1015" s="319"/>
      <c r="BH1015" s="319"/>
      <c r="BI1015" s="319"/>
      <c r="BJ1015" s="319"/>
      <c r="BK1015" s="319"/>
      <c r="BL1015" s="319"/>
      <c r="BM1015" s="319"/>
      <c r="BN1015" s="319"/>
      <c r="BO1015" s="319"/>
      <c r="BP1015" s="319"/>
      <c r="BQ1015" s="319"/>
      <c r="BR1015" s="319"/>
      <c r="BS1015" s="319"/>
      <c r="BT1015" s="319"/>
      <c r="BU1015" s="319"/>
      <c r="BV1015" s="319"/>
      <c r="BW1015" s="319"/>
      <c r="BX1015" s="319"/>
      <c r="BY1015" s="319"/>
      <c r="BZ1015" s="319"/>
      <c r="CA1015" s="319"/>
      <c r="CB1015" s="319"/>
      <c r="CC1015" s="319"/>
      <c r="CD1015" s="319"/>
      <c r="CE1015" s="319"/>
      <c r="CF1015" s="319"/>
      <c r="CG1015" s="319"/>
      <c r="CH1015" s="319"/>
      <c r="CI1015" s="319"/>
      <c r="CJ1015" s="319"/>
      <c r="CK1015" s="319"/>
    </row>
    <row r="1016" spans="1:89" ht="12.75" customHeight="1">
      <c r="A1016" s="1"/>
      <c r="B1016" s="1"/>
      <c r="C1016" s="1"/>
      <c r="D1016" s="1"/>
      <c r="E1016" s="1"/>
      <c r="F1016" s="1"/>
      <c r="G1016" s="1"/>
      <c r="H1016" s="1"/>
      <c r="I1016" s="1"/>
      <c r="J1016" s="1"/>
      <c r="K1016" s="1"/>
      <c r="L1016" s="1"/>
      <c r="M1016" s="319"/>
      <c r="N1016" s="319">
        <v>2000000</v>
      </c>
      <c r="O1016" s="319"/>
      <c r="P1016" s="319"/>
      <c r="Q1016" s="319"/>
      <c r="R1016" s="319"/>
      <c r="S1016" s="319"/>
      <c r="T1016" s="319"/>
      <c r="U1016" s="319"/>
      <c r="V1016" s="319"/>
      <c r="W1016" s="319"/>
      <c r="X1016" s="319"/>
      <c r="Y1016" s="319"/>
      <c r="Z1016" s="319"/>
      <c r="AA1016" s="319"/>
      <c r="AB1016" s="319"/>
      <c r="AC1016" s="319"/>
      <c r="AD1016" s="319"/>
      <c r="AE1016" s="319"/>
      <c r="AF1016" s="319"/>
      <c r="AG1016" s="319"/>
      <c r="AH1016" s="319"/>
      <c r="AI1016" s="319"/>
      <c r="AJ1016" s="319"/>
      <c r="AK1016" s="319"/>
      <c r="AL1016" s="319"/>
      <c r="AM1016" s="319"/>
      <c r="AN1016" s="319"/>
      <c r="AO1016" s="319"/>
      <c r="AP1016" s="319"/>
      <c r="AQ1016" s="319"/>
      <c r="AR1016" s="319"/>
      <c r="AS1016" s="319"/>
      <c r="AT1016" s="319"/>
      <c r="AU1016" s="319"/>
      <c r="AV1016" s="319"/>
      <c r="AW1016" s="319"/>
      <c r="AX1016" s="319"/>
      <c r="AY1016" s="319"/>
      <c r="AZ1016" s="319"/>
      <c r="BA1016" s="319"/>
      <c r="BB1016" s="319"/>
      <c r="BC1016" s="319"/>
      <c r="BD1016" s="319"/>
      <c r="BE1016" s="319"/>
      <c r="BF1016" s="319"/>
      <c r="BG1016" s="319"/>
      <c r="BH1016" s="319"/>
      <c r="BI1016" s="319"/>
      <c r="BJ1016" s="319"/>
      <c r="BK1016" s="319"/>
      <c r="BL1016" s="319"/>
      <c r="BM1016" s="319"/>
      <c r="BN1016" s="319"/>
      <c r="BO1016" s="319"/>
      <c r="BP1016" s="319"/>
      <c r="BQ1016" s="319"/>
      <c r="BR1016" s="319"/>
      <c r="BS1016" s="319"/>
      <c r="BT1016" s="319"/>
      <c r="BU1016" s="319"/>
      <c r="BV1016" s="319"/>
      <c r="BW1016" s="319"/>
      <c r="BX1016" s="319"/>
      <c r="BY1016" s="319"/>
      <c r="BZ1016" s="319"/>
      <c r="CA1016" s="319"/>
      <c r="CB1016" s="319"/>
      <c r="CC1016" s="319"/>
      <c r="CD1016" s="319"/>
      <c r="CE1016" s="319"/>
      <c r="CF1016" s="319"/>
      <c r="CG1016" s="319"/>
      <c r="CH1016" s="319"/>
      <c r="CI1016" s="319"/>
      <c r="CJ1016" s="319"/>
      <c r="CK1016" s="319"/>
    </row>
    <row r="1017" spans="1:89" ht="12.75" hidden="1" customHeight="1">
      <c r="A1017" s="1"/>
      <c r="B1017" s="1"/>
      <c r="C1017" s="1"/>
      <c r="D1017" s="1"/>
      <c r="E1017" s="1"/>
      <c r="F1017" s="1"/>
      <c r="G1017" s="1"/>
      <c r="H1017" s="1"/>
      <c r="I1017" s="1"/>
      <c r="J1017" s="1"/>
      <c r="K1017" s="1"/>
      <c r="L1017" s="1"/>
      <c r="M1017" s="319"/>
      <c r="N1017" s="319">
        <v>2000000</v>
      </c>
      <c r="O1017" s="319"/>
      <c r="P1017" s="319"/>
      <c r="Q1017" s="319"/>
      <c r="R1017" s="319"/>
      <c r="S1017" s="319"/>
      <c r="T1017" s="319"/>
      <c r="U1017" s="319"/>
      <c r="V1017" s="319"/>
      <c r="W1017" s="319"/>
      <c r="X1017" s="319"/>
      <c r="Y1017" s="319"/>
      <c r="Z1017" s="319"/>
      <c r="AA1017" s="319"/>
      <c r="AB1017" s="319"/>
      <c r="AC1017" s="319"/>
      <c r="AD1017" s="319"/>
      <c r="AE1017" s="319"/>
      <c r="AF1017" s="319"/>
      <c r="AG1017" s="319"/>
      <c r="AH1017" s="319"/>
      <c r="AI1017" s="319"/>
      <c r="AJ1017" s="319"/>
      <c r="AK1017" s="319"/>
      <c r="AL1017" s="319"/>
      <c r="AM1017" s="319"/>
      <c r="AN1017" s="319"/>
      <c r="AO1017" s="319"/>
      <c r="AP1017" s="319"/>
      <c r="AQ1017" s="319"/>
      <c r="AR1017" s="319"/>
      <c r="AS1017" s="319"/>
      <c r="AT1017" s="319"/>
      <c r="AU1017" s="319"/>
      <c r="AV1017" s="319"/>
      <c r="AW1017" s="319"/>
      <c r="AX1017" s="319"/>
      <c r="AY1017" s="319"/>
      <c r="AZ1017" s="319"/>
      <c r="BA1017" s="319"/>
      <c r="BB1017" s="319"/>
      <c r="BC1017" s="319"/>
      <c r="BD1017" s="319"/>
      <c r="BE1017" s="319"/>
      <c r="BF1017" s="319"/>
      <c r="BG1017" s="319"/>
      <c r="BH1017" s="319"/>
      <c r="BI1017" s="319"/>
      <c r="BJ1017" s="319"/>
      <c r="BK1017" s="319"/>
      <c r="BL1017" s="319"/>
      <c r="BM1017" s="319"/>
      <c r="BN1017" s="319"/>
      <c r="BO1017" s="319"/>
      <c r="BP1017" s="319"/>
      <c r="BQ1017" s="319"/>
      <c r="BR1017" s="319"/>
      <c r="BS1017" s="319"/>
      <c r="BT1017" s="319"/>
      <c r="BU1017" s="319"/>
      <c r="BV1017" s="319"/>
      <c r="BW1017" s="319"/>
      <c r="BX1017" s="319"/>
      <c r="BY1017" s="319"/>
      <c r="BZ1017" s="319"/>
      <c r="CA1017" s="319"/>
      <c r="CB1017" s="319"/>
      <c r="CC1017" s="319"/>
      <c r="CD1017" s="319"/>
      <c r="CE1017" s="319"/>
      <c r="CF1017" s="319"/>
      <c r="CG1017" s="319"/>
      <c r="CH1017" s="319"/>
      <c r="CI1017" s="319"/>
      <c r="CJ1017" s="319"/>
      <c r="CK1017" s="319"/>
    </row>
    <row r="1018" spans="1:89" ht="12.75" hidden="1" customHeight="1">
      <c r="A1018" s="1"/>
      <c r="B1018" s="1"/>
      <c r="C1018" s="1237" t="str">
        <f>Language!C55</f>
        <v>Completar planilha Análise de Custos</v>
      </c>
      <c r="D1018" s="1237"/>
      <c r="E1018" s="1237"/>
      <c r="F1018" s="1237"/>
      <c r="G1018" s="1"/>
      <c r="H1018" s="1"/>
      <c r="I1018" s="1"/>
      <c r="J1018" s="1"/>
      <c r="K1018" s="1"/>
      <c r="L1018" s="1"/>
      <c r="M1018" s="319"/>
      <c r="N1018" s="319">
        <v>2000000</v>
      </c>
      <c r="O1018" s="319"/>
      <c r="P1018" s="319"/>
      <c r="Q1018" s="319"/>
      <c r="R1018" s="319"/>
      <c r="S1018" s="319"/>
      <c r="T1018" s="319"/>
      <c r="U1018" s="319"/>
      <c r="V1018" s="319"/>
      <c r="W1018" s="319"/>
      <c r="X1018" s="319"/>
      <c r="Y1018" s="319"/>
      <c r="Z1018" s="319"/>
      <c r="AA1018" s="319"/>
      <c r="AB1018" s="319"/>
      <c r="AC1018" s="319"/>
      <c r="AD1018" s="319"/>
      <c r="AE1018" s="319"/>
      <c r="AF1018" s="319"/>
      <c r="AG1018" s="319"/>
      <c r="AH1018" s="319"/>
      <c r="AI1018" s="319"/>
      <c r="AJ1018" s="319"/>
      <c r="AK1018" s="319"/>
      <c r="AL1018" s="319"/>
      <c r="AM1018" s="319"/>
      <c r="AN1018" s="319"/>
      <c r="AO1018" s="319"/>
      <c r="AP1018" s="319"/>
      <c r="AQ1018" s="319"/>
      <c r="AR1018" s="319"/>
      <c r="AS1018" s="319"/>
      <c r="AT1018" s="319"/>
      <c r="AU1018" s="319"/>
      <c r="AV1018" s="319"/>
      <c r="AW1018" s="319"/>
      <c r="AX1018" s="319"/>
      <c r="AY1018" s="319"/>
      <c r="AZ1018" s="319"/>
      <c r="BA1018" s="319"/>
      <c r="BB1018" s="319"/>
      <c r="BC1018" s="319"/>
      <c r="BD1018" s="319"/>
      <c r="BE1018" s="319"/>
      <c r="BF1018" s="319"/>
      <c r="BG1018" s="319"/>
      <c r="BH1018" s="319"/>
      <c r="BI1018" s="319"/>
      <c r="BJ1018" s="319"/>
      <c r="BK1018" s="319"/>
      <c r="BL1018" s="319"/>
      <c r="BM1018" s="319"/>
      <c r="BN1018" s="319"/>
      <c r="BO1018" s="319"/>
      <c r="BP1018" s="319"/>
      <c r="BQ1018" s="319"/>
      <c r="BR1018" s="319"/>
      <c r="BS1018" s="319"/>
      <c r="BT1018" s="319"/>
      <c r="BU1018" s="319"/>
      <c r="BV1018" s="319"/>
      <c r="BW1018" s="319"/>
      <c r="BX1018" s="319"/>
      <c r="BY1018" s="319"/>
      <c r="BZ1018" s="319"/>
      <c r="CA1018" s="319"/>
      <c r="CB1018" s="319"/>
      <c r="CC1018" s="319"/>
      <c r="CD1018" s="319"/>
      <c r="CE1018" s="319"/>
      <c r="CF1018" s="319"/>
      <c r="CG1018" s="319"/>
      <c r="CH1018" s="319"/>
      <c r="CI1018" s="319"/>
      <c r="CJ1018" s="319"/>
      <c r="CK1018" s="319"/>
    </row>
    <row r="1019" spans="1:89" ht="12.75" hidden="1" customHeight="1">
      <c r="A1019" s="1"/>
      <c r="B1019" s="1"/>
      <c r="C1019" s="1"/>
      <c r="D1019" s="1"/>
      <c r="E1019" s="1"/>
      <c r="F1019" s="1"/>
      <c r="G1019" s="1"/>
      <c r="H1019" s="1"/>
      <c r="I1019" s="1"/>
      <c r="J1019" s="1"/>
      <c r="K1019" s="1"/>
      <c r="L1019" s="1"/>
      <c r="M1019" s="319"/>
      <c r="N1019" s="319">
        <v>2000000</v>
      </c>
      <c r="O1019" s="319" t="s">
        <v>5912</v>
      </c>
      <c r="P1019" s="319" t="s">
        <v>5912</v>
      </c>
      <c r="Q1019" s="319"/>
      <c r="R1019" s="319"/>
      <c r="S1019" s="319"/>
      <c r="T1019" s="319"/>
      <c r="U1019" s="319"/>
      <c r="V1019" s="319"/>
      <c r="W1019" s="319"/>
      <c r="X1019" s="319"/>
      <c r="Y1019" s="319"/>
      <c r="Z1019" s="319"/>
      <c r="AA1019" s="319"/>
      <c r="AB1019" s="319"/>
      <c r="AC1019" s="319"/>
      <c r="AD1019" s="319"/>
      <c r="AE1019" s="319"/>
      <c r="AF1019" s="319"/>
      <c r="AG1019" s="319"/>
      <c r="AH1019" s="319"/>
      <c r="AI1019" s="319"/>
      <c r="AJ1019" s="319"/>
      <c r="AK1019" s="319"/>
      <c r="AL1019" s="319"/>
      <c r="AM1019" s="319"/>
      <c r="AN1019" s="319"/>
      <c r="AO1019" s="319"/>
      <c r="AP1019" s="319"/>
      <c r="AQ1019" s="319"/>
      <c r="AR1019" s="319"/>
      <c r="AS1019" s="319"/>
      <c r="AT1019" s="319"/>
      <c r="AU1019" s="319"/>
      <c r="AV1019" s="319"/>
      <c r="AW1019" s="319"/>
      <c r="AX1019" s="319"/>
      <c r="AY1019" s="319"/>
      <c r="AZ1019" s="319"/>
      <c r="BA1019" s="319"/>
      <c r="BB1019" s="319"/>
      <c r="BC1019" s="319"/>
      <c r="BD1019" s="319"/>
      <c r="BE1019" s="319"/>
      <c r="BF1019" s="319"/>
      <c r="BG1019" s="319"/>
      <c r="BH1019" s="319"/>
      <c r="BI1019" s="319"/>
      <c r="BJ1019" s="319"/>
      <c r="BK1019" s="319"/>
      <c r="BL1019" s="319"/>
      <c r="BM1019" s="319"/>
      <c r="BN1019" s="319"/>
      <c r="BO1019" s="319"/>
      <c r="BP1019" s="319"/>
      <c r="BQ1019" s="319"/>
      <c r="BR1019" s="319"/>
      <c r="BS1019" s="319"/>
      <c r="BT1019" s="319"/>
      <c r="BU1019" s="319"/>
      <c r="BV1019" s="319"/>
      <c r="BW1019" s="319"/>
      <c r="BX1019" s="319"/>
      <c r="BY1019" s="319"/>
      <c r="BZ1019" s="319"/>
      <c r="CA1019" s="319"/>
      <c r="CB1019" s="319"/>
      <c r="CC1019" s="319"/>
      <c r="CD1019" s="319"/>
      <c r="CE1019" s="319"/>
      <c r="CF1019" s="319"/>
      <c r="CG1019" s="319"/>
      <c r="CH1019" s="319"/>
      <c r="CI1019" s="319"/>
      <c r="CJ1019" s="319"/>
      <c r="CK1019" s="319"/>
    </row>
    <row r="1020" spans="1:89" ht="12.75" hidden="1" customHeight="1">
      <c r="A1020" s="319"/>
      <c r="B1020" s="319"/>
      <c r="C1020" s="319"/>
      <c r="D1020" s="319"/>
      <c r="E1020" s="319"/>
      <c r="F1020" s="319"/>
      <c r="G1020" s="319"/>
      <c r="H1020" s="319"/>
      <c r="I1020" s="319"/>
      <c r="J1020" s="319"/>
      <c r="K1020" s="319"/>
      <c r="L1020" s="319"/>
      <c r="M1020" s="319"/>
      <c r="N1020" s="319"/>
      <c r="O1020" s="319"/>
      <c r="P1020" s="319"/>
      <c r="Q1020" s="319"/>
      <c r="R1020" s="319"/>
      <c r="S1020" s="319"/>
      <c r="T1020" s="319"/>
      <c r="U1020" s="319"/>
      <c r="V1020" s="319"/>
      <c r="W1020" s="319"/>
      <c r="X1020" s="319"/>
      <c r="Y1020" s="319"/>
      <c r="Z1020" s="319"/>
      <c r="AA1020" s="319"/>
      <c r="AB1020" s="319"/>
      <c r="AC1020" s="319"/>
      <c r="AD1020" s="319"/>
      <c r="AE1020" s="319"/>
      <c r="AF1020" s="319"/>
      <c r="AG1020" s="319"/>
      <c r="AH1020" s="319"/>
      <c r="AI1020" s="319"/>
      <c r="AJ1020" s="319"/>
      <c r="AK1020" s="319"/>
      <c r="AL1020" s="319"/>
      <c r="AM1020" s="319"/>
      <c r="AN1020" s="319"/>
      <c r="AO1020" s="319"/>
      <c r="AP1020" s="319"/>
      <c r="AQ1020" s="319"/>
      <c r="AR1020" s="319"/>
      <c r="AS1020" s="319"/>
      <c r="AT1020" s="319"/>
      <c r="AU1020" s="319"/>
      <c r="AV1020" s="319"/>
      <c r="AW1020" s="319"/>
      <c r="AX1020" s="319"/>
      <c r="AY1020" s="319"/>
      <c r="AZ1020" s="319"/>
      <c r="BA1020" s="319"/>
      <c r="BB1020" s="319"/>
      <c r="BC1020" s="319"/>
      <c r="BD1020" s="319"/>
      <c r="BE1020" s="319"/>
      <c r="BF1020" s="319"/>
      <c r="BG1020" s="319"/>
      <c r="BH1020" s="319"/>
      <c r="BI1020" s="319"/>
      <c r="BJ1020" s="319"/>
      <c r="BK1020" s="319"/>
      <c r="BL1020" s="319"/>
      <c r="BM1020" s="319"/>
      <c r="BN1020" s="319"/>
      <c r="BO1020" s="319"/>
      <c r="BP1020" s="319"/>
      <c r="BQ1020" s="319"/>
      <c r="BR1020" s="319"/>
      <c r="BS1020" s="319"/>
      <c r="BT1020" s="319"/>
      <c r="BU1020" s="319"/>
      <c r="BV1020" s="319"/>
      <c r="BW1020" s="319"/>
      <c r="BX1020" s="319"/>
      <c r="BY1020" s="319"/>
      <c r="BZ1020" s="319"/>
      <c r="CA1020" s="319"/>
      <c r="CB1020" s="319"/>
      <c r="CC1020" s="319"/>
      <c r="CD1020" s="319"/>
      <c r="CE1020" s="319"/>
      <c r="CF1020" s="319"/>
      <c r="CG1020" s="319"/>
      <c r="CH1020" s="319"/>
      <c r="CI1020" s="319"/>
      <c r="CJ1020" s="319"/>
      <c r="CK1020" s="319"/>
    </row>
    <row r="1021" spans="1:89" ht="12.75" hidden="1" customHeight="1">
      <c r="A1021" s="319">
        <v>1</v>
      </c>
      <c r="B1021" s="319" t="s">
        <v>1578</v>
      </c>
      <c r="C1021" s="319" t="s">
        <v>2506</v>
      </c>
      <c r="D1021" s="319">
        <f>IF(C1119=FALSE,0,1)</f>
        <v>0</v>
      </c>
      <c r="E1021" s="319"/>
      <c r="F1021" s="319"/>
      <c r="G1021" s="319"/>
      <c r="H1021" s="319"/>
      <c r="I1021" s="319"/>
      <c r="J1021" s="319" t="s">
        <v>5927</v>
      </c>
      <c r="K1021" s="3" t="b">
        <v>1</v>
      </c>
      <c r="L1021" s="319"/>
      <c r="M1021" s="319"/>
      <c r="N1021" s="319"/>
      <c r="O1021" s="319"/>
      <c r="P1021" s="319"/>
      <c r="Q1021" s="319"/>
      <c r="R1021" s="319"/>
      <c r="S1021" s="319"/>
      <c r="T1021" s="319"/>
      <c r="U1021" s="319"/>
      <c r="V1021" s="319"/>
      <c r="W1021" s="319"/>
      <c r="X1021" s="319"/>
      <c r="Y1021" s="319"/>
      <c r="Z1021" s="319"/>
      <c r="AA1021" s="319"/>
      <c r="AB1021" s="319"/>
      <c r="AC1021" s="319"/>
      <c r="AD1021" s="319"/>
      <c r="AE1021" s="319"/>
      <c r="AF1021" s="319"/>
      <c r="AG1021" s="319"/>
      <c r="AH1021" s="319"/>
      <c r="AI1021" s="319"/>
      <c r="AJ1021" s="319"/>
      <c r="AK1021" s="319"/>
      <c r="AL1021" s="319"/>
      <c r="AM1021" s="319"/>
      <c r="AN1021" s="319"/>
      <c r="AO1021" s="319"/>
      <c r="AP1021" s="319"/>
      <c r="AQ1021" s="319"/>
      <c r="AR1021" s="319"/>
      <c r="AS1021" s="319"/>
      <c r="AT1021" s="319"/>
      <c r="AU1021" s="319"/>
      <c r="AV1021" s="319"/>
      <c r="AW1021" s="319"/>
      <c r="AX1021" s="319"/>
      <c r="AY1021" s="319"/>
      <c r="AZ1021" s="319"/>
      <c r="BA1021" s="319"/>
      <c r="BB1021" s="319"/>
      <c r="BC1021" s="319"/>
      <c r="BD1021" s="319"/>
      <c r="BE1021" s="319"/>
      <c r="BF1021" s="319"/>
      <c r="BG1021" s="319"/>
      <c r="BH1021" s="319"/>
      <c r="BI1021" s="319"/>
      <c r="BJ1021" s="319"/>
      <c r="BK1021" s="319"/>
      <c r="BL1021" s="319"/>
      <c r="BM1021" s="319"/>
      <c r="BN1021" s="319"/>
      <c r="BO1021" s="319"/>
      <c r="BP1021" s="319"/>
      <c r="BQ1021" s="319"/>
      <c r="BR1021" s="319"/>
      <c r="BS1021" s="319"/>
      <c r="BT1021" s="319"/>
      <c r="BU1021" s="319"/>
      <c r="BV1021" s="319"/>
      <c r="BW1021" s="319"/>
      <c r="BX1021" s="319"/>
      <c r="BY1021" s="319"/>
      <c r="BZ1021" s="319"/>
      <c r="CA1021" s="319"/>
      <c r="CB1021" s="319"/>
      <c r="CC1021" s="319"/>
      <c r="CD1021" s="319"/>
      <c r="CE1021" s="319"/>
      <c r="CF1021" s="319"/>
      <c r="CG1021" s="319"/>
      <c r="CH1021" s="319"/>
      <c r="CI1021" s="319"/>
      <c r="CJ1021" s="319"/>
      <c r="CK1021" s="319"/>
    </row>
    <row r="1022" spans="1:89" ht="12.75" hidden="1" customHeight="1">
      <c r="A1022" s="319">
        <v>1</v>
      </c>
      <c r="B1022" s="319"/>
      <c r="C1022" s="319" t="s">
        <v>726</v>
      </c>
      <c r="D1022" s="319"/>
      <c r="E1022" s="319"/>
      <c r="F1022" s="319"/>
      <c r="G1022" s="319"/>
      <c r="H1022" s="319"/>
      <c r="I1022" s="319"/>
      <c r="J1022" s="319" t="s">
        <v>5928</v>
      </c>
      <c r="K1022" s="3" t="b">
        <v>1</v>
      </c>
      <c r="L1022" s="319"/>
      <c r="M1022" s="319"/>
      <c r="N1022" s="319"/>
      <c r="O1022" s="319"/>
      <c r="P1022" s="319"/>
      <c r="Q1022" s="319"/>
      <c r="R1022" s="319"/>
      <c r="S1022" s="319"/>
      <c r="T1022" s="319"/>
      <c r="U1022" s="319"/>
      <c r="V1022" s="319"/>
      <c r="W1022" s="319"/>
      <c r="X1022" s="319"/>
      <c r="Y1022" s="319"/>
      <c r="Z1022" s="319"/>
      <c r="AA1022" s="319"/>
      <c r="AB1022" s="319"/>
      <c r="AC1022" s="319"/>
      <c r="AD1022" s="319"/>
      <c r="AE1022" s="319"/>
      <c r="AF1022" s="319"/>
      <c r="AG1022" s="319"/>
      <c r="AH1022" s="319"/>
      <c r="AI1022" s="319"/>
      <c r="AJ1022" s="319"/>
      <c r="AK1022" s="319"/>
      <c r="AL1022" s="319"/>
      <c r="AM1022" s="319"/>
      <c r="AN1022" s="319"/>
      <c r="AO1022" s="319"/>
      <c r="AP1022" s="319"/>
      <c r="AQ1022" s="319"/>
      <c r="AR1022" s="319"/>
      <c r="AS1022" s="319"/>
      <c r="AT1022" s="319"/>
      <c r="AU1022" s="319"/>
      <c r="AV1022" s="319"/>
      <c r="AW1022" s="319"/>
      <c r="AX1022" s="319"/>
      <c r="AY1022" s="319"/>
      <c r="AZ1022" s="319"/>
      <c r="BA1022" s="319"/>
      <c r="BB1022" s="319"/>
      <c r="BC1022" s="319"/>
      <c r="BD1022" s="319"/>
      <c r="BE1022" s="319"/>
      <c r="BF1022" s="319"/>
      <c r="BG1022" s="319"/>
      <c r="BH1022" s="319"/>
      <c r="BI1022" s="319"/>
      <c r="BJ1022" s="319"/>
      <c r="BK1022" s="319"/>
      <c r="BL1022" s="319"/>
      <c r="BM1022" s="319"/>
      <c r="BN1022" s="319"/>
      <c r="BO1022" s="319"/>
      <c r="BP1022" s="319"/>
      <c r="BQ1022" s="319"/>
      <c r="BR1022" s="319"/>
      <c r="BS1022" s="319"/>
      <c r="BT1022" s="319"/>
      <c r="BU1022" s="319"/>
      <c r="BV1022" s="319"/>
      <c r="BW1022" s="319"/>
      <c r="BX1022" s="319"/>
      <c r="BY1022" s="319"/>
      <c r="BZ1022" s="319"/>
      <c r="CA1022" s="319"/>
      <c r="CB1022" s="319"/>
      <c r="CC1022" s="319"/>
      <c r="CD1022" s="319"/>
      <c r="CE1022" s="319"/>
      <c r="CF1022" s="319"/>
      <c r="CG1022" s="319"/>
      <c r="CH1022" s="319"/>
      <c r="CI1022" s="319"/>
      <c r="CJ1022" s="319"/>
      <c r="CK1022" s="319"/>
    </row>
    <row r="1023" spans="1:89" ht="12.75" hidden="1" customHeight="1">
      <c r="A1023" s="319">
        <v>1</v>
      </c>
      <c r="B1023" s="319"/>
      <c r="C1023" s="319" t="s">
        <v>3442</v>
      </c>
      <c r="D1023" s="319"/>
      <c r="E1023" s="319"/>
      <c r="F1023" s="319"/>
      <c r="G1023" s="319">
        <f>$D$1021*F148*IF(HideCode_projectType=8,1,0)</f>
        <v>0</v>
      </c>
      <c r="H1023" s="319"/>
      <c r="I1023" s="319"/>
      <c r="J1023" s="319" t="s">
        <v>1598</v>
      </c>
      <c r="K1023" s="3" t="b">
        <v>1</v>
      </c>
      <c r="L1023" s="319"/>
      <c r="M1023" s="319"/>
      <c r="N1023" s="319"/>
      <c r="O1023" s="319"/>
      <c r="P1023" s="319"/>
      <c r="Q1023" s="319"/>
      <c r="R1023" s="319"/>
      <c r="S1023" s="319"/>
      <c r="T1023" s="319"/>
      <c r="U1023" s="319"/>
      <c r="V1023" s="319"/>
      <c r="W1023" s="319"/>
      <c r="X1023" s="319"/>
      <c r="Y1023" s="319"/>
      <c r="Z1023" s="319"/>
      <c r="AA1023" s="319"/>
      <c r="AB1023" s="319"/>
      <c r="AC1023" s="319"/>
      <c r="AD1023" s="319"/>
      <c r="AE1023" s="319"/>
      <c r="AF1023" s="319"/>
      <c r="AG1023" s="319"/>
      <c r="AH1023" s="319"/>
      <c r="AI1023" s="319"/>
      <c r="AJ1023" s="319"/>
      <c r="AK1023" s="319"/>
      <c r="AL1023" s="319"/>
      <c r="AM1023" s="319"/>
      <c r="AN1023" s="319"/>
      <c r="AO1023" s="319"/>
      <c r="AP1023" s="319"/>
      <c r="AQ1023" s="319"/>
      <c r="AR1023" s="319"/>
      <c r="AS1023" s="319"/>
      <c r="AT1023" s="319"/>
      <c r="AU1023" s="319"/>
      <c r="AV1023" s="319"/>
      <c r="AW1023" s="319"/>
      <c r="AX1023" s="319"/>
      <c r="AY1023" s="319"/>
      <c r="AZ1023" s="319"/>
      <c r="BA1023" s="319"/>
      <c r="BB1023" s="319"/>
      <c r="BC1023" s="319"/>
      <c r="BD1023" s="319"/>
      <c r="BE1023" s="319"/>
      <c r="BF1023" s="319"/>
      <c r="BG1023" s="319"/>
      <c r="BH1023" s="319"/>
      <c r="BI1023" s="319"/>
      <c r="BJ1023" s="319"/>
      <c r="BK1023" s="319"/>
      <c r="BL1023" s="319"/>
      <c r="BM1023" s="319"/>
      <c r="BN1023" s="319"/>
      <c r="BO1023" s="319"/>
      <c r="BP1023" s="319"/>
      <c r="BQ1023" s="319"/>
      <c r="BR1023" s="319"/>
      <c r="BS1023" s="319"/>
      <c r="BT1023" s="319"/>
      <c r="BU1023" s="319"/>
      <c r="BV1023" s="319"/>
      <c r="BW1023" s="319"/>
      <c r="BX1023" s="319"/>
      <c r="BY1023" s="319"/>
      <c r="BZ1023" s="319"/>
      <c r="CA1023" s="319"/>
      <c r="CB1023" s="319"/>
      <c r="CC1023" s="319"/>
      <c r="CD1023" s="319"/>
      <c r="CE1023" s="319"/>
      <c r="CF1023" s="319"/>
      <c r="CG1023" s="319"/>
      <c r="CH1023" s="319"/>
      <c r="CI1023" s="319"/>
      <c r="CJ1023" s="319"/>
      <c r="CK1023" s="319"/>
    </row>
    <row r="1024" spans="1:89" ht="12.75" hidden="1" customHeight="1">
      <c r="A1024" s="319">
        <v>2</v>
      </c>
      <c r="B1024" s="319"/>
      <c r="C1024" s="319" t="s">
        <v>2506</v>
      </c>
      <c r="D1024" s="319">
        <f>IF(C1120=FALSE,0,1)</f>
        <v>0</v>
      </c>
      <c r="E1024" s="319"/>
      <c r="F1024" s="319"/>
      <c r="G1024" s="319"/>
      <c r="H1024" s="319"/>
      <c r="I1024" s="319"/>
      <c r="J1024" s="319" t="s">
        <v>5639</v>
      </c>
      <c r="K1024" s="3" t="b">
        <v>1</v>
      </c>
      <c r="L1024" s="319"/>
      <c r="M1024" s="319"/>
      <c r="N1024" s="319"/>
      <c r="O1024" s="319"/>
      <c r="P1024" s="319"/>
      <c r="Q1024" s="319"/>
      <c r="R1024" s="319"/>
      <c r="S1024" s="319"/>
      <c r="T1024" s="319"/>
      <c r="U1024" s="319"/>
      <c r="V1024" s="319"/>
      <c r="W1024" s="319"/>
      <c r="X1024" s="319"/>
      <c r="Y1024" s="319"/>
      <c r="Z1024" s="319"/>
      <c r="AA1024" s="319"/>
      <c r="AB1024" s="319"/>
      <c r="AC1024" s="319"/>
      <c r="AD1024" s="319"/>
      <c r="AE1024" s="319"/>
      <c r="AF1024" s="319"/>
      <c r="AG1024" s="319"/>
      <c r="AH1024" s="319"/>
      <c r="AI1024" s="319"/>
      <c r="AJ1024" s="319"/>
      <c r="AK1024" s="319"/>
      <c r="AL1024" s="319"/>
      <c r="AM1024" s="319"/>
      <c r="AN1024" s="319"/>
      <c r="AO1024" s="319"/>
      <c r="AP1024" s="319"/>
      <c r="AQ1024" s="319"/>
      <c r="AR1024" s="319"/>
      <c r="AS1024" s="319"/>
      <c r="AT1024" s="319"/>
      <c r="AU1024" s="319"/>
      <c r="AV1024" s="319"/>
      <c r="AW1024" s="319"/>
      <c r="AX1024" s="319"/>
      <c r="AY1024" s="319"/>
      <c r="AZ1024" s="319"/>
      <c r="BA1024" s="319"/>
      <c r="BB1024" s="319"/>
      <c r="BC1024" s="319"/>
      <c r="BD1024" s="319"/>
      <c r="BE1024" s="319"/>
      <c r="BF1024" s="319"/>
      <c r="BG1024" s="319"/>
      <c r="BH1024" s="319"/>
      <c r="BI1024" s="319"/>
      <c r="BJ1024" s="319"/>
      <c r="BK1024" s="319"/>
      <c r="BL1024" s="319"/>
      <c r="BM1024" s="319"/>
      <c r="BN1024" s="319"/>
      <c r="BO1024" s="319"/>
      <c r="BP1024" s="319"/>
      <c r="BQ1024" s="319"/>
      <c r="BR1024" s="319"/>
      <c r="BS1024" s="319"/>
      <c r="BT1024" s="319"/>
      <c r="BU1024" s="319"/>
      <c r="BV1024" s="319"/>
      <c r="BW1024" s="319"/>
      <c r="BX1024" s="319"/>
      <c r="BY1024" s="319"/>
      <c r="BZ1024" s="319"/>
      <c r="CA1024" s="319"/>
      <c r="CB1024" s="319"/>
      <c r="CC1024" s="319"/>
      <c r="CD1024" s="319"/>
      <c r="CE1024" s="319"/>
      <c r="CF1024" s="319"/>
      <c r="CG1024" s="319"/>
      <c r="CH1024" s="319"/>
      <c r="CI1024" s="319"/>
      <c r="CJ1024" s="319"/>
      <c r="CK1024" s="319"/>
    </row>
    <row r="1025" spans="1:89" ht="12.75" hidden="1" customHeight="1">
      <c r="A1025" s="319">
        <v>2</v>
      </c>
      <c r="B1025" s="319"/>
      <c r="C1025" s="319" t="s">
        <v>726</v>
      </c>
      <c r="D1025" s="319"/>
      <c r="E1025" s="319"/>
      <c r="F1025" s="319"/>
      <c r="G1025" s="319"/>
      <c r="H1025" s="319"/>
      <c r="I1025" s="319"/>
      <c r="J1025" s="319" t="s">
        <v>3207</v>
      </c>
      <c r="K1025" s="3" t="b">
        <v>1</v>
      </c>
      <c r="L1025" s="319"/>
      <c r="M1025" s="319"/>
      <c r="N1025" s="319"/>
      <c r="O1025" s="319"/>
      <c r="P1025" s="319"/>
      <c r="Q1025" s="319"/>
      <c r="R1025" s="319"/>
      <c r="S1025" s="319"/>
      <c r="T1025" s="319"/>
      <c r="U1025" s="319"/>
      <c r="V1025" s="319"/>
      <c r="W1025" s="319"/>
      <c r="X1025" s="319"/>
      <c r="Y1025" s="319"/>
      <c r="Z1025" s="319"/>
      <c r="AA1025" s="319"/>
      <c r="AB1025" s="319"/>
      <c r="AC1025" s="319"/>
      <c r="AD1025" s="319"/>
      <c r="AE1025" s="319"/>
      <c r="AF1025" s="319"/>
      <c r="AG1025" s="319"/>
      <c r="AH1025" s="319"/>
      <c r="AI1025" s="319"/>
      <c r="AJ1025" s="319"/>
      <c r="AK1025" s="319"/>
      <c r="AL1025" s="319"/>
      <c r="AM1025" s="319"/>
      <c r="AN1025" s="319"/>
      <c r="AO1025" s="319"/>
      <c r="AP1025" s="319"/>
      <c r="AQ1025" s="319"/>
      <c r="AR1025" s="319"/>
      <c r="AS1025" s="319"/>
      <c r="AT1025" s="319"/>
      <c r="AU1025" s="319"/>
      <c r="AV1025" s="319"/>
      <c r="AW1025" s="319"/>
      <c r="AX1025" s="319"/>
      <c r="AY1025" s="319"/>
      <c r="AZ1025" s="319"/>
      <c r="BA1025" s="319"/>
      <c r="BB1025" s="319"/>
      <c r="BC1025" s="319"/>
      <c r="BD1025" s="319"/>
      <c r="BE1025" s="319"/>
      <c r="BF1025" s="319"/>
      <c r="BG1025" s="319"/>
      <c r="BH1025" s="319"/>
      <c r="BI1025" s="319"/>
      <c r="BJ1025" s="319"/>
      <c r="BK1025" s="319"/>
      <c r="BL1025" s="319"/>
      <c r="BM1025" s="319"/>
      <c r="BN1025" s="319"/>
      <c r="BO1025" s="319"/>
      <c r="BP1025" s="319"/>
      <c r="BQ1025" s="319"/>
      <c r="BR1025" s="319"/>
      <c r="BS1025" s="319"/>
      <c r="BT1025" s="319"/>
      <c r="BU1025" s="319"/>
      <c r="BV1025" s="319"/>
      <c r="BW1025" s="319"/>
      <c r="BX1025" s="319"/>
      <c r="BY1025" s="319"/>
      <c r="BZ1025" s="319"/>
      <c r="CA1025" s="319"/>
      <c r="CB1025" s="319"/>
      <c r="CC1025" s="319"/>
      <c r="CD1025" s="319"/>
      <c r="CE1025" s="319"/>
      <c r="CF1025" s="319"/>
      <c r="CG1025" s="319"/>
      <c r="CH1025" s="319"/>
      <c r="CI1025" s="319"/>
      <c r="CJ1025" s="319"/>
      <c r="CK1025" s="319"/>
    </row>
    <row r="1026" spans="1:89" ht="12.75" hidden="1" customHeight="1">
      <c r="A1026" s="319">
        <v>2</v>
      </c>
      <c r="B1026" s="319"/>
      <c r="C1026" s="319" t="s">
        <v>3442</v>
      </c>
      <c r="D1026" s="319"/>
      <c r="E1026" s="319"/>
      <c r="F1026" s="319"/>
      <c r="G1026" s="319"/>
      <c r="H1026" s="319"/>
      <c r="I1026" s="319"/>
      <c r="J1026" s="319" t="s">
        <v>3208</v>
      </c>
      <c r="K1026" s="3" t="b">
        <v>1</v>
      </c>
      <c r="L1026" s="319"/>
      <c r="M1026" s="319"/>
      <c r="N1026" s="319"/>
      <c r="O1026" s="319"/>
      <c r="P1026" s="319"/>
      <c r="Q1026" s="319"/>
      <c r="R1026" s="319"/>
      <c r="S1026" s="319"/>
      <c r="T1026" s="319"/>
      <c r="U1026" s="319"/>
      <c r="V1026" s="319"/>
      <c r="W1026" s="319"/>
      <c r="X1026" s="319"/>
      <c r="Y1026" s="319"/>
      <c r="Z1026" s="319"/>
      <c r="AA1026" s="319"/>
      <c r="AB1026" s="319"/>
      <c r="AC1026" s="319"/>
      <c r="AD1026" s="319"/>
      <c r="AE1026" s="319"/>
      <c r="AF1026" s="319"/>
      <c r="AG1026" s="319"/>
      <c r="AH1026" s="319"/>
      <c r="AI1026" s="319"/>
      <c r="AJ1026" s="319"/>
      <c r="AK1026" s="319"/>
      <c r="AL1026" s="319"/>
      <c r="AM1026" s="319"/>
      <c r="AN1026" s="319"/>
      <c r="AO1026" s="319"/>
      <c r="AP1026" s="319"/>
      <c r="AQ1026" s="319"/>
      <c r="AR1026" s="319"/>
      <c r="AS1026" s="319"/>
      <c r="AT1026" s="319"/>
      <c r="AU1026" s="319"/>
      <c r="AV1026" s="319"/>
      <c r="AW1026" s="319"/>
      <c r="AX1026" s="319"/>
      <c r="AY1026" s="319"/>
      <c r="AZ1026" s="319"/>
      <c r="BA1026" s="319"/>
      <c r="BB1026" s="319"/>
      <c r="BC1026" s="319"/>
      <c r="BD1026" s="319"/>
      <c r="BE1026" s="319"/>
      <c r="BF1026" s="319"/>
      <c r="BG1026" s="319"/>
      <c r="BH1026" s="319"/>
      <c r="BI1026" s="319"/>
      <c r="BJ1026" s="319"/>
      <c r="BK1026" s="319"/>
      <c r="BL1026" s="319"/>
      <c r="BM1026" s="319"/>
      <c r="BN1026" s="319"/>
      <c r="BO1026" s="319"/>
      <c r="BP1026" s="319"/>
      <c r="BQ1026" s="319"/>
      <c r="BR1026" s="319"/>
      <c r="BS1026" s="319"/>
      <c r="BT1026" s="319"/>
      <c r="BU1026" s="319"/>
      <c r="BV1026" s="319"/>
      <c r="BW1026" s="319"/>
      <c r="BX1026" s="319"/>
      <c r="BY1026" s="319"/>
      <c r="BZ1026" s="319"/>
      <c r="CA1026" s="319"/>
      <c r="CB1026" s="319"/>
      <c r="CC1026" s="319"/>
      <c r="CD1026" s="319"/>
      <c r="CE1026" s="319"/>
      <c r="CF1026" s="319"/>
      <c r="CG1026" s="319"/>
      <c r="CH1026" s="319"/>
      <c r="CI1026" s="319"/>
      <c r="CJ1026" s="319"/>
      <c r="CK1026" s="319"/>
    </row>
    <row r="1027" spans="1:89" ht="12.75" hidden="1" customHeight="1">
      <c r="A1027" s="319">
        <v>3</v>
      </c>
      <c r="B1027" s="319"/>
      <c r="C1027" s="319" t="s">
        <v>2506</v>
      </c>
      <c r="D1027" s="319">
        <f>IF(C1121=FALSE,0,1)</f>
        <v>0</v>
      </c>
      <c r="E1027" s="319"/>
      <c r="F1027" s="319"/>
      <c r="G1027" s="319"/>
      <c r="H1027" s="319"/>
      <c r="I1027" s="319"/>
      <c r="J1027" s="319" t="s">
        <v>5040</v>
      </c>
      <c r="K1027" s="3" t="b">
        <v>1</v>
      </c>
      <c r="L1027" s="319"/>
      <c r="M1027" s="319"/>
      <c r="N1027" s="319"/>
      <c r="O1027" s="319"/>
      <c r="P1027" s="319"/>
      <c r="Q1027" s="319"/>
      <c r="R1027" s="319"/>
      <c r="S1027" s="319"/>
      <c r="T1027" s="319"/>
      <c r="U1027" s="319"/>
      <c r="V1027" s="319"/>
      <c r="W1027" s="319"/>
      <c r="X1027" s="319"/>
      <c r="Y1027" s="319"/>
      <c r="Z1027" s="319"/>
      <c r="AA1027" s="319"/>
      <c r="AB1027" s="319"/>
      <c r="AC1027" s="319"/>
      <c r="AD1027" s="319"/>
      <c r="AE1027" s="319"/>
      <c r="AF1027" s="319"/>
      <c r="AG1027" s="319"/>
      <c r="AH1027" s="319"/>
      <c r="AI1027" s="319"/>
      <c r="AJ1027" s="319"/>
      <c r="AK1027" s="319"/>
      <c r="AL1027" s="319"/>
      <c r="AM1027" s="319"/>
      <c r="AN1027" s="319"/>
      <c r="AO1027" s="319"/>
      <c r="AP1027" s="319"/>
      <c r="AQ1027" s="319"/>
      <c r="AR1027" s="319"/>
      <c r="AS1027" s="319"/>
      <c r="AT1027" s="319"/>
      <c r="AU1027" s="319"/>
      <c r="AV1027" s="319"/>
      <c r="AW1027" s="319"/>
      <c r="AX1027" s="319"/>
      <c r="AY1027" s="319"/>
      <c r="AZ1027" s="319"/>
      <c r="BA1027" s="319"/>
      <c r="BB1027" s="319"/>
      <c r="BC1027" s="319"/>
      <c r="BD1027" s="319"/>
      <c r="BE1027" s="319"/>
      <c r="BF1027" s="319"/>
      <c r="BG1027" s="319"/>
      <c r="BH1027" s="319"/>
      <c r="BI1027" s="319"/>
      <c r="BJ1027" s="319"/>
      <c r="BK1027" s="319"/>
      <c r="BL1027" s="319"/>
      <c r="BM1027" s="319"/>
      <c r="BN1027" s="319"/>
      <c r="BO1027" s="319"/>
      <c r="BP1027" s="319"/>
      <c r="BQ1027" s="319"/>
      <c r="BR1027" s="319"/>
      <c r="BS1027" s="319"/>
      <c r="BT1027" s="319"/>
      <c r="BU1027" s="319"/>
      <c r="BV1027" s="319"/>
      <c r="BW1027" s="319"/>
      <c r="BX1027" s="319"/>
      <c r="BY1027" s="319"/>
      <c r="BZ1027" s="319"/>
      <c r="CA1027" s="319"/>
      <c r="CB1027" s="319"/>
      <c r="CC1027" s="319"/>
      <c r="CD1027" s="319"/>
      <c r="CE1027" s="319"/>
      <c r="CF1027" s="319"/>
      <c r="CG1027" s="319"/>
      <c r="CH1027" s="319"/>
      <c r="CI1027" s="319"/>
      <c r="CJ1027" s="319"/>
      <c r="CK1027" s="319"/>
    </row>
    <row r="1028" spans="1:89" ht="12.75" hidden="1" customHeight="1">
      <c r="A1028" s="319">
        <v>3</v>
      </c>
      <c r="B1028" s="319"/>
      <c r="C1028" s="319" t="s">
        <v>726</v>
      </c>
      <c r="D1028" s="319"/>
      <c r="E1028" s="319"/>
      <c r="F1028" s="319"/>
      <c r="G1028" s="319"/>
      <c r="H1028" s="319"/>
      <c r="I1028" s="319"/>
      <c r="J1028" s="319" t="s">
        <v>5182</v>
      </c>
      <c r="K1028" s="3" t="b">
        <v>1</v>
      </c>
      <c r="L1028" s="319"/>
      <c r="M1028" s="319"/>
      <c r="N1028" s="319"/>
      <c r="O1028" s="319"/>
      <c r="P1028" s="319"/>
      <c r="Q1028" s="319"/>
      <c r="R1028" s="319"/>
      <c r="S1028" s="319"/>
      <c r="T1028" s="319"/>
      <c r="U1028" s="319"/>
      <c r="V1028" s="319"/>
      <c r="W1028" s="319"/>
      <c r="X1028" s="319"/>
      <c r="Y1028" s="319"/>
      <c r="Z1028" s="319"/>
      <c r="AA1028" s="319"/>
      <c r="AB1028" s="319"/>
      <c r="AC1028" s="319"/>
      <c r="AD1028" s="319"/>
      <c r="AE1028" s="319"/>
      <c r="AF1028" s="319"/>
      <c r="AG1028" s="319"/>
      <c r="AH1028" s="319"/>
      <c r="AI1028" s="319"/>
      <c r="AJ1028" s="319"/>
      <c r="AK1028" s="319"/>
      <c r="AL1028" s="319"/>
      <c r="AM1028" s="319"/>
      <c r="AN1028" s="319"/>
      <c r="AO1028" s="319"/>
      <c r="AP1028" s="319"/>
      <c r="AQ1028" s="319"/>
      <c r="AR1028" s="319"/>
      <c r="AS1028" s="319"/>
      <c r="AT1028" s="319"/>
      <c r="AU1028" s="319"/>
      <c r="AV1028" s="319"/>
      <c r="AW1028" s="319"/>
      <c r="AX1028" s="319"/>
      <c r="AY1028" s="319"/>
      <c r="AZ1028" s="319"/>
      <c r="BA1028" s="319"/>
      <c r="BB1028" s="319"/>
      <c r="BC1028" s="319"/>
      <c r="BD1028" s="319"/>
      <c r="BE1028" s="319"/>
      <c r="BF1028" s="319"/>
      <c r="BG1028" s="319"/>
      <c r="BH1028" s="319"/>
      <c r="BI1028" s="319"/>
      <c r="BJ1028" s="319"/>
      <c r="BK1028" s="319"/>
      <c r="BL1028" s="319"/>
      <c r="BM1028" s="319"/>
      <c r="BN1028" s="319"/>
      <c r="BO1028" s="319"/>
      <c r="BP1028" s="319"/>
      <c r="BQ1028" s="319"/>
      <c r="BR1028" s="319"/>
      <c r="BS1028" s="319"/>
      <c r="BT1028" s="319"/>
      <c r="BU1028" s="319"/>
      <c r="BV1028" s="319"/>
      <c r="BW1028" s="319"/>
      <c r="BX1028" s="319"/>
      <c r="BY1028" s="319"/>
      <c r="BZ1028" s="319"/>
      <c r="CA1028" s="319"/>
      <c r="CB1028" s="319"/>
      <c r="CC1028" s="319"/>
      <c r="CD1028" s="319"/>
      <c r="CE1028" s="319"/>
      <c r="CF1028" s="319"/>
      <c r="CG1028" s="319"/>
      <c r="CH1028" s="319"/>
      <c r="CI1028" s="319"/>
      <c r="CJ1028" s="319"/>
      <c r="CK1028" s="319"/>
    </row>
    <row r="1029" spans="1:89" ht="12.75" hidden="1" customHeight="1">
      <c r="A1029" s="319">
        <v>3</v>
      </c>
      <c r="B1029" s="319"/>
      <c r="C1029" s="319" t="s">
        <v>3442</v>
      </c>
      <c r="D1029" s="319"/>
      <c r="E1029" s="319"/>
      <c r="F1029" s="319"/>
      <c r="G1029" s="319"/>
      <c r="H1029" s="319"/>
      <c r="I1029" s="319"/>
      <c r="J1029" s="319" t="s">
        <v>2997</v>
      </c>
      <c r="K1029" s="3" t="b">
        <v>1</v>
      </c>
      <c r="L1029" s="319"/>
      <c r="M1029" s="319"/>
      <c r="N1029" s="319"/>
      <c r="O1029" s="319"/>
      <c r="P1029" s="319"/>
      <c r="Q1029" s="319"/>
      <c r="R1029" s="319"/>
      <c r="S1029" s="319"/>
      <c r="T1029" s="319"/>
      <c r="U1029" s="319"/>
      <c r="V1029" s="319"/>
      <c r="W1029" s="319"/>
      <c r="X1029" s="319"/>
      <c r="Y1029" s="319"/>
      <c r="Z1029" s="319"/>
      <c r="AA1029" s="319"/>
      <c r="AB1029" s="319"/>
      <c r="AC1029" s="319"/>
      <c r="AD1029" s="319"/>
      <c r="AE1029" s="319"/>
      <c r="AF1029" s="319"/>
      <c r="AG1029" s="319"/>
      <c r="AH1029" s="319"/>
      <c r="AI1029" s="319"/>
      <c r="AJ1029" s="319"/>
      <c r="AK1029" s="319"/>
      <c r="AL1029" s="319"/>
      <c r="AM1029" s="319"/>
      <c r="AN1029" s="319"/>
      <c r="AO1029" s="319"/>
      <c r="AP1029" s="319"/>
      <c r="AQ1029" s="319"/>
      <c r="AR1029" s="319"/>
      <c r="AS1029" s="319"/>
      <c r="AT1029" s="319"/>
      <c r="AU1029" s="319"/>
      <c r="AV1029" s="319"/>
      <c r="AW1029" s="319"/>
      <c r="AX1029" s="319"/>
      <c r="AY1029" s="319"/>
      <c r="AZ1029" s="319"/>
      <c r="BA1029" s="319"/>
      <c r="BB1029" s="319"/>
      <c r="BC1029" s="319"/>
      <c r="BD1029" s="319"/>
      <c r="BE1029" s="319"/>
      <c r="BF1029" s="319"/>
      <c r="BG1029" s="319"/>
      <c r="BH1029" s="319"/>
      <c r="BI1029" s="319"/>
      <c r="BJ1029" s="319"/>
      <c r="BK1029" s="319"/>
      <c r="BL1029" s="319"/>
      <c r="BM1029" s="319"/>
      <c r="BN1029" s="319"/>
      <c r="BO1029" s="319"/>
      <c r="BP1029" s="319"/>
      <c r="BQ1029" s="319"/>
      <c r="BR1029" s="319"/>
      <c r="BS1029" s="319"/>
      <c r="BT1029" s="319"/>
      <c r="BU1029" s="319"/>
      <c r="BV1029" s="319"/>
      <c r="BW1029" s="319"/>
      <c r="BX1029" s="319"/>
      <c r="BY1029" s="319"/>
      <c r="BZ1029" s="319"/>
      <c r="CA1029" s="319"/>
      <c r="CB1029" s="319"/>
      <c r="CC1029" s="319"/>
      <c r="CD1029" s="319"/>
      <c r="CE1029" s="319"/>
      <c r="CF1029" s="319"/>
      <c r="CG1029" s="319"/>
      <c r="CH1029" s="319"/>
      <c r="CI1029" s="319"/>
      <c r="CJ1029" s="319"/>
      <c r="CK1029" s="319"/>
    </row>
    <row r="1030" spans="1:89" ht="12.75" hidden="1" customHeight="1">
      <c r="A1030" s="319">
        <v>4</v>
      </c>
      <c r="B1030" s="319"/>
      <c r="C1030" s="319" t="s">
        <v>2506</v>
      </c>
      <c r="D1030" s="319">
        <f>IF(C1122=FALSE,0,1)</f>
        <v>0</v>
      </c>
      <c r="E1030" s="319"/>
      <c r="F1030" s="319"/>
      <c r="G1030" s="319"/>
      <c r="H1030" s="319"/>
      <c r="I1030" s="319"/>
      <c r="J1030" s="319" t="s">
        <v>3193</v>
      </c>
      <c r="K1030" s="3" t="b">
        <v>1</v>
      </c>
      <c r="L1030" s="319"/>
      <c r="M1030" s="319"/>
      <c r="N1030" s="319"/>
      <c r="O1030" s="319"/>
      <c r="P1030" s="319"/>
      <c r="Q1030" s="319"/>
      <c r="R1030" s="319"/>
      <c r="S1030" s="319"/>
      <c r="T1030" s="319"/>
      <c r="U1030" s="319"/>
      <c r="V1030" s="319"/>
      <c r="W1030" s="319"/>
      <c r="X1030" s="319"/>
      <c r="Y1030" s="319"/>
      <c r="Z1030" s="319"/>
      <c r="AA1030" s="319"/>
      <c r="AB1030" s="319"/>
      <c r="AC1030" s="319"/>
      <c r="AD1030" s="319"/>
      <c r="AE1030" s="319"/>
      <c r="AF1030" s="319"/>
      <c r="AG1030" s="319"/>
      <c r="AH1030" s="319"/>
      <c r="AI1030" s="319"/>
      <c r="AJ1030" s="319"/>
      <c r="AK1030" s="319"/>
      <c r="AL1030" s="319"/>
      <c r="AM1030" s="319"/>
      <c r="AN1030" s="319"/>
      <c r="AO1030" s="319"/>
      <c r="AP1030" s="319"/>
      <c r="AQ1030" s="319"/>
      <c r="AR1030" s="319"/>
      <c r="AS1030" s="319"/>
      <c r="AT1030" s="319"/>
      <c r="AU1030" s="319"/>
      <c r="AV1030" s="319"/>
      <c r="AW1030" s="319"/>
      <c r="AX1030" s="319"/>
      <c r="AY1030" s="319"/>
      <c r="AZ1030" s="319"/>
      <c r="BA1030" s="319"/>
      <c r="BB1030" s="319"/>
      <c r="BC1030" s="319"/>
      <c r="BD1030" s="319"/>
      <c r="BE1030" s="319"/>
      <c r="BF1030" s="319"/>
      <c r="BG1030" s="319"/>
      <c r="BH1030" s="319"/>
      <c r="BI1030" s="319"/>
      <c r="BJ1030" s="319"/>
      <c r="BK1030" s="319"/>
      <c r="BL1030" s="319"/>
      <c r="BM1030" s="319"/>
      <c r="BN1030" s="319"/>
      <c r="BO1030" s="319"/>
      <c r="BP1030" s="319"/>
      <c r="BQ1030" s="319"/>
      <c r="BR1030" s="319"/>
      <c r="BS1030" s="319"/>
      <c r="BT1030" s="319"/>
      <c r="BU1030" s="319"/>
      <c r="BV1030" s="319"/>
      <c r="BW1030" s="319"/>
      <c r="BX1030" s="319"/>
      <c r="BY1030" s="319"/>
      <c r="BZ1030" s="319"/>
      <c r="CA1030" s="319"/>
      <c r="CB1030" s="319"/>
      <c r="CC1030" s="319"/>
      <c r="CD1030" s="319"/>
      <c r="CE1030" s="319"/>
      <c r="CF1030" s="319"/>
      <c r="CG1030" s="319"/>
      <c r="CH1030" s="319"/>
      <c r="CI1030" s="319"/>
      <c r="CJ1030" s="319"/>
      <c r="CK1030" s="319"/>
    </row>
    <row r="1031" spans="1:89" ht="12.75" hidden="1" customHeight="1">
      <c r="A1031" s="319">
        <v>4</v>
      </c>
      <c r="B1031" s="319"/>
      <c r="C1031" s="319" t="s">
        <v>726</v>
      </c>
      <c r="D1031" s="319"/>
      <c r="E1031" s="319"/>
      <c r="F1031" s="319"/>
      <c r="G1031" s="319"/>
      <c r="H1031" s="319"/>
      <c r="I1031" s="319"/>
      <c r="J1031" s="319"/>
      <c r="K1031" s="319"/>
      <c r="L1031" s="319"/>
      <c r="M1031" s="319"/>
      <c r="N1031" s="319"/>
      <c r="O1031" s="319"/>
      <c r="P1031" s="319"/>
      <c r="Q1031" s="319"/>
      <c r="R1031" s="319"/>
      <c r="S1031" s="319"/>
      <c r="T1031" s="319"/>
      <c r="U1031" s="319"/>
      <c r="V1031" s="319"/>
      <c r="W1031" s="319"/>
      <c r="X1031" s="319"/>
      <c r="Y1031" s="319"/>
      <c r="Z1031" s="319"/>
      <c r="AA1031" s="319"/>
      <c r="AB1031" s="319"/>
      <c r="AC1031" s="319"/>
      <c r="AD1031" s="319"/>
      <c r="AE1031" s="319"/>
      <c r="AF1031" s="319"/>
      <c r="AG1031" s="319"/>
      <c r="AH1031" s="319"/>
      <c r="AI1031" s="319"/>
      <c r="AJ1031" s="319"/>
      <c r="AK1031" s="319"/>
      <c r="AL1031" s="319"/>
      <c r="AM1031" s="319"/>
      <c r="AN1031" s="319"/>
      <c r="AO1031" s="319"/>
      <c r="AP1031" s="319"/>
      <c r="AQ1031" s="319"/>
      <c r="AR1031" s="319"/>
      <c r="AS1031" s="319"/>
      <c r="AT1031" s="319"/>
      <c r="AU1031" s="319"/>
      <c r="AV1031" s="319"/>
      <c r="AW1031" s="319"/>
      <c r="AX1031" s="319"/>
      <c r="AY1031" s="319"/>
      <c r="AZ1031" s="319"/>
      <c r="BA1031" s="319"/>
      <c r="BB1031" s="319"/>
      <c r="BC1031" s="319"/>
      <c r="BD1031" s="319"/>
      <c r="BE1031" s="319"/>
      <c r="BF1031" s="319"/>
      <c r="BG1031" s="319"/>
      <c r="BH1031" s="319"/>
      <c r="BI1031" s="319"/>
      <c r="BJ1031" s="319"/>
      <c r="BK1031" s="319"/>
      <c r="BL1031" s="319"/>
      <c r="BM1031" s="319"/>
      <c r="BN1031" s="319"/>
      <c r="BO1031" s="319"/>
      <c r="BP1031" s="319"/>
      <c r="BQ1031" s="319"/>
      <c r="BR1031" s="319"/>
      <c r="BS1031" s="319"/>
      <c r="BT1031" s="319"/>
      <c r="BU1031" s="319"/>
      <c r="BV1031" s="319"/>
      <c r="BW1031" s="319"/>
      <c r="BX1031" s="319"/>
      <c r="BY1031" s="319"/>
      <c r="BZ1031" s="319"/>
      <c r="CA1031" s="319"/>
      <c r="CB1031" s="319"/>
      <c r="CC1031" s="319"/>
      <c r="CD1031" s="319"/>
      <c r="CE1031" s="319"/>
      <c r="CF1031" s="319"/>
      <c r="CG1031" s="319"/>
      <c r="CH1031" s="319"/>
      <c r="CI1031" s="319"/>
      <c r="CJ1031" s="319"/>
      <c r="CK1031" s="319"/>
    </row>
    <row r="1032" spans="1:89" ht="12.75" hidden="1" customHeight="1">
      <c r="A1032" s="319">
        <v>4</v>
      </c>
      <c r="B1032" s="319"/>
      <c r="C1032" s="319" t="s">
        <v>3442</v>
      </c>
      <c r="D1032" s="319">
        <f>D1030</f>
        <v>0</v>
      </c>
      <c r="E1032" s="319"/>
      <c r="F1032" s="319"/>
      <c r="G1032" s="319"/>
      <c r="H1032" s="319"/>
      <c r="I1032" s="319"/>
      <c r="J1032" s="319"/>
      <c r="K1032" s="319"/>
      <c r="L1032" s="319"/>
      <c r="M1032" s="319"/>
      <c r="N1032" s="319"/>
      <c r="O1032" s="319"/>
      <c r="P1032" s="319"/>
      <c r="Q1032" s="319"/>
      <c r="R1032" s="319"/>
      <c r="S1032" s="319"/>
      <c r="T1032" s="319"/>
      <c r="U1032" s="319"/>
      <c r="V1032" s="319"/>
      <c r="W1032" s="319"/>
      <c r="X1032" s="319"/>
      <c r="Y1032" s="319"/>
      <c r="Z1032" s="319"/>
      <c r="AA1032" s="319"/>
      <c r="AB1032" s="319"/>
      <c r="AC1032" s="319"/>
      <c r="AD1032" s="319"/>
      <c r="AE1032" s="319"/>
      <c r="AF1032" s="319"/>
      <c r="AG1032" s="319"/>
      <c r="AH1032" s="319"/>
      <c r="AI1032" s="319"/>
      <c r="AJ1032" s="319"/>
      <c r="AK1032" s="319"/>
      <c r="AL1032" s="319"/>
      <c r="AM1032" s="319"/>
      <c r="AN1032" s="319"/>
      <c r="AO1032" s="319"/>
      <c r="AP1032" s="319"/>
      <c r="AQ1032" s="319"/>
      <c r="AR1032" s="319"/>
      <c r="AS1032" s="319"/>
      <c r="AT1032" s="319"/>
      <c r="AU1032" s="319"/>
      <c r="AV1032" s="319"/>
      <c r="AW1032" s="319"/>
      <c r="AX1032" s="319"/>
      <c r="AY1032" s="319"/>
      <c r="AZ1032" s="319"/>
      <c r="BA1032" s="319"/>
      <c r="BB1032" s="319"/>
      <c r="BC1032" s="319"/>
      <c r="BD1032" s="319"/>
      <c r="BE1032" s="319"/>
      <c r="BF1032" s="319"/>
      <c r="BG1032" s="319"/>
      <c r="BH1032" s="319"/>
      <c r="BI1032" s="319"/>
      <c r="BJ1032" s="319"/>
      <c r="BK1032" s="319"/>
      <c r="BL1032" s="319"/>
      <c r="BM1032" s="319"/>
      <c r="BN1032" s="319"/>
      <c r="BO1032" s="319"/>
      <c r="BP1032" s="319"/>
      <c r="BQ1032" s="319"/>
      <c r="BR1032" s="319"/>
      <c r="BS1032" s="319"/>
      <c r="BT1032" s="319"/>
      <c r="BU1032" s="319"/>
      <c r="BV1032" s="319"/>
      <c r="BW1032" s="319"/>
      <c r="BX1032" s="319"/>
      <c r="BY1032" s="319"/>
      <c r="BZ1032" s="319"/>
      <c r="CA1032" s="319"/>
      <c r="CB1032" s="319"/>
      <c r="CC1032" s="319"/>
      <c r="CD1032" s="319"/>
      <c r="CE1032" s="319"/>
      <c r="CF1032" s="319"/>
      <c r="CG1032" s="319"/>
      <c r="CH1032" s="319"/>
      <c r="CI1032" s="319"/>
      <c r="CJ1032" s="319"/>
      <c r="CK1032" s="319"/>
    </row>
    <row r="1033" spans="1:89" ht="12.75" hidden="1" customHeight="1">
      <c r="A1033" s="319">
        <v>5</v>
      </c>
      <c r="B1033" s="319"/>
      <c r="C1033" s="319" t="s">
        <v>2506</v>
      </c>
      <c r="D1033" s="319">
        <f>IF(C1123=FALSE,0,1)</f>
        <v>0</v>
      </c>
      <c r="E1033" s="319"/>
      <c r="F1033" s="319"/>
      <c r="G1033" s="319"/>
      <c r="H1033" s="319"/>
      <c r="I1033" s="319"/>
      <c r="J1033" s="319"/>
      <c r="K1033" s="319"/>
      <c r="L1033" s="319"/>
      <c r="M1033" s="319"/>
      <c r="N1033" s="319"/>
      <c r="O1033" s="319"/>
      <c r="P1033" s="319"/>
      <c r="Q1033" s="319"/>
      <c r="R1033" s="319"/>
      <c r="S1033" s="319"/>
      <c r="T1033" s="319"/>
      <c r="U1033" s="319"/>
      <c r="V1033" s="319"/>
      <c r="W1033" s="319"/>
      <c r="X1033" s="319"/>
      <c r="Y1033" s="319"/>
      <c r="Z1033" s="319"/>
      <c r="AA1033" s="319"/>
      <c r="AB1033" s="319"/>
      <c r="AC1033" s="319"/>
      <c r="AD1033" s="319"/>
      <c r="AE1033" s="319"/>
      <c r="AF1033" s="319"/>
      <c r="AG1033" s="319"/>
      <c r="AH1033" s="319"/>
      <c r="AI1033" s="319"/>
      <c r="AJ1033" s="319"/>
      <c r="AK1033" s="319"/>
      <c r="AL1033" s="319"/>
      <c r="AM1033" s="319"/>
      <c r="AN1033" s="319"/>
      <c r="AO1033" s="319"/>
      <c r="AP1033" s="319"/>
      <c r="AQ1033" s="319"/>
      <c r="AR1033" s="319"/>
      <c r="AS1033" s="319"/>
      <c r="AT1033" s="319"/>
      <c r="AU1033" s="319"/>
      <c r="AV1033" s="319"/>
      <c r="AW1033" s="319"/>
      <c r="AX1033" s="319"/>
      <c r="AY1033" s="319"/>
      <c r="AZ1033" s="319"/>
      <c r="BA1033" s="319"/>
      <c r="BB1033" s="319"/>
      <c r="BC1033" s="319"/>
      <c r="BD1033" s="319"/>
      <c r="BE1033" s="319"/>
      <c r="BF1033" s="319"/>
      <c r="BG1033" s="319"/>
      <c r="BH1033" s="319"/>
      <c r="BI1033" s="319"/>
      <c r="BJ1033" s="319"/>
      <c r="BK1033" s="319"/>
      <c r="BL1033" s="319"/>
      <c r="BM1033" s="319"/>
      <c r="BN1033" s="319"/>
      <c r="BO1033" s="319"/>
      <c r="BP1033" s="319"/>
      <c r="BQ1033" s="319"/>
      <c r="BR1033" s="319"/>
      <c r="BS1033" s="319"/>
      <c r="BT1033" s="319"/>
      <c r="BU1033" s="319"/>
      <c r="BV1033" s="319"/>
      <c r="BW1033" s="319"/>
      <c r="BX1033" s="319"/>
      <c r="BY1033" s="319"/>
      <c r="BZ1033" s="319"/>
      <c r="CA1033" s="319"/>
      <c r="CB1033" s="319"/>
      <c r="CC1033" s="319"/>
      <c r="CD1033" s="319"/>
      <c r="CE1033" s="319"/>
      <c r="CF1033" s="319"/>
      <c r="CG1033" s="319"/>
      <c r="CH1033" s="319"/>
      <c r="CI1033" s="319"/>
      <c r="CJ1033" s="319"/>
      <c r="CK1033" s="319"/>
    </row>
    <row r="1034" spans="1:89" ht="12.75" hidden="1" customHeight="1">
      <c r="A1034" s="319">
        <v>5</v>
      </c>
      <c r="B1034" s="319"/>
      <c r="C1034" s="319" t="s">
        <v>726</v>
      </c>
      <c r="D1034" s="319">
        <f>D1033</f>
        <v>0</v>
      </c>
      <c r="E1034" s="319"/>
      <c r="F1034" s="319"/>
      <c r="G1034" s="319"/>
      <c r="H1034" s="319"/>
      <c r="I1034" s="319"/>
      <c r="J1034" s="319"/>
      <c r="K1034" s="319"/>
      <c r="L1034" s="319"/>
      <c r="M1034" s="319"/>
      <c r="N1034" s="319"/>
      <c r="O1034" s="319"/>
      <c r="P1034" s="319"/>
      <c r="Q1034" s="319"/>
      <c r="R1034" s="319"/>
      <c r="S1034" s="319"/>
      <c r="T1034" s="319"/>
      <c r="U1034" s="319"/>
      <c r="V1034" s="319"/>
      <c r="W1034" s="319"/>
      <c r="X1034" s="319"/>
      <c r="Y1034" s="319"/>
      <c r="Z1034" s="319"/>
      <c r="AA1034" s="319"/>
      <c r="AB1034" s="319"/>
      <c r="AC1034" s="319"/>
      <c r="AD1034" s="319"/>
      <c r="AE1034" s="319"/>
      <c r="AF1034" s="319"/>
      <c r="AG1034" s="319"/>
      <c r="AH1034" s="319"/>
      <c r="AI1034" s="319"/>
      <c r="AJ1034" s="319"/>
      <c r="AK1034" s="319"/>
      <c r="AL1034" s="319"/>
      <c r="AM1034" s="319"/>
      <c r="AN1034" s="319"/>
      <c r="AO1034" s="319"/>
      <c r="AP1034" s="319"/>
      <c r="AQ1034" s="319"/>
      <c r="AR1034" s="319"/>
      <c r="AS1034" s="319"/>
      <c r="AT1034" s="319"/>
      <c r="AU1034" s="319"/>
      <c r="AV1034" s="319"/>
      <c r="AW1034" s="319"/>
      <c r="AX1034" s="319"/>
      <c r="AY1034" s="319"/>
      <c r="AZ1034" s="319"/>
      <c r="BA1034" s="319"/>
      <c r="BB1034" s="319"/>
      <c r="BC1034" s="319"/>
      <c r="BD1034" s="319"/>
      <c r="BE1034" s="319"/>
      <c r="BF1034" s="319"/>
      <c r="BG1034" s="319"/>
      <c r="BH1034" s="319"/>
      <c r="BI1034" s="319"/>
      <c r="BJ1034" s="319"/>
      <c r="BK1034" s="319"/>
      <c r="BL1034" s="319"/>
      <c r="BM1034" s="319"/>
      <c r="BN1034" s="319"/>
      <c r="BO1034" s="319"/>
      <c r="BP1034" s="319"/>
      <c r="BQ1034" s="319"/>
      <c r="BR1034" s="319"/>
      <c r="BS1034" s="319"/>
      <c r="BT1034" s="319"/>
      <c r="BU1034" s="319"/>
      <c r="BV1034" s="319"/>
      <c r="BW1034" s="319"/>
      <c r="BX1034" s="319"/>
      <c r="BY1034" s="319"/>
      <c r="BZ1034" s="319"/>
      <c r="CA1034" s="319"/>
      <c r="CB1034" s="319"/>
      <c r="CC1034" s="319"/>
      <c r="CD1034" s="319"/>
      <c r="CE1034" s="319"/>
      <c r="CF1034" s="319"/>
      <c r="CG1034" s="319"/>
      <c r="CH1034" s="319"/>
      <c r="CI1034" s="319"/>
      <c r="CJ1034" s="319"/>
      <c r="CK1034" s="319"/>
    </row>
    <row r="1035" spans="1:89" ht="12.75" hidden="1" customHeight="1">
      <c r="A1035" s="319">
        <v>5</v>
      </c>
      <c r="B1035" s="319"/>
      <c r="C1035" s="319" t="s">
        <v>3442</v>
      </c>
      <c r="D1035" s="319">
        <f>D1034</f>
        <v>0</v>
      </c>
      <c r="E1035" s="319"/>
      <c r="F1035" s="319"/>
      <c r="G1035" s="319"/>
      <c r="H1035" s="319"/>
      <c r="I1035" s="319"/>
      <c r="J1035" s="319"/>
      <c r="K1035" s="319"/>
      <c r="L1035" s="319"/>
      <c r="M1035" s="319"/>
      <c r="N1035" s="319"/>
      <c r="O1035" s="319"/>
      <c r="P1035" s="319"/>
      <c r="Q1035" s="319"/>
      <c r="R1035" s="319"/>
      <c r="S1035" s="319"/>
      <c r="T1035" s="319"/>
      <c r="U1035" s="319"/>
      <c r="V1035" s="319"/>
      <c r="W1035" s="319"/>
      <c r="X1035" s="319"/>
      <c r="Y1035" s="319"/>
      <c r="Z1035" s="319"/>
      <c r="AA1035" s="319"/>
      <c r="AB1035" s="319"/>
      <c r="AC1035" s="319"/>
      <c r="AD1035" s="319"/>
      <c r="AE1035" s="319"/>
      <c r="AF1035" s="319"/>
      <c r="AG1035" s="319"/>
      <c r="AH1035" s="319"/>
      <c r="AI1035" s="319"/>
      <c r="AJ1035" s="319"/>
      <c r="AK1035" s="319"/>
      <c r="AL1035" s="319"/>
      <c r="AM1035" s="319"/>
      <c r="AN1035" s="319"/>
      <c r="AO1035" s="319"/>
      <c r="AP1035" s="319"/>
      <c r="AQ1035" s="319"/>
      <c r="AR1035" s="319"/>
      <c r="AS1035" s="319"/>
      <c r="AT1035" s="319"/>
      <c r="AU1035" s="319"/>
      <c r="AV1035" s="319"/>
      <c r="AW1035" s="319"/>
      <c r="AX1035" s="319"/>
      <c r="AY1035" s="319"/>
      <c r="AZ1035" s="319"/>
      <c r="BA1035" s="319"/>
      <c r="BB1035" s="319"/>
      <c r="BC1035" s="319"/>
      <c r="BD1035" s="319"/>
      <c r="BE1035" s="319"/>
      <c r="BF1035" s="319"/>
      <c r="BG1035" s="319"/>
      <c r="BH1035" s="319"/>
      <c r="BI1035" s="319"/>
      <c r="BJ1035" s="319"/>
      <c r="BK1035" s="319"/>
      <c r="BL1035" s="319"/>
      <c r="BM1035" s="319"/>
      <c r="BN1035" s="319"/>
      <c r="BO1035" s="319"/>
      <c r="BP1035" s="319"/>
      <c r="BQ1035" s="319"/>
      <c r="BR1035" s="319"/>
      <c r="BS1035" s="319"/>
      <c r="BT1035" s="319"/>
      <c r="BU1035" s="319"/>
      <c r="BV1035" s="319"/>
      <c r="BW1035" s="319"/>
      <c r="BX1035" s="319"/>
      <c r="BY1035" s="319"/>
      <c r="BZ1035" s="319"/>
      <c r="CA1035" s="319"/>
      <c r="CB1035" s="319"/>
      <c r="CC1035" s="319"/>
      <c r="CD1035" s="319"/>
      <c r="CE1035" s="319"/>
      <c r="CF1035" s="319"/>
      <c r="CG1035" s="319"/>
      <c r="CH1035" s="319"/>
      <c r="CI1035" s="319"/>
      <c r="CJ1035" s="319"/>
      <c r="CK1035" s="319"/>
    </row>
    <row r="1036" spans="1:89" ht="12.75" hidden="1" customHeight="1">
      <c r="A1036" s="319">
        <v>6</v>
      </c>
      <c r="B1036" s="319"/>
      <c r="C1036" s="319" t="s">
        <v>2506</v>
      </c>
      <c r="D1036" s="319">
        <f>IF(C1124=FALSE,0,1)</f>
        <v>0</v>
      </c>
      <c r="E1036" s="319"/>
      <c r="F1036" s="319"/>
      <c r="G1036" s="319"/>
      <c r="H1036" s="319"/>
      <c r="I1036" s="319"/>
      <c r="J1036" s="319"/>
      <c r="K1036" s="319"/>
      <c r="L1036" s="319"/>
      <c r="M1036" s="319"/>
      <c r="N1036" s="319"/>
      <c r="O1036" s="319"/>
      <c r="P1036" s="319"/>
      <c r="Q1036" s="319"/>
      <c r="R1036" s="319"/>
      <c r="S1036" s="319"/>
      <c r="T1036" s="319"/>
      <c r="U1036" s="319"/>
      <c r="V1036" s="319"/>
      <c r="W1036" s="319"/>
      <c r="X1036" s="319"/>
      <c r="Y1036" s="319"/>
      <c r="Z1036" s="319"/>
      <c r="AA1036" s="319"/>
      <c r="AB1036" s="319"/>
      <c r="AC1036" s="319"/>
      <c r="AD1036" s="319"/>
      <c r="AE1036" s="319"/>
      <c r="AF1036" s="319"/>
      <c r="AG1036" s="319"/>
      <c r="AH1036" s="319"/>
      <c r="AI1036" s="319"/>
      <c r="AJ1036" s="319"/>
      <c r="AK1036" s="319"/>
      <c r="AL1036" s="319"/>
      <c r="AM1036" s="319"/>
      <c r="AN1036" s="319"/>
      <c r="AO1036" s="319"/>
      <c r="AP1036" s="319"/>
      <c r="AQ1036" s="319"/>
      <c r="AR1036" s="319"/>
      <c r="AS1036" s="319"/>
      <c r="AT1036" s="319"/>
      <c r="AU1036" s="319"/>
      <c r="AV1036" s="319"/>
      <c r="AW1036" s="319"/>
      <c r="AX1036" s="319"/>
      <c r="AY1036" s="319"/>
      <c r="AZ1036" s="319"/>
      <c r="BA1036" s="319"/>
      <c r="BB1036" s="319"/>
      <c r="BC1036" s="319"/>
      <c r="BD1036" s="319"/>
      <c r="BE1036" s="319"/>
      <c r="BF1036" s="319"/>
      <c r="BG1036" s="319"/>
      <c r="BH1036" s="319"/>
      <c r="BI1036" s="319"/>
      <c r="BJ1036" s="319"/>
      <c r="BK1036" s="319"/>
      <c r="BL1036" s="319"/>
      <c r="BM1036" s="319"/>
      <c r="BN1036" s="319"/>
      <c r="BO1036" s="319"/>
      <c r="BP1036" s="319"/>
      <c r="BQ1036" s="319"/>
      <c r="BR1036" s="319"/>
      <c r="BS1036" s="319"/>
      <c r="BT1036" s="319"/>
      <c r="BU1036" s="319"/>
      <c r="BV1036" s="319"/>
      <c r="BW1036" s="319"/>
      <c r="BX1036" s="319"/>
      <c r="BY1036" s="319"/>
      <c r="BZ1036" s="319"/>
      <c r="CA1036" s="319"/>
      <c r="CB1036" s="319"/>
      <c r="CC1036" s="319"/>
      <c r="CD1036" s="319"/>
      <c r="CE1036" s="319"/>
      <c r="CF1036" s="319"/>
      <c r="CG1036" s="319"/>
      <c r="CH1036" s="319"/>
      <c r="CI1036" s="319"/>
      <c r="CJ1036" s="319"/>
      <c r="CK1036" s="319"/>
    </row>
    <row r="1037" spans="1:89" ht="12.75" hidden="1" customHeight="1">
      <c r="A1037" s="319">
        <v>6</v>
      </c>
      <c r="B1037" s="319"/>
      <c r="C1037" s="319" t="s">
        <v>726</v>
      </c>
      <c r="D1037" s="319"/>
      <c r="E1037" s="319"/>
      <c r="F1037" s="319"/>
      <c r="G1037" s="319"/>
      <c r="H1037" s="319"/>
      <c r="I1037" s="319"/>
      <c r="J1037" s="319"/>
      <c r="K1037" s="319"/>
      <c r="L1037" s="319"/>
      <c r="M1037" s="319"/>
      <c r="N1037" s="319"/>
      <c r="O1037" s="319"/>
      <c r="P1037" s="319"/>
      <c r="Q1037" s="319"/>
      <c r="R1037" s="319"/>
      <c r="S1037" s="319"/>
      <c r="T1037" s="319"/>
      <c r="U1037" s="319"/>
      <c r="V1037" s="319"/>
      <c r="W1037" s="319"/>
      <c r="X1037" s="319"/>
      <c r="Y1037" s="319"/>
      <c r="Z1037" s="319"/>
      <c r="AA1037" s="319"/>
      <c r="AB1037" s="319"/>
      <c r="AC1037" s="319"/>
      <c r="AD1037" s="319"/>
      <c r="AE1037" s="319"/>
      <c r="AF1037" s="319"/>
      <c r="AG1037" s="319"/>
      <c r="AH1037" s="319"/>
      <c r="AI1037" s="319"/>
      <c r="AJ1037" s="319"/>
      <c r="AK1037" s="319"/>
      <c r="AL1037" s="319"/>
      <c r="AM1037" s="319"/>
      <c r="AN1037" s="319"/>
      <c r="AO1037" s="319"/>
      <c r="AP1037" s="319"/>
      <c r="AQ1037" s="319"/>
      <c r="AR1037" s="319"/>
      <c r="AS1037" s="319"/>
      <c r="AT1037" s="319"/>
      <c r="AU1037" s="319"/>
      <c r="AV1037" s="319"/>
      <c r="AW1037" s="319"/>
      <c r="AX1037" s="319"/>
      <c r="AY1037" s="319"/>
      <c r="AZ1037" s="319"/>
      <c r="BA1037" s="319"/>
      <c r="BB1037" s="319"/>
      <c r="BC1037" s="319"/>
      <c r="BD1037" s="319"/>
      <c r="BE1037" s="319"/>
      <c r="BF1037" s="319"/>
      <c r="BG1037" s="319"/>
      <c r="BH1037" s="319"/>
      <c r="BI1037" s="319"/>
      <c r="BJ1037" s="319"/>
      <c r="BK1037" s="319"/>
      <c r="BL1037" s="319"/>
      <c r="BM1037" s="319"/>
      <c r="BN1037" s="319"/>
      <c r="BO1037" s="319"/>
      <c r="BP1037" s="319"/>
      <c r="BQ1037" s="319"/>
      <c r="BR1037" s="319"/>
      <c r="BS1037" s="319"/>
      <c r="BT1037" s="319"/>
      <c r="BU1037" s="319"/>
      <c r="BV1037" s="319"/>
      <c r="BW1037" s="319"/>
      <c r="BX1037" s="319"/>
      <c r="BY1037" s="319"/>
      <c r="BZ1037" s="319"/>
      <c r="CA1037" s="319"/>
      <c r="CB1037" s="319"/>
      <c r="CC1037" s="319"/>
      <c r="CD1037" s="319"/>
      <c r="CE1037" s="319"/>
      <c r="CF1037" s="319"/>
      <c r="CG1037" s="319"/>
      <c r="CH1037" s="319"/>
      <c r="CI1037" s="319"/>
      <c r="CJ1037" s="319"/>
      <c r="CK1037" s="319"/>
    </row>
    <row r="1038" spans="1:89" ht="12.75" hidden="1" customHeight="1">
      <c r="A1038" s="319">
        <v>6</v>
      </c>
      <c r="B1038" s="319"/>
      <c r="C1038" s="319" t="s">
        <v>3442</v>
      </c>
      <c r="D1038" s="319"/>
      <c r="E1038" s="319"/>
      <c r="F1038" s="319"/>
      <c r="G1038" s="319"/>
      <c r="H1038" s="319"/>
      <c r="I1038" s="319"/>
      <c r="J1038" s="319"/>
      <c r="K1038" s="319"/>
      <c r="L1038" s="319"/>
      <c r="M1038" s="319"/>
      <c r="N1038" s="319"/>
      <c r="O1038" s="319"/>
      <c r="P1038" s="319"/>
      <c r="Q1038" s="319"/>
      <c r="R1038" s="319"/>
      <c r="S1038" s="319"/>
      <c r="T1038" s="319"/>
      <c r="U1038" s="319"/>
      <c r="V1038" s="319"/>
      <c r="W1038" s="319"/>
      <c r="X1038" s="319"/>
      <c r="Y1038" s="319"/>
      <c r="Z1038" s="319"/>
      <c r="AA1038" s="319"/>
      <c r="AB1038" s="319"/>
      <c r="AC1038" s="319"/>
      <c r="AD1038" s="319"/>
      <c r="AE1038" s="319"/>
      <c r="AF1038" s="319"/>
      <c r="AG1038" s="319"/>
      <c r="AH1038" s="319"/>
      <c r="AI1038" s="319"/>
      <c r="AJ1038" s="319"/>
      <c r="AK1038" s="319"/>
      <c r="AL1038" s="319"/>
      <c r="AM1038" s="319"/>
      <c r="AN1038" s="319"/>
      <c r="AO1038" s="319"/>
      <c r="AP1038" s="319"/>
      <c r="AQ1038" s="319"/>
      <c r="AR1038" s="319"/>
      <c r="AS1038" s="319"/>
      <c r="AT1038" s="319"/>
      <c r="AU1038" s="319"/>
      <c r="AV1038" s="319"/>
      <c r="AW1038" s="319"/>
      <c r="AX1038" s="319"/>
      <c r="AY1038" s="319"/>
      <c r="AZ1038" s="319"/>
      <c r="BA1038" s="319"/>
      <c r="BB1038" s="319"/>
      <c r="BC1038" s="319"/>
      <c r="BD1038" s="319"/>
      <c r="BE1038" s="319"/>
      <c r="BF1038" s="319"/>
      <c r="BG1038" s="319"/>
      <c r="BH1038" s="319"/>
      <c r="BI1038" s="319"/>
      <c r="BJ1038" s="319"/>
      <c r="BK1038" s="319"/>
      <c r="BL1038" s="319"/>
      <c r="BM1038" s="319"/>
      <c r="BN1038" s="319"/>
      <c r="BO1038" s="319"/>
      <c r="BP1038" s="319"/>
      <c r="BQ1038" s="319"/>
      <c r="BR1038" s="319"/>
      <c r="BS1038" s="319"/>
      <c r="BT1038" s="319"/>
      <c r="BU1038" s="319"/>
      <c r="BV1038" s="319"/>
      <c r="BW1038" s="319"/>
      <c r="BX1038" s="319"/>
      <c r="BY1038" s="319"/>
      <c r="BZ1038" s="319"/>
      <c r="CA1038" s="319"/>
      <c r="CB1038" s="319"/>
      <c r="CC1038" s="319"/>
      <c r="CD1038" s="319"/>
      <c r="CE1038" s="319"/>
      <c r="CF1038" s="319"/>
      <c r="CG1038" s="319"/>
      <c r="CH1038" s="319"/>
      <c r="CI1038" s="319"/>
      <c r="CJ1038" s="319"/>
      <c r="CK1038" s="319"/>
    </row>
    <row r="1039" spans="1:89" ht="12.75" hidden="1" customHeight="1">
      <c r="A1039" s="319">
        <v>7</v>
      </c>
      <c r="B1039" s="319"/>
      <c r="C1039" s="319" t="s">
        <v>2506</v>
      </c>
      <c r="D1039" s="319">
        <f>IF(C1125=FALSE,0,1)</f>
        <v>0</v>
      </c>
      <c r="E1039" s="319"/>
      <c r="F1039" s="319"/>
      <c r="G1039" s="319"/>
      <c r="H1039" s="319"/>
      <c r="I1039" s="319"/>
      <c r="J1039" s="319"/>
      <c r="K1039" s="319"/>
      <c r="L1039" s="319"/>
      <c r="M1039" s="319"/>
      <c r="N1039" s="319"/>
      <c r="O1039" s="319"/>
      <c r="P1039" s="319"/>
      <c r="Q1039" s="319"/>
      <c r="R1039" s="319"/>
      <c r="S1039" s="319"/>
      <c r="T1039" s="319"/>
      <c r="U1039" s="319"/>
      <c r="V1039" s="319"/>
      <c r="W1039" s="319"/>
      <c r="X1039" s="319"/>
      <c r="Y1039" s="319"/>
      <c r="Z1039" s="319"/>
      <c r="AA1039" s="319"/>
      <c r="AB1039" s="319"/>
      <c r="AC1039" s="319"/>
      <c r="AD1039" s="319"/>
      <c r="AE1039" s="319"/>
      <c r="AF1039" s="319"/>
      <c r="AG1039" s="319"/>
      <c r="AH1039" s="319"/>
      <c r="AI1039" s="319"/>
      <c r="AJ1039" s="319"/>
      <c r="AK1039" s="319"/>
      <c r="AL1039" s="319"/>
      <c r="AM1039" s="319"/>
      <c r="AN1039" s="319"/>
      <c r="AO1039" s="319"/>
      <c r="AP1039" s="319"/>
      <c r="AQ1039" s="319"/>
      <c r="AR1039" s="319"/>
      <c r="AS1039" s="319"/>
      <c r="AT1039" s="319"/>
      <c r="AU1039" s="319"/>
      <c r="AV1039" s="319"/>
      <c r="AW1039" s="319"/>
      <c r="AX1039" s="319"/>
      <c r="AY1039" s="319"/>
      <c r="AZ1039" s="319"/>
      <c r="BA1039" s="319"/>
      <c r="BB1039" s="319"/>
      <c r="BC1039" s="319"/>
      <c r="BD1039" s="319"/>
      <c r="BE1039" s="319"/>
      <c r="BF1039" s="319"/>
      <c r="BG1039" s="319"/>
      <c r="BH1039" s="319"/>
      <c r="BI1039" s="319"/>
      <c r="BJ1039" s="319"/>
      <c r="BK1039" s="319"/>
      <c r="BL1039" s="319"/>
      <c r="BM1039" s="319"/>
      <c r="BN1039" s="319"/>
      <c r="BO1039" s="319"/>
      <c r="BP1039" s="319"/>
      <c r="BQ1039" s="319"/>
      <c r="BR1039" s="319"/>
      <c r="BS1039" s="319"/>
      <c r="BT1039" s="319"/>
      <c r="BU1039" s="319"/>
      <c r="BV1039" s="319"/>
      <c r="BW1039" s="319"/>
      <c r="BX1039" s="319"/>
      <c r="BY1039" s="319"/>
      <c r="BZ1039" s="319"/>
      <c r="CA1039" s="319"/>
      <c r="CB1039" s="319"/>
      <c r="CC1039" s="319"/>
      <c r="CD1039" s="319"/>
      <c r="CE1039" s="319"/>
      <c r="CF1039" s="319"/>
      <c r="CG1039" s="319"/>
      <c r="CH1039" s="319"/>
      <c r="CI1039" s="319"/>
      <c r="CJ1039" s="319"/>
      <c r="CK1039" s="319"/>
    </row>
    <row r="1040" spans="1:89" ht="12.75" hidden="1" customHeight="1">
      <c r="A1040" s="319">
        <v>7</v>
      </c>
      <c r="B1040" s="319"/>
      <c r="C1040" s="319" t="s">
        <v>726</v>
      </c>
      <c r="D1040" s="319"/>
      <c r="E1040" s="319"/>
      <c r="F1040" s="319"/>
      <c r="G1040" s="319"/>
      <c r="H1040" s="319"/>
      <c r="I1040" s="319"/>
      <c r="J1040" s="319"/>
      <c r="K1040" s="319"/>
      <c r="L1040" s="319"/>
      <c r="M1040" s="319"/>
      <c r="N1040" s="319"/>
      <c r="O1040" s="319"/>
      <c r="P1040" s="319"/>
      <c r="Q1040" s="319"/>
      <c r="R1040" s="319"/>
      <c r="S1040" s="319"/>
      <c r="T1040" s="319"/>
      <c r="U1040" s="319"/>
      <c r="V1040" s="319"/>
      <c r="W1040" s="319"/>
      <c r="X1040" s="319"/>
      <c r="Y1040" s="319"/>
      <c r="Z1040" s="319"/>
      <c r="AA1040" s="319"/>
      <c r="AB1040" s="319"/>
      <c r="AC1040" s="319"/>
      <c r="AD1040" s="319"/>
      <c r="AE1040" s="319"/>
      <c r="AF1040" s="319"/>
      <c r="AG1040" s="319"/>
      <c r="AH1040" s="319"/>
      <c r="AI1040" s="319"/>
      <c r="AJ1040" s="319"/>
      <c r="AK1040" s="319"/>
      <c r="AL1040" s="319"/>
      <c r="AM1040" s="319"/>
      <c r="AN1040" s="319"/>
      <c r="AO1040" s="319"/>
      <c r="AP1040" s="319"/>
      <c r="AQ1040" s="319"/>
      <c r="AR1040" s="319"/>
      <c r="AS1040" s="319"/>
      <c r="AT1040" s="319"/>
      <c r="AU1040" s="319"/>
      <c r="AV1040" s="319"/>
      <c r="AW1040" s="319"/>
      <c r="AX1040" s="319"/>
      <c r="AY1040" s="319"/>
      <c r="AZ1040" s="319"/>
      <c r="BA1040" s="319"/>
      <c r="BB1040" s="319"/>
      <c r="BC1040" s="319"/>
      <c r="BD1040" s="319"/>
      <c r="BE1040" s="319"/>
      <c r="BF1040" s="319"/>
      <c r="BG1040" s="319"/>
      <c r="BH1040" s="319"/>
      <c r="BI1040" s="319"/>
      <c r="BJ1040" s="319"/>
      <c r="BK1040" s="319"/>
      <c r="BL1040" s="319"/>
      <c r="BM1040" s="319"/>
      <c r="BN1040" s="319"/>
      <c r="BO1040" s="319"/>
      <c r="BP1040" s="319"/>
      <c r="BQ1040" s="319"/>
      <c r="BR1040" s="319"/>
      <c r="BS1040" s="319"/>
      <c r="BT1040" s="319"/>
      <c r="BU1040" s="319"/>
      <c r="BV1040" s="319"/>
      <c r="BW1040" s="319"/>
      <c r="BX1040" s="319"/>
      <c r="BY1040" s="319"/>
      <c r="BZ1040" s="319"/>
      <c r="CA1040" s="319"/>
      <c r="CB1040" s="319"/>
      <c r="CC1040" s="319"/>
      <c r="CD1040" s="319"/>
      <c r="CE1040" s="319"/>
      <c r="CF1040" s="319"/>
      <c r="CG1040" s="319"/>
      <c r="CH1040" s="319"/>
      <c r="CI1040" s="319"/>
      <c r="CJ1040" s="319"/>
      <c r="CK1040" s="319"/>
    </row>
    <row r="1041" spans="1:89" ht="12.75" hidden="1" customHeight="1">
      <c r="A1041" s="319">
        <v>7</v>
      </c>
      <c r="B1041" s="319"/>
      <c r="C1041" s="319" t="s">
        <v>3442</v>
      </c>
      <c r="D1041" s="319"/>
      <c r="E1041" s="319"/>
      <c r="F1041" s="319"/>
      <c r="G1041" s="319"/>
      <c r="H1041" s="319"/>
      <c r="I1041" s="319"/>
      <c r="J1041" s="319"/>
      <c r="K1041" s="319"/>
      <c r="L1041" s="319"/>
      <c r="M1041" s="319"/>
      <c r="N1041" s="319"/>
      <c r="O1041" s="319"/>
      <c r="P1041" s="319"/>
      <c r="Q1041" s="319"/>
      <c r="R1041" s="319"/>
      <c r="S1041" s="319"/>
      <c r="T1041" s="319"/>
      <c r="U1041" s="319"/>
      <c r="V1041" s="319"/>
      <c r="W1041" s="319"/>
      <c r="X1041" s="319"/>
      <c r="Y1041" s="319"/>
      <c r="Z1041" s="319"/>
      <c r="AA1041" s="319"/>
      <c r="AB1041" s="319"/>
      <c r="AC1041" s="319"/>
      <c r="AD1041" s="319"/>
      <c r="AE1041" s="319"/>
      <c r="AF1041" s="319"/>
      <c r="AG1041" s="319"/>
      <c r="AH1041" s="319"/>
      <c r="AI1041" s="319"/>
      <c r="AJ1041" s="319"/>
      <c r="AK1041" s="319"/>
      <c r="AL1041" s="319"/>
      <c r="AM1041" s="319"/>
      <c r="AN1041" s="319"/>
      <c r="AO1041" s="319"/>
      <c r="AP1041" s="319"/>
      <c r="AQ1041" s="319"/>
      <c r="AR1041" s="319"/>
      <c r="AS1041" s="319"/>
      <c r="AT1041" s="319"/>
      <c r="AU1041" s="319"/>
      <c r="AV1041" s="319"/>
      <c r="AW1041" s="319"/>
      <c r="AX1041" s="319"/>
      <c r="AY1041" s="319"/>
      <c r="AZ1041" s="319"/>
      <c r="BA1041" s="319"/>
      <c r="BB1041" s="319"/>
      <c r="BC1041" s="319"/>
      <c r="BD1041" s="319"/>
      <c r="BE1041" s="319"/>
      <c r="BF1041" s="319"/>
      <c r="BG1041" s="319"/>
      <c r="BH1041" s="319"/>
      <c r="BI1041" s="319"/>
      <c r="BJ1041" s="319"/>
      <c r="BK1041" s="319"/>
      <c r="BL1041" s="319"/>
      <c r="BM1041" s="319"/>
      <c r="BN1041" s="319"/>
      <c r="BO1041" s="319"/>
      <c r="BP1041" s="319"/>
      <c r="BQ1041" s="319"/>
      <c r="BR1041" s="319"/>
      <c r="BS1041" s="319"/>
      <c r="BT1041" s="319"/>
      <c r="BU1041" s="319"/>
      <c r="BV1041" s="319"/>
      <c r="BW1041" s="319"/>
      <c r="BX1041" s="319"/>
      <c r="BY1041" s="319"/>
      <c r="BZ1041" s="319"/>
      <c r="CA1041" s="319"/>
      <c r="CB1041" s="319"/>
      <c r="CC1041" s="319"/>
      <c r="CD1041" s="319"/>
      <c r="CE1041" s="319"/>
      <c r="CF1041" s="319"/>
      <c r="CG1041" s="319"/>
      <c r="CH1041" s="319"/>
      <c r="CI1041" s="319"/>
      <c r="CJ1041" s="319"/>
      <c r="CK1041" s="319"/>
    </row>
    <row r="1042" spans="1:89" ht="12.75" hidden="1" customHeight="1">
      <c r="A1042" s="319">
        <v>8</v>
      </c>
      <c r="B1042" s="319"/>
      <c r="C1042" s="319" t="s">
        <v>2506</v>
      </c>
      <c r="D1042" s="319">
        <f>IF(C1126=FALSE,0,1)</f>
        <v>0</v>
      </c>
      <c r="E1042" s="319"/>
      <c r="F1042" s="319"/>
      <c r="G1042" s="319"/>
      <c r="H1042" s="319"/>
      <c r="I1042" s="319"/>
      <c r="J1042" s="319"/>
      <c r="K1042" s="319"/>
      <c r="L1042" s="319"/>
      <c r="M1042" s="319"/>
      <c r="N1042" s="319"/>
      <c r="O1042" s="319"/>
      <c r="P1042" s="319"/>
      <c r="Q1042" s="319"/>
      <c r="R1042" s="319"/>
      <c r="S1042" s="319"/>
      <c r="T1042" s="319"/>
      <c r="U1042" s="319"/>
      <c r="V1042" s="319"/>
      <c r="W1042" s="319"/>
      <c r="X1042" s="319"/>
      <c r="Y1042" s="319"/>
      <c r="Z1042" s="319"/>
      <c r="AA1042" s="319"/>
      <c r="AB1042" s="319"/>
      <c r="AC1042" s="319"/>
      <c r="AD1042" s="319"/>
      <c r="AE1042" s="319"/>
      <c r="AF1042" s="319"/>
      <c r="AG1042" s="319"/>
      <c r="AH1042" s="319"/>
      <c r="AI1042" s="319"/>
      <c r="AJ1042" s="319"/>
      <c r="AK1042" s="319"/>
      <c r="AL1042" s="319"/>
      <c r="AM1042" s="319"/>
      <c r="AN1042" s="319"/>
      <c r="AO1042" s="319"/>
      <c r="AP1042" s="319"/>
      <c r="AQ1042" s="319"/>
      <c r="AR1042" s="319"/>
      <c r="AS1042" s="319"/>
      <c r="AT1042" s="319"/>
      <c r="AU1042" s="319"/>
      <c r="AV1042" s="319"/>
      <c r="AW1042" s="319"/>
      <c r="AX1042" s="319"/>
      <c r="AY1042" s="319"/>
      <c r="AZ1042" s="319"/>
      <c r="BA1042" s="319"/>
      <c r="BB1042" s="319"/>
      <c r="BC1042" s="319"/>
      <c r="BD1042" s="319"/>
      <c r="BE1042" s="319"/>
      <c r="BF1042" s="319"/>
      <c r="BG1042" s="319"/>
      <c r="BH1042" s="319"/>
      <c r="BI1042" s="319"/>
      <c r="BJ1042" s="319"/>
      <c r="BK1042" s="319"/>
      <c r="BL1042" s="319"/>
      <c r="BM1042" s="319"/>
      <c r="BN1042" s="319"/>
      <c r="BO1042" s="319"/>
      <c r="BP1042" s="319"/>
      <c r="BQ1042" s="319"/>
      <c r="BR1042" s="319"/>
      <c r="BS1042" s="319"/>
      <c r="BT1042" s="319"/>
      <c r="BU1042" s="319"/>
      <c r="BV1042" s="319"/>
      <c r="BW1042" s="319"/>
      <c r="BX1042" s="319"/>
      <c r="BY1042" s="319"/>
      <c r="BZ1042" s="319"/>
      <c r="CA1042" s="319"/>
      <c r="CB1042" s="319"/>
      <c r="CC1042" s="319"/>
      <c r="CD1042" s="319"/>
      <c r="CE1042" s="319"/>
      <c r="CF1042" s="319"/>
      <c r="CG1042" s="319"/>
      <c r="CH1042" s="319"/>
      <c r="CI1042" s="319"/>
      <c r="CJ1042" s="319"/>
      <c r="CK1042" s="319"/>
    </row>
    <row r="1043" spans="1:89" ht="12.75" hidden="1" customHeight="1">
      <c r="A1043" s="319">
        <v>8</v>
      </c>
      <c r="B1043" s="319"/>
      <c r="C1043" s="319" t="s">
        <v>726</v>
      </c>
      <c r="D1043" s="319"/>
      <c r="E1043" s="319"/>
      <c r="F1043" s="319"/>
      <c r="G1043" s="319"/>
      <c r="H1043" s="319"/>
      <c r="I1043" s="319"/>
      <c r="J1043" s="319"/>
      <c r="K1043" s="319"/>
      <c r="L1043" s="319"/>
      <c r="M1043" s="319"/>
      <c r="N1043" s="319"/>
      <c r="O1043" s="319"/>
      <c r="P1043" s="319"/>
      <c r="Q1043" s="319"/>
      <c r="R1043" s="319"/>
      <c r="S1043" s="319"/>
      <c r="T1043" s="319"/>
      <c r="U1043" s="319"/>
      <c r="V1043" s="319"/>
      <c r="W1043" s="319"/>
      <c r="X1043" s="319"/>
      <c r="Y1043" s="319"/>
      <c r="Z1043" s="319"/>
      <c r="AA1043" s="319"/>
      <c r="AB1043" s="319"/>
      <c r="AC1043" s="319"/>
      <c r="AD1043" s="319"/>
      <c r="AE1043" s="319"/>
      <c r="AF1043" s="319"/>
      <c r="AG1043" s="319"/>
      <c r="AH1043" s="319"/>
      <c r="AI1043" s="319"/>
      <c r="AJ1043" s="319"/>
      <c r="AK1043" s="319"/>
      <c r="AL1043" s="319"/>
      <c r="AM1043" s="319"/>
      <c r="AN1043" s="319"/>
      <c r="AO1043" s="319"/>
      <c r="AP1043" s="319"/>
      <c r="AQ1043" s="319"/>
      <c r="AR1043" s="319"/>
      <c r="AS1043" s="319"/>
      <c r="AT1043" s="319"/>
      <c r="AU1043" s="319"/>
      <c r="AV1043" s="319"/>
      <c r="AW1043" s="319"/>
      <c r="AX1043" s="319"/>
      <c r="AY1043" s="319"/>
      <c r="AZ1043" s="319"/>
      <c r="BA1043" s="319"/>
      <c r="BB1043" s="319"/>
      <c r="BC1043" s="319"/>
      <c r="BD1043" s="319"/>
      <c r="BE1043" s="319"/>
      <c r="BF1043" s="319"/>
      <c r="BG1043" s="319"/>
      <c r="BH1043" s="319"/>
      <c r="BI1043" s="319"/>
      <c r="BJ1043" s="319"/>
      <c r="BK1043" s="319"/>
      <c r="BL1043" s="319"/>
      <c r="BM1043" s="319"/>
      <c r="BN1043" s="319"/>
      <c r="BO1043" s="319"/>
      <c r="BP1043" s="319"/>
      <c r="BQ1043" s="319"/>
      <c r="BR1043" s="319"/>
      <c r="BS1043" s="319"/>
      <c r="BT1043" s="319"/>
      <c r="BU1043" s="319"/>
      <c r="BV1043" s="319"/>
      <c r="BW1043" s="319"/>
      <c r="BX1043" s="319"/>
      <c r="BY1043" s="319"/>
      <c r="BZ1043" s="319"/>
      <c r="CA1043" s="319"/>
      <c r="CB1043" s="319"/>
      <c r="CC1043" s="319"/>
      <c r="CD1043" s="319"/>
      <c r="CE1043" s="319"/>
      <c r="CF1043" s="319"/>
      <c r="CG1043" s="319"/>
      <c r="CH1043" s="319"/>
      <c r="CI1043" s="319"/>
      <c r="CJ1043" s="319"/>
      <c r="CK1043" s="319"/>
    </row>
    <row r="1044" spans="1:89" ht="12.75" hidden="1" customHeight="1">
      <c r="A1044" s="319">
        <v>8</v>
      </c>
      <c r="B1044" s="319"/>
      <c r="C1044" s="319" t="s">
        <v>3442</v>
      </c>
      <c r="D1044" s="319"/>
      <c r="E1044" s="319"/>
      <c r="F1044" s="319"/>
      <c r="G1044" s="319"/>
      <c r="H1044" s="319"/>
      <c r="I1044" s="319"/>
      <c r="J1044" s="319"/>
      <c r="K1044" s="319"/>
      <c r="L1044" s="319"/>
      <c r="M1044" s="319"/>
      <c r="N1044" s="319"/>
      <c r="O1044" s="319"/>
      <c r="P1044" s="319"/>
      <c r="Q1044" s="319"/>
      <c r="R1044" s="319"/>
      <c r="S1044" s="319"/>
      <c r="T1044" s="319"/>
      <c r="U1044" s="319"/>
      <c r="V1044" s="319"/>
      <c r="W1044" s="319"/>
      <c r="X1044" s="319"/>
      <c r="Y1044" s="319"/>
      <c r="Z1044" s="319"/>
      <c r="AA1044" s="319"/>
      <c r="AB1044" s="319"/>
      <c r="AC1044" s="319"/>
      <c r="AD1044" s="319"/>
      <c r="AE1044" s="319"/>
      <c r="AF1044" s="319"/>
      <c r="AG1044" s="319"/>
      <c r="AH1044" s="319"/>
      <c r="AI1044" s="319"/>
      <c r="AJ1044" s="319"/>
      <c r="AK1044" s="319"/>
      <c r="AL1044" s="319"/>
      <c r="AM1044" s="319"/>
      <c r="AN1044" s="319"/>
      <c r="AO1044" s="319"/>
      <c r="AP1044" s="319"/>
      <c r="AQ1044" s="319"/>
      <c r="AR1044" s="319"/>
      <c r="AS1044" s="319"/>
      <c r="AT1044" s="319"/>
      <c r="AU1044" s="319"/>
      <c r="AV1044" s="319"/>
      <c r="AW1044" s="319"/>
      <c r="AX1044" s="319"/>
      <c r="AY1044" s="319"/>
      <c r="AZ1044" s="319"/>
      <c r="BA1044" s="319"/>
      <c r="BB1044" s="319"/>
      <c r="BC1044" s="319"/>
      <c r="BD1044" s="319"/>
      <c r="BE1044" s="319"/>
      <c r="BF1044" s="319"/>
      <c r="BG1044" s="319"/>
      <c r="BH1044" s="319"/>
      <c r="BI1044" s="319"/>
      <c r="BJ1044" s="319"/>
      <c r="BK1044" s="319"/>
      <c r="BL1044" s="319"/>
      <c r="BM1044" s="319"/>
      <c r="BN1044" s="319"/>
      <c r="BO1044" s="319"/>
      <c r="BP1044" s="319"/>
      <c r="BQ1044" s="319"/>
      <c r="BR1044" s="319"/>
      <c r="BS1044" s="319"/>
      <c r="BT1044" s="319"/>
      <c r="BU1044" s="319"/>
      <c r="BV1044" s="319"/>
      <c r="BW1044" s="319"/>
      <c r="BX1044" s="319"/>
      <c r="BY1044" s="319"/>
      <c r="BZ1044" s="319"/>
      <c r="CA1044" s="319"/>
      <c r="CB1044" s="319"/>
      <c r="CC1044" s="319"/>
      <c r="CD1044" s="319"/>
      <c r="CE1044" s="319"/>
      <c r="CF1044" s="319"/>
      <c r="CG1044" s="319"/>
      <c r="CH1044" s="319"/>
      <c r="CI1044" s="319"/>
      <c r="CJ1044" s="319"/>
      <c r="CK1044" s="319"/>
    </row>
    <row r="1045" spans="1:89" ht="12.75" hidden="1" customHeight="1">
      <c r="A1045" s="319">
        <v>9</v>
      </c>
      <c r="B1045" s="319"/>
      <c r="C1045" s="319" t="s">
        <v>2506</v>
      </c>
      <c r="D1045" s="319">
        <f>IF(C1127=FALSE,0,1)</f>
        <v>0</v>
      </c>
      <c r="E1045" s="319"/>
      <c r="F1045" s="319"/>
      <c r="G1045" s="319"/>
      <c r="H1045" s="319"/>
      <c r="I1045" s="319"/>
      <c r="J1045" s="319"/>
      <c r="K1045" s="319"/>
      <c r="L1045" s="319"/>
      <c r="M1045" s="319"/>
      <c r="N1045" s="319"/>
      <c r="O1045" s="319"/>
      <c r="P1045" s="319"/>
      <c r="Q1045" s="319"/>
      <c r="R1045" s="319"/>
      <c r="S1045" s="319"/>
      <c r="T1045" s="319"/>
      <c r="U1045" s="319"/>
      <c r="V1045" s="319"/>
      <c r="W1045" s="319"/>
      <c r="X1045" s="319"/>
      <c r="Y1045" s="319"/>
      <c r="Z1045" s="319"/>
      <c r="AA1045" s="319"/>
      <c r="AB1045" s="319"/>
      <c r="AC1045" s="319"/>
      <c r="AD1045" s="319"/>
      <c r="AE1045" s="319"/>
      <c r="AF1045" s="319"/>
      <c r="AG1045" s="319"/>
      <c r="AH1045" s="319"/>
      <c r="AI1045" s="319"/>
      <c r="AJ1045" s="319"/>
      <c r="AK1045" s="319"/>
      <c r="AL1045" s="319"/>
      <c r="AM1045" s="319"/>
      <c r="AN1045" s="319"/>
      <c r="AO1045" s="319"/>
      <c r="AP1045" s="319"/>
      <c r="AQ1045" s="319"/>
      <c r="AR1045" s="319"/>
      <c r="AS1045" s="319"/>
      <c r="AT1045" s="319"/>
      <c r="AU1045" s="319"/>
      <c r="AV1045" s="319"/>
      <c r="AW1045" s="319"/>
      <c r="AX1045" s="319"/>
      <c r="AY1045" s="319"/>
      <c r="AZ1045" s="319"/>
      <c r="BA1045" s="319"/>
      <c r="BB1045" s="319"/>
      <c r="BC1045" s="319"/>
      <c r="BD1045" s="319"/>
      <c r="BE1045" s="319"/>
      <c r="BF1045" s="319"/>
      <c r="BG1045" s="319"/>
      <c r="BH1045" s="319"/>
      <c r="BI1045" s="319"/>
      <c r="BJ1045" s="319"/>
      <c r="BK1045" s="319"/>
      <c r="BL1045" s="319"/>
      <c r="BM1045" s="319"/>
      <c r="BN1045" s="319"/>
      <c r="BO1045" s="319"/>
      <c r="BP1045" s="319"/>
      <c r="BQ1045" s="319"/>
      <c r="BR1045" s="319"/>
      <c r="BS1045" s="319"/>
      <c r="BT1045" s="319"/>
      <c r="BU1045" s="319"/>
      <c r="BV1045" s="319"/>
      <c r="BW1045" s="319"/>
      <c r="BX1045" s="319"/>
      <c r="BY1045" s="319"/>
      <c r="BZ1045" s="319"/>
      <c r="CA1045" s="319"/>
      <c r="CB1045" s="319"/>
      <c r="CC1045" s="319"/>
      <c r="CD1045" s="319"/>
      <c r="CE1045" s="319"/>
      <c r="CF1045" s="319"/>
      <c r="CG1045" s="319"/>
      <c r="CH1045" s="319"/>
      <c r="CI1045" s="319"/>
      <c r="CJ1045" s="319"/>
      <c r="CK1045" s="319"/>
    </row>
    <row r="1046" spans="1:89" ht="12.75" hidden="1" customHeight="1">
      <c r="A1046" s="319">
        <v>9</v>
      </c>
      <c r="B1046" s="319"/>
      <c r="C1046" s="319" t="s">
        <v>726</v>
      </c>
      <c r="D1046" s="319"/>
      <c r="E1046" s="319"/>
      <c r="F1046" s="319"/>
      <c r="G1046" s="319"/>
      <c r="H1046" s="319"/>
      <c r="I1046" s="319"/>
      <c r="J1046" s="319"/>
      <c r="K1046" s="319"/>
      <c r="L1046" s="319"/>
      <c r="M1046" s="319"/>
      <c r="N1046" s="319"/>
      <c r="O1046" s="319"/>
      <c r="P1046" s="319"/>
      <c r="Q1046" s="319"/>
      <c r="R1046" s="319"/>
      <c r="S1046" s="319"/>
      <c r="T1046" s="319"/>
      <c r="U1046" s="319"/>
      <c r="V1046" s="319"/>
      <c r="W1046" s="319"/>
      <c r="X1046" s="319"/>
      <c r="Y1046" s="319"/>
      <c r="Z1046" s="319"/>
      <c r="AA1046" s="319"/>
      <c r="AB1046" s="319"/>
      <c r="AC1046" s="319"/>
      <c r="AD1046" s="319"/>
      <c r="AE1046" s="319"/>
      <c r="AF1046" s="319"/>
      <c r="AG1046" s="319"/>
      <c r="AH1046" s="319"/>
      <c r="AI1046" s="319"/>
      <c r="AJ1046" s="319"/>
      <c r="AK1046" s="319"/>
      <c r="AL1046" s="319"/>
      <c r="AM1046" s="319"/>
      <c r="AN1046" s="319"/>
      <c r="AO1046" s="319"/>
      <c r="AP1046" s="319"/>
      <c r="AQ1046" s="319"/>
      <c r="AR1046" s="319"/>
      <c r="AS1046" s="319"/>
      <c r="AT1046" s="319"/>
      <c r="AU1046" s="319"/>
      <c r="AV1046" s="319"/>
      <c r="AW1046" s="319"/>
      <c r="AX1046" s="319"/>
      <c r="AY1046" s="319"/>
      <c r="AZ1046" s="319"/>
      <c r="BA1046" s="319"/>
      <c r="BB1046" s="319"/>
      <c r="BC1046" s="319"/>
      <c r="BD1046" s="319"/>
      <c r="BE1046" s="319"/>
      <c r="BF1046" s="319"/>
      <c r="BG1046" s="319"/>
      <c r="BH1046" s="319"/>
      <c r="BI1046" s="319"/>
      <c r="BJ1046" s="319"/>
      <c r="BK1046" s="319"/>
      <c r="BL1046" s="319"/>
      <c r="BM1046" s="319"/>
      <c r="BN1046" s="319"/>
      <c r="BO1046" s="319"/>
      <c r="BP1046" s="319"/>
      <c r="BQ1046" s="319"/>
      <c r="BR1046" s="319"/>
      <c r="BS1046" s="319"/>
      <c r="BT1046" s="319"/>
      <c r="BU1046" s="319"/>
      <c r="BV1046" s="319"/>
      <c r="BW1046" s="319"/>
      <c r="BX1046" s="319"/>
      <c r="BY1046" s="319"/>
      <c r="BZ1046" s="319"/>
      <c r="CA1046" s="319"/>
      <c r="CB1046" s="319"/>
      <c r="CC1046" s="319"/>
      <c r="CD1046" s="319"/>
      <c r="CE1046" s="319"/>
      <c r="CF1046" s="319"/>
      <c r="CG1046" s="319"/>
      <c r="CH1046" s="319"/>
      <c r="CI1046" s="319"/>
      <c r="CJ1046" s="319"/>
      <c r="CK1046" s="319"/>
    </row>
    <row r="1047" spans="1:89" ht="12.75" hidden="1" customHeight="1">
      <c r="A1047" s="319">
        <v>9</v>
      </c>
      <c r="B1047" s="319"/>
      <c r="C1047" s="319" t="s">
        <v>3442</v>
      </c>
      <c r="D1047" s="319"/>
      <c r="E1047" s="319"/>
      <c r="F1047" s="319"/>
      <c r="G1047" s="319"/>
      <c r="H1047" s="319"/>
      <c r="I1047" s="319"/>
      <c r="J1047" s="319"/>
      <c r="K1047" s="319"/>
      <c r="L1047" s="319"/>
      <c r="M1047" s="319"/>
      <c r="N1047" s="319"/>
      <c r="O1047" s="319"/>
      <c r="P1047" s="319"/>
      <c r="Q1047" s="319"/>
      <c r="R1047" s="319"/>
      <c r="S1047" s="319"/>
      <c r="T1047" s="319"/>
      <c r="U1047" s="319"/>
      <c r="V1047" s="319"/>
      <c r="W1047" s="319"/>
      <c r="X1047" s="319"/>
      <c r="Y1047" s="319"/>
      <c r="Z1047" s="319"/>
      <c r="AA1047" s="319"/>
      <c r="AB1047" s="319"/>
      <c r="AC1047" s="319"/>
      <c r="AD1047" s="319"/>
      <c r="AE1047" s="319"/>
      <c r="AF1047" s="319"/>
      <c r="AG1047" s="319"/>
      <c r="AH1047" s="319"/>
      <c r="AI1047" s="319"/>
      <c r="AJ1047" s="319"/>
      <c r="AK1047" s="319"/>
      <c r="AL1047" s="319"/>
      <c r="AM1047" s="319"/>
      <c r="AN1047" s="319"/>
      <c r="AO1047" s="319"/>
      <c r="AP1047" s="319"/>
      <c r="AQ1047" s="319"/>
      <c r="AR1047" s="319"/>
      <c r="AS1047" s="319"/>
      <c r="AT1047" s="319"/>
      <c r="AU1047" s="319"/>
      <c r="AV1047" s="319"/>
      <c r="AW1047" s="319"/>
      <c r="AX1047" s="319"/>
      <c r="AY1047" s="319"/>
      <c r="AZ1047" s="319"/>
      <c r="BA1047" s="319"/>
      <c r="BB1047" s="319"/>
      <c r="BC1047" s="319"/>
      <c r="BD1047" s="319"/>
      <c r="BE1047" s="319"/>
      <c r="BF1047" s="319"/>
      <c r="BG1047" s="319"/>
      <c r="BH1047" s="319"/>
      <c r="BI1047" s="319"/>
      <c r="BJ1047" s="319"/>
      <c r="BK1047" s="319"/>
      <c r="BL1047" s="319"/>
      <c r="BM1047" s="319"/>
      <c r="BN1047" s="319"/>
      <c r="BO1047" s="319"/>
      <c r="BP1047" s="319"/>
      <c r="BQ1047" s="319"/>
      <c r="BR1047" s="319"/>
      <c r="BS1047" s="319"/>
      <c r="BT1047" s="319"/>
      <c r="BU1047" s="319"/>
      <c r="BV1047" s="319"/>
      <c r="BW1047" s="319"/>
      <c r="BX1047" s="319"/>
      <c r="BY1047" s="319"/>
      <c r="BZ1047" s="319"/>
      <c r="CA1047" s="319"/>
      <c r="CB1047" s="319"/>
      <c r="CC1047" s="319"/>
      <c r="CD1047" s="319"/>
      <c r="CE1047" s="319"/>
      <c r="CF1047" s="319"/>
      <c r="CG1047" s="319"/>
      <c r="CH1047" s="319"/>
      <c r="CI1047" s="319"/>
      <c r="CJ1047" s="319"/>
      <c r="CK1047" s="319"/>
    </row>
    <row r="1048" spans="1:89" ht="12.75" hidden="1" customHeight="1">
      <c r="A1048" s="319">
        <v>10</v>
      </c>
      <c r="B1048" s="319"/>
      <c r="C1048" s="319" t="s">
        <v>2506</v>
      </c>
      <c r="D1048" s="319">
        <f>IF(C1128=FALSE,0,1)</f>
        <v>0</v>
      </c>
      <c r="E1048" s="319"/>
      <c r="F1048" s="319"/>
      <c r="G1048" s="319"/>
      <c r="H1048" s="319"/>
      <c r="I1048" s="319"/>
      <c r="J1048" s="319"/>
      <c r="K1048" s="319"/>
      <c r="L1048" s="319"/>
      <c r="M1048" s="319"/>
      <c r="N1048" s="319"/>
      <c r="O1048" s="319"/>
      <c r="P1048" s="319"/>
      <c r="Q1048" s="319"/>
      <c r="R1048" s="319"/>
      <c r="S1048" s="319"/>
      <c r="T1048" s="319"/>
      <c r="U1048" s="319"/>
      <c r="V1048" s="319"/>
      <c r="W1048" s="319"/>
      <c r="X1048" s="319"/>
      <c r="Y1048" s="319"/>
      <c r="Z1048" s="319"/>
      <c r="AA1048" s="319"/>
      <c r="AB1048" s="319"/>
      <c r="AC1048" s="319"/>
      <c r="AD1048" s="319"/>
      <c r="AE1048" s="319"/>
      <c r="AF1048" s="319"/>
      <c r="AG1048" s="319"/>
      <c r="AH1048" s="319"/>
      <c r="AI1048" s="319"/>
      <c r="AJ1048" s="319"/>
      <c r="AK1048" s="319"/>
      <c r="AL1048" s="319"/>
      <c r="AM1048" s="319"/>
      <c r="AN1048" s="319"/>
      <c r="AO1048" s="319"/>
      <c r="AP1048" s="319"/>
      <c r="AQ1048" s="319"/>
      <c r="AR1048" s="319"/>
      <c r="AS1048" s="319"/>
      <c r="AT1048" s="319"/>
      <c r="AU1048" s="319"/>
      <c r="AV1048" s="319"/>
      <c r="AW1048" s="319"/>
      <c r="AX1048" s="319"/>
      <c r="AY1048" s="319"/>
      <c r="AZ1048" s="319"/>
      <c r="BA1048" s="319"/>
      <c r="BB1048" s="319"/>
      <c r="BC1048" s="319"/>
      <c r="BD1048" s="319"/>
      <c r="BE1048" s="319"/>
      <c r="BF1048" s="319"/>
      <c r="BG1048" s="319"/>
      <c r="BH1048" s="319"/>
      <c r="BI1048" s="319"/>
      <c r="BJ1048" s="319"/>
      <c r="BK1048" s="319"/>
      <c r="BL1048" s="319"/>
      <c r="BM1048" s="319"/>
      <c r="BN1048" s="319"/>
      <c r="BO1048" s="319"/>
      <c r="BP1048" s="319"/>
      <c r="BQ1048" s="319"/>
      <c r="BR1048" s="319"/>
      <c r="BS1048" s="319"/>
      <c r="BT1048" s="319"/>
      <c r="BU1048" s="319"/>
      <c r="BV1048" s="319"/>
      <c r="BW1048" s="319"/>
      <c r="BX1048" s="319"/>
      <c r="BY1048" s="319"/>
      <c r="BZ1048" s="319"/>
      <c r="CA1048" s="319"/>
      <c r="CB1048" s="319"/>
      <c r="CC1048" s="319"/>
      <c r="CD1048" s="319"/>
      <c r="CE1048" s="319"/>
      <c r="CF1048" s="319"/>
      <c r="CG1048" s="319"/>
      <c r="CH1048" s="319"/>
      <c r="CI1048" s="319"/>
      <c r="CJ1048" s="319"/>
      <c r="CK1048" s="319"/>
    </row>
    <row r="1049" spans="1:89" ht="12.75" hidden="1" customHeight="1">
      <c r="A1049" s="319">
        <v>10</v>
      </c>
      <c r="B1049" s="319"/>
      <c r="C1049" s="319" t="s">
        <v>726</v>
      </c>
      <c r="D1049" s="319"/>
      <c r="E1049" s="319"/>
      <c r="F1049" s="319"/>
      <c r="G1049" s="319"/>
      <c r="H1049" s="319"/>
      <c r="I1049" s="319"/>
      <c r="J1049" s="319"/>
      <c r="K1049" s="319"/>
      <c r="L1049" s="319"/>
      <c r="M1049" s="319"/>
      <c r="N1049" s="319"/>
      <c r="O1049" s="319"/>
      <c r="P1049" s="319"/>
      <c r="Q1049" s="319"/>
      <c r="R1049" s="319"/>
      <c r="S1049" s="319"/>
      <c r="T1049" s="319"/>
      <c r="U1049" s="319"/>
      <c r="V1049" s="319"/>
      <c r="W1049" s="319"/>
      <c r="X1049" s="319"/>
      <c r="Y1049" s="319"/>
      <c r="Z1049" s="319"/>
      <c r="AA1049" s="319"/>
      <c r="AB1049" s="319"/>
      <c r="AC1049" s="319"/>
      <c r="AD1049" s="319"/>
      <c r="AE1049" s="319"/>
      <c r="AF1049" s="319"/>
      <c r="AG1049" s="319"/>
      <c r="AH1049" s="319"/>
      <c r="AI1049" s="319"/>
      <c r="AJ1049" s="319"/>
      <c r="AK1049" s="319"/>
      <c r="AL1049" s="319"/>
      <c r="AM1049" s="319"/>
      <c r="AN1049" s="319"/>
      <c r="AO1049" s="319"/>
      <c r="AP1049" s="319"/>
      <c r="AQ1049" s="319"/>
      <c r="AR1049" s="319"/>
      <c r="AS1049" s="319"/>
      <c r="AT1049" s="319"/>
      <c r="AU1049" s="319"/>
      <c r="AV1049" s="319"/>
      <c r="AW1049" s="319"/>
      <c r="AX1049" s="319"/>
      <c r="AY1049" s="319"/>
      <c r="AZ1049" s="319"/>
      <c r="BA1049" s="319"/>
      <c r="BB1049" s="319"/>
      <c r="BC1049" s="319"/>
      <c r="BD1049" s="319"/>
      <c r="BE1049" s="319"/>
      <c r="BF1049" s="319"/>
      <c r="BG1049" s="319"/>
      <c r="BH1049" s="319"/>
      <c r="BI1049" s="319"/>
      <c r="BJ1049" s="319"/>
      <c r="BK1049" s="319"/>
      <c r="BL1049" s="319"/>
      <c r="BM1049" s="319"/>
      <c r="BN1049" s="319"/>
      <c r="BO1049" s="319"/>
      <c r="BP1049" s="319"/>
      <c r="BQ1049" s="319"/>
      <c r="BR1049" s="319"/>
      <c r="BS1049" s="319"/>
      <c r="BT1049" s="319"/>
      <c r="BU1049" s="319"/>
      <c r="BV1049" s="319"/>
      <c r="BW1049" s="319"/>
      <c r="BX1049" s="319"/>
      <c r="BY1049" s="319"/>
      <c r="BZ1049" s="319"/>
      <c r="CA1049" s="319"/>
      <c r="CB1049" s="319"/>
      <c r="CC1049" s="319"/>
      <c r="CD1049" s="319"/>
      <c r="CE1049" s="319"/>
      <c r="CF1049" s="319"/>
      <c r="CG1049" s="319"/>
      <c r="CH1049" s="319"/>
      <c r="CI1049" s="319"/>
      <c r="CJ1049" s="319"/>
      <c r="CK1049" s="319"/>
    </row>
    <row r="1050" spans="1:89" ht="12.75" hidden="1" customHeight="1">
      <c r="A1050" s="319">
        <v>10</v>
      </c>
      <c r="B1050" s="319"/>
      <c r="C1050" s="319" t="s">
        <v>3442</v>
      </c>
      <c r="D1050" s="319"/>
      <c r="E1050" s="319"/>
      <c r="F1050" s="319"/>
      <c r="G1050" s="319"/>
      <c r="H1050" s="319"/>
      <c r="I1050" s="319"/>
      <c r="J1050" s="319"/>
      <c r="K1050" s="319"/>
      <c r="L1050" s="319"/>
      <c r="M1050" s="319"/>
      <c r="N1050" s="319"/>
      <c r="O1050" s="319"/>
      <c r="P1050" s="319"/>
      <c r="Q1050" s="319"/>
      <c r="R1050" s="319"/>
      <c r="S1050" s="319"/>
      <c r="T1050" s="319"/>
      <c r="U1050" s="319"/>
      <c r="V1050" s="319"/>
      <c r="W1050" s="319"/>
      <c r="X1050" s="319"/>
      <c r="Y1050" s="319"/>
      <c r="Z1050" s="319"/>
      <c r="AA1050" s="319"/>
      <c r="AB1050" s="319"/>
      <c r="AC1050" s="319"/>
      <c r="AD1050" s="319"/>
      <c r="AE1050" s="319"/>
      <c r="AF1050" s="319"/>
      <c r="AG1050" s="319"/>
      <c r="AH1050" s="319"/>
      <c r="AI1050" s="319"/>
      <c r="AJ1050" s="319"/>
      <c r="AK1050" s="319"/>
      <c r="AL1050" s="319"/>
      <c r="AM1050" s="319"/>
      <c r="AN1050" s="319"/>
      <c r="AO1050" s="319"/>
      <c r="AP1050" s="319"/>
      <c r="AQ1050" s="319"/>
      <c r="AR1050" s="319"/>
      <c r="AS1050" s="319"/>
      <c r="AT1050" s="319"/>
      <c r="AU1050" s="319"/>
      <c r="AV1050" s="319"/>
      <c r="AW1050" s="319"/>
      <c r="AX1050" s="319"/>
      <c r="AY1050" s="319"/>
      <c r="AZ1050" s="319"/>
      <c r="BA1050" s="319"/>
      <c r="BB1050" s="319"/>
      <c r="BC1050" s="319"/>
      <c r="BD1050" s="319"/>
      <c r="BE1050" s="319"/>
      <c r="BF1050" s="319"/>
      <c r="BG1050" s="319"/>
      <c r="BH1050" s="319"/>
      <c r="BI1050" s="319"/>
      <c r="BJ1050" s="319"/>
      <c r="BK1050" s="319"/>
      <c r="BL1050" s="319"/>
      <c r="BM1050" s="319"/>
      <c r="BN1050" s="319"/>
      <c r="BO1050" s="319"/>
      <c r="BP1050" s="319"/>
      <c r="BQ1050" s="319"/>
      <c r="BR1050" s="319"/>
      <c r="BS1050" s="319"/>
      <c r="BT1050" s="319"/>
      <c r="BU1050" s="319"/>
      <c r="BV1050" s="319"/>
      <c r="BW1050" s="319"/>
      <c r="BX1050" s="319"/>
      <c r="BY1050" s="319"/>
      <c r="BZ1050" s="319"/>
      <c r="CA1050" s="319"/>
      <c r="CB1050" s="319"/>
      <c r="CC1050" s="319"/>
      <c r="CD1050" s="319"/>
      <c r="CE1050" s="319"/>
      <c r="CF1050" s="319"/>
      <c r="CG1050" s="319"/>
      <c r="CH1050" s="319"/>
      <c r="CI1050" s="319"/>
      <c r="CJ1050" s="319"/>
      <c r="CK1050" s="319"/>
    </row>
    <row r="1051" spans="1:89" ht="12.75" hidden="1" customHeight="1">
      <c r="A1051" s="319">
        <v>11</v>
      </c>
      <c r="B1051" s="319"/>
      <c r="C1051" s="319" t="s">
        <v>2506</v>
      </c>
      <c r="D1051" s="319">
        <f>IF(C1129=FALSE,0,1)</f>
        <v>0</v>
      </c>
      <c r="E1051" s="319"/>
      <c r="F1051" s="319"/>
      <c r="G1051" s="319"/>
      <c r="H1051" s="319"/>
      <c r="I1051" s="319"/>
      <c r="J1051" s="319"/>
      <c r="K1051" s="319"/>
      <c r="L1051" s="319"/>
      <c r="M1051" s="319"/>
      <c r="N1051" s="319"/>
      <c r="O1051" s="319"/>
      <c r="P1051" s="319"/>
      <c r="Q1051" s="319"/>
      <c r="R1051" s="319"/>
      <c r="S1051" s="319"/>
      <c r="T1051" s="319"/>
      <c r="U1051" s="319"/>
      <c r="V1051" s="319"/>
      <c r="W1051" s="319"/>
      <c r="X1051" s="319"/>
      <c r="Y1051" s="319"/>
      <c r="Z1051" s="319"/>
      <c r="AA1051" s="319"/>
      <c r="AB1051" s="319"/>
      <c r="AC1051" s="319"/>
      <c r="AD1051" s="319"/>
      <c r="AE1051" s="319"/>
      <c r="AF1051" s="319"/>
      <c r="AG1051" s="319"/>
      <c r="AH1051" s="319"/>
      <c r="AI1051" s="319"/>
      <c r="AJ1051" s="319"/>
      <c r="AK1051" s="319"/>
      <c r="AL1051" s="319"/>
      <c r="AM1051" s="319"/>
      <c r="AN1051" s="319"/>
      <c r="AO1051" s="319"/>
      <c r="AP1051" s="319"/>
      <c r="AQ1051" s="319"/>
      <c r="AR1051" s="319"/>
      <c r="AS1051" s="319"/>
      <c r="AT1051" s="319"/>
      <c r="AU1051" s="319"/>
      <c r="AV1051" s="319"/>
      <c r="AW1051" s="319"/>
      <c r="AX1051" s="319"/>
      <c r="AY1051" s="319"/>
      <c r="AZ1051" s="319"/>
      <c r="BA1051" s="319"/>
      <c r="BB1051" s="319"/>
      <c r="BC1051" s="319"/>
      <c r="BD1051" s="319"/>
      <c r="BE1051" s="319"/>
      <c r="BF1051" s="319"/>
      <c r="BG1051" s="319"/>
      <c r="BH1051" s="319"/>
      <c r="BI1051" s="319"/>
      <c r="BJ1051" s="319"/>
      <c r="BK1051" s="319"/>
      <c r="BL1051" s="319"/>
      <c r="BM1051" s="319"/>
      <c r="BN1051" s="319"/>
      <c r="BO1051" s="319"/>
      <c r="BP1051" s="319"/>
      <c r="BQ1051" s="319"/>
      <c r="BR1051" s="319"/>
      <c r="BS1051" s="319"/>
      <c r="BT1051" s="319"/>
      <c r="BU1051" s="319"/>
      <c r="BV1051" s="319"/>
      <c r="BW1051" s="319"/>
      <c r="BX1051" s="319"/>
      <c r="BY1051" s="319"/>
      <c r="BZ1051" s="319"/>
      <c r="CA1051" s="319"/>
      <c r="CB1051" s="319"/>
      <c r="CC1051" s="319"/>
      <c r="CD1051" s="319"/>
      <c r="CE1051" s="319"/>
      <c r="CF1051" s="319"/>
      <c r="CG1051" s="319"/>
      <c r="CH1051" s="319"/>
      <c r="CI1051" s="319"/>
      <c r="CJ1051" s="319"/>
      <c r="CK1051" s="319"/>
    </row>
    <row r="1052" spans="1:89" ht="12.75" hidden="1" customHeight="1">
      <c r="A1052" s="319">
        <v>11</v>
      </c>
      <c r="B1052" s="319"/>
      <c r="C1052" s="319" t="s">
        <v>726</v>
      </c>
      <c r="D1052" s="319"/>
      <c r="E1052" s="319"/>
      <c r="F1052" s="319"/>
      <c r="G1052" s="319"/>
      <c r="H1052" s="319"/>
      <c r="I1052" s="319"/>
      <c r="J1052" s="319"/>
      <c r="K1052" s="319"/>
      <c r="L1052" s="319"/>
      <c r="M1052" s="319"/>
      <c r="N1052" s="319"/>
      <c r="O1052" s="319"/>
      <c r="P1052" s="319"/>
      <c r="Q1052" s="319"/>
      <c r="R1052" s="319"/>
      <c r="S1052" s="319"/>
      <c r="T1052" s="319"/>
      <c r="U1052" s="319"/>
      <c r="V1052" s="319"/>
      <c r="W1052" s="319"/>
      <c r="X1052" s="319"/>
      <c r="Y1052" s="319"/>
      <c r="Z1052" s="319"/>
      <c r="AA1052" s="319"/>
      <c r="AB1052" s="319"/>
      <c r="AC1052" s="319"/>
      <c r="AD1052" s="319"/>
      <c r="AE1052" s="319"/>
      <c r="AF1052" s="319"/>
      <c r="AG1052" s="319"/>
      <c r="AH1052" s="319"/>
      <c r="AI1052" s="319"/>
      <c r="AJ1052" s="319"/>
      <c r="AK1052" s="319"/>
      <c r="AL1052" s="319"/>
      <c r="AM1052" s="319"/>
      <c r="AN1052" s="319"/>
      <c r="AO1052" s="319"/>
      <c r="AP1052" s="319"/>
      <c r="AQ1052" s="319"/>
      <c r="AR1052" s="319"/>
      <c r="AS1052" s="319"/>
      <c r="AT1052" s="319"/>
      <c r="AU1052" s="319"/>
      <c r="AV1052" s="319"/>
      <c r="AW1052" s="319"/>
      <c r="AX1052" s="319"/>
      <c r="AY1052" s="319"/>
      <c r="AZ1052" s="319"/>
      <c r="BA1052" s="319"/>
      <c r="BB1052" s="319"/>
      <c r="BC1052" s="319"/>
      <c r="BD1052" s="319"/>
      <c r="BE1052" s="319"/>
      <c r="BF1052" s="319"/>
      <c r="BG1052" s="319"/>
      <c r="BH1052" s="319"/>
      <c r="BI1052" s="319"/>
      <c r="BJ1052" s="319"/>
      <c r="BK1052" s="319"/>
      <c r="BL1052" s="319"/>
      <c r="BM1052" s="319"/>
      <c r="BN1052" s="319"/>
      <c r="BO1052" s="319"/>
      <c r="BP1052" s="319"/>
      <c r="BQ1052" s="319"/>
      <c r="BR1052" s="319"/>
      <c r="BS1052" s="319"/>
      <c r="BT1052" s="319"/>
      <c r="BU1052" s="319"/>
      <c r="BV1052" s="319"/>
      <c r="BW1052" s="319"/>
      <c r="BX1052" s="319"/>
      <c r="BY1052" s="319"/>
      <c r="BZ1052" s="319"/>
      <c r="CA1052" s="319"/>
      <c r="CB1052" s="319"/>
      <c r="CC1052" s="319"/>
      <c r="CD1052" s="319"/>
      <c r="CE1052" s="319"/>
      <c r="CF1052" s="319"/>
      <c r="CG1052" s="319"/>
      <c r="CH1052" s="319"/>
      <c r="CI1052" s="319"/>
      <c r="CJ1052" s="319"/>
      <c r="CK1052" s="319"/>
    </row>
    <row r="1053" spans="1:89" ht="12.75" hidden="1" customHeight="1">
      <c r="A1053" s="319">
        <v>11</v>
      </c>
      <c r="B1053" s="319"/>
      <c r="C1053" s="319" t="s">
        <v>3442</v>
      </c>
      <c r="D1053" s="319"/>
      <c r="E1053" s="319"/>
      <c r="F1053" s="319"/>
      <c r="G1053" s="319"/>
      <c r="H1053" s="319"/>
      <c r="I1053" s="319"/>
      <c r="J1053" s="319"/>
      <c r="K1053" s="319"/>
      <c r="L1053" s="319"/>
      <c r="M1053" s="319"/>
      <c r="N1053" s="319"/>
      <c r="O1053" s="319"/>
      <c r="P1053" s="319"/>
      <c r="Q1053" s="319"/>
      <c r="R1053" s="319"/>
      <c r="S1053" s="319"/>
      <c r="T1053" s="319"/>
      <c r="U1053" s="319"/>
      <c r="V1053" s="319"/>
      <c r="W1053" s="319"/>
      <c r="X1053" s="319"/>
      <c r="Y1053" s="319"/>
      <c r="Z1053" s="319"/>
      <c r="AA1053" s="319"/>
      <c r="AB1053" s="319"/>
      <c r="AC1053" s="319"/>
      <c r="AD1053" s="319"/>
      <c r="AE1053" s="319"/>
      <c r="AF1053" s="319"/>
      <c r="AG1053" s="319"/>
      <c r="AH1053" s="319"/>
      <c r="AI1053" s="319"/>
      <c r="AJ1053" s="319"/>
      <c r="AK1053" s="319"/>
      <c r="AL1053" s="319"/>
      <c r="AM1053" s="319"/>
      <c r="AN1053" s="319"/>
      <c r="AO1053" s="319"/>
      <c r="AP1053" s="319"/>
      <c r="AQ1053" s="319"/>
      <c r="AR1053" s="319"/>
      <c r="AS1053" s="319"/>
      <c r="AT1053" s="319"/>
      <c r="AU1053" s="319"/>
      <c r="AV1053" s="319"/>
      <c r="AW1053" s="319"/>
      <c r="AX1053" s="319"/>
      <c r="AY1053" s="319"/>
      <c r="AZ1053" s="319"/>
      <c r="BA1053" s="319"/>
      <c r="BB1053" s="319"/>
      <c r="BC1053" s="319"/>
      <c r="BD1053" s="319"/>
      <c r="BE1053" s="319"/>
      <c r="BF1053" s="319"/>
      <c r="BG1053" s="319"/>
      <c r="BH1053" s="319"/>
      <c r="BI1053" s="319"/>
      <c r="BJ1053" s="319"/>
      <c r="BK1053" s="319"/>
      <c r="BL1053" s="319"/>
      <c r="BM1053" s="319"/>
      <c r="BN1053" s="319"/>
      <c r="BO1053" s="319"/>
      <c r="BP1053" s="319"/>
      <c r="BQ1053" s="319"/>
      <c r="BR1053" s="319"/>
      <c r="BS1053" s="319"/>
      <c r="BT1053" s="319"/>
      <c r="BU1053" s="319"/>
      <c r="BV1053" s="319"/>
      <c r="BW1053" s="319"/>
      <c r="BX1053" s="319"/>
      <c r="BY1053" s="319"/>
      <c r="BZ1053" s="319"/>
      <c r="CA1053" s="319"/>
      <c r="CB1053" s="319"/>
      <c r="CC1053" s="319"/>
      <c r="CD1053" s="319"/>
      <c r="CE1053" s="319"/>
      <c r="CF1053" s="319"/>
      <c r="CG1053" s="319"/>
      <c r="CH1053" s="319"/>
      <c r="CI1053" s="319"/>
      <c r="CJ1053" s="319"/>
      <c r="CK1053" s="319"/>
    </row>
    <row r="1054" spans="1:89" ht="12.75" hidden="1" customHeight="1">
      <c r="A1054" s="319">
        <v>19</v>
      </c>
      <c r="B1054" s="319" t="s">
        <v>4484</v>
      </c>
      <c r="C1054" s="319" t="s">
        <v>2506</v>
      </c>
      <c r="D1054" s="319">
        <f>IF(EE_CB19=FALSE,0,1)</f>
        <v>0</v>
      </c>
      <c r="E1054" s="319"/>
      <c r="F1054" s="319"/>
      <c r="G1054" s="319"/>
      <c r="H1054" s="319"/>
      <c r="I1054" s="319"/>
      <c r="J1054" s="319"/>
      <c r="K1054" s="319"/>
      <c r="L1054" s="319"/>
      <c r="M1054" s="319"/>
      <c r="N1054" s="319"/>
      <c r="O1054" s="319"/>
      <c r="P1054" s="319"/>
      <c r="Q1054" s="319"/>
      <c r="R1054" s="319"/>
      <c r="S1054" s="319"/>
      <c r="T1054" s="319"/>
      <c r="U1054" s="319"/>
      <c r="V1054" s="319"/>
      <c r="W1054" s="319"/>
      <c r="X1054" s="319"/>
      <c r="Y1054" s="319"/>
      <c r="Z1054" s="319"/>
      <c r="AA1054" s="319"/>
      <c r="AB1054" s="319"/>
      <c r="AC1054" s="319"/>
      <c r="AD1054" s="319"/>
      <c r="AE1054" s="319"/>
      <c r="AF1054" s="319"/>
      <c r="AG1054" s="319"/>
      <c r="AH1054" s="319"/>
      <c r="AI1054" s="319"/>
      <c r="AJ1054" s="319"/>
      <c r="AK1054" s="319"/>
      <c r="AL1054" s="319"/>
      <c r="AM1054" s="319"/>
      <c r="AN1054" s="319"/>
      <c r="AO1054" s="319"/>
      <c r="AP1054" s="319"/>
      <c r="AQ1054" s="319"/>
      <c r="AR1054" s="319"/>
      <c r="AS1054" s="319"/>
      <c r="AT1054" s="319"/>
      <c r="AU1054" s="319"/>
      <c r="AV1054" s="319"/>
      <c r="AW1054" s="319"/>
      <c r="AX1054" s="319"/>
      <c r="AY1054" s="319"/>
      <c r="AZ1054" s="319"/>
      <c r="BA1054" s="319"/>
      <c r="BB1054" s="319"/>
      <c r="BC1054" s="319"/>
      <c r="BD1054" s="319"/>
      <c r="BE1054" s="319"/>
      <c r="BF1054" s="319"/>
      <c r="BG1054" s="319"/>
      <c r="BH1054" s="319"/>
      <c r="BI1054" s="319"/>
      <c r="BJ1054" s="319"/>
      <c r="BK1054" s="319"/>
      <c r="BL1054" s="319"/>
      <c r="BM1054" s="319"/>
      <c r="BN1054" s="319"/>
      <c r="BO1054" s="319"/>
      <c r="BP1054" s="319"/>
      <c r="BQ1054" s="319"/>
      <c r="BR1054" s="319"/>
      <c r="BS1054" s="319"/>
      <c r="BT1054" s="319"/>
      <c r="BU1054" s="319"/>
      <c r="BV1054" s="319"/>
      <c r="BW1054" s="319"/>
      <c r="BX1054" s="319"/>
      <c r="BY1054" s="319"/>
      <c r="BZ1054" s="319"/>
      <c r="CA1054" s="319"/>
      <c r="CB1054" s="319"/>
      <c r="CC1054" s="319"/>
      <c r="CD1054" s="319"/>
      <c r="CE1054" s="319"/>
      <c r="CF1054" s="319"/>
      <c r="CG1054" s="319"/>
      <c r="CH1054" s="319"/>
      <c r="CI1054" s="319"/>
      <c r="CJ1054" s="319"/>
      <c r="CK1054" s="319"/>
    </row>
    <row r="1055" spans="1:89" ht="12.75" hidden="1" customHeight="1">
      <c r="A1055" s="319">
        <v>19</v>
      </c>
      <c r="B1055" s="319"/>
      <c r="C1055" s="319" t="s">
        <v>726</v>
      </c>
      <c r="D1055" s="319"/>
      <c r="E1055" s="319">
        <f>$D$1054*P882</f>
        <v>0</v>
      </c>
      <c r="F1055" s="319">
        <f>$D$1054*Q882</f>
        <v>0</v>
      </c>
      <c r="G1055" s="494">
        <f>$D$1054*(G879+G886+G897)</f>
        <v>0</v>
      </c>
      <c r="H1055" s="319"/>
      <c r="I1055" s="319"/>
      <c r="J1055" s="319"/>
      <c r="K1055" s="319"/>
      <c r="L1055" s="319"/>
      <c r="M1055" s="319"/>
      <c r="N1055" s="319"/>
      <c r="O1055" s="319"/>
      <c r="P1055" s="319"/>
      <c r="Q1055" s="319"/>
      <c r="R1055" s="319"/>
      <c r="S1055" s="319"/>
      <c r="T1055" s="319"/>
      <c r="U1055" s="319"/>
      <c r="V1055" s="319"/>
      <c r="W1055" s="319"/>
      <c r="X1055" s="319"/>
      <c r="Y1055" s="319"/>
      <c r="Z1055" s="319"/>
      <c r="AA1055" s="319"/>
      <c r="AB1055" s="319"/>
      <c r="AC1055" s="319"/>
      <c r="AD1055" s="319"/>
      <c r="AE1055" s="319"/>
      <c r="AF1055" s="319"/>
      <c r="AG1055" s="319"/>
      <c r="AH1055" s="319"/>
      <c r="AI1055" s="319"/>
      <c r="AJ1055" s="319"/>
      <c r="AK1055" s="319"/>
      <c r="AL1055" s="319"/>
      <c r="AM1055" s="319"/>
      <c r="AN1055" s="319"/>
      <c r="AO1055" s="319"/>
      <c r="AP1055" s="319"/>
      <c r="AQ1055" s="319"/>
      <c r="AR1055" s="319"/>
      <c r="AS1055" s="319"/>
      <c r="AT1055" s="319"/>
      <c r="AU1055" s="319"/>
      <c r="AV1055" s="319"/>
      <c r="AW1055" s="319"/>
      <c r="AX1055" s="319"/>
      <c r="AY1055" s="319"/>
      <c r="AZ1055" s="319"/>
      <c r="BA1055" s="319"/>
      <c r="BB1055" s="319"/>
      <c r="BC1055" s="319"/>
      <c r="BD1055" s="319"/>
      <c r="BE1055" s="319"/>
      <c r="BF1055" s="319"/>
      <c r="BG1055" s="319"/>
      <c r="BH1055" s="319"/>
      <c r="BI1055" s="319"/>
      <c r="BJ1055" s="319"/>
      <c r="BK1055" s="319"/>
      <c r="BL1055" s="319"/>
      <c r="BM1055" s="319"/>
      <c r="BN1055" s="319"/>
      <c r="BO1055" s="319"/>
      <c r="BP1055" s="319"/>
      <c r="BQ1055" s="319"/>
      <c r="BR1055" s="319"/>
      <c r="BS1055" s="319"/>
      <c r="BT1055" s="319"/>
      <c r="BU1055" s="319"/>
      <c r="BV1055" s="319"/>
      <c r="BW1055" s="319"/>
      <c r="BX1055" s="319"/>
      <c r="BY1055" s="319"/>
      <c r="BZ1055" s="319"/>
      <c r="CA1055" s="319"/>
      <c r="CB1055" s="319"/>
      <c r="CC1055" s="319"/>
      <c r="CD1055" s="319"/>
      <c r="CE1055" s="319"/>
      <c r="CF1055" s="319"/>
      <c r="CG1055" s="319"/>
      <c r="CH1055" s="319"/>
      <c r="CI1055" s="319"/>
      <c r="CJ1055" s="319"/>
      <c r="CK1055" s="319"/>
    </row>
    <row r="1056" spans="1:89" ht="12.75" hidden="1" customHeight="1">
      <c r="A1056" s="319">
        <v>19</v>
      </c>
      <c r="B1056" s="319"/>
      <c r="C1056" s="319" t="s">
        <v>3442</v>
      </c>
      <c r="D1056" s="319"/>
      <c r="E1056" s="319"/>
      <c r="F1056" s="319"/>
      <c r="G1056" s="319"/>
      <c r="H1056" s="319"/>
      <c r="I1056" s="319"/>
      <c r="J1056" s="319"/>
      <c r="K1056" s="319"/>
      <c r="L1056" s="319"/>
      <c r="M1056" s="319"/>
      <c r="N1056" s="319"/>
      <c r="O1056" s="319"/>
      <c r="P1056" s="319"/>
      <c r="Q1056" s="319"/>
      <c r="R1056" s="319"/>
      <c r="S1056" s="319"/>
      <c r="T1056" s="319"/>
      <c r="U1056" s="319"/>
      <c r="V1056" s="319"/>
      <c r="W1056" s="319"/>
      <c r="X1056" s="319"/>
      <c r="Y1056" s="319"/>
      <c r="Z1056" s="319"/>
      <c r="AA1056" s="319"/>
      <c r="AB1056" s="319"/>
      <c r="AC1056" s="319"/>
      <c r="AD1056" s="319"/>
      <c r="AE1056" s="319"/>
      <c r="AF1056" s="319"/>
      <c r="AG1056" s="319"/>
      <c r="AH1056" s="319"/>
      <c r="AI1056" s="319"/>
      <c r="AJ1056" s="319"/>
      <c r="AK1056" s="319"/>
      <c r="AL1056" s="319"/>
      <c r="AM1056" s="319"/>
      <c r="AN1056" s="319"/>
      <c r="AO1056" s="319"/>
      <c r="AP1056" s="319"/>
      <c r="AQ1056" s="319"/>
      <c r="AR1056" s="319"/>
      <c r="AS1056" s="319"/>
      <c r="AT1056" s="319"/>
      <c r="AU1056" s="319"/>
      <c r="AV1056" s="319"/>
      <c r="AW1056" s="319"/>
      <c r="AX1056" s="319"/>
      <c r="AY1056" s="319"/>
      <c r="AZ1056" s="319"/>
      <c r="BA1056" s="319"/>
      <c r="BB1056" s="319"/>
      <c r="BC1056" s="319"/>
      <c r="BD1056" s="319"/>
      <c r="BE1056" s="319"/>
      <c r="BF1056" s="319"/>
      <c r="BG1056" s="319"/>
      <c r="BH1056" s="319"/>
      <c r="BI1056" s="319"/>
      <c r="BJ1056" s="319"/>
      <c r="BK1056" s="319"/>
      <c r="BL1056" s="319"/>
      <c r="BM1056" s="319"/>
      <c r="BN1056" s="319"/>
      <c r="BO1056" s="319"/>
      <c r="BP1056" s="319"/>
      <c r="BQ1056" s="319"/>
      <c r="BR1056" s="319"/>
      <c r="BS1056" s="319"/>
      <c r="BT1056" s="319"/>
      <c r="BU1056" s="319"/>
      <c r="BV1056" s="319"/>
      <c r="BW1056" s="319"/>
      <c r="BX1056" s="319"/>
      <c r="BY1056" s="319"/>
      <c r="BZ1056" s="319"/>
      <c r="CA1056" s="319"/>
      <c r="CB1056" s="319"/>
      <c r="CC1056" s="319"/>
      <c r="CD1056" s="319"/>
      <c r="CE1056" s="319"/>
      <c r="CF1056" s="319"/>
      <c r="CG1056" s="319"/>
      <c r="CH1056" s="319"/>
      <c r="CI1056" s="319"/>
      <c r="CJ1056" s="319"/>
      <c r="CK1056" s="319"/>
    </row>
    <row r="1057" spans="1:89" ht="12.75" hidden="1" customHeight="1">
      <c r="A1057" s="319">
        <v>13</v>
      </c>
      <c r="B1057" s="319" t="s">
        <v>4244</v>
      </c>
      <c r="C1057" s="319" t="s">
        <v>3442</v>
      </c>
      <c r="D1057" s="319">
        <f>IF(C1131=FALSE,0,1)</f>
        <v>0</v>
      </c>
      <c r="E1057" s="476">
        <f>D1057*(D245+D246)</f>
        <v>0</v>
      </c>
      <c r="F1057" s="476">
        <f>D536*D1057</f>
        <v>0</v>
      </c>
      <c r="G1057" s="494">
        <f>D1057*(G535*IF(M530&gt;0,1,0)+SUM(G1058:G1061)+G245+G246+G253*IF(EE_inverter=0,0,1)+G268*IF(EE_battery=0,0,1))</f>
        <v>0</v>
      </c>
      <c r="H1057" s="319"/>
      <c r="I1057" s="319"/>
      <c r="J1057" s="319"/>
      <c r="K1057" s="319"/>
      <c r="L1057" s="319"/>
      <c r="M1057" s="319"/>
      <c r="N1057" s="319"/>
      <c r="O1057" s="319"/>
      <c r="P1057" s="319"/>
      <c r="Q1057" s="319"/>
      <c r="R1057" s="319"/>
      <c r="S1057" s="319"/>
      <c r="T1057" s="319"/>
      <c r="U1057" s="319"/>
      <c r="V1057" s="319"/>
      <c r="W1057" s="319"/>
      <c r="X1057" s="319"/>
      <c r="Y1057" s="319"/>
      <c r="Z1057" s="319"/>
      <c r="AA1057" s="319"/>
      <c r="AB1057" s="319"/>
      <c r="AC1057" s="319"/>
      <c r="AD1057" s="319"/>
      <c r="AE1057" s="319"/>
      <c r="AF1057" s="319"/>
      <c r="AG1057" s="319"/>
      <c r="AH1057" s="319"/>
      <c r="AI1057" s="319"/>
      <c r="AJ1057" s="319"/>
      <c r="AK1057" s="319"/>
      <c r="AL1057" s="319"/>
      <c r="AM1057" s="319"/>
      <c r="AN1057" s="319"/>
      <c r="AO1057" s="319"/>
      <c r="AP1057" s="319"/>
      <c r="AQ1057" s="319"/>
      <c r="AR1057" s="319"/>
      <c r="AS1057" s="319"/>
      <c r="AT1057" s="319"/>
      <c r="AU1057" s="319"/>
      <c r="AV1057" s="319"/>
      <c r="AW1057" s="319"/>
      <c r="AX1057" s="319"/>
      <c r="AY1057" s="319"/>
      <c r="AZ1057" s="319"/>
      <c r="BA1057" s="319"/>
      <c r="BB1057" s="319"/>
      <c r="BC1057" s="319"/>
      <c r="BD1057" s="319"/>
      <c r="BE1057" s="319"/>
      <c r="BF1057" s="319"/>
      <c r="BG1057" s="319"/>
      <c r="BH1057" s="319"/>
      <c r="BI1057" s="319"/>
      <c r="BJ1057" s="319"/>
      <c r="BK1057" s="319"/>
      <c r="BL1057" s="319"/>
      <c r="BM1057" s="319"/>
      <c r="BN1057" s="319"/>
      <c r="BO1057" s="319"/>
      <c r="BP1057" s="319"/>
      <c r="BQ1057" s="319"/>
      <c r="BR1057" s="319"/>
      <c r="BS1057" s="319"/>
      <c r="BT1057" s="319"/>
      <c r="BU1057" s="319"/>
      <c r="BV1057" s="319"/>
      <c r="BW1057" s="319"/>
      <c r="BX1057" s="319"/>
      <c r="BY1057" s="319"/>
      <c r="BZ1057" s="319"/>
      <c r="CA1057" s="319"/>
      <c r="CB1057" s="319"/>
      <c r="CC1057" s="319"/>
      <c r="CD1057" s="319"/>
      <c r="CE1057" s="319"/>
      <c r="CF1057" s="319"/>
      <c r="CG1057" s="319"/>
      <c r="CH1057" s="319"/>
      <c r="CI1057" s="319"/>
      <c r="CJ1057" s="319"/>
      <c r="CK1057" s="319"/>
    </row>
    <row r="1058" spans="1:89" ht="12.75" hidden="1" customHeight="1">
      <c r="A1058" s="319">
        <v>13</v>
      </c>
      <c r="B1058" s="393">
        <f>Set_C</f>
        <v>9</v>
      </c>
      <c r="C1058" s="319" t="str">
        <f>C1086</f>
        <v>Turbina eólica</v>
      </c>
      <c r="D1058" s="319">
        <f>D1057*IF($B$1058=7,1,0)</f>
        <v>0</v>
      </c>
      <c r="E1058" s="476"/>
      <c r="F1058" s="476">
        <f>D391*D1058</f>
        <v>0</v>
      </c>
      <c r="G1058" s="494">
        <f>G345*D1058</f>
        <v>0</v>
      </c>
      <c r="H1058" s="845">
        <f>I1058</f>
        <v>0</v>
      </c>
      <c r="I1058" s="845">
        <f>D1058*D345</f>
        <v>0</v>
      </c>
      <c r="J1058" s="319"/>
      <c r="K1058" s="319"/>
      <c r="L1058" s="319"/>
      <c r="M1058" s="319"/>
      <c r="N1058" s="319"/>
      <c r="O1058" s="319"/>
      <c r="P1058" s="319"/>
      <c r="Q1058" s="319"/>
      <c r="R1058" s="319"/>
      <c r="S1058" s="319"/>
      <c r="T1058" s="319"/>
      <c r="U1058" s="319"/>
      <c r="V1058" s="319"/>
      <c r="W1058" s="319"/>
      <c r="X1058" s="319"/>
      <c r="Y1058" s="319"/>
      <c r="Z1058" s="319"/>
      <c r="AA1058" s="319"/>
      <c r="AB1058" s="319"/>
      <c r="AC1058" s="319"/>
      <c r="AD1058" s="319"/>
      <c r="AE1058" s="319"/>
      <c r="AF1058" s="319"/>
      <c r="AG1058" s="319"/>
      <c r="AH1058" s="319"/>
      <c r="AI1058" s="319"/>
      <c r="AJ1058" s="319"/>
      <c r="AK1058" s="319"/>
      <c r="AL1058" s="319"/>
      <c r="AM1058" s="319"/>
      <c r="AN1058" s="319"/>
      <c r="AO1058" s="319"/>
      <c r="AP1058" s="319"/>
      <c r="AQ1058" s="319"/>
      <c r="AR1058" s="319"/>
      <c r="AS1058" s="319"/>
      <c r="AT1058" s="319"/>
      <c r="AU1058" s="319"/>
      <c r="AV1058" s="319"/>
      <c r="AW1058" s="319"/>
      <c r="AX1058" s="319"/>
      <c r="AY1058" s="319"/>
      <c r="AZ1058" s="319"/>
      <c r="BA1058" s="319"/>
      <c r="BB1058" s="319"/>
      <c r="BC1058" s="319"/>
      <c r="BD1058" s="319"/>
      <c r="BE1058" s="319"/>
      <c r="BF1058" s="319"/>
      <c r="BG1058" s="319"/>
      <c r="BH1058" s="319"/>
      <c r="BI1058" s="319"/>
      <c r="BJ1058" s="319"/>
      <c r="BK1058" s="319"/>
      <c r="BL1058" s="319"/>
      <c r="BM1058" s="319"/>
      <c r="BN1058" s="319"/>
      <c r="BO1058" s="319"/>
      <c r="BP1058" s="319"/>
      <c r="BQ1058" s="319"/>
      <c r="BR1058" s="319"/>
      <c r="BS1058" s="319"/>
      <c r="BT1058" s="319"/>
      <c r="BU1058" s="319"/>
      <c r="BV1058" s="319"/>
      <c r="BW1058" s="319"/>
      <c r="BX1058" s="319"/>
      <c r="BY1058" s="319"/>
      <c r="BZ1058" s="319"/>
      <c r="CA1058" s="319"/>
      <c r="CB1058" s="319"/>
      <c r="CC1058" s="319"/>
      <c r="CD1058" s="319"/>
      <c r="CE1058" s="319"/>
      <c r="CF1058" s="319"/>
      <c r="CG1058" s="319"/>
      <c r="CH1058" s="319"/>
      <c r="CI1058" s="319"/>
      <c r="CJ1058" s="319"/>
      <c r="CK1058" s="319"/>
    </row>
    <row r="1059" spans="1:89" ht="12.75" hidden="1" customHeight="1">
      <c r="A1059" s="319">
        <v>13</v>
      </c>
      <c r="B1059" s="319"/>
      <c r="C1059" s="319" t="str">
        <f>C1087</f>
        <v>Turbina hidráulica</v>
      </c>
      <c r="D1059" s="319">
        <f>D1057*IF($B$1058=8,1,0)</f>
        <v>0</v>
      </c>
      <c r="E1059" s="476"/>
      <c r="F1059" s="476">
        <f>D1059*D500</f>
        <v>0</v>
      </c>
      <c r="G1059" s="494">
        <f>G413*D1059</f>
        <v>0</v>
      </c>
      <c r="H1059" s="845">
        <f>I1059</f>
        <v>0</v>
      </c>
      <c r="I1059" s="845">
        <f>IF(ISERROR(D497*D1059),0,D497*D1059)</f>
        <v>0</v>
      </c>
      <c r="J1059" s="319"/>
      <c r="K1059" s="319"/>
      <c r="L1059" s="319"/>
      <c r="M1059" s="319"/>
      <c r="N1059" s="319"/>
      <c r="O1059" s="319"/>
      <c r="P1059" s="319"/>
      <c r="Q1059" s="319"/>
      <c r="R1059" s="319"/>
      <c r="S1059" s="319"/>
      <c r="T1059" s="319"/>
      <c r="U1059" s="319"/>
      <c r="V1059" s="319"/>
      <c r="W1059" s="319"/>
      <c r="X1059" s="319"/>
      <c r="Y1059" s="319"/>
      <c r="Z1059" s="319"/>
      <c r="AA1059" s="319"/>
      <c r="AB1059" s="319"/>
      <c r="AC1059" s="319"/>
      <c r="AD1059" s="319"/>
      <c r="AE1059" s="319"/>
      <c r="AF1059" s="319"/>
      <c r="AG1059" s="319"/>
      <c r="AH1059" s="319"/>
      <c r="AI1059" s="319"/>
      <c r="AJ1059" s="319"/>
      <c r="AK1059" s="319"/>
      <c r="AL1059" s="319"/>
      <c r="AM1059" s="319"/>
      <c r="AN1059" s="319"/>
      <c r="AO1059" s="319"/>
      <c r="AP1059" s="319"/>
      <c r="AQ1059" s="319"/>
      <c r="AR1059" s="319"/>
      <c r="AS1059" s="319"/>
      <c r="AT1059" s="319"/>
      <c r="AU1059" s="319"/>
      <c r="AV1059" s="319"/>
      <c r="AW1059" s="319"/>
      <c r="AX1059" s="319"/>
      <c r="AY1059" s="319"/>
      <c r="AZ1059" s="319"/>
      <c r="BA1059" s="319"/>
      <c r="BB1059" s="319"/>
      <c r="BC1059" s="319"/>
      <c r="BD1059" s="319"/>
      <c r="BE1059" s="319"/>
      <c r="BF1059" s="319"/>
      <c r="BG1059" s="319"/>
      <c r="BH1059" s="319"/>
      <c r="BI1059" s="319"/>
      <c r="BJ1059" s="319"/>
      <c r="BK1059" s="319"/>
      <c r="BL1059" s="319"/>
      <c r="BM1059" s="319"/>
      <c r="BN1059" s="319"/>
      <c r="BO1059" s="319"/>
      <c r="BP1059" s="319"/>
      <c r="BQ1059" s="319"/>
      <c r="BR1059" s="319"/>
      <c r="BS1059" s="319"/>
      <c r="BT1059" s="319"/>
      <c r="BU1059" s="319"/>
      <c r="BV1059" s="319"/>
      <c r="BW1059" s="319"/>
      <c r="BX1059" s="319"/>
      <c r="BY1059" s="319"/>
      <c r="BZ1059" s="319"/>
      <c r="CA1059" s="319"/>
      <c r="CB1059" s="319"/>
      <c r="CC1059" s="319"/>
      <c r="CD1059" s="319"/>
      <c r="CE1059" s="319"/>
      <c r="CF1059" s="319"/>
      <c r="CG1059" s="319"/>
      <c r="CH1059" s="319"/>
      <c r="CI1059" s="319"/>
      <c r="CJ1059" s="319"/>
      <c r="CK1059" s="319"/>
    </row>
    <row r="1060" spans="1:89" ht="12.75" hidden="1" customHeight="1">
      <c r="A1060" s="319">
        <v>13</v>
      </c>
      <c r="B1060" s="319"/>
      <c r="C1060" s="319" t="str">
        <f>C1088</f>
        <v>Fotovoltaica</v>
      </c>
      <c r="D1060" s="319">
        <f>D1057*IF($B$1058=9,1,0)</f>
        <v>0</v>
      </c>
      <c r="E1060" s="476"/>
      <c r="F1060" s="476">
        <f>D1060*D313</f>
        <v>0</v>
      </c>
      <c r="G1060" s="494">
        <f>D1060*G299</f>
        <v>0</v>
      </c>
      <c r="H1060" s="845">
        <f>I1060</f>
        <v>0</v>
      </c>
      <c r="I1060" s="845">
        <f>D299*D1060</f>
        <v>0</v>
      </c>
      <c r="J1060" s="319"/>
      <c r="K1060" s="319"/>
      <c r="L1060" s="319"/>
      <c r="M1060" s="319"/>
      <c r="N1060" s="319"/>
      <c r="O1060" s="319"/>
      <c r="P1060" s="319"/>
      <c r="Q1060" s="319"/>
      <c r="R1060" s="319"/>
      <c r="S1060" s="319"/>
      <c r="T1060" s="319"/>
      <c r="U1060" s="319"/>
      <c r="V1060" s="319"/>
      <c r="W1060" s="319"/>
      <c r="X1060" s="319"/>
      <c r="Y1060" s="319"/>
      <c r="Z1060" s="319"/>
      <c r="AA1060" s="319"/>
      <c r="AB1060" s="319"/>
      <c r="AC1060" s="319"/>
      <c r="AD1060" s="319"/>
      <c r="AE1060" s="319"/>
      <c r="AF1060" s="319"/>
      <c r="AG1060" s="319"/>
      <c r="AH1060" s="319"/>
      <c r="AI1060" s="319"/>
      <c r="AJ1060" s="319"/>
      <c r="AK1060" s="319"/>
      <c r="AL1060" s="319"/>
      <c r="AM1060" s="319"/>
      <c r="AN1060" s="319"/>
      <c r="AO1060" s="319"/>
      <c r="AP1060" s="319"/>
      <c r="AQ1060" s="319"/>
      <c r="AR1060" s="319"/>
      <c r="AS1060" s="319"/>
      <c r="AT1060" s="319"/>
      <c r="AU1060" s="319"/>
      <c r="AV1060" s="319"/>
      <c r="AW1060" s="319"/>
      <c r="AX1060" s="319"/>
      <c r="AY1060" s="319"/>
      <c r="AZ1060" s="319"/>
      <c r="BA1060" s="319"/>
      <c r="BB1060" s="319"/>
      <c r="BC1060" s="319"/>
      <c r="BD1060" s="319"/>
      <c r="BE1060" s="319"/>
      <c r="BF1060" s="319"/>
      <c r="BG1060" s="319"/>
      <c r="BH1060" s="319"/>
      <c r="BI1060" s="319"/>
      <c r="BJ1060" s="319"/>
      <c r="BK1060" s="319"/>
      <c r="BL1060" s="319"/>
      <c r="BM1060" s="319"/>
      <c r="BN1060" s="319"/>
      <c r="BO1060" s="319"/>
      <c r="BP1060" s="319"/>
      <c r="BQ1060" s="319"/>
      <c r="BR1060" s="319"/>
      <c r="BS1060" s="319"/>
      <c r="BT1060" s="319"/>
      <c r="BU1060" s="319"/>
      <c r="BV1060" s="319"/>
      <c r="BW1060" s="319"/>
      <c r="BX1060" s="319"/>
      <c r="BY1060" s="319"/>
      <c r="BZ1060" s="319"/>
      <c r="CA1060" s="319"/>
      <c r="CB1060" s="319"/>
      <c r="CC1060" s="319"/>
      <c r="CD1060" s="319"/>
      <c r="CE1060" s="319"/>
      <c r="CF1060" s="319"/>
      <c r="CG1060" s="319"/>
      <c r="CH1060" s="319"/>
      <c r="CI1060" s="319"/>
      <c r="CJ1060" s="319"/>
      <c r="CK1060" s="319"/>
    </row>
    <row r="1061" spans="1:89" ht="12.75" hidden="1" customHeight="1">
      <c r="A1061" s="319">
        <v>13</v>
      </c>
      <c r="B1061" s="319"/>
      <c r="C1061" s="319" t="str">
        <f>IF(B1058=1,B502,B515)</f>
        <v>Outro</v>
      </c>
      <c r="D1061" s="319">
        <f>D1057*IF(OR($B$1058=1,B1058=10),1,0)</f>
        <v>0</v>
      </c>
      <c r="E1061" s="476"/>
      <c r="F1061" s="476">
        <f>IF(ISERROR(D1057*(D507*IF(B1058=1,1,0)+D521*IF(B1058=10,1,0))),0,D1057*(D507*IF(B1058=1,1,0)+D521*IF(B1058=10,1,0)))</f>
        <v>0</v>
      </c>
      <c r="G1061" s="494">
        <f>D1057*(G505*IF(B1058=1,1,0)+G519*IF(B1058=10,1,0))</f>
        <v>0</v>
      </c>
      <c r="H1061" s="845">
        <f>I1061</f>
        <v>0</v>
      </c>
      <c r="I1061" s="845">
        <f>D1057*(D505*IF(B1058=1,1,0)+D519*IF(B1058=10,1,0))</f>
        <v>0</v>
      </c>
      <c r="J1061" s="319"/>
      <c r="K1061" s="319"/>
      <c r="L1061" s="319"/>
      <c r="M1061" s="319"/>
      <c r="N1061" s="319"/>
      <c r="O1061" s="319"/>
      <c r="P1061" s="319"/>
      <c r="Q1061" s="319"/>
      <c r="R1061" s="319"/>
      <c r="S1061" s="319"/>
      <c r="T1061" s="319"/>
      <c r="U1061" s="319"/>
      <c r="V1061" s="319"/>
      <c r="W1061" s="319"/>
      <c r="X1061" s="319"/>
      <c r="Y1061" s="319"/>
      <c r="Z1061" s="319"/>
      <c r="AA1061" s="319"/>
      <c r="AB1061" s="319"/>
      <c r="AC1061" s="319"/>
      <c r="AD1061" s="319"/>
      <c r="AE1061" s="319"/>
      <c r="AF1061" s="319"/>
      <c r="AG1061" s="319"/>
      <c r="AH1061" s="319"/>
      <c r="AI1061" s="319"/>
      <c r="AJ1061" s="319"/>
      <c r="AK1061" s="319"/>
      <c r="AL1061" s="319"/>
      <c r="AM1061" s="319"/>
      <c r="AN1061" s="319"/>
      <c r="AO1061" s="319"/>
      <c r="AP1061" s="319"/>
      <c r="AQ1061" s="319"/>
      <c r="AR1061" s="319"/>
      <c r="AS1061" s="319"/>
      <c r="AT1061" s="319"/>
      <c r="AU1061" s="319"/>
      <c r="AV1061" s="319"/>
      <c r="AW1061" s="319"/>
      <c r="AX1061" s="319"/>
      <c r="AY1061" s="319"/>
      <c r="AZ1061" s="319"/>
      <c r="BA1061" s="319"/>
      <c r="BB1061" s="319"/>
      <c r="BC1061" s="319"/>
      <c r="BD1061" s="319"/>
      <c r="BE1061" s="319"/>
      <c r="BF1061" s="319"/>
      <c r="BG1061" s="319"/>
      <c r="BH1061" s="319"/>
      <c r="BI1061" s="319"/>
      <c r="BJ1061" s="319"/>
      <c r="BK1061" s="319"/>
      <c r="BL1061" s="319"/>
      <c r="BM1061" s="319"/>
      <c r="BN1061" s="319"/>
      <c r="BO1061" s="319"/>
      <c r="BP1061" s="319"/>
      <c r="BQ1061" s="319"/>
      <c r="BR1061" s="319"/>
      <c r="BS1061" s="319"/>
      <c r="BT1061" s="319"/>
      <c r="BU1061" s="319"/>
      <c r="BV1061" s="319"/>
      <c r="BW1061" s="319"/>
      <c r="BX1061" s="319"/>
      <c r="BY1061" s="319"/>
      <c r="BZ1061" s="319"/>
      <c r="CA1061" s="319"/>
      <c r="CB1061" s="319"/>
      <c r="CC1061" s="319"/>
      <c r="CD1061" s="319"/>
      <c r="CE1061" s="319"/>
      <c r="CF1061" s="319"/>
      <c r="CG1061" s="319"/>
      <c r="CH1061" s="319"/>
      <c r="CI1061" s="319"/>
      <c r="CJ1061" s="319"/>
      <c r="CK1061" s="319"/>
    </row>
    <row r="1062" spans="1:89" ht="12.75" hidden="1" customHeight="1">
      <c r="A1062" s="319">
        <v>14</v>
      </c>
      <c r="B1062" s="319" t="s">
        <v>4459</v>
      </c>
      <c r="C1062" s="319" t="s">
        <v>2506</v>
      </c>
      <c r="D1062" s="319">
        <f>IF(C1132=FALSE,0,1)</f>
        <v>0</v>
      </c>
      <c r="E1062" s="319">
        <f>$D$1062*IF(EE_CB14_1=TRUE,R578,R607)</f>
        <v>0</v>
      </c>
      <c r="F1062" s="319">
        <f>$D$1062*(IF(EE_CB14_1=TRUE,S578,S607)-P658-P660-P661)</f>
        <v>0</v>
      </c>
      <c r="G1062" s="319">
        <f>$D$1062*IF(EE_CB14_1=TRUE,G577+G634+G802,G607+G634+G802)</f>
        <v>0</v>
      </c>
      <c r="H1062" s="845"/>
      <c r="I1062" s="319">
        <f>D1062*R660</f>
        <v>0</v>
      </c>
      <c r="J1062" s="319"/>
      <c r="K1062" s="319"/>
      <c r="L1062" s="319"/>
      <c r="M1062" s="319"/>
      <c r="N1062" s="319"/>
      <c r="O1062" s="319"/>
      <c r="P1062" s="319"/>
      <c r="Q1062" s="319"/>
      <c r="R1062" s="319"/>
      <c r="S1062" s="319"/>
      <c r="T1062" s="319"/>
      <c r="U1062" s="319"/>
      <c r="V1062" s="319"/>
      <c r="W1062" s="319"/>
      <c r="X1062" s="319"/>
      <c r="Y1062" s="319"/>
      <c r="Z1062" s="319"/>
      <c r="AA1062" s="319"/>
      <c r="AB1062" s="319"/>
      <c r="AC1062" s="319"/>
      <c r="AD1062" s="319"/>
      <c r="AE1062" s="319"/>
      <c r="AF1062" s="319"/>
      <c r="AG1062" s="319"/>
      <c r="AH1062" s="319"/>
      <c r="AI1062" s="319"/>
      <c r="AJ1062" s="319"/>
      <c r="AK1062" s="319"/>
      <c r="AL1062" s="319"/>
      <c r="AM1062" s="319"/>
      <c r="AN1062" s="319"/>
      <c r="AO1062" s="319"/>
      <c r="AP1062" s="319"/>
      <c r="AQ1062" s="319"/>
      <c r="AR1062" s="319"/>
      <c r="AS1062" s="319"/>
      <c r="AT1062" s="319"/>
      <c r="AU1062" s="319"/>
      <c r="AV1062" s="319"/>
      <c r="AW1062" s="319"/>
      <c r="AX1062" s="319"/>
      <c r="AY1062" s="319"/>
      <c r="AZ1062" s="319"/>
      <c r="BA1062" s="319"/>
      <c r="BB1062" s="319"/>
      <c r="BC1062" s="319"/>
      <c r="BD1062" s="319"/>
      <c r="BE1062" s="319"/>
      <c r="BF1062" s="319"/>
      <c r="BG1062" s="319"/>
      <c r="BH1062" s="319"/>
      <c r="BI1062" s="319"/>
      <c r="BJ1062" s="319"/>
      <c r="BK1062" s="319"/>
      <c r="BL1062" s="319"/>
      <c r="BM1062" s="319"/>
      <c r="BN1062" s="319"/>
      <c r="BO1062" s="319"/>
      <c r="BP1062" s="319"/>
      <c r="BQ1062" s="319"/>
      <c r="BR1062" s="319"/>
      <c r="BS1062" s="319"/>
      <c r="BT1062" s="319"/>
      <c r="BU1062" s="319"/>
      <c r="BV1062" s="319"/>
      <c r="BW1062" s="319"/>
      <c r="BX1062" s="319"/>
      <c r="BY1062" s="319"/>
      <c r="BZ1062" s="319"/>
      <c r="CA1062" s="319"/>
      <c r="CB1062" s="319"/>
      <c r="CC1062" s="319"/>
      <c r="CD1062" s="319"/>
      <c r="CE1062" s="319"/>
      <c r="CF1062" s="319"/>
      <c r="CG1062" s="319"/>
      <c r="CH1062" s="319"/>
      <c r="CI1062" s="319"/>
      <c r="CJ1062" s="319"/>
      <c r="CK1062" s="319"/>
    </row>
    <row r="1063" spans="1:89" ht="12.75" hidden="1" customHeight="1">
      <c r="A1063" s="319">
        <v>14</v>
      </c>
      <c r="B1063" s="319"/>
      <c r="C1063" s="319" t="s">
        <v>726</v>
      </c>
      <c r="D1063" s="319"/>
      <c r="E1063" s="319"/>
      <c r="F1063" s="319"/>
      <c r="G1063" s="319"/>
      <c r="H1063" s="319"/>
      <c r="I1063" s="319"/>
      <c r="J1063" s="319"/>
      <c r="K1063" s="319"/>
      <c r="L1063" s="319"/>
      <c r="M1063" s="319"/>
      <c r="N1063" s="319"/>
      <c r="O1063" s="319"/>
      <c r="P1063" s="319"/>
      <c r="Q1063" s="319"/>
      <c r="R1063" s="319"/>
      <c r="S1063" s="319"/>
      <c r="T1063" s="319"/>
      <c r="U1063" s="319"/>
      <c r="V1063" s="319"/>
      <c r="W1063" s="319"/>
      <c r="X1063" s="319"/>
      <c r="Y1063" s="319"/>
      <c r="Z1063" s="319"/>
      <c r="AA1063" s="319"/>
      <c r="AB1063" s="319"/>
      <c r="AC1063" s="319"/>
      <c r="AD1063" s="319"/>
      <c r="AE1063" s="319"/>
      <c r="AF1063" s="319"/>
      <c r="AG1063" s="319"/>
      <c r="AH1063" s="319"/>
      <c r="AI1063" s="319"/>
      <c r="AJ1063" s="319"/>
      <c r="AK1063" s="319"/>
      <c r="AL1063" s="319"/>
      <c r="AM1063" s="319"/>
      <c r="AN1063" s="319"/>
      <c r="AO1063" s="319"/>
      <c r="AP1063" s="319"/>
      <c r="AQ1063" s="319"/>
      <c r="AR1063" s="319"/>
      <c r="AS1063" s="319"/>
      <c r="AT1063" s="319"/>
      <c r="AU1063" s="319"/>
      <c r="AV1063" s="319"/>
      <c r="AW1063" s="319"/>
      <c r="AX1063" s="319"/>
      <c r="AY1063" s="319"/>
      <c r="AZ1063" s="319"/>
      <c r="BA1063" s="319"/>
      <c r="BB1063" s="319"/>
      <c r="BC1063" s="319"/>
      <c r="BD1063" s="319"/>
      <c r="BE1063" s="319"/>
      <c r="BF1063" s="319"/>
      <c r="BG1063" s="319"/>
      <c r="BH1063" s="319"/>
      <c r="BI1063" s="319"/>
      <c r="BJ1063" s="319"/>
      <c r="BK1063" s="319"/>
      <c r="BL1063" s="319"/>
      <c r="BM1063" s="319"/>
      <c r="BN1063" s="319"/>
      <c r="BO1063" s="319"/>
      <c r="BP1063" s="319"/>
      <c r="BQ1063" s="319"/>
      <c r="BR1063" s="319"/>
      <c r="BS1063" s="319"/>
      <c r="BT1063" s="319"/>
      <c r="BU1063" s="319"/>
      <c r="BV1063" s="319"/>
      <c r="BW1063" s="319"/>
      <c r="BX1063" s="319"/>
      <c r="BY1063" s="319"/>
      <c r="BZ1063" s="319"/>
      <c r="CA1063" s="319"/>
      <c r="CB1063" s="319"/>
      <c r="CC1063" s="319"/>
      <c r="CD1063" s="319"/>
      <c r="CE1063" s="319"/>
      <c r="CF1063" s="319"/>
      <c r="CG1063" s="319"/>
      <c r="CH1063" s="319"/>
      <c r="CI1063" s="319"/>
      <c r="CJ1063" s="319"/>
      <c r="CK1063" s="319"/>
    </row>
    <row r="1064" spans="1:89" ht="12.75" hidden="1" customHeight="1">
      <c r="A1064" s="319">
        <v>14</v>
      </c>
      <c r="B1064" s="319"/>
      <c r="C1064" s="319" t="s">
        <v>3442</v>
      </c>
      <c r="D1064" s="319"/>
      <c r="E1064" s="319"/>
      <c r="F1064" s="319">
        <f>D1062*D658</f>
        <v>0</v>
      </c>
      <c r="G1064" s="319"/>
      <c r="H1064" s="319"/>
      <c r="I1064" s="319"/>
      <c r="J1064" s="319"/>
      <c r="K1064" s="319"/>
      <c r="L1064" s="319"/>
      <c r="M1064" s="319"/>
      <c r="N1064" s="319"/>
      <c r="O1064" s="319"/>
      <c r="P1064" s="319"/>
      <c r="Q1064" s="319"/>
      <c r="R1064" s="319"/>
      <c r="S1064" s="319"/>
      <c r="T1064" s="319"/>
      <c r="U1064" s="319"/>
      <c r="V1064" s="319"/>
      <c r="W1064" s="319"/>
      <c r="X1064" s="319"/>
      <c r="Y1064" s="319"/>
      <c r="Z1064" s="319"/>
      <c r="AA1064" s="319"/>
      <c r="AB1064" s="319"/>
      <c r="AC1064" s="319"/>
      <c r="AD1064" s="319"/>
      <c r="AE1064" s="319"/>
      <c r="AF1064" s="319"/>
      <c r="AG1064" s="319"/>
      <c r="AH1064" s="319"/>
      <c r="AI1064" s="319"/>
      <c r="AJ1064" s="319"/>
      <c r="AK1064" s="319"/>
      <c r="AL1064" s="319"/>
      <c r="AM1064" s="319"/>
      <c r="AN1064" s="319"/>
      <c r="AO1064" s="319"/>
      <c r="AP1064" s="319"/>
      <c r="AQ1064" s="319"/>
      <c r="AR1064" s="319"/>
      <c r="AS1064" s="319"/>
      <c r="AT1064" s="319"/>
      <c r="AU1064" s="319"/>
      <c r="AV1064" s="319"/>
      <c r="AW1064" s="319"/>
      <c r="AX1064" s="319"/>
      <c r="AY1064" s="319"/>
      <c r="AZ1064" s="319"/>
      <c r="BA1064" s="319"/>
      <c r="BB1064" s="319"/>
      <c r="BC1064" s="319"/>
      <c r="BD1064" s="319"/>
      <c r="BE1064" s="319"/>
      <c r="BF1064" s="319"/>
      <c r="BG1064" s="319"/>
      <c r="BH1064" s="319"/>
      <c r="BI1064" s="319"/>
      <c r="BJ1064" s="319"/>
      <c r="BK1064" s="319"/>
      <c r="BL1064" s="319"/>
      <c r="BM1064" s="319"/>
      <c r="BN1064" s="319"/>
      <c r="BO1064" s="319"/>
      <c r="BP1064" s="319"/>
      <c r="BQ1064" s="319"/>
      <c r="BR1064" s="319"/>
      <c r="BS1064" s="319"/>
      <c r="BT1064" s="319"/>
      <c r="BU1064" s="319"/>
      <c r="BV1064" s="319"/>
      <c r="BW1064" s="319"/>
      <c r="BX1064" s="319"/>
      <c r="BY1064" s="319"/>
      <c r="BZ1064" s="319"/>
      <c r="CA1064" s="319"/>
      <c r="CB1064" s="319"/>
      <c r="CC1064" s="319"/>
      <c r="CD1064" s="319"/>
      <c r="CE1064" s="319"/>
      <c r="CF1064" s="319"/>
      <c r="CG1064" s="319"/>
      <c r="CH1064" s="319"/>
      <c r="CI1064" s="319"/>
      <c r="CJ1064" s="319"/>
      <c r="CK1064" s="319"/>
    </row>
    <row r="1065" spans="1:89" ht="12.75" hidden="1" customHeight="1">
      <c r="A1065" s="319">
        <v>14</v>
      </c>
      <c r="B1065" s="319"/>
      <c r="C1065" s="319" t="str">
        <f>$C$1088</f>
        <v>Fotovoltaica</v>
      </c>
      <c r="D1065" s="319"/>
      <c r="E1065" s="319"/>
      <c r="F1065" s="319">
        <f>D1062*(P658+P660)</f>
        <v>0</v>
      </c>
      <c r="G1065" s="319"/>
      <c r="H1065" s="319"/>
      <c r="I1065" s="319"/>
      <c r="J1065" s="319"/>
      <c r="K1065" s="319"/>
      <c r="L1065" s="319"/>
      <c r="M1065" s="319"/>
      <c r="N1065" s="319"/>
      <c r="O1065" s="319"/>
      <c r="P1065" s="319"/>
      <c r="Q1065" s="319"/>
      <c r="R1065" s="319"/>
      <c r="S1065" s="319"/>
      <c r="T1065" s="319"/>
      <c r="U1065" s="319"/>
      <c r="V1065" s="319"/>
      <c r="W1065" s="319"/>
      <c r="X1065" s="319"/>
      <c r="Y1065" s="319"/>
      <c r="Z1065" s="319"/>
      <c r="AA1065" s="319"/>
      <c r="AB1065" s="319"/>
      <c r="AC1065" s="319"/>
      <c r="AD1065" s="319"/>
      <c r="AE1065" s="319"/>
      <c r="AF1065" s="319"/>
      <c r="AG1065" s="319"/>
      <c r="AH1065" s="319"/>
      <c r="AI1065" s="319"/>
      <c r="AJ1065" s="319"/>
      <c r="AK1065" s="319"/>
      <c r="AL1065" s="319"/>
      <c r="AM1065" s="319"/>
      <c r="AN1065" s="319"/>
      <c r="AO1065" s="319"/>
      <c r="AP1065" s="319"/>
      <c r="AQ1065" s="319"/>
      <c r="AR1065" s="319"/>
      <c r="AS1065" s="319"/>
      <c r="AT1065" s="319"/>
      <c r="AU1065" s="319"/>
      <c r="AV1065" s="319"/>
      <c r="AW1065" s="319"/>
      <c r="AX1065" s="319"/>
      <c r="AY1065" s="319"/>
      <c r="AZ1065" s="319"/>
      <c r="BA1065" s="319"/>
      <c r="BB1065" s="319"/>
      <c r="BC1065" s="319"/>
      <c r="BD1065" s="319"/>
      <c r="BE1065" s="319"/>
      <c r="BF1065" s="319"/>
      <c r="BG1065" s="319"/>
      <c r="BH1065" s="319"/>
      <c r="BI1065" s="319"/>
      <c r="BJ1065" s="319"/>
      <c r="BK1065" s="319"/>
      <c r="BL1065" s="319"/>
      <c r="BM1065" s="319"/>
      <c r="BN1065" s="319"/>
      <c r="BO1065" s="319"/>
      <c r="BP1065" s="319"/>
      <c r="BQ1065" s="319"/>
      <c r="BR1065" s="319"/>
      <c r="BS1065" s="319"/>
      <c r="BT1065" s="319"/>
      <c r="BU1065" s="319"/>
      <c r="BV1065" s="319"/>
      <c r="BW1065" s="319"/>
      <c r="BX1065" s="319"/>
      <c r="BY1065" s="319"/>
      <c r="BZ1065" s="319"/>
      <c r="CA1065" s="319"/>
      <c r="CB1065" s="319"/>
      <c r="CC1065" s="319"/>
      <c r="CD1065" s="319"/>
      <c r="CE1065" s="319"/>
      <c r="CF1065" s="319"/>
      <c r="CG1065" s="319"/>
      <c r="CH1065" s="319"/>
      <c r="CI1065" s="319"/>
      <c r="CJ1065" s="319"/>
      <c r="CK1065" s="319"/>
    </row>
    <row r="1066" spans="1:89" ht="12.75" hidden="1" customHeight="1">
      <c r="A1066" s="319">
        <v>15</v>
      </c>
      <c r="B1066" s="319" t="s">
        <v>1258</v>
      </c>
      <c r="C1066" s="319" t="s">
        <v>2506</v>
      </c>
      <c r="D1066" s="319">
        <f>IF(C1133=FALSE,0,1)</f>
        <v>0</v>
      </c>
      <c r="E1066" s="319">
        <f>$D1066*IF(EE_CB15_1=FALSE,R730,R697)</f>
        <v>0</v>
      </c>
      <c r="F1066" s="319">
        <f>IF(ISERROR($D1066*IF(EE_CB15_1=FALSE,S730-BM771/3600,S697-BM771/3600)),0,$D1066*IF(EE_CB15_1=FALSE,S730-BM771/3600,S697-BM771/3600))</f>
        <v>0</v>
      </c>
      <c r="G1066" s="319">
        <f>$D1066*IF(EE_CB15_1=FALSE,G731+G759+G802,G698+G759+G802)</f>
        <v>0</v>
      </c>
      <c r="H1066" s="319"/>
      <c r="I1066" s="319">
        <f>D1066*D771</f>
        <v>0</v>
      </c>
      <c r="J1066" s="319"/>
      <c r="K1066" s="319"/>
      <c r="L1066" s="319"/>
      <c r="M1066" s="319"/>
      <c r="N1066" s="319"/>
      <c r="O1066" s="319"/>
      <c r="P1066" s="319"/>
      <c r="Q1066" s="319"/>
      <c r="R1066" s="319"/>
      <c r="S1066" s="319"/>
      <c r="T1066" s="319"/>
      <c r="U1066" s="319"/>
      <c r="V1066" s="319"/>
      <c r="W1066" s="319"/>
      <c r="X1066" s="319"/>
      <c r="Y1066" s="319"/>
      <c r="Z1066" s="319"/>
      <c r="AA1066" s="319"/>
      <c r="AB1066" s="319"/>
      <c r="AC1066" s="319"/>
      <c r="AD1066" s="319"/>
      <c r="AE1066" s="319"/>
      <c r="AF1066" s="319"/>
      <c r="AG1066" s="319"/>
      <c r="AH1066" s="319"/>
      <c r="AI1066" s="319"/>
      <c r="AJ1066" s="319"/>
      <c r="AK1066" s="319"/>
      <c r="AL1066" s="319"/>
      <c r="AM1066" s="319"/>
      <c r="AN1066" s="319"/>
      <c r="AO1066" s="319"/>
      <c r="AP1066" s="319"/>
      <c r="AQ1066" s="319"/>
      <c r="AR1066" s="319"/>
      <c r="AS1066" s="319"/>
      <c r="AT1066" s="319"/>
      <c r="AU1066" s="319"/>
      <c r="AV1066" s="319"/>
      <c r="AW1066" s="319"/>
      <c r="AX1066" s="319"/>
      <c r="AY1066" s="319"/>
      <c r="AZ1066" s="319"/>
      <c r="BA1066" s="319"/>
      <c r="BB1066" s="319"/>
      <c r="BC1066" s="319"/>
      <c r="BD1066" s="319"/>
      <c r="BE1066" s="319"/>
      <c r="BF1066" s="319"/>
      <c r="BG1066" s="319"/>
      <c r="BH1066" s="319"/>
      <c r="BI1066" s="319"/>
      <c r="BJ1066" s="319"/>
      <c r="BK1066" s="319"/>
      <c r="BL1066" s="319"/>
      <c r="BM1066" s="319"/>
      <c r="BN1066" s="319"/>
      <c r="BO1066" s="319"/>
      <c r="BP1066" s="319"/>
      <c r="BQ1066" s="319"/>
      <c r="BR1066" s="319"/>
      <c r="BS1066" s="319"/>
      <c r="BT1066" s="319"/>
      <c r="BU1066" s="319"/>
      <c r="BV1066" s="319"/>
      <c r="BW1066" s="319"/>
      <c r="BX1066" s="319"/>
      <c r="BY1066" s="319"/>
      <c r="BZ1066" s="319"/>
      <c r="CA1066" s="319"/>
      <c r="CB1066" s="319"/>
      <c r="CC1066" s="319"/>
      <c r="CD1066" s="319"/>
      <c r="CE1066" s="319"/>
      <c r="CF1066" s="319"/>
      <c r="CG1066" s="319"/>
      <c r="CH1066" s="319"/>
      <c r="CI1066" s="319"/>
      <c r="CJ1066" s="319"/>
      <c r="CK1066" s="319"/>
    </row>
    <row r="1067" spans="1:89" ht="12.75" hidden="1" customHeight="1">
      <c r="A1067" s="319">
        <v>15</v>
      </c>
      <c r="B1067" s="319"/>
      <c r="C1067" s="319" t="s">
        <v>726</v>
      </c>
      <c r="D1067" s="319"/>
      <c r="E1067" s="319"/>
      <c r="F1067" s="319"/>
      <c r="G1067" s="319"/>
      <c r="H1067" s="319"/>
      <c r="I1067" s="319"/>
      <c r="J1067" s="319"/>
      <c r="K1067" s="319"/>
      <c r="L1067" s="319"/>
      <c r="M1067" s="319"/>
      <c r="N1067" s="319"/>
      <c r="O1067" s="319"/>
      <c r="P1067" s="319"/>
      <c r="Q1067" s="319"/>
      <c r="R1067" s="319"/>
      <c r="S1067" s="319"/>
      <c r="T1067" s="319"/>
      <c r="U1067" s="319"/>
      <c r="V1067" s="319"/>
      <c r="W1067" s="319"/>
      <c r="X1067" s="319"/>
      <c r="Y1067" s="319"/>
      <c r="Z1067" s="319"/>
      <c r="AA1067" s="319"/>
      <c r="AB1067" s="319"/>
      <c r="AC1067" s="319"/>
      <c r="AD1067" s="319"/>
      <c r="AE1067" s="319"/>
      <c r="AF1067" s="319"/>
      <c r="AG1067" s="319"/>
      <c r="AH1067" s="319"/>
      <c r="AI1067" s="319"/>
      <c r="AJ1067" s="319"/>
      <c r="AK1067" s="319"/>
      <c r="AL1067" s="319"/>
      <c r="AM1067" s="319"/>
      <c r="AN1067" s="319"/>
      <c r="AO1067" s="319"/>
      <c r="AP1067" s="319"/>
      <c r="AQ1067" s="319"/>
      <c r="AR1067" s="319"/>
      <c r="AS1067" s="319"/>
      <c r="AT1067" s="319"/>
      <c r="AU1067" s="319"/>
      <c r="AV1067" s="319"/>
      <c r="AW1067" s="319"/>
      <c r="AX1067" s="319"/>
      <c r="AY1067" s="319"/>
      <c r="AZ1067" s="319"/>
      <c r="BA1067" s="319"/>
      <c r="BB1067" s="319"/>
      <c r="BC1067" s="319"/>
      <c r="BD1067" s="319"/>
      <c r="BE1067" s="319"/>
      <c r="BF1067" s="319"/>
      <c r="BG1067" s="319"/>
      <c r="BH1067" s="319"/>
      <c r="BI1067" s="319"/>
      <c r="BJ1067" s="319"/>
      <c r="BK1067" s="319"/>
      <c r="BL1067" s="319"/>
      <c r="BM1067" s="319"/>
      <c r="BN1067" s="319"/>
      <c r="BO1067" s="319"/>
      <c r="BP1067" s="319"/>
      <c r="BQ1067" s="319"/>
      <c r="BR1067" s="319"/>
      <c r="BS1067" s="319"/>
      <c r="BT1067" s="319"/>
      <c r="BU1067" s="319"/>
      <c r="BV1067" s="319"/>
      <c r="BW1067" s="319"/>
      <c r="BX1067" s="319"/>
      <c r="BY1067" s="319"/>
      <c r="BZ1067" s="319"/>
      <c r="CA1067" s="319"/>
      <c r="CB1067" s="319"/>
      <c r="CC1067" s="319"/>
      <c r="CD1067" s="319"/>
      <c r="CE1067" s="319"/>
      <c r="CF1067" s="319"/>
      <c r="CG1067" s="319"/>
      <c r="CH1067" s="319"/>
      <c r="CI1067" s="319"/>
      <c r="CJ1067" s="319"/>
      <c r="CK1067" s="319"/>
    </row>
    <row r="1068" spans="1:89" ht="12.75" hidden="1" customHeight="1">
      <c r="A1068" s="319">
        <v>15</v>
      </c>
      <c r="B1068" s="319"/>
      <c r="C1068" s="319" t="s">
        <v>3442</v>
      </c>
      <c r="D1068" s="319">
        <f>D1066</f>
        <v>0</v>
      </c>
      <c r="E1068" s="319"/>
      <c r="F1068" s="319">
        <f>D785*D1066</f>
        <v>0</v>
      </c>
      <c r="G1068" s="319"/>
      <c r="H1068" s="319"/>
      <c r="I1068" s="319"/>
      <c r="J1068" s="319"/>
      <c r="K1068" s="319"/>
      <c r="L1068" s="319"/>
      <c r="M1068" s="319"/>
      <c r="N1068" s="319"/>
      <c r="O1068" s="319"/>
      <c r="P1068" s="319"/>
      <c r="Q1068" s="319"/>
      <c r="R1068" s="319"/>
      <c r="S1068" s="319"/>
      <c r="T1068" s="319"/>
      <c r="U1068" s="319"/>
      <c r="V1068" s="319"/>
      <c r="W1068" s="319"/>
      <c r="X1068" s="319"/>
      <c r="Y1068" s="319"/>
      <c r="Z1068" s="319"/>
      <c r="AA1068" s="319"/>
      <c r="AB1068" s="319"/>
      <c r="AC1068" s="319"/>
      <c r="AD1068" s="319"/>
      <c r="AE1068" s="319"/>
      <c r="AF1068" s="319"/>
      <c r="AG1068" s="319"/>
      <c r="AH1068" s="319"/>
      <c r="AI1068" s="319"/>
      <c r="AJ1068" s="319"/>
      <c r="AK1068" s="319"/>
      <c r="AL1068" s="319"/>
      <c r="AM1068" s="319"/>
      <c r="AN1068" s="319"/>
      <c r="AO1068" s="319"/>
      <c r="AP1068" s="319"/>
      <c r="AQ1068" s="319"/>
      <c r="AR1068" s="319"/>
      <c r="AS1068" s="319"/>
      <c r="AT1068" s="319"/>
      <c r="AU1068" s="319"/>
      <c r="AV1068" s="319"/>
      <c r="AW1068" s="319"/>
      <c r="AX1068" s="319"/>
      <c r="AY1068" s="319"/>
      <c r="AZ1068" s="319"/>
      <c r="BA1068" s="319"/>
      <c r="BB1068" s="319"/>
      <c r="BC1068" s="319"/>
      <c r="BD1068" s="319"/>
      <c r="BE1068" s="319"/>
      <c r="BF1068" s="319"/>
      <c r="BG1068" s="319"/>
      <c r="BH1068" s="319"/>
      <c r="BI1068" s="319"/>
      <c r="BJ1068" s="319"/>
      <c r="BK1068" s="319"/>
      <c r="BL1068" s="319"/>
      <c r="BM1068" s="319"/>
      <c r="BN1068" s="319"/>
      <c r="BO1068" s="319"/>
      <c r="BP1068" s="319"/>
      <c r="BQ1068" s="319"/>
      <c r="BR1068" s="319"/>
      <c r="BS1068" s="319"/>
      <c r="BT1068" s="319"/>
      <c r="BU1068" s="319"/>
      <c r="BV1068" s="319"/>
      <c r="BW1068" s="319"/>
      <c r="BX1068" s="319"/>
      <c r="BY1068" s="319"/>
      <c r="BZ1068" s="319"/>
      <c r="CA1068" s="319"/>
      <c r="CB1068" s="319"/>
      <c r="CC1068" s="319"/>
      <c r="CD1068" s="319"/>
      <c r="CE1068" s="319"/>
      <c r="CF1068" s="319"/>
      <c r="CG1068" s="319"/>
      <c r="CH1068" s="319"/>
      <c r="CI1068" s="319"/>
      <c r="CJ1068" s="319"/>
      <c r="CK1068" s="319"/>
    </row>
    <row r="1069" spans="1:89" ht="12.75" hidden="1" customHeight="1">
      <c r="A1069" s="319">
        <v>15</v>
      </c>
      <c r="B1069" s="319"/>
      <c r="C1069" s="319" t="str">
        <f>$C$1088</f>
        <v>Fotovoltaica</v>
      </c>
      <c r="D1069" s="319"/>
      <c r="E1069" s="319"/>
      <c r="F1069" s="319">
        <f>IF(ISERROR(BM771/3600*D1066),0,BM771/3600*D1066)</f>
        <v>0</v>
      </c>
      <c r="G1069" s="319"/>
      <c r="H1069" s="319"/>
      <c r="I1069" s="319"/>
      <c r="J1069" s="319"/>
      <c r="K1069" s="319"/>
      <c r="L1069" s="319"/>
      <c r="M1069" s="319"/>
      <c r="N1069" s="319"/>
      <c r="O1069" s="319"/>
      <c r="P1069" s="319"/>
      <c r="Q1069" s="319"/>
      <c r="R1069" s="319"/>
      <c r="S1069" s="319"/>
      <c r="T1069" s="319"/>
      <c r="U1069" s="319"/>
      <c r="V1069" s="319"/>
      <c r="W1069" s="319"/>
      <c r="X1069" s="319"/>
      <c r="Y1069" s="319"/>
      <c r="Z1069" s="319"/>
      <c r="AA1069" s="319"/>
      <c r="AB1069" s="319"/>
      <c r="AC1069" s="319"/>
      <c r="AD1069" s="319"/>
      <c r="AE1069" s="319"/>
      <c r="AF1069" s="319"/>
      <c r="AG1069" s="319"/>
      <c r="AH1069" s="319"/>
      <c r="AI1069" s="319"/>
      <c r="AJ1069" s="319"/>
      <c r="AK1069" s="319"/>
      <c r="AL1069" s="319"/>
      <c r="AM1069" s="319"/>
      <c r="AN1069" s="319"/>
      <c r="AO1069" s="319"/>
      <c r="AP1069" s="319"/>
      <c r="AQ1069" s="319"/>
      <c r="AR1069" s="319"/>
      <c r="AS1069" s="319"/>
      <c r="AT1069" s="319"/>
      <c r="AU1069" s="319"/>
      <c r="AV1069" s="319"/>
      <c r="AW1069" s="319"/>
      <c r="AX1069" s="319"/>
      <c r="AY1069" s="319"/>
      <c r="AZ1069" s="319"/>
      <c r="BA1069" s="319"/>
      <c r="BB1069" s="319"/>
      <c r="BC1069" s="319"/>
      <c r="BD1069" s="319"/>
      <c r="BE1069" s="319"/>
      <c r="BF1069" s="319"/>
      <c r="BG1069" s="319"/>
      <c r="BH1069" s="319"/>
      <c r="BI1069" s="319"/>
      <c r="BJ1069" s="319"/>
      <c r="BK1069" s="319"/>
      <c r="BL1069" s="319"/>
      <c r="BM1069" s="319"/>
      <c r="BN1069" s="319"/>
      <c r="BO1069" s="319"/>
      <c r="BP1069" s="319"/>
      <c r="BQ1069" s="319"/>
      <c r="BR1069" s="319"/>
      <c r="BS1069" s="319"/>
      <c r="BT1069" s="319"/>
      <c r="BU1069" s="319"/>
      <c r="BV1069" s="319"/>
      <c r="BW1069" s="319"/>
      <c r="BX1069" s="319"/>
      <c r="BY1069" s="319"/>
      <c r="BZ1069" s="319"/>
      <c r="CA1069" s="319"/>
      <c r="CB1069" s="319"/>
      <c r="CC1069" s="319"/>
      <c r="CD1069" s="319"/>
      <c r="CE1069" s="319"/>
      <c r="CF1069" s="319"/>
      <c r="CG1069" s="319"/>
      <c r="CH1069" s="319"/>
      <c r="CI1069" s="319"/>
      <c r="CJ1069" s="319"/>
      <c r="CK1069" s="319"/>
    </row>
    <row r="1070" spans="1:89" ht="12.75" hidden="1" customHeight="1">
      <c r="A1070" s="319">
        <v>16</v>
      </c>
      <c r="B1070" s="319" t="s">
        <v>1264</v>
      </c>
      <c r="C1070" s="319" t="str">
        <f>C1088</f>
        <v>Fotovoltaica</v>
      </c>
      <c r="D1070" s="319">
        <f>IF(C1134=FALSE,0,1)</f>
        <v>0</v>
      </c>
      <c r="E1070" s="319"/>
      <c r="F1070" s="494">
        <f>D1070*D857</f>
        <v>0</v>
      </c>
      <c r="G1070" s="494">
        <f>D1070*G853</f>
        <v>0</v>
      </c>
      <c r="H1070" s="494">
        <f>D1070*D853</f>
        <v>0</v>
      </c>
      <c r="I1070" s="494">
        <f>H1070*D856</f>
        <v>0</v>
      </c>
      <c r="J1070" s="494">
        <f>F1070*D858*1000*D1070</f>
        <v>0</v>
      </c>
      <c r="K1070" s="494">
        <f>F1070</f>
        <v>0</v>
      </c>
      <c r="L1070" s="319"/>
      <c r="M1070" s="319"/>
      <c r="N1070" s="319"/>
      <c r="O1070" s="319"/>
      <c r="P1070" s="319"/>
      <c r="Q1070" s="319"/>
      <c r="R1070" s="319"/>
      <c r="S1070" s="319"/>
      <c r="T1070" s="319"/>
      <c r="U1070" s="319"/>
      <c r="V1070" s="319"/>
      <c r="W1070" s="319"/>
      <c r="X1070" s="319"/>
      <c r="Y1070" s="319"/>
      <c r="Z1070" s="319"/>
      <c r="AA1070" s="319"/>
      <c r="AB1070" s="319"/>
      <c r="AC1070" s="319"/>
      <c r="AD1070" s="319"/>
      <c r="AE1070" s="319"/>
      <c r="AF1070" s="319"/>
      <c r="AG1070" s="319"/>
      <c r="AH1070" s="319"/>
      <c r="AI1070" s="319"/>
      <c r="AJ1070" s="319"/>
      <c r="AK1070" s="319"/>
      <c r="AL1070" s="319"/>
      <c r="AM1070" s="319"/>
      <c r="AN1070" s="319"/>
      <c r="AO1070" s="319"/>
      <c r="AP1070" s="319"/>
      <c r="AQ1070" s="319"/>
      <c r="AR1070" s="319"/>
      <c r="AS1070" s="319"/>
      <c r="AT1070" s="319"/>
      <c r="AU1070" s="319"/>
      <c r="AV1070" s="319"/>
      <c r="AW1070" s="319"/>
      <c r="AX1070" s="319"/>
      <c r="AY1070" s="319"/>
      <c r="AZ1070" s="319"/>
      <c r="BA1070" s="319"/>
      <c r="BB1070" s="319"/>
      <c r="BC1070" s="319"/>
      <c r="BD1070" s="319"/>
      <c r="BE1070" s="319"/>
      <c r="BF1070" s="319"/>
      <c r="BG1070" s="319"/>
      <c r="BH1070" s="319"/>
      <c r="BI1070" s="319"/>
      <c r="BJ1070" s="319"/>
      <c r="BK1070" s="319"/>
      <c r="BL1070" s="319"/>
      <c r="BM1070" s="319"/>
      <c r="BN1070" s="319"/>
      <c r="BO1070" s="319"/>
      <c r="BP1070" s="319"/>
      <c r="BQ1070" s="319"/>
      <c r="BR1070" s="319"/>
      <c r="BS1070" s="319"/>
      <c r="BT1070" s="319"/>
      <c r="BU1070" s="319"/>
      <c r="BV1070" s="319"/>
      <c r="BW1070" s="319"/>
      <c r="BX1070" s="319"/>
      <c r="BY1070" s="319"/>
      <c r="BZ1070" s="319"/>
      <c r="CA1070" s="319"/>
      <c r="CB1070" s="319"/>
      <c r="CC1070" s="319"/>
      <c r="CD1070" s="319"/>
      <c r="CE1070" s="319"/>
      <c r="CF1070" s="319"/>
      <c r="CG1070" s="319"/>
      <c r="CH1070" s="319"/>
      <c r="CI1070" s="319"/>
      <c r="CJ1070" s="319"/>
      <c r="CK1070" s="319"/>
    </row>
    <row r="1071" spans="1:89" ht="12.75" hidden="1" customHeight="1">
      <c r="A1071" s="319">
        <v>17</v>
      </c>
      <c r="B1071" s="319" t="s">
        <v>1266</v>
      </c>
      <c r="C1071" s="319" t="str">
        <f>C1086</f>
        <v>Turbina eólica</v>
      </c>
      <c r="D1071" s="319">
        <f>IF(C1135=FALSE,0,1)</f>
        <v>0</v>
      </c>
      <c r="E1071" s="319"/>
      <c r="F1071" s="319">
        <f>D1071*D866</f>
        <v>0</v>
      </c>
      <c r="G1071" s="319">
        <f>D1071*G862</f>
        <v>0</v>
      </c>
      <c r="H1071" s="319">
        <f>D1071*D862</f>
        <v>0</v>
      </c>
      <c r="I1071" s="319">
        <f>H1071*D865</f>
        <v>0</v>
      </c>
      <c r="J1071" s="319">
        <f>F1071*D867*1000*D1071</f>
        <v>0</v>
      </c>
      <c r="K1071" s="494">
        <f>F1071</f>
        <v>0</v>
      </c>
      <c r="L1071" s="319"/>
      <c r="M1071" s="319"/>
      <c r="N1071" s="319"/>
      <c r="O1071" s="319"/>
      <c r="P1071" s="319"/>
      <c r="Q1071" s="319"/>
      <c r="R1071" s="319"/>
      <c r="S1071" s="319"/>
      <c r="T1071" s="319"/>
      <c r="U1071" s="319"/>
      <c r="V1071" s="319"/>
      <c r="W1071" s="319"/>
      <c r="X1071" s="319"/>
      <c r="Y1071" s="319"/>
      <c r="Z1071" s="319"/>
      <c r="AA1071" s="319"/>
      <c r="AB1071" s="319"/>
      <c r="AC1071" s="319"/>
      <c r="AD1071" s="319"/>
      <c r="AE1071" s="319"/>
      <c r="AF1071" s="319"/>
      <c r="AG1071" s="319"/>
      <c r="AH1071" s="319"/>
      <c r="AI1071" s="319"/>
      <c r="AJ1071" s="319"/>
      <c r="AK1071" s="319"/>
      <c r="AL1071" s="319"/>
      <c r="AM1071" s="319"/>
      <c r="AN1071" s="319"/>
      <c r="AO1071" s="319"/>
      <c r="AP1071" s="319"/>
      <c r="AQ1071" s="319"/>
      <c r="AR1071" s="319"/>
      <c r="AS1071" s="319"/>
      <c r="AT1071" s="319"/>
      <c r="AU1071" s="319"/>
      <c r="AV1071" s="319"/>
      <c r="AW1071" s="319"/>
      <c r="AX1071" s="319"/>
      <c r="AY1071" s="319"/>
      <c r="AZ1071" s="319"/>
      <c r="BA1071" s="319"/>
      <c r="BB1071" s="319"/>
      <c r="BC1071" s="319"/>
      <c r="BD1071" s="319"/>
      <c r="BE1071" s="319"/>
      <c r="BF1071" s="319"/>
      <c r="BG1071" s="319"/>
      <c r="BH1071" s="319"/>
      <c r="BI1071" s="319"/>
      <c r="BJ1071" s="319"/>
      <c r="BK1071" s="319"/>
      <c r="BL1071" s="319"/>
      <c r="BM1071" s="319"/>
      <c r="BN1071" s="319"/>
      <c r="BO1071" s="319"/>
      <c r="BP1071" s="319"/>
      <c r="BQ1071" s="319"/>
      <c r="BR1071" s="319"/>
      <c r="BS1071" s="319"/>
      <c r="BT1071" s="319"/>
      <c r="BU1071" s="319"/>
      <c r="BV1071" s="319"/>
      <c r="BW1071" s="319"/>
      <c r="BX1071" s="319"/>
      <c r="BY1071" s="319"/>
      <c r="BZ1071" s="319"/>
      <c r="CA1071" s="319"/>
      <c r="CB1071" s="319"/>
      <c r="CC1071" s="319"/>
      <c r="CD1071" s="319"/>
      <c r="CE1071" s="319"/>
      <c r="CF1071" s="319"/>
      <c r="CG1071" s="319"/>
      <c r="CH1071" s="319"/>
      <c r="CI1071" s="319"/>
      <c r="CJ1071" s="319"/>
      <c r="CK1071" s="319"/>
    </row>
    <row r="1072" spans="1:89" ht="12.75" hidden="1" customHeight="1">
      <c r="A1072" s="319">
        <v>18</v>
      </c>
      <c r="B1072" s="319" t="s">
        <v>4221</v>
      </c>
      <c r="C1072" s="319" t="str">
        <f>C1087</f>
        <v>Turbina hidráulica</v>
      </c>
      <c r="D1072" s="319">
        <f>IF(C1136=FALSE,0,1)</f>
        <v>0</v>
      </c>
      <c r="E1072" s="319"/>
      <c r="F1072" s="494">
        <f>D1072*D874</f>
        <v>0</v>
      </c>
      <c r="G1072" s="494">
        <f>D1072*G870</f>
        <v>0</v>
      </c>
      <c r="H1072" s="494">
        <f>D1072*D870</f>
        <v>0</v>
      </c>
      <c r="I1072" s="494">
        <f>H1072*D873</f>
        <v>0</v>
      </c>
      <c r="J1072" s="494">
        <f>F1072*D875*1000*D1072</f>
        <v>0</v>
      </c>
      <c r="K1072" s="494">
        <f>F1072</f>
        <v>0</v>
      </c>
      <c r="L1072" s="319"/>
      <c r="M1072" s="319"/>
      <c r="N1072" s="319"/>
      <c r="O1072" s="319"/>
      <c r="P1072" s="319"/>
      <c r="Q1072" s="319"/>
      <c r="R1072" s="319"/>
      <c r="S1072" s="319"/>
      <c r="T1072" s="319"/>
      <c r="U1072" s="319"/>
      <c r="V1072" s="319"/>
      <c r="W1072" s="319"/>
      <c r="X1072" s="319"/>
      <c r="Y1072" s="319"/>
      <c r="Z1072" s="319"/>
      <c r="AA1072" s="319"/>
      <c r="AB1072" s="319"/>
      <c r="AC1072" s="319"/>
      <c r="AD1072" s="319"/>
      <c r="AE1072" s="319"/>
      <c r="AF1072" s="319"/>
      <c r="AG1072" s="319"/>
      <c r="AH1072" s="319"/>
      <c r="AI1072" s="319"/>
      <c r="AJ1072" s="319"/>
      <c r="AK1072" s="319"/>
      <c r="AL1072" s="319"/>
      <c r="AM1072" s="319"/>
      <c r="AN1072" s="319"/>
      <c r="AO1072" s="319"/>
      <c r="AP1072" s="319"/>
      <c r="AQ1072" s="319"/>
      <c r="AR1072" s="319"/>
      <c r="AS1072" s="319"/>
      <c r="AT1072" s="319"/>
      <c r="AU1072" s="319"/>
      <c r="AV1072" s="319"/>
      <c r="AW1072" s="319"/>
      <c r="AX1072" s="319"/>
      <c r="AY1072" s="319"/>
      <c r="AZ1072" s="319"/>
      <c r="BA1072" s="319"/>
      <c r="BB1072" s="319"/>
      <c r="BC1072" s="319"/>
      <c r="BD1072" s="319"/>
      <c r="BE1072" s="319"/>
      <c r="BF1072" s="319"/>
      <c r="BG1072" s="319"/>
      <c r="BH1072" s="319"/>
      <c r="BI1072" s="319"/>
      <c r="BJ1072" s="319"/>
      <c r="BK1072" s="319"/>
      <c r="BL1072" s="319"/>
      <c r="BM1072" s="319"/>
      <c r="BN1072" s="319"/>
      <c r="BO1072" s="319"/>
      <c r="BP1072" s="319"/>
      <c r="BQ1072" s="319"/>
      <c r="BR1072" s="319"/>
      <c r="BS1072" s="319"/>
      <c r="BT1072" s="319"/>
      <c r="BU1072" s="319"/>
      <c r="BV1072" s="319"/>
      <c r="BW1072" s="319"/>
      <c r="BX1072" s="319"/>
      <c r="BY1072" s="319"/>
      <c r="BZ1072" s="319"/>
      <c r="CA1072" s="319"/>
      <c r="CB1072" s="319"/>
      <c r="CC1072" s="319"/>
      <c r="CD1072" s="319"/>
      <c r="CE1072" s="319"/>
      <c r="CF1072" s="319"/>
      <c r="CG1072" s="319"/>
      <c r="CH1072" s="319"/>
      <c r="CI1072" s="319"/>
      <c r="CJ1072" s="319"/>
      <c r="CK1072" s="319"/>
    </row>
    <row r="1073" spans="1:89" ht="12.75" hidden="1" customHeight="1">
      <c r="A1073" s="319">
        <v>16</v>
      </c>
      <c r="B1073" s="319"/>
      <c r="C1073" s="319"/>
      <c r="D1073" s="319"/>
      <c r="E1073" s="319"/>
      <c r="F1073" s="319"/>
      <c r="G1073" s="319"/>
      <c r="H1073" s="319"/>
      <c r="I1073" s="319"/>
      <c r="J1073" s="319"/>
      <c r="K1073" s="319"/>
      <c r="L1073" s="319"/>
      <c r="M1073" s="319"/>
      <c r="N1073" s="319"/>
      <c r="O1073" s="319"/>
      <c r="P1073" s="319"/>
      <c r="Q1073" s="319"/>
      <c r="R1073" s="319"/>
      <c r="S1073" s="319"/>
      <c r="T1073" s="319"/>
      <c r="U1073" s="319"/>
      <c r="V1073" s="319"/>
      <c r="W1073" s="319"/>
      <c r="X1073" s="319"/>
      <c r="Y1073" s="319"/>
      <c r="Z1073" s="319"/>
      <c r="AA1073" s="319"/>
      <c r="AB1073" s="319"/>
      <c r="AC1073" s="319"/>
      <c r="AD1073" s="319"/>
      <c r="AE1073" s="319"/>
      <c r="AF1073" s="319"/>
      <c r="AG1073" s="319"/>
      <c r="AH1073" s="319"/>
      <c r="AI1073" s="319"/>
      <c r="AJ1073" s="319"/>
      <c r="AK1073" s="319"/>
      <c r="AL1073" s="319"/>
      <c r="AM1073" s="319"/>
      <c r="AN1073" s="319"/>
      <c r="AO1073" s="319"/>
      <c r="AP1073" s="319"/>
      <c r="AQ1073" s="319"/>
      <c r="AR1073" s="319"/>
      <c r="AS1073" s="319"/>
      <c r="AT1073" s="319"/>
      <c r="AU1073" s="319"/>
      <c r="AV1073" s="319"/>
      <c r="AW1073" s="319"/>
      <c r="AX1073" s="319"/>
      <c r="AY1073" s="319"/>
      <c r="AZ1073" s="319"/>
      <c r="BA1073" s="319"/>
      <c r="BB1073" s="319"/>
      <c r="BC1073" s="319"/>
      <c r="BD1073" s="319"/>
      <c r="BE1073" s="319"/>
      <c r="BF1073" s="319"/>
      <c r="BG1073" s="319"/>
      <c r="BH1073" s="319"/>
      <c r="BI1073" s="319"/>
      <c r="BJ1073" s="319"/>
      <c r="BK1073" s="319"/>
      <c r="BL1073" s="319"/>
      <c r="BM1073" s="319"/>
      <c r="BN1073" s="319"/>
      <c r="BO1073" s="319"/>
      <c r="BP1073" s="319"/>
      <c r="BQ1073" s="319"/>
      <c r="BR1073" s="319"/>
      <c r="BS1073" s="319"/>
      <c r="BT1073" s="319"/>
      <c r="BU1073" s="319"/>
      <c r="BV1073" s="319"/>
      <c r="BW1073" s="319"/>
      <c r="BX1073" s="319"/>
      <c r="BY1073" s="319"/>
      <c r="BZ1073" s="319"/>
      <c r="CA1073" s="319"/>
      <c r="CB1073" s="319"/>
      <c r="CC1073" s="319"/>
      <c r="CD1073" s="319"/>
      <c r="CE1073" s="319"/>
      <c r="CF1073" s="319"/>
      <c r="CG1073" s="319"/>
      <c r="CH1073" s="319"/>
      <c r="CI1073" s="319"/>
      <c r="CJ1073" s="319"/>
      <c r="CK1073" s="319"/>
    </row>
    <row r="1074" spans="1:89" ht="12.75" hidden="1" customHeight="1">
      <c r="A1074" s="319">
        <v>16</v>
      </c>
      <c r="B1074" s="319"/>
      <c r="C1074" s="319"/>
      <c r="D1074" s="494"/>
      <c r="E1074" s="494"/>
      <c r="F1074" s="319"/>
      <c r="G1074" s="319"/>
      <c r="H1074" s="319"/>
      <c r="I1074" s="319"/>
      <c r="J1074" s="319"/>
      <c r="K1074" s="319"/>
      <c r="L1074" s="319"/>
      <c r="M1074" s="319"/>
      <c r="N1074" s="319"/>
      <c r="O1074" s="319"/>
      <c r="P1074" s="319"/>
      <c r="Q1074" s="319"/>
      <c r="R1074" s="319"/>
      <c r="S1074" s="319"/>
      <c r="T1074" s="319"/>
      <c r="U1074" s="319"/>
      <c r="V1074" s="319"/>
      <c r="W1074" s="319"/>
      <c r="X1074" s="319"/>
      <c r="Y1074" s="319"/>
      <c r="Z1074" s="319"/>
      <c r="AA1074" s="319"/>
      <c r="AB1074" s="319"/>
      <c r="AC1074" s="319"/>
      <c r="AD1074" s="319"/>
      <c r="AE1074" s="319"/>
      <c r="AF1074" s="319"/>
      <c r="AG1074" s="319"/>
      <c r="AH1074" s="319"/>
      <c r="AI1074" s="319"/>
      <c r="AJ1074" s="319"/>
      <c r="AK1074" s="319"/>
      <c r="AL1074" s="319"/>
      <c r="AM1074" s="319"/>
      <c r="AN1074" s="319"/>
      <c r="AO1074" s="319"/>
      <c r="AP1074" s="319"/>
      <c r="AQ1074" s="319"/>
      <c r="AR1074" s="319"/>
      <c r="AS1074" s="319"/>
      <c r="AT1074" s="319"/>
      <c r="AU1074" s="319"/>
      <c r="AV1074" s="319"/>
      <c r="AW1074" s="319"/>
      <c r="AX1074" s="319"/>
      <c r="AY1074" s="319"/>
      <c r="AZ1074" s="319"/>
      <c r="BA1074" s="319"/>
      <c r="BB1074" s="319"/>
      <c r="BC1074" s="319"/>
      <c r="BD1074" s="319"/>
      <c r="BE1074" s="319"/>
      <c r="BF1074" s="319"/>
      <c r="BG1074" s="319"/>
      <c r="BH1074" s="319"/>
      <c r="BI1074" s="319"/>
      <c r="BJ1074" s="319"/>
      <c r="BK1074" s="319"/>
      <c r="BL1074" s="319"/>
      <c r="BM1074" s="319"/>
      <c r="BN1074" s="319"/>
      <c r="BO1074" s="319"/>
      <c r="BP1074" s="319"/>
      <c r="BQ1074" s="319"/>
      <c r="BR1074" s="319"/>
      <c r="BS1074" s="319"/>
      <c r="BT1074" s="319"/>
      <c r="BU1074" s="319"/>
      <c r="BV1074" s="319"/>
      <c r="BW1074" s="319"/>
      <c r="BX1074" s="319"/>
      <c r="BY1074" s="319"/>
      <c r="BZ1074" s="319"/>
      <c r="CA1074" s="319"/>
      <c r="CB1074" s="319"/>
      <c r="CC1074" s="319"/>
      <c r="CD1074" s="319"/>
      <c r="CE1074" s="319"/>
      <c r="CF1074" s="319"/>
      <c r="CG1074" s="319"/>
      <c r="CH1074" s="319"/>
      <c r="CI1074" s="319"/>
      <c r="CJ1074" s="319"/>
      <c r="CK1074" s="319"/>
    </row>
    <row r="1075" spans="1:89" ht="12.75" hidden="1" customHeight="1">
      <c r="A1075" s="319">
        <v>16</v>
      </c>
      <c r="B1075" s="319"/>
      <c r="C1075" s="319"/>
      <c r="D1075" s="494"/>
      <c r="E1075" s="494"/>
      <c r="F1075" s="319"/>
      <c r="G1075" s="319"/>
      <c r="H1075" s="319"/>
      <c r="I1075" s="319"/>
      <c r="J1075" s="319"/>
      <c r="K1075" s="319"/>
      <c r="L1075" s="319"/>
      <c r="M1075" s="319"/>
      <c r="N1075" s="319"/>
      <c r="O1075" s="319"/>
      <c r="P1075" s="319"/>
      <c r="Q1075" s="319"/>
      <c r="R1075" s="319"/>
      <c r="S1075" s="319"/>
      <c r="T1075" s="319"/>
      <c r="U1075" s="319"/>
      <c r="V1075" s="319"/>
      <c r="W1075" s="319"/>
      <c r="X1075" s="319"/>
      <c r="Y1075" s="319"/>
      <c r="Z1075" s="319"/>
      <c r="AA1075" s="319"/>
      <c r="AB1075" s="319"/>
      <c r="AC1075" s="319"/>
      <c r="AD1075" s="319"/>
      <c r="AE1075" s="319"/>
      <c r="AF1075" s="319"/>
      <c r="AG1075" s="319"/>
      <c r="AH1075" s="319"/>
      <c r="AI1075" s="319"/>
      <c r="AJ1075" s="319"/>
      <c r="AK1075" s="319"/>
      <c r="AL1075" s="319"/>
      <c r="AM1075" s="319"/>
      <c r="AN1075" s="319"/>
      <c r="AO1075" s="319"/>
      <c r="AP1075" s="319"/>
      <c r="AQ1075" s="319"/>
      <c r="AR1075" s="319"/>
      <c r="AS1075" s="319"/>
      <c r="AT1075" s="319"/>
      <c r="AU1075" s="319"/>
      <c r="AV1075" s="319"/>
      <c r="AW1075" s="319"/>
      <c r="AX1075" s="319"/>
      <c r="AY1075" s="319"/>
      <c r="AZ1075" s="319"/>
      <c r="BA1075" s="319"/>
      <c r="BB1075" s="319"/>
      <c r="BC1075" s="319"/>
      <c r="BD1075" s="319"/>
      <c r="BE1075" s="319"/>
      <c r="BF1075" s="319"/>
      <c r="BG1075" s="319"/>
      <c r="BH1075" s="319"/>
      <c r="BI1075" s="319"/>
      <c r="BJ1075" s="319"/>
      <c r="BK1075" s="319"/>
      <c r="BL1075" s="319"/>
      <c r="BM1075" s="319"/>
      <c r="BN1075" s="319"/>
      <c r="BO1075" s="319"/>
      <c r="BP1075" s="319"/>
      <c r="BQ1075" s="319"/>
      <c r="BR1075" s="319"/>
      <c r="BS1075" s="319"/>
      <c r="BT1075" s="319"/>
      <c r="BU1075" s="319"/>
      <c r="BV1075" s="319"/>
      <c r="BW1075" s="319"/>
      <c r="BX1075" s="319"/>
      <c r="BY1075" s="319"/>
      <c r="BZ1075" s="319"/>
      <c r="CA1075" s="319"/>
      <c r="CB1075" s="319"/>
      <c r="CC1075" s="319"/>
      <c r="CD1075" s="319"/>
      <c r="CE1075" s="319"/>
      <c r="CF1075" s="319"/>
      <c r="CG1075" s="319"/>
      <c r="CH1075" s="319"/>
      <c r="CI1075" s="319"/>
      <c r="CJ1075" s="319"/>
      <c r="CK1075" s="319"/>
    </row>
    <row r="1076" spans="1:89" ht="12.75" hidden="1" customHeight="1">
      <c r="A1076" s="319">
        <v>25</v>
      </c>
      <c r="B1076" s="319" t="s">
        <v>2506</v>
      </c>
      <c r="C1076" s="318" t="s">
        <v>2476</v>
      </c>
      <c r="D1076" s="494">
        <f>IF(EE_CB25=TRUE,1,0)</f>
        <v>0</v>
      </c>
      <c r="E1076" s="494">
        <f>D1076*P910</f>
        <v>0</v>
      </c>
      <c r="F1076" s="494">
        <f>D1076*Q910</f>
        <v>0</v>
      </c>
      <c r="G1076" s="494">
        <f>D1076*(G914+G907+G925)</f>
        <v>0</v>
      </c>
      <c r="H1076" s="494"/>
      <c r="I1076" s="494"/>
      <c r="J1076" s="494"/>
      <c r="K1076" s="319"/>
      <c r="L1076" s="319"/>
      <c r="M1076" s="319"/>
      <c r="N1076" s="319"/>
      <c r="O1076" s="319"/>
      <c r="P1076" s="319"/>
      <c r="Q1076" s="319"/>
      <c r="R1076" s="319"/>
      <c r="S1076" s="319"/>
      <c r="T1076" s="319"/>
      <c r="U1076" s="319"/>
      <c r="V1076" s="319"/>
      <c r="W1076" s="319"/>
      <c r="X1076" s="319"/>
      <c r="Y1076" s="319"/>
      <c r="Z1076" s="319"/>
      <c r="AA1076" s="319"/>
      <c r="AB1076" s="319"/>
      <c r="AC1076" s="319"/>
      <c r="AD1076" s="319"/>
      <c r="AE1076" s="319"/>
      <c r="AF1076" s="319"/>
      <c r="AG1076" s="319"/>
      <c r="AH1076" s="319"/>
      <c r="AI1076" s="319"/>
      <c r="AJ1076" s="319"/>
      <c r="AK1076" s="319"/>
      <c r="AL1076" s="319"/>
      <c r="AM1076" s="319"/>
      <c r="AN1076" s="319"/>
      <c r="AO1076" s="319"/>
      <c r="AP1076" s="319"/>
      <c r="AQ1076" s="319"/>
      <c r="AR1076" s="319"/>
      <c r="AS1076" s="319"/>
      <c r="AT1076" s="319"/>
      <c r="AU1076" s="319"/>
      <c r="AV1076" s="319"/>
      <c r="AW1076" s="319"/>
      <c r="AX1076" s="319"/>
      <c r="AY1076" s="319"/>
      <c r="AZ1076" s="319"/>
      <c r="BA1076" s="319"/>
      <c r="BB1076" s="319"/>
      <c r="BC1076" s="319"/>
      <c r="BD1076" s="319"/>
      <c r="BE1076" s="319"/>
      <c r="BF1076" s="319"/>
      <c r="BG1076" s="319"/>
      <c r="BH1076" s="319"/>
      <c r="BI1076" s="319"/>
      <c r="BJ1076" s="319"/>
      <c r="BK1076" s="319"/>
      <c r="BL1076" s="319"/>
      <c r="BM1076" s="319"/>
      <c r="BN1076" s="319"/>
      <c r="BO1076" s="319"/>
      <c r="BP1076" s="319"/>
      <c r="BQ1076" s="319"/>
      <c r="BR1076" s="319"/>
      <c r="BS1076" s="319"/>
      <c r="BT1076" s="319"/>
      <c r="BU1076" s="319"/>
      <c r="BV1076" s="319"/>
      <c r="BW1076" s="319"/>
      <c r="BX1076" s="319"/>
      <c r="BY1076" s="319"/>
      <c r="BZ1076" s="319"/>
      <c r="CA1076" s="319"/>
      <c r="CB1076" s="319"/>
      <c r="CC1076" s="319"/>
      <c r="CD1076" s="319"/>
      <c r="CE1076" s="319"/>
      <c r="CF1076" s="319"/>
      <c r="CG1076" s="319"/>
      <c r="CH1076" s="319"/>
      <c r="CI1076" s="319"/>
      <c r="CJ1076" s="319"/>
      <c r="CK1076" s="319"/>
    </row>
    <row r="1077" spans="1:89" ht="12.75" hidden="1" customHeight="1">
      <c r="A1077" s="319"/>
      <c r="B1077" s="319"/>
      <c r="C1077" s="319" t="s">
        <v>2506</v>
      </c>
      <c r="D1077" s="319"/>
      <c r="E1077" s="319"/>
      <c r="F1077" s="319"/>
      <c r="G1077" s="319"/>
      <c r="H1077" s="319"/>
      <c r="I1077" s="319"/>
      <c r="J1077" s="319"/>
      <c r="K1077" s="319"/>
      <c r="L1077" s="319"/>
      <c r="M1077" s="319"/>
      <c r="N1077" s="319"/>
      <c r="O1077" s="319"/>
      <c r="P1077" s="319"/>
      <c r="Q1077" s="319"/>
      <c r="R1077" s="319"/>
      <c r="S1077" s="319"/>
      <c r="T1077" s="319"/>
      <c r="U1077" s="319"/>
      <c r="V1077" s="319"/>
      <c r="W1077" s="319"/>
      <c r="X1077" s="319"/>
      <c r="Y1077" s="319"/>
      <c r="Z1077" s="319"/>
      <c r="AA1077" s="319"/>
      <c r="AB1077" s="319"/>
      <c r="AC1077" s="319"/>
      <c r="AD1077" s="319"/>
      <c r="AE1077" s="319"/>
      <c r="AF1077" s="319"/>
      <c r="AG1077" s="319"/>
      <c r="AH1077" s="319"/>
      <c r="AI1077" s="319"/>
      <c r="AJ1077" s="319"/>
      <c r="AK1077" s="319"/>
      <c r="AL1077" s="319"/>
      <c r="AM1077" s="319"/>
      <c r="AN1077" s="319"/>
      <c r="AO1077" s="319"/>
      <c r="AP1077" s="319"/>
      <c r="AQ1077" s="319"/>
      <c r="AR1077" s="319"/>
      <c r="AS1077" s="319"/>
      <c r="AT1077" s="319"/>
      <c r="AU1077" s="319"/>
      <c r="AV1077" s="319"/>
      <c r="AW1077" s="319"/>
      <c r="AX1077" s="319"/>
      <c r="AY1077" s="319"/>
      <c r="AZ1077" s="319"/>
      <c r="BA1077" s="319"/>
      <c r="BB1077" s="319"/>
      <c r="BC1077" s="319"/>
      <c r="BD1077" s="319"/>
      <c r="BE1077" s="319"/>
      <c r="BF1077" s="319"/>
      <c r="BG1077" s="319"/>
      <c r="BH1077" s="319"/>
      <c r="BI1077" s="319"/>
      <c r="BJ1077" s="319"/>
      <c r="BK1077" s="319"/>
      <c r="BL1077" s="319"/>
      <c r="BM1077" s="319"/>
      <c r="BN1077" s="319"/>
      <c r="BO1077" s="319"/>
      <c r="BP1077" s="319"/>
      <c r="BQ1077" s="319"/>
      <c r="BR1077" s="319"/>
      <c r="BS1077" s="319"/>
      <c r="BT1077" s="319"/>
      <c r="BU1077" s="319"/>
      <c r="BV1077" s="319"/>
      <c r="BW1077" s="319"/>
      <c r="BX1077" s="319"/>
      <c r="BY1077" s="319"/>
      <c r="BZ1077" s="319"/>
      <c r="CA1077" s="319"/>
      <c r="CB1077" s="319"/>
      <c r="CC1077" s="319"/>
      <c r="CD1077" s="319"/>
      <c r="CE1077" s="319"/>
      <c r="CF1077" s="319"/>
      <c r="CG1077" s="319"/>
      <c r="CH1077" s="319"/>
      <c r="CI1077" s="319"/>
      <c r="CJ1077" s="319"/>
      <c r="CK1077" s="319"/>
    </row>
    <row r="1078" spans="1:89" ht="12.75" hidden="1" customHeight="1">
      <c r="A1078" s="319"/>
      <c r="B1078" s="319"/>
      <c r="C1078" s="319" t="s">
        <v>726</v>
      </c>
      <c r="D1078" s="319"/>
      <c r="E1078" s="319"/>
      <c r="F1078" s="319"/>
      <c r="G1078" s="319"/>
      <c r="H1078" s="319"/>
      <c r="I1078" s="319"/>
      <c r="J1078" s="319"/>
      <c r="K1078" s="319"/>
      <c r="L1078" s="319"/>
      <c r="M1078" s="319"/>
      <c r="N1078" s="319"/>
      <c r="O1078" s="319"/>
      <c r="P1078" s="319"/>
      <c r="Q1078" s="319"/>
      <c r="R1078" s="319"/>
      <c r="S1078" s="319"/>
      <c r="T1078" s="319"/>
      <c r="U1078" s="319"/>
      <c r="V1078" s="319"/>
      <c r="W1078" s="319"/>
      <c r="X1078" s="319"/>
      <c r="Y1078" s="319"/>
      <c r="Z1078" s="319"/>
      <c r="AA1078" s="319"/>
      <c r="AB1078" s="319"/>
      <c r="AC1078" s="319"/>
      <c r="AD1078" s="319"/>
      <c r="AE1078" s="319"/>
      <c r="AF1078" s="319"/>
      <c r="AG1078" s="319"/>
      <c r="AH1078" s="319"/>
      <c r="AI1078" s="319"/>
      <c r="AJ1078" s="319"/>
      <c r="AK1078" s="319"/>
      <c r="AL1078" s="319"/>
      <c r="AM1078" s="319"/>
      <c r="AN1078" s="319"/>
      <c r="AO1078" s="319"/>
      <c r="AP1078" s="319"/>
      <c r="AQ1078" s="319"/>
      <c r="AR1078" s="319"/>
      <c r="AS1078" s="319"/>
      <c r="AT1078" s="319"/>
      <c r="AU1078" s="319"/>
      <c r="AV1078" s="319"/>
      <c r="AW1078" s="319"/>
      <c r="AX1078" s="319"/>
      <c r="AY1078" s="319"/>
      <c r="AZ1078" s="319"/>
      <c r="BA1078" s="319"/>
      <c r="BB1078" s="319"/>
      <c r="BC1078" s="319"/>
      <c r="BD1078" s="319"/>
      <c r="BE1078" s="319"/>
      <c r="BF1078" s="319"/>
      <c r="BG1078" s="319"/>
      <c r="BH1078" s="319"/>
      <c r="BI1078" s="319"/>
      <c r="BJ1078" s="319"/>
      <c r="BK1078" s="319"/>
      <c r="BL1078" s="319"/>
      <c r="BM1078" s="319"/>
      <c r="BN1078" s="319"/>
      <c r="BO1078" s="319"/>
      <c r="BP1078" s="319"/>
      <c r="BQ1078" s="319"/>
      <c r="BR1078" s="319"/>
      <c r="BS1078" s="319"/>
      <c r="BT1078" s="319"/>
      <c r="BU1078" s="319"/>
      <c r="BV1078" s="319"/>
      <c r="BW1078" s="319"/>
      <c r="BX1078" s="319"/>
      <c r="BY1078" s="319"/>
      <c r="BZ1078" s="319"/>
      <c r="CA1078" s="319"/>
      <c r="CB1078" s="319"/>
      <c r="CC1078" s="319"/>
      <c r="CD1078" s="319"/>
      <c r="CE1078" s="319"/>
      <c r="CF1078" s="319"/>
      <c r="CG1078" s="319"/>
      <c r="CH1078" s="319"/>
      <c r="CI1078" s="319"/>
      <c r="CJ1078" s="319"/>
      <c r="CK1078" s="319"/>
    </row>
    <row r="1079" spans="1:89" ht="12.75" hidden="1" customHeight="1">
      <c r="A1079" s="319"/>
      <c r="B1079" s="319"/>
      <c r="C1079" s="319" t="s">
        <v>3442</v>
      </c>
      <c r="D1079" s="319"/>
      <c r="E1079" s="319"/>
      <c r="F1079" s="319"/>
      <c r="G1079" s="319"/>
      <c r="H1079" s="319"/>
      <c r="I1079" s="319"/>
      <c r="J1079" s="319"/>
      <c r="K1079" s="319"/>
      <c r="L1079" s="319"/>
      <c r="M1079" s="319"/>
      <c r="N1079" s="319"/>
      <c r="O1079" s="319"/>
      <c r="P1079" s="319"/>
      <c r="Q1079" s="319"/>
      <c r="R1079" s="319"/>
      <c r="S1079" s="319"/>
      <c r="T1079" s="319"/>
      <c r="U1079" s="319"/>
      <c r="V1079" s="319"/>
      <c r="W1079" s="319"/>
      <c r="X1079" s="319"/>
      <c r="Y1079" s="319"/>
      <c r="Z1079" s="319"/>
      <c r="AA1079" s="319"/>
      <c r="AB1079" s="319"/>
      <c r="AC1079" s="319"/>
      <c r="AD1079" s="319"/>
      <c r="AE1079" s="319"/>
      <c r="AF1079" s="319"/>
      <c r="AG1079" s="319"/>
      <c r="AH1079" s="319"/>
      <c r="AI1079" s="319"/>
      <c r="AJ1079" s="319"/>
      <c r="AK1079" s="319"/>
      <c r="AL1079" s="319"/>
      <c r="AM1079" s="319"/>
      <c r="AN1079" s="319"/>
      <c r="AO1079" s="319"/>
      <c r="AP1079" s="319"/>
      <c r="AQ1079" s="319"/>
      <c r="AR1079" s="319"/>
      <c r="AS1079" s="319"/>
      <c r="AT1079" s="319"/>
      <c r="AU1079" s="319"/>
      <c r="AV1079" s="319"/>
      <c r="AW1079" s="319"/>
      <c r="AX1079" s="319"/>
      <c r="AY1079" s="319"/>
      <c r="AZ1079" s="319"/>
      <c r="BA1079" s="319"/>
      <c r="BB1079" s="319"/>
      <c r="BC1079" s="319"/>
      <c r="BD1079" s="319"/>
      <c r="BE1079" s="319"/>
      <c r="BF1079" s="319"/>
      <c r="BG1079" s="319"/>
      <c r="BH1079" s="319"/>
      <c r="BI1079" s="319"/>
      <c r="BJ1079" s="319"/>
      <c r="BK1079" s="319"/>
      <c r="BL1079" s="319"/>
      <c r="BM1079" s="319"/>
      <c r="BN1079" s="319"/>
      <c r="BO1079" s="319"/>
      <c r="BP1079" s="319"/>
      <c r="BQ1079" s="319"/>
      <c r="BR1079" s="319"/>
      <c r="BS1079" s="319"/>
      <c r="BT1079" s="319"/>
      <c r="BU1079" s="319"/>
      <c r="BV1079" s="319"/>
      <c r="BW1079" s="319"/>
      <c r="BX1079" s="319"/>
      <c r="BY1079" s="319"/>
      <c r="BZ1079" s="319"/>
      <c r="CA1079" s="319"/>
      <c r="CB1079" s="319"/>
      <c r="CC1079" s="319"/>
      <c r="CD1079" s="319"/>
      <c r="CE1079" s="319"/>
      <c r="CF1079" s="319"/>
      <c r="CG1079" s="319"/>
      <c r="CH1079" s="319"/>
      <c r="CI1079" s="319"/>
      <c r="CJ1079" s="319"/>
      <c r="CK1079" s="319"/>
    </row>
    <row r="1080" spans="1:89" ht="12.75" hidden="1" customHeight="1">
      <c r="A1080" s="319">
        <v>27</v>
      </c>
      <c r="B1080" s="319" t="s">
        <v>1265</v>
      </c>
      <c r="C1080" s="319" t="s">
        <v>5755</v>
      </c>
      <c r="D1080" s="494">
        <f>IF(EE_CB27=TRUE,1,0)</f>
        <v>0</v>
      </c>
      <c r="E1080" s="494">
        <f>D1080*T937</f>
        <v>0</v>
      </c>
      <c r="F1080" s="494"/>
      <c r="G1080" s="494">
        <f>D1080*T935</f>
        <v>0</v>
      </c>
      <c r="H1080" s="319"/>
      <c r="I1080" s="319"/>
      <c r="J1080" s="494">
        <f>D1080*T937</f>
        <v>0</v>
      </c>
      <c r="K1080" s="494">
        <f>E1080</f>
        <v>0</v>
      </c>
      <c r="L1080" s="319"/>
      <c r="M1080" s="319"/>
      <c r="N1080" s="319"/>
      <c r="O1080" s="319"/>
      <c r="P1080" s="319"/>
      <c r="Q1080" s="319"/>
      <c r="R1080" s="319"/>
      <c r="S1080" s="319"/>
      <c r="T1080" s="319"/>
      <c r="U1080" s="319"/>
      <c r="V1080" s="319"/>
      <c r="W1080" s="319"/>
      <c r="X1080" s="319"/>
      <c r="Y1080" s="319"/>
      <c r="Z1080" s="319"/>
      <c r="AA1080" s="319"/>
      <c r="AB1080" s="319"/>
      <c r="AC1080" s="319"/>
      <c r="AD1080" s="319"/>
      <c r="AE1080" s="319"/>
      <c r="AF1080" s="319"/>
      <c r="AG1080" s="319"/>
      <c r="AH1080" s="319"/>
      <c r="AI1080" s="319"/>
      <c r="AJ1080" s="319"/>
      <c r="AK1080" s="319"/>
      <c r="AL1080" s="319"/>
      <c r="AM1080" s="319"/>
      <c r="AN1080" s="319"/>
      <c r="AO1080" s="319"/>
      <c r="AP1080" s="319"/>
      <c r="AQ1080" s="319"/>
      <c r="AR1080" s="319"/>
      <c r="AS1080" s="319"/>
      <c r="AT1080" s="319"/>
      <c r="AU1080" s="319"/>
      <c r="AV1080" s="319"/>
      <c r="AW1080" s="319"/>
      <c r="AX1080" s="319"/>
      <c r="AY1080" s="319"/>
      <c r="AZ1080" s="319"/>
      <c r="BA1080" s="319"/>
      <c r="BB1080" s="319"/>
      <c r="BC1080" s="319"/>
      <c r="BD1080" s="319"/>
      <c r="BE1080" s="319"/>
      <c r="BF1080" s="319"/>
      <c r="BG1080" s="319"/>
      <c r="BH1080" s="319"/>
      <c r="BI1080" s="319"/>
      <c r="BJ1080" s="319"/>
      <c r="BK1080" s="319"/>
      <c r="BL1080" s="319"/>
      <c r="BM1080" s="319"/>
      <c r="BN1080" s="319"/>
      <c r="BO1080" s="319"/>
      <c r="BP1080" s="319"/>
      <c r="BQ1080" s="319"/>
      <c r="BR1080" s="319"/>
      <c r="BS1080" s="319"/>
      <c r="BT1080" s="319"/>
      <c r="BU1080" s="319"/>
      <c r="BV1080" s="319"/>
      <c r="BW1080" s="319"/>
      <c r="BX1080" s="319"/>
      <c r="BY1080" s="319"/>
      <c r="BZ1080" s="319"/>
      <c r="CA1080" s="319"/>
      <c r="CB1080" s="319"/>
      <c r="CC1080" s="319"/>
      <c r="CD1080" s="319"/>
      <c r="CE1080" s="319"/>
      <c r="CF1080" s="319"/>
      <c r="CG1080" s="319"/>
      <c r="CH1080" s="319"/>
      <c r="CI1080" s="319"/>
      <c r="CJ1080" s="319"/>
      <c r="CK1080" s="319"/>
    </row>
    <row r="1081" spans="1:89" ht="12.75" hidden="1" customHeight="1">
      <c r="A1081" s="319"/>
      <c r="B1081" s="319"/>
      <c r="C1081" s="319"/>
      <c r="D1081" s="319"/>
      <c r="E1081" s="319"/>
      <c r="F1081" s="319"/>
      <c r="G1081" s="319"/>
      <c r="H1081" s="319"/>
      <c r="I1081" s="319"/>
      <c r="J1081" s="319"/>
      <c r="K1081" s="319"/>
      <c r="L1081" s="319"/>
      <c r="M1081" s="319"/>
      <c r="N1081" s="319"/>
      <c r="O1081" s="319"/>
      <c r="P1081" s="319"/>
      <c r="Q1081" s="319"/>
      <c r="R1081" s="319"/>
      <c r="S1081" s="319"/>
      <c r="T1081" s="319"/>
      <c r="U1081" s="319"/>
      <c r="V1081" s="319"/>
      <c r="W1081" s="319"/>
      <c r="X1081" s="319"/>
      <c r="Y1081" s="319"/>
      <c r="Z1081" s="319"/>
      <c r="AA1081" s="319"/>
      <c r="AB1081" s="319"/>
      <c r="AC1081" s="319"/>
      <c r="AD1081" s="319"/>
      <c r="AE1081" s="319"/>
      <c r="AF1081" s="319"/>
      <c r="AG1081" s="319"/>
      <c r="AH1081" s="319"/>
      <c r="AI1081" s="319"/>
      <c r="AJ1081" s="319"/>
      <c r="AK1081" s="319"/>
      <c r="AL1081" s="319"/>
      <c r="AM1081" s="319"/>
      <c r="AN1081" s="319"/>
      <c r="AO1081" s="319"/>
      <c r="AP1081" s="319"/>
      <c r="AQ1081" s="319"/>
      <c r="AR1081" s="319"/>
      <c r="AS1081" s="319"/>
      <c r="AT1081" s="319"/>
      <c r="AU1081" s="319"/>
      <c r="AV1081" s="319"/>
      <c r="AW1081" s="319"/>
      <c r="AX1081" s="319"/>
      <c r="AY1081" s="319"/>
      <c r="AZ1081" s="319"/>
      <c r="BA1081" s="319"/>
      <c r="BB1081" s="319"/>
      <c r="BC1081" s="319"/>
      <c r="BD1081" s="319"/>
      <c r="BE1081" s="319"/>
      <c r="BF1081" s="319"/>
      <c r="BG1081" s="319"/>
      <c r="BH1081" s="319"/>
      <c r="BI1081" s="319"/>
      <c r="BJ1081" s="319"/>
      <c r="BK1081" s="319"/>
      <c r="BL1081" s="319"/>
      <c r="BM1081" s="319"/>
      <c r="BN1081" s="319"/>
      <c r="BO1081" s="319"/>
      <c r="BP1081" s="319"/>
      <c r="BQ1081" s="319"/>
      <c r="BR1081" s="319"/>
      <c r="BS1081" s="319"/>
      <c r="BT1081" s="319"/>
      <c r="BU1081" s="319"/>
      <c r="BV1081" s="319"/>
      <c r="BW1081" s="319"/>
      <c r="BX1081" s="319"/>
      <c r="BY1081" s="319"/>
      <c r="BZ1081" s="319"/>
      <c r="CA1081" s="319"/>
      <c r="CB1081" s="319"/>
      <c r="CC1081" s="319"/>
      <c r="CD1081" s="319"/>
      <c r="CE1081" s="319"/>
      <c r="CF1081" s="319"/>
      <c r="CG1081" s="319"/>
      <c r="CH1081" s="319"/>
      <c r="CI1081" s="319"/>
      <c r="CJ1081" s="319"/>
      <c r="CK1081" s="319"/>
    </row>
    <row r="1082" spans="1:89" ht="12.75" hidden="1" customHeight="1">
      <c r="A1082" s="319"/>
      <c r="B1082" s="319"/>
      <c r="C1082" s="319"/>
      <c r="D1082" s="319"/>
      <c r="E1082" s="319"/>
      <c r="F1082" s="319"/>
      <c r="G1082" s="319"/>
      <c r="H1082" s="319"/>
      <c r="I1082" s="319"/>
      <c r="J1082" s="319"/>
      <c r="K1082" s="319"/>
      <c r="L1082" s="319"/>
      <c r="M1082" s="319"/>
      <c r="N1082" s="319"/>
      <c r="O1082" s="319"/>
      <c r="P1082" s="319"/>
      <c r="Q1082" s="319"/>
      <c r="R1082" s="319"/>
      <c r="S1082" s="319"/>
      <c r="T1082" s="319"/>
      <c r="U1082" s="319"/>
      <c r="V1082" s="319"/>
      <c r="W1082" s="319"/>
      <c r="X1082" s="319"/>
      <c r="Y1082" s="319"/>
      <c r="Z1082" s="319"/>
      <c r="AA1082" s="319"/>
      <c r="AB1082" s="319"/>
      <c r="AC1082" s="319"/>
      <c r="AD1082" s="319"/>
      <c r="AE1082" s="319"/>
      <c r="AF1082" s="319"/>
      <c r="AG1082" s="319"/>
      <c r="AH1082" s="319"/>
      <c r="AI1082" s="319"/>
      <c r="AJ1082" s="319"/>
      <c r="AK1082" s="319"/>
      <c r="AL1082" s="319"/>
      <c r="AM1082" s="319"/>
      <c r="AN1082" s="319"/>
      <c r="AO1082" s="319"/>
      <c r="AP1082" s="319"/>
      <c r="AQ1082" s="319"/>
      <c r="AR1082" s="319"/>
      <c r="AS1082" s="319"/>
      <c r="AT1082" s="319"/>
      <c r="AU1082" s="319"/>
      <c r="AV1082" s="319"/>
      <c r="AW1082" s="319"/>
      <c r="AX1082" s="319"/>
      <c r="AY1082" s="319"/>
      <c r="AZ1082" s="319"/>
      <c r="BA1082" s="319"/>
      <c r="BB1082" s="319"/>
      <c r="BC1082" s="319"/>
      <c r="BD1082" s="319"/>
      <c r="BE1082" s="319"/>
      <c r="BF1082" s="319"/>
      <c r="BG1082" s="319"/>
      <c r="BH1082" s="319"/>
      <c r="BI1082" s="319"/>
      <c r="BJ1082" s="319"/>
      <c r="BK1082" s="319"/>
      <c r="BL1082" s="319"/>
      <c r="BM1082" s="319"/>
      <c r="BN1082" s="319"/>
      <c r="BO1082" s="319"/>
      <c r="BP1082" s="319"/>
      <c r="BQ1082" s="319"/>
      <c r="BR1082" s="319"/>
      <c r="BS1082" s="319"/>
      <c r="BT1082" s="319"/>
      <c r="BU1082" s="319"/>
      <c r="BV1082" s="319"/>
      <c r="BW1082" s="319"/>
      <c r="BX1082" s="319"/>
      <c r="BY1082" s="319"/>
      <c r="BZ1082" s="319"/>
      <c r="CA1082" s="319"/>
      <c r="CB1082" s="319"/>
      <c r="CC1082" s="319"/>
      <c r="CD1082" s="319"/>
      <c r="CE1082" s="319"/>
      <c r="CF1082" s="319"/>
      <c r="CG1082" s="319"/>
      <c r="CH1082" s="319"/>
      <c r="CI1082" s="319"/>
      <c r="CJ1082" s="319"/>
      <c r="CK1082" s="319"/>
    </row>
    <row r="1083" spans="1:89" ht="12.75" hidden="1" customHeight="1">
      <c r="A1083" s="319"/>
      <c r="B1083" s="319" t="s">
        <v>2746</v>
      </c>
      <c r="C1083" s="319" t="s">
        <v>2506</v>
      </c>
      <c r="D1083" s="319" t="b">
        <f>IF(ISERROR(SUM(E1083:F1083)),FALSE,IF(OR(D1062+D1066&gt;0,SUM(E1083:F1083)&lt;&gt;0),TRUE,FALSE))</f>
        <v>0</v>
      </c>
      <c r="E1083" s="319">
        <f>SUMIF($C$1021:$C$1075,$C1083,E$1021:E$1075)</f>
        <v>0</v>
      </c>
      <c r="F1083" s="319">
        <f>SUMIF($C$1021:$C$1075,$C1083,F$1021:F$1075)</f>
        <v>0</v>
      </c>
      <c r="G1083" s="494">
        <f>SUMIF($C$1024:$C$1075,$C1083,G$1024:G$1075)+G1076</f>
        <v>0</v>
      </c>
      <c r="H1083" s="319">
        <f t="shared" ref="H1083:I1085" si="212">SUMIF($C$1021:$C$1075,$C1083,H$1021:H$1075)</f>
        <v>0</v>
      </c>
      <c r="I1083" s="319">
        <f t="shared" si="212"/>
        <v>0</v>
      </c>
      <c r="J1083" s="319"/>
      <c r="K1083" s="319"/>
      <c r="L1083" s="319"/>
      <c r="M1083" s="319"/>
      <c r="N1083" s="319"/>
      <c r="O1083" s="319"/>
      <c r="P1083" s="319"/>
      <c r="Q1083" s="319"/>
      <c r="R1083" s="319"/>
      <c r="S1083" s="319"/>
      <c r="T1083" s="319"/>
      <c r="U1083" s="319"/>
      <c r="V1083" s="319"/>
      <c r="W1083" s="319"/>
      <c r="X1083" s="319"/>
      <c r="Y1083" s="319"/>
      <c r="Z1083" s="319"/>
      <c r="AA1083" s="319"/>
      <c r="AB1083" s="319"/>
      <c r="AC1083" s="319"/>
      <c r="AD1083" s="319"/>
      <c r="AE1083" s="319"/>
      <c r="AF1083" s="319"/>
      <c r="AG1083" s="319"/>
      <c r="AH1083" s="319"/>
      <c r="AI1083" s="319"/>
      <c r="AJ1083" s="319"/>
      <c r="AK1083" s="319"/>
      <c r="AL1083" s="319"/>
      <c r="AM1083" s="319"/>
      <c r="AN1083" s="319"/>
      <c r="AO1083" s="319"/>
      <c r="AP1083" s="319"/>
      <c r="AQ1083" s="319"/>
      <c r="AR1083" s="319"/>
      <c r="AS1083" s="319"/>
      <c r="AT1083" s="319"/>
      <c r="AU1083" s="319"/>
      <c r="AV1083" s="319"/>
      <c r="AW1083" s="319"/>
      <c r="AX1083" s="319"/>
      <c r="AY1083" s="319"/>
      <c r="AZ1083" s="319"/>
      <c r="BA1083" s="319"/>
      <c r="BB1083" s="319"/>
      <c r="BC1083" s="319"/>
      <c r="BD1083" s="319"/>
      <c r="BE1083" s="319"/>
      <c r="BF1083" s="319"/>
      <c r="BG1083" s="319"/>
      <c r="BH1083" s="319"/>
      <c r="BI1083" s="319"/>
      <c r="BJ1083" s="319"/>
      <c r="BK1083" s="319"/>
      <c r="BL1083" s="319"/>
      <c r="BM1083" s="319"/>
      <c r="BN1083" s="319"/>
      <c r="BO1083" s="319"/>
      <c r="BP1083" s="319"/>
      <c r="BQ1083" s="319"/>
      <c r="BR1083" s="319"/>
      <c r="BS1083" s="319"/>
      <c r="BT1083" s="319"/>
      <c r="BU1083" s="319"/>
      <c r="BV1083" s="319"/>
      <c r="BW1083" s="319"/>
      <c r="BX1083" s="319"/>
      <c r="BY1083" s="319"/>
      <c r="BZ1083" s="319"/>
      <c r="CA1083" s="319"/>
      <c r="CB1083" s="319"/>
      <c r="CC1083" s="319"/>
      <c r="CD1083" s="319"/>
      <c r="CE1083" s="319"/>
      <c r="CF1083" s="319"/>
      <c r="CG1083" s="319"/>
      <c r="CH1083" s="319"/>
      <c r="CI1083" s="319"/>
      <c r="CJ1083" s="319"/>
      <c r="CK1083" s="319"/>
    </row>
    <row r="1084" spans="1:89" ht="12.75" hidden="1" customHeight="1">
      <c r="A1084" s="319"/>
      <c r="B1084" s="319"/>
      <c r="C1084" s="319" t="s">
        <v>726</v>
      </c>
      <c r="D1084" s="319" t="b">
        <f>IF(ISERROR(SUM(E1084:F1084)),FALSE,IF(SUM(E1084:F1084)&lt;&gt;0,TRUE,FALSE))</f>
        <v>0</v>
      </c>
      <c r="E1084" s="319">
        <f>SUMIF($C$1021:$C$1075,$C1084,E$1021:E$1075)</f>
        <v>0</v>
      </c>
      <c r="F1084" s="319">
        <f>SUMIF($C$1021:$C$1075,$C1084,F$1021:F$1075)</f>
        <v>0</v>
      </c>
      <c r="G1084" s="494">
        <f>SUMIF($C$1024:$C$1075,$C1084,G$1024:G$1075)</f>
        <v>0</v>
      </c>
      <c r="H1084" s="319">
        <f t="shared" si="212"/>
        <v>0</v>
      </c>
      <c r="I1084" s="319">
        <f t="shared" si="212"/>
        <v>0</v>
      </c>
      <c r="J1084" s="319"/>
      <c r="K1084" s="319"/>
      <c r="L1084" s="319"/>
      <c r="M1084" s="319"/>
      <c r="N1084" s="319"/>
      <c r="O1084" s="319"/>
      <c r="P1084" s="319"/>
      <c r="Q1084" s="319"/>
      <c r="R1084" s="319"/>
      <c r="S1084" s="319"/>
      <c r="T1084" s="319"/>
      <c r="U1084" s="319"/>
      <c r="V1084" s="319"/>
      <c r="W1084" s="319"/>
      <c r="X1084" s="319"/>
      <c r="Y1084" s="319"/>
      <c r="Z1084" s="319"/>
      <c r="AA1084" s="319"/>
      <c r="AB1084" s="319"/>
      <c r="AC1084" s="319"/>
      <c r="AD1084" s="319"/>
      <c r="AE1084" s="319"/>
      <c r="AF1084" s="319"/>
      <c r="AG1084" s="319"/>
      <c r="AH1084" s="319"/>
      <c r="AI1084" s="319"/>
      <c r="AJ1084" s="319"/>
      <c r="AK1084" s="319"/>
      <c r="AL1084" s="319"/>
      <c r="AM1084" s="319"/>
      <c r="AN1084" s="319"/>
      <c r="AO1084" s="319"/>
      <c r="AP1084" s="319"/>
      <c r="AQ1084" s="319"/>
      <c r="AR1084" s="319"/>
      <c r="AS1084" s="319"/>
      <c r="AT1084" s="319"/>
      <c r="AU1084" s="319"/>
      <c r="AV1084" s="319"/>
      <c r="AW1084" s="319"/>
      <c r="AX1084" s="319"/>
      <c r="AY1084" s="319"/>
      <c r="AZ1084" s="319"/>
      <c r="BA1084" s="319"/>
      <c r="BB1084" s="319"/>
      <c r="BC1084" s="319"/>
      <c r="BD1084" s="319"/>
      <c r="BE1084" s="319"/>
      <c r="BF1084" s="319"/>
      <c r="BG1084" s="319"/>
      <c r="BH1084" s="319"/>
      <c r="BI1084" s="319"/>
      <c r="BJ1084" s="319"/>
      <c r="BK1084" s="319"/>
      <c r="BL1084" s="319"/>
      <c r="BM1084" s="319"/>
      <c r="BN1084" s="319"/>
      <c r="BO1084" s="319"/>
      <c r="BP1084" s="319"/>
      <c r="BQ1084" s="319"/>
      <c r="BR1084" s="319"/>
      <c r="BS1084" s="319"/>
      <c r="BT1084" s="319"/>
      <c r="BU1084" s="319"/>
      <c r="BV1084" s="319"/>
      <c r="BW1084" s="319"/>
      <c r="BX1084" s="319"/>
      <c r="BY1084" s="319"/>
      <c r="BZ1084" s="319"/>
      <c r="CA1084" s="319"/>
      <c r="CB1084" s="319"/>
      <c r="CC1084" s="319"/>
      <c r="CD1084" s="319"/>
      <c r="CE1084" s="319"/>
      <c r="CF1084" s="319"/>
      <c r="CG1084" s="319"/>
      <c r="CH1084" s="319"/>
      <c r="CI1084" s="319"/>
      <c r="CJ1084" s="319"/>
      <c r="CK1084" s="319"/>
    </row>
    <row r="1085" spans="1:89" ht="12.75" hidden="1" customHeight="1">
      <c r="A1085" s="319"/>
      <c r="B1085" s="319"/>
      <c r="C1085" s="319" t="s">
        <v>3442</v>
      </c>
      <c r="D1085" s="319" t="b">
        <f>IF(ISERROR(SUM(E1085:F1085)),FALSE,IF(SUM(E1085:F1085)&lt;&gt;0,TRUE,FALSE))</f>
        <v>0</v>
      </c>
      <c r="E1085" s="476">
        <f>SUMIF($C$1021:$C$1075,$C1085,E$1021:E$1075)-SUM(E1057:E1061)</f>
        <v>0</v>
      </c>
      <c r="F1085" s="476">
        <f t="shared" ref="F1085:F1090" si="213">SUMIF($C$1021:$C$1075,$C1085,F$1021:F$1075)</f>
        <v>0</v>
      </c>
      <c r="G1085" s="494">
        <f>SUMIF($C$1024:$C$1075,$C1085,G$1024:G$1075)+SUM(G1070:G1072)+SUM(G1086:G1090)</f>
        <v>0</v>
      </c>
      <c r="H1085" s="319">
        <f t="shared" si="212"/>
        <v>0</v>
      </c>
      <c r="I1085" s="319">
        <f t="shared" si="212"/>
        <v>0</v>
      </c>
      <c r="J1085" s="319"/>
      <c r="K1085" s="319"/>
      <c r="L1085" s="319"/>
      <c r="M1085" s="319"/>
      <c r="N1085" s="319"/>
      <c r="O1085" s="319"/>
      <c r="P1085" s="319"/>
      <c r="Q1085" s="319"/>
      <c r="R1085" s="319"/>
      <c r="S1085" s="319"/>
      <c r="T1085" s="319"/>
      <c r="U1085" s="319"/>
      <c r="V1085" s="319"/>
      <c r="W1085" s="319"/>
      <c r="X1085" s="319"/>
      <c r="Y1085" s="319"/>
      <c r="Z1085" s="319"/>
      <c r="AA1085" s="319"/>
      <c r="AB1085" s="319"/>
      <c r="AC1085" s="319"/>
      <c r="AD1085" s="319"/>
      <c r="AE1085" s="319"/>
      <c r="AF1085" s="319"/>
      <c r="AG1085" s="319"/>
      <c r="AH1085" s="319"/>
      <c r="AI1085" s="319"/>
      <c r="AJ1085" s="319"/>
      <c r="AK1085" s="319"/>
      <c r="AL1085" s="319"/>
      <c r="AM1085" s="319"/>
      <c r="AN1085" s="319"/>
      <c r="AO1085" s="319"/>
      <c r="AP1085" s="319"/>
      <c r="AQ1085" s="319"/>
      <c r="AR1085" s="319"/>
      <c r="AS1085" s="319"/>
      <c r="AT1085" s="319"/>
      <c r="AU1085" s="319"/>
      <c r="AV1085" s="319"/>
      <c r="AW1085" s="319"/>
      <c r="AX1085" s="319"/>
      <c r="AY1085" s="319"/>
      <c r="AZ1085" s="319"/>
      <c r="BA1085" s="319"/>
      <c r="BB1085" s="319"/>
      <c r="BC1085" s="319"/>
      <c r="BD1085" s="319"/>
      <c r="BE1085" s="319"/>
      <c r="BF1085" s="319"/>
      <c r="BG1085" s="319"/>
      <c r="BH1085" s="319"/>
      <c r="BI1085" s="319"/>
      <c r="BJ1085" s="319"/>
      <c r="BK1085" s="319"/>
      <c r="BL1085" s="319"/>
      <c r="BM1085" s="319"/>
      <c r="BN1085" s="319"/>
      <c r="BO1085" s="319"/>
      <c r="BP1085" s="319"/>
      <c r="BQ1085" s="319"/>
      <c r="BR1085" s="319"/>
      <c r="BS1085" s="319"/>
      <c r="BT1085" s="319"/>
      <c r="BU1085" s="319"/>
      <c r="BV1085" s="319"/>
      <c r="BW1085" s="319"/>
      <c r="BX1085" s="319"/>
      <c r="BY1085" s="319"/>
      <c r="BZ1085" s="319"/>
      <c r="CA1085" s="319"/>
      <c r="CB1085" s="319"/>
      <c r="CC1085" s="319"/>
      <c r="CD1085" s="319"/>
      <c r="CE1085" s="319"/>
      <c r="CF1085" s="319"/>
      <c r="CG1085" s="319"/>
      <c r="CH1085" s="319"/>
      <c r="CI1085" s="319"/>
      <c r="CJ1085" s="319"/>
      <c r="CK1085" s="319"/>
    </row>
    <row r="1086" spans="1:89" ht="12.75" hidden="1" customHeight="1">
      <c r="A1086" s="319"/>
      <c r="B1086" s="319">
        <f>RANK(F1086,$F$1086:$F$1089)</f>
        <v>1</v>
      </c>
      <c r="C1086" s="319" t="str">
        <f>Language!C139</f>
        <v>Turbina eólica</v>
      </c>
      <c r="D1086" s="319"/>
      <c r="E1086" s="319"/>
      <c r="F1086" s="319">
        <f t="shared" si="213"/>
        <v>0</v>
      </c>
      <c r="G1086" s="319"/>
      <c r="H1086" s="319"/>
      <c r="I1086" s="319"/>
      <c r="J1086" s="319"/>
      <c r="K1086" s="319"/>
      <c r="L1086" s="319"/>
      <c r="M1086" s="319"/>
      <c r="N1086" s="319"/>
      <c r="O1086" s="319"/>
      <c r="P1086" s="319"/>
      <c r="Q1086" s="319"/>
      <c r="R1086" s="319"/>
      <c r="S1086" s="319"/>
      <c r="T1086" s="319"/>
      <c r="U1086" s="319"/>
      <c r="V1086" s="319"/>
      <c r="W1086" s="319"/>
      <c r="X1086" s="319"/>
      <c r="Y1086" s="319"/>
      <c r="Z1086" s="319"/>
      <c r="AA1086" s="319"/>
      <c r="AB1086" s="319"/>
      <c r="AC1086" s="319"/>
      <c r="AD1086" s="319"/>
      <c r="AE1086" s="319"/>
      <c r="AF1086" s="319"/>
      <c r="AG1086" s="319"/>
      <c r="AH1086" s="319"/>
      <c r="AI1086" s="319"/>
      <c r="AJ1086" s="319"/>
      <c r="AK1086" s="319"/>
      <c r="AL1086" s="319"/>
      <c r="AM1086" s="319"/>
      <c r="AN1086" s="319"/>
      <c r="AO1086" s="319"/>
      <c r="AP1086" s="319"/>
      <c r="AQ1086" s="319"/>
      <c r="AR1086" s="319"/>
      <c r="AS1086" s="319"/>
      <c r="AT1086" s="319"/>
      <c r="AU1086" s="319"/>
      <c r="AV1086" s="319"/>
      <c r="AW1086" s="319"/>
      <c r="AX1086" s="319"/>
      <c r="AY1086" s="319"/>
      <c r="AZ1086" s="319"/>
      <c r="BA1086" s="319"/>
      <c r="BB1086" s="319"/>
      <c r="BC1086" s="319"/>
      <c r="BD1086" s="319"/>
      <c r="BE1086" s="319"/>
      <c r="BF1086" s="319"/>
      <c r="BG1086" s="319"/>
      <c r="BH1086" s="319"/>
      <c r="BI1086" s="319"/>
      <c r="BJ1086" s="319"/>
      <c r="BK1086" s="319"/>
      <c r="BL1086" s="319"/>
      <c r="BM1086" s="319"/>
      <c r="BN1086" s="319"/>
      <c r="BO1086" s="319"/>
      <c r="BP1086" s="319"/>
      <c r="BQ1086" s="319"/>
      <c r="BR1086" s="319"/>
      <c r="BS1086" s="319"/>
      <c r="BT1086" s="319"/>
      <c r="BU1086" s="319"/>
      <c r="BV1086" s="319"/>
      <c r="BW1086" s="319"/>
      <c r="BX1086" s="319"/>
      <c r="BY1086" s="319"/>
      <c r="BZ1086" s="319"/>
      <c r="CA1086" s="319"/>
      <c r="CB1086" s="319"/>
      <c r="CC1086" s="319"/>
      <c r="CD1086" s="319"/>
      <c r="CE1086" s="319"/>
      <c r="CF1086" s="319"/>
      <c r="CG1086" s="319"/>
      <c r="CH1086" s="319"/>
      <c r="CI1086" s="319"/>
      <c r="CJ1086" s="319"/>
      <c r="CK1086" s="319"/>
    </row>
    <row r="1087" spans="1:89" ht="12.75" hidden="1" customHeight="1">
      <c r="A1087" s="319"/>
      <c r="B1087" s="319">
        <f>RANK(F1087,$F$1086:$F$1089)</f>
        <v>1</v>
      </c>
      <c r="C1087" s="319" t="str">
        <f>Language!C140</f>
        <v>Turbina hidráulica</v>
      </c>
      <c r="D1087" s="319"/>
      <c r="E1087" s="319"/>
      <c r="F1087" s="319">
        <f t="shared" si="213"/>
        <v>0</v>
      </c>
      <c r="G1087" s="319"/>
      <c r="H1087" s="319"/>
      <c r="I1087" s="319"/>
      <c r="J1087" s="319"/>
      <c r="K1087" s="319"/>
      <c r="L1087" s="319"/>
      <c r="M1087" s="319"/>
      <c r="N1087" s="319"/>
      <c r="O1087" s="319"/>
      <c r="P1087" s="319"/>
      <c r="Q1087" s="319"/>
      <c r="R1087" s="319"/>
      <c r="S1087" s="319"/>
      <c r="T1087" s="319"/>
      <c r="U1087" s="319"/>
      <c r="V1087" s="319"/>
      <c r="W1087" s="319"/>
      <c r="X1087" s="319"/>
      <c r="Y1087" s="319"/>
      <c r="Z1087" s="319"/>
      <c r="AA1087" s="319"/>
      <c r="AB1087" s="319"/>
      <c r="AC1087" s="319"/>
      <c r="AD1087" s="319"/>
      <c r="AE1087" s="319"/>
      <c r="AF1087" s="319"/>
      <c r="AG1087" s="319"/>
      <c r="AH1087" s="319"/>
      <c r="AI1087" s="319"/>
      <c r="AJ1087" s="319"/>
      <c r="AK1087" s="319"/>
      <c r="AL1087" s="319"/>
      <c r="AM1087" s="319"/>
      <c r="AN1087" s="319"/>
      <c r="AO1087" s="319"/>
      <c r="AP1087" s="319"/>
      <c r="AQ1087" s="319"/>
      <c r="AR1087" s="319"/>
      <c r="AS1087" s="319"/>
      <c r="AT1087" s="319"/>
      <c r="AU1087" s="319"/>
      <c r="AV1087" s="319"/>
      <c r="AW1087" s="319"/>
      <c r="AX1087" s="319"/>
      <c r="AY1087" s="319"/>
      <c r="AZ1087" s="319"/>
      <c r="BA1087" s="319"/>
      <c r="BB1087" s="319"/>
      <c r="BC1087" s="319"/>
      <c r="BD1087" s="319"/>
      <c r="BE1087" s="319"/>
      <c r="BF1087" s="319"/>
      <c r="BG1087" s="319"/>
      <c r="BH1087" s="319"/>
      <c r="BI1087" s="319"/>
      <c r="BJ1087" s="319"/>
      <c r="BK1087" s="319"/>
      <c r="BL1087" s="319"/>
      <c r="BM1087" s="319"/>
      <c r="BN1087" s="319"/>
      <c r="BO1087" s="319"/>
      <c r="BP1087" s="319"/>
      <c r="BQ1087" s="319"/>
      <c r="BR1087" s="319"/>
      <c r="BS1087" s="319"/>
      <c r="BT1087" s="319"/>
      <c r="BU1087" s="319"/>
      <c r="BV1087" s="319"/>
      <c r="BW1087" s="319"/>
      <c r="BX1087" s="319"/>
      <c r="BY1087" s="319"/>
      <c r="BZ1087" s="319"/>
      <c r="CA1087" s="319"/>
      <c r="CB1087" s="319"/>
      <c r="CC1087" s="319"/>
      <c r="CD1087" s="319"/>
      <c r="CE1087" s="319"/>
      <c r="CF1087" s="319"/>
      <c r="CG1087" s="319"/>
      <c r="CH1087" s="319"/>
      <c r="CI1087" s="319"/>
      <c r="CJ1087" s="319"/>
      <c r="CK1087" s="319"/>
    </row>
    <row r="1088" spans="1:89" ht="12.75" hidden="1" customHeight="1">
      <c r="A1088" s="319"/>
      <c r="B1088" s="319">
        <f>RANK(F1088,$F$1086:$F$1089)</f>
        <v>1</v>
      </c>
      <c r="C1088" s="319" t="str">
        <f>Language!C141</f>
        <v>Fotovoltaica</v>
      </c>
      <c r="D1088" s="319"/>
      <c r="E1088" s="319"/>
      <c r="F1088" s="319">
        <f t="shared" si="213"/>
        <v>0</v>
      </c>
      <c r="G1088" s="319"/>
      <c r="H1088" s="319"/>
      <c r="I1088" s="845"/>
      <c r="J1088" s="319"/>
      <c r="K1088" s="319"/>
      <c r="L1088" s="319"/>
      <c r="M1088" s="319" t="s">
        <v>3181</v>
      </c>
      <c r="N1088" s="319"/>
      <c r="O1088" s="319"/>
      <c r="P1088" s="319"/>
      <c r="Q1088" s="319"/>
      <c r="R1088" s="319"/>
      <c r="S1088" s="319"/>
      <c r="T1088" s="319"/>
      <c r="U1088" s="319"/>
      <c r="V1088" s="319"/>
      <c r="W1088" s="319"/>
      <c r="X1088" s="319"/>
      <c r="Y1088" s="319"/>
      <c r="Z1088" s="319"/>
      <c r="AA1088" s="319"/>
      <c r="AB1088" s="319"/>
      <c r="AC1088" s="319"/>
      <c r="AD1088" s="319"/>
      <c r="AE1088" s="319"/>
      <c r="AF1088" s="319"/>
      <c r="AG1088" s="319"/>
      <c r="AH1088" s="319"/>
      <c r="AI1088" s="319"/>
      <c r="AJ1088" s="319"/>
      <c r="AK1088" s="319"/>
      <c r="AL1088" s="319"/>
      <c r="AM1088" s="319"/>
      <c r="AN1088" s="319"/>
      <c r="AO1088" s="319"/>
      <c r="AP1088" s="319"/>
      <c r="AQ1088" s="319"/>
      <c r="AR1088" s="319"/>
      <c r="AS1088" s="319"/>
      <c r="AT1088" s="319"/>
      <c r="AU1088" s="319"/>
      <c r="AV1088" s="319"/>
      <c r="AW1088" s="319"/>
      <c r="AX1088" s="319"/>
      <c r="AY1088" s="319"/>
      <c r="AZ1088" s="319"/>
      <c r="BA1088" s="319"/>
      <c r="BB1088" s="319"/>
      <c r="BC1088" s="319"/>
      <c r="BD1088" s="319"/>
      <c r="BE1088" s="319"/>
      <c r="BF1088" s="319"/>
      <c r="BG1088" s="319"/>
      <c r="BH1088" s="319"/>
      <c r="BI1088" s="319"/>
      <c r="BJ1088" s="319"/>
      <c r="BK1088" s="319"/>
      <c r="BL1088" s="319"/>
      <c r="BM1088" s="319"/>
      <c r="BN1088" s="319"/>
      <c r="BO1088" s="319"/>
      <c r="BP1088" s="319"/>
      <c r="BQ1088" s="319"/>
      <c r="BR1088" s="319"/>
      <c r="BS1088" s="319"/>
      <c r="BT1088" s="319"/>
      <c r="BU1088" s="319"/>
      <c r="BV1088" s="319"/>
      <c r="BW1088" s="319"/>
      <c r="BX1088" s="319"/>
      <c r="BY1088" s="319"/>
      <c r="BZ1088" s="319"/>
      <c r="CA1088" s="319"/>
      <c r="CB1088" s="319"/>
      <c r="CC1088" s="319"/>
      <c r="CD1088" s="319"/>
      <c r="CE1088" s="319"/>
      <c r="CF1088" s="319"/>
      <c r="CG1088" s="319"/>
      <c r="CH1088" s="319"/>
      <c r="CI1088" s="319"/>
      <c r="CJ1088" s="319"/>
      <c r="CK1088" s="319"/>
    </row>
    <row r="1089" spans="1:89" ht="12.75" hidden="1" customHeight="1">
      <c r="A1089" s="319"/>
      <c r="B1089" s="319">
        <f>RANK(F1089,$F$1086:$F$1089)</f>
        <v>1</v>
      </c>
      <c r="C1089" s="319" t="str">
        <f>C1061</f>
        <v>Outro</v>
      </c>
      <c r="D1089" s="319"/>
      <c r="E1089" s="319"/>
      <c r="F1089" s="319">
        <f t="shared" si="213"/>
        <v>0</v>
      </c>
      <c r="G1089" s="319"/>
      <c r="H1089" s="319"/>
      <c r="I1089" s="845"/>
      <c r="J1089" s="319"/>
      <c r="K1089" s="319"/>
      <c r="L1089" s="319"/>
      <c r="M1089" s="742" t="e">
        <f>SUM(F1058:F1061)/(E245+E246)</f>
        <v>#DIV/0!</v>
      </c>
      <c r="N1089" s="319" t="s">
        <v>744</v>
      </c>
      <c r="O1089" s="319"/>
      <c r="P1089" s="319"/>
      <c r="Q1089" s="319"/>
      <c r="R1089" s="319"/>
      <c r="S1089" s="319"/>
      <c r="T1089" s="319"/>
      <c r="U1089" s="319"/>
      <c r="V1089" s="319"/>
      <c r="W1089" s="319"/>
      <c r="X1089" s="319"/>
      <c r="Y1089" s="319"/>
      <c r="Z1089" s="319"/>
      <c r="AA1089" s="319"/>
      <c r="AB1089" s="319"/>
      <c r="AC1089" s="319"/>
      <c r="AD1089" s="319"/>
      <c r="AE1089" s="319"/>
      <c r="AF1089" s="319"/>
      <c r="AG1089" s="319"/>
      <c r="AH1089" s="319"/>
      <c r="AI1089" s="319"/>
      <c r="AJ1089" s="319"/>
      <c r="AK1089" s="319"/>
      <c r="AL1089" s="319"/>
      <c r="AM1089" s="319"/>
      <c r="AN1089" s="319"/>
      <c r="AO1089" s="319"/>
      <c r="AP1089" s="319"/>
      <c r="AQ1089" s="319"/>
      <c r="AR1089" s="319"/>
      <c r="AS1089" s="319"/>
      <c r="AT1089" s="319"/>
      <c r="AU1089" s="319"/>
      <c r="AV1089" s="319"/>
      <c r="AW1089" s="319"/>
      <c r="AX1089" s="319"/>
      <c r="AY1089" s="319"/>
      <c r="AZ1089" s="319"/>
      <c r="BA1089" s="319"/>
      <c r="BB1089" s="319"/>
      <c r="BC1089" s="319"/>
      <c r="BD1089" s="319"/>
      <c r="BE1089" s="319"/>
      <c r="BF1089" s="319"/>
      <c r="BG1089" s="319"/>
      <c r="BH1089" s="319"/>
      <c r="BI1089" s="319"/>
      <c r="BJ1089" s="319"/>
      <c r="BK1089" s="319"/>
      <c r="BL1089" s="319"/>
      <c r="BM1089" s="319"/>
      <c r="BN1089" s="319"/>
      <c r="BO1089" s="319"/>
      <c r="BP1089" s="319"/>
      <c r="BQ1089" s="319"/>
      <c r="BR1089" s="319"/>
      <c r="BS1089" s="319"/>
      <c r="BT1089" s="319"/>
      <c r="BU1089" s="319"/>
      <c r="BV1089" s="319"/>
      <c r="BW1089" s="319"/>
      <c r="BX1089" s="319"/>
      <c r="BY1089" s="319"/>
      <c r="BZ1089" s="319"/>
      <c r="CA1089" s="319"/>
      <c r="CB1089" s="319"/>
      <c r="CC1089" s="319"/>
      <c r="CD1089" s="319"/>
      <c r="CE1089" s="319"/>
      <c r="CF1089" s="319"/>
      <c r="CG1089" s="319"/>
      <c r="CH1089" s="319"/>
      <c r="CI1089" s="319"/>
      <c r="CJ1089" s="319"/>
      <c r="CK1089" s="319"/>
    </row>
    <row r="1090" spans="1:89" ht="12.75" hidden="1" customHeight="1">
      <c r="A1090" s="319"/>
      <c r="B1090" s="319"/>
      <c r="C1090" s="319" t="str">
        <f>VLOOKUP(1,B1086:C1089,2,FALSE)</f>
        <v>Turbina eólica</v>
      </c>
      <c r="D1090" s="319"/>
      <c r="E1090" s="319"/>
      <c r="F1090" s="319">
        <f t="shared" si="213"/>
        <v>0</v>
      </c>
      <c r="G1090" s="494"/>
      <c r="H1090" s="319">
        <f>SUMIF($C$1021:$C$1075,$C1090,H$1021:H$1075)</f>
        <v>0</v>
      </c>
      <c r="I1090" s="394">
        <f>SUMIF($C$1021:$C$1075,$C1090,I$1021:I$1075)</f>
        <v>0</v>
      </c>
      <c r="J1090" s="394"/>
      <c r="K1090" s="319"/>
      <c r="L1090" s="319"/>
      <c r="M1090" s="742" t="e">
        <f>I1090/E247</f>
        <v>#DIV/0!</v>
      </c>
      <c r="N1090" s="319" t="s">
        <v>4028</v>
      </c>
      <c r="O1090" s="319"/>
      <c r="P1090" s="319"/>
      <c r="Q1090" s="319"/>
      <c r="R1090" s="319"/>
      <c r="S1090" s="319"/>
      <c r="T1090" s="319"/>
      <c r="U1090" s="319"/>
      <c r="V1090" s="319"/>
      <c r="W1090" s="319"/>
      <c r="X1090" s="319"/>
      <c r="Y1090" s="319"/>
      <c r="Z1090" s="319"/>
      <c r="AA1090" s="319"/>
      <c r="AB1090" s="319"/>
      <c r="AC1090" s="319"/>
      <c r="AD1090" s="319"/>
      <c r="AE1090" s="319"/>
      <c r="AF1090" s="319"/>
      <c r="AG1090" s="319"/>
      <c r="AH1090" s="319"/>
      <c r="AI1090" s="319"/>
      <c r="AJ1090" s="319"/>
      <c r="AK1090" s="319"/>
      <c r="AL1090" s="319"/>
      <c r="AM1090" s="319"/>
      <c r="AN1090" s="319"/>
      <c r="AO1090" s="319"/>
      <c r="AP1090" s="319"/>
      <c r="AQ1090" s="319"/>
      <c r="AR1090" s="319"/>
      <c r="AS1090" s="319"/>
      <c r="AT1090" s="319"/>
      <c r="AU1090" s="319"/>
      <c r="AV1090" s="319"/>
      <c r="AW1090" s="319"/>
      <c r="AX1090" s="319"/>
      <c r="AY1090" s="319"/>
      <c r="AZ1090" s="319"/>
      <c r="BA1090" s="319"/>
      <c r="BB1090" s="319"/>
      <c r="BC1090" s="319"/>
      <c r="BD1090" s="319"/>
      <c r="BE1090" s="319"/>
      <c r="BF1090" s="319"/>
      <c r="BG1090" s="319"/>
      <c r="BH1090" s="319"/>
      <c r="BI1090" s="319"/>
      <c r="BJ1090" s="319"/>
      <c r="BK1090" s="319"/>
      <c r="BL1090" s="319"/>
      <c r="BM1090" s="319"/>
      <c r="BN1090" s="319"/>
      <c r="BO1090" s="319"/>
      <c r="BP1090" s="319"/>
      <c r="BQ1090" s="319"/>
      <c r="BR1090" s="319"/>
      <c r="BS1090" s="319"/>
      <c r="BT1090" s="319"/>
      <c r="BU1090" s="319"/>
      <c r="BV1090" s="319"/>
      <c r="BW1090" s="319"/>
      <c r="BX1090" s="319"/>
      <c r="BY1090" s="319"/>
      <c r="BZ1090" s="319"/>
      <c r="CA1090" s="319"/>
      <c r="CB1090" s="319"/>
      <c r="CC1090" s="319"/>
      <c r="CD1090" s="319"/>
      <c r="CE1090" s="319"/>
      <c r="CF1090" s="319"/>
      <c r="CG1090" s="319"/>
      <c r="CH1090" s="319"/>
      <c r="CI1090" s="319"/>
      <c r="CJ1090" s="319"/>
      <c r="CK1090" s="319"/>
    </row>
    <row r="1091" spans="1:89" ht="12.75" hidden="1" customHeight="1">
      <c r="A1091" s="319"/>
      <c r="B1091" s="319"/>
      <c r="C1091" s="319" t="s">
        <v>4570</v>
      </c>
      <c r="D1091" s="319"/>
      <c r="E1091" s="494"/>
      <c r="F1091" s="319"/>
      <c r="G1091" s="494">
        <f>+G1080+G1023</f>
        <v>0</v>
      </c>
      <c r="H1091" s="319"/>
      <c r="I1091" s="863" t="s">
        <v>5485</v>
      </c>
      <c r="J1091" s="494">
        <f>SUM(J1070:J1090)</f>
        <v>0</v>
      </c>
      <c r="K1091" s="494">
        <f>SUM(K1070:K1090)</f>
        <v>0</v>
      </c>
      <c r="L1091" s="319"/>
      <c r="M1091" s="319"/>
      <c r="N1091" s="319"/>
      <c r="O1091" s="319"/>
      <c r="P1091" s="319"/>
      <c r="Q1091" s="319"/>
      <c r="R1091" s="319"/>
      <c r="S1091" s="319"/>
      <c r="T1091" s="319"/>
      <c r="U1091" s="319"/>
      <c r="V1091" s="319"/>
      <c r="W1091" s="319"/>
      <c r="X1091" s="319"/>
      <c r="Y1091" s="319"/>
      <c r="Z1091" s="319"/>
      <c r="AA1091" s="319"/>
      <c r="AB1091" s="319"/>
      <c r="AC1091" s="319"/>
      <c r="AD1091" s="319"/>
      <c r="AE1091" s="319"/>
      <c r="AF1091" s="319"/>
      <c r="AG1091" s="319"/>
      <c r="AH1091" s="319"/>
      <c r="AI1091" s="319"/>
      <c r="AJ1091" s="319"/>
      <c r="AK1091" s="319"/>
      <c r="AL1091" s="319"/>
      <c r="AM1091" s="319"/>
      <c r="AN1091" s="319"/>
      <c r="AO1091" s="319"/>
      <c r="AP1091" s="319"/>
      <c r="AQ1091" s="319"/>
      <c r="AR1091" s="319"/>
      <c r="AS1091" s="319"/>
      <c r="AT1091" s="319"/>
      <c r="AU1091" s="319"/>
      <c r="AV1091" s="319"/>
      <c r="AW1091" s="319"/>
      <c r="AX1091" s="319"/>
      <c r="AY1091" s="319"/>
      <c r="AZ1091" s="319"/>
      <c r="BA1091" s="319"/>
      <c r="BB1091" s="319"/>
      <c r="BC1091" s="319"/>
      <c r="BD1091" s="319"/>
      <c r="BE1091" s="319"/>
      <c r="BF1091" s="319"/>
      <c r="BG1091" s="319"/>
      <c r="BH1091" s="319"/>
      <c r="BI1091" s="319"/>
      <c r="BJ1091" s="319"/>
      <c r="BK1091" s="319"/>
      <c r="BL1091" s="319"/>
      <c r="BM1091" s="319"/>
      <c r="BN1091" s="319"/>
      <c r="BO1091" s="319"/>
      <c r="BP1091" s="319"/>
      <c r="BQ1091" s="319"/>
      <c r="BR1091" s="319"/>
      <c r="BS1091" s="319"/>
      <c r="BT1091" s="319"/>
      <c r="BU1091" s="319"/>
      <c r="BV1091" s="319"/>
      <c r="BW1091" s="319"/>
      <c r="BX1091" s="319"/>
      <c r="BY1091" s="319"/>
      <c r="BZ1091" s="319"/>
      <c r="CA1091" s="319"/>
      <c r="CB1091" s="319"/>
      <c r="CC1091" s="319"/>
      <c r="CD1091" s="319"/>
      <c r="CE1091" s="319"/>
      <c r="CF1091" s="319"/>
      <c r="CG1091" s="319"/>
      <c r="CH1091" s="319"/>
      <c r="CI1091" s="319"/>
      <c r="CJ1091" s="319"/>
      <c r="CK1091" s="319"/>
    </row>
    <row r="1092" spans="1:89" ht="12.75" hidden="1" customHeight="1">
      <c r="A1092" s="319"/>
      <c r="B1092" s="319"/>
      <c r="C1092" s="319"/>
      <c r="D1092" s="319"/>
      <c r="E1092" s="319"/>
      <c r="F1092" s="319"/>
      <c r="G1092" s="319"/>
      <c r="H1092" s="319"/>
      <c r="I1092" s="319" t="s">
        <v>3046</v>
      </c>
      <c r="J1092" s="494">
        <f>IF(ISERROR(SUMIF(B1094:B1109,F1098,C1094:C1109)+SUMIF(F1094:F1109,F1098,G1094:G1109)+J1091),0,SUMIF(B1094:B1109,F1098,C1094:C1109)+SUMIF(F1094:F1109,F1098,G1094:G1109)+J1091)</f>
        <v>0</v>
      </c>
      <c r="K1092" s="494">
        <v>0</v>
      </c>
      <c r="L1092" s="319"/>
      <c r="M1092" s="319"/>
      <c r="N1092" s="319"/>
      <c r="O1092" s="319"/>
      <c r="P1092" s="319"/>
      <c r="Q1092" s="319"/>
      <c r="R1092" s="319"/>
      <c r="S1092" s="319"/>
      <c r="T1092" s="319"/>
      <c r="U1092" s="319"/>
      <c r="V1092" s="319"/>
      <c r="W1092" s="319"/>
      <c r="X1092" s="319"/>
      <c r="Y1092" s="319"/>
      <c r="Z1092" s="319"/>
      <c r="AA1092" s="319"/>
      <c r="AB1092" s="319"/>
      <c r="AC1092" s="319"/>
      <c r="AD1092" s="319"/>
      <c r="AE1092" s="319"/>
      <c r="AF1092" s="319"/>
      <c r="AG1092" s="319"/>
      <c r="AH1092" s="319"/>
      <c r="AI1092" s="319"/>
      <c r="AJ1092" s="319"/>
      <c r="AK1092" s="319"/>
      <c r="AL1092" s="319"/>
      <c r="AM1092" s="319"/>
      <c r="AN1092" s="319"/>
      <c r="AO1092" s="319"/>
      <c r="AP1092" s="319"/>
      <c r="AQ1092" s="319"/>
      <c r="AR1092" s="319"/>
      <c r="AS1092" s="319"/>
      <c r="AT1092" s="319"/>
      <c r="AU1092" s="319"/>
      <c r="AV1092" s="319"/>
      <c r="AW1092" s="319"/>
      <c r="AX1092" s="319"/>
      <c r="AY1092" s="319"/>
      <c r="AZ1092" s="319"/>
      <c r="BA1092" s="319"/>
      <c r="BB1092" s="319"/>
      <c r="BC1092" s="319"/>
      <c r="BD1092" s="319"/>
      <c r="BE1092" s="319"/>
      <c r="BF1092" s="319"/>
      <c r="BG1092" s="319"/>
      <c r="BH1092" s="319"/>
      <c r="BI1092" s="319"/>
      <c r="BJ1092" s="319"/>
      <c r="BK1092" s="319"/>
      <c r="BL1092" s="319"/>
      <c r="BM1092" s="319"/>
      <c r="BN1092" s="319"/>
      <c r="BO1092" s="319"/>
      <c r="BP1092" s="319"/>
      <c r="BQ1092" s="319"/>
      <c r="BR1092" s="319"/>
      <c r="BS1092" s="319"/>
      <c r="BT1092" s="319"/>
      <c r="BU1092" s="319"/>
      <c r="BV1092" s="319"/>
      <c r="BW1092" s="319"/>
      <c r="BX1092" s="319"/>
      <c r="BY1092" s="319"/>
      <c r="BZ1092" s="319"/>
      <c r="CA1092" s="319"/>
      <c r="CB1092" s="319"/>
      <c r="CC1092" s="319"/>
      <c r="CD1092" s="319"/>
      <c r="CE1092" s="319"/>
      <c r="CF1092" s="319"/>
      <c r="CG1092" s="319"/>
      <c r="CH1092" s="319"/>
      <c r="CI1092" s="319"/>
      <c r="CJ1092" s="319"/>
      <c r="CK1092" s="319"/>
    </row>
    <row r="1093" spans="1:89" ht="12.75" hidden="1" customHeight="1">
      <c r="A1093" s="394"/>
      <c r="B1093" s="864" t="s">
        <v>4139</v>
      </c>
      <c r="C1093" s="865" t="s">
        <v>5769</v>
      </c>
      <c r="D1093" s="865" t="s">
        <v>709</v>
      </c>
      <c r="E1093" s="319"/>
      <c r="F1093" s="864" t="s">
        <v>4225</v>
      </c>
      <c r="G1093" s="865" t="s">
        <v>5769</v>
      </c>
      <c r="H1093" s="865" t="s">
        <v>709</v>
      </c>
      <c r="I1093" s="319"/>
      <c r="J1093" s="319">
        <f>J1080*E949*1000</f>
        <v>0</v>
      </c>
      <c r="K1093" s="319"/>
      <c r="L1093" s="319"/>
      <c r="M1093" s="319"/>
      <c r="N1093" s="319"/>
      <c r="O1093" s="319"/>
      <c r="P1093" s="319"/>
      <c r="Q1093" s="319"/>
      <c r="R1093" s="319"/>
      <c r="S1093" s="319"/>
      <c r="T1093" s="319"/>
      <c r="U1093" s="319"/>
      <c r="V1093" s="319"/>
      <c r="W1093" s="319"/>
      <c r="X1093" s="319"/>
      <c r="Y1093" s="319"/>
      <c r="Z1093" s="319"/>
      <c r="AA1093" s="319"/>
      <c r="AB1093" s="319"/>
      <c r="AC1093" s="319"/>
      <c r="AD1093" s="319"/>
      <c r="AE1093" s="319"/>
      <c r="AF1093" s="319"/>
      <c r="AG1093" s="319"/>
      <c r="AH1093" s="319"/>
      <c r="AI1093" s="319"/>
      <c r="AJ1093" s="319"/>
      <c r="AK1093" s="319"/>
      <c r="AL1093" s="319"/>
      <c r="AM1093" s="319"/>
      <c r="AN1093" s="319"/>
      <c r="AO1093" s="319"/>
      <c r="AP1093" s="319"/>
      <c r="AQ1093" s="319"/>
      <c r="AR1093" s="319"/>
      <c r="AS1093" s="319"/>
      <c r="AT1093" s="319"/>
      <c r="AU1093" s="319"/>
      <c r="AV1093" s="319"/>
      <c r="AW1093" s="319"/>
      <c r="AX1093" s="319"/>
      <c r="AY1093" s="319"/>
      <c r="AZ1093" s="319"/>
      <c r="BA1093" s="319"/>
      <c r="BB1093" s="319"/>
      <c r="BC1093" s="319"/>
      <c r="BD1093" s="319"/>
      <c r="BE1093" s="319"/>
      <c r="BF1093" s="319"/>
      <c r="BG1093" s="319"/>
      <c r="BH1093" s="319"/>
      <c r="BI1093" s="319"/>
      <c r="BJ1093" s="319"/>
      <c r="BK1093" s="319"/>
      <c r="BL1093" s="319"/>
      <c r="BM1093" s="319"/>
      <c r="BN1093" s="319"/>
      <c r="BO1093" s="319"/>
      <c r="BP1093" s="319"/>
      <c r="BQ1093" s="319"/>
      <c r="BR1093" s="319"/>
      <c r="BS1093" s="319"/>
      <c r="BT1093" s="319"/>
      <c r="BU1093" s="319"/>
      <c r="BV1093" s="319"/>
      <c r="BW1093" s="319"/>
      <c r="BX1093" s="319"/>
      <c r="BY1093" s="319"/>
      <c r="BZ1093" s="319"/>
      <c r="CA1093" s="319"/>
      <c r="CB1093" s="319"/>
      <c r="CC1093" s="319"/>
      <c r="CD1093" s="319"/>
      <c r="CE1093" s="319"/>
      <c r="CF1093" s="319"/>
      <c r="CG1093" s="319"/>
      <c r="CH1093" s="319"/>
      <c r="CI1093" s="319"/>
      <c r="CJ1093" s="319"/>
      <c r="CK1093" s="319"/>
    </row>
    <row r="1094" spans="1:89" ht="12.75" hidden="1" customHeight="1">
      <c r="A1094" s="319" t="s">
        <v>4035</v>
      </c>
      <c r="B1094" s="319" t="str">
        <f>D801</f>
        <v>Gas natural - m³</v>
      </c>
      <c r="C1094" s="845">
        <f>IF(EE_HS_CB=TRUE,D803,0)</f>
        <v>0</v>
      </c>
      <c r="D1094" s="845">
        <f>IF(EE_HS_CB=TRUE,D805,0)</f>
        <v>0</v>
      </c>
      <c r="E1094" s="319" t="s">
        <v>4036</v>
      </c>
      <c r="F1094" s="319" t="str">
        <f>E801</f>
        <v>Gas natural - m³</v>
      </c>
      <c r="G1094" s="845">
        <f>IF(EE_HS_CB=TRUE,E803,0)</f>
        <v>0</v>
      </c>
      <c r="H1094" s="845">
        <f>IF(EE_HS_CB=TRUE,E805,0)</f>
        <v>0</v>
      </c>
      <c r="I1094" s="319"/>
      <c r="J1094" s="319"/>
      <c r="K1094" s="319"/>
      <c r="L1094" s="319"/>
      <c r="M1094" s="319"/>
      <c r="N1094" s="319"/>
      <c r="O1094" s="319"/>
      <c r="P1094" s="319"/>
      <c r="Q1094" s="319"/>
      <c r="R1094" s="319"/>
      <c r="S1094" s="319"/>
      <c r="T1094" s="319"/>
      <c r="U1094" s="319"/>
      <c r="V1094" s="319"/>
      <c r="W1094" s="319"/>
      <c r="X1094" s="319"/>
      <c r="Y1094" s="319"/>
      <c r="Z1094" s="319"/>
      <c r="AA1094" s="319"/>
      <c r="AB1094" s="319"/>
      <c r="AC1094" s="319"/>
      <c r="AD1094" s="319"/>
      <c r="AE1094" s="319"/>
      <c r="AF1094" s="319"/>
      <c r="AG1094" s="319"/>
      <c r="AH1094" s="319"/>
      <c r="AI1094" s="319"/>
      <c r="AJ1094" s="319"/>
      <c r="AK1094" s="319"/>
      <c r="AL1094" s="319"/>
      <c r="AM1094" s="319"/>
      <c r="AN1094" s="319"/>
      <c r="AO1094" s="319"/>
      <c r="AP1094" s="319"/>
      <c r="AQ1094" s="319"/>
      <c r="AR1094" s="319"/>
      <c r="AS1094" s="319"/>
      <c r="AT1094" s="319"/>
      <c r="AU1094" s="319"/>
      <c r="AV1094" s="319"/>
      <c r="AW1094" s="319"/>
      <c r="AX1094" s="319"/>
      <c r="AY1094" s="319"/>
      <c r="AZ1094" s="319"/>
      <c r="BA1094" s="319"/>
      <c r="BB1094" s="319"/>
      <c r="BC1094" s="319"/>
      <c r="BD1094" s="319"/>
      <c r="BE1094" s="319"/>
      <c r="BF1094" s="319"/>
      <c r="BG1094" s="319"/>
      <c r="BH1094" s="319"/>
      <c r="BI1094" s="319"/>
      <c r="BJ1094" s="319"/>
      <c r="BK1094" s="319"/>
      <c r="BL1094" s="319"/>
      <c r="BM1094" s="319"/>
      <c r="BN1094" s="319"/>
      <c r="BO1094" s="319"/>
      <c r="BP1094" s="319"/>
      <c r="BQ1094" s="319"/>
      <c r="BR1094" s="319"/>
      <c r="BS1094" s="319"/>
      <c r="BT1094" s="319"/>
      <c r="BU1094" s="319"/>
      <c r="BV1094" s="319"/>
      <c r="BW1094" s="319"/>
      <c r="BX1094" s="319"/>
      <c r="BY1094" s="319"/>
      <c r="BZ1094" s="319"/>
      <c r="CA1094" s="319"/>
      <c r="CB1094" s="319"/>
      <c r="CC1094" s="319"/>
      <c r="CD1094" s="319"/>
      <c r="CE1094" s="319"/>
      <c r="CF1094" s="319"/>
      <c r="CG1094" s="319"/>
      <c r="CH1094" s="319"/>
      <c r="CI1094" s="319"/>
      <c r="CJ1094" s="319"/>
      <c r="CK1094" s="319"/>
    </row>
    <row r="1095" spans="1:89" ht="12.75" hidden="1" customHeight="1">
      <c r="A1095" s="319"/>
      <c r="B1095" s="319" t="str">
        <f>IF(D1076=1,D916,D888)</f>
        <v>Eletricidade</v>
      </c>
      <c r="C1095" s="845">
        <f>IF(ISERROR(D918*D1076+D1054*D890),0,D918*D1076+D1054*D890)</f>
        <v>0</v>
      </c>
      <c r="D1095" s="845">
        <f>IF(ISERROR(D920*D1076+D1054*D892),0,D920*D1076+D1054*D892)</f>
        <v>0</v>
      </c>
      <c r="E1095" s="319"/>
      <c r="F1095" s="319" t="str">
        <f>IF(D1076=1,E916,E888)</f>
        <v>Eletricidade</v>
      </c>
      <c r="G1095" s="845">
        <f>IF(ISERROR(D1076*E918+D1054*E890),0,D1076*E918+D1054*E890)</f>
        <v>0</v>
      </c>
      <c r="H1095" s="845">
        <f>IF(ISERROR(D1076*E920+D1054*E892),0,D1076*E920+D1054*E892)</f>
        <v>0</v>
      </c>
      <c r="I1095" s="319"/>
      <c r="J1095" s="319"/>
      <c r="K1095" s="319"/>
      <c r="L1095" s="319"/>
      <c r="M1095" s="319"/>
      <c r="N1095" s="319"/>
      <c r="O1095" s="319"/>
      <c r="P1095" s="319"/>
      <c r="Q1095" s="319"/>
      <c r="R1095" s="319"/>
      <c r="S1095" s="319"/>
      <c r="T1095" s="319"/>
      <c r="U1095" s="319"/>
      <c r="V1095" s="319"/>
      <c r="W1095" s="319"/>
      <c r="X1095" s="319"/>
      <c r="Y1095" s="319"/>
      <c r="Z1095" s="319"/>
      <c r="AA1095" s="319"/>
      <c r="AB1095" s="319"/>
      <c r="AC1095" s="319"/>
      <c r="AD1095" s="319"/>
      <c r="AE1095" s="319"/>
      <c r="AF1095" s="319"/>
      <c r="AG1095" s="319"/>
      <c r="AH1095" s="319"/>
      <c r="AI1095" s="319"/>
      <c r="AJ1095" s="319"/>
      <c r="AK1095" s="319"/>
      <c r="AL1095" s="319"/>
      <c r="AM1095" s="319"/>
      <c r="AN1095" s="319"/>
      <c r="AO1095" s="319"/>
      <c r="AP1095" s="319"/>
      <c r="AQ1095" s="319"/>
      <c r="AR1095" s="319"/>
      <c r="AS1095" s="319"/>
      <c r="AT1095" s="319"/>
      <c r="AU1095" s="319"/>
      <c r="AV1095" s="319"/>
      <c r="AW1095" s="319"/>
      <c r="AX1095" s="319"/>
      <c r="AY1095" s="319"/>
      <c r="AZ1095" s="319"/>
      <c r="BA1095" s="319"/>
      <c r="BB1095" s="319"/>
      <c r="BC1095" s="319"/>
      <c r="BD1095" s="319"/>
      <c r="BE1095" s="319"/>
      <c r="BF1095" s="319"/>
      <c r="BG1095" s="319"/>
      <c r="BH1095" s="319"/>
      <c r="BI1095" s="319"/>
      <c r="BJ1095" s="319"/>
      <c r="BK1095" s="319"/>
      <c r="BL1095" s="319"/>
      <c r="BM1095" s="319"/>
      <c r="BN1095" s="319"/>
      <c r="BO1095" s="319"/>
      <c r="BP1095" s="319"/>
      <c r="BQ1095" s="319"/>
      <c r="BR1095" s="319"/>
      <c r="BS1095" s="319"/>
      <c r="BT1095" s="319"/>
      <c r="BU1095" s="319"/>
      <c r="BV1095" s="319"/>
      <c r="BW1095" s="319"/>
      <c r="BX1095" s="319"/>
      <c r="BY1095" s="319"/>
      <c r="BZ1095" s="319"/>
      <c r="CA1095" s="319"/>
      <c r="CB1095" s="319"/>
      <c r="CC1095" s="319"/>
      <c r="CD1095" s="319"/>
      <c r="CE1095" s="319"/>
      <c r="CF1095" s="319"/>
      <c r="CG1095" s="319"/>
      <c r="CH1095" s="319"/>
      <c r="CI1095" s="319"/>
      <c r="CJ1095" s="319"/>
      <c r="CK1095" s="319"/>
    </row>
    <row r="1096" spans="1:89" ht="12.75" hidden="1" customHeight="1">
      <c r="A1096" s="319" t="s">
        <v>144</v>
      </c>
      <c r="B1096" s="319">
        <f>D817</f>
        <v>0</v>
      </c>
      <c r="C1096" s="845">
        <f>IF(EE_CS_CB=TRUE,IF(ISERROR(D819),0,D819),0)</f>
        <v>0</v>
      </c>
      <c r="D1096" s="845">
        <f>IF(EE_CS_CB=TRUE,IF(ISERROR(D821),0,D821),0)</f>
        <v>0</v>
      </c>
      <c r="E1096" s="319"/>
      <c r="F1096" s="319" t="str">
        <f>IF(D1076=1,E926,E898)</f>
        <v>Eletricidade</v>
      </c>
      <c r="G1096" s="845">
        <f>IF(ISERROR(D1076*E928+D1054*E900),0,D1076*E928+D1054*E900)</f>
        <v>0</v>
      </c>
      <c r="H1096" s="845">
        <f>IF(ISERROR(D1076*E931+D1054*E903),0,D1076*E931+D1054*E903)</f>
        <v>0</v>
      </c>
      <c r="I1096" s="319"/>
      <c r="J1096" s="319"/>
      <c r="K1096" s="319"/>
      <c r="L1096" s="319"/>
      <c r="M1096" s="319"/>
      <c r="N1096" s="319"/>
      <c r="O1096" s="319"/>
      <c r="P1096" s="319"/>
      <c r="Q1096" s="319"/>
      <c r="R1096" s="319"/>
      <c r="S1096" s="319"/>
      <c r="T1096" s="319"/>
      <c r="U1096" s="319"/>
      <c r="V1096" s="319"/>
      <c r="W1096" s="319"/>
      <c r="X1096" s="319"/>
      <c r="Y1096" s="319"/>
      <c r="Z1096" s="319"/>
      <c r="AA1096" s="319"/>
      <c r="AB1096" s="319"/>
      <c r="AC1096" s="319"/>
      <c r="AD1096" s="319"/>
      <c r="AE1096" s="319"/>
      <c r="AF1096" s="319"/>
      <c r="AG1096" s="319"/>
      <c r="AH1096" s="319"/>
      <c r="AI1096" s="319"/>
      <c r="AJ1096" s="319"/>
      <c r="AK1096" s="319"/>
      <c r="AL1096" s="319"/>
      <c r="AM1096" s="319"/>
      <c r="AN1096" s="319"/>
      <c r="AO1096" s="319"/>
      <c r="AP1096" s="319"/>
      <c r="AQ1096" s="319"/>
      <c r="AR1096" s="319"/>
      <c r="AS1096" s="319"/>
      <c r="AT1096" s="319"/>
      <c r="AU1096" s="319"/>
      <c r="AV1096" s="319"/>
      <c r="AW1096" s="319"/>
      <c r="AX1096" s="319"/>
      <c r="AY1096" s="319"/>
      <c r="AZ1096" s="319"/>
      <c r="BA1096" s="319"/>
      <c r="BB1096" s="319"/>
      <c r="BC1096" s="319"/>
      <c r="BD1096" s="319"/>
      <c r="BE1096" s="319"/>
      <c r="BF1096" s="319"/>
      <c r="BG1096" s="319"/>
      <c r="BH1096" s="319"/>
      <c r="BI1096" s="319"/>
      <c r="BJ1096" s="319"/>
      <c r="BK1096" s="319"/>
      <c r="BL1096" s="319"/>
      <c r="BM1096" s="319"/>
      <c r="BN1096" s="319"/>
      <c r="BO1096" s="319"/>
      <c r="BP1096" s="319"/>
      <c r="BQ1096" s="319"/>
      <c r="BR1096" s="319"/>
      <c r="BS1096" s="319"/>
      <c r="BT1096" s="319"/>
      <c r="BU1096" s="319"/>
      <c r="BV1096" s="319"/>
      <c r="BW1096" s="319"/>
      <c r="BX1096" s="319"/>
      <c r="BY1096" s="319"/>
      <c r="BZ1096" s="319"/>
      <c r="CA1096" s="319"/>
      <c r="CB1096" s="319"/>
      <c r="CC1096" s="319"/>
      <c r="CD1096" s="319"/>
      <c r="CE1096" s="319"/>
      <c r="CF1096" s="319"/>
      <c r="CG1096" s="319"/>
      <c r="CH1096" s="319"/>
      <c r="CI1096" s="319"/>
      <c r="CJ1096" s="319"/>
      <c r="CK1096" s="319"/>
    </row>
    <row r="1097" spans="1:89" ht="12.75" hidden="1" customHeight="1">
      <c r="A1097" s="394" t="s">
        <v>4394</v>
      </c>
      <c r="B1097" s="394" t="str">
        <f>F1098</f>
        <v>Eletricidade</v>
      </c>
      <c r="C1097" s="866">
        <f>IF(EE_PS_CB=TRUE,IF(D1057=1,0,IF($Q$826=FALSE,D845,D846)),0)</f>
        <v>0</v>
      </c>
      <c r="D1097" s="866">
        <f>IF(EE_PS_CB=TRUE,IF(D1057=1,0,IF($Q$826=FALSE,D847,D848)),0)</f>
        <v>0</v>
      </c>
      <c r="E1097" s="319" t="s">
        <v>144</v>
      </c>
      <c r="F1097" s="319"/>
      <c r="G1097" s="845">
        <f>IF(EE_CS_CB=TRUE,IF(ISERROR(E819),0,E819),0)</f>
        <v>0</v>
      </c>
      <c r="H1097" s="845">
        <f>IF(EE_CS_CB=TRUE,IF(ISERROR(E821),0,E821),0)</f>
        <v>0</v>
      </c>
      <c r="I1097" s="319"/>
      <c r="J1097" s="319"/>
      <c r="K1097" s="319"/>
      <c r="L1097" s="319"/>
      <c r="M1097" s="319"/>
      <c r="N1097" s="319"/>
      <c r="O1097" s="319"/>
      <c r="P1097" s="319"/>
      <c r="Q1097" s="319"/>
      <c r="R1097" s="319"/>
      <c r="S1097" s="319"/>
      <c r="T1097" s="319"/>
      <c r="U1097" s="319"/>
      <c r="V1097" s="319"/>
      <c r="W1097" s="319"/>
      <c r="X1097" s="319"/>
      <c r="Y1097" s="319"/>
      <c r="Z1097" s="319"/>
      <c r="AA1097" s="319"/>
      <c r="AB1097" s="319"/>
      <c r="AC1097" s="319"/>
      <c r="AD1097" s="319"/>
      <c r="AE1097" s="319"/>
      <c r="AF1097" s="319"/>
      <c r="AG1097" s="319"/>
      <c r="AH1097" s="319"/>
      <c r="AI1097" s="319"/>
      <c r="AJ1097" s="319"/>
      <c r="AK1097" s="319"/>
      <c r="AL1097" s="319"/>
      <c r="AM1097" s="319"/>
      <c r="AN1097" s="319"/>
      <c r="AO1097" s="319"/>
      <c r="AP1097" s="319"/>
      <c r="AQ1097" s="319"/>
      <c r="AR1097" s="319"/>
      <c r="AS1097" s="319"/>
      <c r="AT1097" s="319"/>
      <c r="AU1097" s="319"/>
      <c r="AV1097" s="319"/>
      <c r="AW1097" s="319"/>
      <c r="AX1097" s="319"/>
      <c r="AY1097" s="319"/>
      <c r="AZ1097" s="319"/>
      <c r="BA1097" s="319"/>
      <c r="BB1097" s="319"/>
      <c r="BC1097" s="319"/>
      <c r="BD1097" s="319"/>
      <c r="BE1097" s="319"/>
      <c r="BF1097" s="319"/>
      <c r="BG1097" s="319"/>
      <c r="BH1097" s="319"/>
      <c r="BI1097" s="319"/>
      <c r="BJ1097" s="319"/>
      <c r="BK1097" s="319"/>
      <c r="BL1097" s="319"/>
      <c r="BM1097" s="319"/>
      <c r="BN1097" s="319"/>
      <c r="BO1097" s="319"/>
      <c r="BP1097" s="319"/>
      <c r="BQ1097" s="319"/>
      <c r="BR1097" s="319"/>
      <c r="BS1097" s="319"/>
      <c r="BT1097" s="319"/>
      <c r="BU1097" s="319"/>
      <c r="BV1097" s="319"/>
      <c r="BW1097" s="319"/>
      <c r="BX1097" s="319"/>
      <c r="BY1097" s="319"/>
      <c r="BZ1097" s="319"/>
      <c r="CA1097" s="319"/>
      <c r="CB1097" s="319"/>
      <c r="CC1097" s="319"/>
      <c r="CD1097" s="319"/>
      <c r="CE1097" s="319"/>
      <c r="CF1097" s="319"/>
      <c r="CG1097" s="319"/>
      <c r="CH1097" s="319"/>
      <c r="CI1097" s="319"/>
      <c r="CJ1097" s="319"/>
      <c r="CK1097" s="319"/>
    </row>
    <row r="1098" spans="1:89" ht="12.75" hidden="1" customHeight="1">
      <c r="A1098" s="598" t="s">
        <v>5756</v>
      </c>
      <c r="B1098" s="319" t="str">
        <f>S932</f>
        <v>Gas natural - m³</v>
      </c>
      <c r="C1098" s="845">
        <f>S933*D1080</f>
        <v>0</v>
      </c>
      <c r="D1098" s="845">
        <f>S934*D1080</f>
        <v>0</v>
      </c>
      <c r="E1098" s="319"/>
      <c r="F1098" s="394" t="str">
        <f>Language!C1279</f>
        <v>Eletricidade</v>
      </c>
      <c r="G1098" s="866">
        <f>IF(EE_PS_CB=TRUE,F1085,0)*IF(D1057=1,0,1)</f>
        <v>0</v>
      </c>
      <c r="H1098" s="866">
        <f>IF(EE_PS_CB=TRUE,IF(D1062=1,D655,D782),0)*G1098*1000</f>
        <v>0</v>
      </c>
      <c r="I1098" s="319"/>
      <c r="J1098" s="319"/>
      <c r="K1098" s="319"/>
      <c r="L1098" s="319"/>
      <c r="M1098" s="319"/>
      <c r="N1098" s="319"/>
      <c r="O1098" s="319"/>
      <c r="P1098" s="319"/>
      <c r="Q1098" s="319"/>
      <c r="R1098" s="319"/>
      <c r="S1098" s="319"/>
      <c r="T1098" s="319"/>
      <c r="U1098" s="319"/>
      <c r="V1098" s="319"/>
      <c r="W1098" s="319"/>
      <c r="X1098" s="319"/>
      <c r="Y1098" s="319"/>
      <c r="Z1098" s="319"/>
      <c r="AA1098" s="319"/>
      <c r="AB1098" s="319"/>
      <c r="AC1098" s="319"/>
      <c r="AD1098" s="319"/>
      <c r="AE1098" s="319"/>
      <c r="AF1098" s="319"/>
      <c r="AG1098" s="319"/>
      <c r="AH1098" s="319"/>
      <c r="AI1098" s="319"/>
      <c r="AJ1098" s="319"/>
      <c r="AK1098" s="319"/>
      <c r="AL1098" s="319"/>
      <c r="AM1098" s="319"/>
      <c r="AN1098" s="319"/>
      <c r="AO1098" s="319"/>
      <c r="AP1098" s="319"/>
      <c r="AQ1098" s="319"/>
      <c r="AR1098" s="319"/>
      <c r="AS1098" s="319"/>
      <c r="AT1098" s="319"/>
      <c r="AU1098" s="319"/>
      <c r="AV1098" s="319"/>
      <c r="AW1098" s="319"/>
      <c r="AX1098" s="319"/>
      <c r="AY1098" s="319"/>
      <c r="AZ1098" s="319"/>
      <c r="BA1098" s="319"/>
      <c r="BB1098" s="319"/>
      <c r="BC1098" s="319"/>
      <c r="BD1098" s="319"/>
      <c r="BE1098" s="319"/>
      <c r="BF1098" s="319"/>
      <c r="BG1098" s="319"/>
      <c r="BH1098" s="319"/>
      <c r="BI1098" s="319"/>
      <c r="BJ1098" s="319"/>
      <c r="BK1098" s="319"/>
      <c r="BL1098" s="319"/>
      <c r="BM1098" s="319"/>
      <c r="BN1098" s="319"/>
      <c r="BO1098" s="319"/>
      <c r="BP1098" s="319"/>
      <c r="BQ1098" s="319"/>
      <c r="BR1098" s="319"/>
      <c r="BS1098" s="319"/>
      <c r="BT1098" s="319"/>
      <c r="BU1098" s="319"/>
      <c r="BV1098" s="319"/>
      <c r="BW1098" s="319"/>
      <c r="BX1098" s="319"/>
      <c r="BY1098" s="319"/>
      <c r="BZ1098" s="319"/>
      <c r="CA1098" s="319"/>
      <c r="CB1098" s="319"/>
      <c r="CC1098" s="319"/>
      <c r="CD1098" s="319"/>
      <c r="CE1098" s="319"/>
      <c r="CF1098" s="319"/>
      <c r="CG1098" s="319"/>
      <c r="CH1098" s="319"/>
      <c r="CI1098" s="319"/>
      <c r="CJ1098" s="319"/>
      <c r="CK1098" s="319"/>
    </row>
    <row r="1099" spans="1:89" ht="12.75" hidden="1" customHeight="1">
      <c r="A1099" s="319"/>
      <c r="B1099" s="319" t="str">
        <f>B1104</f>
        <v>Eletricidade</v>
      </c>
      <c r="C1099" s="845"/>
      <c r="D1099" s="845"/>
      <c r="E1099" s="319" t="s">
        <v>5756</v>
      </c>
      <c r="F1099" s="319" t="str">
        <f>T932</f>
        <v xml:space="preserve">Biomassa </v>
      </c>
      <c r="G1099" s="845">
        <f>T933*D1080</f>
        <v>0</v>
      </c>
      <c r="H1099" s="845">
        <f>D1080*T934</f>
        <v>0</v>
      </c>
      <c r="I1099" s="319"/>
      <c r="J1099" s="319"/>
      <c r="K1099" s="319"/>
      <c r="L1099" s="319"/>
      <c r="M1099" s="319"/>
      <c r="N1099" s="319"/>
      <c r="O1099" s="319"/>
      <c r="P1099" s="319"/>
      <c r="Q1099" s="319"/>
      <c r="R1099" s="319"/>
      <c r="S1099" s="319"/>
      <c r="T1099" s="319"/>
      <c r="U1099" s="319"/>
      <c r="V1099" s="319"/>
      <c r="W1099" s="319"/>
      <c r="X1099" s="319"/>
      <c r="Y1099" s="319"/>
      <c r="Z1099" s="319"/>
      <c r="AA1099" s="319"/>
      <c r="AB1099" s="319"/>
      <c r="AC1099" s="319"/>
      <c r="AD1099" s="319"/>
      <c r="AE1099" s="319"/>
      <c r="AF1099" s="319"/>
      <c r="AG1099" s="319"/>
      <c r="AH1099" s="319"/>
      <c r="AI1099" s="319"/>
      <c r="AJ1099" s="319"/>
      <c r="AK1099" s="319"/>
      <c r="AL1099" s="319"/>
      <c r="AM1099" s="319"/>
      <c r="AN1099" s="319"/>
      <c r="AO1099" s="319"/>
      <c r="AP1099" s="319"/>
      <c r="AQ1099" s="319"/>
      <c r="AR1099" s="319"/>
      <c r="AS1099" s="319"/>
      <c r="AT1099" s="319"/>
      <c r="AU1099" s="319"/>
      <c r="AV1099" s="319"/>
      <c r="AW1099" s="319"/>
      <c r="AX1099" s="319"/>
      <c r="AY1099" s="319"/>
      <c r="AZ1099" s="319"/>
      <c r="BA1099" s="319"/>
      <c r="BB1099" s="319"/>
      <c r="BC1099" s="319"/>
      <c r="BD1099" s="319"/>
      <c r="BE1099" s="319"/>
      <c r="BF1099" s="319"/>
      <c r="BG1099" s="319"/>
      <c r="BH1099" s="319"/>
      <c r="BI1099" s="319"/>
      <c r="BJ1099" s="319"/>
      <c r="BK1099" s="319"/>
      <c r="BL1099" s="319"/>
      <c r="BM1099" s="319"/>
      <c r="BN1099" s="319"/>
      <c r="BO1099" s="319"/>
      <c r="BP1099" s="319"/>
      <c r="BQ1099" s="319"/>
      <c r="BR1099" s="319"/>
      <c r="BS1099" s="319"/>
      <c r="BT1099" s="319"/>
      <c r="BU1099" s="319"/>
      <c r="BV1099" s="319"/>
      <c r="BW1099" s="319"/>
      <c r="BX1099" s="319"/>
      <c r="BY1099" s="319"/>
      <c r="BZ1099" s="319"/>
      <c r="CA1099" s="319"/>
      <c r="CB1099" s="319"/>
      <c r="CC1099" s="319"/>
      <c r="CD1099" s="319"/>
      <c r="CE1099" s="319"/>
      <c r="CF1099" s="319"/>
      <c r="CG1099" s="319"/>
      <c r="CH1099" s="319"/>
      <c r="CI1099" s="319"/>
      <c r="CJ1099" s="319"/>
      <c r="CK1099" s="319"/>
    </row>
    <row r="1100" spans="1:89" ht="12.75" hidden="1" customHeight="1">
      <c r="A1100" s="319"/>
      <c r="B1100" s="319" t="str">
        <f>Q196</f>
        <v>Gas natural - m³</v>
      </c>
      <c r="C1100" s="845">
        <f>D1057*R199/VLOOKUP(B1100,LN_FuelList,4,FALSE)*1000</f>
        <v>0</v>
      </c>
      <c r="D1100" s="845">
        <f>D201*D1057</f>
        <v>0</v>
      </c>
      <c r="E1100" s="319"/>
      <c r="F1100" s="319"/>
      <c r="G1100" s="845">
        <v>0</v>
      </c>
      <c r="H1100" s="845">
        <v>0</v>
      </c>
      <c r="I1100" s="319" t="s">
        <v>3047</v>
      </c>
      <c r="J1100" s="319"/>
      <c r="K1100" s="319"/>
      <c r="L1100" s="319"/>
      <c r="M1100" s="319"/>
      <c r="N1100" s="319"/>
      <c r="O1100" s="319"/>
      <c r="P1100" s="319"/>
      <c r="Q1100" s="319"/>
      <c r="R1100" s="319"/>
      <c r="S1100" s="319"/>
      <c r="T1100" s="319"/>
      <c r="U1100" s="319"/>
      <c r="V1100" s="319"/>
      <c r="W1100" s="319"/>
      <c r="X1100" s="319"/>
      <c r="Y1100" s="319"/>
      <c r="Z1100" s="319"/>
      <c r="AA1100" s="319"/>
      <c r="AB1100" s="319"/>
      <c r="AC1100" s="319"/>
      <c r="AD1100" s="319"/>
      <c r="AE1100" s="319"/>
      <c r="AF1100" s="319"/>
      <c r="AG1100" s="319"/>
      <c r="AH1100" s="319"/>
      <c r="AI1100" s="319"/>
      <c r="AJ1100" s="319"/>
      <c r="AK1100" s="319"/>
      <c r="AL1100" s="319"/>
      <c r="AM1100" s="319"/>
      <c r="AN1100" s="319"/>
      <c r="AO1100" s="319"/>
      <c r="AP1100" s="319"/>
      <c r="AQ1100" s="319"/>
      <c r="AR1100" s="319"/>
      <c r="AS1100" s="319"/>
      <c r="AT1100" s="319"/>
      <c r="AU1100" s="319"/>
      <c r="AV1100" s="319"/>
      <c r="AW1100" s="319"/>
      <c r="AX1100" s="319"/>
      <c r="AY1100" s="319"/>
      <c r="AZ1100" s="319"/>
      <c r="BA1100" s="319"/>
      <c r="BB1100" s="319"/>
      <c r="BC1100" s="319"/>
      <c r="BD1100" s="319"/>
      <c r="BE1100" s="319"/>
      <c r="BF1100" s="319"/>
      <c r="BG1100" s="319"/>
      <c r="BH1100" s="319"/>
      <c r="BI1100" s="319"/>
      <c r="BJ1100" s="319"/>
      <c r="BK1100" s="319"/>
      <c r="BL1100" s="319"/>
      <c r="BM1100" s="319"/>
      <c r="BN1100" s="319"/>
      <c r="BO1100" s="319"/>
      <c r="BP1100" s="319"/>
      <c r="BQ1100" s="319"/>
      <c r="BR1100" s="319"/>
      <c r="BS1100" s="319"/>
      <c r="BT1100" s="319"/>
      <c r="BU1100" s="319"/>
      <c r="BV1100" s="319"/>
      <c r="BW1100" s="319"/>
      <c r="BX1100" s="319"/>
      <c r="BY1100" s="319"/>
      <c r="BZ1100" s="319"/>
      <c r="CA1100" s="319"/>
      <c r="CB1100" s="319"/>
      <c r="CC1100" s="319"/>
      <c r="CD1100" s="319"/>
      <c r="CE1100" s="319"/>
      <c r="CF1100" s="319"/>
      <c r="CG1100" s="319"/>
      <c r="CH1100" s="319"/>
      <c r="CI1100" s="319"/>
      <c r="CJ1100" s="319"/>
      <c r="CK1100" s="319"/>
    </row>
    <row r="1101" spans="1:89" ht="12.75" hidden="1" customHeight="1">
      <c r="A1101" s="319"/>
      <c r="B1101" s="319" t="str">
        <f>C503</f>
        <v>Gas natural - m³</v>
      </c>
      <c r="C1101" s="845">
        <v>0</v>
      </c>
      <c r="D1101" s="845">
        <v>0</v>
      </c>
      <c r="E1101" s="319"/>
      <c r="F1101" s="319"/>
      <c r="G1101" s="845">
        <f>IF(ISERROR(R510*D1057*IF(B1058=1,1,0)/VLOOKUP(B1101,LN_FuelList,4,FALSE)*1000),0,R510*D1057*IF(B1058=1,1,0)/VLOOKUP(B1101,LN_FuelList,4,FALSE)*1000)</f>
        <v>0</v>
      </c>
      <c r="H1101" s="845">
        <f>IF(ISERROR(R510*R503*3.6*D1057),0,R510*R503*3.6*D1057)</f>
        <v>0</v>
      </c>
      <c r="I1101" s="319" t="s">
        <v>3048</v>
      </c>
      <c r="J1101" s="319"/>
      <c r="K1101" s="319"/>
      <c r="L1101" s="319"/>
      <c r="M1101" s="319"/>
      <c r="N1101" s="319"/>
      <c r="O1101" s="319"/>
      <c r="P1101" s="319"/>
      <c r="Q1101" s="319"/>
      <c r="R1101" s="319"/>
      <c r="S1101" s="319"/>
      <c r="T1101" s="319"/>
      <c r="U1101" s="319"/>
      <c r="V1101" s="319"/>
      <c r="W1101" s="319"/>
      <c r="X1101" s="319"/>
      <c r="Y1101" s="319"/>
      <c r="Z1101" s="319"/>
      <c r="AA1101" s="319"/>
      <c r="AB1101" s="319"/>
      <c r="AC1101" s="319"/>
      <c r="AD1101" s="319"/>
      <c r="AE1101" s="319"/>
      <c r="AF1101" s="319"/>
      <c r="AG1101" s="319"/>
      <c r="AH1101" s="319"/>
      <c r="AI1101" s="319"/>
      <c r="AJ1101" s="319"/>
      <c r="AK1101" s="319"/>
      <c r="AL1101" s="319"/>
      <c r="AM1101" s="319"/>
      <c r="AN1101" s="319"/>
      <c r="AO1101" s="319"/>
      <c r="AP1101" s="319"/>
      <c r="AQ1101" s="319"/>
      <c r="AR1101" s="319"/>
      <c r="AS1101" s="319"/>
      <c r="AT1101" s="319"/>
      <c r="AU1101" s="319"/>
      <c r="AV1101" s="319"/>
      <c r="AW1101" s="319"/>
      <c r="AX1101" s="319"/>
      <c r="AY1101" s="319"/>
      <c r="AZ1101" s="319"/>
      <c r="BA1101" s="319"/>
      <c r="BB1101" s="319"/>
      <c r="BC1101" s="319"/>
      <c r="BD1101" s="319"/>
      <c r="BE1101" s="319"/>
      <c r="BF1101" s="319"/>
      <c r="BG1101" s="319"/>
      <c r="BH1101" s="319"/>
      <c r="BI1101" s="319"/>
      <c r="BJ1101" s="319"/>
      <c r="BK1101" s="319"/>
      <c r="BL1101" s="319"/>
      <c r="BM1101" s="319"/>
      <c r="BN1101" s="319"/>
      <c r="BO1101" s="319"/>
      <c r="BP1101" s="319"/>
      <c r="BQ1101" s="319"/>
      <c r="BR1101" s="319"/>
      <c r="BS1101" s="319"/>
      <c r="BT1101" s="319"/>
      <c r="BU1101" s="319"/>
      <c r="BV1101" s="319"/>
      <c r="BW1101" s="319"/>
      <c r="BX1101" s="319"/>
      <c r="BY1101" s="319"/>
      <c r="BZ1101" s="319"/>
      <c r="CA1101" s="319"/>
      <c r="CB1101" s="319"/>
      <c r="CC1101" s="319"/>
      <c r="CD1101" s="319"/>
      <c r="CE1101" s="319"/>
      <c r="CF1101" s="319"/>
      <c r="CG1101" s="319"/>
      <c r="CH1101" s="319"/>
      <c r="CI1101" s="319"/>
      <c r="CJ1101" s="319"/>
      <c r="CK1101" s="319"/>
    </row>
    <row r="1102" spans="1:89" ht="12.75" hidden="1" customHeight="1">
      <c r="A1102" s="319"/>
      <c r="B1102" s="319" t="str">
        <f>C517</f>
        <v>Gas natural - m³</v>
      </c>
      <c r="C1102" s="845">
        <v>0</v>
      </c>
      <c r="D1102" s="845">
        <v>0</v>
      </c>
      <c r="E1102" s="319"/>
      <c r="F1102" s="319"/>
      <c r="G1102" s="845">
        <f>D1057*R524*IF(B1058=10,1,0)*VLOOKUP(B1102,LN_FuelList,4,FALSE)</f>
        <v>0</v>
      </c>
      <c r="H1102" s="845">
        <f>G1102*R517*3.6</f>
        <v>0</v>
      </c>
      <c r="I1102" s="319" t="s">
        <v>3008</v>
      </c>
      <c r="J1102" s="319"/>
      <c r="K1102" s="319"/>
      <c r="L1102" s="319"/>
      <c r="M1102" s="319"/>
      <c r="N1102" s="319"/>
      <c r="O1102" s="319"/>
      <c r="P1102" s="319"/>
      <c r="Q1102" s="319"/>
      <c r="R1102" s="319"/>
      <c r="S1102" s="319"/>
      <c r="T1102" s="319"/>
      <c r="U1102" s="319"/>
      <c r="V1102" s="319"/>
      <c r="W1102" s="319"/>
      <c r="X1102" s="319"/>
      <c r="Y1102" s="319"/>
      <c r="Z1102" s="319"/>
      <c r="AA1102" s="319"/>
      <c r="AB1102" s="319"/>
      <c r="AC1102" s="319"/>
      <c r="AD1102" s="319"/>
      <c r="AE1102" s="319"/>
      <c r="AF1102" s="319"/>
      <c r="AG1102" s="319"/>
      <c r="AH1102" s="319"/>
      <c r="AI1102" s="319"/>
      <c r="AJ1102" s="319"/>
      <c r="AK1102" s="319"/>
      <c r="AL1102" s="319"/>
      <c r="AM1102" s="319"/>
      <c r="AN1102" s="319"/>
      <c r="AO1102" s="319"/>
      <c r="AP1102" s="319"/>
      <c r="AQ1102" s="319"/>
      <c r="AR1102" s="319"/>
      <c r="AS1102" s="319"/>
      <c r="AT1102" s="319"/>
      <c r="AU1102" s="319"/>
      <c r="AV1102" s="319"/>
      <c r="AW1102" s="319"/>
      <c r="AX1102" s="319"/>
      <c r="AY1102" s="319"/>
      <c r="AZ1102" s="319"/>
      <c r="BA1102" s="319"/>
      <c r="BB1102" s="319"/>
      <c r="BC1102" s="319"/>
      <c r="BD1102" s="319"/>
      <c r="BE1102" s="319"/>
      <c r="BF1102" s="319"/>
      <c r="BG1102" s="319"/>
      <c r="BH1102" s="319"/>
      <c r="BI1102" s="319"/>
      <c r="BJ1102" s="319"/>
      <c r="BK1102" s="319"/>
      <c r="BL1102" s="319"/>
      <c r="BM1102" s="319"/>
      <c r="BN1102" s="319"/>
      <c r="BO1102" s="319"/>
      <c r="BP1102" s="319"/>
      <c r="BQ1102" s="319"/>
      <c r="BR1102" s="319"/>
      <c r="BS1102" s="319"/>
      <c r="BT1102" s="319"/>
      <c r="BU1102" s="319"/>
      <c r="BV1102" s="319"/>
      <c r="BW1102" s="319"/>
      <c r="BX1102" s="319"/>
      <c r="BY1102" s="319"/>
      <c r="BZ1102" s="319"/>
      <c r="CA1102" s="319"/>
      <c r="CB1102" s="319"/>
      <c r="CC1102" s="319"/>
      <c r="CD1102" s="319"/>
      <c r="CE1102" s="319"/>
      <c r="CF1102" s="319"/>
      <c r="CG1102" s="319"/>
      <c r="CH1102" s="319"/>
      <c r="CI1102" s="319"/>
      <c r="CJ1102" s="319"/>
      <c r="CK1102" s="319"/>
    </row>
    <row r="1103" spans="1:89" ht="12.75" hidden="1" customHeight="1">
      <c r="A1103" s="319"/>
      <c r="B1103" s="319" t="str">
        <f>Q531</f>
        <v>Eletricidade</v>
      </c>
      <c r="C1103" s="845">
        <v>0</v>
      </c>
      <c r="D1103" s="845">
        <v>0</v>
      </c>
      <c r="E1103" s="319"/>
      <c r="F1103" s="319" t="str">
        <f>B1103</f>
        <v>Eletricidade</v>
      </c>
      <c r="G1103" s="845">
        <f>D1057*R539/VLOOKUP(B1103,LN_FuelList,4,FALSE)*1000</f>
        <v>0</v>
      </c>
      <c r="H1103" s="845">
        <f>D1057*R539*R531*3.6</f>
        <v>0</v>
      </c>
      <c r="I1103" s="319" t="s">
        <v>1444</v>
      </c>
      <c r="J1103" s="319"/>
      <c r="K1103" s="319"/>
      <c r="L1103" s="319"/>
      <c r="M1103" s="319"/>
      <c r="N1103" s="319"/>
      <c r="O1103" s="319"/>
      <c r="P1103" s="319"/>
      <c r="Q1103" s="319"/>
      <c r="R1103" s="319"/>
      <c r="S1103" s="319"/>
      <c r="T1103" s="319"/>
      <c r="U1103" s="319"/>
      <c r="V1103" s="319"/>
      <c r="W1103" s="319"/>
      <c r="X1103" s="319"/>
      <c r="Y1103" s="319"/>
      <c r="Z1103" s="319"/>
      <c r="AA1103" s="319"/>
      <c r="AB1103" s="319"/>
      <c r="AC1103" s="319"/>
      <c r="AD1103" s="319"/>
      <c r="AE1103" s="319"/>
      <c r="AF1103" s="319"/>
      <c r="AG1103" s="319"/>
      <c r="AH1103" s="319"/>
      <c r="AI1103" s="319"/>
      <c r="AJ1103" s="319"/>
      <c r="AK1103" s="319"/>
      <c r="AL1103" s="319"/>
      <c r="AM1103" s="319"/>
      <c r="AN1103" s="319"/>
      <c r="AO1103" s="319"/>
      <c r="AP1103" s="319"/>
      <c r="AQ1103" s="319"/>
      <c r="AR1103" s="319"/>
      <c r="AS1103" s="319"/>
      <c r="AT1103" s="319"/>
      <c r="AU1103" s="319"/>
      <c r="AV1103" s="319"/>
      <c r="AW1103" s="319"/>
      <c r="AX1103" s="319"/>
      <c r="AY1103" s="319"/>
      <c r="AZ1103" s="319"/>
      <c r="BA1103" s="319"/>
      <c r="BB1103" s="319"/>
      <c r="BC1103" s="319"/>
      <c r="BD1103" s="319"/>
      <c r="BE1103" s="319"/>
      <c r="BF1103" s="319"/>
      <c r="BG1103" s="319"/>
      <c r="BH1103" s="319"/>
      <c r="BI1103" s="319"/>
      <c r="BJ1103" s="319"/>
      <c r="BK1103" s="319"/>
      <c r="BL1103" s="319"/>
      <c r="BM1103" s="319"/>
      <c r="BN1103" s="319"/>
      <c r="BO1103" s="319"/>
      <c r="BP1103" s="319"/>
      <c r="BQ1103" s="319"/>
      <c r="BR1103" s="319"/>
      <c r="BS1103" s="319"/>
      <c r="BT1103" s="319"/>
      <c r="BU1103" s="319"/>
      <c r="BV1103" s="319"/>
      <c r="BW1103" s="319"/>
      <c r="BX1103" s="319"/>
      <c r="BY1103" s="319"/>
      <c r="BZ1103" s="319"/>
      <c r="CA1103" s="319"/>
      <c r="CB1103" s="319"/>
      <c r="CC1103" s="319"/>
      <c r="CD1103" s="319"/>
      <c r="CE1103" s="319"/>
      <c r="CF1103" s="319"/>
      <c r="CG1103" s="319"/>
      <c r="CH1103" s="319"/>
      <c r="CI1103" s="319"/>
      <c r="CJ1103" s="319"/>
      <c r="CK1103" s="319"/>
    </row>
    <row r="1104" spans="1:89" ht="12.75" hidden="1" customHeight="1">
      <c r="A1104" s="319"/>
      <c r="B1104" s="319" t="str">
        <f>IF(E7="",$B$1196,E7)</f>
        <v>Eletricidade</v>
      </c>
      <c r="C1104" s="845">
        <f t="shared" ref="C1104:C1109" si="214">IF(ISERROR(E155),0,E155)*$D$1021</f>
        <v>0</v>
      </c>
      <c r="D1104" s="845">
        <f t="shared" ref="D1104:D1109" si="215">F155*$D$1021</f>
        <v>0</v>
      </c>
      <c r="E1104" s="319"/>
      <c r="F1104" s="319" t="str">
        <f t="shared" ref="F1104:F1109" si="216">B1104</f>
        <v>Eletricidade</v>
      </c>
      <c r="G1104" s="845">
        <f t="shared" ref="G1104:G1109" si="217">IF(ISERROR(G155),0,G155)*$D$1021</f>
        <v>0</v>
      </c>
      <c r="H1104" s="845">
        <f t="shared" ref="H1104:H1109" si="218">H155*$D$1021</f>
        <v>0</v>
      </c>
      <c r="I1104" s="319"/>
      <c r="J1104" s="319"/>
      <c r="K1104" s="319"/>
      <c r="L1104" s="319"/>
      <c r="M1104" s="319"/>
      <c r="N1104" s="319"/>
      <c r="O1104" s="319"/>
      <c r="P1104" s="319"/>
      <c r="Q1104" s="319"/>
      <c r="R1104" s="319"/>
      <c r="S1104" s="319"/>
      <c r="T1104" s="319"/>
      <c r="U1104" s="319"/>
      <c r="V1104" s="319"/>
      <c r="W1104" s="319"/>
      <c r="X1104" s="319"/>
      <c r="Y1104" s="319"/>
      <c r="Z1104" s="319"/>
      <c r="AA1104" s="319"/>
      <c r="AB1104" s="319"/>
      <c r="AC1104" s="319"/>
      <c r="AD1104" s="319"/>
      <c r="AE1104" s="319"/>
      <c r="AF1104" s="319"/>
      <c r="AG1104" s="319"/>
      <c r="AH1104" s="319"/>
      <c r="AI1104" s="319"/>
      <c r="AJ1104" s="319"/>
      <c r="AK1104" s="319"/>
      <c r="AL1104" s="319"/>
      <c r="AM1104" s="319"/>
      <c r="AN1104" s="319"/>
      <c r="AO1104" s="319"/>
      <c r="AP1104" s="319"/>
      <c r="AQ1104" s="319"/>
      <c r="AR1104" s="319"/>
      <c r="AS1104" s="319"/>
      <c r="AT1104" s="319"/>
      <c r="AU1104" s="319"/>
      <c r="AV1104" s="319"/>
      <c r="AW1104" s="319"/>
      <c r="AX1104" s="319"/>
      <c r="AY1104" s="319"/>
      <c r="AZ1104" s="319"/>
      <c r="BA1104" s="319"/>
      <c r="BB1104" s="319"/>
      <c r="BC1104" s="319"/>
      <c r="BD1104" s="319"/>
      <c r="BE1104" s="319"/>
      <c r="BF1104" s="319"/>
      <c r="BG1104" s="319"/>
      <c r="BH1104" s="319"/>
      <c r="BI1104" s="319"/>
      <c r="BJ1104" s="319"/>
      <c r="BK1104" s="319"/>
      <c r="BL1104" s="319"/>
      <c r="BM1104" s="319"/>
      <c r="BN1104" s="319"/>
      <c r="BO1104" s="319"/>
      <c r="BP1104" s="319"/>
      <c r="BQ1104" s="319"/>
      <c r="BR1104" s="319"/>
      <c r="BS1104" s="319"/>
      <c r="BT1104" s="319"/>
      <c r="BU1104" s="319"/>
      <c r="BV1104" s="319"/>
      <c r="BW1104" s="319"/>
      <c r="BX1104" s="319"/>
      <c r="BY1104" s="319"/>
      <c r="BZ1104" s="319"/>
      <c r="CA1104" s="319"/>
      <c r="CB1104" s="319"/>
      <c r="CC1104" s="319"/>
      <c r="CD1104" s="319"/>
      <c r="CE1104" s="319"/>
      <c r="CF1104" s="319"/>
      <c r="CG1104" s="319"/>
      <c r="CH1104" s="319"/>
      <c r="CI1104" s="319"/>
      <c r="CJ1104" s="319"/>
      <c r="CK1104" s="319"/>
    </row>
    <row r="1105" spans="1:89" ht="12.75" hidden="1" customHeight="1">
      <c r="A1105" s="319"/>
      <c r="B1105" s="319">
        <f>IF(F7="",$B$1196,F7)</f>
        <v>0</v>
      </c>
      <c r="C1105" s="845">
        <f t="shared" si="214"/>
        <v>0</v>
      </c>
      <c r="D1105" s="845">
        <f t="shared" si="215"/>
        <v>0</v>
      </c>
      <c r="E1105" s="319"/>
      <c r="F1105" s="319">
        <f t="shared" si="216"/>
        <v>0</v>
      </c>
      <c r="G1105" s="845">
        <f t="shared" si="217"/>
        <v>0</v>
      </c>
      <c r="H1105" s="845">
        <f t="shared" si="218"/>
        <v>0</v>
      </c>
      <c r="I1105" s="319"/>
      <c r="J1105" s="319"/>
      <c r="K1105" s="319"/>
      <c r="L1105" s="319"/>
      <c r="M1105" s="319"/>
      <c r="N1105" s="319"/>
      <c r="O1105" s="319"/>
      <c r="P1105" s="319"/>
      <c r="Q1105" s="319"/>
      <c r="R1105" s="319"/>
      <c r="S1105" s="319"/>
      <c r="T1105" s="319"/>
      <c r="U1105" s="319"/>
      <c r="V1105" s="319"/>
      <c r="W1105" s="319"/>
      <c r="X1105" s="319"/>
      <c r="Y1105" s="319"/>
      <c r="Z1105" s="319"/>
      <c r="AA1105" s="319"/>
      <c r="AB1105" s="319"/>
      <c r="AC1105" s="319"/>
      <c r="AD1105" s="319"/>
      <c r="AE1105" s="319"/>
      <c r="AF1105" s="319"/>
      <c r="AG1105" s="319"/>
      <c r="AH1105" s="319"/>
      <c r="AI1105" s="319"/>
      <c r="AJ1105" s="319"/>
      <c r="AK1105" s="319"/>
      <c r="AL1105" s="319"/>
      <c r="AM1105" s="319"/>
      <c r="AN1105" s="319"/>
      <c r="AO1105" s="319"/>
      <c r="AP1105" s="319"/>
      <c r="AQ1105" s="319"/>
      <c r="AR1105" s="319"/>
      <c r="AS1105" s="319"/>
      <c r="AT1105" s="319"/>
      <c r="AU1105" s="319"/>
      <c r="AV1105" s="319"/>
      <c r="AW1105" s="319"/>
      <c r="AX1105" s="319"/>
      <c r="AY1105" s="319"/>
      <c r="AZ1105" s="319"/>
      <c r="BA1105" s="319"/>
      <c r="BB1105" s="319"/>
      <c r="BC1105" s="319"/>
      <c r="BD1105" s="319"/>
      <c r="BE1105" s="319"/>
      <c r="BF1105" s="319"/>
      <c r="BG1105" s="319"/>
      <c r="BH1105" s="319"/>
      <c r="BI1105" s="319"/>
      <c r="BJ1105" s="319"/>
      <c r="BK1105" s="319"/>
      <c r="BL1105" s="319"/>
      <c r="BM1105" s="319"/>
      <c r="BN1105" s="319"/>
      <c r="BO1105" s="319"/>
      <c r="BP1105" s="319"/>
      <c r="BQ1105" s="319"/>
      <c r="BR1105" s="319"/>
      <c r="BS1105" s="319"/>
      <c r="BT1105" s="319"/>
      <c r="BU1105" s="319"/>
      <c r="BV1105" s="319"/>
      <c r="BW1105" s="319"/>
      <c r="BX1105" s="319"/>
      <c r="BY1105" s="319"/>
      <c r="BZ1105" s="319"/>
      <c r="CA1105" s="319"/>
      <c r="CB1105" s="319"/>
      <c r="CC1105" s="319"/>
      <c r="CD1105" s="319"/>
      <c r="CE1105" s="319"/>
      <c r="CF1105" s="319"/>
      <c r="CG1105" s="319"/>
      <c r="CH1105" s="319"/>
      <c r="CI1105" s="319"/>
      <c r="CJ1105" s="319"/>
      <c r="CK1105" s="319"/>
    </row>
    <row r="1106" spans="1:89" ht="12.75" hidden="1" customHeight="1">
      <c r="A1106" s="319"/>
      <c r="B1106" s="319">
        <f>IF(G7="",$B$1196,G7)</f>
        <v>0</v>
      </c>
      <c r="C1106" s="845">
        <f t="shared" si="214"/>
        <v>0</v>
      </c>
      <c r="D1106" s="845">
        <f t="shared" si="215"/>
        <v>0</v>
      </c>
      <c r="E1106" s="319"/>
      <c r="F1106" s="319">
        <f t="shared" si="216"/>
        <v>0</v>
      </c>
      <c r="G1106" s="845">
        <f t="shared" si="217"/>
        <v>0</v>
      </c>
      <c r="H1106" s="845">
        <f t="shared" si="218"/>
        <v>0</v>
      </c>
      <c r="I1106" s="319"/>
      <c r="J1106" s="319"/>
      <c r="K1106" s="319"/>
      <c r="L1106" s="319"/>
      <c r="M1106" s="319"/>
      <c r="N1106" s="319"/>
      <c r="O1106" s="319"/>
      <c r="P1106" s="319"/>
      <c r="Q1106" s="319"/>
      <c r="R1106" s="319"/>
      <c r="S1106" s="319"/>
      <c r="T1106" s="319"/>
      <c r="U1106" s="319"/>
      <c r="V1106" s="319"/>
      <c r="W1106" s="319"/>
      <c r="X1106" s="319"/>
      <c r="Y1106" s="319"/>
      <c r="Z1106" s="319"/>
      <c r="AA1106" s="319"/>
      <c r="AB1106" s="319"/>
      <c r="AC1106" s="319"/>
      <c r="AD1106" s="319"/>
      <c r="AE1106" s="319"/>
      <c r="AF1106" s="319"/>
      <c r="AG1106" s="319"/>
      <c r="AH1106" s="319"/>
      <c r="AI1106" s="319"/>
      <c r="AJ1106" s="319"/>
      <c r="AK1106" s="319"/>
      <c r="AL1106" s="319"/>
      <c r="AM1106" s="319"/>
      <c r="AN1106" s="319"/>
      <c r="AO1106" s="319"/>
      <c r="AP1106" s="319"/>
      <c r="AQ1106" s="319"/>
      <c r="AR1106" s="319"/>
      <c r="AS1106" s="319"/>
      <c r="AT1106" s="319"/>
      <c r="AU1106" s="319"/>
      <c r="AV1106" s="319"/>
      <c r="AW1106" s="319"/>
      <c r="AX1106" s="319"/>
      <c r="AY1106" s="319"/>
      <c r="AZ1106" s="319"/>
      <c r="BA1106" s="319"/>
      <c r="BB1106" s="319"/>
      <c r="BC1106" s="319"/>
      <c r="BD1106" s="319"/>
      <c r="BE1106" s="319"/>
      <c r="BF1106" s="319"/>
      <c r="BG1106" s="319"/>
      <c r="BH1106" s="319"/>
      <c r="BI1106" s="319"/>
      <c r="BJ1106" s="319"/>
      <c r="BK1106" s="319"/>
      <c r="BL1106" s="319"/>
      <c r="BM1106" s="319"/>
      <c r="BN1106" s="319"/>
      <c r="BO1106" s="319"/>
      <c r="BP1106" s="319"/>
      <c r="BQ1106" s="319"/>
      <c r="BR1106" s="319"/>
      <c r="BS1106" s="319"/>
      <c r="BT1106" s="319"/>
      <c r="BU1106" s="319"/>
      <c r="BV1106" s="319"/>
      <c r="BW1106" s="319"/>
      <c r="BX1106" s="319"/>
      <c r="BY1106" s="319"/>
      <c r="BZ1106" s="319"/>
      <c r="CA1106" s="319"/>
      <c r="CB1106" s="319"/>
      <c r="CC1106" s="319"/>
      <c r="CD1106" s="319"/>
      <c r="CE1106" s="319"/>
      <c r="CF1106" s="319"/>
      <c r="CG1106" s="319"/>
      <c r="CH1106" s="319"/>
      <c r="CI1106" s="319"/>
      <c r="CJ1106" s="319"/>
      <c r="CK1106" s="319"/>
    </row>
    <row r="1107" spans="1:89" ht="12.75" hidden="1" customHeight="1">
      <c r="A1107" s="319"/>
      <c r="B1107" s="319">
        <f>IF(H7="",$B$1196,H7)</f>
        <v>0</v>
      </c>
      <c r="C1107" s="845">
        <f t="shared" si="214"/>
        <v>0</v>
      </c>
      <c r="D1107" s="845">
        <f t="shared" si="215"/>
        <v>0</v>
      </c>
      <c r="E1107" s="319"/>
      <c r="F1107" s="319">
        <f t="shared" si="216"/>
        <v>0</v>
      </c>
      <c r="G1107" s="845">
        <f t="shared" si="217"/>
        <v>0</v>
      </c>
      <c r="H1107" s="845">
        <f t="shared" si="218"/>
        <v>0</v>
      </c>
      <c r="I1107" s="319"/>
      <c r="J1107" s="319"/>
      <c r="K1107" s="319"/>
      <c r="L1107" s="319"/>
      <c r="M1107" s="319"/>
      <c r="N1107" s="319"/>
      <c r="O1107" s="319"/>
      <c r="P1107" s="319"/>
      <c r="Q1107" s="319"/>
      <c r="R1107" s="319"/>
      <c r="S1107" s="319"/>
      <c r="T1107" s="319"/>
      <c r="U1107" s="319"/>
      <c r="V1107" s="319"/>
      <c r="W1107" s="319"/>
      <c r="X1107" s="319"/>
      <c r="Y1107" s="319"/>
      <c r="Z1107" s="319"/>
      <c r="AA1107" s="319"/>
      <c r="AB1107" s="319"/>
      <c r="AC1107" s="319"/>
      <c r="AD1107" s="319"/>
      <c r="AE1107" s="319"/>
      <c r="AF1107" s="319"/>
      <c r="AG1107" s="319"/>
      <c r="AH1107" s="319"/>
      <c r="AI1107" s="319"/>
      <c r="AJ1107" s="319"/>
      <c r="AK1107" s="319"/>
      <c r="AL1107" s="319"/>
      <c r="AM1107" s="319"/>
      <c r="AN1107" s="319"/>
      <c r="AO1107" s="319"/>
      <c r="AP1107" s="319"/>
      <c r="AQ1107" s="319"/>
      <c r="AR1107" s="319"/>
      <c r="AS1107" s="319"/>
      <c r="AT1107" s="319"/>
      <c r="AU1107" s="319"/>
      <c r="AV1107" s="319"/>
      <c r="AW1107" s="319"/>
      <c r="AX1107" s="319"/>
      <c r="AY1107" s="319"/>
      <c r="AZ1107" s="319"/>
      <c r="BA1107" s="319"/>
      <c r="BB1107" s="319"/>
      <c r="BC1107" s="319"/>
      <c r="BD1107" s="319"/>
      <c r="BE1107" s="319"/>
      <c r="BF1107" s="319"/>
      <c r="BG1107" s="319"/>
      <c r="BH1107" s="319"/>
      <c r="BI1107" s="319"/>
      <c r="BJ1107" s="319"/>
      <c r="BK1107" s="319"/>
      <c r="BL1107" s="319"/>
      <c r="BM1107" s="319"/>
      <c r="BN1107" s="319"/>
      <c r="BO1107" s="319"/>
      <c r="BP1107" s="319"/>
      <c r="BQ1107" s="319"/>
      <c r="BR1107" s="319"/>
      <c r="BS1107" s="319"/>
      <c r="BT1107" s="319"/>
      <c r="BU1107" s="319"/>
      <c r="BV1107" s="319"/>
      <c r="BW1107" s="319"/>
      <c r="BX1107" s="319"/>
      <c r="BY1107" s="319"/>
      <c r="BZ1107" s="319"/>
      <c r="CA1107" s="319"/>
      <c r="CB1107" s="319"/>
      <c r="CC1107" s="319"/>
      <c r="CD1107" s="319"/>
      <c r="CE1107" s="319"/>
      <c r="CF1107" s="319"/>
      <c r="CG1107" s="319"/>
      <c r="CH1107" s="319"/>
      <c r="CI1107" s="319"/>
      <c r="CJ1107" s="319"/>
      <c r="CK1107" s="319"/>
    </row>
    <row r="1108" spans="1:89" ht="12.75" hidden="1" customHeight="1">
      <c r="A1108" s="319"/>
      <c r="B1108" s="319">
        <f>IF(I7="",$B$1196,I7)</f>
        <v>0</v>
      </c>
      <c r="C1108" s="845">
        <f t="shared" si="214"/>
        <v>0</v>
      </c>
      <c r="D1108" s="845">
        <f t="shared" si="215"/>
        <v>0</v>
      </c>
      <c r="E1108" s="319"/>
      <c r="F1108" s="319">
        <f t="shared" si="216"/>
        <v>0</v>
      </c>
      <c r="G1108" s="845">
        <f t="shared" si="217"/>
        <v>0</v>
      </c>
      <c r="H1108" s="845">
        <f t="shared" si="218"/>
        <v>0</v>
      </c>
      <c r="I1108" s="319"/>
      <c r="J1108" s="319"/>
      <c r="K1108" s="319"/>
      <c r="L1108" s="319"/>
      <c r="M1108" s="319"/>
      <c r="N1108" s="319"/>
      <c r="O1108" s="319"/>
      <c r="P1108" s="319"/>
      <c r="Q1108" s="319"/>
      <c r="R1108" s="319"/>
      <c r="S1108" s="319"/>
      <c r="T1108" s="319"/>
      <c r="U1108" s="319"/>
      <c r="V1108" s="319"/>
      <c r="W1108" s="319"/>
      <c r="X1108" s="319"/>
      <c r="Y1108" s="319"/>
      <c r="Z1108" s="319"/>
      <c r="AA1108" s="319"/>
      <c r="AB1108" s="319"/>
      <c r="AC1108" s="319"/>
      <c r="AD1108" s="319"/>
      <c r="AE1108" s="319"/>
      <c r="AF1108" s="319"/>
      <c r="AG1108" s="319"/>
      <c r="AH1108" s="319"/>
      <c r="AI1108" s="319"/>
      <c r="AJ1108" s="319"/>
      <c r="AK1108" s="319"/>
      <c r="AL1108" s="319"/>
      <c r="AM1108" s="319"/>
      <c r="AN1108" s="319"/>
      <c r="AO1108" s="319"/>
      <c r="AP1108" s="319"/>
      <c r="AQ1108" s="319"/>
      <c r="AR1108" s="319"/>
      <c r="AS1108" s="319"/>
      <c r="AT1108" s="319"/>
      <c r="AU1108" s="319"/>
      <c r="AV1108" s="319"/>
      <c r="AW1108" s="319"/>
      <c r="AX1108" s="319"/>
      <c r="AY1108" s="319"/>
      <c r="AZ1108" s="319"/>
      <c r="BA1108" s="319"/>
      <c r="BB1108" s="319"/>
      <c r="BC1108" s="319"/>
      <c r="BD1108" s="319"/>
      <c r="BE1108" s="319"/>
      <c r="BF1108" s="319"/>
      <c r="BG1108" s="319"/>
      <c r="BH1108" s="319"/>
      <c r="BI1108" s="319"/>
      <c r="BJ1108" s="319"/>
      <c r="BK1108" s="319"/>
      <c r="BL1108" s="319"/>
      <c r="BM1108" s="319"/>
      <c r="BN1108" s="319"/>
      <c r="BO1108" s="319"/>
      <c r="BP1108" s="319"/>
      <c r="BQ1108" s="319"/>
      <c r="BR1108" s="319"/>
      <c r="BS1108" s="319"/>
      <c r="BT1108" s="319"/>
      <c r="BU1108" s="319"/>
      <c r="BV1108" s="319"/>
      <c r="BW1108" s="319"/>
      <c r="BX1108" s="319"/>
      <c r="BY1108" s="319"/>
      <c r="BZ1108" s="319"/>
      <c r="CA1108" s="319"/>
      <c r="CB1108" s="319"/>
      <c r="CC1108" s="319"/>
      <c r="CD1108" s="319"/>
      <c r="CE1108" s="319"/>
      <c r="CF1108" s="319"/>
      <c r="CG1108" s="319"/>
      <c r="CH1108" s="319"/>
      <c r="CI1108" s="319"/>
      <c r="CJ1108" s="319"/>
      <c r="CK1108" s="319"/>
    </row>
    <row r="1109" spans="1:89" ht="12.75" hidden="1" customHeight="1">
      <c r="A1109" s="394"/>
      <c r="B1109" s="394">
        <f>IF(J7="",$B$1196,J7)</f>
        <v>0</v>
      </c>
      <c r="C1109" s="866">
        <f t="shared" si="214"/>
        <v>0</v>
      </c>
      <c r="D1109" s="866">
        <f t="shared" si="215"/>
        <v>0</v>
      </c>
      <c r="E1109" s="394"/>
      <c r="F1109" s="394">
        <f t="shared" si="216"/>
        <v>0</v>
      </c>
      <c r="G1109" s="866">
        <f t="shared" si="217"/>
        <v>0</v>
      </c>
      <c r="H1109" s="866">
        <f t="shared" si="218"/>
        <v>0</v>
      </c>
      <c r="I1109" s="319"/>
      <c r="J1109" s="319"/>
      <c r="K1109" s="319"/>
      <c r="L1109" s="319"/>
      <c r="M1109" s="319"/>
      <c r="N1109" s="319"/>
      <c r="O1109" s="319"/>
      <c r="P1109" s="319"/>
      <c r="Q1109" s="319"/>
      <c r="R1109" s="319"/>
      <c r="S1109" s="319"/>
      <c r="T1109" s="319"/>
      <c r="U1109" s="319"/>
      <c r="V1109" s="319"/>
      <c r="W1109" s="319"/>
      <c r="X1109" s="319"/>
      <c r="Y1109" s="319"/>
      <c r="Z1109" s="319"/>
      <c r="AA1109" s="319"/>
      <c r="AB1109" s="319"/>
      <c r="AC1109" s="319"/>
      <c r="AD1109" s="319"/>
      <c r="AE1109" s="319"/>
      <c r="AF1109" s="319"/>
      <c r="AG1109" s="319"/>
      <c r="AH1109" s="319"/>
      <c r="AI1109" s="319"/>
      <c r="AJ1109" s="319"/>
      <c r="AK1109" s="319"/>
      <c r="AL1109" s="319"/>
      <c r="AM1109" s="319"/>
      <c r="AN1109" s="319"/>
      <c r="AO1109" s="319"/>
      <c r="AP1109" s="319"/>
      <c r="AQ1109" s="319"/>
      <c r="AR1109" s="319"/>
      <c r="AS1109" s="319"/>
      <c r="AT1109" s="319"/>
      <c r="AU1109" s="319"/>
      <c r="AV1109" s="319"/>
      <c r="AW1109" s="319"/>
      <c r="AX1109" s="319"/>
      <c r="AY1109" s="319"/>
      <c r="AZ1109" s="319"/>
      <c r="BA1109" s="319"/>
      <c r="BB1109" s="319"/>
      <c r="BC1109" s="319"/>
      <c r="BD1109" s="319"/>
      <c r="BE1109" s="319"/>
      <c r="BF1109" s="319"/>
      <c r="BG1109" s="319"/>
      <c r="BH1109" s="319"/>
      <c r="BI1109" s="319"/>
      <c r="BJ1109" s="319"/>
      <c r="BK1109" s="319"/>
      <c r="BL1109" s="319"/>
      <c r="BM1109" s="319"/>
      <c r="BN1109" s="319"/>
      <c r="BO1109" s="319"/>
      <c r="BP1109" s="319"/>
      <c r="BQ1109" s="319"/>
      <c r="BR1109" s="319"/>
      <c r="BS1109" s="319"/>
      <c r="BT1109" s="319"/>
      <c r="BU1109" s="319"/>
      <c r="BV1109" s="319"/>
      <c r="BW1109" s="319"/>
      <c r="BX1109" s="319"/>
      <c r="BY1109" s="319"/>
      <c r="BZ1109" s="319"/>
      <c r="CA1109" s="319"/>
      <c r="CB1109" s="319"/>
      <c r="CC1109" s="319"/>
      <c r="CD1109" s="319"/>
      <c r="CE1109" s="319"/>
      <c r="CF1109" s="319"/>
      <c r="CG1109" s="319"/>
      <c r="CH1109" s="319"/>
      <c r="CI1109" s="319"/>
      <c r="CJ1109" s="319"/>
      <c r="CK1109" s="319"/>
    </row>
    <row r="1110" spans="1:89" ht="12.75" hidden="1" customHeight="1">
      <c r="A1110" s="319"/>
      <c r="B1110" s="319" t="s">
        <v>650</v>
      </c>
      <c r="C1110" s="845"/>
      <c r="D1110" s="845">
        <f>SUM(D1094:D1109)</f>
        <v>0</v>
      </c>
      <c r="E1110" s="319"/>
      <c r="F1110" s="319" t="s">
        <v>649</v>
      </c>
      <c r="G1110" s="845"/>
      <c r="H1110" s="845">
        <f>SUM(H1094:H1109)</f>
        <v>0</v>
      </c>
      <c r="I1110" s="319"/>
      <c r="J1110" s="319"/>
      <c r="K1110" s="319"/>
      <c r="L1110" s="319"/>
      <c r="M1110" s="319"/>
      <c r="N1110" s="319"/>
      <c r="O1110" s="319"/>
      <c r="P1110" s="319"/>
      <c r="Q1110" s="319"/>
      <c r="R1110" s="319"/>
      <c r="S1110" s="319"/>
      <c r="T1110" s="319"/>
      <c r="U1110" s="319"/>
      <c r="V1110" s="319"/>
      <c r="W1110" s="319"/>
      <c r="X1110" s="319"/>
      <c r="Y1110" s="319"/>
      <c r="Z1110" s="319"/>
      <c r="AA1110" s="319"/>
      <c r="AB1110" s="319"/>
      <c r="AC1110" s="319"/>
      <c r="AD1110" s="319"/>
      <c r="AE1110" s="319"/>
      <c r="AF1110" s="319"/>
      <c r="AG1110" s="319"/>
      <c r="AH1110" s="319"/>
      <c r="AI1110" s="319"/>
      <c r="AJ1110" s="319"/>
      <c r="AK1110" s="319"/>
      <c r="AL1110" s="319"/>
      <c r="AM1110" s="319"/>
      <c r="AN1110" s="319"/>
      <c r="AO1110" s="319"/>
      <c r="AP1110" s="319"/>
      <c r="AQ1110" s="319"/>
      <c r="AR1110" s="319"/>
      <c r="AS1110" s="319"/>
      <c r="AT1110" s="319"/>
      <c r="AU1110" s="319"/>
      <c r="AV1110" s="319"/>
      <c r="AW1110" s="319"/>
      <c r="AX1110" s="319"/>
      <c r="AY1110" s="319"/>
      <c r="AZ1110" s="319"/>
      <c r="BA1110" s="319"/>
      <c r="BB1110" s="319"/>
      <c r="BC1110" s="319"/>
      <c r="BD1110" s="319"/>
      <c r="BE1110" s="319"/>
      <c r="BF1110" s="319"/>
      <c r="BG1110" s="319"/>
      <c r="BH1110" s="319"/>
      <c r="BI1110" s="319"/>
      <c r="BJ1110" s="319"/>
      <c r="BK1110" s="319"/>
      <c r="BL1110" s="319"/>
      <c r="BM1110" s="319"/>
      <c r="BN1110" s="319"/>
      <c r="BO1110" s="319"/>
      <c r="BP1110" s="319"/>
      <c r="BQ1110" s="319"/>
      <c r="BR1110" s="319"/>
      <c r="BS1110" s="319"/>
      <c r="BT1110" s="319"/>
      <c r="BU1110" s="319"/>
      <c r="BV1110" s="319"/>
      <c r="BW1110" s="319"/>
      <c r="BX1110" s="319"/>
      <c r="BY1110" s="319"/>
      <c r="BZ1110" s="319"/>
      <c r="CA1110" s="319"/>
      <c r="CB1110" s="319"/>
      <c r="CC1110" s="319"/>
      <c r="CD1110" s="319"/>
      <c r="CE1110" s="319"/>
      <c r="CF1110" s="319"/>
      <c r="CG1110" s="319"/>
      <c r="CH1110" s="319"/>
      <c r="CI1110" s="319"/>
      <c r="CJ1110" s="319"/>
      <c r="CK1110" s="319"/>
    </row>
    <row r="1111" spans="1:89" ht="12.75" hidden="1" customHeight="1">
      <c r="A1111" s="319"/>
      <c r="B1111" s="319"/>
      <c r="C1111" s="319"/>
      <c r="D1111" s="319"/>
      <c r="E1111" s="319"/>
      <c r="F1111" s="319"/>
      <c r="G1111" s="494"/>
      <c r="H1111" s="494"/>
      <c r="I1111" s="319"/>
      <c r="J1111" s="319"/>
      <c r="K1111" s="319"/>
      <c r="L1111" s="319"/>
      <c r="M1111" s="319"/>
      <c r="N1111" s="319"/>
      <c r="O1111" s="319"/>
      <c r="P1111" s="319"/>
      <c r="Q1111" s="319"/>
      <c r="R1111" s="319"/>
      <c r="S1111" s="319"/>
      <c r="T1111" s="319"/>
      <c r="U1111" s="319"/>
      <c r="V1111" s="319"/>
      <c r="W1111" s="319"/>
      <c r="X1111" s="319"/>
      <c r="Y1111" s="319"/>
      <c r="Z1111" s="319"/>
      <c r="AA1111" s="319"/>
      <c r="AB1111" s="319"/>
      <c r="AC1111" s="319"/>
      <c r="AD1111" s="319"/>
      <c r="AE1111" s="319"/>
      <c r="AF1111" s="319"/>
      <c r="AG1111" s="319"/>
      <c r="AH1111" s="319"/>
      <c r="AI1111" s="319"/>
      <c r="AJ1111" s="319"/>
      <c r="AK1111" s="319"/>
      <c r="AL1111" s="319"/>
      <c r="AM1111" s="319"/>
      <c r="AN1111" s="319"/>
      <c r="AO1111" s="319"/>
      <c r="AP1111" s="319"/>
      <c r="AQ1111" s="319"/>
      <c r="AR1111" s="319"/>
      <c r="AS1111" s="319"/>
      <c r="AT1111" s="319"/>
      <c r="AU1111" s="319"/>
      <c r="AV1111" s="319"/>
      <c r="AW1111" s="319"/>
      <c r="AX1111" s="319"/>
      <c r="AY1111" s="319"/>
      <c r="AZ1111" s="319"/>
      <c r="BA1111" s="319"/>
      <c r="BB1111" s="319"/>
      <c r="BC1111" s="319"/>
      <c r="BD1111" s="319"/>
      <c r="BE1111" s="319"/>
      <c r="BF1111" s="319"/>
      <c r="BG1111" s="319"/>
      <c r="BH1111" s="319"/>
      <c r="BI1111" s="319"/>
      <c r="BJ1111" s="319"/>
      <c r="BK1111" s="319"/>
      <c r="BL1111" s="319"/>
      <c r="BM1111" s="319"/>
      <c r="BN1111" s="319"/>
      <c r="BO1111" s="319"/>
      <c r="BP1111" s="319"/>
      <c r="BQ1111" s="319"/>
      <c r="BR1111" s="319"/>
      <c r="BS1111" s="319"/>
      <c r="BT1111" s="319"/>
      <c r="BU1111" s="319"/>
      <c r="BV1111" s="319"/>
      <c r="BW1111" s="319"/>
      <c r="BX1111" s="319"/>
      <c r="BY1111" s="319"/>
      <c r="BZ1111" s="319"/>
      <c r="CA1111" s="319"/>
      <c r="CB1111" s="319"/>
      <c r="CC1111" s="319"/>
      <c r="CD1111" s="319"/>
      <c r="CE1111" s="319"/>
      <c r="CF1111" s="319"/>
      <c r="CG1111" s="319"/>
      <c r="CH1111" s="319"/>
      <c r="CI1111" s="319"/>
      <c r="CJ1111" s="319"/>
      <c r="CK1111" s="319"/>
    </row>
    <row r="1112" spans="1:89" ht="12.75" hidden="1" customHeight="1">
      <c r="A1112" s="319"/>
      <c r="B1112" s="319"/>
      <c r="C1112" s="319" t="s">
        <v>2977</v>
      </c>
      <c r="D1112" s="319" t="s">
        <v>5700</v>
      </c>
      <c r="E1112" s="319" t="s">
        <v>1705</v>
      </c>
      <c r="F1112" s="319" t="s">
        <v>2745</v>
      </c>
      <c r="G1112" s="319" t="s">
        <v>3615</v>
      </c>
      <c r="H1112" s="319" t="s">
        <v>717</v>
      </c>
      <c r="I1112" s="319" t="s">
        <v>2978</v>
      </c>
      <c r="J1112" s="319"/>
      <c r="K1112" s="319"/>
      <c r="L1112" s="319" t="s">
        <v>5207</v>
      </c>
      <c r="M1112" s="319" t="s">
        <v>739</v>
      </c>
      <c r="N1112" s="319"/>
      <c r="O1112" s="319"/>
      <c r="P1112" s="319"/>
      <c r="Q1112" s="319"/>
      <c r="R1112" s="319"/>
      <c r="S1112" s="319"/>
      <c r="T1112" s="319"/>
      <c r="U1112" s="319"/>
      <c r="V1112" s="319"/>
      <c r="W1112" s="319"/>
      <c r="X1112" s="319"/>
      <c r="Y1112" s="319"/>
      <c r="Z1112" s="319"/>
      <c r="AA1112" s="319"/>
      <c r="AB1112" s="319"/>
      <c r="AC1112" s="319"/>
      <c r="AD1112" s="319"/>
      <c r="AE1112" s="319"/>
      <c r="AF1112" s="319"/>
      <c r="AG1112" s="319"/>
      <c r="AH1112" s="319"/>
      <c r="AI1112" s="319"/>
      <c r="AJ1112" s="319"/>
      <c r="AK1112" s="319"/>
      <c r="AL1112" s="319"/>
      <c r="AM1112" s="319"/>
      <c r="AN1112" s="319"/>
      <c r="AO1112" s="319"/>
      <c r="AP1112" s="319"/>
      <c r="AQ1112" s="319"/>
      <c r="AR1112" s="319"/>
      <c r="AS1112" s="319"/>
      <c r="AT1112" s="319"/>
      <c r="AU1112" s="319"/>
      <c r="AV1112" s="319"/>
      <c r="AW1112" s="319"/>
      <c r="AX1112" s="319"/>
      <c r="AY1112" s="319"/>
      <c r="AZ1112" s="319"/>
      <c r="BA1112" s="319"/>
      <c r="BB1112" s="319"/>
      <c r="BC1112" s="319"/>
      <c r="BD1112" s="319"/>
      <c r="BE1112" s="319"/>
      <c r="BF1112" s="319"/>
      <c r="BG1112" s="319"/>
      <c r="BH1112" s="319"/>
      <c r="BI1112" s="319"/>
      <c r="BJ1112" s="319"/>
      <c r="BK1112" s="319"/>
      <c r="BL1112" s="319"/>
      <c r="BM1112" s="319"/>
      <c r="BN1112" s="319"/>
      <c r="BO1112" s="319"/>
      <c r="BP1112" s="319"/>
      <c r="BQ1112" s="319"/>
      <c r="BR1112" s="319"/>
      <c r="BS1112" s="319"/>
      <c r="BT1112" s="319"/>
      <c r="BU1112" s="319"/>
      <c r="BV1112" s="319"/>
      <c r="BW1112" s="319"/>
      <c r="BX1112" s="319"/>
      <c r="BY1112" s="319"/>
      <c r="BZ1112" s="319"/>
      <c r="CA1112" s="319"/>
      <c r="CB1112" s="319"/>
      <c r="CC1112" s="319"/>
      <c r="CD1112" s="319"/>
      <c r="CE1112" s="319"/>
      <c r="CF1112" s="319"/>
      <c r="CG1112" s="319"/>
      <c r="CH1112" s="319"/>
      <c r="CI1112" s="319"/>
      <c r="CJ1112" s="319"/>
      <c r="CK1112" s="319"/>
    </row>
    <row r="1113" spans="1:89" ht="12.75" hidden="1" customHeight="1">
      <c r="A1113" s="319" t="s">
        <v>3810</v>
      </c>
      <c r="B1113" s="319" t="str">
        <f>IF(HideCode_projectType=2,C1090,"")</f>
        <v>Turbina eólica</v>
      </c>
      <c r="C1113" s="319" t="str">
        <f>B1113</f>
        <v>Turbina eólica</v>
      </c>
      <c r="D1113" s="319">
        <f>IF(HideCode_projectType=2,I1090,0)</f>
        <v>0</v>
      </c>
      <c r="E1113" s="319">
        <f>IF(HideCode_projectType=2,H1090,0)</f>
        <v>0</v>
      </c>
      <c r="F1113" s="319">
        <f>IF(HideCode_projectType=2,F1090,0)</f>
        <v>0</v>
      </c>
      <c r="G1113" s="319">
        <v>0</v>
      </c>
      <c r="H1113" s="319">
        <v>0</v>
      </c>
      <c r="I1113" s="494">
        <f>K1091</f>
        <v>0</v>
      </c>
      <c r="J1113" s="319" t="s">
        <v>4045</v>
      </c>
      <c r="K1113" s="319"/>
      <c r="L1113" s="319">
        <v>0</v>
      </c>
      <c r="M1113" s="319">
        <v>1</v>
      </c>
      <c r="N1113" s="319"/>
      <c r="O1113" s="319"/>
      <c r="P1113" s="319"/>
      <c r="Q1113" s="319"/>
      <c r="R1113" s="319"/>
      <c r="S1113" s="319"/>
      <c r="T1113" s="319"/>
      <c r="U1113" s="319"/>
      <c r="V1113" s="319"/>
      <c r="W1113" s="319"/>
      <c r="X1113" s="319"/>
      <c r="Y1113" s="319"/>
      <c r="Z1113" s="319"/>
      <c r="AA1113" s="319"/>
      <c r="AB1113" s="319"/>
      <c r="AC1113" s="319"/>
      <c r="AD1113" s="319"/>
      <c r="AE1113" s="319"/>
      <c r="AF1113" s="319"/>
      <c r="AG1113" s="319"/>
      <c r="AH1113" s="319"/>
      <c r="AI1113" s="319"/>
      <c r="AJ1113" s="319"/>
      <c r="AK1113" s="319"/>
      <c r="AL1113" s="319"/>
      <c r="AM1113" s="319"/>
      <c r="AN1113" s="319"/>
      <c r="AO1113" s="319"/>
      <c r="AP1113" s="319"/>
      <c r="AQ1113" s="319"/>
      <c r="AR1113" s="319"/>
      <c r="AS1113" s="319"/>
      <c r="AT1113" s="319"/>
      <c r="AU1113" s="319"/>
      <c r="AV1113" s="319"/>
      <c r="AW1113" s="319"/>
      <c r="AX1113" s="319"/>
      <c r="AY1113" s="319"/>
      <c r="AZ1113" s="319"/>
      <c r="BA1113" s="319"/>
      <c r="BB1113" s="319"/>
      <c r="BC1113" s="319"/>
      <c r="BD1113" s="319"/>
      <c r="BE1113" s="319"/>
      <c r="BF1113" s="319"/>
      <c r="BG1113" s="319"/>
      <c r="BH1113" s="319"/>
      <c r="BI1113" s="319"/>
      <c r="BJ1113" s="319"/>
      <c r="BK1113" s="319"/>
      <c r="BL1113" s="319"/>
      <c r="BM1113" s="319"/>
      <c r="BN1113" s="319"/>
      <c r="BO1113" s="319"/>
      <c r="BP1113" s="319"/>
      <c r="BQ1113" s="319"/>
      <c r="BR1113" s="319"/>
      <c r="BS1113" s="319"/>
      <c r="BT1113" s="319"/>
      <c r="BU1113" s="319"/>
      <c r="BV1113" s="319"/>
      <c r="BW1113" s="319"/>
      <c r="BX1113" s="319"/>
      <c r="BY1113" s="319"/>
      <c r="BZ1113" s="319"/>
      <c r="CA1113" s="319"/>
      <c r="CB1113" s="319"/>
      <c r="CC1113" s="319"/>
      <c r="CD1113" s="319"/>
      <c r="CE1113" s="319"/>
      <c r="CF1113" s="319"/>
      <c r="CG1113" s="319"/>
      <c r="CH1113" s="319"/>
      <c r="CI1113" s="319"/>
      <c r="CJ1113" s="319"/>
      <c r="CK1113" s="319"/>
    </row>
    <row r="1114" spans="1:89" ht="12.75" hidden="1" customHeight="1">
      <c r="A1114" s="319" t="s">
        <v>3085</v>
      </c>
      <c r="B1114" s="319" t="s">
        <v>1883</v>
      </c>
      <c r="C1114" s="319" t="s">
        <v>1883</v>
      </c>
      <c r="D1114" s="319">
        <v>0</v>
      </c>
      <c r="E1114" s="319">
        <v>0</v>
      </c>
      <c r="F1114" s="319">
        <v>0</v>
      </c>
      <c r="G1114" s="319">
        <v>0</v>
      </c>
      <c r="H1114" s="319">
        <v>0</v>
      </c>
      <c r="I1114" s="319">
        <v>0</v>
      </c>
      <c r="J1114" s="319" t="s">
        <v>1883</v>
      </c>
      <c r="K1114" s="319"/>
      <c r="L1114" s="319">
        <v>0</v>
      </c>
      <c r="M1114" s="319"/>
      <c r="N1114" s="319"/>
      <c r="O1114" s="319"/>
      <c r="P1114" s="319"/>
      <c r="Q1114" s="319"/>
      <c r="R1114" s="319"/>
      <c r="S1114" s="319"/>
      <c r="T1114" s="319"/>
      <c r="U1114" s="319"/>
      <c r="V1114" s="319"/>
      <c r="W1114" s="319"/>
      <c r="X1114" s="319"/>
      <c r="Y1114" s="319"/>
      <c r="Z1114" s="319"/>
      <c r="AA1114" s="319"/>
      <c r="AB1114" s="319"/>
      <c r="AC1114" s="319"/>
      <c r="AD1114" s="319"/>
      <c r="AE1114" s="319"/>
      <c r="AF1114" s="319"/>
      <c r="AG1114" s="319"/>
      <c r="AH1114" s="319"/>
      <c r="AI1114" s="319"/>
      <c r="AJ1114" s="319"/>
      <c r="AK1114" s="319"/>
      <c r="AL1114" s="319"/>
      <c r="AM1114" s="319"/>
      <c r="AN1114" s="319"/>
      <c r="AO1114" s="319"/>
      <c r="AP1114" s="319"/>
      <c r="AQ1114" s="319"/>
      <c r="AR1114" s="319"/>
      <c r="AS1114" s="319"/>
      <c r="AT1114" s="319"/>
      <c r="AU1114" s="319"/>
      <c r="AV1114" s="319"/>
      <c r="AW1114" s="319"/>
      <c r="AX1114" s="319"/>
      <c r="AY1114" s="319"/>
      <c r="AZ1114" s="319"/>
      <c r="BA1114" s="319"/>
      <c r="BB1114" s="319"/>
      <c r="BC1114" s="319"/>
      <c r="BD1114" s="319"/>
      <c r="BE1114" s="319"/>
      <c r="BF1114" s="319"/>
      <c r="BG1114" s="319"/>
      <c r="BH1114" s="319"/>
      <c r="BI1114" s="319"/>
      <c r="BJ1114" s="319"/>
      <c r="BK1114" s="319"/>
      <c r="BL1114" s="319"/>
      <c r="BM1114" s="319"/>
      <c r="BN1114" s="319"/>
      <c r="BO1114" s="319"/>
      <c r="BP1114" s="319"/>
      <c r="BQ1114" s="319"/>
      <c r="BR1114" s="319"/>
      <c r="BS1114" s="319"/>
      <c r="BT1114" s="319"/>
      <c r="BU1114" s="319"/>
      <c r="BV1114" s="319"/>
      <c r="BW1114" s="319"/>
      <c r="BX1114" s="319"/>
      <c r="BY1114" s="319"/>
      <c r="BZ1114" s="319"/>
      <c r="CA1114" s="319"/>
      <c r="CB1114" s="319"/>
      <c r="CC1114" s="319"/>
      <c r="CD1114" s="319"/>
      <c r="CE1114" s="319"/>
      <c r="CF1114" s="319"/>
      <c r="CG1114" s="319"/>
      <c r="CH1114" s="319"/>
      <c r="CI1114" s="319"/>
      <c r="CJ1114" s="319"/>
      <c r="CK1114" s="319"/>
    </row>
    <row r="1115" spans="1:89" ht="12.75" hidden="1" customHeight="1">
      <c r="A1115" s="319" t="s">
        <v>4596</v>
      </c>
      <c r="B1115" s="319" t="str">
        <f>IF(HideCode_projectType=1,C1090,"Z9Z")</f>
        <v>Z9Z</v>
      </c>
      <c r="C1115" s="319" t="str">
        <f>B1115</f>
        <v>Z9Z</v>
      </c>
      <c r="D1115" s="319">
        <f>IF(HideCode_projectType=1,I1083,0)</f>
        <v>0</v>
      </c>
      <c r="E1115" s="319">
        <f>IF(HideCode_projectType=1,H1090,0)</f>
        <v>0</v>
      </c>
      <c r="F1115" s="319">
        <f>IF(HideCode_projectType=1,F1090,0)</f>
        <v>0</v>
      </c>
      <c r="G1115" s="319">
        <v>0</v>
      </c>
      <c r="H1115" s="319">
        <f>H1083</f>
        <v>0</v>
      </c>
      <c r="I1115" s="319">
        <v>0</v>
      </c>
      <c r="J1115" s="319"/>
      <c r="K1115" s="319"/>
      <c r="L1115" s="319"/>
      <c r="M1115" s="319">
        <v>1</v>
      </c>
      <c r="N1115" s="319"/>
      <c r="O1115" s="319"/>
      <c r="P1115" s="319"/>
      <c r="Q1115" s="319"/>
      <c r="R1115" s="319"/>
      <c r="S1115" s="319"/>
      <c r="T1115" s="319"/>
      <c r="U1115" s="319"/>
      <c r="V1115" s="319"/>
      <c r="W1115" s="319"/>
      <c r="X1115" s="319"/>
      <c r="Y1115" s="319"/>
      <c r="Z1115" s="319"/>
      <c r="AA1115" s="319"/>
      <c r="AB1115" s="319"/>
      <c r="AC1115" s="319"/>
      <c r="AD1115" s="319"/>
      <c r="AE1115" s="319"/>
      <c r="AF1115" s="319"/>
      <c r="AG1115" s="319"/>
      <c r="AH1115" s="319"/>
      <c r="AI1115" s="319"/>
      <c r="AJ1115" s="319"/>
      <c r="AK1115" s="319"/>
      <c r="AL1115" s="319"/>
      <c r="AM1115" s="319"/>
      <c r="AN1115" s="319"/>
      <c r="AO1115" s="319"/>
      <c r="AP1115" s="319"/>
      <c r="AQ1115" s="319"/>
      <c r="AR1115" s="319"/>
      <c r="AS1115" s="319"/>
      <c r="AT1115" s="319"/>
      <c r="AU1115" s="319"/>
      <c r="AV1115" s="319"/>
      <c r="AW1115" s="319"/>
      <c r="AX1115" s="319"/>
      <c r="AY1115" s="319"/>
      <c r="AZ1115" s="319"/>
      <c r="BA1115" s="319"/>
      <c r="BB1115" s="319"/>
      <c r="BC1115" s="319"/>
      <c r="BD1115" s="319"/>
      <c r="BE1115" s="319"/>
      <c r="BF1115" s="319"/>
      <c r="BG1115" s="319"/>
      <c r="BH1115" s="319"/>
      <c r="BI1115" s="319"/>
      <c r="BJ1115" s="319"/>
      <c r="BK1115" s="319"/>
      <c r="BL1115" s="319"/>
      <c r="BM1115" s="319"/>
      <c r="BN1115" s="319"/>
      <c r="BO1115" s="319"/>
      <c r="BP1115" s="319"/>
      <c r="BQ1115" s="319"/>
      <c r="BR1115" s="319"/>
      <c r="BS1115" s="319"/>
      <c r="BT1115" s="319"/>
      <c r="BU1115" s="319"/>
      <c r="BV1115" s="319"/>
      <c r="BW1115" s="319"/>
      <c r="BX1115" s="319"/>
      <c r="BY1115" s="319"/>
      <c r="BZ1115" s="319"/>
      <c r="CA1115" s="319"/>
      <c r="CB1115" s="319"/>
      <c r="CC1115" s="319"/>
      <c r="CD1115" s="319"/>
      <c r="CE1115" s="319"/>
      <c r="CF1115" s="319"/>
      <c r="CG1115" s="319"/>
      <c r="CH1115" s="319"/>
      <c r="CI1115" s="319"/>
      <c r="CJ1115" s="319"/>
      <c r="CK1115" s="319"/>
    </row>
    <row r="1116" spans="1:89" ht="12.75" hidden="1" customHeight="1">
      <c r="A1116" s="319" t="s">
        <v>931</v>
      </c>
      <c r="B1116" s="319"/>
      <c r="C1116" s="319" t="s">
        <v>1883</v>
      </c>
      <c r="D1116" s="319">
        <v>0</v>
      </c>
      <c r="E1116" s="319"/>
      <c r="F1116" s="319">
        <v>0</v>
      </c>
      <c r="G1116" s="319">
        <v>0</v>
      </c>
      <c r="H1116" s="319"/>
      <c r="I1116" s="319"/>
      <c r="J1116" s="319"/>
      <c r="K1116" s="319"/>
      <c r="L1116" s="319"/>
      <c r="M1116" s="319">
        <v>0</v>
      </c>
      <c r="N1116" s="319"/>
      <c r="O1116" s="319"/>
      <c r="P1116" s="319"/>
      <c r="Q1116" s="319"/>
      <c r="R1116" s="319"/>
      <c r="S1116" s="319"/>
      <c r="T1116" s="319"/>
      <c r="U1116" s="319"/>
      <c r="V1116" s="319"/>
      <c r="W1116" s="319"/>
      <c r="X1116" s="319"/>
      <c r="Y1116" s="319"/>
      <c r="Z1116" s="319"/>
      <c r="AA1116" s="319"/>
      <c r="AB1116" s="319"/>
      <c r="AC1116" s="319"/>
      <c r="AD1116" s="319"/>
      <c r="AE1116" s="319"/>
      <c r="AF1116" s="319"/>
      <c r="AG1116" s="319"/>
      <c r="AH1116" s="319"/>
      <c r="AI1116" s="319"/>
      <c r="AJ1116" s="319"/>
      <c r="AK1116" s="319"/>
      <c r="AL1116" s="319"/>
      <c r="AM1116" s="319"/>
      <c r="AN1116" s="319"/>
      <c r="AO1116" s="319"/>
      <c r="AP1116" s="319"/>
      <c r="AQ1116" s="319"/>
      <c r="AR1116" s="319"/>
      <c r="AS1116" s="319"/>
      <c r="AT1116" s="319"/>
      <c r="AU1116" s="319"/>
      <c r="AV1116" s="319"/>
      <c r="AW1116" s="319"/>
      <c r="AX1116" s="319"/>
      <c r="AY1116" s="319"/>
      <c r="AZ1116" s="319"/>
      <c r="BA1116" s="319"/>
      <c r="BB1116" s="319"/>
      <c r="BC1116" s="319"/>
      <c r="BD1116" s="319"/>
      <c r="BE1116" s="319"/>
      <c r="BF1116" s="319"/>
      <c r="BG1116" s="319"/>
      <c r="BH1116" s="319"/>
      <c r="BI1116" s="319"/>
      <c r="BJ1116" s="319"/>
      <c r="BK1116" s="319"/>
      <c r="BL1116" s="319"/>
      <c r="BM1116" s="319"/>
      <c r="BN1116" s="319"/>
      <c r="BO1116" s="319"/>
      <c r="BP1116" s="319"/>
      <c r="BQ1116" s="319"/>
      <c r="BR1116" s="319"/>
      <c r="BS1116" s="319"/>
      <c r="BT1116" s="319"/>
      <c r="BU1116" s="319"/>
      <c r="BV1116" s="319"/>
      <c r="BW1116" s="319"/>
      <c r="BX1116" s="319"/>
      <c r="BY1116" s="319"/>
      <c r="BZ1116" s="319"/>
      <c r="CA1116" s="319"/>
      <c r="CB1116" s="319"/>
      <c r="CC1116" s="319"/>
      <c r="CD1116" s="319"/>
      <c r="CE1116" s="319"/>
      <c r="CF1116" s="319"/>
      <c r="CG1116" s="319"/>
      <c r="CH1116" s="319"/>
      <c r="CI1116" s="319"/>
      <c r="CJ1116" s="319"/>
      <c r="CK1116" s="319"/>
    </row>
    <row r="1117" spans="1:89" ht="12.75" hidden="1" customHeight="1">
      <c r="A1117" s="319"/>
      <c r="B1117" s="319"/>
      <c r="C1117" s="319"/>
      <c r="D1117" s="319"/>
      <c r="E1117" s="319"/>
      <c r="F1117" s="319"/>
      <c r="G1117" s="319"/>
      <c r="H1117" s="319"/>
      <c r="I1117" s="319"/>
      <c r="J1117" s="319"/>
      <c r="K1117" s="319"/>
      <c r="L1117" s="319"/>
      <c r="M1117" s="319"/>
      <c r="N1117" s="319"/>
      <c r="O1117" s="319"/>
      <c r="P1117" s="319"/>
      <c r="Q1117" s="319"/>
      <c r="R1117" s="319"/>
      <c r="S1117" s="319"/>
      <c r="T1117" s="319"/>
      <c r="U1117" s="319"/>
      <c r="V1117" s="319"/>
      <c r="W1117" s="319"/>
      <c r="X1117" s="319"/>
      <c r="Y1117" s="319"/>
      <c r="Z1117" s="319"/>
      <c r="AA1117" s="319"/>
      <c r="AB1117" s="319"/>
      <c r="AC1117" s="319"/>
      <c r="AD1117" s="319"/>
      <c r="AE1117" s="319"/>
      <c r="AF1117" s="319"/>
      <c r="AG1117" s="319"/>
      <c r="AH1117" s="319"/>
      <c r="AI1117" s="319"/>
      <c r="AJ1117" s="319"/>
      <c r="AK1117" s="319"/>
      <c r="AL1117" s="319"/>
      <c r="AM1117" s="319"/>
      <c r="AN1117" s="319"/>
      <c r="AO1117" s="319"/>
      <c r="AP1117" s="319"/>
      <c r="AQ1117" s="319"/>
      <c r="AR1117" s="319"/>
      <c r="AS1117" s="319"/>
      <c r="AT1117" s="319"/>
      <c r="AU1117" s="319"/>
      <c r="AV1117" s="319"/>
      <c r="AW1117" s="319"/>
      <c r="AX1117" s="319"/>
      <c r="AY1117" s="319"/>
      <c r="AZ1117" s="319"/>
      <c r="BA1117" s="319"/>
      <c r="BB1117" s="319"/>
      <c r="BC1117" s="319"/>
      <c r="BD1117" s="319"/>
      <c r="BE1117" s="319"/>
      <c r="BF1117" s="319"/>
      <c r="BG1117" s="319"/>
      <c r="BH1117" s="319"/>
      <c r="BI1117" s="319"/>
      <c r="BJ1117" s="319"/>
      <c r="BK1117" s="319"/>
      <c r="BL1117" s="319"/>
      <c r="BM1117" s="319"/>
      <c r="BN1117" s="319"/>
      <c r="BO1117" s="319"/>
      <c r="BP1117" s="319"/>
      <c r="BQ1117" s="319"/>
      <c r="BR1117" s="319"/>
      <c r="BS1117" s="319"/>
      <c r="BT1117" s="319"/>
      <c r="BU1117" s="319"/>
      <c r="BV1117" s="319"/>
      <c r="BW1117" s="319"/>
      <c r="BX1117" s="319"/>
      <c r="BY1117" s="319"/>
      <c r="BZ1117" s="319"/>
      <c r="CA1117" s="319"/>
      <c r="CB1117" s="319"/>
      <c r="CC1117" s="319"/>
      <c r="CD1117" s="319"/>
      <c r="CE1117" s="319"/>
      <c r="CF1117" s="319"/>
      <c r="CG1117" s="319"/>
      <c r="CH1117" s="319"/>
      <c r="CI1117" s="319"/>
      <c r="CJ1117" s="319"/>
      <c r="CK1117" s="319"/>
    </row>
    <row r="1118" spans="1:89" ht="12.75" hidden="1" customHeight="1">
      <c r="A1118" s="319"/>
      <c r="B1118" s="319" t="s">
        <v>4226</v>
      </c>
      <c r="C1118" s="3" t="b">
        <v>1</v>
      </c>
      <c r="D1118" s="319"/>
      <c r="E1118" s="319"/>
      <c r="F1118" s="319"/>
      <c r="G1118" s="319"/>
      <c r="H1118" s="319"/>
      <c r="I1118" s="319"/>
      <c r="J1118" s="319"/>
      <c r="K1118" s="319"/>
      <c r="L1118" s="319"/>
      <c r="M1118" s="319"/>
      <c r="N1118" s="319"/>
      <c r="O1118" s="319"/>
      <c r="P1118" s="319"/>
      <c r="Q1118" s="319"/>
      <c r="R1118" s="319"/>
      <c r="S1118" s="319"/>
      <c r="T1118" s="319"/>
      <c r="U1118" s="319"/>
      <c r="V1118" s="319"/>
      <c r="W1118" s="319"/>
      <c r="X1118" s="319"/>
      <c r="Y1118" s="319"/>
      <c r="Z1118" s="319"/>
      <c r="AA1118" s="319"/>
      <c r="AB1118" s="319"/>
      <c r="AC1118" s="319"/>
      <c r="AD1118" s="319"/>
      <c r="AE1118" s="319"/>
      <c r="AF1118" s="319"/>
      <c r="AG1118" s="319"/>
      <c r="AH1118" s="319"/>
      <c r="AI1118" s="319"/>
      <c r="AJ1118" s="319"/>
      <c r="AK1118" s="319"/>
      <c r="AL1118" s="319"/>
      <c r="AM1118" s="319"/>
      <c r="AN1118" s="319"/>
      <c r="AO1118" s="319"/>
      <c r="AP1118" s="319"/>
      <c r="AQ1118" s="319"/>
      <c r="AR1118" s="319"/>
      <c r="AS1118" s="319"/>
      <c r="AT1118" s="319"/>
      <c r="AU1118" s="319"/>
      <c r="AV1118" s="319"/>
      <c r="AW1118" s="319"/>
      <c r="AX1118" s="319"/>
      <c r="AY1118" s="319"/>
      <c r="AZ1118" s="319"/>
      <c r="BA1118" s="319"/>
      <c r="BB1118" s="319"/>
      <c r="BC1118" s="319"/>
      <c r="BD1118" s="319"/>
      <c r="BE1118" s="319"/>
      <c r="BF1118" s="319"/>
      <c r="BG1118" s="319"/>
      <c r="BH1118" s="319"/>
      <c r="BI1118" s="319"/>
      <c r="BJ1118" s="319"/>
      <c r="BK1118" s="319"/>
      <c r="BL1118" s="319"/>
      <c r="BM1118" s="319"/>
      <c r="BN1118" s="319"/>
      <c r="BO1118" s="319"/>
      <c r="BP1118" s="319"/>
      <c r="BQ1118" s="319"/>
      <c r="BR1118" s="319"/>
      <c r="BS1118" s="319"/>
      <c r="BT1118" s="319"/>
      <c r="BU1118" s="319"/>
      <c r="BV1118" s="319"/>
      <c r="BW1118" s="319"/>
      <c r="BX1118" s="319"/>
      <c r="BY1118" s="319"/>
      <c r="BZ1118" s="319"/>
      <c r="CA1118" s="319"/>
      <c r="CB1118" s="319"/>
      <c r="CC1118" s="319"/>
      <c r="CD1118" s="319"/>
      <c r="CE1118" s="319"/>
      <c r="CF1118" s="319"/>
      <c r="CG1118" s="319"/>
      <c r="CH1118" s="319"/>
      <c r="CI1118" s="319"/>
      <c r="CJ1118" s="319"/>
      <c r="CK1118" s="319"/>
    </row>
    <row r="1119" spans="1:89" ht="12.75" hidden="1" customHeight="1">
      <c r="A1119" s="319"/>
      <c r="B1119" s="319" t="s">
        <v>3463</v>
      </c>
      <c r="C1119" s="3" t="b">
        <v>0</v>
      </c>
      <c r="D1119" s="319"/>
      <c r="E1119" s="319"/>
      <c r="F1119" s="319"/>
      <c r="G1119" s="319" t="b">
        <v>1</v>
      </c>
      <c r="H1119" s="319"/>
      <c r="I1119" s="319"/>
      <c r="J1119" s="319"/>
      <c r="K1119" s="319"/>
      <c r="L1119" s="319"/>
      <c r="M1119" s="319"/>
      <c r="N1119" s="319"/>
      <c r="O1119" s="319"/>
      <c r="P1119" s="319"/>
      <c r="Q1119" s="319"/>
      <c r="R1119" s="319"/>
      <c r="S1119" s="319"/>
      <c r="T1119" s="319"/>
      <c r="U1119" s="319"/>
      <c r="V1119" s="319"/>
      <c r="W1119" s="319"/>
      <c r="X1119" s="319"/>
      <c r="Y1119" s="319"/>
      <c r="Z1119" s="319"/>
      <c r="AA1119" s="319"/>
      <c r="AB1119" s="319"/>
      <c r="AC1119" s="319"/>
      <c r="AD1119" s="319"/>
      <c r="AE1119" s="319"/>
      <c r="AF1119" s="319"/>
      <c r="AG1119" s="319"/>
      <c r="AH1119" s="319"/>
      <c r="AI1119" s="319"/>
      <c r="AJ1119" s="319"/>
      <c r="AK1119" s="319"/>
      <c r="AL1119" s="319"/>
      <c r="AM1119" s="319"/>
      <c r="AN1119" s="319"/>
      <c r="AO1119" s="319"/>
      <c r="AP1119" s="319"/>
      <c r="AQ1119" s="319"/>
      <c r="AR1119" s="319"/>
      <c r="AS1119" s="319"/>
      <c r="AT1119" s="319"/>
      <c r="AU1119" s="319"/>
      <c r="AV1119" s="319"/>
      <c r="AW1119" s="319"/>
      <c r="AX1119" s="319"/>
      <c r="AY1119" s="319"/>
      <c r="AZ1119" s="319"/>
      <c r="BA1119" s="319"/>
      <c r="BB1119" s="319"/>
      <c r="BC1119" s="319"/>
      <c r="BD1119" s="319"/>
      <c r="BE1119" s="319"/>
      <c r="BF1119" s="319"/>
      <c r="BG1119" s="319"/>
      <c r="BH1119" s="319"/>
      <c r="BI1119" s="319"/>
      <c r="BJ1119" s="319"/>
      <c r="BK1119" s="319"/>
      <c r="BL1119" s="319"/>
      <c r="BM1119" s="319"/>
      <c r="BN1119" s="319"/>
      <c r="BO1119" s="319"/>
      <c r="BP1119" s="319"/>
      <c r="BQ1119" s="319"/>
      <c r="BR1119" s="319"/>
      <c r="BS1119" s="319"/>
      <c r="BT1119" s="319"/>
      <c r="BU1119" s="319"/>
      <c r="BV1119" s="319"/>
      <c r="BW1119" s="319"/>
      <c r="BX1119" s="319"/>
      <c r="BY1119" s="319"/>
      <c r="BZ1119" s="319"/>
      <c r="CA1119" s="319"/>
      <c r="CB1119" s="319"/>
      <c r="CC1119" s="319"/>
      <c r="CD1119" s="319"/>
      <c r="CE1119" s="319"/>
      <c r="CF1119" s="319"/>
      <c r="CG1119" s="319"/>
      <c r="CH1119" s="319"/>
      <c r="CI1119" s="319"/>
      <c r="CJ1119" s="319"/>
      <c r="CK1119" s="319"/>
    </row>
    <row r="1120" spans="1:89" ht="12.75" hidden="1" customHeight="1">
      <c r="A1120" s="319"/>
      <c r="B1120" s="319" t="s">
        <v>1234</v>
      </c>
      <c r="C1120" s="3" t="b">
        <v>0</v>
      </c>
      <c r="D1120" s="319"/>
      <c r="E1120" s="319"/>
      <c r="F1120" s="319"/>
      <c r="G1120" s="319"/>
      <c r="H1120" s="319"/>
      <c r="I1120" s="319"/>
      <c r="J1120" s="319"/>
      <c r="K1120" s="319"/>
      <c r="L1120" s="319"/>
      <c r="M1120" s="319"/>
      <c r="N1120" s="319"/>
      <c r="O1120" s="319"/>
      <c r="P1120" s="319"/>
      <c r="Q1120" s="319"/>
      <c r="R1120" s="319"/>
      <c r="S1120" s="319"/>
      <c r="T1120" s="319"/>
      <c r="U1120" s="319"/>
      <c r="V1120" s="319"/>
      <c r="W1120" s="319"/>
      <c r="X1120" s="319"/>
      <c r="Y1120" s="319"/>
      <c r="Z1120" s="319"/>
      <c r="AA1120" s="319"/>
      <c r="AB1120" s="319"/>
      <c r="AC1120" s="319"/>
      <c r="AD1120" s="319"/>
      <c r="AE1120" s="319"/>
      <c r="AF1120" s="319"/>
      <c r="AG1120" s="319"/>
      <c r="AH1120" s="319"/>
      <c r="AI1120" s="319"/>
      <c r="AJ1120" s="319"/>
      <c r="AK1120" s="319"/>
      <c r="AL1120" s="319"/>
      <c r="AM1120" s="319"/>
      <c r="AN1120" s="319"/>
      <c r="AO1120" s="319"/>
      <c r="AP1120" s="319"/>
      <c r="AQ1120" s="319"/>
      <c r="AR1120" s="319"/>
      <c r="AS1120" s="319"/>
      <c r="AT1120" s="319"/>
      <c r="AU1120" s="319"/>
      <c r="AV1120" s="319"/>
      <c r="AW1120" s="319"/>
      <c r="AX1120" s="319"/>
      <c r="AY1120" s="319"/>
      <c r="AZ1120" s="319"/>
      <c r="BA1120" s="319"/>
      <c r="BB1120" s="319"/>
      <c r="BC1120" s="319"/>
      <c r="BD1120" s="319"/>
      <c r="BE1120" s="319"/>
      <c r="BF1120" s="319"/>
      <c r="BG1120" s="319"/>
      <c r="BH1120" s="319"/>
      <c r="BI1120" s="319"/>
      <c r="BJ1120" s="319"/>
      <c r="BK1120" s="319"/>
      <c r="BL1120" s="319"/>
      <c r="BM1120" s="319"/>
      <c r="BN1120" s="319"/>
      <c r="BO1120" s="319"/>
      <c r="BP1120" s="319"/>
      <c r="BQ1120" s="319"/>
      <c r="BR1120" s="319"/>
      <c r="BS1120" s="319"/>
      <c r="BT1120" s="319"/>
      <c r="BU1120" s="319"/>
      <c r="BV1120" s="319"/>
      <c r="BW1120" s="319"/>
      <c r="BX1120" s="319"/>
      <c r="BY1120" s="319"/>
      <c r="BZ1120" s="319"/>
      <c r="CA1120" s="319"/>
      <c r="CB1120" s="319"/>
      <c r="CC1120" s="319"/>
      <c r="CD1120" s="319"/>
      <c r="CE1120" s="319"/>
      <c r="CF1120" s="319"/>
      <c r="CG1120" s="319"/>
      <c r="CH1120" s="319"/>
      <c r="CI1120" s="319"/>
      <c r="CJ1120" s="319"/>
      <c r="CK1120" s="319"/>
    </row>
    <row r="1121" spans="1:89" ht="12.75" hidden="1" customHeight="1">
      <c r="A1121" s="319"/>
      <c r="B1121" s="319" t="s">
        <v>4921</v>
      </c>
      <c r="C1121" s="3" t="b">
        <v>0</v>
      </c>
      <c r="D1121" s="319"/>
      <c r="E1121" s="319"/>
      <c r="F1121" s="319"/>
      <c r="G1121" s="319"/>
      <c r="H1121" s="319"/>
      <c r="I1121" s="319"/>
      <c r="J1121" s="319"/>
      <c r="K1121" s="319"/>
      <c r="L1121" s="319"/>
      <c r="M1121" s="319"/>
      <c r="N1121" s="319"/>
      <c r="O1121" s="319"/>
      <c r="P1121" s="319"/>
      <c r="Q1121" s="319"/>
      <c r="R1121" s="319"/>
      <c r="S1121" s="319"/>
      <c r="T1121" s="319"/>
      <c r="U1121" s="319"/>
      <c r="V1121" s="319"/>
      <c r="W1121" s="319"/>
      <c r="X1121" s="319"/>
      <c r="Y1121" s="319"/>
      <c r="Z1121" s="319"/>
      <c r="AA1121" s="319"/>
      <c r="AB1121" s="319"/>
      <c r="AC1121" s="319"/>
      <c r="AD1121" s="319"/>
      <c r="AE1121" s="319"/>
      <c r="AF1121" s="319"/>
      <c r="AG1121" s="319"/>
      <c r="AH1121" s="319"/>
      <c r="AI1121" s="319"/>
      <c r="AJ1121" s="319"/>
      <c r="AK1121" s="319"/>
      <c r="AL1121" s="319"/>
      <c r="AM1121" s="319"/>
      <c r="AN1121" s="319"/>
      <c r="AO1121" s="319"/>
      <c r="AP1121" s="319"/>
      <c r="AQ1121" s="319"/>
      <c r="AR1121" s="319"/>
      <c r="AS1121" s="319"/>
      <c r="AT1121" s="319"/>
      <c r="AU1121" s="319"/>
      <c r="AV1121" s="319"/>
      <c r="AW1121" s="319"/>
      <c r="AX1121" s="319"/>
      <c r="AY1121" s="319"/>
      <c r="AZ1121" s="319"/>
      <c r="BA1121" s="319"/>
      <c r="BB1121" s="319"/>
      <c r="BC1121" s="319"/>
      <c r="BD1121" s="319"/>
      <c r="BE1121" s="319"/>
      <c r="BF1121" s="319"/>
      <c r="BG1121" s="319"/>
      <c r="BH1121" s="319"/>
      <c r="BI1121" s="319"/>
      <c r="BJ1121" s="319"/>
      <c r="BK1121" s="319"/>
      <c r="BL1121" s="319"/>
      <c r="BM1121" s="319"/>
      <c r="BN1121" s="319"/>
      <c r="BO1121" s="319"/>
      <c r="BP1121" s="319"/>
      <c r="BQ1121" s="319"/>
      <c r="BR1121" s="319"/>
      <c r="BS1121" s="319"/>
      <c r="BT1121" s="319"/>
      <c r="BU1121" s="319"/>
      <c r="BV1121" s="319"/>
      <c r="BW1121" s="319"/>
      <c r="BX1121" s="319"/>
      <c r="BY1121" s="319"/>
      <c r="BZ1121" s="319"/>
      <c r="CA1121" s="319"/>
      <c r="CB1121" s="319"/>
      <c r="CC1121" s="319"/>
      <c r="CD1121" s="319"/>
      <c r="CE1121" s="319"/>
      <c r="CF1121" s="319"/>
      <c r="CG1121" s="319"/>
      <c r="CH1121" s="319"/>
      <c r="CI1121" s="319"/>
      <c r="CJ1121" s="319"/>
      <c r="CK1121" s="319"/>
    </row>
    <row r="1122" spans="1:89" ht="12.75" hidden="1" customHeight="1">
      <c r="A1122" s="319"/>
      <c r="B1122" s="319" t="s">
        <v>5116</v>
      </c>
      <c r="C1122" s="3" t="b">
        <v>0</v>
      </c>
      <c r="D1122" s="319"/>
      <c r="E1122" s="319"/>
      <c r="F1122" s="319"/>
      <c r="G1122" s="319"/>
      <c r="H1122" s="319"/>
      <c r="I1122" s="319"/>
      <c r="J1122" s="319"/>
      <c r="K1122" s="319"/>
      <c r="L1122" s="319"/>
      <c r="M1122" s="319"/>
      <c r="N1122" s="319"/>
      <c r="O1122" s="319"/>
      <c r="P1122" s="319"/>
      <c r="Q1122" s="319"/>
      <c r="R1122" s="319"/>
      <c r="S1122" s="319"/>
      <c r="T1122" s="319"/>
      <c r="U1122" s="319"/>
      <c r="V1122" s="319"/>
      <c r="W1122" s="319"/>
      <c r="X1122" s="319"/>
      <c r="Y1122" s="319"/>
      <c r="Z1122" s="319"/>
      <c r="AA1122" s="319"/>
      <c r="AB1122" s="319"/>
      <c r="AC1122" s="319"/>
      <c r="AD1122" s="319"/>
      <c r="AE1122" s="319"/>
      <c r="AF1122" s="319"/>
      <c r="AG1122" s="319"/>
      <c r="AH1122" s="319"/>
      <c r="AI1122" s="319"/>
      <c r="AJ1122" s="319"/>
      <c r="AK1122" s="319"/>
      <c r="AL1122" s="319"/>
      <c r="AM1122" s="319"/>
      <c r="AN1122" s="319"/>
      <c r="AO1122" s="319"/>
      <c r="AP1122" s="319"/>
      <c r="AQ1122" s="319"/>
      <c r="AR1122" s="319"/>
      <c r="AS1122" s="319"/>
      <c r="AT1122" s="319"/>
      <c r="AU1122" s="319"/>
      <c r="AV1122" s="319"/>
      <c r="AW1122" s="319"/>
      <c r="AX1122" s="319"/>
      <c r="AY1122" s="319"/>
      <c r="AZ1122" s="319"/>
      <c r="BA1122" s="319"/>
      <c r="BB1122" s="319"/>
      <c r="BC1122" s="319"/>
      <c r="BD1122" s="319"/>
      <c r="BE1122" s="319"/>
      <c r="BF1122" s="319"/>
      <c r="BG1122" s="319"/>
      <c r="BH1122" s="319"/>
      <c r="BI1122" s="319"/>
      <c r="BJ1122" s="319"/>
      <c r="BK1122" s="319"/>
      <c r="BL1122" s="319"/>
      <c r="BM1122" s="319"/>
      <c r="BN1122" s="319"/>
      <c r="BO1122" s="319"/>
      <c r="BP1122" s="319"/>
      <c r="BQ1122" s="319"/>
      <c r="BR1122" s="319"/>
      <c r="BS1122" s="319"/>
      <c r="BT1122" s="319"/>
      <c r="BU1122" s="319"/>
      <c r="BV1122" s="319"/>
      <c r="BW1122" s="319"/>
      <c r="BX1122" s="319"/>
      <c r="BY1122" s="319"/>
      <c r="BZ1122" s="319"/>
      <c r="CA1122" s="319"/>
      <c r="CB1122" s="319"/>
      <c r="CC1122" s="319"/>
      <c r="CD1122" s="319"/>
      <c r="CE1122" s="319"/>
      <c r="CF1122" s="319"/>
      <c r="CG1122" s="319"/>
      <c r="CH1122" s="319"/>
      <c r="CI1122" s="319"/>
      <c r="CJ1122" s="319"/>
      <c r="CK1122" s="319"/>
    </row>
    <row r="1123" spans="1:89" ht="12.75" hidden="1" customHeight="1">
      <c r="A1123" s="319"/>
      <c r="B1123" s="319" t="s">
        <v>2475</v>
      </c>
      <c r="C1123" s="3" t="b">
        <v>0</v>
      </c>
      <c r="D1123" s="319"/>
      <c r="E1123" s="319"/>
      <c r="F1123" s="319"/>
      <c r="G1123" s="319"/>
      <c r="H1123" s="319"/>
      <c r="I1123" s="319"/>
      <c r="J1123" s="319"/>
      <c r="K1123" s="319"/>
      <c r="L1123" s="319"/>
      <c r="M1123" s="319"/>
      <c r="N1123" s="319"/>
      <c r="O1123" s="319"/>
      <c r="P1123" s="319"/>
      <c r="Q1123" s="319"/>
      <c r="R1123" s="319"/>
      <c r="S1123" s="319"/>
      <c r="T1123" s="319"/>
      <c r="U1123" s="319"/>
      <c r="V1123" s="319"/>
      <c r="W1123" s="319"/>
      <c r="X1123" s="319"/>
      <c r="Y1123" s="319"/>
      <c r="Z1123" s="319"/>
      <c r="AA1123" s="319"/>
      <c r="AB1123" s="319"/>
      <c r="AC1123" s="319"/>
      <c r="AD1123" s="319"/>
      <c r="AE1123" s="319"/>
      <c r="AF1123" s="319"/>
      <c r="AG1123" s="319"/>
      <c r="AH1123" s="319"/>
      <c r="AI1123" s="319"/>
      <c r="AJ1123" s="319"/>
      <c r="AK1123" s="319"/>
      <c r="AL1123" s="319"/>
      <c r="AM1123" s="319"/>
      <c r="AN1123" s="319"/>
      <c r="AO1123" s="319"/>
      <c r="AP1123" s="319"/>
      <c r="AQ1123" s="319"/>
      <c r="AR1123" s="319"/>
      <c r="AS1123" s="319"/>
      <c r="AT1123" s="319"/>
      <c r="AU1123" s="319"/>
      <c r="AV1123" s="319"/>
      <c r="AW1123" s="319"/>
      <c r="AX1123" s="319"/>
      <c r="AY1123" s="319"/>
      <c r="AZ1123" s="319"/>
      <c r="BA1123" s="319"/>
      <c r="BB1123" s="319"/>
      <c r="BC1123" s="319"/>
      <c r="BD1123" s="319"/>
      <c r="BE1123" s="319"/>
      <c r="BF1123" s="319"/>
      <c r="BG1123" s="319"/>
      <c r="BH1123" s="319"/>
      <c r="BI1123" s="319"/>
      <c r="BJ1123" s="319"/>
      <c r="BK1123" s="319"/>
      <c r="BL1123" s="319"/>
      <c r="BM1123" s="319"/>
      <c r="BN1123" s="319"/>
      <c r="BO1123" s="319"/>
      <c r="BP1123" s="319"/>
      <c r="BQ1123" s="319"/>
      <c r="BR1123" s="319"/>
      <c r="BS1123" s="319"/>
      <c r="BT1123" s="319"/>
      <c r="BU1123" s="319"/>
      <c r="BV1123" s="319"/>
      <c r="BW1123" s="319"/>
      <c r="BX1123" s="319"/>
      <c r="BY1123" s="319"/>
      <c r="BZ1123" s="319"/>
      <c r="CA1123" s="319"/>
      <c r="CB1123" s="319"/>
      <c r="CC1123" s="319"/>
      <c r="CD1123" s="319"/>
      <c r="CE1123" s="319"/>
      <c r="CF1123" s="319"/>
      <c r="CG1123" s="319"/>
      <c r="CH1123" s="319"/>
      <c r="CI1123" s="319"/>
      <c r="CJ1123" s="319"/>
      <c r="CK1123" s="319"/>
    </row>
    <row r="1124" spans="1:89" ht="12.75" hidden="1" customHeight="1">
      <c r="A1124" s="319"/>
      <c r="B1124" s="319" t="s">
        <v>4407</v>
      </c>
      <c r="C1124" s="3" t="b">
        <v>0</v>
      </c>
      <c r="D1124" s="319"/>
      <c r="E1124" s="319"/>
      <c r="F1124" s="319"/>
      <c r="G1124" s="319"/>
      <c r="H1124" s="319"/>
      <c r="I1124" s="319"/>
      <c r="J1124" s="319"/>
      <c r="K1124" s="319"/>
      <c r="L1124" s="319"/>
      <c r="M1124" s="319"/>
      <c r="N1124" s="319"/>
      <c r="O1124" s="319"/>
      <c r="P1124" s="319"/>
      <c r="Q1124" s="319"/>
      <c r="R1124" s="319"/>
      <c r="S1124" s="319"/>
      <c r="T1124" s="319"/>
      <c r="U1124" s="319"/>
      <c r="V1124" s="319"/>
      <c r="W1124" s="319"/>
      <c r="X1124" s="319"/>
      <c r="Y1124" s="319"/>
      <c r="Z1124" s="319"/>
      <c r="AA1124" s="319"/>
      <c r="AB1124" s="319"/>
      <c r="AC1124" s="319"/>
      <c r="AD1124" s="319"/>
      <c r="AE1124" s="319"/>
      <c r="AF1124" s="319"/>
      <c r="AG1124" s="319"/>
      <c r="AH1124" s="319"/>
      <c r="AI1124" s="319"/>
      <c r="AJ1124" s="319"/>
      <c r="AK1124" s="319"/>
      <c r="AL1124" s="319"/>
      <c r="AM1124" s="319"/>
      <c r="AN1124" s="319"/>
      <c r="AO1124" s="319"/>
      <c r="AP1124" s="319"/>
      <c r="AQ1124" s="319"/>
      <c r="AR1124" s="319"/>
      <c r="AS1124" s="319"/>
      <c r="AT1124" s="319"/>
      <c r="AU1124" s="319"/>
      <c r="AV1124" s="319"/>
      <c r="AW1124" s="319"/>
      <c r="AX1124" s="319"/>
      <c r="AY1124" s="319"/>
      <c r="AZ1124" s="319"/>
      <c r="BA1124" s="319"/>
      <c r="BB1124" s="319"/>
      <c r="BC1124" s="319"/>
      <c r="BD1124" s="319"/>
      <c r="BE1124" s="319"/>
      <c r="BF1124" s="319"/>
      <c r="BG1124" s="319"/>
      <c r="BH1124" s="319"/>
      <c r="BI1124" s="319"/>
      <c r="BJ1124" s="319"/>
      <c r="BK1124" s="319"/>
      <c r="BL1124" s="319"/>
      <c r="BM1124" s="319"/>
      <c r="BN1124" s="319"/>
      <c r="BO1124" s="319"/>
      <c r="BP1124" s="319"/>
      <c r="BQ1124" s="319"/>
      <c r="BR1124" s="319"/>
      <c r="BS1124" s="319"/>
      <c r="BT1124" s="319"/>
      <c r="BU1124" s="319"/>
      <c r="BV1124" s="319"/>
      <c r="BW1124" s="319"/>
      <c r="BX1124" s="319"/>
      <c r="BY1124" s="319"/>
      <c r="BZ1124" s="319"/>
      <c r="CA1124" s="319"/>
      <c r="CB1124" s="319"/>
      <c r="CC1124" s="319"/>
      <c r="CD1124" s="319"/>
      <c r="CE1124" s="319"/>
      <c r="CF1124" s="319"/>
      <c r="CG1124" s="319"/>
      <c r="CH1124" s="319"/>
      <c r="CI1124" s="319"/>
      <c r="CJ1124" s="319"/>
      <c r="CK1124" s="319"/>
    </row>
    <row r="1125" spans="1:89" ht="12.75" hidden="1" customHeight="1">
      <c r="A1125" s="319"/>
      <c r="B1125" s="319" t="s">
        <v>4408</v>
      </c>
      <c r="C1125" s="3" t="b">
        <v>0</v>
      </c>
      <c r="D1125" s="319"/>
      <c r="E1125" s="319"/>
      <c r="F1125" s="319"/>
      <c r="G1125" s="319"/>
      <c r="H1125" s="319"/>
      <c r="I1125" s="319"/>
      <c r="J1125" s="319"/>
      <c r="K1125" s="319"/>
      <c r="L1125" s="319"/>
      <c r="M1125" s="319"/>
      <c r="N1125" s="319"/>
      <c r="O1125" s="319"/>
      <c r="P1125" s="319"/>
      <c r="Q1125" s="319"/>
      <c r="R1125" s="319"/>
      <c r="S1125" s="319"/>
      <c r="T1125" s="319"/>
      <c r="U1125" s="319"/>
      <c r="V1125" s="319"/>
      <c r="W1125" s="319"/>
      <c r="X1125" s="319"/>
      <c r="Y1125" s="319"/>
      <c r="Z1125" s="319"/>
      <c r="AA1125" s="319"/>
      <c r="AB1125" s="319"/>
      <c r="AC1125" s="319"/>
      <c r="AD1125" s="319"/>
      <c r="AE1125" s="319"/>
      <c r="AF1125" s="319"/>
      <c r="AG1125" s="319"/>
      <c r="AH1125" s="319"/>
      <c r="AI1125" s="319"/>
      <c r="AJ1125" s="319"/>
      <c r="AK1125" s="319"/>
      <c r="AL1125" s="319"/>
      <c r="AM1125" s="319"/>
      <c r="AN1125" s="319"/>
      <c r="AO1125" s="319"/>
      <c r="AP1125" s="319"/>
      <c r="AQ1125" s="319"/>
      <c r="AR1125" s="319"/>
      <c r="AS1125" s="319"/>
      <c r="AT1125" s="319"/>
      <c r="AU1125" s="319"/>
      <c r="AV1125" s="319"/>
      <c r="AW1125" s="319"/>
      <c r="AX1125" s="319"/>
      <c r="AY1125" s="319"/>
      <c r="AZ1125" s="319"/>
      <c r="BA1125" s="319"/>
      <c r="BB1125" s="319"/>
      <c r="BC1125" s="319"/>
      <c r="BD1125" s="319"/>
      <c r="BE1125" s="319"/>
      <c r="BF1125" s="319"/>
      <c r="BG1125" s="319"/>
      <c r="BH1125" s="319"/>
      <c r="BI1125" s="319"/>
      <c r="BJ1125" s="319"/>
      <c r="BK1125" s="319"/>
      <c r="BL1125" s="319"/>
      <c r="BM1125" s="319"/>
      <c r="BN1125" s="319"/>
      <c r="BO1125" s="319"/>
      <c r="BP1125" s="319"/>
      <c r="BQ1125" s="319"/>
      <c r="BR1125" s="319"/>
      <c r="BS1125" s="319"/>
      <c r="BT1125" s="319"/>
      <c r="BU1125" s="319"/>
      <c r="BV1125" s="319"/>
      <c r="BW1125" s="319"/>
      <c r="BX1125" s="319"/>
      <c r="BY1125" s="319"/>
      <c r="BZ1125" s="319"/>
      <c r="CA1125" s="319"/>
      <c r="CB1125" s="319"/>
      <c r="CC1125" s="319"/>
      <c r="CD1125" s="319"/>
      <c r="CE1125" s="319"/>
      <c r="CF1125" s="319"/>
      <c r="CG1125" s="319"/>
      <c r="CH1125" s="319"/>
      <c r="CI1125" s="319"/>
      <c r="CJ1125" s="319"/>
      <c r="CK1125" s="319"/>
    </row>
    <row r="1126" spans="1:89" ht="12.75" hidden="1" customHeight="1">
      <c r="A1126" s="319"/>
      <c r="B1126" s="319" t="s">
        <v>5570</v>
      </c>
      <c r="C1126" s="3" t="b">
        <v>0</v>
      </c>
      <c r="D1126" s="319"/>
      <c r="E1126" s="319"/>
      <c r="F1126" s="319"/>
      <c r="G1126" s="319"/>
      <c r="H1126" s="319"/>
      <c r="I1126" s="319"/>
      <c r="J1126" s="319"/>
      <c r="K1126" s="319"/>
      <c r="L1126" s="319"/>
      <c r="M1126" s="319"/>
      <c r="N1126" s="319"/>
      <c r="O1126" s="319"/>
      <c r="P1126" s="319"/>
      <c r="Q1126" s="319"/>
      <c r="R1126" s="319"/>
      <c r="S1126" s="319"/>
      <c r="T1126" s="319"/>
      <c r="U1126" s="319"/>
      <c r="V1126" s="319"/>
      <c r="W1126" s="319"/>
      <c r="X1126" s="319"/>
      <c r="Y1126" s="319"/>
      <c r="Z1126" s="319"/>
      <c r="AA1126" s="319"/>
      <c r="AB1126" s="319"/>
      <c r="AC1126" s="319"/>
      <c r="AD1126" s="319"/>
      <c r="AE1126" s="319"/>
      <c r="AF1126" s="319"/>
      <c r="AG1126" s="319"/>
      <c r="AH1126" s="319"/>
      <c r="AI1126" s="319"/>
      <c r="AJ1126" s="319"/>
      <c r="AK1126" s="319"/>
      <c r="AL1126" s="319"/>
      <c r="AM1126" s="319"/>
      <c r="AN1126" s="319"/>
      <c r="AO1126" s="319"/>
      <c r="AP1126" s="319"/>
      <c r="AQ1126" s="319"/>
      <c r="AR1126" s="319"/>
      <c r="AS1126" s="319"/>
      <c r="AT1126" s="319"/>
      <c r="AU1126" s="319"/>
      <c r="AV1126" s="319"/>
      <c r="AW1126" s="319"/>
      <c r="AX1126" s="319"/>
      <c r="AY1126" s="319"/>
      <c r="AZ1126" s="319"/>
      <c r="BA1126" s="319"/>
      <c r="BB1126" s="319"/>
      <c r="BC1126" s="319"/>
      <c r="BD1126" s="319"/>
      <c r="BE1126" s="319"/>
      <c r="BF1126" s="319"/>
      <c r="BG1126" s="319"/>
      <c r="BH1126" s="319"/>
      <c r="BI1126" s="319"/>
      <c r="BJ1126" s="319"/>
      <c r="BK1126" s="319"/>
      <c r="BL1126" s="319"/>
      <c r="BM1126" s="319"/>
      <c r="BN1126" s="319"/>
      <c r="BO1126" s="319"/>
      <c r="BP1126" s="319"/>
      <c r="BQ1126" s="319"/>
      <c r="BR1126" s="319"/>
      <c r="BS1126" s="319"/>
      <c r="BT1126" s="319"/>
      <c r="BU1126" s="319"/>
      <c r="BV1126" s="319"/>
      <c r="BW1126" s="319"/>
      <c r="BX1126" s="319"/>
      <c r="BY1126" s="319"/>
      <c r="BZ1126" s="319"/>
      <c r="CA1126" s="319"/>
      <c r="CB1126" s="319"/>
      <c r="CC1126" s="319"/>
      <c r="CD1126" s="319"/>
      <c r="CE1126" s="319"/>
      <c r="CF1126" s="319"/>
      <c r="CG1126" s="319"/>
      <c r="CH1126" s="319"/>
      <c r="CI1126" s="319"/>
      <c r="CJ1126" s="319"/>
      <c r="CK1126" s="319"/>
    </row>
    <row r="1127" spans="1:89" ht="12.75" hidden="1" customHeight="1">
      <c r="A1127" s="319"/>
      <c r="B1127" s="319" t="s">
        <v>4946</v>
      </c>
      <c r="C1127" s="3" t="b">
        <v>0</v>
      </c>
      <c r="D1127" s="319"/>
      <c r="E1127" s="319"/>
      <c r="F1127" s="319"/>
      <c r="G1127" s="319"/>
      <c r="H1127" s="319"/>
      <c r="I1127" s="319"/>
      <c r="J1127" s="319"/>
      <c r="K1127" s="319"/>
      <c r="L1127" s="319"/>
      <c r="M1127" s="319"/>
      <c r="N1127" s="319"/>
      <c r="O1127" s="319"/>
      <c r="P1127" s="319"/>
      <c r="Q1127" s="319"/>
      <c r="R1127" s="319"/>
      <c r="S1127" s="319"/>
      <c r="T1127" s="319"/>
      <c r="U1127" s="319"/>
      <c r="V1127" s="319"/>
      <c r="W1127" s="319"/>
      <c r="X1127" s="319"/>
      <c r="Y1127" s="319"/>
      <c r="Z1127" s="319"/>
      <c r="AA1127" s="319"/>
      <c r="AB1127" s="319"/>
      <c r="AC1127" s="319"/>
      <c r="AD1127" s="319"/>
      <c r="AE1127" s="319"/>
      <c r="AF1127" s="319"/>
      <c r="AG1127" s="319"/>
      <c r="AH1127" s="319"/>
      <c r="AI1127" s="319"/>
      <c r="AJ1127" s="319"/>
      <c r="AK1127" s="319"/>
      <c r="AL1127" s="319"/>
      <c r="AM1127" s="319"/>
      <c r="AN1127" s="319"/>
      <c r="AO1127" s="319"/>
      <c r="AP1127" s="319"/>
      <c r="AQ1127" s="319"/>
      <c r="AR1127" s="319"/>
      <c r="AS1127" s="319"/>
      <c r="AT1127" s="319"/>
      <c r="AU1127" s="319"/>
      <c r="AV1127" s="319"/>
      <c r="AW1127" s="319"/>
      <c r="AX1127" s="319"/>
      <c r="AY1127" s="319"/>
      <c r="AZ1127" s="319"/>
      <c r="BA1127" s="319"/>
      <c r="BB1127" s="319"/>
      <c r="BC1127" s="319"/>
      <c r="BD1127" s="319"/>
      <c r="BE1127" s="319"/>
      <c r="BF1127" s="319"/>
      <c r="BG1127" s="319"/>
      <c r="BH1127" s="319"/>
      <c r="BI1127" s="319"/>
      <c r="BJ1127" s="319"/>
      <c r="BK1127" s="319"/>
      <c r="BL1127" s="319"/>
      <c r="BM1127" s="319"/>
      <c r="BN1127" s="319"/>
      <c r="BO1127" s="319"/>
      <c r="BP1127" s="319"/>
      <c r="BQ1127" s="319"/>
      <c r="BR1127" s="319"/>
      <c r="BS1127" s="319"/>
      <c r="BT1127" s="319"/>
      <c r="BU1127" s="319"/>
      <c r="BV1127" s="319"/>
      <c r="BW1127" s="319"/>
      <c r="BX1127" s="319"/>
      <c r="BY1127" s="319"/>
      <c r="BZ1127" s="319"/>
      <c r="CA1127" s="319"/>
      <c r="CB1127" s="319"/>
      <c r="CC1127" s="319"/>
      <c r="CD1127" s="319"/>
      <c r="CE1127" s="319"/>
      <c r="CF1127" s="319"/>
      <c r="CG1127" s="319"/>
      <c r="CH1127" s="319"/>
      <c r="CI1127" s="319"/>
      <c r="CJ1127" s="319"/>
      <c r="CK1127" s="319"/>
    </row>
    <row r="1128" spans="1:89" ht="12.75" hidden="1" customHeight="1">
      <c r="A1128" s="319"/>
      <c r="B1128" s="319" t="s">
        <v>4947</v>
      </c>
      <c r="C1128" s="3" t="b">
        <v>0</v>
      </c>
      <c r="D1128" s="319"/>
      <c r="E1128" s="319"/>
      <c r="F1128" s="319"/>
      <c r="G1128" s="319"/>
      <c r="H1128" s="319"/>
      <c r="I1128" s="319"/>
      <c r="J1128" s="319"/>
      <c r="K1128" s="319"/>
      <c r="L1128" s="319"/>
      <c r="M1128" s="319"/>
      <c r="N1128" s="319"/>
      <c r="O1128" s="319"/>
      <c r="P1128" s="319"/>
      <c r="Q1128" s="319"/>
      <c r="R1128" s="319"/>
      <c r="S1128" s="319"/>
      <c r="T1128" s="319"/>
      <c r="U1128" s="319"/>
      <c r="V1128" s="319"/>
      <c r="W1128" s="319"/>
      <c r="X1128" s="319"/>
      <c r="Y1128" s="319"/>
      <c r="Z1128" s="319"/>
      <c r="AA1128" s="319"/>
      <c r="AB1128" s="319"/>
      <c r="AC1128" s="319"/>
      <c r="AD1128" s="319"/>
      <c r="AE1128" s="319"/>
      <c r="AF1128" s="319"/>
      <c r="AG1128" s="319"/>
      <c r="AH1128" s="319"/>
      <c r="AI1128" s="319"/>
      <c r="AJ1128" s="319"/>
      <c r="AK1128" s="319"/>
      <c r="AL1128" s="319"/>
      <c r="AM1128" s="319"/>
      <c r="AN1128" s="319"/>
      <c r="AO1128" s="319"/>
      <c r="AP1128" s="319"/>
      <c r="AQ1128" s="319"/>
      <c r="AR1128" s="319"/>
      <c r="AS1128" s="319"/>
      <c r="AT1128" s="319"/>
      <c r="AU1128" s="319"/>
      <c r="AV1128" s="319"/>
      <c r="AW1128" s="319"/>
      <c r="AX1128" s="319"/>
      <c r="AY1128" s="319"/>
      <c r="AZ1128" s="319"/>
      <c r="BA1128" s="319"/>
      <c r="BB1128" s="319"/>
      <c r="BC1128" s="319"/>
      <c r="BD1128" s="319"/>
      <c r="BE1128" s="319"/>
      <c r="BF1128" s="319"/>
      <c r="BG1128" s="319"/>
      <c r="BH1128" s="319"/>
      <c r="BI1128" s="319"/>
      <c r="BJ1128" s="319"/>
      <c r="BK1128" s="319"/>
      <c r="BL1128" s="319"/>
      <c r="BM1128" s="319"/>
      <c r="BN1128" s="319"/>
      <c r="BO1128" s="319"/>
      <c r="BP1128" s="319"/>
      <c r="BQ1128" s="319"/>
      <c r="BR1128" s="319"/>
      <c r="BS1128" s="319"/>
      <c r="BT1128" s="319"/>
      <c r="BU1128" s="319"/>
      <c r="BV1128" s="319"/>
      <c r="BW1128" s="319"/>
      <c r="BX1128" s="319"/>
      <c r="BY1128" s="319"/>
      <c r="BZ1128" s="319"/>
      <c r="CA1128" s="319"/>
      <c r="CB1128" s="319"/>
      <c r="CC1128" s="319"/>
      <c r="CD1128" s="319"/>
      <c r="CE1128" s="319"/>
      <c r="CF1128" s="319"/>
      <c r="CG1128" s="319"/>
      <c r="CH1128" s="319"/>
      <c r="CI1128" s="319"/>
      <c r="CJ1128" s="319"/>
      <c r="CK1128" s="319"/>
    </row>
    <row r="1129" spans="1:89" ht="12.75" hidden="1" customHeight="1">
      <c r="A1129" s="319"/>
      <c r="B1129" s="319" t="s">
        <v>4419</v>
      </c>
      <c r="C1129" s="3" t="b">
        <v>0</v>
      </c>
      <c r="D1129" s="319"/>
      <c r="E1129" s="319"/>
      <c r="F1129" s="319"/>
      <c r="G1129" s="319"/>
      <c r="H1129" s="319"/>
      <c r="I1129" s="319"/>
      <c r="J1129" s="319"/>
      <c r="K1129" s="319"/>
      <c r="L1129" s="319"/>
      <c r="M1129" s="319"/>
      <c r="N1129" s="319"/>
      <c r="O1129" s="319"/>
      <c r="P1129" s="319"/>
      <c r="Q1129" s="319"/>
      <c r="R1129" s="319"/>
      <c r="S1129" s="319"/>
      <c r="T1129" s="319"/>
      <c r="U1129" s="319"/>
      <c r="V1129" s="319"/>
      <c r="W1129" s="319"/>
      <c r="X1129" s="319"/>
      <c r="Y1129" s="319"/>
      <c r="Z1129" s="319"/>
      <c r="AA1129" s="319"/>
      <c r="AB1129" s="319"/>
      <c r="AC1129" s="319"/>
      <c r="AD1129" s="319"/>
      <c r="AE1129" s="319"/>
      <c r="AF1129" s="319"/>
      <c r="AG1129" s="319"/>
      <c r="AH1129" s="319"/>
      <c r="AI1129" s="319"/>
      <c r="AJ1129" s="319"/>
      <c r="AK1129" s="319"/>
      <c r="AL1129" s="319"/>
      <c r="AM1129" s="319"/>
      <c r="AN1129" s="319"/>
      <c r="AO1129" s="319"/>
      <c r="AP1129" s="319"/>
      <c r="AQ1129" s="319"/>
      <c r="AR1129" s="319"/>
      <c r="AS1129" s="319"/>
      <c r="AT1129" s="319"/>
      <c r="AU1129" s="319"/>
      <c r="AV1129" s="319"/>
      <c r="AW1129" s="319"/>
      <c r="AX1129" s="319"/>
      <c r="AY1129" s="319"/>
      <c r="AZ1129" s="319"/>
      <c r="BA1129" s="319"/>
      <c r="BB1129" s="319"/>
      <c r="BC1129" s="319"/>
      <c r="BD1129" s="319"/>
      <c r="BE1129" s="319"/>
      <c r="BF1129" s="319"/>
      <c r="BG1129" s="319"/>
      <c r="BH1129" s="319"/>
      <c r="BI1129" s="319"/>
      <c r="BJ1129" s="319"/>
      <c r="BK1129" s="319"/>
      <c r="BL1129" s="319"/>
      <c r="BM1129" s="319"/>
      <c r="BN1129" s="319"/>
      <c r="BO1129" s="319"/>
      <c r="BP1129" s="319"/>
      <c r="BQ1129" s="319"/>
      <c r="BR1129" s="319"/>
      <c r="BS1129" s="319"/>
      <c r="BT1129" s="319"/>
      <c r="BU1129" s="319"/>
      <c r="BV1129" s="319"/>
      <c r="BW1129" s="319"/>
      <c r="BX1129" s="319"/>
      <c r="BY1129" s="319"/>
      <c r="BZ1129" s="319"/>
      <c r="CA1129" s="319"/>
      <c r="CB1129" s="319"/>
      <c r="CC1129" s="319"/>
      <c r="CD1129" s="319"/>
      <c r="CE1129" s="319"/>
      <c r="CF1129" s="319"/>
      <c r="CG1129" s="319"/>
      <c r="CH1129" s="319"/>
      <c r="CI1129" s="319"/>
      <c r="CJ1129" s="319"/>
      <c r="CK1129" s="319"/>
    </row>
    <row r="1130" spans="1:89" ht="12.75" hidden="1" customHeight="1">
      <c r="A1130" s="319"/>
      <c r="B1130" s="319" t="s">
        <v>4420</v>
      </c>
      <c r="C1130" s="3" t="b">
        <v>0</v>
      </c>
      <c r="D1130" s="319"/>
      <c r="E1130" s="319"/>
      <c r="F1130" s="319"/>
      <c r="G1130" s="319"/>
      <c r="H1130" s="319"/>
      <c r="I1130" s="319"/>
      <c r="J1130" s="319"/>
      <c r="K1130" s="319"/>
      <c r="L1130" s="319"/>
      <c r="M1130" s="319"/>
      <c r="N1130" s="319"/>
      <c r="O1130" s="319"/>
      <c r="P1130" s="319"/>
      <c r="Q1130" s="319"/>
      <c r="R1130" s="319"/>
      <c r="S1130" s="319"/>
      <c r="T1130" s="319"/>
      <c r="U1130" s="319"/>
      <c r="V1130" s="319"/>
      <c r="W1130" s="319"/>
      <c r="X1130" s="319"/>
      <c r="Y1130" s="319"/>
      <c r="Z1130" s="319"/>
      <c r="AA1130" s="319"/>
      <c r="AB1130" s="319"/>
      <c r="AC1130" s="319"/>
      <c r="AD1130" s="319"/>
      <c r="AE1130" s="319"/>
      <c r="AF1130" s="319"/>
      <c r="AG1130" s="319"/>
      <c r="AH1130" s="319"/>
      <c r="AI1130" s="319"/>
      <c r="AJ1130" s="319"/>
      <c r="AK1130" s="319"/>
      <c r="AL1130" s="319"/>
      <c r="AM1130" s="319"/>
      <c r="AN1130" s="319"/>
      <c r="AO1130" s="319"/>
      <c r="AP1130" s="319"/>
      <c r="AQ1130" s="319"/>
      <c r="AR1130" s="319"/>
      <c r="AS1130" s="319"/>
      <c r="AT1130" s="319"/>
      <c r="AU1130" s="319"/>
      <c r="AV1130" s="319"/>
      <c r="AW1130" s="319"/>
      <c r="AX1130" s="319"/>
      <c r="AY1130" s="319"/>
      <c r="AZ1130" s="319"/>
      <c r="BA1130" s="319"/>
      <c r="BB1130" s="319"/>
      <c r="BC1130" s="319"/>
      <c r="BD1130" s="319"/>
      <c r="BE1130" s="319"/>
      <c r="BF1130" s="319"/>
      <c r="BG1130" s="319"/>
      <c r="BH1130" s="319"/>
      <c r="BI1130" s="319"/>
      <c r="BJ1130" s="319"/>
      <c r="BK1130" s="319"/>
      <c r="BL1130" s="319"/>
      <c r="BM1130" s="319"/>
      <c r="BN1130" s="319"/>
      <c r="BO1130" s="319"/>
      <c r="BP1130" s="319"/>
      <c r="BQ1130" s="319"/>
      <c r="BR1130" s="319"/>
      <c r="BS1130" s="319"/>
      <c r="BT1130" s="319"/>
      <c r="BU1130" s="319"/>
      <c r="BV1130" s="319"/>
      <c r="BW1130" s="319"/>
      <c r="BX1130" s="319"/>
      <c r="BY1130" s="319"/>
      <c r="BZ1130" s="319"/>
      <c r="CA1130" s="319"/>
      <c r="CB1130" s="319"/>
      <c r="CC1130" s="319"/>
      <c r="CD1130" s="319"/>
      <c r="CE1130" s="319"/>
      <c r="CF1130" s="319"/>
      <c r="CG1130" s="319"/>
      <c r="CH1130" s="319"/>
      <c r="CI1130" s="319"/>
      <c r="CJ1130" s="319"/>
      <c r="CK1130" s="319"/>
    </row>
    <row r="1131" spans="1:89" ht="12.75" hidden="1" customHeight="1">
      <c r="A1131" s="319"/>
      <c r="B1131" s="319" t="s">
        <v>4421</v>
      </c>
      <c r="C1131" s="3" t="b">
        <v>0</v>
      </c>
      <c r="D1131" s="319"/>
      <c r="E1131" s="319"/>
      <c r="F1131" s="319"/>
      <c r="G1131" s="319" t="b">
        <v>0</v>
      </c>
      <c r="H1131" s="319"/>
      <c r="I1131" s="319"/>
      <c r="J1131" s="319"/>
      <c r="K1131" s="319"/>
      <c r="L1131" s="319"/>
      <c r="M1131" s="319"/>
      <c r="N1131" s="319"/>
      <c r="O1131" s="319"/>
      <c r="P1131" s="319"/>
      <c r="Q1131" s="319"/>
      <c r="R1131" s="319"/>
      <c r="S1131" s="319"/>
      <c r="T1131" s="319"/>
      <c r="U1131" s="319"/>
      <c r="V1131" s="319"/>
      <c r="W1131" s="319"/>
      <c r="X1131" s="319"/>
      <c r="Y1131" s="319"/>
      <c r="Z1131" s="319"/>
      <c r="AA1131" s="319"/>
      <c r="AB1131" s="319"/>
      <c r="AC1131" s="319"/>
      <c r="AD1131" s="319"/>
      <c r="AE1131" s="319"/>
      <c r="AF1131" s="319"/>
      <c r="AG1131" s="319"/>
      <c r="AH1131" s="319"/>
      <c r="AI1131" s="319"/>
      <c r="AJ1131" s="319"/>
      <c r="AK1131" s="319"/>
      <c r="AL1131" s="319"/>
      <c r="AM1131" s="319"/>
      <c r="AN1131" s="319"/>
      <c r="AO1131" s="319"/>
      <c r="AP1131" s="319"/>
      <c r="AQ1131" s="319"/>
      <c r="AR1131" s="319"/>
      <c r="AS1131" s="319"/>
      <c r="AT1131" s="319"/>
      <c r="AU1131" s="319"/>
      <c r="AV1131" s="319"/>
      <c r="AW1131" s="319"/>
      <c r="AX1131" s="319"/>
      <c r="AY1131" s="319"/>
      <c r="AZ1131" s="319"/>
      <c r="BA1131" s="319"/>
      <c r="BB1131" s="319"/>
      <c r="BC1131" s="319"/>
      <c r="BD1131" s="319"/>
      <c r="BE1131" s="319"/>
      <c r="BF1131" s="319"/>
      <c r="BG1131" s="319"/>
      <c r="BH1131" s="319"/>
      <c r="BI1131" s="319"/>
      <c r="BJ1131" s="319"/>
      <c r="BK1131" s="319"/>
      <c r="BL1131" s="319"/>
      <c r="BM1131" s="319"/>
      <c r="BN1131" s="319"/>
      <c r="BO1131" s="319"/>
      <c r="BP1131" s="319"/>
      <c r="BQ1131" s="319"/>
      <c r="BR1131" s="319"/>
      <c r="BS1131" s="319"/>
      <c r="BT1131" s="319"/>
      <c r="BU1131" s="319"/>
      <c r="BV1131" s="319"/>
      <c r="BW1131" s="319"/>
      <c r="BX1131" s="319"/>
      <c r="BY1131" s="319"/>
      <c r="BZ1131" s="319"/>
      <c r="CA1131" s="319"/>
      <c r="CB1131" s="319"/>
      <c r="CC1131" s="319"/>
      <c r="CD1131" s="319"/>
      <c r="CE1131" s="319"/>
      <c r="CF1131" s="319"/>
      <c r="CG1131" s="319"/>
      <c r="CH1131" s="319"/>
      <c r="CI1131" s="319"/>
      <c r="CJ1131" s="319"/>
      <c r="CK1131" s="319"/>
    </row>
    <row r="1132" spans="1:89" ht="12.75" hidden="1" customHeight="1">
      <c r="A1132" s="319"/>
      <c r="B1132" s="319" t="s">
        <v>5039</v>
      </c>
      <c r="C1132" s="3" t="b">
        <v>0</v>
      </c>
      <c r="D1132" s="319"/>
      <c r="E1132" s="319"/>
      <c r="F1132" s="319"/>
      <c r="G1132" s="319" t="b">
        <v>0</v>
      </c>
      <c r="H1132" s="319"/>
      <c r="I1132" s="319"/>
      <c r="J1132" s="319"/>
      <c r="K1132" s="319"/>
      <c r="L1132" s="319"/>
      <c r="M1132" s="319"/>
      <c r="N1132" s="319"/>
      <c r="O1132" s="319"/>
      <c r="P1132" s="319"/>
      <c r="Q1132" s="319"/>
      <c r="R1132" s="319"/>
      <c r="S1132" s="319"/>
      <c r="T1132" s="319"/>
      <c r="U1132" s="319"/>
      <c r="V1132" s="319"/>
      <c r="W1132" s="319"/>
      <c r="X1132" s="319"/>
      <c r="Y1132" s="319"/>
      <c r="Z1132" s="319"/>
      <c r="AA1132" s="319"/>
      <c r="AB1132" s="319"/>
      <c r="AC1132" s="319"/>
      <c r="AD1132" s="319"/>
      <c r="AE1132" s="319"/>
      <c r="AF1132" s="319"/>
      <c r="AG1132" s="319"/>
      <c r="AH1132" s="319"/>
      <c r="AI1132" s="319"/>
      <c r="AJ1132" s="319"/>
      <c r="AK1132" s="319"/>
      <c r="AL1132" s="319"/>
      <c r="AM1132" s="319"/>
      <c r="AN1132" s="319"/>
      <c r="AO1132" s="319"/>
      <c r="AP1132" s="319"/>
      <c r="AQ1132" s="319"/>
      <c r="AR1132" s="319"/>
      <c r="AS1132" s="319"/>
      <c r="AT1132" s="319"/>
      <c r="AU1132" s="319"/>
      <c r="AV1132" s="319"/>
      <c r="AW1132" s="319"/>
      <c r="AX1132" s="319"/>
      <c r="AY1132" s="319"/>
      <c r="AZ1132" s="319"/>
      <c r="BA1132" s="319"/>
      <c r="BB1132" s="319"/>
      <c r="BC1132" s="319"/>
      <c r="BD1132" s="319"/>
      <c r="BE1132" s="319"/>
      <c r="BF1132" s="319"/>
      <c r="BG1132" s="319"/>
      <c r="BH1132" s="319"/>
      <c r="BI1132" s="319"/>
      <c r="BJ1132" s="319"/>
      <c r="BK1132" s="319"/>
      <c r="BL1132" s="319"/>
      <c r="BM1132" s="319"/>
      <c r="BN1132" s="319"/>
      <c r="BO1132" s="319"/>
      <c r="BP1132" s="319"/>
      <c r="BQ1132" s="319"/>
      <c r="BR1132" s="319"/>
      <c r="BS1132" s="319"/>
      <c r="BT1132" s="319"/>
      <c r="BU1132" s="319"/>
      <c r="BV1132" s="319"/>
      <c r="BW1132" s="319"/>
      <c r="BX1132" s="319"/>
      <c r="BY1132" s="319"/>
      <c r="BZ1132" s="319"/>
      <c r="CA1132" s="319"/>
      <c r="CB1132" s="319"/>
      <c r="CC1132" s="319"/>
      <c r="CD1132" s="319"/>
      <c r="CE1132" s="319"/>
      <c r="CF1132" s="319"/>
      <c r="CG1132" s="319"/>
      <c r="CH1132" s="319"/>
      <c r="CI1132" s="319"/>
      <c r="CJ1132" s="319"/>
      <c r="CK1132" s="319"/>
    </row>
    <row r="1133" spans="1:89" ht="12.75" hidden="1" customHeight="1">
      <c r="A1133" s="319"/>
      <c r="B1133" s="319" t="s">
        <v>3586</v>
      </c>
      <c r="C1133" s="3" t="b">
        <v>0</v>
      </c>
      <c r="D1133" s="319"/>
      <c r="E1133" s="319"/>
      <c r="F1133" s="319"/>
      <c r="G1133" s="319" t="b">
        <v>0</v>
      </c>
      <c r="H1133" s="319"/>
      <c r="I1133" s="319"/>
      <c r="J1133" s="319"/>
      <c r="K1133" s="319"/>
      <c r="L1133" s="319"/>
      <c r="M1133" s="319"/>
      <c r="N1133" s="319"/>
      <c r="O1133" s="319"/>
      <c r="P1133" s="319"/>
      <c r="Q1133" s="319"/>
      <c r="R1133" s="319"/>
      <c r="S1133" s="319"/>
      <c r="T1133" s="319"/>
      <c r="U1133" s="319"/>
      <c r="V1133" s="319"/>
      <c r="W1133" s="319"/>
      <c r="X1133" s="319"/>
      <c r="Y1133" s="319"/>
      <c r="Z1133" s="319"/>
      <c r="AA1133" s="319"/>
      <c r="AB1133" s="319"/>
      <c r="AC1133" s="319"/>
      <c r="AD1133" s="319"/>
      <c r="AE1133" s="319"/>
      <c r="AF1133" s="319"/>
      <c r="AG1133" s="319"/>
      <c r="AH1133" s="319"/>
      <c r="AI1133" s="319"/>
      <c r="AJ1133" s="319"/>
      <c r="AK1133" s="319"/>
      <c r="AL1133" s="319"/>
      <c r="AM1133" s="319"/>
      <c r="AN1133" s="319"/>
      <c r="AO1133" s="319"/>
      <c r="AP1133" s="319"/>
      <c r="AQ1133" s="319"/>
      <c r="AR1133" s="319"/>
      <c r="AS1133" s="319"/>
      <c r="AT1133" s="319"/>
      <c r="AU1133" s="319"/>
      <c r="AV1133" s="319"/>
      <c r="AW1133" s="319"/>
      <c r="AX1133" s="319"/>
      <c r="AY1133" s="319"/>
      <c r="AZ1133" s="319"/>
      <c r="BA1133" s="319"/>
      <c r="BB1133" s="319"/>
      <c r="BC1133" s="319"/>
      <c r="BD1133" s="319"/>
      <c r="BE1133" s="319"/>
      <c r="BF1133" s="319"/>
      <c r="BG1133" s="319"/>
      <c r="BH1133" s="319"/>
      <c r="BI1133" s="319"/>
      <c r="BJ1133" s="319"/>
      <c r="BK1133" s="319"/>
      <c r="BL1133" s="319"/>
      <c r="BM1133" s="319"/>
      <c r="BN1133" s="319"/>
      <c r="BO1133" s="319"/>
      <c r="BP1133" s="319"/>
      <c r="BQ1133" s="319"/>
      <c r="BR1133" s="319"/>
      <c r="BS1133" s="319"/>
      <c r="BT1133" s="319"/>
      <c r="BU1133" s="319"/>
      <c r="BV1133" s="319"/>
      <c r="BW1133" s="319"/>
      <c r="BX1133" s="319"/>
      <c r="BY1133" s="319"/>
      <c r="BZ1133" s="319"/>
      <c r="CA1133" s="319"/>
      <c r="CB1133" s="319"/>
      <c r="CC1133" s="319"/>
      <c r="CD1133" s="319"/>
      <c r="CE1133" s="319"/>
      <c r="CF1133" s="319"/>
      <c r="CG1133" s="319"/>
      <c r="CH1133" s="319"/>
      <c r="CI1133" s="319"/>
      <c r="CJ1133" s="319"/>
      <c r="CK1133" s="319"/>
    </row>
    <row r="1134" spans="1:89" ht="12.75" hidden="1" customHeight="1">
      <c r="A1134" s="319"/>
      <c r="B1134" s="319" t="s">
        <v>1708</v>
      </c>
      <c r="C1134" s="3" t="b">
        <v>0</v>
      </c>
      <c r="D1134" s="319"/>
      <c r="E1134" s="319"/>
      <c r="F1134" s="319"/>
      <c r="G1134" s="319" t="b">
        <v>0</v>
      </c>
      <c r="H1134" s="319"/>
      <c r="I1134" s="319"/>
      <c r="J1134" s="319"/>
      <c r="K1134" s="319"/>
      <c r="L1134" s="319"/>
      <c r="M1134" s="319"/>
      <c r="N1134" s="319"/>
      <c r="O1134" s="319"/>
      <c r="P1134" s="319"/>
      <c r="Q1134" s="319"/>
      <c r="R1134" s="319"/>
      <c r="S1134" s="319"/>
      <c r="T1134" s="319"/>
      <c r="U1134" s="319"/>
      <c r="V1134" s="319"/>
      <c r="W1134" s="319"/>
      <c r="X1134" s="319"/>
      <c r="Y1134" s="319"/>
      <c r="Z1134" s="319"/>
      <c r="AA1134" s="319"/>
      <c r="AB1134" s="319"/>
      <c r="AC1134" s="319"/>
      <c r="AD1134" s="319"/>
      <c r="AE1134" s="319"/>
      <c r="AF1134" s="319"/>
      <c r="AG1134" s="319"/>
      <c r="AH1134" s="319"/>
      <c r="AI1134" s="319"/>
      <c r="AJ1134" s="319"/>
      <c r="AK1134" s="319"/>
      <c r="AL1134" s="319"/>
      <c r="AM1134" s="319"/>
      <c r="AN1134" s="319"/>
      <c r="AO1134" s="319"/>
      <c r="AP1134" s="319"/>
      <c r="AQ1134" s="319"/>
      <c r="AR1134" s="319"/>
      <c r="AS1134" s="319"/>
      <c r="AT1134" s="319"/>
      <c r="AU1134" s="319"/>
      <c r="AV1134" s="319"/>
      <c r="AW1134" s="319"/>
      <c r="AX1134" s="319"/>
      <c r="AY1134" s="319"/>
      <c r="AZ1134" s="319"/>
      <c r="BA1134" s="319"/>
      <c r="BB1134" s="319"/>
      <c r="BC1134" s="319"/>
      <c r="BD1134" s="319"/>
      <c r="BE1134" s="319"/>
      <c r="BF1134" s="319"/>
      <c r="BG1134" s="319"/>
      <c r="BH1134" s="319"/>
      <c r="BI1134" s="319"/>
      <c r="BJ1134" s="319"/>
      <c r="BK1134" s="319"/>
      <c r="BL1134" s="319"/>
      <c r="BM1134" s="319"/>
      <c r="BN1134" s="319"/>
      <c r="BO1134" s="319"/>
      <c r="BP1134" s="319"/>
      <c r="BQ1134" s="319"/>
      <c r="BR1134" s="319"/>
      <c r="BS1134" s="319"/>
      <c r="BT1134" s="319"/>
      <c r="BU1134" s="319"/>
      <c r="BV1134" s="319"/>
      <c r="BW1134" s="319"/>
      <c r="BX1134" s="319"/>
      <c r="BY1134" s="319"/>
      <c r="BZ1134" s="319"/>
      <c r="CA1134" s="319"/>
      <c r="CB1134" s="319"/>
      <c r="CC1134" s="319"/>
      <c r="CD1134" s="319"/>
      <c r="CE1134" s="319"/>
      <c r="CF1134" s="319"/>
      <c r="CG1134" s="319"/>
      <c r="CH1134" s="319"/>
      <c r="CI1134" s="319"/>
      <c r="CJ1134" s="319"/>
      <c r="CK1134" s="319"/>
    </row>
    <row r="1135" spans="1:89" ht="12.75" hidden="1" customHeight="1">
      <c r="A1135" s="319"/>
      <c r="B1135" s="319" t="s">
        <v>1709</v>
      </c>
      <c r="C1135" s="3" t="b">
        <v>0</v>
      </c>
      <c r="D1135" s="319"/>
      <c r="E1135" s="319"/>
      <c r="F1135" s="319"/>
      <c r="G1135" s="319" t="b">
        <v>0</v>
      </c>
      <c r="H1135" s="319"/>
      <c r="I1135" s="319"/>
      <c r="J1135" s="319"/>
      <c r="K1135" s="319"/>
      <c r="L1135" s="319"/>
      <c r="M1135" s="319"/>
      <c r="N1135" s="319"/>
      <c r="O1135" s="319"/>
      <c r="P1135" s="319"/>
      <c r="Q1135" s="319"/>
      <c r="R1135" s="319"/>
      <c r="S1135" s="319"/>
      <c r="T1135" s="319"/>
      <c r="U1135" s="319"/>
      <c r="V1135" s="319"/>
      <c r="W1135" s="319"/>
      <c r="X1135" s="319"/>
      <c r="Y1135" s="319"/>
      <c r="Z1135" s="319"/>
      <c r="AA1135" s="319"/>
      <c r="AB1135" s="319"/>
      <c r="AC1135" s="319"/>
      <c r="AD1135" s="319"/>
      <c r="AE1135" s="319"/>
      <c r="AF1135" s="319"/>
      <c r="AG1135" s="319"/>
      <c r="AH1135" s="319"/>
      <c r="AI1135" s="319"/>
      <c r="AJ1135" s="319"/>
      <c r="AK1135" s="319"/>
      <c r="AL1135" s="319"/>
      <c r="AM1135" s="319"/>
      <c r="AN1135" s="319"/>
      <c r="AO1135" s="319"/>
      <c r="AP1135" s="319"/>
      <c r="AQ1135" s="319"/>
      <c r="AR1135" s="319"/>
      <c r="AS1135" s="319"/>
      <c r="AT1135" s="319"/>
      <c r="AU1135" s="319"/>
      <c r="AV1135" s="319"/>
      <c r="AW1135" s="319"/>
      <c r="AX1135" s="319"/>
      <c r="AY1135" s="319"/>
      <c r="AZ1135" s="319"/>
      <c r="BA1135" s="319"/>
      <c r="BB1135" s="319"/>
      <c r="BC1135" s="319"/>
      <c r="BD1135" s="319"/>
      <c r="BE1135" s="319"/>
      <c r="BF1135" s="319"/>
      <c r="BG1135" s="319"/>
      <c r="BH1135" s="319"/>
      <c r="BI1135" s="319"/>
      <c r="BJ1135" s="319"/>
      <c r="BK1135" s="319"/>
      <c r="BL1135" s="319"/>
      <c r="BM1135" s="319"/>
      <c r="BN1135" s="319"/>
      <c r="BO1135" s="319"/>
      <c r="BP1135" s="319"/>
      <c r="BQ1135" s="319"/>
      <c r="BR1135" s="319"/>
      <c r="BS1135" s="319"/>
      <c r="BT1135" s="319"/>
      <c r="BU1135" s="319"/>
      <c r="BV1135" s="319"/>
      <c r="BW1135" s="319"/>
      <c r="BX1135" s="319"/>
      <c r="BY1135" s="319"/>
      <c r="BZ1135" s="319"/>
      <c r="CA1135" s="319"/>
      <c r="CB1135" s="319"/>
      <c r="CC1135" s="319"/>
      <c r="CD1135" s="319"/>
      <c r="CE1135" s="319"/>
      <c r="CF1135" s="319"/>
      <c r="CG1135" s="319"/>
      <c r="CH1135" s="319"/>
      <c r="CI1135" s="319"/>
      <c r="CJ1135" s="319"/>
      <c r="CK1135" s="319"/>
    </row>
    <row r="1136" spans="1:89" ht="12.75" hidden="1" customHeight="1">
      <c r="A1136" s="319"/>
      <c r="B1136" s="319" t="s">
        <v>1710</v>
      </c>
      <c r="C1136" s="3" t="b">
        <v>0</v>
      </c>
      <c r="D1136" s="319"/>
      <c r="E1136" s="319"/>
      <c r="F1136" s="319"/>
      <c r="G1136" s="319" t="b">
        <v>0</v>
      </c>
      <c r="H1136" s="319"/>
      <c r="I1136" s="319"/>
      <c r="J1136" s="319"/>
      <c r="K1136" s="319"/>
      <c r="L1136" s="319"/>
      <c r="M1136" s="319"/>
      <c r="N1136" s="319"/>
      <c r="O1136" s="319"/>
      <c r="P1136" s="319"/>
      <c r="Q1136" s="319"/>
      <c r="R1136" s="319"/>
      <c r="S1136" s="319"/>
      <c r="T1136" s="319"/>
      <c r="U1136" s="319"/>
      <c r="V1136" s="319"/>
      <c r="W1136" s="319"/>
      <c r="X1136" s="319"/>
      <c r="Y1136" s="319"/>
      <c r="Z1136" s="319"/>
      <c r="AA1136" s="319"/>
      <c r="AB1136" s="319"/>
      <c r="AC1136" s="319"/>
      <c r="AD1136" s="319"/>
      <c r="AE1136" s="319"/>
      <c r="AF1136" s="319"/>
      <c r="AG1136" s="319"/>
      <c r="AH1136" s="319"/>
      <c r="AI1136" s="319"/>
      <c r="AJ1136" s="319"/>
      <c r="AK1136" s="319"/>
      <c r="AL1136" s="319"/>
      <c r="AM1136" s="319"/>
      <c r="AN1136" s="319"/>
      <c r="AO1136" s="319"/>
      <c r="AP1136" s="319"/>
      <c r="AQ1136" s="319"/>
      <c r="AR1136" s="319"/>
      <c r="AS1136" s="319"/>
      <c r="AT1136" s="319"/>
      <c r="AU1136" s="319"/>
      <c r="AV1136" s="319"/>
      <c r="AW1136" s="319"/>
      <c r="AX1136" s="319"/>
      <c r="AY1136" s="319"/>
      <c r="AZ1136" s="319"/>
      <c r="BA1136" s="319"/>
      <c r="BB1136" s="319"/>
      <c r="BC1136" s="319"/>
      <c r="BD1136" s="319"/>
      <c r="BE1136" s="319"/>
      <c r="BF1136" s="319"/>
      <c r="BG1136" s="319"/>
      <c r="BH1136" s="319"/>
      <c r="BI1136" s="319"/>
      <c r="BJ1136" s="319"/>
      <c r="BK1136" s="319"/>
      <c r="BL1136" s="319"/>
      <c r="BM1136" s="319"/>
      <c r="BN1136" s="319"/>
      <c r="BO1136" s="319"/>
      <c r="BP1136" s="319"/>
      <c r="BQ1136" s="319"/>
      <c r="BR1136" s="319"/>
      <c r="BS1136" s="319"/>
      <c r="BT1136" s="319"/>
      <c r="BU1136" s="319"/>
      <c r="BV1136" s="319"/>
      <c r="BW1136" s="319"/>
      <c r="BX1136" s="319"/>
      <c r="BY1136" s="319"/>
      <c r="BZ1136" s="319"/>
      <c r="CA1136" s="319"/>
      <c r="CB1136" s="319"/>
      <c r="CC1136" s="319"/>
      <c r="CD1136" s="319"/>
      <c r="CE1136" s="319"/>
      <c r="CF1136" s="319"/>
      <c r="CG1136" s="319"/>
      <c r="CH1136" s="319"/>
      <c r="CI1136" s="319"/>
      <c r="CJ1136" s="319"/>
      <c r="CK1136" s="319"/>
    </row>
    <row r="1137" spans="1:89" ht="12.75" hidden="1" customHeight="1">
      <c r="A1137" s="319"/>
      <c r="B1137" s="319" t="s">
        <v>4123</v>
      </c>
      <c r="C1137" s="3" t="b">
        <v>0</v>
      </c>
      <c r="D1137" s="319"/>
      <c r="E1137" s="319"/>
      <c r="F1137" s="319"/>
      <c r="G1137" s="319" t="b">
        <v>0</v>
      </c>
      <c r="H1137" s="319"/>
      <c r="I1137" s="319"/>
      <c r="J1137" s="319"/>
      <c r="K1137" s="319"/>
      <c r="L1137" s="319"/>
      <c r="M1137" s="319"/>
      <c r="N1137" s="319"/>
      <c r="O1137" s="319"/>
      <c r="P1137" s="319"/>
      <c r="Q1137" s="319"/>
      <c r="R1137" s="319"/>
      <c r="S1137" s="319"/>
      <c r="T1137" s="319"/>
      <c r="U1137" s="319"/>
      <c r="V1137" s="319"/>
      <c r="W1137" s="319"/>
      <c r="X1137" s="319"/>
      <c r="Y1137" s="319"/>
      <c r="Z1137" s="319"/>
      <c r="AA1137" s="319"/>
      <c r="AB1137" s="319"/>
      <c r="AC1137" s="319"/>
      <c r="AD1137" s="319"/>
      <c r="AE1137" s="319"/>
      <c r="AF1137" s="319"/>
      <c r="AG1137" s="319"/>
      <c r="AH1137" s="319"/>
      <c r="AI1137" s="319"/>
      <c r="AJ1137" s="319"/>
      <c r="AK1137" s="319"/>
      <c r="AL1137" s="319"/>
      <c r="AM1137" s="319"/>
      <c r="AN1137" s="319"/>
      <c r="AO1137" s="319"/>
      <c r="AP1137" s="319"/>
      <c r="AQ1137" s="319"/>
      <c r="AR1137" s="319"/>
      <c r="AS1137" s="319"/>
      <c r="AT1137" s="319"/>
      <c r="AU1137" s="319"/>
      <c r="AV1137" s="319"/>
      <c r="AW1137" s="319"/>
      <c r="AX1137" s="319"/>
      <c r="AY1137" s="319"/>
      <c r="AZ1137" s="319"/>
      <c r="BA1137" s="319"/>
      <c r="BB1137" s="319"/>
      <c r="BC1137" s="319"/>
      <c r="BD1137" s="319"/>
      <c r="BE1137" s="319"/>
      <c r="BF1137" s="319"/>
      <c r="BG1137" s="319"/>
      <c r="BH1137" s="319"/>
      <c r="BI1137" s="319"/>
      <c r="BJ1137" s="319"/>
      <c r="BK1137" s="319"/>
      <c r="BL1137" s="319"/>
      <c r="BM1137" s="319"/>
      <c r="BN1137" s="319"/>
      <c r="BO1137" s="319"/>
      <c r="BP1137" s="319"/>
      <c r="BQ1137" s="319"/>
      <c r="BR1137" s="319"/>
      <c r="BS1137" s="319"/>
      <c r="BT1137" s="319"/>
      <c r="BU1137" s="319"/>
      <c r="BV1137" s="319"/>
      <c r="BW1137" s="319"/>
      <c r="BX1137" s="319"/>
      <c r="BY1137" s="319"/>
      <c r="BZ1137" s="319"/>
      <c r="CA1137" s="319"/>
      <c r="CB1137" s="319"/>
      <c r="CC1137" s="319"/>
      <c r="CD1137" s="319"/>
      <c r="CE1137" s="319"/>
      <c r="CF1137" s="319"/>
      <c r="CG1137" s="319"/>
      <c r="CH1137" s="319"/>
      <c r="CI1137" s="319"/>
      <c r="CJ1137" s="319"/>
      <c r="CK1137" s="319"/>
    </row>
    <row r="1138" spans="1:89" ht="12.75" hidden="1" customHeight="1">
      <c r="A1138" s="319"/>
      <c r="B1138" s="319" t="s">
        <v>620</v>
      </c>
      <c r="C1138" s="3" t="b">
        <v>0</v>
      </c>
      <c r="D1138" s="319"/>
      <c r="E1138" s="319"/>
      <c r="F1138" s="319"/>
      <c r="G1138" s="319"/>
      <c r="H1138" s="319"/>
      <c r="I1138" s="319"/>
      <c r="J1138" s="319"/>
      <c r="K1138" s="319"/>
      <c r="L1138" s="319"/>
      <c r="M1138" s="319"/>
      <c r="N1138" s="319"/>
      <c r="O1138" s="319"/>
      <c r="P1138" s="319"/>
      <c r="Q1138" s="319"/>
      <c r="R1138" s="319"/>
      <c r="S1138" s="319"/>
      <c r="T1138" s="319"/>
      <c r="U1138" s="319"/>
      <c r="V1138" s="319"/>
      <c r="W1138" s="319"/>
      <c r="X1138" s="319"/>
      <c r="Y1138" s="319"/>
      <c r="Z1138" s="319"/>
      <c r="AA1138" s="319"/>
      <c r="AB1138" s="319"/>
      <c r="AC1138" s="319"/>
      <c r="AD1138" s="319"/>
      <c r="AE1138" s="319"/>
      <c r="AF1138" s="319"/>
      <c r="AG1138" s="319"/>
      <c r="AH1138" s="319"/>
      <c r="AI1138" s="319"/>
      <c r="AJ1138" s="319"/>
      <c r="AK1138" s="319"/>
      <c r="AL1138" s="319"/>
      <c r="AM1138" s="319"/>
      <c r="AN1138" s="319"/>
      <c r="AO1138" s="319"/>
      <c r="AP1138" s="319"/>
      <c r="AQ1138" s="319"/>
      <c r="AR1138" s="319"/>
      <c r="AS1138" s="319"/>
      <c r="AT1138" s="319"/>
      <c r="AU1138" s="319"/>
      <c r="AV1138" s="319"/>
      <c r="AW1138" s="319"/>
      <c r="AX1138" s="319"/>
      <c r="AY1138" s="319"/>
      <c r="AZ1138" s="319"/>
      <c r="BA1138" s="319"/>
      <c r="BB1138" s="319"/>
      <c r="BC1138" s="319"/>
      <c r="BD1138" s="319"/>
      <c r="BE1138" s="319"/>
      <c r="BF1138" s="319"/>
      <c r="BG1138" s="319"/>
      <c r="BH1138" s="319"/>
      <c r="BI1138" s="319"/>
      <c r="BJ1138" s="319"/>
      <c r="BK1138" s="319"/>
      <c r="BL1138" s="319"/>
      <c r="BM1138" s="319"/>
      <c r="BN1138" s="319"/>
      <c r="BO1138" s="319"/>
      <c r="BP1138" s="319"/>
      <c r="BQ1138" s="319"/>
      <c r="BR1138" s="319"/>
      <c r="BS1138" s="319"/>
      <c r="BT1138" s="319"/>
      <c r="BU1138" s="319"/>
      <c r="BV1138" s="319"/>
      <c r="BW1138" s="319"/>
      <c r="BX1138" s="319"/>
      <c r="BY1138" s="319"/>
      <c r="BZ1138" s="319"/>
      <c r="CA1138" s="319"/>
      <c r="CB1138" s="319"/>
      <c r="CC1138" s="319"/>
      <c r="CD1138" s="319"/>
      <c r="CE1138" s="319"/>
      <c r="CF1138" s="319"/>
      <c r="CG1138" s="319"/>
      <c r="CH1138" s="319"/>
      <c r="CI1138" s="319"/>
      <c r="CJ1138" s="319"/>
      <c r="CK1138" s="319"/>
    </row>
    <row r="1139" spans="1:89" ht="12.75" hidden="1" customHeight="1">
      <c r="A1139" s="319"/>
      <c r="B1139" s="319" t="s">
        <v>2902</v>
      </c>
      <c r="C1139" s="3" t="b">
        <v>0</v>
      </c>
      <c r="D1139" s="319"/>
      <c r="E1139" s="319"/>
      <c r="F1139" s="319"/>
      <c r="G1139" s="319"/>
      <c r="H1139" s="319"/>
      <c r="I1139" s="319"/>
      <c r="J1139" s="319"/>
      <c r="K1139" s="319"/>
      <c r="L1139" s="319"/>
      <c r="M1139" s="319"/>
      <c r="N1139" s="319"/>
      <c r="O1139" s="319"/>
      <c r="P1139" s="319"/>
      <c r="Q1139" s="319"/>
      <c r="R1139" s="319"/>
      <c r="S1139" s="319"/>
      <c r="T1139" s="319"/>
      <c r="U1139" s="319"/>
      <c r="V1139" s="319"/>
      <c r="W1139" s="319"/>
      <c r="X1139" s="319"/>
      <c r="Y1139" s="319"/>
      <c r="Z1139" s="319"/>
      <c r="AA1139" s="319"/>
      <c r="AB1139" s="319"/>
      <c r="AC1139" s="319"/>
      <c r="AD1139" s="319"/>
      <c r="AE1139" s="319"/>
      <c r="AF1139" s="319"/>
      <c r="AG1139" s="319"/>
      <c r="AH1139" s="319"/>
      <c r="AI1139" s="319"/>
      <c r="AJ1139" s="319"/>
      <c r="AK1139" s="319"/>
      <c r="AL1139" s="319"/>
      <c r="AM1139" s="319"/>
      <c r="AN1139" s="319"/>
      <c r="AO1139" s="319"/>
      <c r="AP1139" s="319"/>
      <c r="AQ1139" s="319"/>
      <c r="AR1139" s="319"/>
      <c r="AS1139" s="319"/>
      <c r="AT1139" s="319"/>
      <c r="AU1139" s="319"/>
      <c r="AV1139" s="319"/>
      <c r="AW1139" s="319"/>
      <c r="AX1139" s="319"/>
      <c r="AY1139" s="319"/>
      <c r="AZ1139" s="319"/>
      <c r="BA1139" s="319"/>
      <c r="BB1139" s="319"/>
      <c r="BC1139" s="319"/>
      <c r="BD1139" s="319"/>
      <c r="BE1139" s="319"/>
      <c r="BF1139" s="319"/>
      <c r="BG1139" s="319"/>
      <c r="BH1139" s="319"/>
      <c r="BI1139" s="319"/>
      <c r="BJ1139" s="319"/>
      <c r="BK1139" s="319"/>
      <c r="BL1139" s="319"/>
      <c r="BM1139" s="319"/>
      <c r="BN1139" s="319"/>
      <c r="BO1139" s="319"/>
      <c r="BP1139" s="319"/>
      <c r="BQ1139" s="319"/>
      <c r="BR1139" s="319"/>
      <c r="BS1139" s="319"/>
      <c r="BT1139" s="319"/>
      <c r="BU1139" s="319"/>
      <c r="BV1139" s="319"/>
      <c r="BW1139" s="319"/>
      <c r="BX1139" s="319"/>
      <c r="BY1139" s="319"/>
      <c r="BZ1139" s="319"/>
      <c r="CA1139" s="319"/>
      <c r="CB1139" s="319"/>
      <c r="CC1139" s="319"/>
      <c r="CD1139" s="319"/>
      <c r="CE1139" s="319"/>
      <c r="CF1139" s="319"/>
      <c r="CG1139" s="319"/>
      <c r="CH1139" s="319"/>
      <c r="CI1139" s="319"/>
      <c r="CJ1139" s="319"/>
      <c r="CK1139" s="319"/>
    </row>
    <row r="1140" spans="1:89" ht="12.75" hidden="1" customHeight="1">
      <c r="A1140" s="319"/>
      <c r="B1140" s="319" t="s">
        <v>2903</v>
      </c>
      <c r="C1140" s="3" t="b">
        <v>0</v>
      </c>
      <c r="D1140" s="319"/>
      <c r="E1140" s="319"/>
      <c r="F1140" s="319"/>
      <c r="G1140" s="319"/>
      <c r="H1140" s="319"/>
      <c r="I1140" s="319"/>
      <c r="J1140" s="319"/>
      <c r="K1140" s="319"/>
      <c r="L1140" s="319"/>
      <c r="M1140" s="319"/>
      <c r="N1140" s="319"/>
      <c r="O1140" s="319"/>
      <c r="P1140" s="319"/>
      <c r="Q1140" s="319"/>
      <c r="R1140" s="319"/>
      <c r="S1140" s="319"/>
      <c r="T1140" s="319"/>
      <c r="U1140" s="319"/>
      <c r="V1140" s="319"/>
      <c r="W1140" s="319"/>
      <c r="X1140" s="319"/>
      <c r="Y1140" s="319"/>
      <c r="Z1140" s="319"/>
      <c r="AA1140" s="319"/>
      <c r="AB1140" s="319"/>
      <c r="AC1140" s="319"/>
      <c r="AD1140" s="319"/>
      <c r="AE1140" s="319"/>
      <c r="AF1140" s="319"/>
      <c r="AG1140" s="319"/>
      <c r="AH1140" s="319"/>
      <c r="AI1140" s="319"/>
      <c r="AJ1140" s="319"/>
      <c r="AK1140" s="319"/>
      <c r="AL1140" s="319"/>
      <c r="AM1140" s="319"/>
      <c r="AN1140" s="319"/>
      <c r="AO1140" s="319"/>
      <c r="AP1140" s="319"/>
      <c r="AQ1140" s="319"/>
      <c r="AR1140" s="319"/>
      <c r="AS1140" s="319"/>
      <c r="AT1140" s="319"/>
      <c r="AU1140" s="319"/>
      <c r="AV1140" s="319"/>
      <c r="AW1140" s="319"/>
      <c r="AX1140" s="319"/>
      <c r="AY1140" s="319"/>
      <c r="AZ1140" s="319"/>
      <c r="BA1140" s="319"/>
      <c r="BB1140" s="319"/>
      <c r="BC1140" s="319"/>
      <c r="BD1140" s="319"/>
      <c r="BE1140" s="319"/>
      <c r="BF1140" s="319"/>
      <c r="BG1140" s="319"/>
      <c r="BH1140" s="319"/>
      <c r="BI1140" s="319"/>
      <c r="BJ1140" s="319"/>
      <c r="BK1140" s="319"/>
      <c r="BL1140" s="319"/>
      <c r="BM1140" s="319"/>
      <c r="BN1140" s="319"/>
      <c r="BO1140" s="319"/>
      <c r="BP1140" s="319"/>
      <c r="BQ1140" s="319"/>
      <c r="BR1140" s="319"/>
      <c r="BS1140" s="319"/>
      <c r="BT1140" s="319"/>
      <c r="BU1140" s="319"/>
      <c r="BV1140" s="319"/>
      <c r="BW1140" s="319"/>
      <c r="BX1140" s="319"/>
      <c r="BY1140" s="319"/>
      <c r="BZ1140" s="319"/>
      <c r="CA1140" s="319"/>
      <c r="CB1140" s="319"/>
      <c r="CC1140" s="319"/>
      <c r="CD1140" s="319"/>
      <c r="CE1140" s="319"/>
      <c r="CF1140" s="319"/>
      <c r="CG1140" s="319"/>
      <c r="CH1140" s="319"/>
      <c r="CI1140" s="319"/>
      <c r="CJ1140" s="319"/>
      <c r="CK1140" s="319"/>
    </row>
    <row r="1141" spans="1:89" ht="12.75" hidden="1" customHeight="1">
      <c r="A1141" s="319"/>
      <c r="B1141" s="319" t="s">
        <v>2904</v>
      </c>
      <c r="C1141" s="3" t="b">
        <v>0</v>
      </c>
      <c r="D1141" s="319"/>
      <c r="E1141" s="319"/>
      <c r="F1141" s="319"/>
      <c r="G1141" s="319"/>
      <c r="H1141" s="319"/>
      <c r="I1141" s="319"/>
      <c r="J1141" s="319"/>
      <c r="K1141" s="319"/>
      <c r="L1141" s="319"/>
      <c r="M1141" s="319"/>
      <c r="N1141" s="319"/>
      <c r="O1141" s="319"/>
      <c r="P1141" s="319"/>
      <c r="Q1141" s="319"/>
      <c r="R1141" s="319"/>
      <c r="S1141" s="319"/>
      <c r="T1141" s="319"/>
      <c r="U1141" s="319"/>
      <c r="V1141" s="319"/>
      <c r="W1141" s="319"/>
      <c r="X1141" s="319"/>
      <c r="Y1141" s="319"/>
      <c r="Z1141" s="319"/>
      <c r="AA1141" s="319"/>
      <c r="AB1141" s="319"/>
      <c r="AC1141" s="319"/>
      <c r="AD1141" s="319"/>
      <c r="AE1141" s="319"/>
      <c r="AF1141" s="319"/>
      <c r="AG1141" s="319"/>
      <c r="AH1141" s="319"/>
      <c r="AI1141" s="319"/>
      <c r="AJ1141" s="319"/>
      <c r="AK1141" s="319"/>
      <c r="AL1141" s="319"/>
      <c r="AM1141" s="319"/>
      <c r="AN1141" s="319"/>
      <c r="AO1141" s="319"/>
      <c r="AP1141" s="319"/>
      <c r="AQ1141" s="319"/>
      <c r="AR1141" s="319"/>
      <c r="AS1141" s="319"/>
      <c r="AT1141" s="319"/>
      <c r="AU1141" s="319"/>
      <c r="AV1141" s="319"/>
      <c r="AW1141" s="319"/>
      <c r="AX1141" s="319"/>
      <c r="AY1141" s="319"/>
      <c r="AZ1141" s="319"/>
      <c r="BA1141" s="319"/>
      <c r="BB1141" s="319"/>
      <c r="BC1141" s="319"/>
      <c r="BD1141" s="319"/>
      <c r="BE1141" s="319"/>
      <c r="BF1141" s="319"/>
      <c r="BG1141" s="319"/>
      <c r="BH1141" s="319"/>
      <c r="BI1141" s="319"/>
      <c r="BJ1141" s="319"/>
      <c r="BK1141" s="319"/>
      <c r="BL1141" s="319"/>
      <c r="BM1141" s="319"/>
      <c r="BN1141" s="319"/>
      <c r="BO1141" s="319"/>
      <c r="BP1141" s="319"/>
      <c r="BQ1141" s="319"/>
      <c r="BR1141" s="319"/>
      <c r="BS1141" s="319"/>
      <c r="BT1141" s="319"/>
      <c r="BU1141" s="319"/>
      <c r="BV1141" s="319"/>
      <c r="BW1141" s="319"/>
      <c r="BX1141" s="319"/>
      <c r="BY1141" s="319"/>
      <c r="BZ1141" s="319"/>
      <c r="CA1141" s="319"/>
      <c r="CB1141" s="319"/>
      <c r="CC1141" s="319"/>
      <c r="CD1141" s="319"/>
      <c r="CE1141" s="319"/>
      <c r="CF1141" s="319"/>
      <c r="CG1141" s="319"/>
      <c r="CH1141" s="319"/>
      <c r="CI1141" s="319"/>
      <c r="CJ1141" s="319"/>
      <c r="CK1141" s="319"/>
    </row>
    <row r="1142" spans="1:89" ht="12.75" hidden="1" customHeight="1">
      <c r="A1142" s="319"/>
      <c r="B1142" s="319" t="s">
        <v>5375</v>
      </c>
      <c r="C1142" s="3" t="b">
        <v>0</v>
      </c>
      <c r="D1142" s="319"/>
      <c r="E1142" s="319"/>
      <c r="F1142" s="319"/>
      <c r="G1142" s="319"/>
      <c r="H1142" s="319"/>
      <c r="I1142" s="319"/>
      <c r="J1142" s="319"/>
      <c r="K1142" s="319"/>
      <c r="L1142" s="319"/>
      <c r="M1142" s="319"/>
      <c r="N1142" s="319"/>
      <c r="O1142" s="319"/>
      <c r="P1142" s="319"/>
      <c r="Q1142" s="319"/>
      <c r="R1142" s="319"/>
      <c r="S1142" s="319"/>
      <c r="T1142" s="319"/>
      <c r="U1142" s="319"/>
      <c r="V1142" s="319"/>
      <c r="W1142" s="319"/>
      <c r="X1142" s="319"/>
      <c r="Y1142" s="319"/>
      <c r="Z1142" s="319"/>
      <c r="AA1142" s="319"/>
      <c r="AB1142" s="319"/>
      <c r="AC1142" s="319"/>
      <c r="AD1142" s="319"/>
      <c r="AE1142" s="319"/>
      <c r="AF1142" s="319"/>
      <c r="AG1142" s="319"/>
      <c r="AH1142" s="319"/>
      <c r="AI1142" s="319"/>
      <c r="AJ1142" s="319"/>
      <c r="AK1142" s="319"/>
      <c r="AL1142" s="319"/>
      <c r="AM1142" s="319"/>
      <c r="AN1142" s="319"/>
      <c r="AO1142" s="319"/>
      <c r="AP1142" s="319"/>
      <c r="AQ1142" s="319"/>
      <c r="AR1142" s="319"/>
      <c r="AS1142" s="319"/>
      <c r="AT1142" s="319"/>
      <c r="AU1142" s="319"/>
      <c r="AV1142" s="319"/>
      <c r="AW1142" s="319"/>
      <c r="AX1142" s="319"/>
      <c r="AY1142" s="319"/>
      <c r="AZ1142" s="319"/>
      <c r="BA1142" s="319"/>
      <c r="BB1142" s="319"/>
      <c r="BC1142" s="319"/>
      <c r="BD1142" s="319"/>
      <c r="BE1142" s="319"/>
      <c r="BF1142" s="319"/>
      <c r="BG1142" s="319"/>
      <c r="BH1142" s="319"/>
      <c r="BI1142" s="319"/>
      <c r="BJ1142" s="319"/>
      <c r="BK1142" s="319"/>
      <c r="BL1142" s="319"/>
      <c r="BM1142" s="319"/>
      <c r="BN1142" s="319"/>
      <c r="BO1142" s="319"/>
      <c r="BP1142" s="319"/>
      <c r="BQ1142" s="319"/>
      <c r="BR1142" s="319"/>
      <c r="BS1142" s="319"/>
      <c r="BT1142" s="319"/>
      <c r="BU1142" s="319"/>
      <c r="BV1142" s="319"/>
      <c r="BW1142" s="319"/>
      <c r="BX1142" s="319"/>
      <c r="BY1142" s="319"/>
      <c r="BZ1142" s="319"/>
      <c r="CA1142" s="319"/>
      <c r="CB1142" s="319"/>
      <c r="CC1142" s="319"/>
      <c r="CD1142" s="319"/>
      <c r="CE1142" s="319"/>
      <c r="CF1142" s="319"/>
      <c r="CG1142" s="319"/>
      <c r="CH1142" s="319"/>
      <c r="CI1142" s="319"/>
      <c r="CJ1142" s="319"/>
      <c r="CK1142" s="319"/>
    </row>
    <row r="1143" spans="1:89" ht="12.75" hidden="1" customHeight="1">
      <c r="A1143" s="319"/>
      <c r="B1143" s="319" t="s">
        <v>852</v>
      </c>
      <c r="C1143" s="3" t="b">
        <v>0</v>
      </c>
      <c r="D1143" s="319"/>
      <c r="E1143" s="319"/>
      <c r="F1143" s="319"/>
      <c r="G1143" s="319" t="b">
        <v>0</v>
      </c>
      <c r="H1143" s="319"/>
      <c r="I1143" s="319"/>
      <c r="J1143" s="319"/>
      <c r="K1143" s="319"/>
      <c r="L1143" s="319"/>
      <c r="M1143" s="319"/>
      <c r="N1143" s="319"/>
      <c r="O1143" s="319"/>
      <c r="P1143" s="319"/>
      <c r="Q1143" s="319"/>
      <c r="R1143" s="319"/>
      <c r="S1143" s="319"/>
      <c r="T1143" s="319"/>
      <c r="U1143" s="319"/>
      <c r="V1143" s="319"/>
      <c r="W1143" s="319"/>
      <c r="X1143" s="319"/>
      <c r="Y1143" s="319"/>
      <c r="Z1143" s="319"/>
      <c r="AA1143" s="319"/>
      <c r="AB1143" s="319"/>
      <c r="AC1143" s="319"/>
      <c r="AD1143" s="319"/>
      <c r="AE1143" s="319"/>
      <c r="AF1143" s="319"/>
      <c r="AG1143" s="319"/>
      <c r="AH1143" s="319"/>
      <c r="AI1143" s="319"/>
      <c r="AJ1143" s="319"/>
      <c r="AK1143" s="319"/>
      <c r="AL1143" s="319"/>
      <c r="AM1143" s="319"/>
      <c r="AN1143" s="319"/>
      <c r="AO1143" s="319"/>
      <c r="AP1143" s="319"/>
      <c r="AQ1143" s="319"/>
      <c r="AR1143" s="319"/>
      <c r="AS1143" s="319"/>
      <c r="AT1143" s="319"/>
      <c r="AU1143" s="319"/>
      <c r="AV1143" s="319"/>
      <c r="AW1143" s="319"/>
      <c r="AX1143" s="319"/>
      <c r="AY1143" s="319"/>
      <c r="AZ1143" s="319"/>
      <c r="BA1143" s="319"/>
      <c r="BB1143" s="319"/>
      <c r="BC1143" s="319"/>
      <c r="BD1143" s="319"/>
      <c r="BE1143" s="319"/>
      <c r="BF1143" s="319"/>
      <c r="BG1143" s="319"/>
      <c r="BH1143" s="319"/>
      <c r="BI1143" s="319"/>
      <c r="BJ1143" s="319"/>
      <c r="BK1143" s="319"/>
      <c r="BL1143" s="319"/>
      <c r="BM1143" s="319"/>
      <c r="BN1143" s="319"/>
      <c r="BO1143" s="319"/>
      <c r="BP1143" s="319"/>
      <c r="BQ1143" s="319"/>
      <c r="BR1143" s="319"/>
      <c r="BS1143" s="319"/>
      <c r="BT1143" s="319"/>
      <c r="BU1143" s="319"/>
      <c r="BV1143" s="319"/>
      <c r="BW1143" s="319"/>
      <c r="BX1143" s="319"/>
      <c r="BY1143" s="319"/>
      <c r="BZ1143" s="319"/>
      <c r="CA1143" s="319"/>
      <c r="CB1143" s="319"/>
      <c r="CC1143" s="319"/>
      <c r="CD1143" s="319"/>
      <c r="CE1143" s="319"/>
      <c r="CF1143" s="319"/>
      <c r="CG1143" s="319"/>
      <c r="CH1143" s="319"/>
      <c r="CI1143" s="319"/>
      <c r="CJ1143" s="319"/>
      <c r="CK1143" s="319"/>
    </row>
    <row r="1144" spans="1:89" ht="12.75" hidden="1" customHeight="1">
      <c r="A1144" s="319"/>
      <c r="B1144" s="319" t="s">
        <v>5840</v>
      </c>
      <c r="C1144" s="3" t="b">
        <v>0</v>
      </c>
      <c r="D1144" s="319"/>
      <c r="E1144" s="319"/>
      <c r="F1144" s="319"/>
      <c r="G1144" s="319"/>
      <c r="H1144" s="319"/>
      <c r="I1144" s="319"/>
      <c r="J1144" s="319"/>
      <c r="K1144" s="319"/>
      <c r="L1144" s="319"/>
      <c r="M1144" s="319"/>
      <c r="N1144" s="319"/>
      <c r="O1144" s="319"/>
      <c r="P1144" s="319"/>
      <c r="Q1144" s="319"/>
      <c r="R1144" s="319"/>
      <c r="S1144" s="319"/>
      <c r="T1144" s="319"/>
      <c r="U1144" s="319"/>
      <c r="V1144" s="319"/>
      <c r="W1144" s="319"/>
      <c r="X1144" s="319"/>
      <c r="Y1144" s="319"/>
      <c r="Z1144" s="319"/>
      <c r="AA1144" s="319"/>
      <c r="AB1144" s="319"/>
      <c r="AC1144" s="319"/>
      <c r="AD1144" s="319"/>
      <c r="AE1144" s="319"/>
      <c r="AF1144" s="319"/>
      <c r="AG1144" s="319"/>
      <c r="AH1144" s="319"/>
      <c r="AI1144" s="319"/>
      <c r="AJ1144" s="319"/>
      <c r="AK1144" s="319"/>
      <c r="AL1144" s="319"/>
      <c r="AM1144" s="319"/>
      <c r="AN1144" s="319"/>
      <c r="AO1144" s="319"/>
      <c r="AP1144" s="319"/>
      <c r="AQ1144" s="319"/>
      <c r="AR1144" s="319"/>
      <c r="AS1144" s="319"/>
      <c r="AT1144" s="319"/>
      <c r="AU1144" s="319"/>
      <c r="AV1144" s="319"/>
      <c r="AW1144" s="319"/>
      <c r="AX1144" s="319"/>
      <c r="AY1144" s="319"/>
      <c r="AZ1144" s="319"/>
      <c r="BA1144" s="319"/>
      <c r="BB1144" s="319"/>
      <c r="BC1144" s="319"/>
      <c r="BD1144" s="319"/>
      <c r="BE1144" s="319"/>
      <c r="BF1144" s="319"/>
      <c r="BG1144" s="319"/>
      <c r="BH1144" s="319"/>
      <c r="BI1144" s="319"/>
      <c r="BJ1144" s="319"/>
      <c r="BK1144" s="319"/>
      <c r="BL1144" s="319"/>
      <c r="BM1144" s="319"/>
      <c r="BN1144" s="319"/>
      <c r="BO1144" s="319"/>
      <c r="BP1144" s="319"/>
      <c r="BQ1144" s="319"/>
      <c r="BR1144" s="319"/>
      <c r="BS1144" s="319"/>
      <c r="BT1144" s="319"/>
      <c r="BU1144" s="319"/>
      <c r="BV1144" s="319"/>
      <c r="BW1144" s="319"/>
      <c r="BX1144" s="319"/>
      <c r="BY1144" s="319"/>
      <c r="BZ1144" s="319"/>
      <c r="CA1144" s="319"/>
      <c r="CB1144" s="319"/>
      <c r="CC1144" s="319"/>
      <c r="CD1144" s="319"/>
      <c r="CE1144" s="319"/>
      <c r="CF1144" s="319"/>
      <c r="CG1144" s="319"/>
      <c r="CH1144" s="319"/>
      <c r="CI1144" s="319"/>
      <c r="CJ1144" s="319"/>
      <c r="CK1144" s="319"/>
    </row>
    <row r="1145" spans="1:89" ht="12.75" hidden="1" customHeight="1">
      <c r="A1145" s="319"/>
      <c r="B1145" s="319" t="s">
        <v>2983</v>
      </c>
      <c r="C1145" s="3" t="b">
        <v>0</v>
      </c>
      <c r="D1145" s="319"/>
      <c r="E1145" s="319"/>
      <c r="F1145" s="319"/>
      <c r="G1145" s="319" t="b">
        <v>0</v>
      </c>
      <c r="H1145" s="319"/>
      <c r="I1145" s="319"/>
      <c r="J1145" s="319"/>
      <c r="K1145" s="319"/>
      <c r="L1145" s="319"/>
      <c r="M1145" s="319"/>
      <c r="N1145" s="319"/>
      <c r="O1145" s="319"/>
      <c r="P1145" s="319"/>
      <c r="Q1145" s="319"/>
      <c r="R1145" s="319"/>
      <c r="S1145" s="319"/>
      <c r="T1145" s="319"/>
      <c r="U1145" s="319"/>
      <c r="V1145" s="319"/>
      <c r="W1145" s="319"/>
      <c r="X1145" s="319"/>
      <c r="Y1145" s="319"/>
      <c r="Z1145" s="319"/>
      <c r="AA1145" s="319"/>
      <c r="AB1145" s="319"/>
      <c r="AC1145" s="319"/>
      <c r="AD1145" s="319"/>
      <c r="AE1145" s="319"/>
      <c r="AF1145" s="319"/>
      <c r="AG1145" s="319"/>
      <c r="AH1145" s="319"/>
      <c r="AI1145" s="319"/>
      <c r="AJ1145" s="319"/>
      <c r="AK1145" s="319"/>
      <c r="AL1145" s="319"/>
      <c r="AM1145" s="319"/>
      <c r="AN1145" s="319"/>
      <c r="AO1145" s="319"/>
      <c r="AP1145" s="319"/>
      <c r="AQ1145" s="319"/>
      <c r="AR1145" s="319"/>
      <c r="AS1145" s="319"/>
      <c r="AT1145" s="319"/>
      <c r="AU1145" s="319"/>
      <c r="AV1145" s="319"/>
      <c r="AW1145" s="319"/>
      <c r="AX1145" s="319"/>
      <c r="AY1145" s="319"/>
      <c r="AZ1145" s="319"/>
      <c r="BA1145" s="319"/>
      <c r="BB1145" s="319"/>
      <c r="BC1145" s="319"/>
      <c r="BD1145" s="319"/>
      <c r="BE1145" s="319"/>
      <c r="BF1145" s="319"/>
      <c r="BG1145" s="319"/>
      <c r="BH1145" s="319"/>
      <c r="BI1145" s="319"/>
      <c r="BJ1145" s="319"/>
      <c r="BK1145" s="319"/>
      <c r="BL1145" s="319"/>
      <c r="BM1145" s="319"/>
      <c r="BN1145" s="319"/>
      <c r="BO1145" s="319"/>
      <c r="BP1145" s="319"/>
      <c r="BQ1145" s="319"/>
      <c r="BR1145" s="319"/>
      <c r="BS1145" s="319"/>
      <c r="BT1145" s="319"/>
      <c r="BU1145" s="319"/>
      <c r="BV1145" s="319"/>
      <c r="BW1145" s="319"/>
      <c r="BX1145" s="319"/>
      <c r="BY1145" s="319"/>
      <c r="BZ1145" s="319"/>
      <c r="CA1145" s="319"/>
      <c r="CB1145" s="319"/>
      <c r="CC1145" s="319"/>
      <c r="CD1145" s="319"/>
      <c r="CE1145" s="319"/>
      <c r="CF1145" s="319"/>
      <c r="CG1145" s="319"/>
      <c r="CH1145" s="319"/>
      <c r="CI1145" s="319"/>
      <c r="CJ1145" s="319"/>
      <c r="CK1145" s="319"/>
    </row>
    <row r="1146" spans="1:89" ht="12.75" hidden="1" customHeight="1">
      <c r="A1146" s="319"/>
      <c r="B1146" s="319" t="s">
        <v>1882</v>
      </c>
      <c r="C1146" s="3" t="b">
        <v>0</v>
      </c>
      <c r="D1146" s="319"/>
      <c r="E1146" s="319"/>
      <c r="F1146" s="319"/>
      <c r="G1146" s="319"/>
      <c r="H1146" s="319"/>
      <c r="I1146" s="319"/>
      <c r="J1146" s="319"/>
      <c r="K1146" s="319"/>
      <c r="L1146" s="319"/>
      <c r="M1146" s="319"/>
      <c r="N1146" s="319"/>
      <c r="O1146" s="319"/>
      <c r="P1146" s="319"/>
      <c r="Q1146" s="319"/>
      <c r="R1146" s="319"/>
      <c r="S1146" s="319"/>
      <c r="T1146" s="319"/>
      <c r="U1146" s="319"/>
      <c r="V1146" s="319"/>
      <c r="W1146" s="319"/>
      <c r="X1146" s="319"/>
      <c r="Y1146" s="319"/>
      <c r="Z1146" s="319"/>
      <c r="AA1146" s="319"/>
      <c r="AB1146" s="319"/>
      <c r="AC1146" s="319"/>
      <c r="AD1146" s="319"/>
      <c r="AE1146" s="319"/>
      <c r="AF1146" s="319"/>
      <c r="AG1146" s="319"/>
      <c r="AH1146" s="319"/>
      <c r="AI1146" s="319"/>
      <c r="AJ1146" s="319"/>
      <c r="AK1146" s="319"/>
      <c r="AL1146" s="319"/>
      <c r="AM1146" s="319"/>
      <c r="AN1146" s="319"/>
      <c r="AO1146" s="319"/>
      <c r="AP1146" s="319"/>
      <c r="AQ1146" s="319"/>
      <c r="AR1146" s="319"/>
      <c r="AS1146" s="319"/>
      <c r="AT1146" s="319"/>
      <c r="AU1146" s="319"/>
      <c r="AV1146" s="319"/>
      <c r="AW1146" s="319"/>
      <c r="AX1146" s="319"/>
      <c r="AY1146" s="319"/>
      <c r="AZ1146" s="319"/>
      <c r="BA1146" s="319"/>
      <c r="BB1146" s="319"/>
      <c r="BC1146" s="319"/>
      <c r="BD1146" s="319"/>
      <c r="BE1146" s="319"/>
      <c r="BF1146" s="319"/>
      <c r="BG1146" s="319"/>
      <c r="BH1146" s="319"/>
      <c r="BI1146" s="319"/>
      <c r="BJ1146" s="319"/>
      <c r="BK1146" s="319"/>
      <c r="BL1146" s="319"/>
      <c r="BM1146" s="319"/>
      <c r="BN1146" s="319"/>
      <c r="BO1146" s="319"/>
      <c r="BP1146" s="319"/>
      <c r="BQ1146" s="319"/>
      <c r="BR1146" s="319"/>
      <c r="BS1146" s="319"/>
      <c r="BT1146" s="319"/>
      <c r="BU1146" s="319"/>
      <c r="BV1146" s="319"/>
      <c r="BW1146" s="319"/>
      <c r="BX1146" s="319"/>
      <c r="BY1146" s="319"/>
      <c r="BZ1146" s="319"/>
      <c r="CA1146" s="319"/>
      <c r="CB1146" s="319"/>
      <c r="CC1146" s="319"/>
      <c r="CD1146" s="319"/>
      <c r="CE1146" s="319"/>
      <c r="CF1146" s="319"/>
      <c r="CG1146" s="319"/>
      <c r="CH1146" s="319"/>
      <c r="CI1146" s="319"/>
      <c r="CJ1146" s="319"/>
      <c r="CK1146" s="319"/>
    </row>
    <row r="1147" spans="1:89" ht="12.75" hidden="1" customHeight="1">
      <c r="A1147" s="319"/>
      <c r="B1147" s="319"/>
      <c r="C1147" s="319"/>
      <c r="D1147" s="319"/>
      <c r="E1147" s="319"/>
      <c r="F1147" s="319"/>
      <c r="G1147" s="319"/>
      <c r="H1147" s="319"/>
      <c r="I1147" s="319"/>
      <c r="J1147" s="319"/>
      <c r="K1147" s="319"/>
      <c r="L1147" s="319"/>
      <c r="M1147" s="319"/>
      <c r="N1147" s="319"/>
      <c r="O1147" s="319"/>
      <c r="P1147" s="319"/>
      <c r="Q1147" s="319"/>
      <c r="R1147" s="319"/>
      <c r="S1147" s="319"/>
      <c r="T1147" s="319"/>
      <c r="U1147" s="319"/>
      <c r="V1147" s="319"/>
      <c r="W1147" s="319"/>
      <c r="X1147" s="319"/>
      <c r="Y1147" s="319"/>
      <c r="Z1147" s="319"/>
      <c r="AA1147" s="319"/>
      <c r="AB1147" s="319"/>
      <c r="AC1147" s="319"/>
      <c r="AD1147" s="319"/>
      <c r="AE1147" s="319"/>
      <c r="AF1147" s="319"/>
      <c r="AG1147" s="319"/>
      <c r="AH1147" s="319"/>
      <c r="AI1147" s="319"/>
      <c r="AJ1147" s="319"/>
      <c r="AK1147" s="319"/>
      <c r="AL1147" s="319"/>
      <c r="AM1147" s="319"/>
      <c r="AN1147" s="319"/>
      <c r="AO1147" s="319"/>
      <c r="AP1147" s="319"/>
      <c r="AQ1147" s="319"/>
      <c r="AR1147" s="319"/>
      <c r="AS1147" s="319"/>
      <c r="AT1147" s="319"/>
      <c r="AU1147" s="319"/>
      <c r="AV1147" s="319"/>
      <c r="AW1147" s="319"/>
      <c r="AX1147" s="319"/>
      <c r="AY1147" s="319"/>
      <c r="AZ1147" s="319"/>
      <c r="BA1147" s="319"/>
      <c r="BB1147" s="319"/>
      <c r="BC1147" s="319"/>
      <c r="BD1147" s="319"/>
      <c r="BE1147" s="319"/>
      <c r="BF1147" s="319"/>
      <c r="BG1147" s="319"/>
      <c r="BH1147" s="319"/>
      <c r="BI1147" s="319"/>
      <c r="BJ1147" s="319"/>
      <c r="BK1147" s="319"/>
      <c r="BL1147" s="319"/>
      <c r="BM1147" s="319"/>
      <c r="BN1147" s="319"/>
      <c r="BO1147" s="319"/>
      <c r="BP1147" s="319"/>
      <c r="BQ1147" s="319"/>
      <c r="BR1147" s="319"/>
      <c r="BS1147" s="319"/>
      <c r="BT1147" s="319"/>
      <c r="BU1147" s="319"/>
      <c r="BV1147" s="319"/>
      <c r="BW1147" s="319"/>
      <c r="BX1147" s="319"/>
      <c r="BY1147" s="319"/>
      <c r="BZ1147" s="319"/>
      <c r="CA1147" s="319"/>
      <c r="CB1147" s="319"/>
      <c r="CC1147" s="319"/>
      <c r="CD1147" s="319"/>
      <c r="CE1147" s="319"/>
      <c r="CF1147" s="319"/>
      <c r="CG1147" s="319"/>
      <c r="CH1147" s="319"/>
      <c r="CI1147" s="319"/>
      <c r="CJ1147" s="319"/>
      <c r="CK1147" s="319"/>
    </row>
    <row r="1148" spans="1:89" ht="12.75" hidden="1" customHeight="1">
      <c r="A1148" s="319"/>
      <c r="B1148" s="319"/>
      <c r="C1148" s="319"/>
      <c r="D1148" s="319"/>
      <c r="E1148" s="319"/>
      <c r="F1148" s="319"/>
      <c r="G1148" s="319"/>
      <c r="H1148" s="319"/>
      <c r="I1148" s="319"/>
      <c r="J1148" s="319"/>
      <c r="K1148" s="319"/>
      <c r="L1148" s="319"/>
      <c r="M1148" s="319"/>
      <c r="N1148" s="319"/>
      <c r="O1148" s="319"/>
      <c r="P1148" s="319"/>
      <c r="Q1148" s="319"/>
      <c r="R1148" s="319"/>
      <c r="S1148" s="319"/>
      <c r="T1148" s="319"/>
      <c r="U1148" s="319"/>
      <c r="V1148" s="319"/>
      <c r="W1148" s="319"/>
      <c r="X1148" s="319"/>
      <c r="Y1148" s="319"/>
      <c r="Z1148" s="319"/>
      <c r="AA1148" s="319"/>
      <c r="AB1148" s="319"/>
      <c r="AC1148" s="319"/>
      <c r="AD1148" s="319"/>
      <c r="AE1148" s="319"/>
      <c r="AF1148" s="319"/>
      <c r="AG1148" s="319"/>
      <c r="AH1148" s="319"/>
      <c r="AI1148" s="319"/>
      <c r="AJ1148" s="319"/>
      <c r="AK1148" s="319"/>
      <c r="AL1148" s="319"/>
      <c r="AM1148" s="319"/>
      <c r="AN1148" s="319"/>
      <c r="AO1148" s="319"/>
      <c r="AP1148" s="319"/>
      <c r="AQ1148" s="319"/>
      <c r="AR1148" s="319"/>
      <c r="AS1148" s="319"/>
      <c r="AT1148" s="319"/>
      <c r="AU1148" s="319"/>
      <c r="AV1148" s="319"/>
      <c r="AW1148" s="319"/>
      <c r="AX1148" s="319"/>
      <c r="AY1148" s="319"/>
      <c r="AZ1148" s="319"/>
      <c r="BA1148" s="319"/>
      <c r="BB1148" s="319"/>
      <c r="BC1148" s="319"/>
      <c r="BD1148" s="319"/>
      <c r="BE1148" s="319"/>
      <c r="BF1148" s="319"/>
      <c r="BG1148" s="319"/>
      <c r="BH1148" s="319"/>
      <c r="BI1148" s="319"/>
      <c r="BJ1148" s="319"/>
      <c r="BK1148" s="319"/>
      <c r="BL1148" s="319"/>
      <c r="BM1148" s="319"/>
      <c r="BN1148" s="319"/>
      <c r="BO1148" s="319"/>
      <c r="BP1148" s="319"/>
      <c r="BQ1148" s="319"/>
      <c r="BR1148" s="319"/>
      <c r="BS1148" s="319"/>
      <c r="BT1148" s="319"/>
      <c r="BU1148" s="319"/>
      <c r="BV1148" s="319"/>
      <c r="BW1148" s="319"/>
      <c r="BX1148" s="319"/>
      <c r="BY1148" s="319"/>
      <c r="BZ1148" s="319"/>
      <c r="CA1148" s="319"/>
      <c r="CB1148" s="319"/>
      <c r="CC1148" s="319"/>
      <c r="CD1148" s="319"/>
      <c r="CE1148" s="319"/>
      <c r="CF1148" s="319"/>
      <c r="CG1148" s="319"/>
      <c r="CH1148" s="319"/>
      <c r="CI1148" s="319"/>
      <c r="CJ1148" s="319"/>
      <c r="CK1148" s="319"/>
    </row>
    <row r="1149" spans="1:89" ht="12.75" hidden="1" customHeight="1">
      <c r="A1149" s="319"/>
      <c r="B1149" s="319" t="s">
        <v>5394</v>
      </c>
      <c r="C1149" s="319"/>
      <c r="D1149" s="319" t="s">
        <v>4901</v>
      </c>
      <c r="E1149" s="319"/>
      <c r="F1149" s="319"/>
      <c r="G1149" s="319"/>
      <c r="H1149" s="319"/>
      <c r="I1149" s="319"/>
      <c r="J1149" s="319"/>
      <c r="K1149" s="319"/>
      <c r="L1149" s="319"/>
      <c r="M1149" s="319"/>
      <c r="N1149" s="319"/>
      <c r="O1149" s="319"/>
      <c r="P1149" s="319"/>
      <c r="Q1149" s="319"/>
      <c r="R1149" s="319"/>
      <c r="S1149" s="319"/>
      <c r="T1149" s="319"/>
      <c r="U1149" s="319"/>
      <c r="V1149" s="319"/>
      <c r="W1149" s="319"/>
      <c r="X1149" s="319"/>
      <c r="Y1149" s="319"/>
      <c r="Z1149" s="319"/>
      <c r="AA1149" s="319"/>
      <c r="AB1149" s="319"/>
      <c r="AC1149" s="319"/>
      <c r="AD1149" s="319"/>
      <c r="AE1149" s="319"/>
      <c r="AF1149" s="319"/>
      <c r="AG1149" s="319"/>
      <c r="AH1149" s="319"/>
      <c r="AI1149" s="319"/>
      <c r="AJ1149" s="319"/>
      <c r="AK1149" s="319"/>
      <c r="AL1149" s="319"/>
      <c r="AM1149" s="319"/>
      <c r="AN1149" s="319"/>
      <c r="AO1149" s="319"/>
      <c r="AP1149" s="319"/>
      <c r="AQ1149" s="319"/>
      <c r="AR1149" s="319"/>
      <c r="AS1149" s="319"/>
      <c r="AT1149" s="319"/>
      <c r="AU1149" s="319"/>
      <c r="AV1149" s="319"/>
      <c r="AW1149" s="319"/>
      <c r="AX1149" s="319"/>
      <c r="AY1149" s="319"/>
      <c r="AZ1149" s="319"/>
      <c r="BA1149" s="319"/>
      <c r="BB1149" s="319"/>
      <c r="BC1149" s="319"/>
      <c r="BD1149" s="319"/>
      <c r="BE1149" s="319"/>
      <c r="BF1149" s="319"/>
      <c r="BG1149" s="319"/>
      <c r="BH1149" s="319"/>
      <c r="BI1149" s="319"/>
      <c r="BJ1149" s="319"/>
      <c r="BK1149" s="319"/>
      <c r="BL1149" s="319"/>
      <c r="BM1149" s="319"/>
      <c r="BN1149" s="319"/>
      <c r="BO1149" s="319"/>
      <c r="BP1149" s="319"/>
      <c r="BQ1149" s="319"/>
      <c r="BR1149" s="319"/>
      <c r="BS1149" s="319"/>
      <c r="BT1149" s="319"/>
      <c r="BU1149" s="319"/>
      <c r="BV1149" s="319"/>
      <c r="BW1149" s="319"/>
      <c r="BX1149" s="319"/>
      <c r="BY1149" s="319"/>
      <c r="BZ1149" s="319"/>
      <c r="CA1149" s="319"/>
      <c r="CB1149" s="319"/>
      <c r="CC1149" s="319"/>
      <c r="CD1149" s="319"/>
      <c r="CE1149" s="319"/>
      <c r="CF1149" s="319"/>
      <c r="CG1149" s="319"/>
      <c r="CH1149" s="319"/>
      <c r="CI1149" s="319"/>
      <c r="CJ1149" s="319"/>
      <c r="CK1149" s="319"/>
    </row>
    <row r="1150" spans="1:89" ht="12.75" hidden="1" customHeight="1">
      <c r="A1150" s="319"/>
      <c r="B1150" s="319" t="str">
        <f>Language!C1737</f>
        <v>Casa</v>
      </c>
      <c r="C1150" s="319" t="str">
        <f>Language!C1846</f>
        <v>Ocupante</v>
      </c>
      <c r="D1150" s="319">
        <v>60</v>
      </c>
      <c r="E1150" s="319"/>
      <c r="F1150" s="319"/>
      <c r="G1150" s="319"/>
      <c r="H1150" s="319" t="str">
        <f>Language!C139</f>
        <v>Turbina eólica</v>
      </c>
      <c r="I1150" s="319" t="str">
        <f>'Análise de Emissões'!H329</f>
        <v>Eólica</v>
      </c>
      <c r="J1150" s="319" t="str">
        <f>C355</f>
        <v>Velocidade do Vento</v>
      </c>
      <c r="K1150" s="319" t="s">
        <v>7824</v>
      </c>
      <c r="L1150" s="319"/>
      <c r="M1150" s="319"/>
      <c r="N1150" s="319"/>
      <c r="O1150" s="319"/>
      <c r="P1150" s="319"/>
      <c r="Q1150" s="319"/>
      <c r="R1150" s="319"/>
      <c r="S1150" s="319"/>
      <c r="T1150" s="319"/>
      <c r="U1150" s="319"/>
      <c r="V1150" s="319"/>
      <c r="W1150" s="319"/>
      <c r="X1150" s="319"/>
      <c r="Y1150" s="319"/>
      <c r="Z1150" s="319"/>
      <c r="AA1150" s="319"/>
      <c r="AB1150" s="319"/>
      <c r="AC1150" s="319"/>
      <c r="AD1150" s="319"/>
      <c r="AE1150" s="319"/>
      <c r="AF1150" s="319"/>
      <c r="AG1150" s="319"/>
      <c r="AH1150" s="319"/>
      <c r="AI1150" s="319"/>
      <c r="AJ1150" s="319"/>
      <c r="AK1150" s="319"/>
      <c r="AL1150" s="319"/>
      <c r="AM1150" s="319"/>
      <c r="AN1150" s="319"/>
      <c r="AO1150" s="319"/>
      <c r="AP1150" s="319"/>
      <c r="AQ1150" s="319"/>
      <c r="AR1150" s="319"/>
      <c r="AS1150" s="319"/>
      <c r="AT1150" s="319"/>
      <c r="AU1150" s="319"/>
      <c r="AV1150" s="319"/>
      <c r="AW1150" s="319"/>
      <c r="AX1150" s="319"/>
      <c r="AY1150" s="319"/>
      <c r="AZ1150" s="319"/>
      <c r="BA1150" s="319"/>
      <c r="BB1150" s="319"/>
      <c r="BC1150" s="319"/>
      <c r="BD1150" s="319"/>
      <c r="BE1150" s="319"/>
      <c r="BF1150" s="319"/>
      <c r="BG1150" s="319"/>
      <c r="BH1150" s="319"/>
      <c r="BI1150" s="319"/>
      <c r="BJ1150" s="319"/>
      <c r="BK1150" s="319"/>
      <c r="BL1150" s="319"/>
      <c r="BM1150" s="319"/>
      <c r="BN1150" s="319"/>
      <c r="BO1150" s="319"/>
      <c r="BP1150" s="319"/>
      <c r="BQ1150" s="319"/>
      <c r="BR1150" s="319"/>
      <c r="BS1150" s="319"/>
      <c r="BT1150" s="319"/>
      <c r="BU1150" s="319"/>
      <c r="BV1150" s="319"/>
      <c r="BW1150" s="319"/>
      <c r="BX1150" s="319"/>
      <c r="BY1150" s="319"/>
      <c r="BZ1150" s="319"/>
      <c r="CA1150" s="319"/>
      <c r="CB1150" s="319"/>
      <c r="CC1150" s="319"/>
      <c r="CD1150" s="319"/>
      <c r="CE1150" s="319"/>
      <c r="CF1150" s="319"/>
      <c r="CG1150" s="319"/>
      <c r="CH1150" s="319"/>
      <c r="CI1150" s="319"/>
      <c r="CJ1150" s="319"/>
      <c r="CK1150" s="319"/>
    </row>
    <row r="1151" spans="1:89" ht="12.75" hidden="1" customHeight="1">
      <c r="A1151" s="319"/>
      <c r="B1151" s="319" t="str">
        <f>Language!C1481</f>
        <v>Apartamento</v>
      </c>
      <c r="C1151" s="319" t="str">
        <f>C221</f>
        <v>Unidade</v>
      </c>
      <c r="D1151" s="319">
        <v>169.45</v>
      </c>
      <c r="E1151" s="319"/>
      <c r="F1151" s="319" t="str">
        <f>Language!C2023</f>
        <v>Gerador Termoelétrico</v>
      </c>
      <c r="G1151" s="319"/>
      <c r="H1151" s="319" t="str">
        <f>Language!C140</f>
        <v>Turbina hidráulica</v>
      </c>
      <c r="I1151" s="319" t="str">
        <f>'Análise de Emissões'!H330</f>
        <v>Hidro</v>
      </c>
      <c r="J1151" s="319" t="str">
        <f>Language!C2083</f>
        <v>Densidade de potência do vento</v>
      </c>
      <c r="K1151" s="319" t="s">
        <v>7616</v>
      </c>
      <c r="L1151" s="319"/>
      <c r="M1151" s="319"/>
      <c r="N1151" s="319"/>
      <c r="O1151" s="319"/>
      <c r="P1151" s="319"/>
      <c r="Q1151" s="319"/>
      <c r="R1151" s="319"/>
      <c r="S1151" s="319"/>
      <c r="T1151" s="319"/>
      <c r="U1151" s="319"/>
      <c r="V1151" s="319"/>
      <c r="W1151" s="319"/>
      <c r="X1151" s="319"/>
      <c r="Y1151" s="319"/>
      <c r="Z1151" s="319"/>
      <c r="AA1151" s="319"/>
      <c r="AB1151" s="319"/>
      <c r="AC1151" s="319"/>
      <c r="AD1151" s="319"/>
      <c r="AE1151" s="319"/>
      <c r="AF1151" s="319"/>
      <c r="AG1151" s="319"/>
      <c r="AH1151" s="319"/>
      <c r="AI1151" s="319"/>
      <c r="AJ1151" s="319"/>
      <c r="AK1151" s="319"/>
      <c r="AL1151" s="319"/>
      <c r="AM1151" s="319"/>
      <c r="AN1151" s="319"/>
      <c r="AO1151" s="319"/>
      <c r="AP1151" s="319"/>
      <c r="AQ1151" s="319"/>
      <c r="AR1151" s="319"/>
      <c r="AS1151" s="319"/>
      <c r="AT1151" s="319"/>
      <c r="AU1151" s="319"/>
      <c r="AV1151" s="319"/>
      <c r="AW1151" s="319"/>
      <c r="AX1151" s="319"/>
      <c r="AY1151" s="319"/>
      <c r="AZ1151" s="319"/>
      <c r="BA1151" s="319"/>
      <c r="BB1151" s="319"/>
      <c r="BC1151" s="319"/>
      <c r="BD1151" s="319"/>
      <c r="BE1151" s="319"/>
      <c r="BF1151" s="319"/>
      <c r="BG1151" s="319"/>
      <c r="BH1151" s="319"/>
      <c r="BI1151" s="319"/>
      <c r="BJ1151" s="319"/>
      <c r="BK1151" s="319"/>
      <c r="BL1151" s="319"/>
      <c r="BM1151" s="319"/>
      <c r="BN1151" s="319"/>
      <c r="BO1151" s="319"/>
      <c r="BP1151" s="319"/>
      <c r="BQ1151" s="319"/>
      <c r="BR1151" s="319"/>
      <c r="BS1151" s="319"/>
      <c r="BT1151" s="319"/>
      <c r="BU1151" s="319"/>
      <c r="BV1151" s="319"/>
      <c r="BW1151" s="319"/>
      <c r="BX1151" s="319"/>
      <c r="BY1151" s="319"/>
      <c r="BZ1151" s="319"/>
      <c r="CA1151" s="319"/>
      <c r="CB1151" s="319"/>
      <c r="CC1151" s="319"/>
      <c r="CD1151" s="319"/>
      <c r="CE1151" s="319"/>
      <c r="CF1151" s="319"/>
      <c r="CG1151" s="319"/>
      <c r="CH1151" s="319"/>
      <c r="CI1151" s="319"/>
      <c r="CJ1151" s="319"/>
      <c r="CK1151" s="319"/>
    </row>
    <row r="1152" spans="1:89" ht="12.75" hidden="1" customHeight="1">
      <c r="A1152" s="319"/>
      <c r="B1152" s="319" t="str">
        <f>Language!C1735</f>
        <v>Hotel/Motel</v>
      </c>
      <c r="C1152" s="319" t="str">
        <f>C1151</f>
        <v>Unidade</v>
      </c>
      <c r="D1152" s="319">
        <v>75.8</v>
      </c>
      <c r="E1152" s="319"/>
      <c r="F1152" s="319" t="str">
        <f>Language!C1704</f>
        <v>Extensão da rede</v>
      </c>
      <c r="G1152" s="319"/>
      <c r="H1152" s="319" t="str">
        <f>Language!C141</f>
        <v>Fotovoltaica</v>
      </c>
      <c r="I1152" s="319" t="str">
        <f>'Análise de Emissões'!H331</f>
        <v>Solar</v>
      </c>
      <c r="J1152" s="319" t="str">
        <f>Language!C95</f>
        <v>Eletricidade da Rede</v>
      </c>
      <c r="K1152" s="319" t="s">
        <v>7785</v>
      </c>
      <c r="L1152" s="319"/>
      <c r="M1152" s="319"/>
      <c r="N1152" s="319"/>
      <c r="O1152" s="319"/>
      <c r="P1152" s="319"/>
      <c r="Q1152" s="319"/>
      <c r="R1152" s="319"/>
      <c r="S1152" s="319"/>
      <c r="T1152" s="319"/>
      <c r="U1152" s="319"/>
      <c r="V1152" s="319"/>
      <c r="W1152" s="319"/>
      <c r="X1152" s="319"/>
      <c r="Y1152" s="319"/>
      <c r="Z1152" s="319"/>
      <c r="AA1152" s="319"/>
      <c r="AB1152" s="319"/>
      <c r="AC1152" s="319"/>
      <c r="AD1152" s="319"/>
      <c r="AE1152" s="319"/>
      <c r="AF1152" s="319"/>
      <c r="AG1152" s="319"/>
      <c r="AH1152" s="319"/>
      <c r="AI1152" s="319"/>
      <c r="AJ1152" s="319"/>
      <c r="AK1152" s="319"/>
      <c r="AL1152" s="319"/>
      <c r="AM1152" s="319"/>
      <c r="AN1152" s="319"/>
      <c r="AO1152" s="319"/>
      <c r="AP1152" s="319"/>
      <c r="AQ1152" s="319"/>
      <c r="AR1152" s="319"/>
      <c r="AS1152" s="319"/>
      <c r="AT1152" s="319"/>
      <c r="AU1152" s="319"/>
      <c r="AV1152" s="319"/>
      <c r="AW1152" s="319"/>
      <c r="AX1152" s="319"/>
      <c r="AY1152" s="319"/>
      <c r="AZ1152" s="319"/>
      <c r="BA1152" s="319"/>
      <c r="BB1152" s="319"/>
      <c r="BC1152" s="319"/>
      <c r="BD1152" s="319"/>
      <c r="BE1152" s="319"/>
      <c r="BF1152" s="319"/>
      <c r="BG1152" s="319"/>
      <c r="BH1152" s="319"/>
      <c r="BI1152" s="319"/>
      <c r="BJ1152" s="319"/>
      <c r="BK1152" s="319"/>
      <c r="BL1152" s="319"/>
      <c r="BM1152" s="319"/>
      <c r="BN1152" s="319"/>
      <c r="BO1152" s="319"/>
      <c r="BP1152" s="319"/>
      <c r="BQ1152" s="319"/>
      <c r="BR1152" s="319"/>
      <c r="BS1152" s="319"/>
      <c r="BT1152" s="319"/>
      <c r="BU1152" s="319"/>
      <c r="BV1152" s="319"/>
      <c r="BW1152" s="319"/>
      <c r="BX1152" s="319"/>
      <c r="BY1152" s="319"/>
      <c r="BZ1152" s="319"/>
      <c r="CA1152" s="319"/>
      <c r="CB1152" s="319"/>
      <c r="CC1152" s="319"/>
      <c r="CD1152" s="319"/>
      <c r="CE1152" s="319"/>
      <c r="CF1152" s="319"/>
      <c r="CG1152" s="319"/>
      <c r="CH1152" s="319"/>
      <c r="CI1152" s="319"/>
      <c r="CJ1152" s="319"/>
      <c r="CK1152" s="319"/>
    </row>
    <row r="1153" spans="1:89" ht="12.75" hidden="1" customHeight="1">
      <c r="A1153" s="319"/>
      <c r="B1153" s="319" t="str">
        <f>Language!C1734</f>
        <v>Hospital</v>
      </c>
      <c r="C1153" s="319" t="str">
        <f>Language!C1503</f>
        <v>Cama</v>
      </c>
      <c r="D1153" s="319">
        <v>196.84</v>
      </c>
      <c r="E1153" s="319"/>
      <c r="F1153" s="319" t="str">
        <f>Language!C1833</f>
        <v>Sem baterias recarregáveis</v>
      </c>
      <c r="G1153" s="319"/>
      <c r="H1153" s="319" t="str">
        <f>Language!C1848</f>
        <v>Energia das correntes oceânicas</v>
      </c>
      <c r="I1153" s="319" t="str">
        <f>'Análise de Emissões'!H332</f>
        <v>Oceano</v>
      </c>
      <c r="J1153" s="319" t="str">
        <f>Language!C133</f>
        <v>Motor recíproco</v>
      </c>
      <c r="K1153" s="319" t="s">
        <v>7752</v>
      </c>
      <c r="L1153" s="319"/>
      <c r="M1153" s="319"/>
      <c r="N1153" s="319"/>
      <c r="O1153" s="319"/>
      <c r="P1153" s="319"/>
      <c r="Q1153" s="319"/>
      <c r="R1153" s="319"/>
      <c r="S1153" s="319"/>
      <c r="T1153" s="319"/>
      <c r="U1153" s="319"/>
      <c r="V1153" s="319"/>
      <c r="W1153" s="319"/>
      <c r="X1153" s="319"/>
      <c r="Y1153" s="319"/>
      <c r="Z1153" s="319"/>
      <c r="AA1153" s="319"/>
      <c r="AB1153" s="319"/>
      <c r="AC1153" s="319"/>
      <c r="AD1153" s="319"/>
      <c r="AE1153" s="319"/>
      <c r="AF1153" s="319"/>
      <c r="AG1153" s="319"/>
      <c r="AH1153" s="319"/>
      <c r="AI1153" s="319"/>
      <c r="AJ1153" s="319"/>
      <c r="AK1153" s="319"/>
      <c r="AL1153" s="319"/>
      <c r="AM1153" s="319"/>
      <c r="AN1153" s="319"/>
      <c r="AO1153" s="319"/>
      <c r="AP1153" s="319"/>
      <c r="AQ1153" s="319"/>
      <c r="AR1153" s="319"/>
      <c r="AS1153" s="319"/>
      <c r="AT1153" s="319"/>
      <c r="AU1153" s="319"/>
      <c r="AV1153" s="319"/>
      <c r="AW1153" s="319"/>
      <c r="AX1153" s="319"/>
      <c r="AY1153" s="319"/>
      <c r="AZ1153" s="319"/>
      <c r="BA1153" s="319"/>
      <c r="BB1153" s="319"/>
      <c r="BC1153" s="319"/>
      <c r="BD1153" s="319"/>
      <c r="BE1153" s="319"/>
      <c r="BF1153" s="319"/>
      <c r="BG1153" s="319"/>
      <c r="BH1153" s="319"/>
      <c r="BI1153" s="319"/>
      <c r="BJ1153" s="319"/>
      <c r="BK1153" s="319"/>
      <c r="BL1153" s="319"/>
      <c r="BM1153" s="319"/>
      <c r="BN1153" s="319"/>
      <c r="BO1153" s="319"/>
      <c r="BP1153" s="319"/>
      <c r="BQ1153" s="319"/>
      <c r="BR1153" s="319"/>
      <c r="BS1153" s="319"/>
      <c r="BT1153" s="319"/>
      <c r="BU1153" s="319"/>
      <c r="BV1153" s="319"/>
      <c r="BW1153" s="319"/>
      <c r="BX1153" s="319"/>
      <c r="BY1153" s="319"/>
      <c r="BZ1153" s="319"/>
      <c r="CA1153" s="319"/>
      <c r="CB1153" s="319"/>
      <c r="CC1153" s="319"/>
      <c r="CD1153" s="319"/>
      <c r="CE1153" s="319"/>
      <c r="CF1153" s="319"/>
      <c r="CG1153" s="319"/>
      <c r="CH1153" s="319"/>
      <c r="CI1153" s="319"/>
      <c r="CJ1153" s="319"/>
      <c r="CK1153" s="319"/>
    </row>
    <row r="1154" spans="1:89" ht="12.75" hidden="1" customHeight="1">
      <c r="A1154" s="319"/>
      <c r="B1154" s="319" t="str">
        <f>Language!C1850</f>
        <v>Escritório</v>
      </c>
      <c r="C1154" s="319" t="str">
        <f>Language!C1882</f>
        <v>Pessoa</v>
      </c>
      <c r="D1154" s="319">
        <v>3.8</v>
      </c>
      <c r="E1154" s="319"/>
      <c r="F1154" s="319" t="str">
        <f>Language!C1770</f>
        <v>Lanterna</v>
      </c>
      <c r="G1154" s="319"/>
      <c r="H1154" s="319" t="str">
        <f>Language!C2024</f>
        <v>Energia das marés</v>
      </c>
      <c r="I1154" s="319" t="str">
        <f>'Análise de Emissões'!H333</f>
        <v>Oceano</v>
      </c>
      <c r="J1154" s="319" t="str">
        <f>Language!C134</f>
        <v>Turbina à gas</v>
      </c>
      <c r="K1154" s="319" t="s">
        <v>6152</v>
      </c>
      <c r="L1154" s="319"/>
      <c r="M1154" s="319"/>
      <c r="N1154" s="319"/>
      <c r="O1154" s="319"/>
      <c r="P1154" s="319"/>
      <c r="Q1154" s="319"/>
      <c r="R1154" s="319"/>
      <c r="S1154" s="319"/>
      <c r="T1154" s="319"/>
      <c r="U1154" s="319"/>
      <c r="V1154" s="319"/>
      <c r="W1154" s="319"/>
      <c r="X1154" s="319"/>
      <c r="Y1154" s="319"/>
      <c r="Z1154" s="319"/>
      <c r="AA1154" s="319"/>
      <c r="AB1154" s="319"/>
      <c r="AC1154" s="319"/>
      <c r="AD1154" s="319"/>
      <c r="AE1154" s="319"/>
      <c r="AF1154" s="319"/>
      <c r="AG1154" s="319"/>
      <c r="AH1154" s="319"/>
      <c r="AI1154" s="319"/>
      <c r="AJ1154" s="319"/>
      <c r="AK1154" s="319"/>
      <c r="AL1154" s="319"/>
      <c r="AM1154" s="319"/>
      <c r="AN1154" s="319"/>
      <c r="AO1154" s="319"/>
      <c r="AP1154" s="319"/>
      <c r="AQ1154" s="319"/>
      <c r="AR1154" s="319"/>
      <c r="AS1154" s="319"/>
      <c r="AT1154" s="319"/>
      <c r="AU1154" s="319"/>
      <c r="AV1154" s="319"/>
      <c r="AW1154" s="319"/>
      <c r="AX1154" s="319"/>
      <c r="AY1154" s="319"/>
      <c r="AZ1154" s="319"/>
      <c r="BA1154" s="319"/>
      <c r="BB1154" s="319"/>
      <c r="BC1154" s="319"/>
      <c r="BD1154" s="319"/>
      <c r="BE1154" s="319"/>
      <c r="BF1154" s="319"/>
      <c r="BG1154" s="319"/>
      <c r="BH1154" s="319"/>
      <c r="BI1154" s="319"/>
      <c r="BJ1154" s="319"/>
      <c r="BK1154" s="319"/>
      <c r="BL1154" s="319"/>
      <c r="BM1154" s="319"/>
      <c r="BN1154" s="319"/>
      <c r="BO1154" s="319"/>
      <c r="BP1154" s="319"/>
      <c r="BQ1154" s="319"/>
      <c r="BR1154" s="319"/>
      <c r="BS1154" s="319"/>
      <c r="BT1154" s="319"/>
      <c r="BU1154" s="319"/>
      <c r="BV1154" s="319"/>
      <c r="BW1154" s="319"/>
      <c r="BX1154" s="319"/>
      <c r="BY1154" s="319"/>
      <c r="BZ1154" s="319"/>
      <c r="CA1154" s="319"/>
      <c r="CB1154" s="319"/>
      <c r="CC1154" s="319"/>
      <c r="CD1154" s="319"/>
      <c r="CE1154" s="319"/>
      <c r="CF1154" s="319"/>
      <c r="CG1154" s="319"/>
      <c r="CH1154" s="319"/>
      <c r="CI1154" s="319"/>
      <c r="CJ1154" s="319"/>
      <c r="CK1154" s="319"/>
    </row>
    <row r="1155" spans="1:89" ht="12.75" hidden="1" customHeight="1">
      <c r="A1155" s="319"/>
      <c r="B1155" s="319" t="str">
        <f>Language!C1653</f>
        <v>Restaurante - Fast food</v>
      </c>
      <c r="C1155" s="319" t="str">
        <f>Language!C2241</f>
        <v>Refeições/d</v>
      </c>
      <c r="D1155" s="319">
        <v>2.6</v>
      </c>
      <c r="E1155" s="319"/>
      <c r="F1155" s="319" t="str">
        <f>B1163</f>
        <v>Outro</v>
      </c>
      <c r="G1155" s="319"/>
      <c r="H1155" s="319" t="str">
        <f>Language!C2076</f>
        <v>Energia da onda</v>
      </c>
      <c r="I1155" s="319" t="str">
        <f>'Análise de Emissões'!H334</f>
        <v>Oceano</v>
      </c>
      <c r="J1155" s="319" t="str">
        <f>Language!C142</f>
        <v>Outro</v>
      </c>
      <c r="K1155" s="319" t="s">
        <v>6150</v>
      </c>
      <c r="L1155" s="319"/>
      <c r="M1155" s="319"/>
      <c r="N1155" s="319"/>
      <c r="O1155" s="319"/>
      <c r="P1155" s="319"/>
      <c r="Q1155" s="319"/>
      <c r="R1155" s="319"/>
      <c r="S1155" s="319"/>
      <c r="T1155" s="319"/>
      <c r="U1155" s="319"/>
      <c r="V1155" s="319"/>
      <c r="W1155" s="319"/>
      <c r="X1155" s="319"/>
      <c r="Y1155" s="319"/>
      <c r="Z1155" s="319"/>
      <c r="AA1155" s="319"/>
      <c r="AB1155" s="319"/>
      <c r="AC1155" s="319"/>
      <c r="AD1155" s="319"/>
      <c r="AE1155" s="319"/>
      <c r="AF1155" s="319"/>
      <c r="AG1155" s="319"/>
      <c r="AH1155" s="319"/>
      <c r="AI1155" s="319"/>
      <c r="AJ1155" s="319"/>
      <c r="AK1155" s="319"/>
      <c r="AL1155" s="319"/>
      <c r="AM1155" s="319"/>
      <c r="AN1155" s="319"/>
      <c r="AO1155" s="319"/>
      <c r="AP1155" s="319"/>
      <c r="AQ1155" s="319"/>
      <c r="AR1155" s="319"/>
      <c r="AS1155" s="319"/>
      <c r="AT1155" s="319"/>
      <c r="AU1155" s="319"/>
      <c r="AV1155" s="319"/>
      <c r="AW1155" s="319"/>
      <c r="AX1155" s="319"/>
      <c r="AY1155" s="319"/>
      <c r="AZ1155" s="319"/>
      <c r="BA1155" s="319"/>
      <c r="BB1155" s="319"/>
      <c r="BC1155" s="319"/>
      <c r="BD1155" s="319"/>
      <c r="BE1155" s="319"/>
      <c r="BF1155" s="319"/>
      <c r="BG1155" s="319"/>
      <c r="BH1155" s="319"/>
      <c r="BI1155" s="319"/>
      <c r="BJ1155" s="319"/>
      <c r="BK1155" s="319"/>
      <c r="BL1155" s="319"/>
      <c r="BM1155" s="319"/>
      <c r="BN1155" s="319"/>
      <c r="BO1155" s="319"/>
      <c r="BP1155" s="319"/>
      <c r="BQ1155" s="319"/>
      <c r="BR1155" s="319"/>
      <c r="BS1155" s="319"/>
      <c r="BT1155" s="319"/>
      <c r="BU1155" s="319"/>
      <c r="BV1155" s="319"/>
      <c r="BW1155" s="319"/>
      <c r="BX1155" s="319"/>
      <c r="BY1155" s="319"/>
      <c r="BZ1155" s="319"/>
      <c r="CA1155" s="319"/>
      <c r="CB1155" s="319"/>
      <c r="CC1155" s="319"/>
      <c r="CD1155" s="319"/>
      <c r="CE1155" s="319"/>
      <c r="CF1155" s="319"/>
      <c r="CG1155" s="319"/>
      <c r="CH1155" s="319"/>
      <c r="CI1155" s="319"/>
      <c r="CJ1155" s="319"/>
      <c r="CK1155" s="319"/>
    </row>
    <row r="1156" spans="1:89" ht="12.75" hidden="1" customHeight="1">
      <c r="A1156" s="319"/>
      <c r="B1156" s="319" t="str">
        <f>Language!C1940</f>
        <v>Restaurante</v>
      </c>
      <c r="C1156" s="319" t="str">
        <f>C1155</f>
        <v>Refeições/d</v>
      </c>
      <c r="D1156" s="319">
        <v>9.1</v>
      </c>
      <c r="E1156" s="319"/>
      <c r="F1156" s="319"/>
      <c r="G1156" s="319"/>
      <c r="H1156" s="319" t="str">
        <f>Language!C1991</f>
        <v>Energia solar térmica</v>
      </c>
      <c r="I1156" s="319" t="str">
        <f>'Análise de Emissões'!H335</f>
        <v>Solar</v>
      </c>
      <c r="J1156" s="319" t="str">
        <f>Language!C130</f>
        <v>Não necessário</v>
      </c>
      <c r="K1156" s="319" t="s">
        <v>6151</v>
      </c>
      <c r="L1156" s="319"/>
      <c r="M1156" s="319"/>
      <c r="N1156" s="319"/>
      <c r="O1156" s="319"/>
      <c r="P1156" s="319"/>
      <c r="Q1156" s="319"/>
      <c r="R1156" s="319"/>
      <c r="S1156" s="319"/>
      <c r="T1156" s="319"/>
      <c r="U1156" s="319"/>
      <c r="V1156" s="319"/>
      <c r="W1156" s="319"/>
      <c r="X1156" s="319"/>
      <c r="Y1156" s="319"/>
      <c r="Z1156" s="319"/>
      <c r="AA1156" s="319"/>
      <c r="AB1156" s="319"/>
      <c r="AC1156" s="319"/>
      <c r="AD1156" s="319"/>
      <c r="AE1156" s="319"/>
      <c r="AF1156" s="319"/>
      <c r="AG1156" s="319"/>
      <c r="AH1156" s="319"/>
      <c r="AI1156" s="319"/>
      <c r="AJ1156" s="319"/>
      <c r="AK1156" s="319"/>
      <c r="AL1156" s="319"/>
      <c r="AM1156" s="319"/>
      <c r="AN1156" s="319"/>
      <c r="AO1156" s="319"/>
      <c r="AP1156" s="319"/>
      <c r="AQ1156" s="319"/>
      <c r="AR1156" s="319"/>
      <c r="AS1156" s="319"/>
      <c r="AT1156" s="319"/>
      <c r="AU1156" s="319"/>
      <c r="AV1156" s="319"/>
      <c r="AW1156" s="319"/>
      <c r="AX1156" s="319"/>
      <c r="AY1156" s="319"/>
      <c r="AZ1156" s="319"/>
      <c r="BA1156" s="319"/>
      <c r="BB1156" s="319"/>
      <c r="BC1156" s="319"/>
      <c r="BD1156" s="319"/>
      <c r="BE1156" s="319"/>
      <c r="BF1156" s="319"/>
      <c r="BG1156" s="319"/>
      <c r="BH1156" s="319"/>
      <c r="BI1156" s="319"/>
      <c r="BJ1156" s="319"/>
      <c r="BK1156" s="319"/>
      <c r="BL1156" s="319"/>
      <c r="BM1156" s="319"/>
      <c r="BN1156" s="319"/>
      <c r="BO1156" s="319"/>
      <c r="BP1156" s="319"/>
      <c r="BQ1156" s="319"/>
      <c r="BR1156" s="319"/>
      <c r="BS1156" s="319"/>
      <c r="BT1156" s="319"/>
      <c r="BU1156" s="319"/>
      <c r="BV1156" s="319"/>
      <c r="BW1156" s="319"/>
      <c r="BX1156" s="319"/>
      <c r="BY1156" s="319"/>
      <c r="BZ1156" s="319"/>
      <c r="CA1156" s="319"/>
      <c r="CB1156" s="319"/>
      <c r="CC1156" s="319"/>
      <c r="CD1156" s="319"/>
      <c r="CE1156" s="319"/>
      <c r="CF1156" s="319"/>
      <c r="CG1156" s="319"/>
      <c r="CH1156" s="319"/>
      <c r="CI1156" s="319"/>
      <c r="CJ1156" s="319"/>
      <c r="CK1156" s="319"/>
    </row>
    <row r="1157" spans="1:89" ht="12.75" hidden="1" customHeight="1">
      <c r="A1157" s="319"/>
      <c r="B1157" s="319" t="str">
        <f>Language!C1958</f>
        <v>Escola</v>
      </c>
      <c r="C1157" s="319" t="str">
        <f>Language!C2005</f>
        <v>Estudante</v>
      </c>
      <c r="D1157" s="319">
        <v>2.2999999999999998</v>
      </c>
      <c r="E1157" s="319"/>
      <c r="F1157" s="319"/>
      <c r="G1157" s="319"/>
      <c r="H1157" s="319"/>
      <c r="I1157" s="319"/>
      <c r="J1157" s="319"/>
      <c r="K1157" s="319"/>
      <c r="L1157" s="319"/>
      <c r="M1157" s="319"/>
      <c r="N1157" s="319"/>
      <c r="O1157" s="319"/>
      <c r="P1157" s="319"/>
      <c r="Q1157" s="319"/>
      <c r="R1157" s="319"/>
      <c r="S1157" s="319"/>
      <c r="T1157" s="319"/>
      <c r="U1157" s="319"/>
      <c r="V1157" s="319"/>
      <c r="W1157" s="319"/>
      <c r="X1157" s="319"/>
      <c r="Y1157" s="319"/>
      <c r="Z1157" s="319"/>
      <c r="AA1157" s="319"/>
      <c r="AB1157" s="319"/>
      <c r="AC1157" s="319"/>
      <c r="AD1157" s="319"/>
      <c r="AE1157" s="319"/>
      <c r="AF1157" s="319"/>
      <c r="AG1157" s="319"/>
      <c r="AH1157" s="319"/>
      <c r="AI1157" s="319"/>
      <c r="AJ1157" s="319"/>
      <c r="AK1157" s="319"/>
      <c r="AL1157" s="319"/>
      <c r="AM1157" s="319"/>
      <c r="AN1157" s="319"/>
      <c r="AO1157" s="319"/>
      <c r="AP1157" s="319"/>
      <c r="AQ1157" s="319"/>
      <c r="AR1157" s="319"/>
      <c r="AS1157" s="319"/>
      <c r="AT1157" s="319"/>
      <c r="AU1157" s="319"/>
      <c r="AV1157" s="319"/>
      <c r="AW1157" s="319"/>
      <c r="AX1157" s="319"/>
      <c r="AY1157" s="319"/>
      <c r="AZ1157" s="319"/>
      <c r="BA1157" s="319"/>
      <c r="BB1157" s="319"/>
      <c r="BC1157" s="319"/>
      <c r="BD1157" s="319"/>
      <c r="BE1157" s="319"/>
      <c r="BF1157" s="319"/>
      <c r="BG1157" s="319"/>
      <c r="BH1157" s="319"/>
      <c r="BI1157" s="319"/>
      <c r="BJ1157" s="319"/>
      <c r="BK1157" s="319"/>
      <c r="BL1157" s="319"/>
      <c r="BM1157" s="319"/>
      <c r="BN1157" s="319"/>
      <c r="BO1157" s="319"/>
      <c r="BP1157" s="319"/>
      <c r="BQ1157" s="319"/>
      <c r="BR1157" s="319"/>
      <c r="BS1157" s="319"/>
      <c r="BT1157" s="319"/>
      <c r="BU1157" s="319"/>
      <c r="BV1157" s="319"/>
      <c r="BW1157" s="319"/>
      <c r="BX1157" s="319"/>
      <c r="BY1157" s="319"/>
      <c r="BZ1157" s="319"/>
      <c r="CA1157" s="319"/>
      <c r="CB1157" s="319"/>
      <c r="CC1157" s="319"/>
      <c r="CD1157" s="319"/>
      <c r="CE1157" s="319"/>
      <c r="CF1157" s="319"/>
      <c r="CG1157" s="319"/>
      <c r="CH1157" s="319"/>
      <c r="CI1157" s="319"/>
      <c r="CJ1157" s="319"/>
      <c r="CK1157" s="319"/>
    </row>
    <row r="1158" spans="1:89" ht="12.75" hidden="1" customHeight="1">
      <c r="A1158" s="319"/>
      <c r="B1158" s="319" t="str">
        <f>Language!C1959</f>
        <v>Escola - com chuveiros</v>
      </c>
      <c r="C1158" s="319" t="str">
        <f>C1157</f>
        <v>Estudante</v>
      </c>
      <c r="D1158" s="319">
        <v>6.8</v>
      </c>
      <c r="E1158" s="319"/>
      <c r="F1158" s="319"/>
      <c r="G1158" s="319"/>
      <c r="H1158" s="319"/>
      <c r="I1158" s="319"/>
      <c r="J1158" s="319"/>
      <c r="K1158" s="319"/>
      <c r="L1158" s="319"/>
      <c r="M1158" s="319"/>
      <c r="N1158" s="319"/>
      <c r="O1158" s="319"/>
      <c r="P1158" s="319"/>
      <c r="Q1158" s="319"/>
      <c r="R1158" s="319"/>
      <c r="S1158" s="319"/>
      <c r="T1158" s="319"/>
      <c r="U1158" s="319"/>
      <c r="V1158" s="319"/>
      <c r="W1158" s="319"/>
      <c r="X1158" s="319"/>
      <c r="Y1158" s="319"/>
      <c r="Z1158" s="319"/>
      <c r="AA1158" s="319"/>
      <c r="AB1158" s="319"/>
      <c r="AC1158" s="319"/>
      <c r="AD1158" s="319"/>
      <c r="AE1158" s="319"/>
      <c r="AF1158" s="319"/>
      <c r="AG1158" s="319"/>
      <c r="AH1158" s="319"/>
      <c r="AI1158" s="319"/>
      <c r="AJ1158" s="319"/>
      <c r="AK1158" s="319"/>
      <c r="AL1158" s="319"/>
      <c r="AM1158" s="319"/>
      <c r="AN1158" s="319"/>
      <c r="AO1158" s="319"/>
      <c r="AP1158" s="319"/>
      <c r="AQ1158" s="319"/>
      <c r="AR1158" s="319"/>
      <c r="AS1158" s="319"/>
      <c r="AT1158" s="319"/>
      <c r="AU1158" s="319"/>
      <c r="AV1158" s="319"/>
      <c r="AW1158" s="319"/>
      <c r="AX1158" s="319"/>
      <c r="AY1158" s="319"/>
      <c r="AZ1158" s="319"/>
      <c r="BA1158" s="319"/>
      <c r="BB1158" s="319"/>
      <c r="BC1158" s="319"/>
      <c r="BD1158" s="319"/>
      <c r="BE1158" s="319"/>
      <c r="BF1158" s="319"/>
      <c r="BG1158" s="319"/>
      <c r="BH1158" s="319"/>
      <c r="BI1158" s="319"/>
      <c r="BJ1158" s="319"/>
      <c r="BK1158" s="319"/>
      <c r="BL1158" s="319"/>
      <c r="BM1158" s="319"/>
      <c r="BN1158" s="319"/>
      <c r="BO1158" s="319"/>
      <c r="BP1158" s="319"/>
      <c r="BQ1158" s="319"/>
      <c r="BR1158" s="319"/>
      <c r="BS1158" s="319"/>
      <c r="BT1158" s="319"/>
      <c r="BU1158" s="319"/>
      <c r="BV1158" s="319"/>
      <c r="BW1158" s="319"/>
      <c r="BX1158" s="319"/>
      <c r="BY1158" s="319"/>
      <c r="BZ1158" s="319"/>
      <c r="CA1158" s="319"/>
      <c r="CB1158" s="319"/>
      <c r="CC1158" s="319"/>
      <c r="CD1158" s="319"/>
      <c r="CE1158" s="319"/>
      <c r="CF1158" s="319"/>
      <c r="CG1158" s="319"/>
      <c r="CH1158" s="319"/>
      <c r="CI1158" s="319"/>
      <c r="CJ1158" s="319"/>
      <c r="CK1158" s="319"/>
    </row>
    <row r="1159" spans="1:89" ht="12.75" hidden="1" customHeight="1">
      <c r="A1159" s="319"/>
      <c r="B1159" s="319" t="str">
        <f>Language!C1772</f>
        <v>Lavanderia</v>
      </c>
      <c r="C1159" s="319" t="str">
        <f>Language!C2066</f>
        <v>Lavador</v>
      </c>
      <c r="D1159" s="319">
        <v>173</v>
      </c>
      <c r="E1159" s="319"/>
      <c r="F1159" s="319"/>
      <c r="G1159" s="319"/>
      <c r="H1159" s="319"/>
      <c r="I1159" s="319"/>
      <c r="J1159" s="319"/>
      <c r="K1159" s="319"/>
      <c r="L1159" s="319"/>
      <c r="M1159" s="319"/>
      <c r="N1159" s="319"/>
      <c r="O1159" s="319"/>
      <c r="P1159" s="319"/>
      <c r="Q1159" s="319"/>
      <c r="R1159" s="319"/>
      <c r="S1159" s="319"/>
      <c r="T1159" s="319"/>
      <c r="U1159" s="319"/>
      <c r="V1159" s="319"/>
      <c r="W1159" s="319"/>
      <c r="X1159" s="319"/>
      <c r="Y1159" s="319"/>
      <c r="Z1159" s="319"/>
      <c r="AA1159" s="319"/>
      <c r="AB1159" s="319"/>
      <c r="AC1159" s="319"/>
      <c r="AD1159" s="319"/>
      <c r="AE1159" s="319"/>
      <c r="AF1159" s="319"/>
      <c r="AG1159" s="319"/>
      <c r="AH1159" s="319"/>
      <c r="AI1159" s="319"/>
      <c r="AJ1159" s="319"/>
      <c r="AK1159" s="319"/>
      <c r="AL1159" s="319"/>
      <c r="AM1159" s="319"/>
      <c r="AN1159" s="319"/>
      <c r="AO1159" s="319"/>
      <c r="AP1159" s="319"/>
      <c r="AQ1159" s="319"/>
      <c r="AR1159" s="319"/>
      <c r="AS1159" s="319"/>
      <c r="AT1159" s="319"/>
      <c r="AU1159" s="319"/>
      <c r="AV1159" s="319"/>
      <c r="AW1159" s="319"/>
      <c r="AX1159" s="319"/>
      <c r="AY1159" s="319"/>
      <c r="AZ1159" s="319"/>
      <c r="BA1159" s="319"/>
      <c r="BB1159" s="319"/>
      <c r="BC1159" s="319"/>
      <c r="BD1159" s="319"/>
      <c r="BE1159" s="319"/>
      <c r="BF1159" s="319"/>
      <c r="BG1159" s="319"/>
      <c r="BH1159" s="319"/>
      <c r="BI1159" s="319"/>
      <c r="BJ1159" s="319"/>
      <c r="BK1159" s="319"/>
      <c r="BL1159" s="319"/>
      <c r="BM1159" s="319"/>
      <c r="BN1159" s="319"/>
      <c r="BO1159" s="319"/>
      <c r="BP1159" s="319"/>
      <c r="BQ1159" s="319"/>
      <c r="BR1159" s="319"/>
      <c r="BS1159" s="319"/>
      <c r="BT1159" s="319"/>
      <c r="BU1159" s="319"/>
      <c r="BV1159" s="319"/>
      <c r="BW1159" s="319"/>
      <c r="BX1159" s="319"/>
      <c r="BY1159" s="319"/>
      <c r="BZ1159" s="319"/>
      <c r="CA1159" s="319"/>
      <c r="CB1159" s="319"/>
      <c r="CC1159" s="319"/>
      <c r="CD1159" s="319"/>
      <c r="CE1159" s="319"/>
      <c r="CF1159" s="319"/>
      <c r="CG1159" s="319"/>
      <c r="CH1159" s="319"/>
      <c r="CI1159" s="319"/>
      <c r="CJ1159" s="319"/>
      <c r="CK1159" s="319"/>
    </row>
    <row r="1160" spans="1:89" ht="12.75" hidden="1" customHeight="1">
      <c r="A1160" s="319"/>
      <c r="B1160" s="319" t="str">
        <f>Language!C1515</f>
        <v>Lava carro</v>
      </c>
      <c r="C1160" s="319" t="str">
        <f>Language!C2194</f>
        <v>Carro/d</v>
      </c>
      <c r="D1160" s="319">
        <v>34</v>
      </c>
      <c r="E1160" s="319"/>
      <c r="F1160" s="319"/>
      <c r="G1160" s="319"/>
      <c r="H1160" s="319"/>
      <c r="I1160" s="319"/>
      <c r="J1160" s="319"/>
      <c r="K1160" s="319"/>
      <c r="L1160" s="319"/>
      <c r="M1160" s="319"/>
      <c r="N1160" s="319"/>
      <c r="O1160" s="319"/>
      <c r="P1160" s="319"/>
      <c r="Q1160" s="319"/>
      <c r="R1160" s="319"/>
      <c r="S1160" s="319"/>
      <c r="T1160" s="319"/>
      <c r="U1160" s="319"/>
      <c r="V1160" s="319"/>
      <c r="W1160" s="319"/>
      <c r="X1160" s="319"/>
      <c r="Y1160" s="319"/>
      <c r="Z1160" s="319"/>
      <c r="AA1160" s="319"/>
      <c r="AB1160" s="319"/>
      <c r="AC1160" s="319"/>
      <c r="AD1160" s="319"/>
      <c r="AE1160" s="319"/>
      <c r="AF1160" s="319"/>
      <c r="AG1160" s="319"/>
      <c r="AH1160" s="319"/>
      <c r="AI1160" s="319"/>
      <c r="AJ1160" s="319"/>
      <c r="AK1160" s="319"/>
      <c r="AL1160" s="319"/>
      <c r="AM1160" s="319"/>
      <c r="AN1160" s="319"/>
      <c r="AO1160" s="319"/>
      <c r="AP1160" s="319"/>
      <c r="AQ1160" s="319"/>
      <c r="AR1160" s="319"/>
      <c r="AS1160" s="319"/>
      <c r="AT1160" s="319"/>
      <c r="AU1160" s="319"/>
      <c r="AV1160" s="319"/>
      <c r="AW1160" s="319"/>
      <c r="AX1160" s="319"/>
      <c r="AY1160" s="319"/>
      <c r="AZ1160" s="319"/>
      <c r="BA1160" s="319"/>
      <c r="BB1160" s="319"/>
      <c r="BC1160" s="319"/>
      <c r="BD1160" s="319"/>
      <c r="BE1160" s="319"/>
      <c r="BF1160" s="319"/>
      <c r="BG1160" s="319"/>
      <c r="BH1160" s="319"/>
      <c r="BI1160" s="319"/>
      <c r="BJ1160" s="319"/>
      <c r="BK1160" s="319"/>
      <c r="BL1160" s="319"/>
      <c r="BM1160" s="319"/>
      <c r="BN1160" s="319"/>
      <c r="BO1160" s="319"/>
      <c r="BP1160" s="319"/>
      <c r="BQ1160" s="319"/>
      <c r="BR1160" s="319"/>
      <c r="BS1160" s="319"/>
      <c r="BT1160" s="319"/>
      <c r="BU1160" s="319"/>
      <c r="BV1160" s="319"/>
      <c r="BW1160" s="319"/>
      <c r="BX1160" s="319"/>
      <c r="BY1160" s="319"/>
      <c r="BZ1160" s="319"/>
      <c r="CA1160" s="319"/>
      <c r="CB1160" s="319"/>
      <c r="CC1160" s="319"/>
      <c r="CD1160" s="319"/>
      <c r="CE1160" s="319"/>
      <c r="CF1160" s="319"/>
      <c r="CG1160" s="319"/>
      <c r="CH1160" s="319"/>
      <c r="CI1160" s="319"/>
      <c r="CJ1160" s="319"/>
      <c r="CK1160" s="319"/>
    </row>
    <row r="1161" spans="1:89" ht="12.75" hidden="1" customHeight="1">
      <c r="A1161" s="319"/>
      <c r="B1161" s="319" t="str">
        <f>B1170</f>
        <v>Industrial</v>
      </c>
      <c r="C1161" s="319" t="s">
        <v>637</v>
      </c>
      <c r="D1161" s="319"/>
      <c r="E1161" s="319"/>
      <c r="F1161" s="319"/>
      <c r="G1161" s="319"/>
      <c r="H1161" s="319"/>
      <c r="I1161" s="319"/>
      <c r="J1161" s="319"/>
      <c r="K1161" s="319"/>
      <c r="L1161" s="319"/>
      <c r="M1161" s="319"/>
      <c r="N1161" s="319"/>
      <c r="O1161" s="319"/>
      <c r="P1161" s="319"/>
      <c r="Q1161" s="319"/>
      <c r="R1161" s="319"/>
      <c r="S1161" s="319"/>
      <c r="T1161" s="319"/>
      <c r="U1161" s="319"/>
      <c r="V1161" s="319"/>
      <c r="W1161" s="319"/>
      <c r="X1161" s="319"/>
      <c r="Y1161" s="319"/>
      <c r="Z1161" s="319"/>
      <c r="AA1161" s="319"/>
      <c r="AB1161" s="319"/>
      <c r="AC1161" s="319"/>
      <c r="AD1161" s="319"/>
      <c r="AE1161" s="319"/>
      <c r="AF1161" s="319"/>
      <c r="AG1161" s="319"/>
      <c r="AH1161" s="319"/>
      <c r="AI1161" s="319"/>
      <c r="AJ1161" s="319"/>
      <c r="AK1161" s="319"/>
      <c r="AL1161" s="319"/>
      <c r="AM1161" s="319"/>
      <c r="AN1161" s="319"/>
      <c r="AO1161" s="319"/>
      <c r="AP1161" s="319"/>
      <c r="AQ1161" s="319"/>
      <c r="AR1161" s="319"/>
      <c r="AS1161" s="319"/>
      <c r="AT1161" s="319"/>
      <c r="AU1161" s="319"/>
      <c r="AV1161" s="319"/>
      <c r="AW1161" s="319"/>
      <c r="AX1161" s="319"/>
      <c r="AY1161" s="319"/>
      <c r="AZ1161" s="319"/>
      <c r="BA1161" s="319"/>
      <c r="BB1161" s="319"/>
      <c r="BC1161" s="319"/>
      <c r="BD1161" s="319"/>
      <c r="BE1161" s="319"/>
      <c r="BF1161" s="319"/>
      <c r="BG1161" s="319"/>
      <c r="BH1161" s="319"/>
      <c r="BI1161" s="319"/>
      <c r="BJ1161" s="319"/>
      <c r="BK1161" s="319"/>
      <c r="BL1161" s="319"/>
      <c r="BM1161" s="319"/>
      <c r="BN1161" s="319"/>
      <c r="BO1161" s="319"/>
      <c r="BP1161" s="319"/>
      <c r="BQ1161" s="319"/>
      <c r="BR1161" s="319"/>
      <c r="BS1161" s="319"/>
      <c r="BT1161" s="319"/>
      <c r="BU1161" s="319"/>
      <c r="BV1161" s="319"/>
      <c r="BW1161" s="319"/>
      <c r="BX1161" s="319"/>
      <c r="BY1161" s="319"/>
      <c r="BZ1161" s="319"/>
      <c r="CA1161" s="319"/>
      <c r="CB1161" s="319"/>
      <c r="CC1161" s="319"/>
      <c r="CD1161" s="319"/>
      <c r="CE1161" s="319"/>
      <c r="CF1161" s="319"/>
      <c r="CG1161" s="319"/>
      <c r="CH1161" s="319"/>
      <c r="CI1161" s="319"/>
      <c r="CJ1161" s="319"/>
      <c r="CK1161" s="319"/>
    </row>
    <row r="1162" spans="1:89" ht="12.75" hidden="1" customHeight="1">
      <c r="A1162" s="319"/>
      <c r="B1162" s="319" t="str">
        <f>Language!C1485</f>
        <v>Agricultura</v>
      </c>
      <c r="C1162" s="319" t="s">
        <v>637</v>
      </c>
      <c r="D1162" s="319"/>
      <c r="E1162" s="319"/>
      <c r="F1162" s="319"/>
      <c r="G1162" s="319"/>
      <c r="H1162" s="319"/>
      <c r="I1162" s="319"/>
      <c r="J1162" s="481" t="str">
        <f>J1190</f>
        <v>m²</v>
      </c>
      <c r="K1162" s="319"/>
      <c r="L1162" s="319"/>
      <c r="M1162" s="319"/>
      <c r="N1162" s="319"/>
      <c r="O1162" s="319"/>
      <c r="P1162" s="319"/>
      <c r="Q1162" s="319"/>
      <c r="R1162" s="319"/>
      <c r="S1162" s="319"/>
      <c r="T1162" s="319"/>
      <c r="U1162" s="319"/>
      <c r="V1162" s="319"/>
      <c r="W1162" s="319"/>
      <c r="X1162" s="319"/>
      <c r="Y1162" s="319"/>
      <c r="Z1162" s="319"/>
      <c r="AA1162" s="319"/>
      <c r="AB1162" s="319"/>
      <c r="AC1162" s="319"/>
      <c r="AD1162" s="319"/>
      <c r="AE1162" s="319"/>
      <c r="AF1162" s="319"/>
      <c r="AG1162" s="319"/>
      <c r="AH1162" s="319"/>
      <c r="AI1162" s="319"/>
      <c r="AJ1162" s="319"/>
      <c r="AK1162" s="319"/>
      <c r="AL1162" s="319"/>
      <c r="AM1162" s="319"/>
      <c r="AN1162" s="319"/>
      <c r="AO1162" s="319"/>
      <c r="AP1162" s="319"/>
      <c r="AQ1162" s="319"/>
      <c r="AR1162" s="319"/>
      <c r="AS1162" s="319"/>
      <c r="AT1162" s="319"/>
      <c r="AU1162" s="319"/>
      <c r="AV1162" s="319"/>
      <c r="AW1162" s="319"/>
      <c r="AX1162" s="319"/>
      <c r="AY1162" s="319"/>
      <c r="AZ1162" s="319"/>
      <c r="BA1162" s="319"/>
      <c r="BB1162" s="319"/>
      <c r="BC1162" s="319"/>
      <c r="BD1162" s="319"/>
      <c r="BE1162" s="319"/>
      <c r="BF1162" s="319"/>
      <c r="BG1162" s="319"/>
      <c r="BH1162" s="319"/>
      <c r="BI1162" s="319"/>
      <c r="BJ1162" s="319"/>
      <c r="BK1162" s="319"/>
      <c r="BL1162" s="319"/>
      <c r="BM1162" s="319"/>
      <c r="BN1162" s="319"/>
      <c r="BO1162" s="319"/>
      <c r="BP1162" s="319"/>
      <c r="BQ1162" s="319"/>
      <c r="BR1162" s="319"/>
      <c r="BS1162" s="319"/>
      <c r="BT1162" s="319"/>
      <c r="BU1162" s="319"/>
      <c r="BV1162" s="319"/>
      <c r="BW1162" s="319"/>
      <c r="BX1162" s="319"/>
      <c r="BY1162" s="319"/>
      <c r="BZ1162" s="319"/>
      <c r="CA1162" s="319"/>
      <c r="CB1162" s="319"/>
      <c r="CC1162" s="319"/>
      <c r="CD1162" s="319"/>
      <c r="CE1162" s="319"/>
      <c r="CF1162" s="319"/>
      <c r="CG1162" s="319"/>
      <c r="CH1162" s="319"/>
      <c r="CI1162" s="319"/>
      <c r="CJ1162" s="319"/>
      <c r="CK1162" s="319"/>
    </row>
    <row r="1163" spans="1:89" ht="12.75" hidden="1" customHeight="1">
      <c r="A1163" s="319"/>
      <c r="B1163" s="319" t="str">
        <f>Language!C142</f>
        <v>Outro</v>
      </c>
      <c r="C1163" s="319" t="s">
        <v>637</v>
      </c>
      <c r="D1163" s="319"/>
      <c r="E1163" s="319"/>
      <c r="F1163" s="319"/>
      <c r="G1163" s="319"/>
      <c r="H1163" s="319"/>
      <c r="I1163" s="319"/>
      <c r="J1163" s="481" t="str">
        <f>J1191</f>
        <v>pe²</v>
      </c>
      <c r="K1163" s="319"/>
      <c r="L1163" s="319"/>
      <c r="M1163" s="319"/>
      <c r="N1163" s="319"/>
      <c r="O1163" s="319"/>
      <c r="P1163" s="319"/>
      <c r="Q1163" s="319"/>
      <c r="R1163" s="319"/>
      <c r="S1163" s="319"/>
      <c r="T1163" s="319"/>
      <c r="U1163" s="319"/>
      <c r="V1163" s="319"/>
      <c r="W1163" s="319"/>
      <c r="X1163" s="319"/>
      <c r="Y1163" s="319"/>
      <c r="Z1163" s="319"/>
      <c r="AA1163" s="319"/>
      <c r="AB1163" s="319"/>
      <c r="AC1163" s="319"/>
      <c r="AD1163" s="319"/>
      <c r="AE1163" s="319"/>
      <c r="AF1163" s="319"/>
      <c r="AG1163" s="319"/>
      <c r="AH1163" s="319"/>
      <c r="AI1163" s="319"/>
      <c r="AJ1163" s="319"/>
      <c r="AK1163" s="319"/>
      <c r="AL1163" s="319"/>
      <c r="AM1163" s="319"/>
      <c r="AN1163" s="319"/>
      <c r="AO1163" s="319"/>
      <c r="AP1163" s="319"/>
      <c r="AQ1163" s="319"/>
      <c r="AR1163" s="319"/>
      <c r="AS1163" s="319"/>
      <c r="AT1163" s="319"/>
      <c r="AU1163" s="319"/>
      <c r="AV1163" s="319"/>
      <c r="AW1163" s="319"/>
      <c r="AX1163" s="319"/>
      <c r="AY1163" s="319"/>
      <c r="AZ1163" s="319"/>
      <c r="BA1163" s="319"/>
      <c r="BB1163" s="319"/>
      <c r="BC1163" s="319"/>
      <c r="BD1163" s="319"/>
      <c r="BE1163" s="319"/>
      <c r="BF1163" s="319"/>
      <c r="BG1163" s="319"/>
      <c r="BH1163" s="319"/>
      <c r="BI1163" s="319"/>
      <c r="BJ1163" s="319"/>
      <c r="BK1163" s="319"/>
      <c r="BL1163" s="319"/>
      <c r="BM1163" s="319"/>
      <c r="BN1163" s="319"/>
      <c r="BO1163" s="319"/>
      <c r="BP1163" s="319"/>
      <c r="BQ1163" s="319"/>
      <c r="BR1163" s="319"/>
      <c r="BS1163" s="319"/>
      <c r="BT1163" s="319"/>
      <c r="BU1163" s="319"/>
      <c r="BV1163" s="319"/>
      <c r="BW1163" s="319"/>
      <c r="BX1163" s="319"/>
      <c r="BY1163" s="319"/>
      <c r="BZ1163" s="319"/>
      <c r="CA1163" s="319"/>
      <c r="CB1163" s="319"/>
      <c r="CC1163" s="319"/>
      <c r="CD1163" s="319"/>
      <c r="CE1163" s="319"/>
      <c r="CF1163" s="319"/>
      <c r="CG1163" s="319"/>
      <c r="CH1163" s="319"/>
      <c r="CI1163" s="319"/>
      <c r="CJ1163" s="319"/>
      <c r="CK1163" s="319"/>
    </row>
    <row r="1164" spans="1:89" ht="12.75" hidden="1" customHeight="1">
      <c r="A1164" s="319"/>
      <c r="B1164" s="319" t="str">
        <f>I1182</f>
        <v>Sim</v>
      </c>
      <c r="C1164" s="319"/>
      <c r="D1164" s="319"/>
      <c r="E1164" s="319"/>
      <c r="F1164" s="319"/>
      <c r="G1164" s="319"/>
      <c r="H1164" s="319"/>
      <c r="I1164" s="319"/>
      <c r="J1164" t="str">
        <f>Language!$C$1366</f>
        <v>L</v>
      </c>
      <c r="K1164" s="319"/>
      <c r="L1164" s="319"/>
      <c r="M1164" s="319"/>
      <c r="N1164" s="319"/>
      <c r="O1164" s="319"/>
      <c r="P1164" s="319"/>
      <c r="Q1164" s="319"/>
      <c r="R1164" s="319"/>
      <c r="S1164" s="319"/>
      <c r="T1164" s="319"/>
      <c r="U1164" s="319"/>
      <c r="V1164" s="319"/>
      <c r="W1164" s="319"/>
      <c r="X1164" s="319"/>
      <c r="Y1164" s="319"/>
      <c r="Z1164" s="319"/>
      <c r="AA1164" s="319"/>
      <c r="AB1164" s="319"/>
      <c r="AC1164" s="319"/>
      <c r="AD1164" s="319"/>
      <c r="AE1164" s="319"/>
      <c r="AF1164" s="319"/>
      <c r="AG1164" s="319"/>
      <c r="AH1164" s="319"/>
      <c r="AI1164" s="319"/>
      <c r="AJ1164" s="319"/>
      <c r="AK1164" s="319"/>
      <c r="AL1164" s="319"/>
      <c r="AM1164" s="319"/>
      <c r="AN1164" s="319"/>
      <c r="AO1164" s="319"/>
      <c r="AP1164" s="319"/>
      <c r="AQ1164" s="319"/>
      <c r="AR1164" s="319"/>
      <c r="AS1164" s="319"/>
      <c r="AT1164" s="319"/>
      <c r="AU1164" s="319"/>
      <c r="AV1164" s="319"/>
      <c r="AW1164" s="319"/>
      <c r="AX1164" s="319"/>
      <c r="AY1164" s="319"/>
      <c r="AZ1164" s="319"/>
      <c r="BA1164" s="319"/>
      <c r="BB1164" s="319"/>
      <c r="BC1164" s="319"/>
      <c r="BD1164" s="319"/>
      <c r="BE1164" s="319"/>
      <c r="BF1164" s="319"/>
      <c r="BG1164" s="319"/>
      <c r="BH1164" s="319"/>
      <c r="BI1164" s="319"/>
      <c r="BJ1164" s="319"/>
      <c r="BK1164" s="319"/>
      <c r="BL1164" s="319"/>
      <c r="BM1164" s="319"/>
      <c r="BN1164" s="319"/>
      <c r="BO1164" s="319"/>
      <c r="BP1164" s="319"/>
      <c r="BQ1164" s="319"/>
      <c r="BR1164" s="319"/>
      <c r="BS1164" s="319"/>
      <c r="BT1164" s="319"/>
      <c r="BU1164" s="319"/>
      <c r="BV1164" s="319"/>
      <c r="BW1164" s="319"/>
      <c r="BX1164" s="319"/>
      <c r="BY1164" s="319"/>
      <c r="BZ1164" s="319"/>
      <c r="CA1164" s="319"/>
      <c r="CB1164" s="319"/>
      <c r="CC1164" s="319"/>
      <c r="CD1164" s="319"/>
      <c r="CE1164" s="319"/>
      <c r="CF1164" s="319"/>
      <c r="CG1164" s="319"/>
      <c r="CH1164" s="319"/>
      <c r="CI1164" s="319"/>
      <c r="CJ1164" s="319"/>
      <c r="CK1164" s="319"/>
    </row>
    <row r="1165" spans="1:89" ht="12.75" hidden="1" customHeight="1">
      <c r="A1165" s="319"/>
      <c r="B1165" s="319" t="str">
        <f>I1183</f>
        <v>Não</v>
      </c>
      <c r="C1165" s="319"/>
      <c r="D1165" s="319"/>
      <c r="E1165" s="319"/>
      <c r="F1165" s="319"/>
      <c r="G1165" s="319"/>
      <c r="H1165" s="319"/>
      <c r="I1165" s="319"/>
      <c r="J1165" t="str">
        <f>Language!$C$1331</f>
        <v>pe³</v>
      </c>
      <c r="K1165" s="319"/>
      <c r="L1165" s="319"/>
      <c r="M1165" s="319"/>
      <c r="N1165" s="319"/>
      <c r="O1165" s="319"/>
      <c r="P1165" s="319"/>
      <c r="Q1165" s="319"/>
      <c r="R1165" s="319"/>
      <c r="S1165" s="319"/>
      <c r="T1165" s="319"/>
      <c r="U1165" s="319"/>
      <c r="V1165" s="319"/>
      <c r="W1165" s="319"/>
      <c r="X1165" s="319"/>
      <c r="Y1165" s="319"/>
      <c r="Z1165" s="319"/>
      <c r="AA1165" s="319"/>
      <c r="AB1165" s="319"/>
      <c r="AC1165" s="319"/>
      <c r="AD1165" s="319"/>
      <c r="AE1165" s="319"/>
      <c r="AF1165" s="319"/>
      <c r="AG1165" s="319"/>
      <c r="AH1165" s="319"/>
      <c r="AI1165" s="319"/>
      <c r="AJ1165" s="319"/>
      <c r="AK1165" s="319"/>
      <c r="AL1165" s="319"/>
      <c r="AM1165" s="319"/>
      <c r="AN1165" s="319"/>
      <c r="AO1165" s="319"/>
      <c r="AP1165" s="319"/>
      <c r="AQ1165" s="319"/>
      <c r="AR1165" s="319"/>
      <c r="AS1165" s="319"/>
      <c r="AT1165" s="319"/>
      <c r="AU1165" s="319"/>
      <c r="AV1165" s="319"/>
      <c r="AW1165" s="319"/>
      <c r="AX1165" s="319"/>
      <c r="AY1165" s="319"/>
      <c r="AZ1165" s="319"/>
      <c r="BA1165" s="319"/>
      <c r="BB1165" s="319"/>
      <c r="BC1165" s="319"/>
      <c r="BD1165" s="319"/>
      <c r="BE1165" s="319"/>
      <c r="BF1165" s="319"/>
      <c r="BG1165" s="319"/>
      <c r="BH1165" s="319"/>
      <c r="BI1165" s="319"/>
      <c r="BJ1165" s="319"/>
      <c r="BK1165" s="319"/>
      <c r="BL1165" s="319"/>
      <c r="BM1165" s="319"/>
      <c r="BN1165" s="319"/>
      <c r="BO1165" s="319"/>
      <c r="BP1165" s="319"/>
      <c r="BQ1165" s="319"/>
      <c r="BR1165" s="319"/>
      <c r="BS1165" s="319"/>
      <c r="BT1165" s="319"/>
      <c r="BU1165" s="319"/>
      <c r="BV1165" s="319"/>
      <c r="BW1165" s="319"/>
      <c r="BX1165" s="319"/>
      <c r="BY1165" s="319"/>
      <c r="BZ1165" s="319"/>
      <c r="CA1165" s="319"/>
      <c r="CB1165" s="319"/>
      <c r="CC1165" s="319"/>
      <c r="CD1165" s="319"/>
      <c r="CE1165" s="319"/>
      <c r="CF1165" s="319"/>
      <c r="CG1165" s="319"/>
      <c r="CH1165" s="319"/>
      <c r="CI1165" s="319"/>
      <c r="CJ1165" s="319"/>
      <c r="CK1165" s="319"/>
    </row>
    <row r="1166" spans="1:89" ht="12.75" hidden="1" customHeight="1">
      <c r="A1166" s="319"/>
      <c r="B1166" s="319"/>
      <c r="C1166" s="319"/>
      <c r="D1166" s="319"/>
      <c r="E1166" s="319"/>
      <c r="F1166" s="319"/>
      <c r="G1166" s="319"/>
      <c r="H1166" s="319"/>
      <c r="I1166" s="319"/>
      <c r="J1166" t="str">
        <f>Language!C1407</f>
        <v>t</v>
      </c>
      <c r="K1166" s="319"/>
      <c r="L1166" s="319"/>
      <c r="M1166" s="319"/>
      <c r="N1166" s="319"/>
      <c r="O1166" s="319"/>
      <c r="P1166" s="319"/>
      <c r="Q1166" s="319"/>
      <c r="R1166" s="319"/>
      <c r="S1166" s="319"/>
      <c r="T1166" s="319"/>
      <c r="U1166" s="319"/>
      <c r="V1166" s="319"/>
      <c r="W1166" s="319"/>
      <c r="X1166" s="319"/>
      <c r="Y1166" s="319"/>
      <c r="Z1166" s="319"/>
      <c r="AA1166" s="319"/>
      <c r="AB1166" s="319"/>
      <c r="AC1166" s="319"/>
      <c r="AD1166" s="319"/>
      <c r="AE1166" s="319"/>
      <c r="AF1166" s="319"/>
      <c r="AG1166" s="319"/>
      <c r="AH1166" s="319"/>
      <c r="AI1166" s="319"/>
      <c r="AJ1166" s="319"/>
      <c r="AK1166" s="319"/>
      <c r="AL1166" s="319"/>
      <c r="AM1166" s="319"/>
      <c r="AN1166" s="319"/>
      <c r="AO1166" s="319"/>
      <c r="AP1166" s="319"/>
      <c r="AQ1166" s="319"/>
      <c r="AR1166" s="319"/>
      <c r="AS1166" s="319"/>
      <c r="AT1166" s="319"/>
      <c r="AU1166" s="319"/>
      <c r="AV1166" s="319"/>
      <c r="AW1166" s="319"/>
      <c r="AX1166" s="319"/>
      <c r="AY1166" s="319"/>
      <c r="AZ1166" s="319"/>
      <c r="BA1166" s="319"/>
      <c r="BB1166" s="319"/>
      <c r="BC1166" s="319"/>
      <c r="BD1166" s="319"/>
      <c r="BE1166" s="319"/>
      <c r="BF1166" s="319"/>
      <c r="BG1166" s="319"/>
      <c r="BH1166" s="319"/>
      <c r="BI1166" s="319"/>
      <c r="BJ1166" s="319"/>
      <c r="BK1166" s="319"/>
      <c r="BL1166" s="319"/>
      <c r="BM1166" s="319"/>
      <c r="BN1166" s="319"/>
      <c r="BO1166" s="319"/>
      <c r="BP1166" s="319"/>
      <c r="BQ1166" s="319"/>
      <c r="BR1166" s="319"/>
      <c r="BS1166" s="319"/>
      <c r="BT1166" s="319"/>
      <c r="BU1166" s="319"/>
      <c r="BV1166" s="319"/>
      <c r="BW1166" s="319"/>
      <c r="BX1166" s="319"/>
      <c r="BY1166" s="319"/>
      <c r="BZ1166" s="319"/>
      <c r="CA1166" s="319"/>
      <c r="CB1166" s="319"/>
      <c r="CC1166" s="319"/>
      <c r="CD1166" s="319"/>
      <c r="CE1166" s="319"/>
      <c r="CF1166" s="319"/>
      <c r="CG1166" s="319"/>
      <c r="CH1166" s="319"/>
      <c r="CI1166" s="319"/>
      <c r="CJ1166" s="319"/>
      <c r="CK1166" s="319"/>
    </row>
    <row r="1167" spans="1:89" ht="12.75" hidden="1" customHeight="1">
      <c r="A1167" s="319"/>
      <c r="B1167" s="319"/>
      <c r="C1167" s="319"/>
      <c r="D1167" s="319"/>
      <c r="E1167" s="319"/>
      <c r="F1167" s="319"/>
      <c r="G1167" s="319"/>
      <c r="H1167" s="319"/>
      <c r="I1167" s="319"/>
      <c r="J1167" t="str">
        <f>Language!C1367</f>
        <v>lb</v>
      </c>
      <c r="K1167" s="319"/>
      <c r="L1167" s="319"/>
      <c r="M1167" s="319"/>
      <c r="N1167" s="319"/>
      <c r="O1167" s="319"/>
      <c r="P1167" s="319"/>
      <c r="Q1167" s="319"/>
      <c r="R1167" s="319"/>
      <c r="S1167" s="319"/>
      <c r="T1167" s="319"/>
      <c r="U1167" s="319"/>
      <c r="V1167" s="319"/>
      <c r="W1167" s="319"/>
      <c r="X1167" s="319"/>
      <c r="Y1167" s="319"/>
      <c r="Z1167" s="319"/>
      <c r="AA1167" s="319"/>
      <c r="AB1167" s="319"/>
      <c r="AC1167" s="319"/>
      <c r="AD1167" s="319"/>
      <c r="AE1167" s="319"/>
      <c r="AF1167" s="319"/>
      <c r="AG1167" s="319"/>
      <c r="AH1167" s="319"/>
      <c r="AI1167" s="319"/>
      <c r="AJ1167" s="319"/>
      <c r="AK1167" s="319"/>
      <c r="AL1167" s="319"/>
      <c r="AM1167" s="319"/>
      <c r="AN1167" s="319"/>
      <c r="AO1167" s="319"/>
      <c r="AP1167" s="319"/>
      <c r="AQ1167" s="319"/>
      <c r="AR1167" s="319"/>
      <c r="AS1167" s="319"/>
      <c r="AT1167" s="319"/>
      <c r="AU1167" s="319"/>
      <c r="AV1167" s="319"/>
      <c r="AW1167" s="319"/>
      <c r="AX1167" s="319"/>
      <c r="AY1167" s="319"/>
      <c r="AZ1167" s="319"/>
      <c r="BA1167" s="319"/>
      <c r="BB1167" s="319"/>
      <c r="BC1167" s="319"/>
      <c r="BD1167" s="319"/>
      <c r="BE1167" s="319"/>
      <c r="BF1167" s="319"/>
      <c r="BG1167" s="319"/>
      <c r="BH1167" s="319"/>
      <c r="BI1167" s="319"/>
      <c r="BJ1167" s="319"/>
      <c r="BK1167" s="319"/>
      <c r="BL1167" s="319"/>
      <c r="BM1167" s="319"/>
      <c r="BN1167" s="319"/>
      <c r="BO1167" s="319"/>
      <c r="BP1167" s="319"/>
      <c r="BQ1167" s="319"/>
      <c r="BR1167" s="319"/>
      <c r="BS1167" s="319"/>
      <c r="BT1167" s="319"/>
      <c r="BU1167" s="319"/>
      <c r="BV1167" s="319"/>
      <c r="BW1167" s="319"/>
      <c r="BX1167" s="319"/>
      <c r="BY1167" s="319"/>
      <c r="BZ1167" s="319"/>
      <c r="CA1167" s="319"/>
      <c r="CB1167" s="319"/>
      <c r="CC1167" s="319"/>
      <c r="CD1167" s="319"/>
      <c r="CE1167" s="319"/>
      <c r="CF1167" s="319"/>
      <c r="CG1167" s="319"/>
      <c r="CH1167" s="319"/>
      <c r="CI1167" s="319"/>
      <c r="CJ1167" s="319"/>
      <c r="CK1167" s="319"/>
    </row>
    <row r="1168" spans="1:89" ht="12.75" hidden="1" customHeight="1">
      <c r="A1168" s="319"/>
      <c r="B1168" s="319" t="str">
        <f>Language!C1937</f>
        <v>Residencial</v>
      </c>
      <c r="C1168" s="319" t="str">
        <f>Language!C1572</f>
        <v>Secagem da colheita</v>
      </c>
      <c r="D1168" s="319" t="str">
        <f>Language!C1584</f>
        <v>CC</v>
      </c>
      <c r="E1168" s="319" t="str">
        <f>Language!C1828</f>
        <v>Negativo</v>
      </c>
      <c r="F1168" s="319" t="str">
        <f>Language!C1414</f>
        <v>W</v>
      </c>
      <c r="G1168" s="319"/>
      <c r="H1168" s="319" t="s">
        <v>2506</v>
      </c>
      <c r="I1168" t="str">
        <f>Language!C2058</f>
        <v>Sem revestimento</v>
      </c>
      <c r="J1168" s="481" t="str">
        <f>Language!$C$1503</f>
        <v>Cama</v>
      </c>
      <c r="L1168" s="319"/>
      <c r="M1168" s="319"/>
      <c r="N1168" s="319"/>
      <c r="O1168" s="319"/>
      <c r="P1168" s="319"/>
      <c r="Q1168" s="319"/>
      <c r="R1168" s="319"/>
      <c r="S1168" s="319"/>
      <c r="T1168" s="319"/>
      <c r="U1168" s="319"/>
      <c r="V1168" s="319"/>
      <c r="W1168" s="319"/>
      <c r="X1168" s="319"/>
      <c r="Y1168" s="319"/>
      <c r="Z1168" s="319"/>
      <c r="AA1168" s="319"/>
      <c r="AB1168" s="319"/>
      <c r="AC1168" s="319"/>
      <c r="AD1168" s="319"/>
      <c r="AE1168" s="319"/>
      <c r="AF1168" s="319"/>
      <c r="AG1168" s="319"/>
      <c r="AH1168" s="319"/>
      <c r="AI1168" s="319"/>
      <c r="AJ1168" s="319"/>
      <c r="AK1168" s="319"/>
      <c r="AL1168" s="319"/>
      <c r="AM1168" s="319"/>
      <c r="AN1168" s="319"/>
      <c r="AO1168" s="319"/>
      <c r="AP1168" s="319"/>
      <c r="AQ1168" s="319"/>
      <c r="AR1168" s="319"/>
      <c r="AS1168" s="319"/>
      <c r="AT1168" s="319"/>
      <c r="AU1168" s="319"/>
      <c r="AV1168" s="319"/>
      <c r="AW1168" s="319"/>
      <c r="AX1168" s="319"/>
      <c r="AY1168" s="319"/>
      <c r="AZ1168" s="319"/>
      <c r="BA1168" s="319"/>
      <c r="BB1168" s="319"/>
      <c r="BC1168" s="319"/>
      <c r="BD1168" s="319"/>
      <c r="BE1168" s="319"/>
      <c r="BF1168" s="319"/>
      <c r="BG1168" s="319"/>
      <c r="BH1168" s="319"/>
      <c r="BI1168" s="319"/>
      <c r="BJ1168" s="319"/>
      <c r="BK1168" s="319"/>
      <c r="BL1168" s="319"/>
      <c r="BM1168" s="319"/>
      <c r="BN1168" s="319"/>
      <c r="BO1168" s="319"/>
      <c r="BP1168" s="319"/>
      <c r="BQ1168" s="319"/>
      <c r="BR1168" s="319"/>
      <c r="BS1168" s="319"/>
      <c r="BT1168" s="319"/>
      <c r="BU1168" s="319"/>
      <c r="BV1168" s="319"/>
      <c r="BW1168" s="319"/>
      <c r="BX1168" s="319"/>
      <c r="BY1168" s="319"/>
      <c r="BZ1168" s="319"/>
      <c r="CA1168" s="319"/>
      <c r="CB1168" s="319"/>
      <c r="CC1168" s="319"/>
      <c r="CD1168" s="319"/>
      <c r="CE1168" s="319"/>
      <c r="CF1168" s="319"/>
      <c r="CG1168" s="319"/>
      <c r="CH1168" s="319"/>
      <c r="CI1168" s="319"/>
      <c r="CJ1168" s="319"/>
      <c r="CK1168" s="319"/>
    </row>
    <row r="1169" spans="1:89" ht="12.75" hidden="1" customHeight="1">
      <c r="A1169" s="319"/>
      <c r="B1169" s="319" t="str">
        <f>Language!C1551</f>
        <v>Comercial</v>
      </c>
      <c r="C1169" s="319" t="str">
        <f>Language!C1549</f>
        <v>Ar de combustão</v>
      </c>
      <c r="D1169" s="319" t="str">
        <f>Language!C1458</f>
        <v>CA</v>
      </c>
      <c r="E1169" s="319" t="str">
        <f>Language!C2098</f>
        <v>Zero</v>
      </c>
      <c r="F1169" s="319" t="str">
        <f>Language!C1364</f>
        <v>kW</v>
      </c>
      <c r="G1169" s="319">
        <v>1</v>
      </c>
      <c r="H1169" s="319" t="s">
        <v>726</v>
      </c>
      <c r="I1169" t="str">
        <f>Language!C1697</f>
        <v>Vitrificado</v>
      </c>
      <c r="J1169" s="481" t="str">
        <f>Language!$C$1945</f>
        <v>Local</v>
      </c>
      <c r="L1169" s="319"/>
      <c r="M1169" s="319"/>
      <c r="N1169" s="319"/>
      <c r="O1169" s="319"/>
      <c r="P1169" s="319"/>
      <c r="Q1169" s="319"/>
      <c r="R1169" s="319"/>
      <c r="S1169" s="319"/>
      <c r="T1169" s="319"/>
      <c r="U1169" s="319"/>
      <c r="V1169" s="319"/>
      <c r="W1169" s="319"/>
      <c r="X1169" s="319"/>
      <c r="Y1169" s="319"/>
      <c r="Z1169" s="319"/>
      <c r="AA1169" s="319"/>
      <c r="AB1169" s="319"/>
      <c r="AC1169" s="319"/>
      <c r="AD1169" s="319"/>
      <c r="AE1169" s="319"/>
      <c r="AF1169" s="319"/>
      <c r="AG1169" s="319"/>
      <c r="AH1169" s="319"/>
      <c r="AI1169" s="319"/>
      <c r="AJ1169" s="319"/>
      <c r="AK1169" s="319"/>
      <c r="AL1169" s="319"/>
      <c r="AM1169" s="319"/>
      <c r="AN1169" s="319"/>
      <c r="AO1169" s="319"/>
      <c r="AP1169" s="319"/>
      <c r="AQ1169" s="319"/>
      <c r="AR1169" s="319"/>
      <c r="AS1169" s="319"/>
      <c r="AT1169" s="319"/>
      <c r="AU1169" s="319"/>
      <c r="AV1169" s="319"/>
      <c r="AW1169" s="319"/>
      <c r="AX1169" s="319"/>
      <c r="AY1169" s="319"/>
      <c r="AZ1169" s="319"/>
      <c r="BA1169" s="319"/>
      <c r="BB1169" s="319"/>
      <c r="BC1169" s="319"/>
      <c r="BD1169" s="319"/>
      <c r="BE1169" s="319"/>
      <c r="BF1169" s="319"/>
      <c r="BG1169" s="319"/>
      <c r="BH1169" s="319"/>
      <c r="BI1169" s="319"/>
      <c r="BJ1169" s="319"/>
      <c r="BK1169" s="319"/>
      <c r="BL1169" s="319"/>
      <c r="BM1169" s="319"/>
      <c r="BN1169" s="319"/>
      <c r="BO1169" s="319"/>
      <c r="BP1169" s="319"/>
      <c r="BQ1169" s="319"/>
      <c r="BR1169" s="319"/>
      <c r="BS1169" s="319"/>
      <c r="BT1169" s="319"/>
      <c r="BU1169" s="319"/>
      <c r="BV1169" s="319"/>
      <c r="BW1169" s="319"/>
      <c r="BX1169" s="319"/>
      <c r="BY1169" s="319"/>
      <c r="BZ1169" s="319"/>
      <c r="CA1169" s="319"/>
      <c r="CB1169" s="319"/>
      <c r="CC1169" s="319"/>
      <c r="CD1169" s="319"/>
      <c r="CE1169" s="319"/>
      <c r="CF1169" s="319"/>
      <c r="CG1169" s="319"/>
      <c r="CH1169" s="319"/>
      <c r="CI1169" s="319"/>
      <c r="CJ1169" s="319"/>
      <c r="CK1169" s="319"/>
    </row>
    <row r="1170" spans="1:89" ht="12.75" hidden="1" customHeight="1">
      <c r="A1170" s="319"/>
      <c r="B1170" s="319" t="str">
        <f>Language!C1752</f>
        <v>Industrial</v>
      </c>
      <c r="C1170" s="319" t="str">
        <f>$B$1163</f>
        <v>Outro</v>
      </c>
      <c r="D1170" s="319"/>
      <c r="E1170" s="319" t="str">
        <f>Language!C1895</f>
        <v>Positivo</v>
      </c>
      <c r="F1170" s="319" t="str">
        <f>Language!C1383</f>
        <v>milhão Btu/h</v>
      </c>
      <c r="G1170" s="319">
        <v>293.07107017222216</v>
      </c>
      <c r="H1170" s="319" t="s">
        <v>3442</v>
      </c>
      <c r="I1170" s="319" t="str">
        <f>Language!C2038</f>
        <v>Placa porosa</v>
      </c>
      <c r="J1170" s="481" t="str">
        <f>Language!$C$1882</f>
        <v>Pessoa</v>
      </c>
      <c r="K1170" s="319"/>
      <c r="L1170" s="319"/>
      <c r="M1170" s="319"/>
      <c r="N1170" s="319"/>
      <c r="O1170" s="319"/>
      <c r="P1170" s="319"/>
      <c r="Q1170" s="319"/>
      <c r="R1170" s="319"/>
      <c r="S1170" s="319"/>
      <c r="T1170" s="319"/>
      <c r="U1170" s="319"/>
      <c r="V1170" s="319"/>
      <c r="W1170" s="319"/>
      <c r="X1170" s="319"/>
      <c r="Y1170" s="319"/>
      <c r="Z1170" s="319"/>
      <c r="AA1170" s="319"/>
      <c r="AB1170" s="319"/>
      <c r="AC1170" s="319"/>
      <c r="AD1170" s="319"/>
      <c r="AE1170" s="319"/>
      <c r="AF1170" s="319"/>
      <c r="AG1170" s="319"/>
      <c r="AH1170" s="319"/>
      <c r="AI1170" s="319"/>
      <c r="AJ1170" s="319"/>
      <c r="AK1170" s="319"/>
      <c r="AL1170" s="319"/>
      <c r="AM1170" s="319"/>
      <c r="AN1170" s="319"/>
      <c r="AO1170" s="319"/>
      <c r="AP1170" s="319"/>
      <c r="AQ1170" s="319"/>
      <c r="AR1170" s="319"/>
      <c r="AS1170" s="319"/>
      <c r="AT1170" s="319"/>
      <c r="AU1170" s="319"/>
      <c r="AV1170" s="319"/>
      <c r="AW1170" s="319"/>
      <c r="AX1170" s="319"/>
      <c r="AY1170" s="319"/>
      <c r="AZ1170" s="319"/>
      <c r="BA1170" s="319"/>
      <c r="BB1170" s="319"/>
      <c r="BC1170" s="319"/>
      <c r="BD1170" s="319"/>
      <c r="BE1170" s="319"/>
      <c r="BF1170" s="319"/>
      <c r="BG1170" s="319"/>
      <c r="BH1170" s="319"/>
      <c r="BI1170" s="319"/>
      <c r="BJ1170" s="319"/>
      <c r="BK1170" s="319"/>
      <c r="BL1170" s="319"/>
      <c r="BM1170" s="319"/>
      <c r="BN1170" s="319"/>
      <c r="BO1170" s="319"/>
      <c r="BP1170" s="319"/>
      <c r="BQ1170" s="319"/>
      <c r="BR1170" s="319"/>
      <c r="BS1170" s="319"/>
      <c r="BT1170" s="319"/>
      <c r="BU1170" s="319"/>
      <c r="BV1170" s="319"/>
      <c r="BW1170" s="319"/>
      <c r="BX1170" s="319"/>
      <c r="BY1170" s="319"/>
      <c r="BZ1170" s="319"/>
      <c r="CA1170" s="319"/>
      <c r="CB1170" s="319"/>
      <c r="CC1170" s="319"/>
      <c r="CD1170" s="319"/>
      <c r="CE1170" s="319"/>
      <c r="CF1170" s="319"/>
      <c r="CG1170" s="319"/>
      <c r="CH1170" s="319"/>
      <c r="CI1170" s="319"/>
      <c r="CJ1170" s="319"/>
      <c r="CK1170" s="319"/>
    </row>
    <row r="1171" spans="1:89" ht="12.75" hidden="1" customHeight="1">
      <c r="A1171" s="319"/>
      <c r="B1171" s="319" t="str">
        <f>Language!C1755</f>
        <v>Institucional</v>
      </c>
      <c r="C1171" s="319"/>
      <c r="D1171" s="319"/>
      <c r="E1171" s="319"/>
      <c r="F1171" s="319"/>
      <c r="G1171" s="319"/>
      <c r="H1171" s="319"/>
      <c r="I1171" s="319" t="str">
        <f>J1155</f>
        <v>Outro</v>
      </c>
      <c r="J1171" s="319" t="str">
        <f>Language!$C$40872</f>
        <v>Domésticos</v>
      </c>
      <c r="K1171" s="319"/>
      <c r="L1171" s="319"/>
      <c r="M1171" s="319"/>
      <c r="N1171" s="319"/>
      <c r="O1171" s="319"/>
      <c r="P1171" s="319"/>
      <c r="Q1171" s="319"/>
      <c r="R1171" s="319"/>
      <c r="S1171" s="319"/>
      <c r="T1171" s="319"/>
      <c r="U1171" s="319"/>
      <c r="V1171" s="319"/>
      <c r="W1171" s="319"/>
      <c r="X1171" s="319"/>
      <c r="Y1171" s="319"/>
      <c r="Z1171" s="319"/>
      <c r="AA1171" s="319"/>
      <c r="AB1171" s="319"/>
      <c r="AC1171" s="319"/>
      <c r="AD1171" s="319"/>
      <c r="AE1171" s="319"/>
      <c r="AF1171" s="319"/>
      <c r="AG1171" s="319"/>
      <c r="AH1171" s="319"/>
      <c r="AI1171" s="319"/>
      <c r="AJ1171" s="319"/>
      <c r="AK1171" s="319"/>
      <c r="AL1171" s="319"/>
      <c r="AM1171" s="319"/>
      <c r="AN1171" s="319"/>
      <c r="AO1171" s="319"/>
      <c r="AP1171" s="319"/>
      <c r="AQ1171" s="319"/>
      <c r="AR1171" s="319"/>
      <c r="AS1171" s="319"/>
      <c r="AT1171" s="319"/>
      <c r="AU1171" s="319"/>
      <c r="AV1171" s="319"/>
      <c r="AW1171" s="319"/>
      <c r="AX1171" s="319"/>
      <c r="AY1171" s="319"/>
      <c r="AZ1171" s="319"/>
      <c r="BA1171" s="319"/>
      <c r="BB1171" s="319"/>
      <c r="BC1171" s="319"/>
      <c r="BD1171" s="319"/>
      <c r="BE1171" s="319"/>
      <c r="BF1171" s="319"/>
      <c r="BG1171" s="319"/>
      <c r="BH1171" s="319"/>
      <c r="BI1171" s="319"/>
      <c r="BJ1171" s="319"/>
      <c r="BK1171" s="319"/>
      <c r="BL1171" s="319"/>
      <c r="BM1171" s="319"/>
      <c r="BN1171" s="319"/>
      <c r="BO1171" s="319"/>
      <c r="BP1171" s="319"/>
      <c r="BQ1171" s="319"/>
      <c r="BR1171" s="319"/>
      <c r="BS1171" s="319"/>
      <c r="BT1171" s="319"/>
      <c r="BU1171" s="319"/>
      <c r="BV1171" s="319"/>
      <c r="BW1171" s="319"/>
      <c r="BX1171" s="319"/>
      <c r="BY1171" s="319"/>
      <c r="BZ1171" s="319"/>
      <c r="CA1171" s="319"/>
      <c r="CB1171" s="319"/>
      <c r="CC1171" s="319"/>
      <c r="CD1171" s="319"/>
      <c r="CE1171" s="319"/>
      <c r="CF1171" s="319"/>
      <c r="CG1171" s="319"/>
      <c r="CH1171" s="319"/>
      <c r="CI1171" s="319"/>
      <c r="CJ1171" s="319"/>
      <c r="CK1171" s="319"/>
    </row>
    <row r="1172" spans="1:89" ht="12.75" hidden="1" customHeight="1">
      <c r="A1172" s="319"/>
      <c r="B1172" s="319" t="str">
        <f>$B$1163</f>
        <v>Outro</v>
      </c>
      <c r="C1172" s="556"/>
      <c r="D1172" s="556"/>
      <c r="E1172" s="556"/>
      <c r="F1172" s="319"/>
      <c r="G1172" s="319" t="str">
        <f>Language!C2251</f>
        <v>s/m</v>
      </c>
      <c r="H1172" s="319"/>
      <c r="I1172" s="319"/>
      <c r="J1172" s="319" t="str">
        <f>Language!$C$42551</f>
        <v>Funcionário</v>
      </c>
      <c r="K1172" s="319"/>
      <c r="L1172" s="319"/>
      <c r="M1172" s="319"/>
      <c r="N1172" s="319"/>
      <c r="O1172" s="319"/>
      <c r="P1172" s="319"/>
      <c r="Q1172" s="319"/>
      <c r="R1172" s="319"/>
      <c r="S1172" s="319"/>
      <c r="T1172" s="319"/>
      <c r="U1172" s="319"/>
      <c r="V1172" s="319"/>
      <c r="W1172" s="319"/>
      <c r="X1172" s="319"/>
      <c r="Y1172" s="319"/>
      <c r="Z1172" s="319"/>
      <c r="AA1172" s="319"/>
      <c r="AB1172" s="319"/>
      <c r="AC1172" s="319"/>
      <c r="AD1172" s="319"/>
      <c r="AE1172" s="319"/>
      <c r="AF1172" s="319"/>
      <c r="AG1172" s="319"/>
      <c r="AH1172" s="319"/>
      <c r="AI1172" s="319"/>
      <c r="AJ1172" s="319"/>
      <c r="AK1172" s="319"/>
      <c r="AL1172" s="319"/>
      <c r="AM1172" s="319"/>
      <c r="AN1172" s="319"/>
      <c r="AO1172" s="319"/>
      <c r="AP1172" s="319"/>
      <c r="AQ1172" s="319"/>
      <c r="AR1172" s="319"/>
      <c r="AS1172" s="319"/>
      <c r="AT1172" s="319"/>
      <c r="AU1172" s="319"/>
      <c r="AV1172" s="319"/>
      <c r="AW1172" s="319"/>
      <c r="AX1172" s="319"/>
      <c r="AY1172" s="319"/>
      <c r="AZ1172" s="319"/>
      <c r="BA1172" s="319"/>
      <c r="BB1172" s="319"/>
      <c r="BC1172" s="319"/>
      <c r="BD1172" s="319"/>
      <c r="BE1172" s="319"/>
      <c r="BF1172" s="319"/>
      <c r="BG1172" s="319"/>
      <c r="BH1172" s="319"/>
      <c r="BI1172" s="319"/>
      <c r="BJ1172" s="319"/>
      <c r="BK1172" s="319"/>
      <c r="BL1172" s="319"/>
      <c r="BM1172" s="319"/>
      <c r="BN1172" s="319"/>
      <c r="BO1172" s="319"/>
      <c r="BP1172" s="319"/>
      <c r="BQ1172" s="319"/>
      <c r="BR1172" s="319"/>
      <c r="BS1172" s="319"/>
      <c r="BT1172" s="319"/>
      <c r="BU1172" s="319"/>
      <c r="BV1172" s="319"/>
      <c r="BW1172" s="319"/>
      <c r="BX1172" s="319"/>
      <c r="BY1172" s="319"/>
      <c r="BZ1172" s="319"/>
      <c r="CA1172" s="319"/>
      <c r="CB1172" s="319"/>
      <c r="CC1172" s="319"/>
      <c r="CD1172" s="319"/>
      <c r="CE1172" s="319"/>
      <c r="CF1172" s="319"/>
      <c r="CG1172" s="319"/>
      <c r="CH1172" s="319"/>
      <c r="CI1172" s="319"/>
      <c r="CJ1172" s="319"/>
      <c r="CK1172" s="319"/>
    </row>
    <row r="1173" spans="1:89" ht="12.75" hidden="1" customHeight="1">
      <c r="A1173" s="319"/>
      <c r="B1173" s="556"/>
      <c r="C1173" s="556"/>
      <c r="D1173" s="556"/>
      <c r="E1173" s="556"/>
      <c r="F1173" s="319"/>
      <c r="G1173" s="481" t="str">
        <f>Language!C2250</f>
        <v>s/pé</v>
      </c>
      <c r="H1173" s="481">
        <v>0.30479999999999996</v>
      </c>
      <c r="I1173" s="319"/>
      <c r="J1173" s="481" t="str">
        <f>$G$1183</f>
        <v>Definido pelo usuário</v>
      </c>
      <c r="K1173" s="319"/>
      <c r="L1173" s="319"/>
      <c r="M1173" s="319"/>
      <c r="N1173" s="319"/>
      <c r="O1173" s="319"/>
      <c r="P1173" s="319"/>
      <c r="Q1173" s="319"/>
      <c r="R1173" s="319"/>
      <c r="S1173" s="319"/>
      <c r="T1173" s="319"/>
      <c r="U1173" s="319"/>
      <c r="V1173" s="319"/>
      <c r="W1173" s="319"/>
      <c r="X1173" s="319"/>
      <c r="Y1173" s="319"/>
      <c r="Z1173" s="319"/>
      <c r="AA1173" s="319"/>
      <c r="AB1173" s="319"/>
      <c r="AC1173" s="319"/>
      <c r="AD1173" s="319"/>
      <c r="AE1173" s="319"/>
      <c r="AF1173" s="319"/>
      <c r="AG1173" s="319"/>
      <c r="AH1173" s="319"/>
      <c r="AI1173" s="319"/>
      <c r="AJ1173" s="319"/>
      <c r="AK1173" s="319"/>
      <c r="AL1173" s="319"/>
      <c r="AM1173" s="319"/>
      <c r="AN1173" s="319"/>
      <c r="AO1173" s="319"/>
      <c r="AP1173" s="319"/>
      <c r="AQ1173" s="319"/>
      <c r="AR1173" s="319"/>
      <c r="AS1173" s="319"/>
      <c r="AT1173" s="319"/>
      <c r="AU1173" s="319"/>
      <c r="AV1173" s="319"/>
      <c r="AW1173" s="319"/>
      <c r="AX1173" s="319"/>
      <c r="AY1173" s="319"/>
      <c r="AZ1173" s="319"/>
      <c r="BA1173" s="319"/>
      <c r="BB1173" s="319"/>
      <c r="BC1173" s="319"/>
      <c r="BD1173" s="319"/>
      <c r="BE1173" s="319"/>
      <c r="BF1173" s="319"/>
      <c r="BG1173" s="319"/>
      <c r="BH1173" s="319"/>
      <c r="BI1173" s="319"/>
      <c r="BJ1173" s="319"/>
      <c r="BK1173" s="319"/>
      <c r="BL1173" s="319"/>
      <c r="BM1173" s="319"/>
      <c r="BN1173" s="319"/>
      <c r="BO1173" s="319"/>
      <c r="BP1173" s="319"/>
      <c r="BQ1173" s="319"/>
      <c r="BR1173" s="319"/>
      <c r="BS1173" s="319"/>
      <c r="BT1173" s="319"/>
      <c r="BU1173" s="319"/>
      <c r="BV1173" s="319"/>
      <c r="BW1173" s="319"/>
      <c r="BX1173" s="319"/>
      <c r="BY1173" s="319"/>
      <c r="BZ1173" s="319"/>
      <c r="CA1173" s="319"/>
      <c r="CB1173" s="319"/>
      <c r="CC1173" s="319"/>
      <c r="CD1173" s="319"/>
      <c r="CE1173" s="319"/>
      <c r="CF1173" s="319"/>
      <c r="CG1173" s="319"/>
      <c r="CH1173" s="319"/>
      <c r="CI1173" s="319"/>
      <c r="CJ1173" s="319"/>
      <c r="CK1173" s="319"/>
    </row>
    <row r="1174" spans="1:89" ht="12.75" hidden="1" customHeight="1">
      <c r="A1174" s="319"/>
      <c r="B1174" s="319" t="str">
        <f>Language!C117</f>
        <v>Padrão</v>
      </c>
      <c r="C1174" s="556" t="str">
        <f>Language!C1361</f>
        <v>kJ/kWh</v>
      </c>
      <c r="D1174" s="556">
        <v>1</v>
      </c>
      <c r="E1174" s="556"/>
      <c r="F1174" s="556" t="str">
        <f>Language!C2174</f>
        <v>+/-°C</v>
      </c>
      <c r="G1174" s="319" t="str">
        <f>Language!C2189</f>
        <v>(W/m²)/°C</v>
      </c>
      <c r="H1174" s="481"/>
      <c r="I1174" s="319"/>
      <c r="J1174" s="319"/>
      <c r="K1174" s="319"/>
      <c r="L1174" s="319"/>
      <c r="M1174" s="319"/>
      <c r="N1174" s="319"/>
      <c r="O1174" s="319"/>
      <c r="P1174" s="319"/>
      <c r="Q1174" s="319"/>
      <c r="R1174" s="319"/>
      <c r="S1174" s="319"/>
      <c r="T1174" s="319"/>
      <c r="U1174" s="319"/>
      <c r="V1174" s="319"/>
      <c r="W1174" s="319"/>
      <c r="X1174" s="319"/>
      <c r="Y1174" s="319"/>
      <c r="Z1174" s="319"/>
      <c r="AA1174" s="319"/>
      <c r="AB1174" s="319"/>
      <c r="AC1174" s="319"/>
      <c r="AD1174" s="319"/>
      <c r="AE1174" s="319"/>
      <c r="AF1174" s="319"/>
      <c r="AG1174" s="319"/>
      <c r="AH1174" s="319"/>
      <c r="AI1174" s="319"/>
      <c r="AJ1174" s="319"/>
      <c r="AK1174" s="319"/>
      <c r="AL1174" s="319"/>
      <c r="AM1174" s="319"/>
      <c r="AN1174" s="319"/>
      <c r="AO1174" s="319"/>
      <c r="AP1174" s="319"/>
      <c r="AQ1174" s="319"/>
      <c r="AR1174" s="319"/>
      <c r="AS1174" s="319"/>
      <c r="AT1174" s="319"/>
      <c r="AU1174" s="319"/>
      <c r="AV1174" s="319"/>
      <c r="AW1174" s="319"/>
      <c r="AX1174" s="319"/>
      <c r="AY1174" s="319"/>
      <c r="AZ1174" s="319"/>
      <c r="BA1174" s="319"/>
      <c r="BB1174" s="319"/>
      <c r="BC1174" s="319"/>
      <c r="BD1174" s="319"/>
      <c r="BE1174" s="319"/>
      <c r="BF1174" s="319"/>
      <c r="BG1174" s="319"/>
      <c r="BH1174" s="319"/>
      <c r="BI1174" s="319"/>
      <c r="BJ1174" s="319"/>
      <c r="BK1174" s="319"/>
      <c r="BL1174" s="319"/>
      <c r="BM1174" s="319"/>
      <c r="BN1174" s="319"/>
      <c r="BO1174" s="319"/>
      <c r="BP1174" s="319"/>
      <c r="BQ1174" s="319"/>
      <c r="BR1174" s="319"/>
      <c r="BS1174" s="319"/>
      <c r="BT1174" s="319"/>
      <c r="BU1174" s="319"/>
      <c r="BV1174" s="319"/>
      <c r="BW1174" s="319"/>
      <c r="BX1174" s="319"/>
      <c r="BY1174" s="319"/>
      <c r="BZ1174" s="319"/>
      <c r="CA1174" s="319"/>
      <c r="CB1174" s="319"/>
      <c r="CC1174" s="319"/>
      <c r="CD1174" s="319"/>
      <c r="CE1174" s="319"/>
      <c r="CF1174" s="319"/>
      <c r="CG1174" s="319"/>
      <c r="CH1174" s="319"/>
      <c r="CI1174" s="319"/>
      <c r="CJ1174" s="319"/>
      <c r="CK1174" s="319"/>
    </row>
    <row r="1175" spans="1:89" ht="12.75" hidden="1" customHeight="1">
      <c r="A1175" s="319"/>
      <c r="B1175" s="319" t="str">
        <f>Language!C163</f>
        <v xml:space="preserve">Padrão </v>
      </c>
      <c r="C1175" s="556" t="str">
        <f>Language!C1324</f>
        <v>Btu/kWh</v>
      </c>
      <c r="D1175" s="556">
        <v>1.05505585262</v>
      </c>
      <c r="E1175" s="556"/>
      <c r="F1175" s="556" t="str">
        <f>Language!C2175</f>
        <v>+/-°F</v>
      </c>
      <c r="G1175" s="481" t="str">
        <f>Language!C2185</f>
        <v>(Btu/h)/pé²/°F</v>
      </c>
      <c r="H1175" s="481">
        <v>0.17611018368230599</v>
      </c>
      <c r="I1175" s="319"/>
      <c r="J1175" s="319" t="str">
        <f>F1169</f>
        <v>kW</v>
      </c>
      <c r="K1175" s="319"/>
      <c r="L1175" s="319"/>
      <c r="M1175" s="319"/>
      <c r="N1175" s="319"/>
      <c r="O1175" s="319"/>
      <c r="P1175" s="319"/>
      <c r="Q1175" s="319"/>
      <c r="R1175" s="319"/>
      <c r="S1175" s="319"/>
      <c r="T1175" s="319"/>
      <c r="U1175" s="319"/>
      <c r="V1175" s="319"/>
      <c r="W1175" s="319"/>
      <c r="X1175" s="319"/>
      <c r="Y1175" s="319"/>
      <c r="Z1175" s="319"/>
      <c r="AA1175" s="319"/>
      <c r="AB1175" s="319"/>
      <c r="AC1175" s="319"/>
      <c r="AD1175" s="319"/>
      <c r="AE1175" s="319"/>
      <c r="AF1175" s="319"/>
      <c r="AG1175" s="319"/>
      <c r="AH1175" s="319"/>
      <c r="AI1175" s="319"/>
      <c r="AJ1175" s="319"/>
      <c r="AK1175" s="319"/>
      <c r="AL1175" s="319"/>
      <c r="AM1175" s="319"/>
      <c r="AN1175" s="319"/>
      <c r="AO1175" s="319"/>
      <c r="AP1175" s="319"/>
      <c r="AQ1175" s="319"/>
      <c r="AR1175" s="319"/>
      <c r="AS1175" s="319"/>
      <c r="AT1175" s="319"/>
      <c r="AU1175" s="319"/>
      <c r="AV1175" s="319"/>
      <c r="AW1175" s="319"/>
      <c r="AX1175" s="319"/>
      <c r="AY1175" s="319"/>
      <c r="AZ1175" s="319"/>
      <c r="BA1175" s="319"/>
      <c r="BB1175" s="319"/>
      <c r="BC1175" s="319"/>
      <c r="BD1175" s="319"/>
      <c r="BE1175" s="319"/>
      <c r="BF1175" s="319"/>
      <c r="BG1175" s="319"/>
      <c r="BH1175" s="319"/>
      <c r="BI1175" s="319"/>
      <c r="BJ1175" s="319"/>
      <c r="BK1175" s="319"/>
      <c r="BL1175" s="319"/>
      <c r="BM1175" s="319"/>
      <c r="BN1175" s="319"/>
      <c r="BO1175" s="319"/>
      <c r="BP1175" s="319"/>
      <c r="BQ1175" s="319"/>
      <c r="BR1175" s="319"/>
      <c r="BS1175" s="319"/>
      <c r="BT1175" s="319"/>
      <c r="BU1175" s="319"/>
      <c r="BV1175" s="319"/>
      <c r="BW1175" s="319"/>
      <c r="BX1175" s="319"/>
      <c r="BY1175" s="319"/>
      <c r="BZ1175" s="319"/>
      <c r="CA1175" s="319"/>
      <c r="CB1175" s="319"/>
      <c r="CC1175" s="319"/>
      <c r="CD1175" s="319"/>
      <c r="CE1175" s="319"/>
      <c r="CF1175" s="319"/>
      <c r="CG1175" s="319"/>
      <c r="CH1175" s="319"/>
      <c r="CI1175" s="319"/>
      <c r="CJ1175" s="319"/>
      <c r="CK1175" s="319"/>
    </row>
    <row r="1176" spans="1:89" ht="12.75" hidden="1" customHeight="1">
      <c r="A1176" s="319"/>
      <c r="B1176" s="319" t="str">
        <f>G1183</f>
        <v>Definido pelo usuário</v>
      </c>
      <c r="C1176" s="556"/>
      <c r="D1176" s="556"/>
      <c r="E1176" s="556"/>
      <c r="F1176" s="319"/>
      <c r="G1176" s="319" t="str">
        <f>Language!C2188</f>
        <v>(J/m³)/°C</v>
      </c>
      <c r="H1176" s="481"/>
      <c r="I1176" s="319"/>
      <c r="J1176" s="319" t="str">
        <f>Language!C1403</f>
        <v>TR</v>
      </c>
      <c r="K1176" s="319">
        <v>0.28434513609399498</v>
      </c>
      <c r="L1176" s="319"/>
      <c r="M1176" s="319"/>
      <c r="N1176" s="319"/>
      <c r="O1176" s="319"/>
      <c r="P1176" s="319"/>
      <c r="Q1176" s="319"/>
      <c r="R1176" s="319"/>
      <c r="S1176" s="319"/>
      <c r="T1176" s="319"/>
      <c r="U1176" s="319"/>
      <c r="V1176" s="319"/>
      <c r="W1176" s="319"/>
      <c r="X1176" s="319"/>
      <c r="Y1176" s="319"/>
      <c r="Z1176" s="319"/>
      <c r="AA1176" s="319"/>
      <c r="AB1176" s="319"/>
      <c r="AC1176" s="319"/>
      <c r="AD1176" s="319"/>
      <c r="AE1176" s="319"/>
      <c r="AF1176" s="319"/>
      <c r="AG1176" s="319"/>
      <c r="AH1176" s="319"/>
      <c r="AI1176" s="319"/>
      <c r="AJ1176" s="319"/>
      <c r="AK1176" s="319"/>
      <c r="AL1176" s="319"/>
      <c r="AM1176" s="319"/>
      <c r="AN1176" s="319"/>
      <c r="AO1176" s="319"/>
      <c r="AP1176" s="319"/>
      <c r="AQ1176" s="319"/>
      <c r="AR1176" s="319"/>
      <c r="AS1176" s="319"/>
      <c r="AT1176" s="319"/>
      <c r="AU1176" s="319"/>
      <c r="AV1176" s="319"/>
      <c r="AW1176" s="319"/>
      <c r="AX1176" s="319"/>
      <c r="AY1176" s="319"/>
      <c r="AZ1176" s="319"/>
      <c r="BA1176" s="319"/>
      <c r="BB1176" s="319"/>
      <c r="BC1176" s="319"/>
      <c r="BD1176" s="319"/>
      <c r="BE1176" s="319"/>
      <c r="BF1176" s="319"/>
      <c r="BG1176" s="319"/>
      <c r="BH1176" s="319"/>
      <c r="BI1176" s="319"/>
      <c r="BJ1176" s="319"/>
      <c r="BK1176" s="319"/>
      <c r="BL1176" s="319"/>
      <c r="BM1176" s="319"/>
      <c r="BN1176" s="319"/>
      <c r="BO1176" s="319"/>
      <c r="BP1176" s="319"/>
      <c r="BQ1176" s="319"/>
      <c r="BR1176" s="319"/>
      <c r="BS1176" s="319"/>
      <c r="BT1176" s="319"/>
      <c r="BU1176" s="319"/>
      <c r="BV1176" s="319"/>
      <c r="BW1176" s="319"/>
      <c r="BX1176" s="319"/>
      <c r="BY1176" s="319"/>
      <c r="BZ1176" s="319"/>
      <c r="CA1176" s="319"/>
      <c r="CB1176" s="319"/>
      <c r="CC1176" s="319"/>
      <c r="CD1176" s="319"/>
      <c r="CE1176" s="319"/>
      <c r="CF1176" s="319"/>
      <c r="CG1176" s="319"/>
      <c r="CH1176" s="319"/>
      <c r="CI1176" s="319"/>
      <c r="CJ1176" s="319"/>
      <c r="CK1176" s="319"/>
    </row>
    <row r="1177" spans="1:89" ht="12.75" hidden="1" customHeight="1">
      <c r="A1177" s="319"/>
      <c r="B1177" s="319"/>
      <c r="C1177" s="319"/>
      <c r="D1177" s="319"/>
      <c r="E1177" s="319"/>
      <c r="F1177" s="319" t="str">
        <f>Language!C2226</f>
        <v>L/m²</v>
      </c>
      <c r="G1177" s="481" t="str">
        <f>Language!C2184</f>
        <v>(Btu/pé³)/°F</v>
      </c>
      <c r="H1177" s="481">
        <f>0.948/1000*(0.0254*12)^3/1.8</f>
        <v>1.4913539205119993E-5</v>
      </c>
      <c r="I1177" s="319"/>
      <c r="J1177" s="319"/>
      <c r="K1177" s="319"/>
      <c r="L1177" s="319"/>
      <c r="M1177" s="319"/>
      <c r="N1177" s="319"/>
      <c r="O1177" s="319"/>
      <c r="P1177" s="319"/>
      <c r="Q1177" s="319"/>
      <c r="R1177" s="319"/>
      <c r="S1177" s="319"/>
      <c r="T1177" s="319"/>
      <c r="U1177" s="319"/>
      <c r="V1177" s="319"/>
      <c r="W1177" s="319"/>
      <c r="X1177" s="319"/>
      <c r="Y1177" s="319"/>
      <c r="Z1177" s="319"/>
      <c r="AA1177" s="319"/>
      <c r="AB1177" s="319"/>
      <c r="AC1177" s="319"/>
      <c r="AD1177" s="319"/>
      <c r="AE1177" s="319"/>
      <c r="AF1177" s="319"/>
      <c r="AG1177" s="319"/>
      <c r="AH1177" s="319"/>
      <c r="AI1177" s="319"/>
      <c r="AJ1177" s="319"/>
      <c r="AK1177" s="319"/>
      <c r="AL1177" s="319"/>
      <c r="AM1177" s="319"/>
      <c r="AN1177" s="319"/>
      <c r="AO1177" s="319"/>
      <c r="AP1177" s="319"/>
      <c r="AQ1177" s="319"/>
      <c r="AR1177" s="319"/>
      <c r="AS1177" s="319"/>
      <c r="AT1177" s="319"/>
      <c r="AU1177" s="319"/>
      <c r="AV1177" s="319"/>
      <c r="AW1177" s="319"/>
      <c r="AX1177" s="319"/>
      <c r="AY1177" s="319"/>
      <c r="AZ1177" s="319"/>
      <c r="BA1177" s="319"/>
      <c r="BB1177" s="319"/>
      <c r="BC1177" s="319"/>
      <c r="BD1177" s="319"/>
      <c r="BE1177" s="319"/>
      <c r="BF1177" s="319"/>
      <c r="BG1177" s="319"/>
      <c r="BH1177" s="319"/>
      <c r="BI1177" s="319"/>
      <c r="BJ1177" s="319"/>
      <c r="BK1177" s="319"/>
      <c r="BL1177" s="319"/>
      <c r="BM1177" s="319"/>
      <c r="BN1177" s="319"/>
      <c r="BO1177" s="319"/>
      <c r="BP1177" s="319"/>
      <c r="BQ1177" s="319"/>
      <c r="BR1177" s="319"/>
      <c r="BS1177" s="319"/>
      <c r="BT1177" s="319"/>
      <c r="BU1177" s="319"/>
      <c r="BV1177" s="319"/>
      <c r="BW1177" s="319"/>
      <c r="BX1177" s="319"/>
      <c r="BY1177" s="319"/>
      <c r="BZ1177" s="319"/>
      <c r="CA1177" s="319"/>
      <c r="CB1177" s="319"/>
      <c r="CC1177" s="319"/>
      <c r="CD1177" s="319"/>
      <c r="CE1177" s="319"/>
      <c r="CF1177" s="319"/>
      <c r="CG1177" s="319"/>
      <c r="CH1177" s="319"/>
      <c r="CI1177" s="319"/>
      <c r="CJ1177" s="319"/>
      <c r="CK1177" s="319"/>
    </row>
    <row r="1178" spans="1:89" ht="12.75" hidden="1" customHeight="1">
      <c r="A1178" s="319"/>
      <c r="B1178" s="319" t="str">
        <f>Language!C2228</f>
        <v>L/s</v>
      </c>
      <c r="C1178" s="319" t="str">
        <f>Language!C1310</f>
        <v>°C</v>
      </c>
      <c r="D1178" s="319" t="str">
        <f>Language!C2210</f>
        <v>h/ano</v>
      </c>
      <c r="E1178" s="319"/>
      <c r="F1178" s="319" t="str">
        <f>Language!C2613</f>
        <v>gal/pe²</v>
      </c>
      <c r="G1178" s="481" t="str">
        <f>Language!C2190</f>
        <v>(W/m²)/°C²</v>
      </c>
      <c r="H1178" s="481"/>
      <c r="I1178" s="319"/>
      <c r="J1178" s="319"/>
      <c r="K1178" s="319"/>
      <c r="L1178" s="319"/>
      <c r="M1178" s="319"/>
      <c r="N1178" s="319"/>
      <c r="O1178" s="319"/>
      <c r="P1178" s="319"/>
      <c r="Q1178" s="319"/>
      <c r="R1178" s="319"/>
      <c r="S1178" s="319"/>
      <c r="T1178" s="319"/>
      <c r="U1178" s="319"/>
      <c r="V1178" s="319"/>
      <c r="W1178" s="319"/>
      <c r="X1178" s="319"/>
      <c r="Y1178" s="319"/>
      <c r="Z1178" s="319"/>
      <c r="AA1178" s="319"/>
      <c r="AB1178" s="319"/>
      <c r="AC1178" s="319"/>
      <c r="AD1178" s="319"/>
      <c r="AE1178" s="319"/>
      <c r="AF1178" s="319"/>
      <c r="AG1178" s="319"/>
      <c r="AH1178" s="319"/>
      <c r="AI1178" s="319"/>
      <c r="AJ1178" s="319"/>
      <c r="AK1178" s="319"/>
      <c r="AL1178" s="319"/>
      <c r="AM1178" s="319"/>
      <c r="AN1178" s="319"/>
      <c r="AO1178" s="319"/>
      <c r="AP1178" s="319"/>
      <c r="AQ1178" s="319"/>
      <c r="AR1178" s="319"/>
      <c r="AS1178" s="319"/>
      <c r="AT1178" s="319"/>
      <c r="AU1178" s="319"/>
      <c r="AV1178" s="319"/>
      <c r="AW1178" s="319"/>
      <c r="AX1178" s="319"/>
      <c r="AY1178" s="319"/>
      <c r="AZ1178" s="319"/>
      <c r="BA1178" s="319"/>
      <c r="BB1178" s="319"/>
      <c r="BC1178" s="319"/>
      <c r="BD1178" s="319"/>
      <c r="BE1178" s="319"/>
      <c r="BF1178" s="319"/>
      <c r="BG1178" s="319"/>
      <c r="BH1178" s="319"/>
      <c r="BI1178" s="319"/>
      <c r="BJ1178" s="319"/>
      <c r="BK1178" s="319"/>
      <c r="BL1178" s="319"/>
      <c r="BM1178" s="319"/>
      <c r="BN1178" s="319"/>
      <c r="BO1178" s="319"/>
      <c r="BP1178" s="319"/>
      <c r="BQ1178" s="319"/>
      <c r="BR1178" s="319"/>
      <c r="BS1178" s="319"/>
      <c r="BT1178" s="319"/>
      <c r="BU1178" s="319"/>
      <c r="BV1178" s="319"/>
      <c r="BW1178" s="319"/>
      <c r="BX1178" s="319"/>
      <c r="BY1178" s="319"/>
      <c r="BZ1178" s="319"/>
      <c r="CA1178" s="319"/>
      <c r="CB1178" s="319"/>
      <c r="CC1178" s="319"/>
      <c r="CD1178" s="319"/>
      <c r="CE1178" s="319"/>
      <c r="CF1178" s="319"/>
      <c r="CG1178" s="319"/>
      <c r="CH1178" s="319"/>
      <c r="CI1178" s="319"/>
      <c r="CJ1178" s="319"/>
      <c r="CK1178" s="319"/>
    </row>
    <row r="1179" spans="1:89" ht="12.75" hidden="1" customHeight="1">
      <c r="A1179" s="319"/>
      <c r="B1179" s="319" t="str">
        <f>Language!C2238</f>
        <v>m³/s</v>
      </c>
      <c r="C1179" s="319" t="str">
        <f>Language!C1313</f>
        <v>°F</v>
      </c>
      <c r="D1179" s="319" t="str">
        <f>Language!C2211</f>
        <v>h/sem</v>
      </c>
      <c r="E1179" s="319"/>
      <c r="F1179" s="319"/>
      <c r="G1179" s="481" t="str">
        <f>Language!C2186</f>
        <v>(Btu/h)/pé²/°F²</v>
      </c>
      <c r="H1179" s="481">
        <f>0.176/1.8</f>
        <v>9.7777777777777769E-2</v>
      </c>
      <c r="I1179" s="319"/>
      <c r="J1179" s="319" t="str">
        <f>J1201</f>
        <v>W/m²</v>
      </c>
      <c r="K1179" s="319">
        <v>1</v>
      </c>
      <c r="L1179" s="319"/>
      <c r="M1179" s="319"/>
      <c r="N1179" s="319"/>
      <c r="O1179" s="319"/>
      <c r="P1179" s="319"/>
      <c r="Q1179" s="319"/>
      <c r="R1179" s="319"/>
      <c r="S1179" s="319"/>
      <c r="T1179" s="319"/>
      <c r="U1179" s="319"/>
      <c r="V1179" s="319"/>
      <c r="W1179" s="319"/>
      <c r="X1179" s="319"/>
      <c r="Y1179" s="319"/>
      <c r="Z1179" s="319"/>
      <c r="AA1179" s="319"/>
      <c r="AB1179" s="319"/>
      <c r="AC1179" s="319"/>
      <c r="AD1179" s="319"/>
      <c r="AE1179" s="319"/>
      <c r="AF1179" s="319"/>
      <c r="AG1179" s="319"/>
      <c r="AH1179" s="319"/>
      <c r="AI1179" s="319"/>
      <c r="AJ1179" s="319"/>
      <c r="AK1179" s="319"/>
      <c r="AL1179" s="319"/>
      <c r="AM1179" s="319"/>
      <c r="AN1179" s="319"/>
      <c r="AO1179" s="319"/>
      <c r="AP1179" s="319"/>
      <c r="AQ1179" s="319"/>
      <c r="AR1179" s="319"/>
      <c r="AS1179" s="319"/>
      <c r="AT1179" s="319"/>
      <c r="AU1179" s="319"/>
      <c r="AV1179" s="319"/>
      <c r="AW1179" s="319"/>
      <c r="AX1179" s="319"/>
      <c r="AY1179" s="319"/>
      <c r="AZ1179" s="319"/>
      <c r="BA1179" s="319"/>
      <c r="BB1179" s="319"/>
      <c r="BC1179" s="319"/>
      <c r="BD1179" s="319"/>
      <c r="BE1179" s="319"/>
      <c r="BF1179" s="319"/>
      <c r="BG1179" s="319"/>
      <c r="BH1179" s="319"/>
      <c r="BI1179" s="319"/>
      <c r="BJ1179" s="319"/>
      <c r="BK1179" s="319"/>
      <c r="BL1179" s="319"/>
      <c r="BM1179" s="319"/>
      <c r="BN1179" s="319"/>
      <c r="BO1179" s="319"/>
      <c r="BP1179" s="319"/>
      <c r="BQ1179" s="319"/>
      <c r="BR1179" s="319"/>
      <c r="BS1179" s="319"/>
      <c r="BT1179" s="319"/>
      <c r="BU1179" s="319"/>
      <c r="BV1179" s="319"/>
      <c r="BW1179" s="319"/>
      <c r="BX1179" s="319"/>
      <c r="BY1179" s="319"/>
      <c r="BZ1179" s="319"/>
      <c r="CA1179" s="319"/>
      <c r="CB1179" s="319"/>
      <c r="CC1179" s="319"/>
      <c r="CD1179" s="319"/>
      <c r="CE1179" s="319"/>
      <c r="CF1179" s="319"/>
      <c r="CG1179" s="319"/>
      <c r="CH1179" s="319"/>
      <c r="CI1179" s="319"/>
      <c r="CJ1179" s="319"/>
      <c r="CK1179" s="319"/>
    </row>
    <row r="1180" spans="1:89" ht="12.75" hidden="1" customHeight="1">
      <c r="A1180" s="319"/>
      <c r="B1180" s="319" t="str">
        <f>Language!C1376</f>
        <v>m³/h</v>
      </c>
      <c r="C1180" s="319"/>
      <c r="D1180" s="319"/>
      <c r="E1180" s="319"/>
      <c r="F1180" s="319"/>
      <c r="G1180" s="319"/>
      <c r="H1180" s="319"/>
      <c r="I1180" s="1076"/>
      <c r="J1180" s="1077" t="str">
        <f>Language!C1322</f>
        <v>(Btu/h)/pe²</v>
      </c>
      <c r="K1180" s="319">
        <v>3.1545907450630488</v>
      </c>
      <c r="L1180" s="319"/>
      <c r="M1180" s="319"/>
      <c r="N1180" s="319"/>
      <c r="O1180" s="319"/>
      <c r="P1180" s="319"/>
      <c r="Q1180" s="319"/>
      <c r="R1180" s="319"/>
      <c r="S1180" s="319"/>
      <c r="T1180" s="319"/>
      <c r="U1180" s="319"/>
      <c r="V1180" s="319"/>
      <c r="W1180" s="319"/>
      <c r="X1180" s="319"/>
      <c r="Y1180" s="319"/>
      <c r="Z1180" s="319"/>
      <c r="AA1180" s="319"/>
      <c r="AB1180" s="319"/>
      <c r="AC1180" s="319"/>
      <c r="AD1180" s="319"/>
      <c r="AE1180" s="319"/>
      <c r="AF1180" s="319"/>
      <c r="AG1180" s="319"/>
      <c r="AH1180" s="319"/>
      <c r="AI1180" s="319"/>
      <c r="AJ1180" s="319"/>
      <c r="AK1180" s="319"/>
      <c r="AL1180" s="319"/>
      <c r="AM1180" s="319"/>
      <c r="AN1180" s="319"/>
      <c r="AO1180" s="319"/>
      <c r="AP1180" s="319"/>
      <c r="AQ1180" s="319"/>
      <c r="AR1180" s="319"/>
      <c r="AS1180" s="319"/>
      <c r="AT1180" s="319"/>
      <c r="AU1180" s="319"/>
      <c r="AV1180" s="319"/>
      <c r="AW1180" s="319"/>
      <c r="AX1180" s="319"/>
      <c r="AY1180" s="319"/>
      <c r="AZ1180" s="319"/>
      <c r="BA1180" s="319"/>
      <c r="BB1180" s="319"/>
      <c r="BC1180" s="319"/>
      <c r="BD1180" s="319"/>
      <c r="BE1180" s="319"/>
      <c r="BF1180" s="319"/>
      <c r="BG1180" s="319"/>
      <c r="BH1180" s="319"/>
      <c r="BI1180" s="319"/>
      <c r="BJ1180" s="319"/>
      <c r="BK1180" s="319"/>
      <c r="BL1180" s="319"/>
      <c r="BM1180" s="319"/>
      <c r="BN1180" s="319"/>
      <c r="BO1180" s="319"/>
      <c r="BP1180" s="319"/>
      <c r="BQ1180" s="319"/>
      <c r="BR1180" s="319"/>
      <c r="BS1180" s="319"/>
      <c r="BT1180" s="319"/>
      <c r="BU1180" s="319"/>
      <c r="BV1180" s="319"/>
      <c r="BW1180" s="319"/>
      <c r="BX1180" s="319"/>
      <c r="BY1180" s="319"/>
      <c r="BZ1180" s="319"/>
      <c r="CA1180" s="319"/>
      <c r="CB1180" s="319"/>
      <c r="CC1180" s="319"/>
      <c r="CD1180" s="319"/>
      <c r="CE1180" s="319"/>
      <c r="CF1180" s="319"/>
      <c r="CG1180" s="319"/>
      <c r="CH1180" s="319"/>
      <c r="CI1180" s="319"/>
      <c r="CJ1180" s="319"/>
      <c r="CK1180" s="319"/>
    </row>
    <row r="1181" spans="1:89" ht="12.75" hidden="1" customHeight="1">
      <c r="A1181" s="319"/>
      <c r="B1181" s="319" t="str">
        <f>Language!C2195</f>
        <v>pcm</v>
      </c>
      <c r="C1181" s="319"/>
      <c r="D1181" s="319"/>
      <c r="E1181" s="319"/>
      <c r="F1181" s="319"/>
      <c r="G1181" s="319"/>
      <c r="H1181" s="319"/>
      <c r="I1181" s="1076"/>
      <c r="J1181" s="1077" t="str">
        <f>Language!C1330</f>
        <v>pe²/TR</v>
      </c>
      <c r="K1181" s="319">
        <v>37855.088940756585</v>
      </c>
      <c r="L1181" s="319"/>
      <c r="M1181" s="319"/>
      <c r="N1181" s="319"/>
      <c r="O1181" s="319"/>
      <c r="P1181" s="319"/>
      <c r="Q1181" s="319"/>
      <c r="R1181" s="319"/>
      <c r="S1181" s="319"/>
      <c r="T1181" s="319"/>
      <c r="U1181" s="319"/>
      <c r="V1181" s="319"/>
      <c r="W1181" s="319"/>
      <c r="X1181" s="319"/>
      <c r="Y1181" s="319"/>
      <c r="Z1181" s="319"/>
      <c r="AA1181" s="319"/>
      <c r="AB1181" s="319"/>
      <c r="AC1181" s="319"/>
      <c r="AD1181" s="319"/>
      <c r="AE1181" s="319"/>
      <c r="AF1181" s="319"/>
      <c r="AG1181" s="319"/>
      <c r="AH1181" s="319"/>
      <c r="AI1181" s="319"/>
      <c r="AJ1181" s="319"/>
      <c r="AK1181" s="319"/>
      <c r="AL1181" s="319"/>
      <c r="AM1181" s="319"/>
      <c r="AN1181" s="319"/>
      <c r="AO1181" s="319"/>
      <c r="AP1181" s="319"/>
      <c r="AQ1181" s="319"/>
      <c r="AR1181" s="319"/>
      <c r="AS1181" s="319"/>
      <c r="AT1181" s="319"/>
      <c r="AU1181" s="319"/>
      <c r="AV1181" s="319"/>
      <c r="AW1181" s="319"/>
      <c r="AX1181" s="319"/>
      <c r="AY1181" s="319"/>
      <c r="AZ1181" s="319"/>
      <c r="BA1181" s="319"/>
      <c r="BB1181" s="319"/>
      <c r="BC1181" s="319"/>
      <c r="BD1181" s="319"/>
      <c r="BE1181" s="319"/>
      <c r="BF1181" s="319"/>
      <c r="BG1181" s="319"/>
      <c r="BH1181" s="319"/>
      <c r="BI1181" s="319"/>
      <c r="BJ1181" s="319"/>
      <c r="BK1181" s="319"/>
      <c r="BL1181" s="319"/>
      <c r="BM1181" s="319"/>
      <c r="BN1181" s="319"/>
      <c r="BO1181" s="319"/>
      <c r="BP1181" s="319"/>
      <c r="BQ1181" s="319"/>
      <c r="BR1181" s="319"/>
      <c r="BS1181" s="319"/>
      <c r="BT1181" s="319"/>
      <c r="BU1181" s="319"/>
      <c r="BV1181" s="319"/>
      <c r="BW1181" s="319"/>
      <c r="BX1181" s="319"/>
      <c r="BY1181" s="319"/>
      <c r="BZ1181" s="319"/>
      <c r="CA1181" s="319"/>
      <c r="CB1181" s="319"/>
      <c r="CC1181" s="319"/>
      <c r="CD1181" s="319"/>
      <c r="CE1181" s="319"/>
      <c r="CF1181" s="319"/>
      <c r="CG1181" s="319"/>
      <c r="CH1181" s="319"/>
      <c r="CI1181" s="319"/>
      <c r="CJ1181" s="319"/>
      <c r="CK1181" s="319"/>
    </row>
    <row r="1182" spans="1:89" ht="12.75" hidden="1" customHeight="1">
      <c r="A1182" s="319"/>
      <c r="B1182" s="319" t="str">
        <f>Language!C1355</f>
        <v>kg/h</v>
      </c>
      <c r="C1182" s="319" t="str">
        <f>Language!C1363</f>
        <v>kPa</v>
      </c>
      <c r="D1182" s="319" t="s">
        <v>5407</v>
      </c>
      <c r="E1182" s="319"/>
      <c r="F1182" s="319" t="str">
        <f>Language!C1749</f>
        <v>Interior</v>
      </c>
      <c r="G1182" s="319" t="str">
        <f>Language!C121</f>
        <v>Fórmula</v>
      </c>
      <c r="H1182" s="319" t="str">
        <f>Language!C2058</f>
        <v>Sem revestimento</v>
      </c>
      <c r="I1182" s="1076" t="str">
        <f>lang_yes</f>
        <v>Sim</v>
      </c>
      <c r="J1182" s="1077"/>
      <c r="K1182" s="319"/>
      <c r="L1182" s="319"/>
      <c r="M1182" s="319"/>
      <c r="N1182" s="319"/>
      <c r="O1182" s="319"/>
      <c r="P1182" s="319"/>
      <c r="Q1182" s="319"/>
      <c r="R1182" s="319"/>
      <c r="S1182" s="319"/>
      <c r="T1182" s="319"/>
      <c r="U1182" s="319"/>
      <c r="V1182" s="319"/>
      <c r="W1182" s="319"/>
      <c r="X1182" s="319"/>
      <c r="Y1182" s="319"/>
      <c r="Z1182" s="319"/>
      <c r="AA1182" s="319"/>
      <c r="AB1182" s="319"/>
      <c r="AC1182" s="319"/>
      <c r="AD1182" s="319"/>
      <c r="AE1182" s="319"/>
      <c r="AF1182" s="319"/>
      <c r="AG1182" s="319"/>
      <c r="AH1182" s="319"/>
      <c r="AI1182" s="319"/>
      <c r="AJ1182" s="319"/>
      <c r="AK1182" s="319"/>
      <c r="AL1182" s="319"/>
      <c r="AM1182" s="319"/>
      <c r="AN1182" s="319"/>
      <c r="AO1182" s="319"/>
      <c r="AP1182" s="319"/>
      <c r="AQ1182" s="319"/>
      <c r="AR1182" s="319"/>
      <c r="AS1182" s="319"/>
      <c r="AT1182" s="319"/>
      <c r="AU1182" s="319"/>
      <c r="AV1182" s="319"/>
      <c r="AW1182" s="319"/>
      <c r="AX1182" s="319"/>
      <c r="AY1182" s="319"/>
      <c r="AZ1182" s="319"/>
      <c r="BA1182" s="319"/>
      <c r="BB1182" s="319"/>
      <c r="BC1182" s="319"/>
      <c r="BD1182" s="319"/>
      <c r="BE1182" s="319"/>
      <c r="BF1182" s="319"/>
      <c r="BG1182" s="319"/>
      <c r="BH1182" s="319"/>
      <c r="BI1182" s="319"/>
      <c r="BJ1182" s="319"/>
      <c r="BK1182" s="319"/>
      <c r="BL1182" s="319"/>
      <c r="BM1182" s="319"/>
      <c r="BN1182" s="319"/>
      <c r="BO1182" s="319"/>
      <c r="BP1182" s="319"/>
      <c r="BQ1182" s="319"/>
      <c r="BR1182" s="319"/>
      <c r="BS1182" s="319"/>
      <c r="BT1182" s="319"/>
      <c r="BU1182" s="319"/>
      <c r="BV1182" s="319"/>
      <c r="BW1182" s="319"/>
      <c r="BX1182" s="319"/>
      <c r="BY1182" s="319"/>
      <c r="BZ1182" s="319"/>
      <c r="CA1182" s="319"/>
      <c r="CB1182" s="319"/>
      <c r="CC1182" s="319"/>
      <c r="CD1182" s="319"/>
      <c r="CE1182" s="319"/>
      <c r="CF1182" s="319"/>
      <c r="CG1182" s="319"/>
      <c r="CH1182" s="319"/>
      <c r="CI1182" s="319"/>
      <c r="CJ1182" s="319"/>
      <c r="CK1182" s="319"/>
    </row>
    <row r="1183" spans="1:89" ht="12.75" hidden="1" customHeight="1">
      <c r="A1183" s="319"/>
      <c r="B1183" s="319" t="str">
        <f>Language!C1368</f>
        <v>lb/h</v>
      </c>
      <c r="C1183" s="319" t="str">
        <f>Language!C1319</f>
        <v>bar</v>
      </c>
      <c r="D1183" s="319" t="s">
        <v>1971</v>
      </c>
      <c r="E1183" s="319"/>
      <c r="F1183" s="319" t="str">
        <f>Language!C1863</f>
        <v>Exterior</v>
      </c>
      <c r="G1183" s="319" t="str">
        <f>Language!C880</f>
        <v>Definido pelo usuário</v>
      </c>
      <c r="H1183" s="319" t="str">
        <f>Language!C1697</f>
        <v>Vitrificado</v>
      </c>
      <c r="I1183" s="319" t="str">
        <f>lang_no</f>
        <v>Não</v>
      </c>
      <c r="J1183" s="319"/>
      <c r="K1183" s="319"/>
      <c r="L1183" s="319"/>
      <c r="M1183" s="319"/>
      <c r="N1183" s="319"/>
      <c r="O1183" s="319"/>
      <c r="P1183" s="319"/>
      <c r="Q1183" s="319"/>
      <c r="R1183" s="319"/>
      <c r="S1183" s="319"/>
      <c r="T1183" s="319"/>
      <c r="U1183" s="319"/>
      <c r="V1183" s="319"/>
      <c r="W1183" s="319"/>
      <c r="X1183" s="319"/>
      <c r="Y1183" s="319"/>
      <c r="Z1183" s="319"/>
      <c r="AA1183" s="319"/>
      <c r="AB1183" s="319"/>
      <c r="AC1183" s="319"/>
      <c r="AD1183" s="319"/>
      <c r="AE1183" s="319"/>
      <c r="AF1183" s="319"/>
      <c r="AG1183" s="319"/>
      <c r="AH1183" s="319"/>
      <c r="AI1183" s="319"/>
      <c r="AJ1183" s="319"/>
      <c r="AK1183" s="319"/>
      <c r="AL1183" s="319"/>
      <c r="AM1183" s="319"/>
      <c r="AN1183" s="319"/>
      <c r="AO1183" s="319"/>
      <c r="AP1183" s="319"/>
      <c r="AQ1183" s="319"/>
      <c r="AR1183" s="319"/>
      <c r="AS1183" s="319"/>
      <c r="AT1183" s="319"/>
      <c r="AU1183" s="319"/>
      <c r="AV1183" s="319"/>
      <c r="AW1183" s="319"/>
      <c r="AX1183" s="319"/>
      <c r="AY1183" s="319"/>
      <c r="AZ1183" s="319"/>
      <c r="BA1183" s="319"/>
      <c r="BB1183" s="319"/>
      <c r="BC1183" s="319"/>
      <c r="BD1183" s="319"/>
      <c r="BE1183" s="319"/>
      <c r="BF1183" s="319"/>
      <c r="BG1183" s="319"/>
      <c r="BH1183" s="319"/>
      <c r="BI1183" s="319"/>
      <c r="BJ1183" s="319"/>
      <c r="BK1183" s="319"/>
      <c r="BL1183" s="319"/>
      <c r="BM1183" s="319"/>
      <c r="BN1183" s="319"/>
      <c r="BO1183" s="319"/>
      <c r="BP1183" s="319"/>
      <c r="BQ1183" s="319"/>
      <c r="BR1183" s="319"/>
      <c r="BS1183" s="319"/>
      <c r="BT1183" s="319"/>
      <c r="BU1183" s="319"/>
      <c r="BV1183" s="319"/>
      <c r="BW1183" s="319"/>
      <c r="BX1183" s="319"/>
      <c r="BY1183" s="319"/>
      <c r="BZ1183" s="319"/>
      <c r="CA1183" s="319"/>
      <c r="CB1183" s="319"/>
      <c r="CC1183" s="319"/>
      <c r="CD1183" s="319"/>
      <c r="CE1183" s="319"/>
      <c r="CF1183" s="319"/>
      <c r="CG1183" s="319"/>
      <c r="CH1183" s="319"/>
      <c r="CI1183" s="319"/>
      <c r="CJ1183" s="319"/>
      <c r="CK1183" s="319"/>
    </row>
    <row r="1184" spans="1:89" ht="12.75" hidden="1" customHeight="1">
      <c r="A1184" s="319"/>
      <c r="B1184" s="319"/>
      <c r="C1184" s="319" t="str">
        <f>Language!C1401</f>
        <v>psig</v>
      </c>
      <c r="D1184" s="319" t="s">
        <v>594</v>
      </c>
      <c r="E1184" s="319"/>
      <c r="F1184" s="319"/>
      <c r="G1184" s="319"/>
      <c r="H1184" s="319" t="str">
        <f>Language!C1642</f>
        <v>Evacuado</v>
      </c>
      <c r="I1184" s="1078"/>
      <c r="J1184" s="1079" t="str">
        <f>Language!C1396</f>
        <v>MWh</v>
      </c>
      <c r="K1184" s="319"/>
      <c r="L1184" s="319"/>
      <c r="M1184" s="319"/>
      <c r="N1184" s="319"/>
      <c r="O1184" s="319"/>
      <c r="P1184" s="319"/>
      <c r="Q1184" s="319"/>
      <c r="R1184" s="319"/>
      <c r="S1184" s="319"/>
      <c r="T1184" s="319"/>
      <c r="U1184" s="319"/>
      <c r="V1184" s="319"/>
      <c r="W1184" s="319"/>
      <c r="X1184" s="319"/>
      <c r="Y1184" s="319"/>
      <c r="Z1184" s="319"/>
      <c r="AA1184" s="319"/>
      <c r="AB1184" s="319"/>
      <c r="AC1184" s="319"/>
      <c r="AD1184" s="319"/>
      <c r="AE1184" s="319"/>
      <c r="AF1184" s="319"/>
      <c r="AG1184" s="319"/>
      <c r="AH1184" s="319"/>
      <c r="AI1184" s="319"/>
      <c r="AJ1184" s="319"/>
      <c r="AK1184" s="319"/>
      <c r="AL1184" s="319"/>
      <c r="AM1184" s="319"/>
      <c r="AN1184" s="319"/>
      <c r="AO1184" s="319"/>
      <c r="AP1184" s="319"/>
      <c r="AQ1184" s="319"/>
      <c r="AR1184" s="319"/>
      <c r="AS1184" s="319"/>
      <c r="AT1184" s="319"/>
      <c r="AU1184" s="319"/>
      <c r="AV1184" s="319"/>
      <c r="AW1184" s="319"/>
      <c r="AX1184" s="319"/>
      <c r="AY1184" s="319"/>
      <c r="AZ1184" s="319"/>
      <c r="BA1184" s="319"/>
      <c r="BB1184" s="319"/>
      <c r="BC1184" s="319"/>
      <c r="BD1184" s="319"/>
      <c r="BE1184" s="319"/>
      <c r="BF1184" s="319"/>
      <c r="BG1184" s="319"/>
      <c r="BH1184" s="319"/>
      <c r="BI1184" s="319"/>
      <c r="BJ1184" s="319"/>
      <c r="BK1184" s="319"/>
      <c r="BL1184" s="319"/>
      <c r="BM1184" s="319"/>
      <c r="BN1184" s="319"/>
      <c r="BO1184" s="319"/>
      <c r="BP1184" s="319"/>
      <c r="BQ1184" s="319"/>
      <c r="BR1184" s="319"/>
      <c r="BS1184" s="319"/>
      <c r="BT1184" s="319"/>
      <c r="BU1184" s="319"/>
      <c r="BV1184" s="319"/>
      <c r="BW1184" s="319"/>
      <c r="BX1184" s="319"/>
      <c r="BY1184" s="319"/>
      <c r="BZ1184" s="319"/>
      <c r="CA1184" s="319"/>
      <c r="CB1184" s="319"/>
      <c r="CC1184" s="319"/>
      <c r="CD1184" s="319"/>
      <c r="CE1184" s="319"/>
      <c r="CF1184" s="319"/>
      <c r="CG1184" s="319"/>
      <c r="CH1184" s="319"/>
      <c r="CI1184" s="319"/>
      <c r="CJ1184" s="319"/>
      <c r="CK1184" s="319"/>
    </row>
    <row r="1185" spans="1:89" ht="12.75" hidden="1" customHeight="1">
      <c r="A1185" s="319"/>
      <c r="B1185" s="319"/>
      <c r="C1185" s="319" t="str">
        <f>Language!C1400</f>
        <v>psia</v>
      </c>
      <c r="D1185" s="319"/>
      <c r="E1185" s="319"/>
      <c r="F1185" s="319"/>
      <c r="G1185" s="319"/>
      <c r="H1185" s="319" t="str">
        <f>B1163</f>
        <v>Outro</v>
      </c>
      <c r="I1185" s="319"/>
      <c r="J1185" s="319" t="str">
        <f>Language!C1382</f>
        <v>milhão Btu</v>
      </c>
      <c r="K1185" s="319">
        <v>3.4121416331279426</v>
      </c>
      <c r="L1185" s="319"/>
      <c r="M1185" s="319"/>
      <c r="N1185" s="319"/>
      <c r="O1185" s="319"/>
      <c r="P1185" s="319"/>
      <c r="Q1185" s="319"/>
      <c r="R1185" s="319"/>
      <c r="S1185" s="319"/>
      <c r="T1185" s="319"/>
      <c r="U1185" s="319"/>
      <c r="V1185" s="319"/>
      <c r="W1185" s="319"/>
      <c r="X1185" s="319"/>
      <c r="Y1185" s="319"/>
      <c r="Z1185" s="319"/>
      <c r="AA1185" s="319"/>
      <c r="AB1185" s="319"/>
      <c r="AC1185" s="319"/>
      <c r="AD1185" s="319"/>
      <c r="AE1185" s="319"/>
      <c r="AF1185" s="319"/>
      <c r="AG1185" s="319"/>
      <c r="AH1185" s="319"/>
      <c r="AI1185" s="319"/>
      <c r="AJ1185" s="319"/>
      <c r="AK1185" s="319"/>
      <c r="AL1185" s="319"/>
      <c r="AM1185" s="319"/>
      <c r="AN1185" s="319"/>
      <c r="AO1185" s="319"/>
      <c r="AP1185" s="319"/>
      <c r="AQ1185" s="319"/>
      <c r="AR1185" s="319"/>
      <c r="AS1185" s="319"/>
      <c r="AT1185" s="319"/>
      <c r="AU1185" s="319"/>
      <c r="AV1185" s="319"/>
      <c r="AW1185" s="319"/>
      <c r="AX1185" s="319"/>
      <c r="AY1185" s="319"/>
      <c r="AZ1185" s="319"/>
      <c r="BA1185" s="319"/>
      <c r="BB1185" s="319"/>
      <c r="BC1185" s="319"/>
      <c r="BD1185" s="319"/>
      <c r="BE1185" s="319"/>
      <c r="BF1185" s="319"/>
      <c r="BG1185" s="319"/>
      <c r="BH1185" s="319"/>
      <c r="BI1185" s="319"/>
      <c r="BJ1185" s="319"/>
      <c r="BK1185" s="319"/>
      <c r="BL1185" s="319"/>
      <c r="BM1185" s="319"/>
      <c r="BN1185" s="319"/>
      <c r="BO1185" s="319"/>
      <c r="BP1185" s="319"/>
      <c r="BQ1185" s="319"/>
      <c r="BR1185" s="319"/>
      <c r="BS1185" s="319"/>
      <c r="BT1185" s="319"/>
      <c r="BU1185" s="319"/>
      <c r="BV1185" s="319"/>
      <c r="BW1185" s="319"/>
      <c r="BX1185" s="319"/>
      <c r="BY1185" s="319"/>
      <c r="BZ1185" s="319"/>
      <c r="CA1185" s="319"/>
      <c r="CB1185" s="319"/>
      <c r="CC1185" s="319"/>
      <c r="CD1185" s="319"/>
      <c r="CE1185" s="319"/>
      <c r="CF1185" s="319"/>
      <c r="CG1185" s="319"/>
      <c r="CH1185" s="319"/>
      <c r="CI1185" s="319"/>
      <c r="CJ1185" s="319"/>
      <c r="CK1185" s="319"/>
    </row>
    <row r="1186" spans="1:89" ht="12.75" hidden="1" customHeight="1">
      <c r="A1186" s="319"/>
      <c r="B1186" s="319"/>
      <c r="C1186" s="319"/>
      <c r="D1186" s="319"/>
      <c r="E1186" s="319"/>
      <c r="F1186" s="319"/>
      <c r="G1186" s="319"/>
      <c r="H1186" s="319"/>
      <c r="I1186" s="319"/>
      <c r="J1186" s="319" t="str">
        <f>Language!C1405</f>
        <v>TRh</v>
      </c>
      <c r="K1186" s="319">
        <v>284.345136093995</v>
      </c>
      <c r="L1186" s="319"/>
      <c r="M1186" s="319"/>
      <c r="N1186" s="319"/>
      <c r="O1186" s="319"/>
      <c r="P1186" s="319"/>
      <c r="Q1186" s="319"/>
      <c r="R1186" s="319"/>
      <c r="S1186" s="319"/>
      <c r="T1186" s="319"/>
      <c r="U1186" s="319"/>
      <c r="V1186" s="319"/>
      <c r="W1186" s="319"/>
      <c r="X1186" s="319"/>
      <c r="Y1186" s="319"/>
      <c r="Z1186" s="319"/>
      <c r="AA1186" s="319"/>
      <c r="AB1186" s="319"/>
      <c r="AC1186" s="319"/>
      <c r="AD1186" s="319"/>
      <c r="AE1186" s="319"/>
      <c r="AF1186" s="319"/>
      <c r="AG1186" s="319"/>
      <c r="AH1186" s="319"/>
      <c r="AI1186" s="319"/>
      <c r="AJ1186" s="319"/>
      <c r="AK1186" s="319"/>
      <c r="AL1186" s="319"/>
      <c r="AM1186" s="319"/>
      <c r="AN1186" s="319"/>
      <c r="AO1186" s="319"/>
      <c r="AP1186" s="319"/>
      <c r="AQ1186" s="319"/>
      <c r="AR1186" s="319"/>
      <c r="AS1186" s="319"/>
      <c r="AT1186" s="319"/>
      <c r="AU1186" s="319"/>
      <c r="AV1186" s="319"/>
      <c r="AW1186" s="319"/>
      <c r="AX1186" s="319"/>
      <c r="AY1186" s="319"/>
      <c r="AZ1186" s="319"/>
      <c r="BA1186" s="319"/>
      <c r="BB1186" s="319"/>
      <c r="BC1186" s="319"/>
      <c r="BD1186" s="319"/>
      <c r="BE1186" s="319"/>
      <c r="BF1186" s="319"/>
      <c r="BG1186" s="319"/>
      <c r="BH1186" s="319"/>
      <c r="BI1186" s="319"/>
      <c r="BJ1186" s="319"/>
      <c r="BK1186" s="319"/>
      <c r="BL1186" s="319"/>
      <c r="BM1186" s="319"/>
      <c r="BN1186" s="319"/>
      <c r="BO1186" s="319"/>
      <c r="BP1186" s="319"/>
      <c r="BQ1186" s="319"/>
      <c r="BR1186" s="319"/>
      <c r="BS1186" s="319"/>
      <c r="BT1186" s="319"/>
      <c r="BU1186" s="319"/>
      <c r="BV1186" s="319"/>
      <c r="BW1186" s="319"/>
      <c r="BX1186" s="319"/>
      <c r="BY1186" s="319"/>
      <c r="BZ1186" s="319"/>
      <c r="CA1186" s="319"/>
      <c r="CB1186" s="319"/>
      <c r="CC1186" s="319"/>
      <c r="CD1186" s="319"/>
      <c r="CE1186" s="319"/>
      <c r="CF1186" s="319"/>
      <c r="CG1186" s="319"/>
      <c r="CH1186" s="319"/>
      <c r="CI1186" s="319"/>
      <c r="CJ1186" s="319"/>
      <c r="CK1186" s="319"/>
    </row>
    <row r="1187" spans="1:89" ht="12.75" hidden="1" customHeight="1">
      <c r="A1187" s="319"/>
      <c r="B1187" s="319" t="str">
        <f>Language!C1410</f>
        <v>tCO2/MWh</v>
      </c>
      <c r="C1187" s="319"/>
      <c r="D1187" s="319"/>
      <c r="E1187" s="319"/>
      <c r="F1187" s="319"/>
      <c r="G1187" s="319"/>
      <c r="H1187" s="319"/>
      <c r="I1187" s="319"/>
      <c r="J1187" s="319" t="str">
        <f>Language!C2238</f>
        <v>m³/s</v>
      </c>
      <c r="K1187" s="319">
        <v>1</v>
      </c>
      <c r="L1187" s="319"/>
      <c r="M1187" s="319"/>
      <c r="N1187" s="319"/>
      <c r="O1187" s="319"/>
      <c r="P1187" s="319"/>
      <c r="Q1187" s="319"/>
      <c r="R1187" s="319"/>
      <c r="S1187" s="319"/>
      <c r="T1187" s="319"/>
      <c r="U1187" s="319"/>
      <c r="V1187" s="319"/>
      <c r="W1187" s="319"/>
      <c r="X1187" s="319"/>
      <c r="Y1187" s="319"/>
      <c r="Z1187" s="319"/>
      <c r="AA1187" s="319"/>
      <c r="AB1187" s="319"/>
      <c r="AC1187" s="319"/>
      <c r="AD1187" s="319"/>
      <c r="AE1187" s="319"/>
      <c r="AF1187" s="319"/>
      <c r="AG1187" s="319"/>
      <c r="AH1187" s="319"/>
      <c r="AI1187" s="319"/>
      <c r="AJ1187" s="319"/>
      <c r="AK1187" s="319"/>
      <c r="AL1187" s="319"/>
      <c r="AM1187" s="319"/>
      <c r="AN1187" s="319"/>
      <c r="AO1187" s="319"/>
      <c r="AP1187" s="319"/>
      <c r="AQ1187" s="319"/>
      <c r="AR1187" s="319"/>
      <c r="AS1187" s="319"/>
      <c r="AT1187" s="319"/>
      <c r="AU1187" s="319"/>
      <c r="AV1187" s="319"/>
      <c r="AW1187" s="319"/>
      <c r="AX1187" s="319"/>
      <c r="AY1187" s="319"/>
      <c r="AZ1187" s="319"/>
      <c r="BA1187" s="319"/>
      <c r="BB1187" s="319"/>
      <c r="BC1187" s="319"/>
      <c r="BD1187" s="319"/>
      <c r="BE1187" s="319"/>
      <c r="BF1187" s="319"/>
      <c r="BG1187" s="319"/>
      <c r="BH1187" s="319"/>
      <c r="BI1187" s="319"/>
      <c r="BJ1187" s="319"/>
      <c r="BK1187" s="319"/>
      <c r="BL1187" s="319"/>
      <c r="BM1187" s="319"/>
      <c r="BN1187" s="319"/>
      <c r="BO1187" s="319"/>
      <c r="BP1187" s="319"/>
      <c r="BQ1187" s="319"/>
      <c r="BR1187" s="319"/>
      <c r="BS1187" s="319"/>
      <c r="BT1187" s="319"/>
      <c r="BU1187" s="319"/>
      <c r="BV1187" s="319"/>
      <c r="BW1187" s="319"/>
      <c r="BX1187" s="319"/>
      <c r="BY1187" s="319"/>
      <c r="BZ1187" s="319"/>
      <c r="CA1187" s="319"/>
      <c r="CB1187" s="319"/>
      <c r="CC1187" s="319"/>
      <c r="CD1187" s="319"/>
      <c r="CE1187" s="319"/>
      <c r="CF1187" s="319"/>
      <c r="CG1187" s="319"/>
      <c r="CH1187" s="319"/>
      <c r="CI1187" s="319"/>
      <c r="CJ1187" s="319"/>
      <c r="CK1187" s="319"/>
    </row>
    <row r="1188" spans="1:89" ht="12.75" hidden="1" customHeight="1">
      <c r="A1188" s="319"/>
      <c r="B1188" s="319" t="str">
        <f>Language!C1353</f>
        <v>kgCO2/kWh</v>
      </c>
      <c r="C1188" s="319"/>
      <c r="D1188" s="319"/>
      <c r="E1188" s="319"/>
      <c r="F1188" s="319"/>
      <c r="G1188" s="319"/>
      <c r="H1188" s="319"/>
      <c r="I1188" s="319"/>
      <c r="J1188" s="319" t="str">
        <f>Language!C2204</f>
        <v>pé³/s</v>
      </c>
      <c r="K1188" s="319">
        <v>35.314666721488599</v>
      </c>
      <c r="L1188" s="319"/>
      <c r="M1188" s="319"/>
      <c r="N1188" s="319"/>
      <c r="O1188" s="319"/>
      <c r="P1188" s="319"/>
      <c r="Q1188" s="319"/>
      <c r="R1188" s="319"/>
      <c r="S1188" s="319"/>
      <c r="T1188" s="319"/>
      <c r="U1188" s="319"/>
      <c r="V1188" s="319"/>
      <c r="W1188" s="319"/>
      <c r="X1188" s="319"/>
      <c r="Y1188" s="319"/>
      <c r="Z1188" s="319"/>
      <c r="AA1188" s="319"/>
      <c r="AB1188" s="319"/>
      <c r="AC1188" s="319"/>
      <c r="AD1188" s="319"/>
      <c r="AE1188" s="319"/>
      <c r="AF1188" s="319"/>
      <c r="AG1188" s="319"/>
      <c r="AH1188" s="319"/>
      <c r="AI1188" s="319"/>
      <c r="AJ1188" s="319"/>
      <c r="AK1188" s="319"/>
      <c r="AL1188" s="319"/>
      <c r="AM1188" s="319"/>
      <c r="AN1188" s="319"/>
      <c r="AO1188" s="319"/>
      <c r="AP1188" s="319"/>
      <c r="AQ1188" s="319"/>
      <c r="AR1188" s="319"/>
      <c r="AS1188" s="319"/>
      <c r="AT1188" s="319"/>
      <c r="AU1188" s="319"/>
      <c r="AV1188" s="319"/>
      <c r="AW1188" s="319"/>
      <c r="AX1188" s="319"/>
      <c r="AY1188" s="319"/>
      <c r="AZ1188" s="319"/>
      <c r="BA1188" s="319"/>
      <c r="BB1188" s="319"/>
      <c r="BC1188" s="319"/>
      <c r="BD1188" s="319"/>
      <c r="BE1188" s="319"/>
      <c r="BF1188" s="319"/>
      <c r="BG1188" s="319"/>
      <c r="BH1188" s="319"/>
      <c r="BI1188" s="319"/>
      <c r="BJ1188" s="319"/>
      <c r="BK1188" s="319"/>
      <c r="BL1188" s="319"/>
      <c r="BM1188" s="319"/>
      <c r="BN1188" s="319"/>
      <c r="BO1188" s="319"/>
      <c r="BP1188" s="319"/>
      <c r="BQ1188" s="319"/>
      <c r="BR1188" s="319"/>
      <c r="BS1188" s="319"/>
      <c r="BT1188" s="319"/>
      <c r="BU1188" s="319"/>
      <c r="BV1188" s="319"/>
      <c r="BW1188" s="319"/>
      <c r="BX1188" s="319"/>
      <c r="BY1188" s="319"/>
      <c r="BZ1188" s="319"/>
      <c r="CA1188" s="319"/>
      <c r="CB1188" s="319"/>
      <c r="CC1188" s="319"/>
      <c r="CD1188" s="319"/>
      <c r="CE1188" s="319"/>
      <c r="CF1188" s="319"/>
      <c r="CG1188" s="319"/>
      <c r="CH1188" s="319"/>
      <c r="CI1188" s="319"/>
      <c r="CJ1188" s="319"/>
      <c r="CK1188" s="319"/>
    </row>
    <row r="1189" spans="1:89" ht="12.75" hidden="1" customHeight="1">
      <c r="A1189" s="319"/>
      <c r="B1189" s="319"/>
      <c r="C1189" s="319"/>
      <c r="D1189" s="319"/>
      <c r="E1189" s="319"/>
      <c r="F1189" s="319"/>
      <c r="G1189" s="319"/>
      <c r="H1189" s="319"/>
      <c r="I1189" s="319"/>
      <c r="J1189" s="319"/>
      <c r="K1189" s="319"/>
      <c r="L1189" s="319"/>
      <c r="M1189" s="319"/>
      <c r="N1189" s="319"/>
      <c r="O1189" s="319"/>
      <c r="P1189" s="319"/>
      <c r="Q1189" s="319"/>
      <c r="R1189" s="319"/>
      <c r="S1189" s="319"/>
      <c r="T1189" s="319"/>
      <c r="U1189" s="319"/>
      <c r="V1189" s="319"/>
      <c r="W1189" s="319"/>
      <c r="X1189" s="319"/>
      <c r="Y1189" s="319"/>
      <c r="Z1189" s="319"/>
      <c r="AA1189" s="319"/>
      <c r="AB1189" s="319"/>
      <c r="AC1189" s="319"/>
      <c r="AD1189" s="319"/>
      <c r="AE1189" s="319"/>
      <c r="AF1189" s="319"/>
      <c r="AG1189" s="319"/>
      <c r="AH1189" s="319"/>
      <c r="AI1189" s="319"/>
      <c r="AJ1189" s="319"/>
      <c r="AK1189" s="319"/>
      <c r="AL1189" s="319"/>
      <c r="AM1189" s="319"/>
      <c r="AN1189" s="319"/>
      <c r="AO1189" s="319"/>
      <c r="AP1189" s="319"/>
      <c r="AQ1189" s="319"/>
      <c r="AR1189" s="319"/>
      <c r="AS1189" s="319"/>
      <c r="AT1189" s="319"/>
      <c r="AU1189" s="319"/>
      <c r="AV1189" s="319"/>
      <c r="AW1189" s="319"/>
      <c r="AX1189" s="319"/>
      <c r="AY1189" s="319"/>
      <c r="AZ1189" s="319"/>
      <c r="BA1189" s="319"/>
      <c r="BB1189" s="319"/>
      <c r="BC1189" s="319"/>
      <c r="BD1189" s="319"/>
      <c r="BE1189" s="319"/>
      <c r="BF1189" s="319"/>
      <c r="BG1189" s="319"/>
      <c r="BH1189" s="319"/>
      <c r="BI1189" s="319"/>
      <c r="BJ1189" s="319"/>
      <c r="BK1189" s="319"/>
      <c r="BL1189" s="319"/>
      <c r="BM1189" s="319"/>
      <c r="BN1189" s="319"/>
      <c r="BO1189" s="319"/>
      <c r="BP1189" s="319"/>
      <c r="BQ1189" s="319"/>
      <c r="BR1189" s="319"/>
      <c r="BS1189" s="319"/>
      <c r="BT1189" s="319"/>
      <c r="BU1189" s="319"/>
      <c r="BV1189" s="319"/>
      <c r="BW1189" s="319"/>
      <c r="BX1189" s="319"/>
      <c r="BY1189" s="319"/>
      <c r="BZ1189" s="319"/>
      <c r="CA1189" s="319"/>
      <c r="CB1189" s="319"/>
      <c r="CC1189" s="319"/>
      <c r="CD1189" s="319"/>
      <c r="CE1189" s="319"/>
      <c r="CF1189" s="319"/>
      <c r="CG1189" s="319"/>
      <c r="CH1189" s="319"/>
      <c r="CI1189" s="319"/>
      <c r="CJ1189" s="319"/>
      <c r="CK1189" s="319"/>
    </row>
    <row r="1190" spans="1:89" ht="12.75" hidden="1" customHeight="1">
      <c r="A1190" s="319"/>
      <c r="B1190" s="319"/>
      <c r="C1190" s="319" t="str">
        <f>Language!C1372</f>
        <v>m</v>
      </c>
      <c r="D1190" s="319">
        <v>1</v>
      </c>
      <c r="E1190" s="319"/>
      <c r="F1190" s="319"/>
      <c r="G1190" s="319"/>
      <c r="H1190" s="319"/>
      <c r="I1190" s="319"/>
      <c r="J1190" s="319" t="str">
        <f>Language!C1374</f>
        <v>m²</v>
      </c>
      <c r="K1190" s="319">
        <v>1</v>
      </c>
      <c r="L1190" s="319"/>
      <c r="M1190" s="319"/>
      <c r="N1190" s="319"/>
      <c r="O1190" s="319"/>
      <c r="P1190" s="319"/>
      <c r="Q1190" s="319"/>
      <c r="R1190" s="319"/>
      <c r="S1190" s="319"/>
      <c r="T1190" s="319"/>
      <c r="U1190" s="319"/>
      <c r="V1190" s="319"/>
      <c r="W1190" s="319"/>
      <c r="X1190" s="319"/>
      <c r="Y1190" s="319"/>
      <c r="Z1190" s="319"/>
      <c r="AA1190" s="319"/>
      <c r="AB1190" s="319"/>
      <c r="AC1190" s="319"/>
      <c r="AD1190" s="319"/>
      <c r="AE1190" s="319"/>
      <c r="AF1190" s="319"/>
      <c r="AG1190" s="319"/>
      <c r="AH1190" s="319"/>
      <c r="AI1190" s="319"/>
      <c r="AJ1190" s="319"/>
      <c r="AK1190" s="319"/>
      <c r="AL1190" s="319"/>
      <c r="AM1190" s="319"/>
      <c r="AN1190" s="319"/>
      <c r="AO1190" s="319"/>
      <c r="AP1190" s="319"/>
      <c r="AQ1190" s="319"/>
      <c r="AR1190" s="319"/>
      <c r="AS1190" s="319"/>
      <c r="AT1190" s="319"/>
      <c r="AU1190" s="319"/>
      <c r="AV1190" s="319"/>
      <c r="AW1190" s="319"/>
      <c r="AX1190" s="319"/>
      <c r="AY1190" s="319"/>
      <c r="AZ1190" s="319"/>
      <c r="BA1190" s="319"/>
      <c r="BB1190" s="319"/>
      <c r="BC1190" s="319"/>
      <c r="BD1190" s="319"/>
      <c r="BE1190" s="319"/>
      <c r="BF1190" s="319"/>
      <c r="BG1190" s="319"/>
      <c r="BH1190" s="319"/>
      <c r="BI1190" s="319"/>
      <c r="BJ1190" s="319"/>
      <c r="BK1190" s="319"/>
      <c r="BL1190" s="319"/>
      <c r="BM1190" s="319"/>
      <c r="BN1190" s="319"/>
      <c r="BO1190" s="319"/>
      <c r="BP1190" s="319"/>
      <c r="BQ1190" s="319"/>
      <c r="BR1190" s="319"/>
      <c r="BS1190" s="319"/>
      <c r="BT1190" s="319"/>
      <c r="BU1190" s="319"/>
      <c r="BV1190" s="319"/>
      <c r="BW1190" s="319"/>
      <c r="BX1190" s="319"/>
      <c r="BY1190" s="319"/>
      <c r="BZ1190" s="319"/>
      <c r="CA1190" s="319"/>
      <c r="CB1190" s="319"/>
      <c r="CC1190" s="319"/>
      <c r="CD1190" s="319"/>
      <c r="CE1190" s="319"/>
      <c r="CF1190" s="319"/>
      <c r="CG1190" s="319"/>
      <c r="CH1190" s="319"/>
      <c r="CI1190" s="319"/>
      <c r="CJ1190" s="319"/>
      <c r="CK1190" s="319"/>
    </row>
    <row r="1191" spans="1:89" ht="12.75" hidden="1" customHeight="1">
      <c r="A1191" s="319"/>
      <c r="B1191" s="319"/>
      <c r="C1191" s="319" t="str">
        <f>Language!C1327</f>
        <v>pe</v>
      </c>
      <c r="D1191" s="319">
        <v>0.30480000000000002</v>
      </c>
      <c r="E1191" s="319"/>
      <c r="F1191" s="468" t="s">
        <v>2476</v>
      </c>
      <c r="G1191" s="469"/>
      <c r="H1191" s="470"/>
      <c r="I1191" s="393" t="s">
        <v>4274</v>
      </c>
      <c r="J1191" s="319" t="str">
        <f>Language!C1329</f>
        <v>pe²</v>
      </c>
      <c r="K1191" s="319">
        <v>9.2903039999999978E-2</v>
      </c>
      <c r="L1191" s="319"/>
      <c r="M1191" s="468" t="s">
        <v>4484</v>
      </c>
      <c r="N1191" s="470"/>
      <c r="O1191" s="319"/>
      <c r="P1191" s="319"/>
      <c r="Q1191" s="319"/>
      <c r="R1191" s="319"/>
      <c r="S1191" s="319"/>
      <c r="T1191" s="319"/>
      <c r="U1191" s="319"/>
      <c r="V1191" s="319"/>
      <c r="W1191" s="319"/>
      <c r="X1191" s="319"/>
      <c r="Y1191" s="319"/>
      <c r="Z1191" s="319"/>
      <c r="AA1191" s="319"/>
      <c r="AB1191" s="319"/>
      <c r="AC1191" s="319"/>
      <c r="AD1191" s="319"/>
      <c r="AE1191" s="319"/>
      <c r="AF1191" s="319"/>
      <c r="AG1191" s="319"/>
      <c r="AH1191" s="319"/>
      <c r="AI1191" s="319"/>
      <c r="AJ1191" s="319"/>
      <c r="AK1191" s="319"/>
      <c r="AL1191" s="319"/>
      <c r="AM1191" s="319"/>
      <c r="AN1191" s="319"/>
      <c r="AO1191" s="319"/>
      <c r="AP1191" s="319"/>
      <c r="AQ1191" s="319"/>
      <c r="AR1191" s="319"/>
      <c r="AS1191" s="319"/>
      <c r="AT1191" s="319"/>
      <c r="AU1191" s="319"/>
      <c r="AV1191" s="319"/>
      <c r="AW1191" s="319"/>
      <c r="AX1191" s="319"/>
      <c r="AY1191" s="319"/>
      <c r="AZ1191" s="319"/>
      <c r="BA1191" s="319"/>
      <c r="BB1191" s="319"/>
      <c r="BC1191" s="319"/>
      <c r="BD1191" s="319"/>
      <c r="BE1191" s="319"/>
      <c r="BF1191" s="319"/>
      <c r="BG1191" s="319"/>
      <c r="BH1191" s="319"/>
      <c r="BI1191" s="319"/>
      <c r="BJ1191" s="319"/>
      <c r="BK1191" s="319"/>
      <c r="BL1191" s="319"/>
      <c r="BM1191" s="319"/>
      <c r="BN1191" s="319"/>
      <c r="BO1191" s="319"/>
      <c r="BP1191" s="319"/>
      <c r="BQ1191" s="319"/>
      <c r="BR1191" s="319"/>
      <c r="BS1191" s="319"/>
      <c r="BT1191" s="319"/>
      <c r="BU1191" s="319"/>
      <c r="BV1191" s="319"/>
      <c r="BW1191" s="319"/>
      <c r="BX1191" s="319"/>
      <c r="BY1191" s="319"/>
      <c r="BZ1191" s="319"/>
      <c r="CA1191" s="319"/>
      <c r="CB1191" s="319"/>
      <c r="CC1191" s="319"/>
      <c r="CD1191" s="319"/>
      <c r="CE1191" s="319"/>
      <c r="CF1191" s="319"/>
      <c r="CG1191" s="319"/>
      <c r="CH1191" s="319"/>
      <c r="CI1191" s="319"/>
      <c r="CJ1191" s="319"/>
      <c r="CK1191" s="319"/>
    </row>
    <row r="1192" spans="1:89" ht="12.75" hidden="1" customHeight="1">
      <c r="A1192" s="319"/>
      <c r="B1192" s="319"/>
      <c r="C1192" s="319"/>
      <c r="D1192" s="319"/>
      <c r="E1192" s="319"/>
      <c r="F1192" s="450">
        <v>732</v>
      </c>
      <c r="G1192" s="353">
        <f>'Carga e Rede'!E321*(1-$E$907)</f>
        <v>0</v>
      </c>
      <c r="H1192" s="868">
        <f t="shared" ref="H1192:H1204" si="219">IF($Q$914&gt;G1192,G1192,$Q$914)</f>
        <v>0</v>
      </c>
      <c r="I1192" s="780">
        <v>10</v>
      </c>
      <c r="J1192" s="319"/>
      <c r="K1192" s="319"/>
      <c r="L1192" s="319"/>
      <c r="M1192" s="867">
        <f>'Carga e Rede'!L321*(1-$E$879)</f>
        <v>0</v>
      </c>
      <c r="N1192" s="868">
        <f>IF($Q$886&gt;M1192,M1192,$Q$886)</f>
        <v>0</v>
      </c>
      <c r="O1192" s="319"/>
      <c r="P1192" s="319"/>
      <c r="Q1192" s="319"/>
      <c r="R1192" s="319"/>
      <c r="S1192" s="319"/>
      <c r="T1192" s="319"/>
      <c r="U1192" s="319"/>
      <c r="V1192" s="319"/>
      <c r="W1192" s="319"/>
      <c r="X1192" s="319"/>
      <c r="Y1192" s="319"/>
      <c r="Z1192" s="319"/>
      <c r="AA1192" s="319"/>
      <c r="AB1192" s="319"/>
      <c r="AC1192" s="319"/>
      <c r="AD1192" s="319"/>
      <c r="AE1192" s="319"/>
      <c r="AF1192" s="319"/>
      <c r="AG1192" s="319"/>
      <c r="AH1192" s="319"/>
      <c r="AI1192" s="319"/>
      <c r="AJ1192" s="319"/>
      <c r="AK1192" s="319"/>
      <c r="AL1192" s="319"/>
      <c r="AM1192" s="319"/>
      <c r="AN1192" s="319"/>
      <c r="AO1192" s="319"/>
      <c r="AP1192" s="319"/>
      <c r="AQ1192" s="319"/>
      <c r="AR1192" s="319"/>
      <c r="AS1192" s="319"/>
      <c r="AT1192" s="319"/>
      <c r="AU1192" s="319"/>
      <c r="AV1192" s="319"/>
      <c r="AW1192" s="319"/>
      <c r="AX1192" s="319"/>
      <c r="AY1192" s="319"/>
      <c r="AZ1192" s="319"/>
      <c r="BA1192" s="319"/>
      <c r="BB1192" s="319"/>
      <c r="BC1192" s="319"/>
      <c r="BD1192" s="319"/>
      <c r="BE1192" s="319"/>
      <c r="BF1192" s="319"/>
      <c r="BG1192" s="319"/>
      <c r="BH1192" s="319"/>
      <c r="BI1192" s="319"/>
      <c r="BJ1192" s="319"/>
      <c r="BK1192" s="319"/>
      <c r="BL1192" s="319"/>
      <c r="BM1192" s="319"/>
      <c r="BN1192" s="319"/>
      <c r="BO1192" s="319"/>
      <c r="BP1192" s="319"/>
      <c r="BQ1192" s="319"/>
      <c r="BR1192" s="319"/>
      <c r="BS1192" s="319"/>
      <c r="BT1192" s="319"/>
      <c r="BU1192" s="319"/>
      <c r="BV1192" s="319"/>
      <c r="BW1192" s="319"/>
      <c r="BX1192" s="319"/>
      <c r="BY1192" s="319"/>
      <c r="BZ1192" s="319"/>
      <c r="CA1192" s="319"/>
      <c r="CB1192" s="319"/>
      <c r="CC1192" s="319"/>
      <c r="CD1192" s="319"/>
      <c r="CE1192" s="319"/>
      <c r="CF1192" s="319"/>
      <c r="CG1192" s="319"/>
      <c r="CH1192" s="319"/>
      <c r="CI1192" s="319"/>
      <c r="CJ1192" s="319"/>
      <c r="CK1192" s="319"/>
    </row>
    <row r="1193" spans="1:89" ht="12.75" hidden="1" customHeight="1">
      <c r="A1193" s="319"/>
      <c r="B1193" s="319"/>
      <c r="C1193" s="319" t="str">
        <f>Language!C2232</f>
        <v>m/s</v>
      </c>
      <c r="D1193" s="319">
        <v>1</v>
      </c>
      <c r="E1193" s="319"/>
      <c r="F1193" s="450">
        <v>661</v>
      </c>
      <c r="G1193" s="353">
        <f>'Carga e Rede'!E322*(1-$E$907)</f>
        <v>0</v>
      </c>
      <c r="H1193" s="868">
        <f t="shared" si="219"/>
        <v>0</v>
      </c>
      <c r="I1193" s="781">
        <v>1</v>
      </c>
      <c r="J1193" s="319" t="str">
        <f>Language!C2233</f>
        <v>m² - ºC/W</v>
      </c>
      <c r="K1193" s="319">
        <v>1</v>
      </c>
      <c r="L1193" s="319"/>
      <c r="M1193" s="867">
        <f>'Carga e Rede'!L322*(1-$E$879)</f>
        <v>0</v>
      </c>
      <c r="N1193" s="868">
        <f t="shared" ref="N1193:N1204" si="220">IF($Q$886&gt;M1193,M1193,$Q$886)</f>
        <v>0</v>
      </c>
      <c r="O1193" s="319"/>
      <c r="P1193" s="319"/>
      <c r="Q1193" s="319"/>
      <c r="R1193" s="319"/>
      <c r="S1193" s="319"/>
      <c r="T1193" s="319"/>
      <c r="U1193" s="319"/>
      <c r="V1193" s="319"/>
      <c r="W1193" s="319"/>
      <c r="X1193" s="319"/>
      <c r="Y1193" s="319"/>
      <c r="Z1193" s="319"/>
      <c r="AA1193" s="319"/>
      <c r="AB1193" s="319"/>
      <c r="AC1193" s="319"/>
      <c r="AD1193" s="319"/>
      <c r="AE1193" s="319"/>
      <c r="AF1193" s="319"/>
      <c r="AG1193" s="319"/>
      <c r="AH1193" s="319"/>
      <c r="AI1193" s="319"/>
      <c r="AJ1193" s="319"/>
      <c r="AK1193" s="319"/>
      <c r="AL1193" s="319"/>
      <c r="AM1193" s="319"/>
      <c r="AN1193" s="319"/>
      <c r="AO1193" s="319"/>
      <c r="AP1193" s="319"/>
      <c r="AQ1193" s="319"/>
      <c r="AR1193" s="319"/>
      <c r="AS1193" s="319"/>
      <c r="AT1193" s="319"/>
      <c r="AU1193" s="319"/>
      <c r="AV1193" s="319"/>
      <c r="AW1193" s="319"/>
      <c r="AX1193" s="319"/>
      <c r="AY1193" s="319"/>
      <c r="AZ1193" s="319"/>
      <c r="BA1193" s="319"/>
      <c r="BB1193" s="319"/>
      <c r="BC1193" s="319"/>
      <c r="BD1193" s="319"/>
      <c r="BE1193" s="319"/>
      <c r="BF1193" s="319"/>
      <c r="BG1193" s="319"/>
      <c r="BH1193" s="319"/>
      <c r="BI1193" s="319"/>
      <c r="BJ1193" s="319"/>
      <c r="BK1193" s="319"/>
      <c r="BL1193" s="319"/>
      <c r="BM1193" s="319"/>
      <c r="BN1193" s="319"/>
      <c r="BO1193" s="319"/>
      <c r="BP1193" s="319"/>
      <c r="BQ1193" s="319"/>
      <c r="BR1193" s="319"/>
      <c r="BS1193" s="319"/>
      <c r="BT1193" s="319"/>
      <c r="BU1193" s="319"/>
      <c r="BV1193" s="319"/>
      <c r="BW1193" s="319"/>
      <c r="BX1193" s="319"/>
      <c r="BY1193" s="319"/>
      <c r="BZ1193" s="319"/>
      <c r="CA1193" s="319"/>
      <c r="CB1193" s="319"/>
      <c r="CC1193" s="319"/>
      <c r="CD1193" s="319"/>
      <c r="CE1193" s="319"/>
      <c r="CF1193" s="319"/>
      <c r="CG1193" s="319"/>
      <c r="CH1193" s="319"/>
      <c r="CI1193" s="319"/>
      <c r="CJ1193" s="319"/>
      <c r="CK1193" s="319"/>
    </row>
    <row r="1194" spans="1:89" ht="12.75" hidden="1" customHeight="1">
      <c r="A1194" s="319"/>
      <c r="B1194" s="319"/>
      <c r="C1194" s="319" t="str">
        <f>Language!C2244</f>
        <v>mph</v>
      </c>
      <c r="D1194" s="319">
        <v>0.44703999999999999</v>
      </c>
      <c r="E1194" s="319"/>
      <c r="F1194" s="450">
        <v>732</v>
      </c>
      <c r="G1194" s="353">
        <f>'Carga e Rede'!E323*(1-$E$907)</f>
        <v>0</v>
      </c>
      <c r="H1194" s="868">
        <f t="shared" si="219"/>
        <v>0</v>
      </c>
      <c r="I1194" s="781">
        <v>6</v>
      </c>
      <c r="J1194" s="319" t="str">
        <f>Language!C2201</f>
        <v>pé² - ºF/(Btu/h)</v>
      </c>
      <c r="K1194" s="319">
        <v>0.17611018368230585</v>
      </c>
      <c r="L1194" s="319"/>
      <c r="M1194" s="867">
        <f>'Carga e Rede'!L323*(1-$E$879)</f>
        <v>0</v>
      </c>
      <c r="N1194" s="868">
        <f t="shared" si="220"/>
        <v>0</v>
      </c>
      <c r="O1194" s="319"/>
      <c r="P1194" s="319"/>
      <c r="Q1194" s="319"/>
      <c r="R1194" s="319"/>
      <c r="S1194" s="319"/>
      <c r="T1194" s="319"/>
      <c r="U1194" s="319"/>
      <c r="V1194" s="319"/>
      <c r="W1194" s="319"/>
      <c r="X1194" s="319"/>
      <c r="Y1194" s="319"/>
      <c r="Z1194" s="319"/>
      <c r="AA1194" s="319"/>
      <c r="AB1194" s="319"/>
      <c r="AC1194" s="319"/>
      <c r="AD1194" s="319"/>
      <c r="AE1194" s="319"/>
      <c r="AF1194" s="319"/>
      <c r="AG1194" s="319"/>
      <c r="AH1194" s="319"/>
      <c r="AI1194" s="319"/>
      <c r="AJ1194" s="319"/>
      <c r="AK1194" s="319"/>
      <c r="AL1194" s="319"/>
      <c r="AM1194" s="319"/>
      <c r="AN1194" s="319"/>
      <c r="AO1194" s="319"/>
      <c r="AP1194" s="319"/>
      <c r="AQ1194" s="319"/>
      <c r="AR1194" s="319"/>
      <c r="AS1194" s="319"/>
      <c r="AT1194" s="319"/>
      <c r="AU1194" s="319"/>
      <c r="AV1194" s="319"/>
      <c r="AW1194" s="319"/>
      <c r="AX1194" s="319"/>
      <c r="AY1194" s="319"/>
      <c r="AZ1194" s="319"/>
      <c r="BA1194" s="319"/>
      <c r="BB1194" s="319"/>
      <c r="BC1194" s="319"/>
      <c r="BD1194" s="319"/>
      <c r="BE1194" s="319"/>
      <c r="BF1194" s="319"/>
      <c r="BG1194" s="319"/>
      <c r="BH1194" s="319"/>
      <c r="BI1194" s="319"/>
      <c r="BJ1194" s="319"/>
      <c r="BK1194" s="319"/>
      <c r="BL1194" s="319"/>
      <c r="BM1194" s="319"/>
      <c r="BN1194" s="319"/>
      <c r="BO1194" s="319"/>
      <c r="BP1194" s="319"/>
      <c r="BQ1194" s="319"/>
      <c r="BR1194" s="319"/>
      <c r="BS1194" s="319"/>
      <c r="BT1194" s="319"/>
      <c r="BU1194" s="319"/>
      <c r="BV1194" s="319"/>
      <c r="BW1194" s="319"/>
      <c r="BX1194" s="319"/>
      <c r="BY1194" s="319"/>
      <c r="BZ1194" s="319"/>
      <c r="CA1194" s="319"/>
      <c r="CB1194" s="319"/>
      <c r="CC1194" s="319"/>
      <c r="CD1194" s="319"/>
      <c r="CE1194" s="319"/>
      <c r="CF1194" s="319"/>
      <c r="CG1194" s="319"/>
      <c r="CH1194" s="319"/>
      <c r="CI1194" s="319"/>
      <c r="CJ1194" s="319"/>
      <c r="CK1194" s="319"/>
    </row>
    <row r="1195" spans="1:89" ht="12.75" hidden="1" customHeight="1">
      <c r="A1195" s="319"/>
      <c r="B1195" s="319"/>
      <c r="C1195" s="319" t="str">
        <f>Language!C1416</f>
        <v>W/m²</v>
      </c>
      <c r="D1195" s="319"/>
      <c r="E1195" s="319"/>
      <c r="F1195" s="450">
        <v>708</v>
      </c>
      <c r="G1195" s="353">
        <f>'Carga e Rede'!E324*(1-$E$907)</f>
        <v>0</v>
      </c>
      <c r="H1195" s="868">
        <f t="shared" si="219"/>
        <v>0</v>
      </c>
      <c r="I1195" s="781"/>
      <c r="J1195" s="319"/>
      <c r="K1195" s="319"/>
      <c r="L1195" s="319"/>
      <c r="M1195" s="867">
        <f>'Carga e Rede'!L324*(1-$E$879)</f>
        <v>0</v>
      </c>
      <c r="N1195" s="868">
        <f t="shared" si="220"/>
        <v>0</v>
      </c>
      <c r="O1195" s="319"/>
      <c r="P1195" s="319"/>
      <c r="Q1195" s="319"/>
      <c r="R1195" s="319"/>
      <c r="S1195" s="319"/>
      <c r="T1195" s="319"/>
      <c r="U1195" s="319"/>
      <c r="V1195" s="319"/>
      <c r="W1195" s="319"/>
      <c r="X1195" s="319"/>
      <c r="Y1195" s="319"/>
      <c r="Z1195" s="319"/>
      <c r="AA1195" s="319"/>
      <c r="AB1195" s="319"/>
      <c r="AC1195" s="319"/>
      <c r="AD1195" s="319"/>
      <c r="AE1195" s="319"/>
      <c r="AF1195" s="319"/>
      <c r="AG1195" s="319"/>
      <c r="AH1195" s="319"/>
      <c r="AI1195" s="319"/>
      <c r="AJ1195" s="319"/>
      <c r="AK1195" s="319"/>
      <c r="AL1195" s="319"/>
      <c r="AM1195" s="319"/>
      <c r="AN1195" s="319"/>
      <c r="AO1195" s="319"/>
      <c r="AP1195" s="319"/>
      <c r="AQ1195" s="319"/>
      <c r="AR1195" s="319"/>
      <c r="AS1195" s="319"/>
      <c r="AT1195" s="319"/>
      <c r="AU1195" s="319"/>
      <c r="AV1195" s="319"/>
      <c r="AW1195" s="319"/>
      <c r="AX1195" s="319"/>
      <c r="AY1195" s="319"/>
      <c r="AZ1195" s="319"/>
      <c r="BA1195" s="319"/>
      <c r="BB1195" s="319"/>
      <c r="BC1195" s="319"/>
      <c r="BD1195" s="319"/>
      <c r="BE1195" s="319"/>
      <c r="BF1195" s="319"/>
      <c r="BG1195" s="319"/>
      <c r="BH1195" s="319"/>
      <c r="BI1195" s="319"/>
      <c r="BJ1195" s="319"/>
      <c r="BK1195" s="319"/>
      <c r="BL1195" s="319"/>
      <c r="BM1195" s="319"/>
      <c r="BN1195" s="319"/>
      <c r="BO1195" s="319"/>
      <c r="BP1195" s="319"/>
      <c r="BQ1195" s="319"/>
      <c r="BR1195" s="319"/>
      <c r="BS1195" s="319"/>
      <c r="BT1195" s="319"/>
      <c r="BU1195" s="319"/>
      <c r="BV1195" s="319"/>
      <c r="BW1195" s="319"/>
      <c r="BX1195" s="319"/>
      <c r="BY1195" s="319"/>
      <c r="BZ1195" s="319"/>
      <c r="CA1195" s="319"/>
      <c r="CB1195" s="319"/>
      <c r="CC1195" s="319"/>
      <c r="CD1195" s="319"/>
      <c r="CE1195" s="319"/>
      <c r="CF1195" s="319"/>
      <c r="CG1195" s="319"/>
      <c r="CH1195" s="319"/>
      <c r="CI1195" s="319"/>
      <c r="CJ1195" s="319"/>
      <c r="CK1195" s="319"/>
    </row>
    <row r="1196" spans="1:89" ht="12.75" hidden="1" customHeight="1">
      <c r="A1196" s="319"/>
      <c r="B1196" s="319"/>
      <c r="C1196" s="319"/>
      <c r="D1196" s="319"/>
      <c r="E1196" s="319"/>
      <c r="F1196" s="450">
        <v>732</v>
      </c>
      <c r="G1196" s="353">
        <f>'Carga e Rede'!E325*(1-$E$907)</f>
        <v>0</v>
      </c>
      <c r="H1196" s="868">
        <f t="shared" si="219"/>
        <v>0</v>
      </c>
      <c r="I1196" s="781">
        <v>3</v>
      </c>
      <c r="J1196" s="319" t="str">
        <f>B1178</f>
        <v>L/s</v>
      </c>
      <c r="K1196" s="319">
        <v>1</v>
      </c>
      <c r="L1196" s="319"/>
      <c r="M1196" s="867">
        <f>'Carga e Rede'!L325*(1-$E$879)</f>
        <v>0</v>
      </c>
      <c r="N1196" s="868">
        <f t="shared" si="220"/>
        <v>0</v>
      </c>
      <c r="O1196" s="319"/>
      <c r="P1196" s="319"/>
      <c r="Q1196" s="319"/>
      <c r="R1196" s="319"/>
      <c r="S1196" s="319"/>
      <c r="T1196" s="319"/>
      <c r="U1196" s="319"/>
      <c r="V1196" s="319"/>
      <c r="W1196" s="319"/>
      <c r="X1196" s="319"/>
      <c r="Y1196" s="319"/>
      <c r="Z1196" s="319"/>
      <c r="AA1196" s="319"/>
      <c r="AB1196" s="319"/>
      <c r="AC1196" s="319"/>
      <c r="AD1196" s="319"/>
      <c r="AE1196" s="319"/>
      <c r="AF1196" s="319"/>
      <c r="AG1196" s="319"/>
      <c r="AH1196" s="319"/>
      <c r="AI1196" s="319"/>
      <c r="AJ1196" s="319"/>
      <c r="AK1196" s="319"/>
      <c r="AL1196" s="319"/>
      <c r="AM1196" s="319"/>
      <c r="AN1196" s="319"/>
      <c r="AO1196" s="319"/>
      <c r="AP1196" s="319"/>
      <c r="AQ1196" s="319"/>
      <c r="AR1196" s="319"/>
      <c r="AS1196" s="319"/>
      <c r="AT1196" s="319"/>
      <c r="AU1196" s="319"/>
      <c r="AV1196" s="319"/>
      <c r="AW1196" s="319"/>
      <c r="AX1196" s="319"/>
      <c r="AY1196" s="319"/>
      <c r="AZ1196" s="319"/>
      <c r="BA1196" s="319"/>
      <c r="BB1196" s="319"/>
      <c r="BC1196" s="319"/>
      <c r="BD1196" s="319"/>
      <c r="BE1196" s="319"/>
      <c r="BF1196" s="319"/>
      <c r="BG1196" s="319"/>
      <c r="BH1196" s="319"/>
      <c r="BI1196" s="319"/>
      <c r="BJ1196" s="319"/>
      <c r="BK1196" s="319"/>
      <c r="BL1196" s="319"/>
      <c r="BM1196" s="319"/>
      <c r="BN1196" s="319"/>
      <c r="BO1196" s="319"/>
      <c r="BP1196" s="319"/>
      <c r="BQ1196" s="319"/>
      <c r="BR1196" s="319"/>
      <c r="BS1196" s="319"/>
      <c r="BT1196" s="319"/>
      <c r="BU1196" s="319"/>
      <c r="BV1196" s="319"/>
      <c r="BW1196" s="319"/>
      <c r="BX1196" s="319"/>
      <c r="BY1196" s="319"/>
      <c r="BZ1196" s="319"/>
      <c r="CA1196" s="319"/>
      <c r="CB1196" s="319"/>
      <c r="CC1196" s="319"/>
      <c r="CD1196" s="319"/>
      <c r="CE1196" s="319"/>
      <c r="CF1196" s="319"/>
      <c r="CG1196" s="319"/>
      <c r="CH1196" s="319"/>
      <c r="CI1196" s="319"/>
      <c r="CJ1196" s="319"/>
      <c r="CK1196" s="319"/>
    </row>
    <row r="1197" spans="1:89" ht="12.75" hidden="1" customHeight="1">
      <c r="A1197" s="319"/>
      <c r="B1197" s="319"/>
      <c r="C1197" s="319" t="str">
        <f>C1182</f>
        <v>kPa</v>
      </c>
      <c r="D1197" s="319">
        <v>1</v>
      </c>
      <c r="E1197" s="319"/>
      <c r="F1197" s="450">
        <v>708</v>
      </c>
      <c r="G1197" s="353">
        <f>'Carga e Rede'!E326*(1-$E$907)</f>
        <v>0</v>
      </c>
      <c r="H1197" s="868">
        <f t="shared" si="219"/>
        <v>0</v>
      </c>
      <c r="I1197" s="781">
        <v>8</v>
      </c>
      <c r="J1197" s="319" t="str">
        <f>B1179</f>
        <v>m³/s</v>
      </c>
      <c r="K1197" s="319">
        <v>1000</v>
      </c>
      <c r="L1197" s="319"/>
      <c r="M1197" s="867">
        <f>'Carga e Rede'!L326*(1-$E$879)</f>
        <v>0</v>
      </c>
      <c r="N1197" s="868">
        <f t="shared" si="220"/>
        <v>0</v>
      </c>
      <c r="O1197" s="319"/>
      <c r="P1197" s="319"/>
      <c r="Q1197" s="319"/>
      <c r="R1197" s="319"/>
      <c r="S1197" s="319"/>
      <c r="T1197" s="319"/>
      <c r="U1197" s="319"/>
      <c r="V1197" s="319"/>
      <c r="W1197" s="319"/>
      <c r="X1197" s="319"/>
      <c r="Y1197" s="319"/>
      <c r="Z1197" s="319"/>
      <c r="AA1197" s="319"/>
      <c r="AB1197" s="319"/>
      <c r="AC1197" s="319"/>
      <c r="AD1197" s="319"/>
      <c r="AE1197" s="319"/>
      <c r="AF1197" s="319"/>
      <c r="AG1197" s="319"/>
      <c r="AH1197" s="319"/>
      <c r="AI1197" s="319"/>
      <c r="AJ1197" s="319"/>
      <c r="AK1197" s="319"/>
      <c r="AL1197" s="319"/>
      <c r="AM1197" s="319"/>
      <c r="AN1197" s="319"/>
      <c r="AO1197" s="319"/>
      <c r="AP1197" s="319"/>
      <c r="AQ1197" s="319"/>
      <c r="AR1197" s="319"/>
      <c r="AS1197" s="319"/>
      <c r="AT1197" s="319"/>
      <c r="AU1197" s="319"/>
      <c r="AV1197" s="319"/>
      <c r="AW1197" s="319"/>
      <c r="AX1197" s="319"/>
      <c r="AY1197" s="319"/>
      <c r="AZ1197" s="319"/>
      <c r="BA1197" s="319"/>
      <c r="BB1197" s="319"/>
      <c r="BC1197" s="319"/>
      <c r="BD1197" s="319"/>
      <c r="BE1197" s="319"/>
      <c r="BF1197" s="319"/>
      <c r="BG1197" s="319"/>
      <c r="BH1197" s="319"/>
      <c r="BI1197" s="319"/>
      <c r="BJ1197" s="319"/>
      <c r="BK1197" s="319"/>
      <c r="BL1197" s="319"/>
      <c r="BM1197" s="319"/>
      <c r="BN1197" s="319"/>
      <c r="BO1197" s="319"/>
      <c r="BP1197" s="319"/>
      <c r="BQ1197" s="319"/>
      <c r="BR1197" s="319"/>
      <c r="BS1197" s="319"/>
      <c r="BT1197" s="319"/>
      <c r="BU1197" s="319"/>
      <c r="BV1197" s="319"/>
      <c r="BW1197" s="319"/>
      <c r="BX1197" s="319"/>
      <c r="BY1197" s="319"/>
      <c r="BZ1197" s="319"/>
      <c r="CA1197" s="319"/>
      <c r="CB1197" s="319"/>
      <c r="CC1197" s="319"/>
      <c r="CD1197" s="319"/>
      <c r="CE1197" s="319"/>
      <c r="CF1197" s="319"/>
      <c r="CG1197" s="319"/>
      <c r="CH1197" s="319"/>
      <c r="CI1197" s="319"/>
      <c r="CJ1197" s="319"/>
      <c r="CK1197" s="319"/>
    </row>
    <row r="1198" spans="1:89" ht="12.75" hidden="1" customHeight="1">
      <c r="A1198" s="319"/>
      <c r="B1198" s="319"/>
      <c r="C1198" s="319" t="str">
        <f>Language!$C$2240</f>
        <v>mBar</v>
      </c>
      <c r="D1198" s="319">
        <v>0.1</v>
      </c>
      <c r="E1198" s="319"/>
      <c r="F1198" s="450">
        <v>732</v>
      </c>
      <c r="G1198" s="353">
        <f>'Carga e Rede'!E327*(1-$E$907)</f>
        <v>0</v>
      </c>
      <c r="H1198" s="868">
        <f t="shared" si="219"/>
        <v>0</v>
      </c>
      <c r="I1198" s="781"/>
      <c r="J1198" s="319" t="str">
        <f>B1180</f>
        <v>m³/h</v>
      </c>
      <c r="K1198" s="319">
        <f>1/3.6</f>
        <v>0.27777777777777779</v>
      </c>
      <c r="L1198" s="319"/>
      <c r="M1198" s="867">
        <f>'Carga e Rede'!L327*(1-$E$879)</f>
        <v>0</v>
      </c>
      <c r="N1198" s="868">
        <f t="shared" si="220"/>
        <v>0</v>
      </c>
      <c r="O1198" s="319"/>
      <c r="P1198" s="319"/>
      <c r="Q1198" s="319"/>
      <c r="R1198" s="319"/>
      <c r="S1198" s="319"/>
      <c r="T1198" s="319"/>
      <c r="U1198" s="319"/>
      <c r="V1198" s="319"/>
      <c r="W1198" s="319"/>
      <c r="X1198" s="319"/>
      <c r="Y1198" s="319"/>
      <c r="Z1198" s="319"/>
      <c r="AA1198" s="319"/>
      <c r="AB1198" s="319"/>
      <c r="AC1198" s="319"/>
      <c r="AD1198" s="319"/>
      <c r="AE1198" s="319"/>
      <c r="AF1198" s="319"/>
      <c r="AG1198" s="319"/>
      <c r="AH1198" s="319"/>
      <c r="AI1198" s="319"/>
      <c r="AJ1198" s="319"/>
      <c r="AK1198" s="319"/>
      <c r="AL1198" s="319"/>
      <c r="AM1198" s="319"/>
      <c r="AN1198" s="319"/>
      <c r="AO1198" s="319"/>
      <c r="AP1198" s="319"/>
      <c r="AQ1198" s="319"/>
      <c r="AR1198" s="319"/>
      <c r="AS1198" s="319"/>
      <c r="AT1198" s="319"/>
      <c r="AU1198" s="319"/>
      <c r="AV1198" s="319"/>
      <c r="AW1198" s="319"/>
      <c r="AX1198" s="319"/>
      <c r="AY1198" s="319"/>
      <c r="AZ1198" s="319"/>
      <c r="BA1198" s="319"/>
      <c r="BB1198" s="319"/>
      <c r="BC1198" s="319"/>
      <c r="BD1198" s="319"/>
      <c r="BE1198" s="319"/>
      <c r="BF1198" s="319"/>
      <c r="BG1198" s="319"/>
      <c r="BH1198" s="319"/>
      <c r="BI1198" s="319"/>
      <c r="BJ1198" s="319"/>
      <c r="BK1198" s="319"/>
      <c r="BL1198" s="319"/>
      <c r="BM1198" s="319"/>
      <c r="BN1198" s="319"/>
      <c r="BO1198" s="319"/>
      <c r="BP1198" s="319"/>
      <c r="BQ1198" s="319"/>
      <c r="BR1198" s="319"/>
      <c r="BS1198" s="319"/>
      <c r="BT1198" s="319"/>
      <c r="BU1198" s="319"/>
      <c r="BV1198" s="319"/>
      <c r="BW1198" s="319"/>
      <c r="BX1198" s="319"/>
      <c r="BY1198" s="319"/>
      <c r="BZ1198" s="319"/>
      <c r="CA1198" s="319"/>
      <c r="CB1198" s="319"/>
      <c r="CC1198" s="319"/>
      <c r="CD1198" s="319"/>
      <c r="CE1198" s="319"/>
      <c r="CF1198" s="319"/>
      <c r="CG1198" s="319"/>
      <c r="CH1198" s="319"/>
      <c r="CI1198" s="319"/>
      <c r="CJ1198" s="319"/>
      <c r="CK1198" s="319"/>
    </row>
    <row r="1199" spans="1:89" ht="12.75" hidden="1" customHeight="1">
      <c r="A1199" s="319"/>
      <c r="B1199" s="319"/>
      <c r="C1199" s="319" t="str">
        <f>Language!C1349</f>
        <v>po Hg</v>
      </c>
      <c r="D1199" s="319">
        <v>3.38639</v>
      </c>
      <c r="E1199" s="319"/>
      <c r="F1199" s="450">
        <v>732</v>
      </c>
      <c r="G1199" s="353">
        <f>'Carga e Rede'!E328*(1-$E$907)</f>
        <v>0</v>
      </c>
      <c r="H1199" s="868">
        <f t="shared" si="219"/>
        <v>0</v>
      </c>
      <c r="I1199" s="782"/>
      <c r="J1199" s="319" t="str">
        <f>B1181</f>
        <v>pcm</v>
      </c>
      <c r="K1199" s="319">
        <v>0.47194744319999993</v>
      </c>
      <c r="L1199" s="319"/>
      <c r="M1199" s="867">
        <f>'Carga e Rede'!L328*(1-$E$879)</f>
        <v>0</v>
      </c>
      <c r="N1199" s="868">
        <f t="shared" si="220"/>
        <v>0</v>
      </c>
      <c r="O1199" s="319"/>
      <c r="P1199" s="319"/>
      <c r="Q1199" s="319"/>
      <c r="R1199" s="319"/>
      <c r="S1199" s="319"/>
      <c r="T1199" s="319"/>
      <c r="U1199" s="319"/>
      <c r="V1199" s="319"/>
      <c r="W1199" s="319"/>
      <c r="X1199" s="319"/>
      <c r="Y1199" s="319"/>
      <c r="Z1199" s="319"/>
      <c r="AA1199" s="319"/>
      <c r="AB1199" s="319"/>
      <c r="AC1199" s="319"/>
      <c r="AD1199" s="319"/>
      <c r="AE1199" s="319"/>
      <c r="AF1199" s="319"/>
      <c r="AG1199" s="319"/>
      <c r="AH1199" s="319"/>
      <c r="AI1199" s="319"/>
      <c r="AJ1199" s="319"/>
      <c r="AK1199" s="319"/>
      <c r="AL1199" s="319"/>
      <c r="AM1199" s="319"/>
      <c r="AN1199" s="319"/>
      <c r="AO1199" s="319"/>
      <c r="AP1199" s="319"/>
      <c r="AQ1199" s="319"/>
      <c r="AR1199" s="319"/>
      <c r="AS1199" s="319"/>
      <c r="AT1199" s="319"/>
      <c r="AU1199" s="319"/>
      <c r="AV1199" s="319"/>
      <c r="AW1199" s="319"/>
      <c r="AX1199" s="319"/>
      <c r="AY1199" s="319"/>
      <c r="AZ1199" s="319"/>
      <c r="BA1199" s="319"/>
      <c r="BB1199" s="319"/>
      <c r="BC1199" s="319"/>
      <c r="BD1199" s="319"/>
      <c r="BE1199" s="319"/>
      <c r="BF1199" s="319"/>
      <c r="BG1199" s="319"/>
      <c r="BH1199" s="319"/>
      <c r="BI1199" s="319"/>
      <c r="BJ1199" s="319"/>
      <c r="BK1199" s="319"/>
      <c r="BL1199" s="319"/>
      <c r="BM1199" s="319"/>
      <c r="BN1199" s="319"/>
      <c r="BO1199" s="319"/>
      <c r="BP1199" s="319"/>
      <c r="BQ1199" s="319"/>
      <c r="BR1199" s="319"/>
      <c r="BS1199" s="319"/>
      <c r="BT1199" s="319"/>
      <c r="BU1199" s="319"/>
      <c r="BV1199" s="319"/>
      <c r="BW1199" s="319"/>
      <c r="BX1199" s="319"/>
      <c r="BY1199" s="319"/>
      <c r="BZ1199" s="319"/>
      <c r="CA1199" s="319"/>
      <c r="CB1199" s="319"/>
      <c r="CC1199" s="319"/>
      <c r="CD1199" s="319"/>
      <c r="CE1199" s="319"/>
      <c r="CF1199" s="319"/>
      <c r="CG1199" s="319"/>
      <c r="CH1199" s="319"/>
      <c r="CI1199" s="319"/>
      <c r="CJ1199" s="319"/>
      <c r="CK1199" s="319"/>
    </row>
    <row r="1200" spans="1:89" ht="12.75" hidden="1" customHeight="1">
      <c r="A1200" s="319"/>
      <c r="B1200" s="319"/>
      <c r="C1200" s="319"/>
      <c r="D1200" s="319"/>
      <c r="E1200" s="319"/>
      <c r="F1200" s="450">
        <v>708</v>
      </c>
      <c r="G1200" s="353">
        <f>'Carga e Rede'!E329*(1-$E$907)</f>
        <v>0</v>
      </c>
      <c r="H1200" s="868">
        <f t="shared" si="219"/>
        <v>0</v>
      </c>
      <c r="I1200" s="319"/>
      <c r="J1200" s="319"/>
      <c r="K1200" s="319"/>
      <c r="L1200" s="319"/>
      <c r="M1200" s="867">
        <f>'Carga e Rede'!L329*(1-$E$879)</f>
        <v>0</v>
      </c>
      <c r="N1200" s="868">
        <f t="shared" si="220"/>
        <v>0</v>
      </c>
      <c r="O1200" s="319"/>
      <c r="P1200" s="319"/>
      <c r="Q1200" s="319"/>
      <c r="R1200" s="319"/>
      <c r="S1200" s="319"/>
      <c r="T1200" s="319"/>
      <c r="U1200" s="319"/>
      <c r="V1200" s="319"/>
      <c r="W1200" s="319"/>
      <c r="X1200" s="319"/>
      <c r="Y1200" s="319"/>
      <c r="Z1200" s="319"/>
      <c r="AA1200" s="319"/>
      <c r="AB1200" s="319"/>
      <c r="AC1200" s="319"/>
      <c r="AD1200" s="319"/>
      <c r="AE1200" s="319"/>
      <c r="AF1200" s="319"/>
      <c r="AG1200" s="319"/>
      <c r="AH1200" s="319"/>
      <c r="AI1200" s="319"/>
      <c r="AJ1200" s="319"/>
      <c r="AK1200" s="319"/>
      <c r="AL1200" s="319"/>
      <c r="AM1200" s="319"/>
      <c r="AN1200" s="319"/>
      <c r="AO1200" s="319"/>
      <c r="AP1200" s="319"/>
      <c r="AQ1200" s="319"/>
      <c r="AR1200" s="319"/>
      <c r="AS1200" s="319"/>
      <c r="AT1200" s="319"/>
      <c r="AU1200" s="319"/>
      <c r="AV1200" s="319"/>
      <c r="AW1200" s="319"/>
      <c r="AX1200" s="319"/>
      <c r="AY1200" s="319"/>
      <c r="AZ1200" s="319"/>
      <c r="BA1200" s="319"/>
      <c r="BB1200" s="319"/>
      <c r="BC1200" s="319"/>
      <c r="BD1200" s="319"/>
      <c r="BE1200" s="319"/>
      <c r="BF1200" s="319"/>
      <c r="BG1200" s="319"/>
      <c r="BH1200" s="319"/>
      <c r="BI1200" s="319"/>
      <c r="BJ1200" s="319"/>
      <c r="BK1200" s="319"/>
      <c r="BL1200" s="319"/>
      <c r="BM1200" s="319"/>
      <c r="BN1200" s="319"/>
      <c r="BO1200" s="319"/>
      <c r="BP1200" s="319"/>
      <c r="BQ1200" s="319"/>
      <c r="BR1200" s="319"/>
      <c r="BS1200" s="319"/>
      <c r="BT1200" s="319"/>
      <c r="BU1200" s="319"/>
      <c r="BV1200" s="319"/>
      <c r="BW1200" s="319"/>
      <c r="BX1200" s="319"/>
      <c r="BY1200" s="319"/>
      <c r="BZ1200" s="319"/>
      <c r="CA1200" s="319"/>
      <c r="CB1200" s="319"/>
      <c r="CC1200" s="319"/>
      <c r="CD1200" s="319"/>
      <c r="CE1200" s="319"/>
      <c r="CF1200" s="319"/>
      <c r="CG1200" s="319"/>
      <c r="CH1200" s="319"/>
      <c r="CI1200" s="319"/>
      <c r="CJ1200" s="319"/>
      <c r="CK1200" s="319"/>
    </row>
    <row r="1201" spans="1:89" ht="12.75" hidden="1" customHeight="1">
      <c r="A1201" s="319"/>
      <c r="B1201" s="319"/>
      <c r="C1201" s="319" t="str">
        <f>Language!C2215</f>
        <v>km²</v>
      </c>
      <c r="D1201" s="319">
        <v>1</v>
      </c>
      <c r="E1201" s="319"/>
      <c r="F1201" s="450">
        <v>732</v>
      </c>
      <c r="G1201" s="353">
        <f>'Carga e Rede'!E330*(1-$E$907)</f>
        <v>0</v>
      </c>
      <c r="H1201" s="868">
        <f t="shared" si="219"/>
        <v>0</v>
      </c>
      <c r="I1201" s="319"/>
      <c r="J1201" s="319" t="str">
        <f>Language!C1416</f>
        <v>W/m²</v>
      </c>
      <c r="K1201" s="319"/>
      <c r="L1201" s="319"/>
      <c r="M1201" s="867">
        <f>'Carga e Rede'!L330*(1-$E$879)</f>
        <v>0</v>
      </c>
      <c r="N1201" s="868">
        <f t="shared" si="220"/>
        <v>0</v>
      </c>
      <c r="O1201" s="319"/>
      <c r="P1201" s="319"/>
      <c r="Q1201" s="319"/>
      <c r="R1201" s="319"/>
      <c r="S1201" s="319"/>
      <c r="T1201" s="319"/>
      <c r="U1201" s="319"/>
      <c r="V1201" s="319"/>
      <c r="W1201" s="319"/>
      <c r="X1201" s="319"/>
      <c r="Y1201" s="319"/>
      <c r="Z1201" s="319"/>
      <c r="AA1201" s="319"/>
      <c r="AB1201" s="319"/>
      <c r="AC1201" s="319"/>
      <c r="AD1201" s="319"/>
      <c r="AE1201" s="319"/>
      <c r="AF1201" s="319"/>
      <c r="AG1201" s="319"/>
      <c r="AH1201" s="319"/>
      <c r="AI1201" s="319"/>
      <c r="AJ1201" s="319"/>
      <c r="AK1201" s="319"/>
      <c r="AL1201" s="319"/>
      <c r="AM1201" s="319"/>
      <c r="AN1201" s="319"/>
      <c r="AO1201" s="319"/>
      <c r="AP1201" s="319"/>
      <c r="AQ1201" s="319"/>
      <c r="AR1201" s="319"/>
      <c r="AS1201" s="319"/>
      <c r="AT1201" s="319"/>
      <c r="AU1201" s="319"/>
      <c r="AV1201" s="319"/>
      <c r="AW1201" s="319"/>
      <c r="AX1201" s="319"/>
      <c r="AY1201" s="319"/>
      <c r="AZ1201" s="319"/>
      <c r="BA1201" s="319"/>
      <c r="BB1201" s="319"/>
      <c r="BC1201" s="319"/>
      <c r="BD1201" s="319"/>
      <c r="BE1201" s="319"/>
      <c r="BF1201" s="319"/>
      <c r="BG1201" s="319"/>
      <c r="BH1201" s="319"/>
      <c r="BI1201" s="319"/>
      <c r="BJ1201" s="319"/>
      <c r="BK1201" s="319"/>
      <c r="BL1201" s="319"/>
      <c r="BM1201" s="319"/>
      <c r="BN1201" s="319"/>
      <c r="BO1201" s="319"/>
      <c r="BP1201" s="319"/>
      <c r="BQ1201" s="319"/>
      <c r="BR1201" s="319"/>
      <c r="BS1201" s="319"/>
      <c r="BT1201" s="319"/>
      <c r="BU1201" s="319"/>
      <c r="BV1201" s="319"/>
      <c r="BW1201" s="319"/>
      <c r="BX1201" s="319"/>
      <c r="BY1201" s="319"/>
      <c r="BZ1201" s="319"/>
      <c r="CA1201" s="319"/>
      <c r="CB1201" s="319"/>
      <c r="CC1201" s="319"/>
      <c r="CD1201" s="319"/>
      <c r="CE1201" s="319"/>
      <c r="CF1201" s="319"/>
      <c r="CG1201" s="319"/>
      <c r="CH1201" s="319"/>
      <c r="CI1201" s="319"/>
      <c r="CJ1201" s="319"/>
      <c r="CK1201" s="319"/>
    </row>
    <row r="1202" spans="1:89" ht="12.75" hidden="1" customHeight="1">
      <c r="A1202" s="319"/>
      <c r="B1202" s="319"/>
      <c r="C1202" s="319" t="str">
        <f>Language!C1379</f>
        <v>mi²</v>
      </c>
      <c r="D1202" s="319">
        <v>0.38610215854244595</v>
      </c>
      <c r="E1202" s="319"/>
      <c r="F1202" s="450">
        <v>708</v>
      </c>
      <c r="G1202" s="353">
        <f>'Carga e Rede'!E331*(1-$E$907)</f>
        <v>0</v>
      </c>
      <c r="H1202" s="868">
        <f t="shared" si="219"/>
        <v>0</v>
      </c>
      <c r="I1202" s="319"/>
      <c r="J1202" s="319" t="str">
        <f>Language!C2258</f>
        <v>W/pé²</v>
      </c>
      <c r="K1202" s="319"/>
      <c r="L1202" s="319"/>
      <c r="M1202" s="867">
        <f>'Carga e Rede'!L331*(1-$E$879)</f>
        <v>0</v>
      </c>
      <c r="N1202" s="868">
        <f t="shared" si="220"/>
        <v>0</v>
      </c>
      <c r="O1202" s="319"/>
      <c r="P1202" s="319"/>
      <c r="Q1202" s="319"/>
      <c r="R1202" s="319"/>
      <c r="S1202" s="319"/>
      <c r="T1202" s="319"/>
      <c r="U1202" s="319"/>
      <c r="V1202" s="319"/>
      <c r="W1202" s="319"/>
      <c r="X1202" s="319"/>
      <c r="Y1202" s="319"/>
      <c r="Z1202" s="319"/>
      <c r="AA1202" s="319"/>
      <c r="AB1202" s="319"/>
      <c r="AC1202" s="319"/>
      <c r="AD1202" s="319"/>
      <c r="AE1202" s="319"/>
      <c r="AF1202" s="319"/>
      <c r="AG1202" s="319"/>
      <c r="AH1202" s="319"/>
      <c r="AI1202" s="319"/>
      <c r="AJ1202" s="319"/>
      <c r="AK1202" s="319"/>
      <c r="AL1202" s="319"/>
      <c r="AM1202" s="319"/>
      <c r="AN1202" s="319"/>
      <c r="AO1202" s="319"/>
      <c r="AP1202" s="319"/>
      <c r="AQ1202" s="319"/>
      <c r="AR1202" s="319"/>
      <c r="AS1202" s="319"/>
      <c r="AT1202" s="319"/>
      <c r="AU1202" s="319"/>
      <c r="AV1202" s="319"/>
      <c r="AW1202" s="319"/>
      <c r="AX1202" s="319"/>
      <c r="AY1202" s="319"/>
      <c r="AZ1202" s="319"/>
      <c r="BA1202" s="319"/>
      <c r="BB1202" s="319"/>
      <c r="BC1202" s="319"/>
      <c r="BD1202" s="319"/>
      <c r="BE1202" s="319"/>
      <c r="BF1202" s="319"/>
      <c r="BG1202" s="319"/>
      <c r="BH1202" s="319"/>
      <c r="BI1202" s="319"/>
      <c r="BJ1202" s="319"/>
      <c r="BK1202" s="319"/>
      <c r="BL1202" s="319"/>
      <c r="BM1202" s="319"/>
      <c r="BN1202" s="319"/>
      <c r="BO1202" s="319"/>
      <c r="BP1202" s="319"/>
      <c r="BQ1202" s="319"/>
      <c r="BR1202" s="319"/>
      <c r="BS1202" s="319"/>
      <c r="BT1202" s="319"/>
      <c r="BU1202" s="319"/>
      <c r="BV1202" s="319"/>
      <c r="BW1202" s="319"/>
      <c r="BX1202" s="319"/>
      <c r="BY1202" s="319"/>
      <c r="BZ1202" s="319"/>
      <c r="CA1202" s="319"/>
      <c r="CB1202" s="319"/>
      <c r="CC1202" s="319"/>
      <c r="CD1202" s="319"/>
      <c r="CE1202" s="319"/>
      <c r="CF1202" s="319"/>
      <c r="CG1202" s="319"/>
      <c r="CH1202" s="319"/>
      <c r="CI1202" s="319"/>
      <c r="CJ1202" s="319"/>
      <c r="CK1202" s="319"/>
    </row>
    <row r="1203" spans="1:89" ht="12.75" hidden="1" customHeight="1">
      <c r="A1203" s="319"/>
      <c r="B1203" s="319"/>
      <c r="C1203" s="319"/>
      <c r="D1203" s="319"/>
      <c r="E1203" s="319"/>
      <c r="F1203" s="450">
        <v>732</v>
      </c>
      <c r="G1203" s="353">
        <f>'Carga e Rede'!E332*(1-$E$907)</f>
        <v>0</v>
      </c>
      <c r="H1203" s="868">
        <f t="shared" si="219"/>
        <v>0</v>
      </c>
      <c r="I1203" s="319"/>
      <c r="J1203" s="319"/>
      <c r="K1203" s="319"/>
      <c r="L1203" s="319"/>
      <c r="M1203" s="867">
        <f>'Carga e Rede'!L332*(1-$E$879)</f>
        <v>0</v>
      </c>
      <c r="N1203" s="868">
        <f t="shared" si="220"/>
        <v>0</v>
      </c>
      <c r="O1203" s="319"/>
      <c r="P1203" s="319"/>
      <c r="Q1203" s="319"/>
      <c r="R1203" s="319"/>
      <c r="S1203" s="319"/>
      <c r="T1203" s="319"/>
      <c r="U1203" s="319"/>
      <c r="V1203" s="319"/>
      <c r="W1203" s="319"/>
      <c r="X1203" s="319"/>
      <c r="Y1203" s="319"/>
      <c r="Z1203" s="319"/>
      <c r="AA1203" s="319"/>
      <c r="AB1203" s="319"/>
      <c r="AC1203" s="319"/>
      <c r="AD1203" s="319"/>
      <c r="AE1203" s="319"/>
      <c r="AF1203" s="319"/>
      <c r="AG1203" s="319"/>
      <c r="AH1203" s="319"/>
      <c r="AI1203" s="319"/>
      <c r="AJ1203" s="319"/>
      <c r="AK1203" s="319"/>
      <c r="AL1203" s="319"/>
      <c r="AM1203" s="319"/>
      <c r="AN1203" s="319"/>
      <c r="AO1203" s="319"/>
      <c r="AP1203" s="319"/>
      <c r="AQ1203" s="319"/>
      <c r="AR1203" s="319"/>
      <c r="AS1203" s="319"/>
      <c r="AT1203" s="319"/>
      <c r="AU1203" s="319"/>
      <c r="AV1203" s="319"/>
      <c r="AW1203" s="319"/>
      <c r="AX1203" s="319"/>
      <c r="AY1203" s="319"/>
      <c r="AZ1203" s="319"/>
      <c r="BA1203" s="319"/>
      <c r="BB1203" s="319"/>
      <c r="BC1203" s="319"/>
      <c r="BD1203" s="319"/>
      <c r="BE1203" s="319"/>
      <c r="BF1203" s="319"/>
      <c r="BG1203" s="319"/>
      <c r="BH1203" s="319"/>
      <c r="BI1203" s="319"/>
      <c r="BJ1203" s="319"/>
      <c r="BK1203" s="319"/>
      <c r="BL1203" s="319"/>
      <c r="BM1203" s="319"/>
      <c r="BN1203" s="319"/>
      <c r="BO1203" s="319"/>
      <c r="BP1203" s="319"/>
      <c r="BQ1203" s="319"/>
      <c r="BR1203" s="319"/>
      <c r="BS1203" s="319"/>
      <c r="BT1203" s="319"/>
      <c r="BU1203" s="319"/>
      <c r="BV1203" s="319"/>
      <c r="BW1203" s="319"/>
      <c r="BX1203" s="319"/>
      <c r="BY1203" s="319"/>
      <c r="BZ1203" s="319"/>
      <c r="CA1203" s="319"/>
      <c r="CB1203" s="319"/>
      <c r="CC1203" s="319"/>
      <c r="CD1203" s="319"/>
      <c r="CE1203" s="319"/>
      <c r="CF1203" s="319"/>
      <c r="CG1203" s="319"/>
      <c r="CH1203" s="319"/>
      <c r="CI1203" s="319"/>
      <c r="CJ1203" s="319"/>
      <c r="CK1203" s="319"/>
    </row>
    <row r="1204" spans="1:89" ht="12.75" hidden="1" customHeight="1">
      <c r="A1204" s="319"/>
      <c r="B1204" s="319"/>
      <c r="C1204" s="319" t="str">
        <f>Language!C2239</f>
        <v>m³/s/km²</v>
      </c>
      <c r="D1204" s="319">
        <v>1</v>
      </c>
      <c r="E1204" s="319"/>
      <c r="F1204" s="450">
        <v>143</v>
      </c>
      <c r="G1204" s="353">
        <f>'Carga e Rede'!E333*(1-$E$907)</f>
        <v>0</v>
      </c>
      <c r="H1204" s="868">
        <f t="shared" si="219"/>
        <v>0</v>
      </c>
      <c r="I1204" s="319"/>
      <c r="J1204" s="319" t="str">
        <f>Language!C2223</f>
        <v>L/d</v>
      </c>
      <c r="K1204" s="319"/>
      <c r="L1204" s="319"/>
      <c r="M1204" s="867">
        <f>'Carga e Rede'!L333*(1-$E$879)</f>
        <v>0</v>
      </c>
      <c r="N1204" s="868">
        <f t="shared" si="220"/>
        <v>0</v>
      </c>
      <c r="O1204" s="319"/>
      <c r="P1204" s="319"/>
      <c r="Q1204" s="319"/>
      <c r="R1204" s="319"/>
      <c r="S1204" s="319"/>
      <c r="T1204" s="319"/>
      <c r="U1204" s="319"/>
      <c r="V1204" s="319"/>
      <c r="W1204" s="319"/>
      <c r="X1204" s="319"/>
      <c r="Y1204" s="319"/>
      <c r="Z1204" s="319"/>
      <c r="AA1204" s="319"/>
      <c r="AB1204" s="319"/>
      <c r="AC1204" s="319"/>
      <c r="AD1204" s="319"/>
      <c r="AE1204" s="319"/>
      <c r="AF1204" s="319"/>
      <c r="AG1204" s="319"/>
      <c r="AH1204" s="319"/>
      <c r="AI1204" s="319"/>
      <c r="AJ1204" s="319"/>
      <c r="AK1204" s="319"/>
      <c r="AL1204" s="319"/>
      <c r="AM1204" s="319"/>
      <c r="AN1204" s="319"/>
      <c r="AO1204" s="319"/>
      <c r="AP1204" s="319"/>
      <c r="AQ1204" s="319"/>
      <c r="AR1204" s="319"/>
      <c r="AS1204" s="319"/>
      <c r="AT1204" s="319"/>
      <c r="AU1204" s="319"/>
      <c r="AV1204" s="319"/>
      <c r="AW1204" s="319"/>
      <c r="AX1204" s="319"/>
      <c r="AY1204" s="319"/>
      <c r="AZ1204" s="319"/>
      <c r="BA1204" s="319"/>
      <c r="BB1204" s="319"/>
      <c r="BC1204" s="319"/>
      <c r="BD1204" s="319"/>
      <c r="BE1204" s="319"/>
      <c r="BF1204" s="319"/>
      <c r="BG1204" s="319"/>
      <c r="BH1204" s="319"/>
      <c r="BI1204" s="319"/>
      <c r="BJ1204" s="319"/>
      <c r="BK1204" s="319"/>
      <c r="BL1204" s="319"/>
      <c r="BM1204" s="319"/>
      <c r="BN1204" s="319"/>
      <c r="BO1204" s="319"/>
      <c r="BP1204" s="319"/>
      <c r="BQ1204" s="319"/>
      <c r="BR1204" s="319"/>
      <c r="BS1204" s="319"/>
      <c r="BT1204" s="319"/>
      <c r="BU1204" s="319"/>
      <c r="BV1204" s="319"/>
      <c r="BW1204" s="319"/>
      <c r="BX1204" s="319"/>
      <c r="BY1204" s="319"/>
      <c r="BZ1204" s="319"/>
      <c r="CA1204" s="319"/>
      <c r="CB1204" s="319"/>
      <c r="CC1204" s="319"/>
      <c r="CD1204" s="319"/>
      <c r="CE1204" s="319"/>
      <c r="CF1204" s="319"/>
      <c r="CG1204" s="319"/>
      <c r="CH1204" s="319"/>
      <c r="CI1204" s="319"/>
      <c r="CJ1204" s="319"/>
      <c r="CK1204" s="319"/>
    </row>
    <row r="1205" spans="1:89" ht="11.25" hidden="1" customHeight="1">
      <c r="A1205" s="319"/>
      <c r="B1205" s="319"/>
      <c r="C1205" s="319" t="str">
        <f>Language!C2205</f>
        <v>pé³/s/mi²</v>
      </c>
      <c r="D1205" s="319">
        <v>91.464566929133895</v>
      </c>
      <c r="E1205" s="319"/>
      <c r="F1205" s="472" t="s">
        <v>2746</v>
      </c>
      <c r="G1205" s="860"/>
      <c r="H1205" s="869">
        <f>SUMPRODUCT(F1192:F1204,H1192:H1204)/1000</f>
        <v>0</v>
      </c>
      <c r="I1205" s="319"/>
      <c r="J1205" s="319" t="str">
        <f>Language!C2610</f>
        <v>gal/d</v>
      </c>
      <c r="K1205" s="319">
        <v>3.7854117839999994</v>
      </c>
      <c r="L1205" s="319"/>
      <c r="M1205" s="870"/>
      <c r="N1205" s="869">
        <f>SUMPRODUCT(F1192:F1204,N1192:N1204)/1000</f>
        <v>0</v>
      </c>
      <c r="O1205" s="319"/>
      <c r="P1205" s="319"/>
      <c r="Q1205" s="319"/>
      <c r="R1205" s="319"/>
      <c r="S1205" s="319"/>
      <c r="T1205" s="319"/>
      <c r="U1205" s="319"/>
      <c r="V1205" s="319"/>
      <c r="W1205" s="319"/>
      <c r="X1205" s="319"/>
      <c r="Y1205" s="319"/>
      <c r="Z1205" s="319"/>
      <c r="AA1205" s="319"/>
      <c r="AB1205" s="319"/>
      <c r="AC1205" s="319"/>
      <c r="AD1205" s="319"/>
      <c r="AE1205" s="319"/>
      <c r="AF1205" s="319"/>
      <c r="AG1205" s="319"/>
      <c r="AH1205" s="319"/>
      <c r="AI1205" s="319"/>
      <c r="AJ1205" s="319"/>
      <c r="AK1205" s="319"/>
      <c r="AL1205" s="319"/>
      <c r="AM1205" s="319"/>
      <c r="AN1205" s="319"/>
      <c r="AO1205" s="319"/>
      <c r="AP1205" s="319"/>
      <c r="AQ1205" s="319"/>
      <c r="AR1205" s="319"/>
      <c r="AS1205" s="319"/>
      <c r="AT1205" s="319"/>
      <c r="AU1205" s="319"/>
      <c r="AV1205" s="319"/>
      <c r="AW1205" s="319"/>
      <c r="AX1205" s="319"/>
      <c r="AY1205" s="319"/>
      <c r="AZ1205" s="319"/>
      <c r="BA1205" s="319"/>
      <c r="BB1205" s="319"/>
      <c r="BC1205" s="319"/>
      <c r="BD1205" s="319"/>
      <c r="BE1205" s="319"/>
      <c r="BF1205" s="319"/>
      <c r="BG1205" s="319"/>
      <c r="BH1205" s="319"/>
      <c r="BI1205" s="319"/>
      <c r="BJ1205" s="319"/>
      <c r="BK1205" s="319"/>
      <c r="BL1205" s="319"/>
      <c r="BM1205" s="319"/>
      <c r="BN1205" s="319"/>
      <c r="BO1205" s="319"/>
      <c r="BP1205" s="319"/>
      <c r="BQ1205" s="319"/>
      <c r="BR1205" s="319"/>
      <c r="BS1205" s="319"/>
      <c r="BT1205" s="319"/>
      <c r="BU1205" s="319"/>
      <c r="BV1205" s="319"/>
      <c r="BW1205" s="319"/>
      <c r="BX1205" s="319"/>
      <c r="BY1205" s="319"/>
      <c r="BZ1205" s="319"/>
      <c r="CA1205" s="319"/>
      <c r="CB1205" s="319"/>
      <c r="CC1205" s="319"/>
      <c r="CD1205" s="319"/>
      <c r="CE1205" s="319"/>
      <c r="CF1205" s="319"/>
      <c r="CG1205" s="319"/>
      <c r="CH1205" s="319"/>
      <c r="CI1205" s="319"/>
      <c r="CJ1205" s="319"/>
      <c r="CK1205" s="319"/>
    </row>
    <row r="1206" spans="1:89" ht="11.25" hidden="1" customHeight="1">
      <c r="A1206" s="319"/>
      <c r="B1206" s="319"/>
      <c r="C1206" s="319"/>
      <c r="D1206" s="319"/>
      <c r="E1206" s="319"/>
      <c r="F1206" s="319"/>
      <c r="G1206" s="319"/>
      <c r="H1206" s="319"/>
      <c r="I1206" s="319"/>
      <c r="J1206" s="319"/>
      <c r="K1206" s="319"/>
      <c r="L1206" s="319"/>
      <c r="M1206" s="319"/>
      <c r="N1206" s="319"/>
      <c r="O1206" s="319"/>
      <c r="P1206" s="319"/>
      <c r="Q1206" s="319"/>
      <c r="R1206" s="319"/>
      <c r="S1206" s="319"/>
      <c r="T1206" s="319"/>
      <c r="U1206" s="319"/>
      <c r="V1206" s="319"/>
      <c r="W1206" s="319"/>
      <c r="X1206" s="319"/>
      <c r="Y1206" s="319"/>
      <c r="Z1206" s="319"/>
      <c r="AA1206" s="319"/>
      <c r="AB1206" s="319"/>
      <c r="AC1206" s="319"/>
      <c r="AD1206" s="319"/>
      <c r="AE1206" s="319"/>
      <c r="AF1206" s="319"/>
      <c r="AG1206" s="319"/>
      <c r="AH1206" s="319"/>
      <c r="AI1206" s="319"/>
      <c r="AJ1206" s="319"/>
      <c r="AK1206" s="319"/>
      <c r="AL1206" s="319"/>
      <c r="AM1206" s="319"/>
      <c r="AN1206" s="319"/>
      <c r="AO1206" s="319"/>
      <c r="AP1206" s="319"/>
      <c r="AQ1206" s="319"/>
      <c r="AR1206" s="319"/>
      <c r="AS1206" s="319"/>
      <c r="AT1206" s="319"/>
      <c r="AU1206" s="319"/>
      <c r="AV1206" s="319"/>
      <c r="AW1206" s="319"/>
      <c r="AX1206" s="319"/>
      <c r="AY1206" s="319"/>
      <c r="AZ1206" s="319"/>
      <c r="BA1206" s="319"/>
      <c r="BB1206" s="319"/>
      <c r="BC1206" s="319"/>
      <c r="BD1206" s="319"/>
      <c r="BE1206" s="319"/>
      <c r="BF1206" s="319"/>
      <c r="BG1206" s="319"/>
      <c r="BH1206" s="319"/>
      <c r="BI1206" s="319"/>
      <c r="BJ1206" s="319"/>
      <c r="BK1206" s="319"/>
      <c r="BL1206" s="319"/>
      <c r="BM1206" s="319"/>
      <c r="BN1206" s="319"/>
      <c r="BO1206" s="319"/>
      <c r="BP1206" s="319"/>
      <c r="BQ1206" s="319"/>
      <c r="BR1206" s="319"/>
      <c r="BS1206" s="319"/>
      <c r="BT1206" s="319"/>
      <c r="BU1206" s="319"/>
      <c r="BV1206" s="319"/>
      <c r="BW1206" s="319"/>
      <c r="BX1206" s="319"/>
      <c r="BY1206" s="319"/>
      <c r="BZ1206" s="319"/>
      <c r="CA1206" s="319"/>
      <c r="CB1206" s="319"/>
      <c r="CC1206" s="319"/>
      <c r="CD1206" s="319"/>
      <c r="CE1206" s="319"/>
      <c r="CF1206" s="319"/>
      <c r="CG1206" s="319"/>
      <c r="CH1206" s="319"/>
      <c r="CI1206" s="319"/>
      <c r="CJ1206" s="319"/>
      <c r="CK1206" s="319"/>
    </row>
  </sheetData>
  <sortState xmlns:xlrd2="http://schemas.microsoft.com/office/spreadsheetml/2017/richdata2" ref="K1150:K1156">
    <sortCondition ref="K1150"/>
  </sortState>
  <dataConsolidate/>
  <mergeCells count="95">
    <mergeCell ref="I188:J188"/>
    <mergeCell ref="J177:K177"/>
    <mergeCell ref="I854:K854"/>
    <mergeCell ref="I863:K863"/>
    <mergeCell ref="I299:K299"/>
    <mergeCell ref="I341:K341"/>
    <mergeCell ref="I408:K408"/>
    <mergeCell ref="I414:K414"/>
    <mergeCell ref="J384:K384"/>
    <mergeCell ref="I180:J180"/>
    <mergeCell ref="I871:K871"/>
    <mergeCell ref="I519:K519"/>
    <mergeCell ref="I535:K535"/>
    <mergeCell ref="I636:K636"/>
    <mergeCell ref="I760:K760"/>
    <mergeCell ref="J759:K759"/>
    <mergeCell ref="C163:C164"/>
    <mergeCell ref="F163:F164"/>
    <mergeCell ref="E995:E1014"/>
    <mergeCell ref="F1014:K1014"/>
    <mergeCell ref="F993:K993"/>
    <mergeCell ref="C634:E634"/>
    <mergeCell ref="G967:I967"/>
    <mergeCell ref="C864:E864"/>
    <mergeCell ref="C871:E871"/>
    <mergeCell ref="C872:E872"/>
    <mergeCell ref="C530:E530"/>
    <mergeCell ref="C522:E522"/>
    <mergeCell ref="C523:E523"/>
    <mergeCell ref="D663:E663"/>
    <mergeCell ref="D581:E581"/>
    <mergeCell ref="C531:E531"/>
    <mergeCell ref="C637:E637"/>
    <mergeCell ref="C759:E759"/>
    <mergeCell ref="C760:E760"/>
    <mergeCell ref="C636:E636"/>
    <mergeCell ref="C1018:F1018"/>
    <mergeCell ref="C855:E855"/>
    <mergeCell ref="C761:E761"/>
    <mergeCell ref="C308:E308"/>
    <mergeCell ref="C300:E300"/>
    <mergeCell ref="C301:E301"/>
    <mergeCell ref="C863:E863"/>
    <mergeCell ref="C854:E854"/>
    <mergeCell ref="D547:E547"/>
    <mergeCell ref="C537:E537"/>
    <mergeCell ref="C538:E538"/>
    <mergeCell ref="D541:E541"/>
    <mergeCell ref="C635:E635"/>
    <mergeCell ref="A1:K2"/>
    <mergeCell ref="B206:B207"/>
    <mergeCell ref="C206:C207"/>
    <mergeCell ref="D206:D207"/>
    <mergeCell ref="E153:F153"/>
    <mergeCell ref="G153:H153"/>
    <mergeCell ref="I153:J153"/>
    <mergeCell ref="C194:E194"/>
    <mergeCell ref="C153:D153"/>
    <mergeCell ref="D163:D164"/>
    <mergeCell ref="C516:E516"/>
    <mergeCell ref="C517:E517"/>
    <mergeCell ref="C503:E503"/>
    <mergeCell ref="C418:E418"/>
    <mergeCell ref="C509:E509"/>
    <mergeCell ref="C419:E419"/>
    <mergeCell ref="C508:E508"/>
    <mergeCell ref="C425:G425"/>
    <mergeCell ref="E426:E427"/>
    <mergeCell ref="F450:F451"/>
    <mergeCell ref="A975:B975"/>
    <mergeCell ref="A791:B791"/>
    <mergeCell ref="I505:K505"/>
    <mergeCell ref="A3:B3"/>
    <mergeCell ref="A4:B4"/>
    <mergeCell ref="D4:K4"/>
    <mergeCell ref="A37:B37"/>
    <mergeCell ref="D37:K37"/>
    <mergeCell ref="I450:I451"/>
    <mergeCell ref="F426:F427"/>
    <mergeCell ref="A250:B250"/>
    <mergeCell ref="D151:K151"/>
    <mergeCell ref="A151:B151"/>
    <mergeCell ref="H450:H451"/>
    <mergeCell ref="G450:G451"/>
    <mergeCell ref="H426:H427"/>
    <mergeCell ref="G426:G427"/>
    <mergeCell ref="C342:E342"/>
    <mergeCell ref="C343:E343"/>
    <mergeCell ref="C195:E195"/>
    <mergeCell ref="I186:J186"/>
    <mergeCell ref="I187:J187"/>
    <mergeCell ref="I181:J181"/>
    <mergeCell ref="I182:J182"/>
    <mergeCell ref="I183:J183"/>
    <mergeCell ref="I184:J184"/>
  </mergeCells>
  <phoneticPr fontId="0" type="noConversion"/>
  <conditionalFormatting sqref="F7:J7">
    <cfRule type="expression" dxfId="409" priority="1" stopIfTrue="1">
      <formula>F$7=""</formula>
    </cfRule>
  </conditionalFormatting>
  <conditionalFormatting sqref="F343">
    <cfRule type="expression" dxfId="408" priority="2" stopIfTrue="1">
      <formula>$C343=""</formula>
    </cfRule>
  </conditionalFormatting>
  <conditionalFormatting sqref="F8:J10">
    <cfRule type="expression" dxfId="407" priority="4" stopIfTrue="1">
      <formula>F$7=""</formula>
    </cfRule>
  </conditionalFormatting>
  <conditionalFormatting sqref="F18:J30">
    <cfRule type="expression" dxfId="406" priority="5" stopIfTrue="1">
      <formula>AND(F$14="",F$16="",F$17="")</formula>
    </cfRule>
  </conditionalFormatting>
  <conditionalFormatting sqref="G651:K651 G654:K655 G653 J653:K653 G656:G657 J656 K656:K657">
    <cfRule type="expression" dxfId="405" priority="6" stopIfTrue="1">
      <formula>OR($Q$632=FALSE,$M$634=0)</formula>
    </cfRule>
  </conditionalFormatting>
  <conditionalFormatting sqref="H652:I652">
    <cfRule type="expression" dxfId="404" priority="7" stopIfTrue="1">
      <formula>OR($Q$632=FALSE,$Q$543=TRUE)</formula>
    </cfRule>
  </conditionalFormatting>
  <conditionalFormatting sqref="G652 J652:K652">
    <cfRule type="expression" dxfId="403" priority="8" stopIfTrue="1">
      <formula>OR($M$547&gt;1,$Q$543=TRUE,$Q$632=FALSE)</formula>
    </cfRule>
  </conditionalFormatting>
  <conditionalFormatting sqref="G268:G269 G244:G246 G345 G529 G535 G297 G299 G412:G413 G502 G505 G252 G340:G341">
    <cfRule type="expression" dxfId="402" priority="9" stopIfTrue="1">
      <formula>$R$1=2</formula>
    </cfRule>
  </conditionalFormatting>
  <conditionalFormatting sqref="D341 D348 D344:D346 D357:D382">
    <cfRule type="expression" dxfId="401" priority="10" stopIfTrue="1">
      <formula>#REF!=2</formula>
    </cfRule>
  </conditionalFormatting>
  <conditionalFormatting sqref="F332 F334:F335 E331:E332 E346">
    <cfRule type="expression" dxfId="400" priority="11" stopIfTrue="1">
      <formula>$D$317=$J$1151</formula>
    </cfRule>
    <cfRule type="expression" dxfId="399" priority="12" stopIfTrue="1">
      <formula>$M$271=FALSE</formula>
    </cfRule>
  </conditionalFormatting>
  <conditionalFormatting sqref="D264">
    <cfRule type="expression" dxfId="398" priority="13" stopIfTrue="1">
      <formula>#REF!&lt;&gt;1</formula>
    </cfRule>
  </conditionalFormatting>
  <conditionalFormatting sqref="C958">
    <cfRule type="expression" dxfId="397" priority="14" stopIfTrue="1">
      <formula>#REF!=3</formula>
    </cfRule>
  </conditionalFormatting>
  <conditionalFormatting sqref="C956:C957">
    <cfRule type="expression" dxfId="396" priority="15" stopIfTrue="1">
      <formula>#REF!=3</formula>
    </cfRule>
  </conditionalFormatting>
  <conditionalFormatting sqref="B661">
    <cfRule type="expression" dxfId="395" priority="16" stopIfTrue="1">
      <formula>OR($M$547&gt;1,$Q$543=TRUE)</formula>
    </cfRule>
  </conditionalFormatting>
  <conditionalFormatting sqref="B801:E802">
    <cfRule type="expression" dxfId="394" priority="17" stopIfTrue="1">
      <formula>#REF!=FALSE</formula>
    </cfRule>
  </conditionalFormatting>
  <conditionalFormatting sqref="H770:J771">
    <cfRule type="expression" dxfId="393" priority="18" stopIfTrue="1">
      <formula>OR($M$775=2,$Q$664=TRUE,$Q$760=FALSE)</formula>
    </cfRule>
  </conditionalFormatting>
  <conditionalFormatting sqref="I776:I779 H776:H778 H781:H786 B787:D787 B771:D771 J777:J778 I781:K787 C755:C756">
    <cfRule type="expression" dxfId="392" priority="19" stopIfTrue="1">
      <formula>$Q$774=FALSE</formula>
    </cfRule>
  </conditionalFormatting>
  <conditionalFormatting sqref="F762">
    <cfRule type="expression" dxfId="391" priority="20" stopIfTrue="1">
      <formula>$Q$664=TRUE</formula>
    </cfRule>
  </conditionalFormatting>
  <conditionalFormatting sqref="I726:I727">
    <cfRule type="expression" dxfId="390" priority="21" stopIfTrue="1">
      <formula>$M$725=2</formula>
    </cfRule>
  </conditionalFormatting>
  <conditionalFormatting sqref="I693:I694">
    <cfRule type="expression" dxfId="389" priority="22" stopIfTrue="1">
      <formula>$M$692=2</formula>
    </cfRule>
  </conditionalFormatting>
  <conditionalFormatting sqref="H762:J767 K762 G760">
    <cfRule type="expression" dxfId="388" priority="23" stopIfTrue="1">
      <formula>$Q$760=FALSE</formula>
    </cfRule>
  </conditionalFormatting>
  <conditionalFormatting sqref="B677">
    <cfRule type="expression" dxfId="387" priority="24" stopIfTrue="1">
      <formula>$M$670=1</formula>
    </cfRule>
  </conditionalFormatting>
  <conditionalFormatting sqref="D677:E677">
    <cfRule type="expression" dxfId="386" priority="25" stopIfTrue="1">
      <formula>$M$670=1</formula>
    </cfRule>
  </conditionalFormatting>
  <conditionalFormatting sqref="D521 C529:D529 C532:C533 B393 C512 C392:D393 D507 C518 C526 C502:D502 C504">
    <cfRule type="expression" dxfId="385" priority="26" stopIfTrue="1">
      <formula>Gridtype&lt;=2</formula>
    </cfRule>
  </conditionalFormatting>
  <conditionalFormatting sqref="H496:H498 G496:G497">
    <cfRule type="expression" dxfId="384" priority="27" stopIfTrue="1">
      <formula>OR($M$413=FALSE)</formula>
    </cfRule>
  </conditionalFormatting>
  <conditionalFormatting sqref="B349">
    <cfRule type="expression" dxfId="383" priority="28" stopIfTrue="1">
      <formula>HideCodeLN_Power_GT&lt;3</formula>
    </cfRule>
  </conditionalFormatting>
  <conditionalFormatting sqref="B337">
    <cfRule type="expression" dxfId="382" priority="29" stopIfTrue="1">
      <formula>OR(#REF!=0,#REF!=2)</formula>
    </cfRule>
  </conditionalFormatting>
  <conditionalFormatting sqref="F336 G334:G337">
    <cfRule type="expression" dxfId="381" priority="30" stopIfTrue="1">
      <formula>#REF!=1</formula>
    </cfRule>
  </conditionalFormatting>
  <conditionalFormatting sqref="B335">
    <cfRule type="expression" dxfId="380" priority="31" stopIfTrue="1">
      <formula>OR(#REF!=1,#REF!=2)</formula>
    </cfRule>
  </conditionalFormatting>
  <conditionalFormatting sqref="C315:D315">
    <cfRule type="expression" dxfId="379" priority="32" stopIfTrue="1">
      <formula>Gridtype&gt;4</formula>
    </cfRule>
  </conditionalFormatting>
  <conditionalFormatting sqref="E382">
    <cfRule type="expression" dxfId="378" priority="33" stopIfTrue="1">
      <formula>#REF!=2</formula>
    </cfRule>
  </conditionalFormatting>
  <conditionalFormatting sqref="E357:E381">
    <cfRule type="expression" dxfId="377" priority="34" stopIfTrue="1">
      <formula>#REF!=2</formula>
    </cfRule>
  </conditionalFormatting>
  <conditionalFormatting sqref="G333">
    <cfRule type="expression" dxfId="376" priority="35" stopIfTrue="1">
      <formula>OR(#REF!=0,#REF!=2)</formula>
    </cfRule>
  </conditionalFormatting>
  <conditionalFormatting sqref="D319:D330">
    <cfRule type="expression" dxfId="375" priority="36" stopIfTrue="1">
      <formula>OR(#REF!=1,#REF!=2)</formula>
    </cfRule>
  </conditionalFormatting>
  <conditionalFormatting sqref="G391:I391">
    <cfRule type="expression" dxfId="374" priority="37" stopIfTrue="1">
      <formula>#REF!=FALSE</formula>
    </cfRule>
  </conditionalFormatting>
  <conditionalFormatting sqref="E299">
    <cfRule type="expression" dxfId="373" priority="38" stopIfTrue="1">
      <formula>Gridtype&lt;=4</formula>
    </cfRule>
  </conditionalFormatting>
  <conditionalFormatting sqref="D265">
    <cfRule type="expression" dxfId="372" priority="39" stopIfTrue="1">
      <formula>#REF!&lt;&gt;2</formula>
    </cfRule>
  </conditionalFormatting>
  <conditionalFormatting sqref="J384:K384 G388:H390 K388:K390 H385 J386:J390 I385:I390">
    <cfRule type="expression" dxfId="371" priority="40" stopIfTrue="1">
      <formula>$M$384=FALSE</formula>
    </cfRule>
  </conditionalFormatting>
  <conditionalFormatting sqref="C179:C181 B180:B181 D179:D180 F184:F185 F172">
    <cfRule type="expression" dxfId="370" priority="41" stopIfTrue="1">
      <formula>#REF!=FALSE</formula>
    </cfRule>
  </conditionalFormatting>
  <conditionalFormatting sqref="C184:E185">
    <cfRule type="expression" dxfId="369" priority="42" stopIfTrue="1">
      <formula>OR(#REF!=FALSE)</formula>
    </cfRule>
  </conditionalFormatting>
  <conditionalFormatting sqref="C174 C176:C178">
    <cfRule type="expression" dxfId="368" priority="43" stopIfTrue="1">
      <formula>$C$174+$C$175=0</formula>
    </cfRule>
  </conditionalFormatting>
  <conditionalFormatting sqref="E174 E176:E178">
    <cfRule type="expression" dxfId="367" priority="44" stopIfTrue="1">
      <formula>$E$174+$E$175=0</formula>
    </cfRule>
  </conditionalFormatting>
  <conditionalFormatting sqref="D174 D176:D178">
    <cfRule type="expression" dxfId="366" priority="45" stopIfTrue="1">
      <formula>$D$174+$D$175=0</formula>
    </cfRule>
  </conditionalFormatting>
  <conditionalFormatting sqref="D175">
    <cfRule type="expression" dxfId="365" priority="46" stopIfTrue="1">
      <formula>$D$174+$D$175=0</formula>
    </cfRule>
  </conditionalFormatting>
  <conditionalFormatting sqref="E175">
    <cfRule type="expression" dxfId="364" priority="47" stopIfTrue="1">
      <formula>$E$174+$E$175=0</formula>
    </cfRule>
  </conditionalFormatting>
  <conditionalFormatting sqref="C175">
    <cfRule type="expression" dxfId="363" priority="48" stopIfTrue="1">
      <formula>$C$174+$C$175=0</formula>
    </cfRule>
  </conditionalFormatting>
  <conditionalFormatting sqref="B182:D182">
    <cfRule type="expression" dxfId="362" priority="49" stopIfTrue="1">
      <formula>OR($C$181&lt;&gt;$J$1173)</formula>
    </cfRule>
  </conditionalFormatting>
  <conditionalFormatting sqref="D181">
    <cfRule type="expression" dxfId="361" priority="50" stopIfTrue="1">
      <formula>OR($C$181=$J$1173)</formula>
    </cfRule>
  </conditionalFormatting>
  <conditionalFormatting sqref="B960:F960">
    <cfRule type="expression" dxfId="360" priority="51" stopIfTrue="1">
      <formula>HideCode_projectType=8</formula>
    </cfRule>
  </conditionalFormatting>
  <conditionalFormatting sqref="B334:C334">
    <cfRule type="expression" dxfId="359" priority="52" stopIfTrue="1">
      <formula>$D$317=$J$1150</formula>
    </cfRule>
  </conditionalFormatting>
  <conditionalFormatting sqref="B333:C333">
    <cfRule type="expression" dxfId="358" priority="53" stopIfTrue="1">
      <formula>$D$317=$J$1151</formula>
    </cfRule>
  </conditionalFormatting>
  <conditionalFormatting sqref="C661:D661">
    <cfRule type="expression" dxfId="357" priority="54" stopIfTrue="1">
      <formula>OR($M$547&gt;1,$Q$543=TRUE)</formula>
    </cfRule>
  </conditionalFormatting>
  <conditionalFormatting sqref="B351:D351">
    <cfRule type="expression" dxfId="356" priority="55" stopIfTrue="1">
      <formula>$M$349=1</formula>
    </cfRule>
  </conditionalFormatting>
  <conditionalFormatting sqref="B350:D350">
    <cfRule type="expression" dxfId="355" priority="56" stopIfTrue="1">
      <formula>$M$349=0</formula>
    </cfRule>
  </conditionalFormatting>
  <conditionalFormatting sqref="E406">
    <cfRule type="expression" dxfId="354" priority="57" stopIfTrue="1">
      <formula>ES_Hydro_MFM=0</formula>
    </cfRule>
  </conditionalFormatting>
  <conditionalFormatting sqref="F429:F447 F426 G453:G471 G450">
    <cfRule type="expression" dxfId="353" priority="58" stopIfTrue="1">
      <formula>OR($D$415=$B$1176,$M$414=7)</formula>
    </cfRule>
  </conditionalFormatting>
  <conditionalFormatting sqref="E428:E448 F452:F472">
    <cfRule type="expression" dxfId="352" priority="59" stopIfTrue="1">
      <formula>OR($D$415=$B$1176,$M$414=7)</formula>
    </cfRule>
  </conditionalFormatting>
  <conditionalFormatting sqref="F448 G472">
    <cfRule type="expression" dxfId="351" priority="60" stopIfTrue="1">
      <formula>OR($D$415=$B$1176,$M$414=7)</formula>
    </cfRule>
  </conditionalFormatting>
  <conditionalFormatting sqref="F428 G452">
    <cfRule type="expression" dxfId="350" priority="61" stopIfTrue="1">
      <formula>OR($D$415=$B$1176,$M$414=7)</formula>
    </cfRule>
  </conditionalFormatting>
  <conditionalFormatting sqref="E426 F450">
    <cfRule type="expression" dxfId="349" priority="62" stopIfTrue="1">
      <formula>OR($D$415=$B$1176,$M$414=7)</formula>
    </cfRule>
  </conditionalFormatting>
  <conditionalFormatting sqref="K258">
    <cfRule type="expression" dxfId="348" priority="63" stopIfTrue="1">
      <formula>$D$298=$B$1176</formula>
    </cfRule>
  </conditionalFormatting>
  <conditionalFormatting sqref="E335 E337:E338 G332 F317:F331">
    <cfRule type="expression" dxfId="347" priority="64" stopIfTrue="1">
      <formula>$M$271=FALSE</formula>
    </cfRule>
  </conditionalFormatting>
  <conditionalFormatting sqref="E317:E330">
    <cfRule type="expression" dxfId="346" priority="65" stopIfTrue="1">
      <formula>$D$317=$J$1151</formula>
    </cfRule>
    <cfRule type="expression" dxfId="345" priority="66" stopIfTrue="1">
      <formula>$M$271=FALSE</formula>
    </cfRule>
  </conditionalFormatting>
  <conditionalFormatting sqref="F793">
    <cfRule type="expression" dxfId="344" priority="67" stopIfTrue="1">
      <formula>$M$792=0</formula>
    </cfRule>
  </conditionalFormatting>
  <conditionalFormatting sqref="G253">
    <cfRule type="expression" dxfId="343" priority="68" stopIfTrue="1">
      <formula>OR($R$1=2,$M$253=0)</formula>
    </cfRule>
  </conditionalFormatting>
  <conditionalFormatting sqref="E313">
    <cfRule type="expression" dxfId="342" priority="69" stopIfTrue="1">
      <formula>$E$313&gt;1</formula>
    </cfRule>
  </conditionalFormatting>
  <conditionalFormatting sqref="F925 F929">
    <cfRule type="expression" dxfId="341" priority="70" stopIfTrue="1">
      <formula>$O$928&lt;1</formula>
    </cfRule>
  </conditionalFormatting>
  <conditionalFormatting sqref="F897 F901">
    <cfRule type="expression" dxfId="340" priority="71" stopIfTrue="1">
      <formula>$O$900&lt;1</formula>
    </cfRule>
  </conditionalFormatting>
  <conditionalFormatting sqref="E660">
    <cfRule type="expression" dxfId="339" priority="72" stopIfTrue="1">
      <formula>$M$634=1</formula>
    </cfRule>
  </conditionalFormatting>
  <conditionalFormatting sqref="E535">
    <cfRule type="expression" dxfId="338" priority="73" stopIfTrue="1">
      <formula>$M$1090+$E$535&lt;1</formula>
    </cfRule>
  </conditionalFormatting>
  <conditionalFormatting sqref="E536">
    <cfRule type="expression" dxfId="337" priority="74" stopIfTrue="1">
      <formula>$M$1089+$E$536&lt;1</formula>
    </cfRule>
  </conditionalFormatting>
  <conditionalFormatting sqref="F186">
    <cfRule type="expression" dxfId="336" priority="75" stopIfTrue="1">
      <formula>ISERROR($F$186)</formula>
    </cfRule>
  </conditionalFormatting>
  <conditionalFormatting sqref="F187">
    <cfRule type="expression" dxfId="335" priority="76" stopIfTrue="1">
      <formula>ISERROR($F$187)</formula>
    </cfRule>
  </conditionalFormatting>
  <conditionalFormatting sqref="F188">
    <cfRule type="expression" dxfId="334" priority="77" stopIfTrue="1">
      <formula>ISERROR($F$188)</formula>
    </cfRule>
  </conditionalFormatting>
  <conditionalFormatting sqref="E186">
    <cfRule type="expression" dxfId="333" priority="78" stopIfTrue="1">
      <formula>OR($E$174+$E$175=0,ISERROR($E$186))</formula>
    </cfRule>
  </conditionalFormatting>
  <conditionalFormatting sqref="E188">
    <cfRule type="expression" dxfId="332" priority="80" stopIfTrue="1">
      <formula>OR($E$174+$E$175=0,ISERROR($E$188))</formula>
    </cfRule>
  </conditionalFormatting>
  <conditionalFormatting sqref="D186">
    <cfRule type="expression" dxfId="331" priority="81" stopIfTrue="1">
      <formula>OR($D$174+$D$175=0,ISERROR($D$186))</formula>
    </cfRule>
  </conditionalFormatting>
  <conditionalFormatting sqref="D188">
    <cfRule type="expression" dxfId="330" priority="83" stopIfTrue="1">
      <formula>OR($D$174+$D$175=0,ISERROR($D$188))</formula>
    </cfRule>
  </conditionalFormatting>
  <conditionalFormatting sqref="C186">
    <cfRule type="expression" dxfId="329" priority="84" stopIfTrue="1">
      <formula>OR($C$174+$C$175=0,ISERROR($C$186))</formula>
    </cfRule>
  </conditionalFormatting>
  <conditionalFormatting sqref="C188">
    <cfRule type="expression" dxfId="328" priority="86" stopIfTrue="1">
      <formula>OR($C$174+$C$175=0,ISERROR($C$188))</formula>
    </cfRule>
  </conditionalFormatting>
  <conditionalFormatting sqref="C562">
    <cfRule type="expression" dxfId="327" priority="87" stopIfTrue="1">
      <formula>$Q$561=FALSE</formula>
    </cfRule>
  </conditionalFormatting>
  <conditionalFormatting sqref="C711">
    <cfRule type="expression" dxfId="326" priority="88" stopIfTrue="1">
      <formula>$Q$710=FALSE</formula>
    </cfRule>
  </conditionalFormatting>
  <conditionalFormatting sqref="D614:E614">
    <cfRule type="expression" dxfId="325" priority="89" stopIfTrue="1">
      <formula>$Q$614=FALSE</formula>
    </cfRule>
  </conditionalFormatting>
  <conditionalFormatting sqref="D739:E739">
    <cfRule type="expression" dxfId="324" priority="90" stopIfTrue="1">
      <formula>$Q$739=FALSE</formula>
    </cfRule>
  </conditionalFormatting>
  <conditionalFormatting sqref="C678">
    <cfRule type="expression" dxfId="323" priority="91" stopIfTrue="1">
      <formula>$Q$675=FALSE</formula>
    </cfRule>
  </conditionalFormatting>
  <conditionalFormatting sqref="C592">
    <cfRule type="expression" dxfId="322" priority="92" stopIfTrue="1">
      <formula>$Q$591=FALSE</formula>
    </cfRule>
  </conditionalFormatting>
  <conditionalFormatting sqref="F301">
    <cfRule type="expression" dxfId="321" priority="93" stopIfTrue="1">
      <formula>OR(EEM_NbUnits=0,$C$301="")</formula>
    </cfRule>
  </conditionalFormatting>
  <conditionalFormatting sqref="F509">
    <cfRule type="expression" dxfId="320" priority="94" stopIfTrue="1">
      <formula>OR($I$1196=0,$C$509="")</formula>
    </cfRule>
  </conditionalFormatting>
  <conditionalFormatting sqref="F523">
    <cfRule type="expression" dxfId="319" priority="95" stopIfTrue="1">
      <formula>OR($I$1197=0,$C$523="")</formula>
    </cfRule>
  </conditionalFormatting>
  <conditionalFormatting sqref="F538">
    <cfRule type="expression" dxfId="318" priority="96" stopIfTrue="1">
      <formula>OR($I$1193=0,$C$538="")</formula>
    </cfRule>
  </conditionalFormatting>
  <conditionalFormatting sqref="F855">
    <cfRule type="expression" dxfId="317" priority="97" stopIfTrue="1">
      <formula>OR($I$1194=0,$C$855="")</formula>
    </cfRule>
  </conditionalFormatting>
  <conditionalFormatting sqref="F864">
    <cfRule type="expression" dxfId="316" priority="98" stopIfTrue="1">
      <formula>OR($I$1195=0,$C$864="")</formula>
    </cfRule>
  </conditionalFormatting>
  <conditionalFormatting sqref="E649">
    <cfRule type="expression" dxfId="315" priority="99" stopIfTrue="1">
      <formula>$M$634=2</formula>
    </cfRule>
  </conditionalFormatting>
  <conditionalFormatting sqref="G386:H387 K386:K387 G385 J385:K385">
    <cfRule type="expression" dxfId="314" priority="100" stopIfTrue="1">
      <formula>OR($M$384=FALSE,$M$384=TRUE)</formula>
    </cfRule>
  </conditionalFormatting>
  <conditionalFormatting sqref="E187">
    <cfRule type="expression" dxfId="313" priority="197" stopIfTrue="1">
      <formula>OR($E$174+$E$175=0,ISERROR($E$187))</formula>
    </cfRule>
  </conditionalFormatting>
  <conditionalFormatting sqref="D187">
    <cfRule type="expression" dxfId="312" priority="198" stopIfTrue="1">
      <formula>OR($D$174+$D$175=0,ISERROR($D$187))</formula>
    </cfRule>
  </conditionalFormatting>
  <conditionalFormatting sqref="C187">
    <cfRule type="expression" dxfId="311" priority="199" stopIfTrue="1">
      <formula>OR($C$174+$C$175=0,ISERROR($C$187))</formula>
    </cfRule>
  </conditionalFormatting>
  <dataValidations count="64">
    <dataValidation type="whole" operator="lessThanOrEqual" allowBlank="1" showErrorMessage="1" errorTitle="Debt term" error="The debt term must be entered as a whole number of years less than or equal to the project life." sqref="D982" xr:uid="{F703FAB8-30A8-41A6-B22C-BD568A0F2692}">
      <formula1>D979</formula1>
    </dataValidation>
    <dataValidation type="list" allowBlank="1" showInputMessage="1" showErrorMessage="1" sqref="C644 C766" xr:uid="{B3EDF6E9-C269-474E-BFEF-F9DC4BC3C170}">
      <formula1>$G$1174:$G$1175</formula1>
    </dataValidation>
    <dataValidation type="list" allowBlank="1" showInputMessage="1" showErrorMessage="1" sqref="C641 C671 C762 C906 C794 C811 C649 C552 C878" xr:uid="{960F6A5B-CEF0-4419-8D85-D738E3355456}">
      <formula1>$J$1190:$J$1191</formula1>
    </dataValidation>
    <dataValidation type="list" allowBlank="1" showInputMessage="1" showErrorMessage="1" sqref="C645 C768" xr:uid="{8B8B1133-2509-4D99-BB25-B637F427BFCB}">
      <formula1>$G$1178:$G$1179</formula1>
    </dataValidation>
    <dataValidation type="whole" allowBlank="1" showErrorMessage="1" errorTitle="Project life" error="The project life must be entered as a whole number of years less than or equal to 50 and greater than or equal to the debt term, if any." sqref="D979" xr:uid="{DFF00345-3728-4D2B-BDAC-CE8FD03D0AE9}">
      <formula1>1</formula1>
      <formula2>50</formula2>
    </dataValidation>
    <dataValidation type="list" allowBlank="1" showInputMessage="1" showErrorMessage="1" sqref="C958" xr:uid="{F57426D9-9016-45E1-978D-A8843D98377B}">
      <formula1>GHG_Etype</formula1>
    </dataValidation>
    <dataValidation type="list" allowBlank="1" showInputMessage="1" showErrorMessage="1" sqref="F957 D957" xr:uid="{9C1B6A02-3B7B-49F7-8189-D00A2E5163EE}">
      <formula1>$B$1187:$B$1188</formula1>
    </dataValidation>
    <dataValidation type="list" allowBlank="1" showInputMessage="1" showErrorMessage="1" sqref="B958" xr:uid="{B902AED2-58E6-445E-9900-6A29F8B43212}">
      <formula1>CA_country2</formula1>
    </dataValidation>
    <dataValidation type="list" allowBlank="1" showInputMessage="1" showErrorMessage="1" sqref="G967:I967" xr:uid="{56A92C08-F4F8-43C8-8CC0-FFB349673474}">
      <formula1>GHG_conv</formula1>
    </dataValidation>
    <dataValidation type="whole" operator="greaterThanOrEqual" allowBlank="1" showInputMessage="1" showErrorMessage="1" errorTitle="GHG reduction credit duration" error="The GHG emission reduction credit duration must be entered as a whole number of years greater than or equal to 1." sqref="D971" xr:uid="{F8FD6CC8-8896-4891-B02D-DFA9AE5B7414}">
      <formula1>1</formula1>
    </dataValidation>
    <dataValidation type="list" allowBlank="1" showInputMessage="1" showErrorMessage="1" sqref="E926 E898 D888:E888 F7:J7 D801:E801 D817:E817 D938:E938 D916:E916" xr:uid="{F0A1749C-3FE0-4190-AA06-504AE559BE5A}">
      <formula1>ES_fuel3</formula1>
    </dataValidation>
    <dataValidation type="list" allowBlank="1" showInputMessage="1" showErrorMessage="1" sqref="C539 C510 C524 C198" xr:uid="{68F027A0-A5C0-472A-A1E0-C2F0B9044D9C}">
      <formula1>$C$1174:$C$1175</formula1>
    </dataValidation>
    <dataValidation type="list" allowBlank="1" showInputMessage="1" showErrorMessage="1" sqref="E943" xr:uid="{D673107D-9BB5-4DB9-8E5B-5DE4C7615B2F}">
      <formula1>$K$1150:$K$1156</formula1>
    </dataValidation>
    <dataValidation type="list" allowBlank="1" showInputMessage="1" showErrorMessage="1" sqref="C531:E531 C195:E195 C503:E503 C517:E517" xr:uid="{6EF54ADD-9D0D-4F97-96B7-C4F526AACD20}">
      <formula1>LN_Fuel_offgrid</formula1>
    </dataValidation>
    <dataValidation type="list" allowBlank="1" showInputMessage="1" showErrorMessage="1" sqref="C634:E634" xr:uid="{ABAD3D63-5B2B-4811-ADE3-45D657A7505D}">
      <formula1>$I$1168:$I$1171</formula1>
    </dataValidation>
    <dataValidation type="list" allowBlank="1" showInputMessage="1" showErrorMessage="1" sqref="D778" xr:uid="{E0C0C7F0-0005-407B-9ABC-03071D3D3E86}">
      <formula1>$I$1182:$I$1183</formula1>
    </dataValidation>
    <dataValidation type="list" allowBlank="1" showInputMessage="1" showErrorMessage="1" sqref="D775" xr:uid="{B859F8B9-E2E4-4CD9-B5E4-5F0963597554}">
      <formula1>$B$1164:$B$1165</formula1>
    </dataValidation>
    <dataValidation type="list" allowBlank="1" showInputMessage="1" showErrorMessage="1" sqref="C635:E635" xr:uid="{CF800971-C923-49A4-8633-1B92A001609B}">
      <formula1>$R$638:$R$640</formula1>
    </dataValidation>
    <dataValidation type="list" allowBlank="1" showInputMessage="1" showErrorMessage="1" sqref="D670" xr:uid="{0F8AD6DF-2B09-4D05-A98B-D1A1BB349F6E}">
      <formula1>$F$1182:$F$1183</formula1>
    </dataValidation>
    <dataValidation type="list" allowBlank="1" showInputMessage="1" showErrorMessage="1" sqref="D703" xr:uid="{DE52F09C-341B-4F6A-9582-ABB6C8E11985}">
      <formula1>$B$1150:$B$1163</formula1>
    </dataValidation>
    <dataValidation type="list" allowBlank="1" showInputMessage="1" showErrorMessage="1" sqref="D725 D692" xr:uid="{9E897FC0-C0AF-4B5B-A096-D6005B3861BF}">
      <formula1>$G$1182:$G$1183</formula1>
    </dataValidation>
    <dataValidation type="list" allowBlank="1" showInputMessage="1" showErrorMessage="1" sqref="C759:E759" xr:uid="{848D7E2E-E546-4A7B-9785-9F8D7EE504BF}">
      <formula1>$H$1182:$H$1185</formula1>
    </dataValidation>
    <dataValidation type="list" allowBlank="1" showInputMessage="1" showErrorMessage="1" sqref="C708 C582:C583 C548:C551 C673 C32 C16:C17 C337 C695 C728 C264" xr:uid="{1FE9C2E3-FBFB-4F75-B10F-79637A228723}">
      <formula1>$C$1178:$C$1179</formula1>
    </dataValidation>
    <dataValidation type="list" allowBlank="1" showInputMessage="1" showErrorMessage="1" sqref="D581:E581" xr:uid="{243414B1-81E3-4D7E-B54E-EB9344D7D428}">
      <formula1>$C$1168:$C$1170</formula1>
    </dataValidation>
    <dataValidation type="list" allowBlank="1" showInputMessage="1" showErrorMessage="1" sqref="C530:E530" xr:uid="{9BF60B62-D2F1-4B1A-AAB0-D5F4B8827F78}">
      <formula1>EM_Powerpeak</formula1>
    </dataValidation>
    <dataValidation type="list" allowBlank="1" showInputMessage="1" showErrorMessage="1" sqref="D547:E547" xr:uid="{F522F8F3-618D-4467-AC20-44D89D04A60C}">
      <formula1>$B$1168:$B$1172</formula1>
    </dataValidation>
    <dataValidation type="list" allowBlank="1" showInputMessage="1" showErrorMessage="1" sqref="D414" xr:uid="{10CF4386-305A-4D97-ACDF-49059F324B5C}">
      <formula1>EM_HydroTurbines</formula1>
    </dataValidation>
    <dataValidation type="list" allowBlank="1" showInputMessage="1" showErrorMessage="1" sqref="D415" xr:uid="{66428466-6469-42EA-99B2-C34A894D2FB7}">
      <formula1>EM_TurbineEfficiency</formula1>
    </dataValidation>
    <dataValidation type="list" allowBlank="1" showInputMessage="1" showErrorMessage="1" sqref="D396" xr:uid="{268B011C-CB11-4EB9-8009-5E4767A8FDB2}">
      <formula1>EM_TypeHydro</formula1>
    </dataValidation>
    <dataValidation type="list" allowBlank="1" showInputMessage="1" showErrorMessage="1" sqref="D397" xr:uid="{D679EE87-9FF4-4881-A231-A1DE0508F8C4}">
      <formula1>EM_HydrologyMethod</formula1>
    </dataValidation>
    <dataValidation type="list" allowBlank="1" showInputMessage="1" showErrorMessage="1" sqref="D402" xr:uid="{52F28057-5B18-4B4C-830F-9A0DC763633F}">
      <formula1>EM_MeanFlowMethod</formula1>
    </dataValidation>
    <dataValidation type="list" allowBlank="1" showInputMessage="1" showErrorMessage="1" sqref="D349" xr:uid="{59CB8DF3-654D-45B1-B113-E066F7FBCA49}">
      <formula1>$B$1174:$B$1175</formula1>
    </dataValidation>
    <dataValidation type="list" allowBlank="1" showInputMessage="1" showErrorMessage="1" sqref="C308:E308" xr:uid="{AFE9CFBF-F783-42D5-B317-F3217786E48D}">
      <formula1>$R$288:$R$289</formula1>
    </dataValidation>
    <dataValidation type="list" allowBlank="1" showInputMessage="1" showErrorMessage="1" sqref="D298" xr:uid="{4153F464-6809-40F1-9DFB-8D5DA05CE5CB}">
      <formula1>ModType</formula1>
    </dataValidation>
    <dataValidation type="list" allowBlank="1" showInputMessage="1" showErrorMessage="1" sqref="D273 D610 D735" xr:uid="{F5B7C1B7-5E5A-47B7-B7F0-A5699CFE4FFE}">
      <formula1>PVTracking</formula1>
    </dataValidation>
    <dataValidation type="list" allowBlank="1" showInputMessage="1" showErrorMessage="1" sqref="D263" xr:uid="{605EB40D-CB7A-4BC5-961A-582DF35555CB}">
      <formula1>BatTemp</formula1>
    </dataValidation>
    <dataValidation type="list" allowBlank="1" showInputMessage="1" showErrorMessage="1" sqref="C335 C400" xr:uid="{F6A2E69F-00AD-4C92-BB0A-6CE52CC96382}">
      <formula1>$C$1190:$C$1191</formula1>
    </dataValidation>
    <dataValidation type="list" allowBlank="1" showInputMessage="1" showErrorMessage="1" sqref="E226 D208:D219" xr:uid="{A26ABA27-9135-4C8F-A075-EBC3480753BA}">
      <formula1>$E$1168:$E$1170</formula1>
    </dataValidation>
    <dataValidation type="list" allowBlank="1" showInputMessage="1" showErrorMessage="1" sqref="C208:C219" xr:uid="{4818C3DF-110E-45F1-AEB8-8288AC59A126}">
      <formula1>$D$1168:$D$1169</formula1>
    </dataValidation>
    <dataValidation type="list" allowBlank="1" showInputMessage="1" showErrorMessage="1" sqref="E207" xr:uid="{6C534717-1D1A-477A-97C3-05C679301571}">
      <formula1>$F$1168:$F$1169</formula1>
    </dataValidation>
    <dataValidation type="list" allowBlank="1" showInputMessage="1" showErrorMessage="1" sqref="C180 I186:J186" xr:uid="{E9EF6655-652E-447C-9533-299ABC470374}">
      <formula1>$AF$177:$AF$184</formula1>
    </dataValidation>
    <dataValidation type="list" allowBlank="1" showInputMessage="1" showErrorMessage="1" sqref="C181" xr:uid="{A5DC6713-5B5F-4C56-B20C-2DF28F3E9533}">
      <formula1>$AN$174:$AN$193</formula1>
    </dataValidation>
    <dataValidation type="list" allowBlank="1" showInputMessage="1" showErrorMessage="1" sqref="B173" xr:uid="{7CEFA013-2BEF-4B78-A91C-337C62C13C7E}">
      <formula1>$Q$174:$Q$175</formula1>
    </dataValidation>
    <dataValidation type="list" allowBlank="1" showInputMessage="1" showErrorMessage="1" sqref="C39" xr:uid="{CF9B2523-62C8-4F09-9EB9-B6F0C34690BF}">
      <formula1>$W$35:$W$37</formula1>
    </dataValidation>
    <dataValidation type="list" allowBlank="1" showInputMessage="1" showErrorMessage="1" sqref="B39" xr:uid="{AFC9F6D4-2716-471F-8F5C-517CBC8BCB20}">
      <formula1>$S$34:$S$39</formula1>
    </dataValidation>
    <dataValidation type="list" allowBlank="1" showInputMessage="1" showErrorMessage="1" sqref="C19" xr:uid="{CCCEB2DB-84B4-4847-8223-3E8799FDA59C}">
      <formula1>$F$1174:$F$1175</formula1>
    </dataValidation>
    <dataValidation type="list" allowBlank="1" showInputMessage="1" showErrorMessage="1" sqref="E164" xr:uid="{0A754DEA-A58B-4730-9637-82BF3FCAFDF9}">
      <formula1>$Q$164:$Q$165</formula1>
    </dataValidation>
    <dataValidation type="list" allowBlank="1" showInputMessage="1" showErrorMessage="1" sqref="C338" xr:uid="{A18845A2-8138-40D5-B45D-A064139B94F3}">
      <formula1>$C$1197:$C$1199</formula1>
    </dataValidation>
    <dataValidation type="list" allowBlank="1" showInputMessage="1" showErrorMessage="1" sqref="D318" xr:uid="{61E89B3C-CD6A-40BB-BDBC-2453E0FE4342}">
      <formula1>$C$1193:$C$1195</formula1>
    </dataValidation>
    <dataValidation type="list" allowBlank="1" showInputMessage="1" showErrorMessage="1" sqref="C553:C554 C584" xr:uid="{10E9561E-C2FF-4201-8C24-AA51577CBBF9}">
      <formula1>$J$1193:$J$1194</formula1>
    </dataValidation>
    <dataValidation type="list" allowBlank="1" showInputMessage="1" showErrorMessage="1" sqref="C556 C586" xr:uid="{BDE15C17-3045-4E17-952A-A8525C78AC8E}">
      <formula1>$J$1196:$J$1199</formula1>
    </dataValidation>
    <dataValidation type="list" allowBlank="1" showInputMessage="1" showErrorMessage="1" sqref="C707" xr:uid="{82802ABA-DF2D-4731-8EBE-924B2C6D994A}">
      <formula1>$J$1204:$J$1205</formula1>
    </dataValidation>
    <dataValidation type="list" allowBlank="1" showInputMessage="1" showErrorMessage="1" sqref="C781" xr:uid="{7F0764AD-DCE0-497D-A902-6B9993A2AEA0}">
      <formula1>$J$1201:$J$1202</formula1>
    </dataValidation>
    <dataValidation type="list" allowBlank="1" showInputMessage="1" showErrorMessage="1" sqref="C795 C908" xr:uid="{7FEB39B1-0731-4C25-AB14-8E28889C08E1}">
      <formula1>$J$1179:$J$1180</formula1>
    </dataValidation>
    <dataValidation type="list" allowBlank="1" showInputMessage="1" showErrorMessage="1" sqref="C812 C880" xr:uid="{431D1DAA-8B68-4AF5-A09D-45CFD1989F60}">
      <formula1>$J$1179:$J$1181</formula1>
    </dataValidation>
    <dataValidation type="list" allowBlank="1" showInputMessage="1" showErrorMessage="1" sqref="C914 C925" xr:uid="{8818ABE7-198F-4A95-BC22-398E27076B3D}">
      <formula1>$F$1169:$F$1170</formula1>
    </dataValidation>
    <dataValidation type="list" allowBlank="1" showInputMessage="1" showErrorMessage="1" sqref="C194:E194" xr:uid="{AAF5D6DC-3893-417E-BB5E-D8B23C16C62C}">
      <formula1>EM_Powerpeak1</formula1>
    </dataValidation>
    <dataValidation type="list" allowBlank="1" showInputMessage="1" showErrorMessage="1" sqref="C776" xr:uid="{76EC964C-B374-47FD-9157-37963FDA8877}">
      <formula1>$F$1177:$F$1178</formula1>
    </dataValidation>
    <dataValidation type="list" allowBlank="1" showInputMessage="1" showErrorMessage="1" sqref="C765" xr:uid="{F82E3C71-3519-4212-B8D2-130512C1962C}">
      <formula1>$G$1172:$G$1173</formula1>
    </dataValidation>
    <dataValidation type="list" allowBlank="1" showInputMessage="1" showErrorMessage="1" sqref="C767" xr:uid="{5CF43D87-8090-4C0C-974C-C75E73451A51}">
      <formula1>$G$1176:$G$1177</formula1>
    </dataValidation>
    <dataValidation type="list" allowBlank="1" showInputMessage="1" showErrorMessage="1" sqref="C886 C897" xr:uid="{6CFB6DD0-0CF5-44B1-B696-0B8643348447}">
      <formula1>$J$1175:$J$1176</formula1>
    </dataValidation>
    <dataValidation showInputMessage="1" showErrorMessage="1" sqref="I185:J185" xr:uid="{025B7EA1-969B-4C01-A01A-7AE8470B47F6}"/>
    <dataValidation type="list" showInputMessage="1" showErrorMessage="1" sqref="H183" xr:uid="{4DE35AD2-7294-4B47-A6D2-56C528C9C706}">
      <formula1>$AI$177:$AI$182</formula1>
    </dataValidation>
    <dataValidation type="list" allowBlank="1" showInputMessage="1" showErrorMessage="1" sqref="I187:J187" xr:uid="{3FBA0128-E069-4A69-923E-D6BFCC0BE4BD}">
      <formula1>X177:X178</formula1>
    </dataValidation>
  </dataValidations>
  <printOptions horizontalCentered="1"/>
  <pageMargins left="0.51181102362204722" right="0.51181102362204722" top="0.51181102362204722" bottom="0.51181102362204722" header="0.51181102362204722" footer="0.31496062992125984"/>
  <pageSetup scale="51" orientation="portrait" r:id="rId1"/>
  <headerFooter alignWithMargins="0">
    <oddFooter>&amp;L_x000D_&amp;R2/13/2012_x000D_RETScreen4.xls</oddFooter>
  </headerFooter>
  <drawing r:id="rId2"/>
  <legacyDrawing r:id="rId3"/>
  <controls>
    <mc:AlternateContent xmlns:mc="http://schemas.openxmlformats.org/markup-compatibility/2006">
      <mc:Choice Requires="x14">
        <control shapeId="213343" r:id="rId4" name="CheckBox30">
          <controlPr defaultSize="0" print="0" autoLine="0" linkedCell="Q953" r:id="rId5">
            <anchor moveWithCells="1" sizeWithCells="1">
              <from>
                <xdr:col>16</xdr:col>
                <xdr:colOff>868680</xdr:colOff>
                <xdr:row>0</xdr:row>
                <xdr:rowOff>7620</xdr:rowOff>
              </from>
              <to>
                <xdr:col>17</xdr:col>
                <xdr:colOff>114300</xdr:colOff>
                <xdr:row>0</xdr:row>
                <xdr:rowOff>160020</xdr:rowOff>
              </to>
            </anchor>
          </controlPr>
        </control>
      </mc:Choice>
      <mc:Fallback>
        <control shapeId="213343" r:id="rId4" name="CheckBox30"/>
      </mc:Fallback>
    </mc:AlternateContent>
    <mc:AlternateContent xmlns:mc="http://schemas.openxmlformats.org/markup-compatibility/2006">
      <mc:Choice Requires="x14">
        <control shapeId="212928" r:id="rId6" name="CheckBox106">
          <controlPr defaultSize="0" autoLine="0" linkedCell="Q474" r:id="rId7">
            <anchor moveWithCells="1" sizeWithCells="1">
              <from>
                <xdr:col>16</xdr:col>
                <xdr:colOff>868680</xdr:colOff>
                <xdr:row>0</xdr:row>
                <xdr:rowOff>7620</xdr:rowOff>
              </from>
              <to>
                <xdr:col>17</xdr:col>
                <xdr:colOff>114300</xdr:colOff>
                <xdr:row>0</xdr:row>
                <xdr:rowOff>160020</xdr:rowOff>
              </to>
            </anchor>
          </controlPr>
        </control>
      </mc:Choice>
      <mc:Fallback>
        <control shapeId="212928" r:id="rId6" name="CheckBox106"/>
      </mc:Fallback>
    </mc:AlternateContent>
    <mc:AlternateContent xmlns:mc="http://schemas.openxmlformats.org/markup-compatibility/2006">
      <mc:Choice Requires="x14">
        <control shapeId="211490" r:id="rId8" name="CheckBox89">
          <controlPr defaultSize="0" autoLine="0" linkedCell="Q614" r:id="rId9">
            <anchor moveWithCells="1" sizeWithCells="1">
              <from>
                <xdr:col>16</xdr:col>
                <xdr:colOff>868680</xdr:colOff>
                <xdr:row>0</xdr:row>
                <xdr:rowOff>7620</xdr:rowOff>
              </from>
              <to>
                <xdr:col>17</xdr:col>
                <xdr:colOff>114300</xdr:colOff>
                <xdr:row>0</xdr:row>
                <xdr:rowOff>160020</xdr:rowOff>
              </to>
            </anchor>
          </controlPr>
        </control>
      </mc:Choice>
      <mc:Fallback>
        <control shapeId="211490" r:id="rId8" name="CheckBox89"/>
      </mc:Fallback>
    </mc:AlternateContent>
    <mc:AlternateContent xmlns:mc="http://schemas.openxmlformats.org/markup-compatibility/2006">
      <mc:Choice Requires="x14">
        <control shapeId="211489" r:id="rId10" name="CheckBox32">
          <controlPr defaultSize="0" autoLine="0" linkedCell="Q739" r:id="rId7">
            <anchor moveWithCells="1" sizeWithCells="1">
              <from>
                <xdr:col>16</xdr:col>
                <xdr:colOff>868680</xdr:colOff>
                <xdr:row>0</xdr:row>
                <xdr:rowOff>7620</xdr:rowOff>
              </from>
              <to>
                <xdr:col>17</xdr:col>
                <xdr:colOff>114300</xdr:colOff>
                <xdr:row>0</xdr:row>
                <xdr:rowOff>160020</xdr:rowOff>
              </to>
            </anchor>
          </controlPr>
        </control>
      </mc:Choice>
      <mc:Fallback>
        <control shapeId="211489" r:id="rId10" name="CheckBox32"/>
      </mc:Fallback>
    </mc:AlternateContent>
    <mc:AlternateContent xmlns:mc="http://schemas.openxmlformats.org/markup-compatibility/2006">
      <mc:Choice Requires="x14">
        <control shapeId="175965" r:id="rId11" name="CheckBox31">
          <controlPr defaultSize="0" autoLine="0" linkedCell="M354" r:id="rId9">
            <anchor moveWithCells="1" sizeWithCells="1">
              <from>
                <xdr:col>16</xdr:col>
                <xdr:colOff>868680</xdr:colOff>
                <xdr:row>0</xdr:row>
                <xdr:rowOff>7620</xdr:rowOff>
              </from>
              <to>
                <xdr:col>17</xdr:col>
                <xdr:colOff>114300</xdr:colOff>
                <xdr:row>0</xdr:row>
                <xdr:rowOff>160020</xdr:rowOff>
              </to>
            </anchor>
          </controlPr>
        </control>
      </mc:Choice>
      <mc:Fallback>
        <control shapeId="175965" r:id="rId11" name="CheckBox31"/>
      </mc:Fallback>
    </mc:AlternateContent>
    <mc:AlternateContent xmlns:mc="http://schemas.openxmlformats.org/markup-compatibility/2006">
      <mc:Choice Requires="x14">
        <control shapeId="175962" r:id="rId12" name="CheckBox28">
          <controlPr defaultSize="0" autoLine="0" linkedCell="M271" r:id="rId13">
            <anchor moveWithCells="1" sizeWithCells="1">
              <from>
                <xdr:col>16</xdr:col>
                <xdr:colOff>868680</xdr:colOff>
                <xdr:row>0</xdr:row>
                <xdr:rowOff>7620</xdr:rowOff>
              </from>
              <to>
                <xdr:col>17</xdr:col>
                <xdr:colOff>30480</xdr:colOff>
                <xdr:row>1</xdr:row>
                <xdr:rowOff>7620</xdr:rowOff>
              </to>
            </anchor>
          </controlPr>
        </control>
      </mc:Choice>
      <mc:Fallback>
        <control shapeId="175962" r:id="rId12" name="CheckBox28"/>
      </mc:Fallback>
    </mc:AlternateContent>
    <mc:AlternateContent xmlns:mc="http://schemas.openxmlformats.org/markup-compatibility/2006">
      <mc:Choice Requires="x14">
        <control shapeId="173896" r:id="rId14" name="CheckBox10">
          <controlPr defaultSize="0" autoLine="0" linkedCell="M277" r:id="rId9">
            <anchor moveWithCells="1" sizeWithCells="1">
              <from>
                <xdr:col>16</xdr:col>
                <xdr:colOff>868680</xdr:colOff>
                <xdr:row>0</xdr:row>
                <xdr:rowOff>7620</xdr:rowOff>
              </from>
              <to>
                <xdr:col>17</xdr:col>
                <xdr:colOff>114300</xdr:colOff>
                <xdr:row>0</xdr:row>
                <xdr:rowOff>160020</xdr:rowOff>
              </to>
            </anchor>
          </controlPr>
        </control>
      </mc:Choice>
      <mc:Fallback>
        <control shapeId="173896" r:id="rId14" name="CheckBox10"/>
      </mc:Fallback>
    </mc:AlternateContent>
    <mc:AlternateContent xmlns:mc="http://schemas.openxmlformats.org/markup-compatibility/2006">
      <mc:Choice Requires="x14">
        <control shapeId="82186" r:id="rId15" name="EE1Show3">
          <controlPr defaultSize="0" autoLine="0" linkedCell="M151" r:id="rId5">
            <anchor moveWithCells="1" sizeWithCells="1">
              <from>
                <xdr:col>16</xdr:col>
                <xdr:colOff>868680</xdr:colOff>
                <xdr:row>0</xdr:row>
                <xdr:rowOff>7620</xdr:rowOff>
              </from>
              <to>
                <xdr:col>17</xdr:col>
                <xdr:colOff>114300</xdr:colOff>
                <xdr:row>0</xdr:row>
                <xdr:rowOff>160020</xdr:rowOff>
              </to>
            </anchor>
          </controlPr>
        </control>
      </mc:Choice>
      <mc:Fallback>
        <control shapeId="82186" r:id="rId15" name="EE1Show3"/>
      </mc:Fallback>
    </mc:AlternateContent>
    <mc:AlternateContent xmlns:mc="http://schemas.openxmlformats.org/markup-compatibility/2006">
      <mc:Choice Requires="x14">
        <control shapeId="82185" r:id="rId16" name="EE1Show2">
          <controlPr defaultSize="0" autoLine="0" linkedCell="M37" r:id="rId5">
            <anchor moveWithCells="1" sizeWithCells="1">
              <from>
                <xdr:col>16</xdr:col>
                <xdr:colOff>868680</xdr:colOff>
                <xdr:row>0</xdr:row>
                <xdr:rowOff>7620</xdr:rowOff>
              </from>
              <to>
                <xdr:col>17</xdr:col>
                <xdr:colOff>114300</xdr:colOff>
                <xdr:row>0</xdr:row>
                <xdr:rowOff>160020</xdr:rowOff>
              </to>
            </anchor>
          </controlPr>
        </control>
      </mc:Choice>
      <mc:Fallback>
        <control shapeId="82185" r:id="rId16" name="EE1Show2"/>
      </mc:Fallback>
    </mc:AlternateContent>
    <mc:AlternateContent xmlns:mc="http://schemas.openxmlformats.org/markup-compatibility/2006">
      <mc:Choice Requires="x14">
        <control shapeId="82184" r:id="rId17" name="EE1Show1">
          <controlPr defaultSize="0" autoLine="0" linkedCell="M4" r:id="rId5">
            <anchor moveWithCells="1" sizeWithCells="1">
              <from>
                <xdr:col>16</xdr:col>
                <xdr:colOff>868680</xdr:colOff>
                <xdr:row>0</xdr:row>
                <xdr:rowOff>7620</xdr:rowOff>
              </from>
              <to>
                <xdr:col>17</xdr:col>
                <xdr:colOff>114300</xdr:colOff>
                <xdr:row>0</xdr:row>
                <xdr:rowOff>160020</xdr:rowOff>
              </to>
            </anchor>
          </controlPr>
        </control>
      </mc:Choice>
      <mc:Fallback>
        <control shapeId="82184" r:id="rId17" name="EE1Show1"/>
      </mc:Fallback>
    </mc:AlternateContent>
    <mc:AlternateContent xmlns:mc="http://schemas.openxmlformats.org/markup-compatibility/2006">
      <mc:Choice Requires="x14">
        <control shapeId="80633" r:id="rId18" name="CheckBox10SD">
          <controlPr defaultSize="0" autoLine="0" linkedCell="M384" r:id="rId9">
            <anchor moveWithCells="1" sizeWithCells="1">
              <from>
                <xdr:col>16</xdr:col>
                <xdr:colOff>868680</xdr:colOff>
                <xdr:row>0</xdr:row>
                <xdr:rowOff>7620</xdr:rowOff>
              </from>
              <to>
                <xdr:col>17</xdr:col>
                <xdr:colOff>114300</xdr:colOff>
                <xdr:row>0</xdr:row>
                <xdr:rowOff>160020</xdr:rowOff>
              </to>
            </anchor>
          </controlPr>
        </control>
      </mc:Choice>
      <mc:Fallback>
        <control shapeId="80633" r:id="rId18" name="CheckBox10SD"/>
      </mc:Fallback>
    </mc:AlternateContent>
    <mc:AlternateContent xmlns:mc="http://schemas.openxmlformats.org/markup-compatibility/2006">
      <mc:Choice Requires="x14">
        <control shapeId="68745" r:id="rId19" name="CheckBox105">
          <controlPr defaultSize="0" autoLine="0" linkedCell="Q39" r:id="rId20">
            <anchor moveWithCells="1" sizeWithCells="1">
              <from>
                <xdr:col>16</xdr:col>
                <xdr:colOff>868680</xdr:colOff>
                <xdr:row>0</xdr:row>
                <xdr:rowOff>7620</xdr:rowOff>
              </from>
              <to>
                <xdr:col>17</xdr:col>
                <xdr:colOff>114300</xdr:colOff>
                <xdr:row>0</xdr:row>
                <xdr:rowOff>160020</xdr:rowOff>
              </to>
            </anchor>
          </controlPr>
        </control>
      </mc:Choice>
      <mc:Fallback>
        <control shapeId="68745" r:id="rId19" name="CheckBox105"/>
      </mc:Fallback>
    </mc:AlternateContent>
    <mc:AlternateContent xmlns:mc="http://schemas.openxmlformats.org/markup-compatibility/2006">
      <mc:Choice Requires="x14">
        <control shapeId="68724" r:id="rId21" name="CheckBox104">
          <controlPr defaultSize="0" autoLine="0" linkedCell="Q129" r:id="rId22">
            <anchor moveWithCells="1" sizeWithCells="1">
              <from>
                <xdr:col>16</xdr:col>
                <xdr:colOff>868680</xdr:colOff>
                <xdr:row>0</xdr:row>
                <xdr:rowOff>7620</xdr:rowOff>
              </from>
              <to>
                <xdr:col>17</xdr:col>
                <xdr:colOff>114300</xdr:colOff>
                <xdr:row>0</xdr:row>
                <xdr:rowOff>160020</xdr:rowOff>
              </to>
            </anchor>
          </controlPr>
        </control>
      </mc:Choice>
      <mc:Fallback>
        <control shapeId="68724" r:id="rId21" name="CheckBox104"/>
      </mc:Fallback>
    </mc:AlternateContent>
    <mc:AlternateContent xmlns:mc="http://schemas.openxmlformats.org/markup-compatibility/2006">
      <mc:Choice Requires="x14">
        <control shapeId="68723" r:id="rId23" name="CheckBox103">
          <controlPr defaultSize="0" autoLine="0" linkedCell="Q128" r:id="rId24">
            <anchor moveWithCells="1" sizeWithCells="1">
              <from>
                <xdr:col>16</xdr:col>
                <xdr:colOff>868680</xdr:colOff>
                <xdr:row>0</xdr:row>
                <xdr:rowOff>7620</xdr:rowOff>
              </from>
              <to>
                <xdr:col>17</xdr:col>
                <xdr:colOff>114300</xdr:colOff>
                <xdr:row>0</xdr:row>
                <xdr:rowOff>160020</xdr:rowOff>
              </to>
            </anchor>
          </controlPr>
        </control>
      </mc:Choice>
      <mc:Fallback>
        <control shapeId="68723" r:id="rId23" name="CheckBox103"/>
      </mc:Fallback>
    </mc:AlternateContent>
    <mc:AlternateContent xmlns:mc="http://schemas.openxmlformats.org/markup-compatibility/2006">
      <mc:Choice Requires="x14">
        <control shapeId="68722" r:id="rId25" name="CheckBox102">
          <controlPr defaultSize="0" autoLine="0" linkedCell="Q127" r:id="rId24">
            <anchor moveWithCells="1" sizeWithCells="1">
              <from>
                <xdr:col>16</xdr:col>
                <xdr:colOff>868680</xdr:colOff>
                <xdr:row>0</xdr:row>
                <xdr:rowOff>7620</xdr:rowOff>
              </from>
              <to>
                <xdr:col>17</xdr:col>
                <xdr:colOff>114300</xdr:colOff>
                <xdr:row>0</xdr:row>
                <xdr:rowOff>160020</xdr:rowOff>
              </to>
            </anchor>
          </controlPr>
        </control>
      </mc:Choice>
      <mc:Fallback>
        <control shapeId="68722" r:id="rId25" name="CheckBox102"/>
      </mc:Fallback>
    </mc:AlternateContent>
    <mc:AlternateContent xmlns:mc="http://schemas.openxmlformats.org/markup-compatibility/2006">
      <mc:Choice Requires="x14">
        <control shapeId="68721" r:id="rId26" name="CheckBox101">
          <controlPr defaultSize="0" autoLine="0" linkedCell="Q126" r:id="rId27">
            <anchor moveWithCells="1" sizeWithCells="1">
              <from>
                <xdr:col>16</xdr:col>
                <xdr:colOff>868680</xdr:colOff>
                <xdr:row>0</xdr:row>
                <xdr:rowOff>7620</xdr:rowOff>
              </from>
              <to>
                <xdr:col>17</xdr:col>
                <xdr:colOff>114300</xdr:colOff>
                <xdr:row>0</xdr:row>
                <xdr:rowOff>160020</xdr:rowOff>
              </to>
            </anchor>
          </controlPr>
        </control>
      </mc:Choice>
      <mc:Fallback>
        <control shapeId="68721" r:id="rId26" name="CheckBox101"/>
      </mc:Fallback>
    </mc:AlternateContent>
    <mc:AlternateContent xmlns:mc="http://schemas.openxmlformats.org/markup-compatibility/2006">
      <mc:Choice Requires="x14">
        <control shapeId="68720" r:id="rId28" name="CheckBox100">
          <controlPr defaultSize="0" autoLine="0" linkedCell="Q125" r:id="rId24">
            <anchor moveWithCells="1" sizeWithCells="1">
              <from>
                <xdr:col>16</xdr:col>
                <xdr:colOff>868680</xdr:colOff>
                <xdr:row>0</xdr:row>
                <xdr:rowOff>7620</xdr:rowOff>
              </from>
              <to>
                <xdr:col>17</xdr:col>
                <xdr:colOff>114300</xdr:colOff>
                <xdr:row>0</xdr:row>
                <xdr:rowOff>160020</xdr:rowOff>
              </to>
            </anchor>
          </controlPr>
        </control>
      </mc:Choice>
      <mc:Fallback>
        <control shapeId="68720" r:id="rId28" name="CheckBox100"/>
      </mc:Fallback>
    </mc:AlternateContent>
    <mc:AlternateContent xmlns:mc="http://schemas.openxmlformats.org/markup-compatibility/2006">
      <mc:Choice Requires="x14">
        <control shapeId="68719" r:id="rId29" name="CheckBox99">
          <controlPr defaultSize="0" autoLine="0" linkedCell="Q123" r:id="rId30">
            <anchor moveWithCells="1" sizeWithCells="1">
              <from>
                <xdr:col>16</xdr:col>
                <xdr:colOff>868680</xdr:colOff>
                <xdr:row>0</xdr:row>
                <xdr:rowOff>7620</xdr:rowOff>
              </from>
              <to>
                <xdr:col>17</xdr:col>
                <xdr:colOff>114300</xdr:colOff>
                <xdr:row>0</xdr:row>
                <xdr:rowOff>160020</xdr:rowOff>
              </to>
            </anchor>
          </controlPr>
        </control>
      </mc:Choice>
      <mc:Fallback>
        <control shapeId="68719" r:id="rId29" name="CheckBox99"/>
      </mc:Fallback>
    </mc:AlternateContent>
    <mc:AlternateContent xmlns:mc="http://schemas.openxmlformats.org/markup-compatibility/2006">
      <mc:Choice Requires="x14">
        <control shapeId="68718" r:id="rId31" name="CheckBox98">
          <controlPr defaultSize="0" autoLine="0" linkedCell="Q122" r:id="rId32">
            <anchor moveWithCells="1" sizeWithCells="1">
              <from>
                <xdr:col>16</xdr:col>
                <xdr:colOff>868680</xdr:colOff>
                <xdr:row>0</xdr:row>
                <xdr:rowOff>7620</xdr:rowOff>
              </from>
              <to>
                <xdr:col>17</xdr:col>
                <xdr:colOff>114300</xdr:colOff>
                <xdr:row>0</xdr:row>
                <xdr:rowOff>160020</xdr:rowOff>
              </to>
            </anchor>
          </controlPr>
        </control>
      </mc:Choice>
      <mc:Fallback>
        <control shapeId="68718" r:id="rId31" name="CheckBox98"/>
      </mc:Fallback>
    </mc:AlternateContent>
    <mc:AlternateContent xmlns:mc="http://schemas.openxmlformats.org/markup-compatibility/2006">
      <mc:Choice Requires="x14">
        <control shapeId="68717" r:id="rId33" name="CheckBox97">
          <controlPr defaultSize="0" autoLine="0" linkedCell="Q121" r:id="rId22">
            <anchor moveWithCells="1" sizeWithCells="1">
              <from>
                <xdr:col>16</xdr:col>
                <xdr:colOff>868680</xdr:colOff>
                <xdr:row>0</xdr:row>
                <xdr:rowOff>7620</xdr:rowOff>
              </from>
              <to>
                <xdr:col>17</xdr:col>
                <xdr:colOff>114300</xdr:colOff>
                <xdr:row>0</xdr:row>
                <xdr:rowOff>160020</xdr:rowOff>
              </to>
            </anchor>
          </controlPr>
        </control>
      </mc:Choice>
      <mc:Fallback>
        <control shapeId="68717" r:id="rId33" name="CheckBox97"/>
      </mc:Fallback>
    </mc:AlternateContent>
    <mc:AlternateContent xmlns:mc="http://schemas.openxmlformats.org/markup-compatibility/2006">
      <mc:Choice Requires="x14">
        <control shapeId="68716" r:id="rId34" name="CheckBox96">
          <controlPr defaultSize="0" autoLine="0" linkedCell="Q120" r:id="rId32">
            <anchor moveWithCells="1" sizeWithCells="1">
              <from>
                <xdr:col>16</xdr:col>
                <xdr:colOff>868680</xdr:colOff>
                <xdr:row>0</xdr:row>
                <xdr:rowOff>7620</xdr:rowOff>
              </from>
              <to>
                <xdr:col>17</xdr:col>
                <xdr:colOff>114300</xdr:colOff>
                <xdr:row>0</xdr:row>
                <xdr:rowOff>160020</xdr:rowOff>
              </to>
            </anchor>
          </controlPr>
        </control>
      </mc:Choice>
      <mc:Fallback>
        <control shapeId="68716" r:id="rId34" name="CheckBox96"/>
      </mc:Fallback>
    </mc:AlternateContent>
    <mc:AlternateContent xmlns:mc="http://schemas.openxmlformats.org/markup-compatibility/2006">
      <mc:Choice Requires="x14">
        <control shapeId="68715" r:id="rId35" name="CheckBox95">
          <controlPr defaultSize="0" autoLine="0" linkedCell="Q119" r:id="rId27">
            <anchor moveWithCells="1" sizeWithCells="1">
              <from>
                <xdr:col>16</xdr:col>
                <xdr:colOff>868680</xdr:colOff>
                <xdr:row>0</xdr:row>
                <xdr:rowOff>7620</xdr:rowOff>
              </from>
              <to>
                <xdr:col>17</xdr:col>
                <xdr:colOff>114300</xdr:colOff>
                <xdr:row>0</xdr:row>
                <xdr:rowOff>160020</xdr:rowOff>
              </to>
            </anchor>
          </controlPr>
        </control>
      </mc:Choice>
      <mc:Fallback>
        <control shapeId="68715" r:id="rId35" name="CheckBox95"/>
      </mc:Fallback>
    </mc:AlternateContent>
    <mc:AlternateContent xmlns:mc="http://schemas.openxmlformats.org/markup-compatibility/2006">
      <mc:Choice Requires="x14">
        <control shapeId="9204" r:id="rId36" name="CheckBox94">
          <controlPr defaultSize="0" autoLine="0" linkedCell="Q141" r:id="rId37">
            <anchor moveWithCells="1" sizeWithCells="1">
              <from>
                <xdr:col>16</xdr:col>
                <xdr:colOff>868680</xdr:colOff>
                <xdr:row>0</xdr:row>
                <xdr:rowOff>7620</xdr:rowOff>
              </from>
              <to>
                <xdr:col>17</xdr:col>
                <xdr:colOff>114300</xdr:colOff>
                <xdr:row>0</xdr:row>
                <xdr:rowOff>160020</xdr:rowOff>
              </to>
            </anchor>
          </controlPr>
        </control>
      </mc:Choice>
      <mc:Fallback>
        <control shapeId="9204" r:id="rId36" name="CheckBox94"/>
      </mc:Fallback>
    </mc:AlternateContent>
    <mc:AlternateContent xmlns:mc="http://schemas.openxmlformats.org/markup-compatibility/2006">
      <mc:Choice Requires="x14">
        <control shapeId="9203" r:id="rId38" name="CheckBox93">
          <controlPr defaultSize="0" autoLine="0" linkedCell="Q140"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203" r:id="rId38" name="CheckBox93"/>
      </mc:Fallback>
    </mc:AlternateContent>
    <mc:AlternateContent xmlns:mc="http://schemas.openxmlformats.org/markup-compatibility/2006">
      <mc:Choice Requires="x14">
        <control shapeId="9202" r:id="rId39" name="CheckBox92">
          <controlPr defaultSize="0" autoLine="0" linkedCell="Q139" r:id="rId22">
            <anchor moveWithCells="1" sizeWithCells="1">
              <from>
                <xdr:col>16</xdr:col>
                <xdr:colOff>868680</xdr:colOff>
                <xdr:row>0</xdr:row>
                <xdr:rowOff>7620</xdr:rowOff>
              </from>
              <to>
                <xdr:col>17</xdr:col>
                <xdr:colOff>114300</xdr:colOff>
                <xdr:row>0</xdr:row>
                <xdr:rowOff>160020</xdr:rowOff>
              </to>
            </anchor>
          </controlPr>
        </control>
      </mc:Choice>
      <mc:Fallback>
        <control shapeId="9202" r:id="rId39" name="CheckBox92"/>
      </mc:Fallback>
    </mc:AlternateContent>
    <mc:AlternateContent xmlns:mc="http://schemas.openxmlformats.org/markup-compatibility/2006">
      <mc:Choice Requires="x14">
        <control shapeId="9201" r:id="rId40" name="CheckBox91">
          <controlPr defaultSize="0" autoLine="0" linkedCell="Q138"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201" r:id="rId40" name="CheckBox91"/>
      </mc:Fallback>
    </mc:AlternateContent>
    <mc:AlternateContent xmlns:mc="http://schemas.openxmlformats.org/markup-compatibility/2006">
      <mc:Choice Requires="x14">
        <control shapeId="9200" r:id="rId41" name="CheckBox90">
          <controlPr defaultSize="0" autoLine="0" linkedCell="Q137" r:id="rId27">
            <anchor moveWithCells="1" sizeWithCells="1">
              <from>
                <xdr:col>16</xdr:col>
                <xdr:colOff>868680</xdr:colOff>
                <xdr:row>0</xdr:row>
                <xdr:rowOff>7620</xdr:rowOff>
              </from>
              <to>
                <xdr:col>17</xdr:col>
                <xdr:colOff>114300</xdr:colOff>
                <xdr:row>0</xdr:row>
                <xdr:rowOff>160020</xdr:rowOff>
              </to>
            </anchor>
          </controlPr>
        </control>
      </mc:Choice>
      <mc:Fallback>
        <control shapeId="9200" r:id="rId41" name="CheckBox90"/>
      </mc:Fallback>
    </mc:AlternateContent>
    <mc:AlternateContent xmlns:mc="http://schemas.openxmlformats.org/markup-compatibility/2006">
      <mc:Choice Requires="x14">
        <control shapeId="9161" r:id="rId42" name="CheckBox88">
          <controlPr defaultSize="0" autoLine="0" linkedCell="Q147" r:id="rId43">
            <anchor moveWithCells="1" sizeWithCells="1">
              <from>
                <xdr:col>16</xdr:col>
                <xdr:colOff>868680</xdr:colOff>
                <xdr:row>0</xdr:row>
                <xdr:rowOff>7620</xdr:rowOff>
              </from>
              <to>
                <xdr:col>17</xdr:col>
                <xdr:colOff>114300</xdr:colOff>
                <xdr:row>0</xdr:row>
                <xdr:rowOff>160020</xdr:rowOff>
              </to>
            </anchor>
          </controlPr>
        </control>
      </mc:Choice>
      <mc:Fallback>
        <control shapeId="9161" r:id="rId42" name="CheckBox88"/>
      </mc:Fallback>
    </mc:AlternateContent>
    <mc:AlternateContent xmlns:mc="http://schemas.openxmlformats.org/markup-compatibility/2006">
      <mc:Choice Requires="x14">
        <control shapeId="9160" r:id="rId44" name="CheckBox87">
          <controlPr defaultSize="0" autoLine="0" linkedCell="Q146" r:id="rId32">
            <anchor moveWithCells="1" sizeWithCells="1">
              <from>
                <xdr:col>16</xdr:col>
                <xdr:colOff>868680</xdr:colOff>
                <xdr:row>0</xdr:row>
                <xdr:rowOff>7620</xdr:rowOff>
              </from>
              <to>
                <xdr:col>17</xdr:col>
                <xdr:colOff>114300</xdr:colOff>
                <xdr:row>0</xdr:row>
                <xdr:rowOff>160020</xdr:rowOff>
              </to>
            </anchor>
          </controlPr>
        </control>
      </mc:Choice>
      <mc:Fallback>
        <control shapeId="9160" r:id="rId44" name="CheckBox87"/>
      </mc:Fallback>
    </mc:AlternateContent>
    <mc:AlternateContent xmlns:mc="http://schemas.openxmlformats.org/markup-compatibility/2006">
      <mc:Choice Requires="x14">
        <control shapeId="9159" r:id="rId45" name="CheckBox86">
          <controlPr defaultSize="0" autoLine="0" linkedCell="Q145" r:id="rId27">
            <anchor moveWithCells="1" sizeWithCells="1">
              <from>
                <xdr:col>16</xdr:col>
                <xdr:colOff>868680</xdr:colOff>
                <xdr:row>0</xdr:row>
                <xdr:rowOff>7620</xdr:rowOff>
              </from>
              <to>
                <xdr:col>17</xdr:col>
                <xdr:colOff>114300</xdr:colOff>
                <xdr:row>0</xdr:row>
                <xdr:rowOff>160020</xdr:rowOff>
              </to>
            </anchor>
          </controlPr>
        </control>
      </mc:Choice>
      <mc:Fallback>
        <control shapeId="9159" r:id="rId45" name="CheckBox86"/>
      </mc:Fallback>
    </mc:AlternateContent>
    <mc:AlternateContent xmlns:mc="http://schemas.openxmlformats.org/markup-compatibility/2006">
      <mc:Choice Requires="x14">
        <control shapeId="9158" r:id="rId46" name="CheckBox85">
          <controlPr defaultSize="0" autoLine="0" linkedCell="Q144" r:id="rId47">
            <anchor moveWithCells="1" sizeWithCells="1">
              <from>
                <xdr:col>16</xdr:col>
                <xdr:colOff>868680</xdr:colOff>
                <xdr:row>0</xdr:row>
                <xdr:rowOff>7620</xdr:rowOff>
              </from>
              <to>
                <xdr:col>17</xdr:col>
                <xdr:colOff>114300</xdr:colOff>
                <xdr:row>0</xdr:row>
                <xdr:rowOff>160020</xdr:rowOff>
              </to>
            </anchor>
          </controlPr>
        </control>
      </mc:Choice>
      <mc:Fallback>
        <control shapeId="9158" r:id="rId46" name="CheckBox85"/>
      </mc:Fallback>
    </mc:AlternateContent>
    <mc:AlternateContent xmlns:mc="http://schemas.openxmlformats.org/markup-compatibility/2006">
      <mc:Choice Requires="x14">
        <control shapeId="9157" r:id="rId48" name="CheckBox84">
          <controlPr defaultSize="0" autoLine="0" linkedCell="Q143" r:id="rId32">
            <anchor moveWithCells="1" sizeWithCells="1">
              <from>
                <xdr:col>16</xdr:col>
                <xdr:colOff>868680</xdr:colOff>
                <xdr:row>0</xdr:row>
                <xdr:rowOff>7620</xdr:rowOff>
              </from>
              <to>
                <xdr:col>17</xdr:col>
                <xdr:colOff>114300</xdr:colOff>
                <xdr:row>0</xdr:row>
                <xdr:rowOff>160020</xdr:rowOff>
              </to>
            </anchor>
          </controlPr>
        </control>
      </mc:Choice>
      <mc:Fallback>
        <control shapeId="9157" r:id="rId48" name="CheckBox84"/>
      </mc:Fallback>
    </mc:AlternateContent>
    <mc:AlternateContent xmlns:mc="http://schemas.openxmlformats.org/markup-compatibility/2006">
      <mc:Choice Requires="x14">
        <control shapeId="9156" r:id="rId49" name="CheckBox83">
          <controlPr defaultSize="0" autoLine="0" linkedCell="Q135"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156" r:id="rId49" name="CheckBox83"/>
      </mc:Fallback>
    </mc:AlternateContent>
    <mc:AlternateContent xmlns:mc="http://schemas.openxmlformats.org/markup-compatibility/2006">
      <mc:Choice Requires="x14">
        <control shapeId="9155" r:id="rId50" name="CheckBox82">
          <controlPr defaultSize="0" autoLine="0" linkedCell="Q134" r:id="rId27">
            <anchor moveWithCells="1" sizeWithCells="1">
              <from>
                <xdr:col>16</xdr:col>
                <xdr:colOff>868680</xdr:colOff>
                <xdr:row>0</xdr:row>
                <xdr:rowOff>7620</xdr:rowOff>
              </from>
              <to>
                <xdr:col>17</xdr:col>
                <xdr:colOff>114300</xdr:colOff>
                <xdr:row>0</xdr:row>
                <xdr:rowOff>160020</xdr:rowOff>
              </to>
            </anchor>
          </controlPr>
        </control>
      </mc:Choice>
      <mc:Fallback>
        <control shapeId="9155" r:id="rId50" name="CheckBox82"/>
      </mc:Fallback>
    </mc:AlternateContent>
    <mc:AlternateContent xmlns:mc="http://schemas.openxmlformats.org/markup-compatibility/2006">
      <mc:Choice Requires="x14">
        <control shapeId="9154" r:id="rId51" name="CheckBox81">
          <controlPr defaultSize="0" autoLine="0" linkedCell="Q133" r:id="rId27">
            <anchor moveWithCells="1" sizeWithCells="1">
              <from>
                <xdr:col>16</xdr:col>
                <xdr:colOff>868680</xdr:colOff>
                <xdr:row>0</xdr:row>
                <xdr:rowOff>7620</xdr:rowOff>
              </from>
              <to>
                <xdr:col>17</xdr:col>
                <xdr:colOff>114300</xdr:colOff>
                <xdr:row>0</xdr:row>
                <xdr:rowOff>160020</xdr:rowOff>
              </to>
            </anchor>
          </controlPr>
        </control>
      </mc:Choice>
      <mc:Fallback>
        <control shapeId="9154" r:id="rId51" name="CheckBox81"/>
      </mc:Fallback>
    </mc:AlternateContent>
    <mc:AlternateContent xmlns:mc="http://schemas.openxmlformats.org/markup-compatibility/2006">
      <mc:Choice Requires="x14">
        <control shapeId="9153" r:id="rId52" name="CheckBox80">
          <controlPr defaultSize="0" autoLine="0" linkedCell="Q132" r:id="rId22">
            <anchor moveWithCells="1" sizeWithCells="1">
              <from>
                <xdr:col>16</xdr:col>
                <xdr:colOff>868680</xdr:colOff>
                <xdr:row>0</xdr:row>
                <xdr:rowOff>7620</xdr:rowOff>
              </from>
              <to>
                <xdr:col>17</xdr:col>
                <xdr:colOff>114300</xdr:colOff>
                <xdr:row>0</xdr:row>
                <xdr:rowOff>160020</xdr:rowOff>
              </to>
            </anchor>
          </controlPr>
        </control>
      </mc:Choice>
      <mc:Fallback>
        <control shapeId="9153" r:id="rId52" name="CheckBox80"/>
      </mc:Fallback>
    </mc:AlternateContent>
    <mc:AlternateContent xmlns:mc="http://schemas.openxmlformats.org/markup-compatibility/2006">
      <mc:Choice Requires="x14">
        <control shapeId="9152" r:id="rId53" name="CheckBox79">
          <controlPr defaultSize="0" autoLine="0" linkedCell="Q131" r:id="rId43">
            <anchor moveWithCells="1" sizeWithCells="1">
              <from>
                <xdr:col>16</xdr:col>
                <xdr:colOff>868680</xdr:colOff>
                <xdr:row>0</xdr:row>
                <xdr:rowOff>7620</xdr:rowOff>
              </from>
              <to>
                <xdr:col>17</xdr:col>
                <xdr:colOff>114300</xdr:colOff>
                <xdr:row>0</xdr:row>
                <xdr:rowOff>160020</xdr:rowOff>
              </to>
            </anchor>
          </controlPr>
        </control>
      </mc:Choice>
      <mc:Fallback>
        <control shapeId="9152" r:id="rId53" name="CheckBox79"/>
      </mc:Fallback>
    </mc:AlternateContent>
    <mc:AlternateContent xmlns:mc="http://schemas.openxmlformats.org/markup-compatibility/2006">
      <mc:Choice Requires="x14">
        <control shapeId="9151" r:id="rId54" name="CheckBox78">
          <controlPr defaultSize="0" autoLine="0" linkedCell="Q117" r:id="rId43">
            <anchor moveWithCells="1" sizeWithCells="1">
              <from>
                <xdr:col>16</xdr:col>
                <xdr:colOff>868680</xdr:colOff>
                <xdr:row>0</xdr:row>
                <xdr:rowOff>7620</xdr:rowOff>
              </from>
              <to>
                <xdr:col>17</xdr:col>
                <xdr:colOff>114300</xdr:colOff>
                <xdr:row>0</xdr:row>
                <xdr:rowOff>160020</xdr:rowOff>
              </to>
            </anchor>
          </controlPr>
        </control>
      </mc:Choice>
      <mc:Fallback>
        <control shapeId="9151" r:id="rId54" name="CheckBox78"/>
      </mc:Fallback>
    </mc:AlternateContent>
    <mc:AlternateContent xmlns:mc="http://schemas.openxmlformats.org/markup-compatibility/2006">
      <mc:Choice Requires="x14">
        <control shapeId="9150" r:id="rId55" name="CheckBox77">
          <controlPr defaultSize="0" autoLine="0" linkedCell="Q116" r:id="rId56">
            <anchor moveWithCells="1" sizeWithCells="1">
              <from>
                <xdr:col>16</xdr:col>
                <xdr:colOff>868680</xdr:colOff>
                <xdr:row>0</xdr:row>
                <xdr:rowOff>7620</xdr:rowOff>
              </from>
              <to>
                <xdr:col>17</xdr:col>
                <xdr:colOff>114300</xdr:colOff>
                <xdr:row>0</xdr:row>
                <xdr:rowOff>160020</xdr:rowOff>
              </to>
            </anchor>
          </controlPr>
        </control>
      </mc:Choice>
      <mc:Fallback>
        <control shapeId="9150" r:id="rId55" name="CheckBox77"/>
      </mc:Fallback>
    </mc:AlternateContent>
    <mc:AlternateContent xmlns:mc="http://schemas.openxmlformats.org/markup-compatibility/2006">
      <mc:Choice Requires="x14">
        <control shapeId="9149" r:id="rId57" name="CheckBox76">
          <controlPr defaultSize="0" autoLine="0" linkedCell="Q115" r:id="rId32">
            <anchor moveWithCells="1" sizeWithCells="1">
              <from>
                <xdr:col>16</xdr:col>
                <xdr:colOff>868680</xdr:colOff>
                <xdr:row>0</xdr:row>
                <xdr:rowOff>7620</xdr:rowOff>
              </from>
              <to>
                <xdr:col>17</xdr:col>
                <xdr:colOff>114300</xdr:colOff>
                <xdr:row>0</xdr:row>
                <xdr:rowOff>160020</xdr:rowOff>
              </to>
            </anchor>
          </controlPr>
        </control>
      </mc:Choice>
      <mc:Fallback>
        <control shapeId="9149" r:id="rId57" name="CheckBox76"/>
      </mc:Fallback>
    </mc:AlternateContent>
    <mc:AlternateContent xmlns:mc="http://schemas.openxmlformats.org/markup-compatibility/2006">
      <mc:Choice Requires="x14">
        <control shapeId="9148" r:id="rId58" name="CheckBox75">
          <controlPr defaultSize="0" autoLine="0" linkedCell="Q114"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148" r:id="rId58" name="CheckBox75"/>
      </mc:Fallback>
    </mc:AlternateContent>
    <mc:AlternateContent xmlns:mc="http://schemas.openxmlformats.org/markup-compatibility/2006">
      <mc:Choice Requires="x14">
        <control shapeId="9147" r:id="rId59" name="CheckBox74">
          <controlPr defaultSize="0" autoLine="0" linkedCell="Q113"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147" r:id="rId59" name="CheckBox74"/>
      </mc:Fallback>
    </mc:AlternateContent>
    <mc:AlternateContent xmlns:mc="http://schemas.openxmlformats.org/markup-compatibility/2006">
      <mc:Choice Requires="x14">
        <control shapeId="9146" r:id="rId60" name="CheckBox73">
          <controlPr defaultSize="0" autoLine="0" linkedCell="Q111" r:id="rId27">
            <anchor moveWithCells="1" sizeWithCells="1">
              <from>
                <xdr:col>16</xdr:col>
                <xdr:colOff>868680</xdr:colOff>
                <xdr:row>0</xdr:row>
                <xdr:rowOff>7620</xdr:rowOff>
              </from>
              <to>
                <xdr:col>17</xdr:col>
                <xdr:colOff>114300</xdr:colOff>
                <xdr:row>0</xdr:row>
                <xdr:rowOff>160020</xdr:rowOff>
              </to>
            </anchor>
          </controlPr>
        </control>
      </mc:Choice>
      <mc:Fallback>
        <control shapeId="9146" r:id="rId60" name="CheckBox73"/>
      </mc:Fallback>
    </mc:AlternateContent>
    <mc:AlternateContent xmlns:mc="http://schemas.openxmlformats.org/markup-compatibility/2006">
      <mc:Choice Requires="x14">
        <control shapeId="9145" r:id="rId61" name="CheckBox72">
          <controlPr defaultSize="0" autoLine="0" linkedCell="Q110" r:id="rId27">
            <anchor moveWithCells="1" sizeWithCells="1">
              <from>
                <xdr:col>16</xdr:col>
                <xdr:colOff>868680</xdr:colOff>
                <xdr:row>0</xdr:row>
                <xdr:rowOff>7620</xdr:rowOff>
              </from>
              <to>
                <xdr:col>17</xdr:col>
                <xdr:colOff>114300</xdr:colOff>
                <xdr:row>0</xdr:row>
                <xdr:rowOff>160020</xdr:rowOff>
              </to>
            </anchor>
          </controlPr>
        </control>
      </mc:Choice>
      <mc:Fallback>
        <control shapeId="9145" r:id="rId61" name="CheckBox72"/>
      </mc:Fallback>
    </mc:AlternateContent>
    <mc:AlternateContent xmlns:mc="http://schemas.openxmlformats.org/markup-compatibility/2006">
      <mc:Choice Requires="x14">
        <control shapeId="9144" r:id="rId62" name="CheckBox71">
          <controlPr defaultSize="0" autoLine="0" linkedCell="Q109"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144" r:id="rId62" name="CheckBox71"/>
      </mc:Fallback>
    </mc:AlternateContent>
    <mc:AlternateContent xmlns:mc="http://schemas.openxmlformats.org/markup-compatibility/2006">
      <mc:Choice Requires="x14">
        <control shapeId="9143" r:id="rId63" name="CheckBox70">
          <controlPr defaultSize="0" autoLine="0" linkedCell="Q108" r:id="rId43">
            <anchor moveWithCells="1" sizeWithCells="1">
              <from>
                <xdr:col>16</xdr:col>
                <xdr:colOff>868680</xdr:colOff>
                <xdr:row>0</xdr:row>
                <xdr:rowOff>7620</xdr:rowOff>
              </from>
              <to>
                <xdr:col>17</xdr:col>
                <xdr:colOff>114300</xdr:colOff>
                <xdr:row>0</xdr:row>
                <xdr:rowOff>160020</xdr:rowOff>
              </to>
            </anchor>
          </controlPr>
        </control>
      </mc:Choice>
      <mc:Fallback>
        <control shapeId="9143" r:id="rId63" name="CheckBox70"/>
      </mc:Fallback>
    </mc:AlternateContent>
    <mc:AlternateContent xmlns:mc="http://schemas.openxmlformats.org/markup-compatibility/2006">
      <mc:Choice Requires="x14">
        <control shapeId="9142" r:id="rId64" name="CheckBox69">
          <controlPr defaultSize="0" autoLine="0" linkedCell="Q107" r:id="rId65">
            <anchor moveWithCells="1" sizeWithCells="1">
              <from>
                <xdr:col>16</xdr:col>
                <xdr:colOff>868680</xdr:colOff>
                <xdr:row>0</xdr:row>
                <xdr:rowOff>7620</xdr:rowOff>
              </from>
              <to>
                <xdr:col>17</xdr:col>
                <xdr:colOff>114300</xdr:colOff>
                <xdr:row>0</xdr:row>
                <xdr:rowOff>160020</xdr:rowOff>
              </to>
            </anchor>
          </controlPr>
        </control>
      </mc:Choice>
      <mc:Fallback>
        <control shapeId="9142" r:id="rId64" name="CheckBox69"/>
      </mc:Fallback>
    </mc:AlternateContent>
    <mc:AlternateContent xmlns:mc="http://schemas.openxmlformats.org/markup-compatibility/2006">
      <mc:Choice Requires="x14">
        <control shapeId="9141" r:id="rId66" name="CheckBox68">
          <controlPr defaultSize="0" autoLine="0" linkedCell="Q105"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141" r:id="rId66" name="CheckBox68"/>
      </mc:Fallback>
    </mc:AlternateContent>
    <mc:AlternateContent xmlns:mc="http://schemas.openxmlformats.org/markup-compatibility/2006">
      <mc:Choice Requires="x14">
        <control shapeId="9140" r:id="rId67" name="CheckBox67">
          <controlPr defaultSize="0" autoLine="0" linkedCell="Q104" r:id="rId37">
            <anchor moveWithCells="1" sizeWithCells="1">
              <from>
                <xdr:col>16</xdr:col>
                <xdr:colOff>868680</xdr:colOff>
                <xdr:row>0</xdr:row>
                <xdr:rowOff>7620</xdr:rowOff>
              </from>
              <to>
                <xdr:col>17</xdr:col>
                <xdr:colOff>114300</xdr:colOff>
                <xdr:row>0</xdr:row>
                <xdr:rowOff>160020</xdr:rowOff>
              </to>
            </anchor>
          </controlPr>
        </control>
      </mc:Choice>
      <mc:Fallback>
        <control shapeId="9140" r:id="rId67" name="CheckBox67"/>
      </mc:Fallback>
    </mc:AlternateContent>
    <mc:AlternateContent xmlns:mc="http://schemas.openxmlformats.org/markup-compatibility/2006">
      <mc:Choice Requires="x14">
        <control shapeId="9139" r:id="rId68" name="CheckBox66">
          <controlPr defaultSize="0" autoLine="0" linkedCell="Q103" r:id="rId22">
            <anchor moveWithCells="1" sizeWithCells="1">
              <from>
                <xdr:col>16</xdr:col>
                <xdr:colOff>868680</xdr:colOff>
                <xdr:row>0</xdr:row>
                <xdr:rowOff>7620</xdr:rowOff>
              </from>
              <to>
                <xdr:col>17</xdr:col>
                <xdr:colOff>114300</xdr:colOff>
                <xdr:row>0</xdr:row>
                <xdr:rowOff>160020</xdr:rowOff>
              </to>
            </anchor>
          </controlPr>
        </control>
      </mc:Choice>
      <mc:Fallback>
        <control shapeId="9139" r:id="rId68" name="CheckBox66"/>
      </mc:Fallback>
    </mc:AlternateContent>
    <mc:AlternateContent xmlns:mc="http://schemas.openxmlformats.org/markup-compatibility/2006">
      <mc:Choice Requires="x14">
        <control shapeId="9138" r:id="rId69" name="CheckBox65">
          <controlPr defaultSize="0" autoLine="0" linkedCell="Q102" r:id="rId32">
            <anchor moveWithCells="1" sizeWithCells="1">
              <from>
                <xdr:col>16</xdr:col>
                <xdr:colOff>868680</xdr:colOff>
                <xdr:row>0</xdr:row>
                <xdr:rowOff>7620</xdr:rowOff>
              </from>
              <to>
                <xdr:col>17</xdr:col>
                <xdr:colOff>114300</xdr:colOff>
                <xdr:row>0</xdr:row>
                <xdr:rowOff>160020</xdr:rowOff>
              </to>
            </anchor>
          </controlPr>
        </control>
      </mc:Choice>
      <mc:Fallback>
        <control shapeId="9138" r:id="rId69" name="CheckBox65"/>
      </mc:Fallback>
    </mc:AlternateContent>
    <mc:AlternateContent xmlns:mc="http://schemas.openxmlformats.org/markup-compatibility/2006">
      <mc:Choice Requires="x14">
        <control shapeId="9137" r:id="rId70" name="CheckBox64">
          <controlPr defaultSize="0" autoLine="0" linkedCell="Q101"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137" r:id="rId70" name="CheckBox64"/>
      </mc:Fallback>
    </mc:AlternateContent>
    <mc:AlternateContent xmlns:mc="http://schemas.openxmlformats.org/markup-compatibility/2006">
      <mc:Choice Requires="x14">
        <control shapeId="9136" r:id="rId71" name="CheckBox63">
          <controlPr defaultSize="0" autoLine="0" linkedCell="Q99" r:id="rId27">
            <anchor moveWithCells="1" sizeWithCells="1">
              <from>
                <xdr:col>16</xdr:col>
                <xdr:colOff>868680</xdr:colOff>
                <xdr:row>0</xdr:row>
                <xdr:rowOff>7620</xdr:rowOff>
              </from>
              <to>
                <xdr:col>17</xdr:col>
                <xdr:colOff>114300</xdr:colOff>
                <xdr:row>0</xdr:row>
                <xdr:rowOff>160020</xdr:rowOff>
              </to>
            </anchor>
          </controlPr>
        </control>
      </mc:Choice>
      <mc:Fallback>
        <control shapeId="9136" r:id="rId71" name="CheckBox63"/>
      </mc:Fallback>
    </mc:AlternateContent>
    <mc:AlternateContent xmlns:mc="http://schemas.openxmlformats.org/markup-compatibility/2006">
      <mc:Choice Requires="x14">
        <control shapeId="9135" r:id="rId72" name="CheckBox62">
          <controlPr defaultSize="0" autoLine="0" linkedCell="Q98"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135" r:id="rId72" name="CheckBox62"/>
      </mc:Fallback>
    </mc:AlternateContent>
    <mc:AlternateContent xmlns:mc="http://schemas.openxmlformats.org/markup-compatibility/2006">
      <mc:Choice Requires="x14">
        <control shapeId="9134" r:id="rId73" name="CheckBox61">
          <controlPr defaultSize="0" autoLine="0" linkedCell="Q97" r:id="rId32">
            <anchor moveWithCells="1" sizeWithCells="1">
              <from>
                <xdr:col>16</xdr:col>
                <xdr:colOff>868680</xdr:colOff>
                <xdr:row>0</xdr:row>
                <xdr:rowOff>7620</xdr:rowOff>
              </from>
              <to>
                <xdr:col>17</xdr:col>
                <xdr:colOff>114300</xdr:colOff>
                <xdr:row>0</xdr:row>
                <xdr:rowOff>160020</xdr:rowOff>
              </to>
            </anchor>
          </controlPr>
        </control>
      </mc:Choice>
      <mc:Fallback>
        <control shapeId="9134" r:id="rId73" name="CheckBox61"/>
      </mc:Fallback>
    </mc:AlternateContent>
    <mc:AlternateContent xmlns:mc="http://schemas.openxmlformats.org/markup-compatibility/2006">
      <mc:Choice Requires="x14">
        <control shapeId="9133" r:id="rId74" name="CheckBox60">
          <controlPr defaultSize="0" autoLine="0" linkedCell="Q96" r:id="rId27">
            <anchor moveWithCells="1" sizeWithCells="1">
              <from>
                <xdr:col>16</xdr:col>
                <xdr:colOff>868680</xdr:colOff>
                <xdr:row>0</xdr:row>
                <xdr:rowOff>7620</xdr:rowOff>
              </from>
              <to>
                <xdr:col>17</xdr:col>
                <xdr:colOff>114300</xdr:colOff>
                <xdr:row>0</xdr:row>
                <xdr:rowOff>160020</xdr:rowOff>
              </to>
            </anchor>
          </controlPr>
        </control>
      </mc:Choice>
      <mc:Fallback>
        <control shapeId="9133" r:id="rId74" name="CheckBox60"/>
      </mc:Fallback>
    </mc:AlternateContent>
    <mc:AlternateContent xmlns:mc="http://schemas.openxmlformats.org/markup-compatibility/2006">
      <mc:Choice Requires="x14">
        <control shapeId="9132" r:id="rId75" name="CheckBox59">
          <controlPr defaultSize="0" autoLine="0" linkedCell="Q95" r:id="rId22">
            <anchor moveWithCells="1" sizeWithCells="1">
              <from>
                <xdr:col>16</xdr:col>
                <xdr:colOff>868680</xdr:colOff>
                <xdr:row>0</xdr:row>
                <xdr:rowOff>7620</xdr:rowOff>
              </from>
              <to>
                <xdr:col>17</xdr:col>
                <xdr:colOff>114300</xdr:colOff>
                <xdr:row>0</xdr:row>
                <xdr:rowOff>160020</xdr:rowOff>
              </to>
            </anchor>
          </controlPr>
        </control>
      </mc:Choice>
      <mc:Fallback>
        <control shapeId="9132" r:id="rId75" name="CheckBox59"/>
      </mc:Fallback>
    </mc:AlternateContent>
    <mc:AlternateContent xmlns:mc="http://schemas.openxmlformats.org/markup-compatibility/2006">
      <mc:Choice Requires="x14">
        <control shapeId="9131" r:id="rId76" name="CheckBox58">
          <controlPr defaultSize="0" autoLine="0" linkedCell="Q93" r:id="rId22">
            <anchor moveWithCells="1" sizeWithCells="1">
              <from>
                <xdr:col>16</xdr:col>
                <xdr:colOff>868680</xdr:colOff>
                <xdr:row>0</xdr:row>
                <xdr:rowOff>7620</xdr:rowOff>
              </from>
              <to>
                <xdr:col>17</xdr:col>
                <xdr:colOff>114300</xdr:colOff>
                <xdr:row>0</xdr:row>
                <xdr:rowOff>160020</xdr:rowOff>
              </to>
            </anchor>
          </controlPr>
        </control>
      </mc:Choice>
      <mc:Fallback>
        <control shapeId="9131" r:id="rId76" name="CheckBox58"/>
      </mc:Fallback>
    </mc:AlternateContent>
    <mc:AlternateContent xmlns:mc="http://schemas.openxmlformats.org/markup-compatibility/2006">
      <mc:Choice Requires="x14">
        <control shapeId="9130" r:id="rId77" name="CheckBox57">
          <controlPr defaultSize="0" autoLine="0" linkedCell="Q92" r:id="rId37">
            <anchor moveWithCells="1" sizeWithCells="1">
              <from>
                <xdr:col>16</xdr:col>
                <xdr:colOff>868680</xdr:colOff>
                <xdr:row>0</xdr:row>
                <xdr:rowOff>7620</xdr:rowOff>
              </from>
              <to>
                <xdr:col>17</xdr:col>
                <xdr:colOff>114300</xdr:colOff>
                <xdr:row>0</xdr:row>
                <xdr:rowOff>160020</xdr:rowOff>
              </to>
            </anchor>
          </controlPr>
        </control>
      </mc:Choice>
      <mc:Fallback>
        <control shapeId="9130" r:id="rId77" name="CheckBox57"/>
      </mc:Fallback>
    </mc:AlternateContent>
    <mc:AlternateContent xmlns:mc="http://schemas.openxmlformats.org/markup-compatibility/2006">
      <mc:Choice Requires="x14">
        <control shapeId="9129" r:id="rId78" name="CheckBox56">
          <controlPr defaultSize="0" autoLine="0" linkedCell="Q91" r:id="rId43">
            <anchor moveWithCells="1" sizeWithCells="1">
              <from>
                <xdr:col>16</xdr:col>
                <xdr:colOff>868680</xdr:colOff>
                <xdr:row>0</xdr:row>
                <xdr:rowOff>7620</xdr:rowOff>
              </from>
              <to>
                <xdr:col>17</xdr:col>
                <xdr:colOff>114300</xdr:colOff>
                <xdr:row>0</xdr:row>
                <xdr:rowOff>160020</xdr:rowOff>
              </to>
            </anchor>
          </controlPr>
        </control>
      </mc:Choice>
      <mc:Fallback>
        <control shapeId="9129" r:id="rId78" name="CheckBox56"/>
      </mc:Fallback>
    </mc:AlternateContent>
    <mc:AlternateContent xmlns:mc="http://schemas.openxmlformats.org/markup-compatibility/2006">
      <mc:Choice Requires="x14">
        <control shapeId="9128" r:id="rId79" name="CheckBox55">
          <controlPr defaultSize="0" autoLine="0" linkedCell="Q90"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128" r:id="rId79" name="CheckBox55"/>
      </mc:Fallback>
    </mc:AlternateContent>
    <mc:AlternateContent xmlns:mc="http://schemas.openxmlformats.org/markup-compatibility/2006">
      <mc:Choice Requires="x14">
        <control shapeId="9127" r:id="rId80" name="CheckBox54">
          <controlPr defaultSize="0" autoLine="0" linkedCell="Q89" r:id="rId32">
            <anchor moveWithCells="1" sizeWithCells="1">
              <from>
                <xdr:col>16</xdr:col>
                <xdr:colOff>868680</xdr:colOff>
                <xdr:row>0</xdr:row>
                <xdr:rowOff>7620</xdr:rowOff>
              </from>
              <to>
                <xdr:col>17</xdr:col>
                <xdr:colOff>114300</xdr:colOff>
                <xdr:row>0</xdr:row>
                <xdr:rowOff>160020</xdr:rowOff>
              </to>
            </anchor>
          </controlPr>
        </control>
      </mc:Choice>
      <mc:Fallback>
        <control shapeId="9127" r:id="rId80" name="CheckBox54"/>
      </mc:Fallback>
    </mc:AlternateContent>
    <mc:AlternateContent xmlns:mc="http://schemas.openxmlformats.org/markup-compatibility/2006">
      <mc:Choice Requires="x14">
        <control shapeId="9126" r:id="rId81" name="CheckBox53">
          <controlPr defaultSize="0" autoLine="0" linkedCell="Q87" r:id="rId27">
            <anchor moveWithCells="1" sizeWithCells="1">
              <from>
                <xdr:col>16</xdr:col>
                <xdr:colOff>868680</xdr:colOff>
                <xdr:row>0</xdr:row>
                <xdr:rowOff>7620</xdr:rowOff>
              </from>
              <to>
                <xdr:col>17</xdr:col>
                <xdr:colOff>114300</xdr:colOff>
                <xdr:row>0</xdr:row>
                <xdr:rowOff>160020</xdr:rowOff>
              </to>
            </anchor>
          </controlPr>
        </control>
      </mc:Choice>
      <mc:Fallback>
        <control shapeId="9126" r:id="rId81" name="CheckBox53"/>
      </mc:Fallback>
    </mc:AlternateContent>
    <mc:AlternateContent xmlns:mc="http://schemas.openxmlformats.org/markup-compatibility/2006">
      <mc:Choice Requires="x14">
        <control shapeId="9125" r:id="rId82" name="CheckBox52">
          <controlPr defaultSize="0" autoLine="0" linkedCell="Q86"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125" r:id="rId82" name="CheckBox52"/>
      </mc:Fallback>
    </mc:AlternateContent>
    <mc:AlternateContent xmlns:mc="http://schemas.openxmlformats.org/markup-compatibility/2006">
      <mc:Choice Requires="x14">
        <control shapeId="9124" r:id="rId83" name="CheckBox51">
          <controlPr defaultSize="0" autoLine="0" linkedCell="Q85" r:id="rId32">
            <anchor moveWithCells="1" sizeWithCells="1">
              <from>
                <xdr:col>16</xdr:col>
                <xdr:colOff>868680</xdr:colOff>
                <xdr:row>0</xdr:row>
                <xdr:rowOff>7620</xdr:rowOff>
              </from>
              <to>
                <xdr:col>17</xdr:col>
                <xdr:colOff>114300</xdr:colOff>
                <xdr:row>0</xdr:row>
                <xdr:rowOff>160020</xdr:rowOff>
              </to>
            </anchor>
          </controlPr>
        </control>
      </mc:Choice>
      <mc:Fallback>
        <control shapeId="9124" r:id="rId83" name="CheckBox51"/>
      </mc:Fallback>
    </mc:AlternateContent>
    <mc:AlternateContent xmlns:mc="http://schemas.openxmlformats.org/markup-compatibility/2006">
      <mc:Choice Requires="x14">
        <control shapeId="9123" r:id="rId84" name="CheckBox50">
          <controlPr defaultSize="0" autoLine="0" linkedCell="Q84"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123" r:id="rId84" name="CheckBox50"/>
      </mc:Fallback>
    </mc:AlternateContent>
    <mc:AlternateContent xmlns:mc="http://schemas.openxmlformats.org/markup-compatibility/2006">
      <mc:Choice Requires="x14">
        <control shapeId="9122" r:id="rId85" name="CheckBox49">
          <controlPr defaultSize="0" autoLine="0" linkedCell="Q83" r:id="rId43">
            <anchor moveWithCells="1" sizeWithCells="1">
              <from>
                <xdr:col>16</xdr:col>
                <xdr:colOff>868680</xdr:colOff>
                <xdr:row>0</xdr:row>
                <xdr:rowOff>7620</xdr:rowOff>
              </from>
              <to>
                <xdr:col>17</xdr:col>
                <xdr:colOff>114300</xdr:colOff>
                <xdr:row>0</xdr:row>
                <xdr:rowOff>160020</xdr:rowOff>
              </to>
            </anchor>
          </controlPr>
        </control>
      </mc:Choice>
      <mc:Fallback>
        <control shapeId="9122" r:id="rId85" name="CheckBox49"/>
      </mc:Fallback>
    </mc:AlternateContent>
    <mc:AlternateContent xmlns:mc="http://schemas.openxmlformats.org/markup-compatibility/2006">
      <mc:Choice Requires="x14">
        <control shapeId="9121" r:id="rId86" name="CheckBox48">
          <controlPr defaultSize="0" autoLine="0" linkedCell="Q81" r:id="rId32">
            <anchor moveWithCells="1" sizeWithCells="1">
              <from>
                <xdr:col>16</xdr:col>
                <xdr:colOff>868680</xdr:colOff>
                <xdr:row>0</xdr:row>
                <xdr:rowOff>7620</xdr:rowOff>
              </from>
              <to>
                <xdr:col>17</xdr:col>
                <xdr:colOff>114300</xdr:colOff>
                <xdr:row>0</xdr:row>
                <xdr:rowOff>160020</xdr:rowOff>
              </to>
            </anchor>
          </controlPr>
        </control>
      </mc:Choice>
      <mc:Fallback>
        <control shapeId="9121" r:id="rId86" name="CheckBox48"/>
      </mc:Fallback>
    </mc:AlternateContent>
    <mc:AlternateContent xmlns:mc="http://schemas.openxmlformats.org/markup-compatibility/2006">
      <mc:Choice Requires="x14">
        <control shapeId="9120" r:id="rId87" name="CheckBox47">
          <controlPr defaultSize="0" autoLine="0" linkedCell="Q80" r:id="rId88">
            <anchor moveWithCells="1" sizeWithCells="1">
              <from>
                <xdr:col>16</xdr:col>
                <xdr:colOff>868680</xdr:colOff>
                <xdr:row>0</xdr:row>
                <xdr:rowOff>7620</xdr:rowOff>
              </from>
              <to>
                <xdr:col>17</xdr:col>
                <xdr:colOff>114300</xdr:colOff>
                <xdr:row>0</xdr:row>
                <xdr:rowOff>160020</xdr:rowOff>
              </to>
            </anchor>
          </controlPr>
        </control>
      </mc:Choice>
      <mc:Fallback>
        <control shapeId="9120" r:id="rId87" name="CheckBox47"/>
      </mc:Fallback>
    </mc:AlternateContent>
    <mc:AlternateContent xmlns:mc="http://schemas.openxmlformats.org/markup-compatibility/2006">
      <mc:Choice Requires="x14">
        <control shapeId="9119" r:id="rId89" name="CheckBox46">
          <controlPr defaultSize="0" autoLine="0" linkedCell="Q79"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119" r:id="rId89" name="CheckBox46"/>
      </mc:Fallback>
    </mc:AlternateContent>
    <mc:AlternateContent xmlns:mc="http://schemas.openxmlformats.org/markup-compatibility/2006">
      <mc:Choice Requires="x14">
        <control shapeId="9118" r:id="rId90" name="CheckBox45">
          <controlPr defaultSize="0" autoLine="0" linkedCell="Q78" r:id="rId43">
            <anchor moveWithCells="1" sizeWithCells="1">
              <from>
                <xdr:col>16</xdr:col>
                <xdr:colOff>868680</xdr:colOff>
                <xdr:row>0</xdr:row>
                <xdr:rowOff>7620</xdr:rowOff>
              </from>
              <to>
                <xdr:col>17</xdr:col>
                <xdr:colOff>114300</xdr:colOff>
                <xdr:row>0</xdr:row>
                <xdr:rowOff>160020</xdr:rowOff>
              </to>
            </anchor>
          </controlPr>
        </control>
      </mc:Choice>
      <mc:Fallback>
        <control shapeId="9118" r:id="rId90" name="CheckBox45"/>
      </mc:Fallback>
    </mc:AlternateContent>
    <mc:AlternateContent xmlns:mc="http://schemas.openxmlformats.org/markup-compatibility/2006">
      <mc:Choice Requires="x14">
        <control shapeId="9117" r:id="rId91" name="CheckBox44">
          <controlPr defaultSize="0" autoLine="0" linkedCell="Q77" r:id="rId37">
            <anchor moveWithCells="1" sizeWithCells="1">
              <from>
                <xdr:col>16</xdr:col>
                <xdr:colOff>868680</xdr:colOff>
                <xdr:row>0</xdr:row>
                <xdr:rowOff>7620</xdr:rowOff>
              </from>
              <to>
                <xdr:col>17</xdr:col>
                <xdr:colOff>114300</xdr:colOff>
                <xdr:row>0</xdr:row>
                <xdr:rowOff>160020</xdr:rowOff>
              </to>
            </anchor>
          </controlPr>
        </control>
      </mc:Choice>
      <mc:Fallback>
        <control shapeId="9117" r:id="rId91" name="CheckBox44"/>
      </mc:Fallback>
    </mc:AlternateContent>
    <mc:AlternateContent xmlns:mc="http://schemas.openxmlformats.org/markup-compatibility/2006">
      <mc:Choice Requires="x14">
        <control shapeId="9116" r:id="rId92" name="CheckBox43">
          <controlPr defaultSize="0" autoLine="0" linkedCell="Q75"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116" r:id="rId92" name="CheckBox43"/>
      </mc:Fallback>
    </mc:AlternateContent>
    <mc:AlternateContent xmlns:mc="http://schemas.openxmlformats.org/markup-compatibility/2006">
      <mc:Choice Requires="x14">
        <control shapeId="9115" r:id="rId93" name="CheckBox42">
          <controlPr defaultSize="0" autoLine="0" linkedCell="Q74"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115" r:id="rId93" name="CheckBox42"/>
      </mc:Fallback>
    </mc:AlternateContent>
    <mc:AlternateContent xmlns:mc="http://schemas.openxmlformats.org/markup-compatibility/2006">
      <mc:Choice Requires="x14">
        <control shapeId="9114" r:id="rId94" name="CheckBox41">
          <controlPr defaultSize="0" autoLine="0" linkedCell="Q73" r:id="rId27">
            <anchor moveWithCells="1" sizeWithCells="1">
              <from>
                <xdr:col>16</xdr:col>
                <xdr:colOff>868680</xdr:colOff>
                <xdr:row>0</xdr:row>
                <xdr:rowOff>7620</xdr:rowOff>
              </from>
              <to>
                <xdr:col>17</xdr:col>
                <xdr:colOff>114300</xdr:colOff>
                <xdr:row>0</xdr:row>
                <xdr:rowOff>160020</xdr:rowOff>
              </to>
            </anchor>
          </controlPr>
        </control>
      </mc:Choice>
      <mc:Fallback>
        <control shapeId="9114" r:id="rId94" name="CheckBox41"/>
      </mc:Fallback>
    </mc:AlternateContent>
    <mc:AlternateContent xmlns:mc="http://schemas.openxmlformats.org/markup-compatibility/2006">
      <mc:Choice Requires="x14">
        <control shapeId="9113" r:id="rId95" name="CheckBox40">
          <controlPr defaultSize="0" autoLine="0" linkedCell="Q72" r:id="rId27">
            <anchor moveWithCells="1" sizeWithCells="1">
              <from>
                <xdr:col>16</xdr:col>
                <xdr:colOff>868680</xdr:colOff>
                <xdr:row>0</xdr:row>
                <xdr:rowOff>7620</xdr:rowOff>
              </from>
              <to>
                <xdr:col>17</xdr:col>
                <xdr:colOff>114300</xdr:colOff>
                <xdr:row>0</xdr:row>
                <xdr:rowOff>160020</xdr:rowOff>
              </to>
            </anchor>
          </controlPr>
        </control>
      </mc:Choice>
      <mc:Fallback>
        <control shapeId="9113" r:id="rId95" name="CheckBox40"/>
      </mc:Fallback>
    </mc:AlternateContent>
    <mc:AlternateContent xmlns:mc="http://schemas.openxmlformats.org/markup-compatibility/2006">
      <mc:Choice Requires="x14">
        <control shapeId="9112" r:id="rId96" name="CheckBox39">
          <controlPr defaultSize="0" autoLine="0" linkedCell="Q71" r:id="rId43">
            <anchor moveWithCells="1" sizeWithCells="1">
              <from>
                <xdr:col>16</xdr:col>
                <xdr:colOff>868680</xdr:colOff>
                <xdr:row>0</xdr:row>
                <xdr:rowOff>7620</xdr:rowOff>
              </from>
              <to>
                <xdr:col>17</xdr:col>
                <xdr:colOff>114300</xdr:colOff>
                <xdr:row>0</xdr:row>
                <xdr:rowOff>160020</xdr:rowOff>
              </to>
            </anchor>
          </controlPr>
        </control>
      </mc:Choice>
      <mc:Fallback>
        <control shapeId="9112" r:id="rId96" name="CheckBox39"/>
      </mc:Fallback>
    </mc:AlternateContent>
    <mc:AlternateContent xmlns:mc="http://schemas.openxmlformats.org/markup-compatibility/2006">
      <mc:Choice Requires="x14">
        <control shapeId="9111" r:id="rId97" name="CheckBox38">
          <controlPr defaultSize="0" autoLine="0" linkedCell="Q69" r:id="rId27">
            <anchor moveWithCells="1" sizeWithCells="1">
              <from>
                <xdr:col>16</xdr:col>
                <xdr:colOff>868680</xdr:colOff>
                <xdr:row>0</xdr:row>
                <xdr:rowOff>7620</xdr:rowOff>
              </from>
              <to>
                <xdr:col>17</xdr:col>
                <xdr:colOff>114300</xdr:colOff>
                <xdr:row>0</xdr:row>
                <xdr:rowOff>160020</xdr:rowOff>
              </to>
            </anchor>
          </controlPr>
        </control>
      </mc:Choice>
      <mc:Fallback>
        <control shapeId="9111" r:id="rId97" name="CheckBox38"/>
      </mc:Fallback>
    </mc:AlternateContent>
    <mc:AlternateContent xmlns:mc="http://schemas.openxmlformats.org/markup-compatibility/2006">
      <mc:Choice Requires="x14">
        <control shapeId="9110" r:id="rId98" name="CheckBox37">
          <controlPr defaultSize="0" autoLine="0" linkedCell="Q68"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110" r:id="rId98" name="CheckBox37"/>
      </mc:Fallback>
    </mc:AlternateContent>
    <mc:AlternateContent xmlns:mc="http://schemas.openxmlformats.org/markup-compatibility/2006">
      <mc:Choice Requires="x14">
        <control shapeId="9109" r:id="rId99" name="CheckBox36">
          <controlPr defaultSize="0" autoLine="0" linkedCell="Q67"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109" r:id="rId99" name="CheckBox36"/>
      </mc:Fallback>
    </mc:AlternateContent>
    <mc:AlternateContent xmlns:mc="http://schemas.openxmlformats.org/markup-compatibility/2006">
      <mc:Choice Requires="x14">
        <control shapeId="9108" r:id="rId100" name="CheckBox35">
          <controlPr defaultSize="0" autoLine="0" linkedCell="Q66" r:id="rId32">
            <anchor moveWithCells="1" sizeWithCells="1">
              <from>
                <xdr:col>16</xdr:col>
                <xdr:colOff>868680</xdr:colOff>
                <xdr:row>0</xdr:row>
                <xdr:rowOff>7620</xdr:rowOff>
              </from>
              <to>
                <xdr:col>17</xdr:col>
                <xdr:colOff>114300</xdr:colOff>
                <xdr:row>0</xdr:row>
                <xdr:rowOff>160020</xdr:rowOff>
              </to>
            </anchor>
          </controlPr>
        </control>
      </mc:Choice>
      <mc:Fallback>
        <control shapeId="9108" r:id="rId100" name="CheckBox35"/>
      </mc:Fallback>
    </mc:AlternateContent>
    <mc:AlternateContent xmlns:mc="http://schemas.openxmlformats.org/markup-compatibility/2006">
      <mc:Choice Requires="x14">
        <control shapeId="9107" r:id="rId101" name="CheckBox34">
          <controlPr defaultSize="0" autoLine="0" linkedCell="Q65" r:id="rId37">
            <anchor moveWithCells="1" sizeWithCells="1">
              <from>
                <xdr:col>16</xdr:col>
                <xdr:colOff>868680</xdr:colOff>
                <xdr:row>0</xdr:row>
                <xdr:rowOff>7620</xdr:rowOff>
              </from>
              <to>
                <xdr:col>17</xdr:col>
                <xdr:colOff>114300</xdr:colOff>
                <xdr:row>0</xdr:row>
                <xdr:rowOff>160020</xdr:rowOff>
              </to>
            </anchor>
          </controlPr>
        </control>
      </mc:Choice>
      <mc:Fallback>
        <control shapeId="9107" r:id="rId101" name="CheckBox34"/>
      </mc:Fallback>
    </mc:AlternateContent>
    <mc:AlternateContent xmlns:mc="http://schemas.openxmlformats.org/markup-compatibility/2006">
      <mc:Choice Requires="x14">
        <control shapeId="9106" r:id="rId102" name="CheckBox33">
          <controlPr defaultSize="0" autoLine="0" linkedCell="Q63" r:id="rId27">
            <anchor moveWithCells="1" sizeWithCells="1">
              <from>
                <xdr:col>16</xdr:col>
                <xdr:colOff>868680</xdr:colOff>
                <xdr:row>0</xdr:row>
                <xdr:rowOff>7620</xdr:rowOff>
              </from>
              <to>
                <xdr:col>17</xdr:col>
                <xdr:colOff>114300</xdr:colOff>
                <xdr:row>0</xdr:row>
                <xdr:rowOff>160020</xdr:rowOff>
              </to>
            </anchor>
          </controlPr>
        </control>
      </mc:Choice>
      <mc:Fallback>
        <control shapeId="9106" r:id="rId102" name="CheckBox33"/>
      </mc:Fallback>
    </mc:AlternateContent>
    <mc:AlternateContent xmlns:mc="http://schemas.openxmlformats.org/markup-compatibility/2006">
      <mc:Choice Requires="x14">
        <control shapeId="9105" r:id="rId103" name="CheckBox22">
          <controlPr defaultSize="0" autoLine="0" linkedCell="Q62"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105" r:id="rId103" name="CheckBox22"/>
      </mc:Fallback>
    </mc:AlternateContent>
    <mc:AlternateContent xmlns:mc="http://schemas.openxmlformats.org/markup-compatibility/2006">
      <mc:Choice Requires="x14">
        <control shapeId="9104" r:id="rId104" name="CheckBox21">
          <controlPr defaultSize="0" autoLine="0" linkedCell="Q61"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104" r:id="rId104" name="CheckBox21"/>
      </mc:Fallback>
    </mc:AlternateContent>
    <mc:AlternateContent xmlns:mc="http://schemas.openxmlformats.org/markup-compatibility/2006">
      <mc:Choice Requires="x14">
        <control shapeId="9103" r:id="rId105" name="CheckBox20">
          <controlPr defaultSize="0" autoLine="0" linkedCell="Q60" r:id="rId47">
            <anchor moveWithCells="1" sizeWithCells="1">
              <from>
                <xdr:col>16</xdr:col>
                <xdr:colOff>868680</xdr:colOff>
                <xdr:row>0</xdr:row>
                <xdr:rowOff>7620</xdr:rowOff>
              </from>
              <to>
                <xdr:col>17</xdr:col>
                <xdr:colOff>114300</xdr:colOff>
                <xdr:row>0</xdr:row>
                <xdr:rowOff>160020</xdr:rowOff>
              </to>
            </anchor>
          </controlPr>
        </control>
      </mc:Choice>
      <mc:Fallback>
        <control shapeId="9103" r:id="rId105" name="CheckBox20"/>
      </mc:Fallback>
    </mc:AlternateContent>
    <mc:AlternateContent xmlns:mc="http://schemas.openxmlformats.org/markup-compatibility/2006">
      <mc:Choice Requires="x14">
        <control shapeId="9102" r:id="rId106" name="CheckBox19">
          <controlPr defaultSize="0" autoLine="0" linkedCell="Q59" r:id="rId24">
            <anchor moveWithCells="1" sizeWithCells="1">
              <from>
                <xdr:col>16</xdr:col>
                <xdr:colOff>868680</xdr:colOff>
                <xdr:row>0</xdr:row>
                <xdr:rowOff>7620</xdr:rowOff>
              </from>
              <to>
                <xdr:col>17</xdr:col>
                <xdr:colOff>114300</xdr:colOff>
                <xdr:row>0</xdr:row>
                <xdr:rowOff>160020</xdr:rowOff>
              </to>
            </anchor>
          </controlPr>
        </control>
      </mc:Choice>
      <mc:Fallback>
        <control shapeId="9102" r:id="rId106" name="CheckBox19"/>
      </mc:Fallback>
    </mc:AlternateContent>
    <mc:AlternateContent xmlns:mc="http://schemas.openxmlformats.org/markup-compatibility/2006">
      <mc:Choice Requires="x14">
        <control shapeId="9101" r:id="rId107" name="CheckBox18">
          <controlPr defaultSize="0" autoLine="0" linkedCell="Q57" r:id="rId27">
            <anchor moveWithCells="1" sizeWithCells="1">
              <from>
                <xdr:col>16</xdr:col>
                <xdr:colOff>868680</xdr:colOff>
                <xdr:row>0</xdr:row>
                <xdr:rowOff>7620</xdr:rowOff>
              </from>
              <to>
                <xdr:col>17</xdr:col>
                <xdr:colOff>114300</xdr:colOff>
                <xdr:row>0</xdr:row>
                <xdr:rowOff>160020</xdr:rowOff>
              </to>
            </anchor>
          </controlPr>
        </control>
      </mc:Choice>
      <mc:Fallback>
        <control shapeId="9101" r:id="rId107" name="CheckBox18"/>
      </mc:Fallback>
    </mc:AlternateContent>
    <mc:AlternateContent xmlns:mc="http://schemas.openxmlformats.org/markup-compatibility/2006">
      <mc:Choice Requires="x14">
        <control shapeId="9100" r:id="rId108" name="CheckBox17">
          <controlPr defaultSize="0" autoLine="0" linkedCell="Q56" r:id="rId32">
            <anchor moveWithCells="1" sizeWithCells="1">
              <from>
                <xdr:col>16</xdr:col>
                <xdr:colOff>868680</xdr:colOff>
                <xdr:row>0</xdr:row>
                <xdr:rowOff>7620</xdr:rowOff>
              </from>
              <to>
                <xdr:col>17</xdr:col>
                <xdr:colOff>114300</xdr:colOff>
                <xdr:row>0</xdr:row>
                <xdr:rowOff>160020</xdr:rowOff>
              </to>
            </anchor>
          </controlPr>
        </control>
      </mc:Choice>
      <mc:Fallback>
        <control shapeId="9100" r:id="rId108" name="CheckBox17"/>
      </mc:Fallback>
    </mc:AlternateContent>
    <mc:AlternateContent xmlns:mc="http://schemas.openxmlformats.org/markup-compatibility/2006">
      <mc:Choice Requires="x14">
        <control shapeId="9099" r:id="rId109" name="CheckBox16">
          <controlPr defaultSize="0" autoLine="0" linkedCell="Q55" r:id="rId27">
            <anchor moveWithCells="1" sizeWithCells="1">
              <from>
                <xdr:col>16</xdr:col>
                <xdr:colOff>868680</xdr:colOff>
                <xdr:row>0</xdr:row>
                <xdr:rowOff>7620</xdr:rowOff>
              </from>
              <to>
                <xdr:col>17</xdr:col>
                <xdr:colOff>114300</xdr:colOff>
                <xdr:row>0</xdr:row>
                <xdr:rowOff>160020</xdr:rowOff>
              </to>
            </anchor>
          </controlPr>
        </control>
      </mc:Choice>
      <mc:Fallback>
        <control shapeId="9099" r:id="rId109" name="CheckBox16"/>
      </mc:Fallback>
    </mc:AlternateContent>
    <mc:AlternateContent xmlns:mc="http://schemas.openxmlformats.org/markup-compatibility/2006">
      <mc:Choice Requires="x14">
        <control shapeId="9098" r:id="rId110" name="CheckBox14">
          <controlPr defaultSize="0" autoLine="0" linkedCell="Q54" r:id="rId37">
            <anchor moveWithCells="1" sizeWithCells="1">
              <from>
                <xdr:col>16</xdr:col>
                <xdr:colOff>868680</xdr:colOff>
                <xdr:row>0</xdr:row>
                <xdr:rowOff>7620</xdr:rowOff>
              </from>
              <to>
                <xdr:col>17</xdr:col>
                <xdr:colOff>114300</xdr:colOff>
                <xdr:row>0</xdr:row>
                <xdr:rowOff>160020</xdr:rowOff>
              </to>
            </anchor>
          </controlPr>
        </control>
      </mc:Choice>
      <mc:Fallback>
        <control shapeId="9098" r:id="rId110" name="CheckBox14"/>
      </mc:Fallback>
    </mc:AlternateContent>
    <mc:AlternateContent xmlns:mc="http://schemas.openxmlformats.org/markup-compatibility/2006">
      <mc:Choice Requires="x14">
        <control shapeId="9097" r:id="rId111" name="CheckBox13">
          <controlPr defaultSize="0" autoLine="0" linkedCell="Q53" r:id="rId112">
            <anchor moveWithCells="1" sizeWithCells="1">
              <from>
                <xdr:col>16</xdr:col>
                <xdr:colOff>868680</xdr:colOff>
                <xdr:row>0</xdr:row>
                <xdr:rowOff>7620</xdr:rowOff>
              </from>
              <to>
                <xdr:col>17</xdr:col>
                <xdr:colOff>114300</xdr:colOff>
                <xdr:row>0</xdr:row>
                <xdr:rowOff>160020</xdr:rowOff>
              </to>
            </anchor>
          </controlPr>
        </control>
      </mc:Choice>
      <mc:Fallback>
        <control shapeId="9097" r:id="rId111" name="CheckBox13"/>
      </mc:Fallback>
    </mc:AlternateContent>
    <mc:AlternateContent xmlns:mc="http://schemas.openxmlformats.org/markup-compatibility/2006">
      <mc:Choice Requires="x14">
        <control shapeId="9096" r:id="rId113" name="CheckBox12">
          <controlPr defaultSize="0" autoLine="0" linkedCell="Q51" r:id="rId114">
            <anchor moveWithCells="1" sizeWithCells="1">
              <from>
                <xdr:col>16</xdr:col>
                <xdr:colOff>868680</xdr:colOff>
                <xdr:row>0</xdr:row>
                <xdr:rowOff>7620</xdr:rowOff>
              </from>
              <to>
                <xdr:col>17</xdr:col>
                <xdr:colOff>114300</xdr:colOff>
                <xdr:row>0</xdr:row>
                <xdr:rowOff>160020</xdr:rowOff>
              </to>
            </anchor>
          </controlPr>
        </control>
      </mc:Choice>
      <mc:Fallback>
        <control shapeId="9096" r:id="rId113" name="CheckBox12"/>
      </mc:Fallback>
    </mc:AlternateContent>
    <mc:AlternateContent xmlns:mc="http://schemas.openxmlformats.org/markup-compatibility/2006">
      <mc:Choice Requires="x14">
        <control shapeId="9095" r:id="rId115" name="CheckBox9">
          <controlPr defaultSize="0" autoLine="0" linkedCell="Q50" r:id="rId22">
            <anchor moveWithCells="1" sizeWithCells="1">
              <from>
                <xdr:col>16</xdr:col>
                <xdr:colOff>868680</xdr:colOff>
                <xdr:row>0</xdr:row>
                <xdr:rowOff>7620</xdr:rowOff>
              </from>
              <to>
                <xdr:col>17</xdr:col>
                <xdr:colOff>114300</xdr:colOff>
                <xdr:row>0</xdr:row>
                <xdr:rowOff>160020</xdr:rowOff>
              </to>
            </anchor>
          </controlPr>
        </control>
      </mc:Choice>
      <mc:Fallback>
        <control shapeId="9095" r:id="rId115" name="CheckBox9"/>
      </mc:Fallback>
    </mc:AlternateContent>
    <mc:AlternateContent xmlns:mc="http://schemas.openxmlformats.org/markup-compatibility/2006">
      <mc:Choice Requires="x14">
        <control shapeId="9094" r:id="rId116" name="CheckBox8">
          <controlPr defaultSize="0" autoLine="0" linkedCell="Q49" r:id="rId37">
            <anchor moveWithCells="1" sizeWithCells="1">
              <from>
                <xdr:col>16</xdr:col>
                <xdr:colOff>868680</xdr:colOff>
                <xdr:row>0</xdr:row>
                <xdr:rowOff>7620</xdr:rowOff>
              </from>
              <to>
                <xdr:col>17</xdr:col>
                <xdr:colOff>114300</xdr:colOff>
                <xdr:row>0</xdr:row>
                <xdr:rowOff>160020</xdr:rowOff>
              </to>
            </anchor>
          </controlPr>
        </control>
      </mc:Choice>
      <mc:Fallback>
        <control shapeId="9094" r:id="rId116" name="CheckBox8"/>
      </mc:Fallback>
    </mc:AlternateContent>
    <mc:AlternateContent xmlns:mc="http://schemas.openxmlformats.org/markup-compatibility/2006">
      <mc:Choice Requires="x14">
        <control shapeId="9093" r:id="rId117" name="CheckBox7">
          <controlPr defaultSize="0" autoLine="0" linkedCell="Q48" r:id="rId118">
            <anchor moveWithCells="1" sizeWithCells="1">
              <from>
                <xdr:col>16</xdr:col>
                <xdr:colOff>868680</xdr:colOff>
                <xdr:row>0</xdr:row>
                <xdr:rowOff>7620</xdr:rowOff>
              </from>
              <to>
                <xdr:col>17</xdr:col>
                <xdr:colOff>114300</xdr:colOff>
                <xdr:row>0</xdr:row>
                <xdr:rowOff>160020</xdr:rowOff>
              </to>
            </anchor>
          </controlPr>
        </control>
      </mc:Choice>
      <mc:Fallback>
        <control shapeId="9093" r:id="rId117" name="CheckBox7"/>
      </mc:Fallback>
    </mc:AlternateContent>
    <mc:AlternateContent xmlns:mc="http://schemas.openxmlformats.org/markup-compatibility/2006">
      <mc:Choice Requires="x14">
        <control shapeId="9092" r:id="rId119" name="CheckBox6">
          <controlPr defaultSize="0" autoLine="0" linkedCell="Q47" r:id="rId120">
            <anchor moveWithCells="1" sizeWithCells="1">
              <from>
                <xdr:col>16</xdr:col>
                <xdr:colOff>868680</xdr:colOff>
                <xdr:row>0</xdr:row>
                <xdr:rowOff>7620</xdr:rowOff>
              </from>
              <to>
                <xdr:col>17</xdr:col>
                <xdr:colOff>114300</xdr:colOff>
                <xdr:row>0</xdr:row>
                <xdr:rowOff>160020</xdr:rowOff>
              </to>
            </anchor>
          </controlPr>
        </control>
      </mc:Choice>
      <mc:Fallback>
        <control shapeId="9092" r:id="rId119" name="CheckBox6"/>
      </mc:Fallback>
    </mc:AlternateContent>
    <mc:AlternateContent xmlns:mc="http://schemas.openxmlformats.org/markup-compatibility/2006">
      <mc:Choice Requires="x14">
        <control shapeId="9091" r:id="rId121" name="CheckBox5">
          <controlPr defaultSize="0" autoLine="0" linkedCell="Q45" r:id="rId122">
            <anchor moveWithCells="1" sizeWithCells="1">
              <from>
                <xdr:col>16</xdr:col>
                <xdr:colOff>868680</xdr:colOff>
                <xdr:row>0</xdr:row>
                <xdr:rowOff>7620</xdr:rowOff>
              </from>
              <to>
                <xdr:col>17</xdr:col>
                <xdr:colOff>114300</xdr:colOff>
                <xdr:row>0</xdr:row>
                <xdr:rowOff>160020</xdr:rowOff>
              </to>
            </anchor>
          </controlPr>
        </control>
      </mc:Choice>
      <mc:Fallback>
        <control shapeId="9091" r:id="rId121" name="CheckBox5"/>
      </mc:Fallback>
    </mc:AlternateContent>
    <mc:AlternateContent xmlns:mc="http://schemas.openxmlformats.org/markup-compatibility/2006">
      <mc:Choice Requires="x14">
        <control shapeId="9090" r:id="rId123" name="CheckBox4">
          <controlPr defaultSize="0" autoLine="0" linkedCell="Q44" r:id="rId22">
            <anchor moveWithCells="1" sizeWithCells="1">
              <from>
                <xdr:col>16</xdr:col>
                <xdr:colOff>868680</xdr:colOff>
                <xdr:row>0</xdr:row>
                <xdr:rowOff>7620</xdr:rowOff>
              </from>
              <to>
                <xdr:col>17</xdr:col>
                <xdr:colOff>114300</xdr:colOff>
                <xdr:row>0</xdr:row>
                <xdr:rowOff>160020</xdr:rowOff>
              </to>
            </anchor>
          </controlPr>
        </control>
      </mc:Choice>
      <mc:Fallback>
        <control shapeId="9090" r:id="rId123" name="CheckBox4"/>
      </mc:Fallback>
    </mc:AlternateContent>
    <mc:AlternateContent xmlns:mc="http://schemas.openxmlformats.org/markup-compatibility/2006">
      <mc:Choice Requires="x14">
        <control shapeId="9089" r:id="rId124" name="CheckBox3">
          <controlPr defaultSize="0" autoLine="0" linkedCell="Q43" r:id="rId120">
            <anchor moveWithCells="1" sizeWithCells="1">
              <from>
                <xdr:col>16</xdr:col>
                <xdr:colOff>868680</xdr:colOff>
                <xdr:row>0</xdr:row>
                <xdr:rowOff>7620</xdr:rowOff>
              </from>
              <to>
                <xdr:col>17</xdr:col>
                <xdr:colOff>114300</xdr:colOff>
                <xdr:row>0</xdr:row>
                <xdr:rowOff>160020</xdr:rowOff>
              </to>
            </anchor>
          </controlPr>
        </control>
      </mc:Choice>
      <mc:Fallback>
        <control shapeId="9089" r:id="rId124" name="CheckBox3"/>
      </mc:Fallback>
    </mc:AlternateContent>
    <mc:AlternateContent xmlns:mc="http://schemas.openxmlformats.org/markup-compatibility/2006">
      <mc:Choice Requires="x14">
        <control shapeId="9088" r:id="rId125" name="CheckBox2">
          <controlPr defaultSize="0" autoLine="0" linkedCell="Q42" r:id="rId22">
            <anchor moveWithCells="1" sizeWithCells="1">
              <from>
                <xdr:col>16</xdr:col>
                <xdr:colOff>868680</xdr:colOff>
                <xdr:row>0</xdr:row>
                <xdr:rowOff>7620</xdr:rowOff>
              </from>
              <to>
                <xdr:col>17</xdr:col>
                <xdr:colOff>114300</xdr:colOff>
                <xdr:row>0</xdr:row>
                <xdr:rowOff>160020</xdr:rowOff>
              </to>
            </anchor>
          </controlPr>
        </control>
      </mc:Choice>
      <mc:Fallback>
        <control shapeId="9088" r:id="rId125" name="CheckBox2"/>
      </mc:Fallback>
    </mc:AlternateContent>
    <mc:AlternateContent xmlns:mc="http://schemas.openxmlformats.org/markup-compatibility/2006">
      <mc:Choice Requires="x14">
        <control shapeId="9087" r:id="rId126" name="CheckBox1">
          <controlPr defaultSize="0" autoLine="0" linkedCell="Q41" r:id="rId37">
            <anchor moveWithCells="1" sizeWithCells="1">
              <from>
                <xdr:col>16</xdr:col>
                <xdr:colOff>868680</xdr:colOff>
                <xdr:row>0</xdr:row>
                <xdr:rowOff>7620</xdr:rowOff>
              </from>
              <to>
                <xdr:col>17</xdr:col>
                <xdr:colOff>114300</xdr:colOff>
                <xdr:row>0</xdr:row>
                <xdr:rowOff>160020</xdr:rowOff>
              </to>
            </anchor>
          </controlPr>
        </control>
      </mc:Choice>
      <mc:Fallback>
        <control shapeId="9087" r:id="rId126" name="CheckBox1"/>
      </mc:Fallback>
    </mc:AlternateContent>
    <mc:AlternateContent xmlns:mc="http://schemas.openxmlformats.org/markup-compatibility/2006">
      <mc:Choice Requires="x14">
        <control shapeId="8877" r:id="rId127" name="OptionButton17">
          <controlPr defaultSize="0" autoLine="0" linkedCell="Q935" r:id="rId128">
            <anchor moveWithCells="1" sizeWithCells="1">
              <from>
                <xdr:col>16</xdr:col>
                <xdr:colOff>868680</xdr:colOff>
                <xdr:row>0</xdr:row>
                <xdr:rowOff>7620</xdr:rowOff>
              </from>
              <to>
                <xdr:col>17</xdr:col>
                <xdr:colOff>68580</xdr:colOff>
                <xdr:row>0</xdr:row>
                <xdr:rowOff>160020</xdr:rowOff>
              </to>
            </anchor>
          </controlPr>
        </control>
      </mc:Choice>
      <mc:Fallback>
        <control shapeId="8877" r:id="rId127" name="OptionButton17"/>
      </mc:Fallback>
    </mc:AlternateContent>
    <mc:AlternateContent xmlns:mc="http://schemas.openxmlformats.org/markup-compatibility/2006">
      <mc:Choice Requires="x14">
        <control shapeId="8876" r:id="rId129" name="OptionButton16">
          <controlPr defaultSize="0" autoLine="0" linkedCell="Q934" r:id="rId128">
            <anchor moveWithCells="1" sizeWithCells="1">
              <from>
                <xdr:col>16</xdr:col>
                <xdr:colOff>868680</xdr:colOff>
                <xdr:row>0</xdr:row>
                <xdr:rowOff>7620</xdr:rowOff>
              </from>
              <to>
                <xdr:col>17</xdr:col>
                <xdr:colOff>68580</xdr:colOff>
                <xdr:row>0</xdr:row>
                <xdr:rowOff>144780</xdr:rowOff>
              </to>
            </anchor>
          </controlPr>
        </control>
      </mc:Choice>
      <mc:Fallback>
        <control shapeId="8876" r:id="rId129" name="OptionButton16"/>
      </mc:Fallback>
    </mc:AlternateContent>
    <mc:AlternateContent xmlns:mc="http://schemas.openxmlformats.org/markup-compatibility/2006">
      <mc:Choice Requires="x14">
        <control shapeId="8875" r:id="rId130" name="OptionButton15">
          <controlPr defaultSize="0" autoLine="0" linkedCell="Q933" r:id="rId131">
            <anchor moveWithCells="1" sizeWithCells="1">
              <from>
                <xdr:col>16</xdr:col>
                <xdr:colOff>868680</xdr:colOff>
                <xdr:row>0</xdr:row>
                <xdr:rowOff>7620</xdr:rowOff>
              </from>
              <to>
                <xdr:col>17</xdr:col>
                <xdr:colOff>68580</xdr:colOff>
                <xdr:row>0</xdr:row>
                <xdr:rowOff>144780</xdr:rowOff>
              </to>
            </anchor>
          </controlPr>
        </control>
      </mc:Choice>
      <mc:Fallback>
        <control shapeId="8875" r:id="rId130" name="OptionButton15"/>
      </mc:Fallback>
    </mc:AlternateContent>
    <mc:AlternateContent xmlns:mc="http://schemas.openxmlformats.org/markup-compatibility/2006">
      <mc:Choice Requires="x14">
        <control shapeId="8231" r:id="rId132" name="CheckBox15">
          <controlPr defaultSize="0" autoLine="0" linkedCell="Q632" r:id="rId9">
            <anchor moveWithCells="1" sizeWithCells="1">
              <from>
                <xdr:col>16</xdr:col>
                <xdr:colOff>868680</xdr:colOff>
                <xdr:row>0</xdr:row>
                <xdr:rowOff>7620</xdr:rowOff>
              </from>
              <to>
                <xdr:col>17</xdr:col>
                <xdr:colOff>114300</xdr:colOff>
                <xdr:row>0</xdr:row>
                <xdr:rowOff>160020</xdr:rowOff>
              </to>
            </anchor>
          </controlPr>
        </control>
      </mc:Choice>
      <mc:Fallback>
        <control shapeId="8231" r:id="rId132" name="CheckBox15"/>
      </mc:Fallback>
    </mc:AlternateContent>
    <mc:AlternateContent xmlns:mc="http://schemas.openxmlformats.org/markup-compatibility/2006">
      <mc:Choice Requires="x14">
        <control shapeId="8230" r:id="rId133" name="OptionButton14">
          <controlPr defaultSize="0" autoLine="0" autoPict="0" linkedCell="Q543" r:id="rId134">
            <anchor moveWithCells="1" sizeWithCells="1">
              <from>
                <xdr:col>16</xdr:col>
                <xdr:colOff>868680</xdr:colOff>
                <xdr:row>0</xdr:row>
                <xdr:rowOff>7620</xdr:rowOff>
              </from>
              <to>
                <xdr:col>17</xdr:col>
                <xdr:colOff>182880</xdr:colOff>
                <xdr:row>1</xdr:row>
                <xdr:rowOff>0</xdr:rowOff>
              </to>
            </anchor>
          </controlPr>
        </control>
      </mc:Choice>
      <mc:Fallback>
        <control shapeId="8230" r:id="rId133" name="OptionButton14"/>
      </mc:Fallback>
    </mc:AlternateContent>
    <mc:AlternateContent xmlns:mc="http://schemas.openxmlformats.org/markup-compatibility/2006">
      <mc:Choice Requires="x14">
        <control shapeId="8229" r:id="rId135" name="OptionButton13">
          <controlPr defaultSize="0" autoLine="0" linkedCell="Q542" r:id="rId136">
            <anchor moveWithCells="1" sizeWithCells="1">
              <from>
                <xdr:col>16</xdr:col>
                <xdr:colOff>868680</xdr:colOff>
                <xdr:row>0</xdr:row>
                <xdr:rowOff>7620</xdr:rowOff>
              </from>
              <to>
                <xdr:col>17</xdr:col>
                <xdr:colOff>182880</xdr:colOff>
                <xdr:row>1</xdr:row>
                <xdr:rowOff>0</xdr:rowOff>
              </to>
            </anchor>
          </controlPr>
        </control>
      </mc:Choice>
      <mc:Fallback>
        <control shapeId="8229" r:id="rId135" name="OptionButton13"/>
      </mc:Fallback>
    </mc:AlternateContent>
    <mc:AlternateContent xmlns:mc="http://schemas.openxmlformats.org/markup-compatibility/2006">
      <mc:Choice Requires="x14">
        <control shapeId="8228" r:id="rId137" name="OptionButton12">
          <controlPr defaultSize="0" autoLine="0" linkedCell="Q665" r:id="rId138">
            <anchor moveWithCells="1" sizeWithCells="1">
              <from>
                <xdr:col>16</xdr:col>
                <xdr:colOff>868680</xdr:colOff>
                <xdr:row>0</xdr:row>
                <xdr:rowOff>7620</xdr:rowOff>
              </from>
              <to>
                <xdr:col>17</xdr:col>
                <xdr:colOff>236220</xdr:colOff>
                <xdr:row>1</xdr:row>
                <xdr:rowOff>0</xdr:rowOff>
              </to>
            </anchor>
          </controlPr>
        </control>
      </mc:Choice>
      <mc:Fallback>
        <control shapeId="8228" r:id="rId137" name="OptionButton12"/>
      </mc:Fallback>
    </mc:AlternateContent>
    <mc:AlternateContent xmlns:mc="http://schemas.openxmlformats.org/markup-compatibility/2006">
      <mc:Choice Requires="x14">
        <control shapeId="8227" r:id="rId139" name="OptionButton11">
          <controlPr defaultSize="0" autoLine="0" linkedCell="Q664" r:id="rId140">
            <anchor moveWithCells="1" sizeWithCells="1">
              <from>
                <xdr:col>16</xdr:col>
                <xdr:colOff>868680</xdr:colOff>
                <xdr:row>0</xdr:row>
                <xdr:rowOff>7620</xdr:rowOff>
              </from>
              <to>
                <xdr:col>17</xdr:col>
                <xdr:colOff>205740</xdr:colOff>
                <xdr:row>1</xdr:row>
                <xdr:rowOff>0</xdr:rowOff>
              </to>
            </anchor>
          </controlPr>
        </control>
      </mc:Choice>
      <mc:Fallback>
        <control shapeId="8227" r:id="rId139" name="OptionButton11"/>
      </mc:Fallback>
    </mc:AlternateContent>
    <mc:AlternateContent xmlns:mc="http://schemas.openxmlformats.org/markup-compatibility/2006">
      <mc:Choice Requires="x14">
        <control shapeId="8226" r:id="rId141" name="CheckBox29">
          <controlPr defaultSize="0" autoLine="0" linkedCell="Q792" r:id="rId7">
            <anchor moveWithCells="1" sizeWithCells="1">
              <from>
                <xdr:col>16</xdr:col>
                <xdr:colOff>868680</xdr:colOff>
                <xdr:row>0</xdr:row>
                <xdr:rowOff>7620</xdr:rowOff>
              </from>
              <to>
                <xdr:col>17</xdr:col>
                <xdr:colOff>114300</xdr:colOff>
                <xdr:row>0</xdr:row>
                <xdr:rowOff>160020</xdr:rowOff>
              </to>
            </anchor>
          </controlPr>
        </control>
      </mc:Choice>
      <mc:Fallback>
        <control shapeId="8226" r:id="rId141" name="CheckBox29"/>
      </mc:Fallback>
    </mc:AlternateContent>
    <mc:AlternateContent xmlns:mc="http://schemas.openxmlformats.org/markup-compatibility/2006">
      <mc:Choice Requires="x14">
        <control shapeId="8224" r:id="rId142" name="OptionButton10">
          <controlPr defaultSize="0" autoLine="0" linkedCell="Q205" r:id="rId143">
            <anchor moveWithCells="1" sizeWithCells="1">
              <from>
                <xdr:col>16</xdr:col>
                <xdr:colOff>868680</xdr:colOff>
                <xdr:row>0</xdr:row>
                <xdr:rowOff>7620</xdr:rowOff>
              </from>
              <to>
                <xdr:col>17</xdr:col>
                <xdr:colOff>114300</xdr:colOff>
                <xdr:row>1</xdr:row>
                <xdr:rowOff>30480</xdr:rowOff>
              </to>
            </anchor>
          </controlPr>
        </control>
      </mc:Choice>
      <mc:Fallback>
        <control shapeId="8224" r:id="rId142" name="OptionButton10"/>
      </mc:Fallback>
    </mc:AlternateContent>
    <mc:AlternateContent xmlns:mc="http://schemas.openxmlformats.org/markup-compatibility/2006">
      <mc:Choice Requires="x14">
        <control shapeId="8223" r:id="rId144" name="OptionButton9">
          <controlPr defaultSize="0" autoLine="0" linkedCell="Q204" r:id="rId145">
            <anchor moveWithCells="1" sizeWithCells="1">
              <from>
                <xdr:col>16</xdr:col>
                <xdr:colOff>868680</xdr:colOff>
                <xdr:row>0</xdr:row>
                <xdr:rowOff>7620</xdr:rowOff>
              </from>
              <to>
                <xdr:col>17</xdr:col>
                <xdr:colOff>114300</xdr:colOff>
                <xdr:row>1</xdr:row>
                <xdr:rowOff>15240</xdr:rowOff>
              </to>
            </anchor>
          </controlPr>
        </control>
      </mc:Choice>
      <mc:Fallback>
        <control shapeId="8223" r:id="rId144" name="OptionButton9"/>
      </mc:Fallback>
    </mc:AlternateContent>
    <mc:AlternateContent xmlns:mc="http://schemas.openxmlformats.org/markup-compatibility/2006">
      <mc:Choice Requires="x14">
        <control shapeId="8220" r:id="rId146" name="CheckBox27">
          <controlPr defaultSize="0" autoLine="0" linkedCell="Q228" r:id="rId147">
            <anchor moveWithCells="1" sizeWithCells="1">
              <from>
                <xdr:col>16</xdr:col>
                <xdr:colOff>868680</xdr:colOff>
                <xdr:row>0</xdr:row>
                <xdr:rowOff>7620</xdr:rowOff>
              </from>
              <to>
                <xdr:col>17</xdr:col>
                <xdr:colOff>38100</xdr:colOff>
                <xdr:row>0</xdr:row>
                <xdr:rowOff>144780</xdr:rowOff>
              </to>
            </anchor>
          </controlPr>
        </control>
      </mc:Choice>
      <mc:Fallback>
        <control shapeId="8220" r:id="rId146" name="CheckBox27"/>
      </mc:Fallback>
    </mc:AlternateContent>
    <mc:AlternateContent xmlns:mc="http://schemas.openxmlformats.org/markup-compatibility/2006">
      <mc:Choice Requires="x14">
        <control shapeId="8219" r:id="rId148" name="CheckBox26">
          <controlPr defaultSize="0" autoLine="0" linkedCell="Q591" r:id="rId7">
            <anchor moveWithCells="1" sizeWithCells="1">
              <from>
                <xdr:col>16</xdr:col>
                <xdr:colOff>868680</xdr:colOff>
                <xdr:row>0</xdr:row>
                <xdr:rowOff>7620</xdr:rowOff>
              </from>
              <to>
                <xdr:col>17</xdr:col>
                <xdr:colOff>114300</xdr:colOff>
                <xdr:row>0</xdr:row>
                <xdr:rowOff>160020</xdr:rowOff>
              </to>
            </anchor>
          </controlPr>
        </control>
      </mc:Choice>
      <mc:Fallback>
        <control shapeId="8219" r:id="rId148" name="CheckBox26"/>
      </mc:Fallback>
    </mc:AlternateContent>
    <mc:AlternateContent xmlns:mc="http://schemas.openxmlformats.org/markup-compatibility/2006">
      <mc:Choice Requires="x14">
        <control shapeId="8218" r:id="rId149" name="CheckBox25">
          <controlPr defaultSize="0" autoLine="0" linkedCell="Q561" r:id="rId7">
            <anchor moveWithCells="1" sizeWithCells="1">
              <from>
                <xdr:col>16</xdr:col>
                <xdr:colOff>868680</xdr:colOff>
                <xdr:row>0</xdr:row>
                <xdr:rowOff>7620</xdr:rowOff>
              </from>
              <to>
                <xdr:col>17</xdr:col>
                <xdr:colOff>114300</xdr:colOff>
                <xdr:row>0</xdr:row>
                <xdr:rowOff>160020</xdr:rowOff>
              </to>
            </anchor>
          </controlPr>
        </control>
      </mc:Choice>
      <mc:Fallback>
        <control shapeId="8218" r:id="rId149" name="CheckBox25"/>
      </mc:Fallback>
    </mc:AlternateContent>
    <mc:AlternateContent xmlns:mc="http://schemas.openxmlformats.org/markup-compatibility/2006">
      <mc:Choice Requires="x14">
        <control shapeId="8217" r:id="rId150" name="CheckBox24">
          <controlPr defaultSize="0" autoLine="0" linkedCell="Q710" r:id="rId7">
            <anchor moveWithCells="1" sizeWithCells="1">
              <from>
                <xdr:col>16</xdr:col>
                <xdr:colOff>868680</xdr:colOff>
                <xdr:row>0</xdr:row>
                <xdr:rowOff>7620</xdr:rowOff>
              </from>
              <to>
                <xdr:col>17</xdr:col>
                <xdr:colOff>114300</xdr:colOff>
                <xdr:row>0</xdr:row>
                <xdr:rowOff>160020</xdr:rowOff>
              </to>
            </anchor>
          </controlPr>
        </control>
      </mc:Choice>
      <mc:Fallback>
        <control shapeId="8217" r:id="rId150" name="CheckBox24"/>
      </mc:Fallback>
    </mc:AlternateContent>
    <mc:AlternateContent xmlns:mc="http://schemas.openxmlformats.org/markup-compatibility/2006">
      <mc:Choice Requires="x14">
        <control shapeId="8216" r:id="rId151" name="CheckBox23">
          <controlPr defaultSize="0" autoLine="0" linkedCell="Q675" r:id="rId7">
            <anchor moveWithCells="1" sizeWithCells="1">
              <from>
                <xdr:col>16</xdr:col>
                <xdr:colOff>868680</xdr:colOff>
                <xdr:row>0</xdr:row>
                <xdr:rowOff>7620</xdr:rowOff>
              </from>
              <to>
                <xdr:col>17</xdr:col>
                <xdr:colOff>114300</xdr:colOff>
                <xdr:row>0</xdr:row>
                <xdr:rowOff>160020</xdr:rowOff>
              </to>
            </anchor>
          </controlPr>
        </control>
      </mc:Choice>
      <mc:Fallback>
        <control shapeId="8216" r:id="rId151" name="CheckBox23"/>
      </mc:Fallback>
    </mc:AlternateContent>
    <mc:AlternateContent xmlns:mc="http://schemas.openxmlformats.org/markup-compatibility/2006">
      <mc:Choice Requires="x14">
        <control shapeId="8205" r:id="rId152" name="CheckBox11">
          <controlPr defaultSize="0" autoLine="0" linkedCell="Q809" r:id="rId153">
            <anchor moveWithCells="1" sizeWithCells="1">
              <from>
                <xdr:col>16</xdr:col>
                <xdr:colOff>868680</xdr:colOff>
                <xdr:row>0</xdr:row>
                <xdr:rowOff>7620</xdr:rowOff>
              </from>
              <to>
                <xdr:col>17</xdr:col>
                <xdr:colOff>114300</xdr:colOff>
                <xdr:row>0</xdr:row>
                <xdr:rowOff>144780</xdr:rowOff>
              </to>
            </anchor>
          </controlPr>
        </control>
      </mc:Choice>
      <mc:Fallback>
        <control shapeId="8205" r:id="rId152" name="CheckBox11"/>
      </mc:Fallback>
    </mc:AlternateContent>
    <mc:AlternateContent xmlns:mc="http://schemas.openxmlformats.org/markup-compatibility/2006">
      <mc:Choice Requires="x14">
        <control shapeId="8203" r:id="rId154" name="OptionButton6">
          <controlPr defaultSize="0" autoLine="0" linkedCell="R826" r:id="rId155">
            <anchor moveWithCells="1" sizeWithCells="1">
              <from>
                <xdr:col>16</xdr:col>
                <xdr:colOff>868680</xdr:colOff>
                <xdr:row>0</xdr:row>
                <xdr:rowOff>7620</xdr:rowOff>
              </from>
              <to>
                <xdr:col>17</xdr:col>
                <xdr:colOff>175260</xdr:colOff>
                <xdr:row>1</xdr:row>
                <xdr:rowOff>7620</xdr:rowOff>
              </to>
            </anchor>
          </controlPr>
        </control>
      </mc:Choice>
      <mc:Fallback>
        <control shapeId="8203" r:id="rId154" name="OptionButton6"/>
      </mc:Fallback>
    </mc:AlternateContent>
    <mc:AlternateContent xmlns:mc="http://schemas.openxmlformats.org/markup-compatibility/2006">
      <mc:Choice Requires="x14">
        <control shapeId="8202" r:id="rId156" name="OptionButton5">
          <controlPr defaultSize="0" autoLine="0" linkedCell="Q826" r:id="rId157">
            <anchor moveWithCells="1" sizeWithCells="1">
              <from>
                <xdr:col>16</xdr:col>
                <xdr:colOff>868680</xdr:colOff>
                <xdr:row>0</xdr:row>
                <xdr:rowOff>7620</xdr:rowOff>
              </from>
              <to>
                <xdr:col>17</xdr:col>
                <xdr:colOff>99060</xdr:colOff>
                <xdr:row>1</xdr:row>
                <xdr:rowOff>30480</xdr:rowOff>
              </to>
            </anchor>
          </controlPr>
        </control>
      </mc:Choice>
      <mc:Fallback>
        <control shapeId="8202" r:id="rId156" name="OptionButton5"/>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4C750-C97D-410F-8F4F-069FFEAE1548}">
  <sheetPr codeName="CHP_Equip">
    <pageSetUpPr fitToPage="1"/>
  </sheetPr>
  <dimension ref="A1:CF1300"/>
  <sheetViews>
    <sheetView showRowColHeaders="0" topLeftCell="A461" zoomScale="80" zoomScaleNormal="80" workbookViewId="0">
      <selection activeCell="D489" sqref="D489"/>
    </sheetView>
  </sheetViews>
  <sheetFormatPr defaultColWidth="0" defaultRowHeight="13.35" customHeight="1" zeroHeight="1"/>
  <cols>
    <col min="1" max="1" width="2.33203125" customWidth="1"/>
    <col min="2" max="2" width="54.44140625" customWidth="1"/>
    <col min="3" max="3" width="15.77734375" customWidth="1"/>
    <col min="4" max="4" width="28.77734375" customWidth="1"/>
    <col min="5" max="5" width="15.109375" customWidth="1"/>
    <col min="6" max="6" width="15.77734375" customWidth="1"/>
    <col min="7" max="7" width="14.77734375" customWidth="1"/>
    <col min="8" max="8" width="16.44140625" customWidth="1"/>
    <col min="9" max="11" width="14.77734375" customWidth="1"/>
    <col min="12" max="12" width="2.33203125" customWidth="1"/>
    <col min="13" max="25" width="8.88671875" hidden="1" customWidth="1"/>
    <col min="26" max="26" width="11" hidden="1" customWidth="1"/>
    <col min="27" max="31" width="8.88671875" hidden="1" customWidth="1"/>
    <col min="32" max="32" width="11.44140625" hidden="1" customWidth="1"/>
    <col min="33" max="35" width="8.88671875" hidden="1" customWidth="1"/>
    <col min="36" max="38" width="9.88671875" hidden="1" customWidth="1"/>
    <col min="39" max="39" width="12.109375" hidden="1" customWidth="1"/>
    <col min="40" max="40" width="8.88671875" hidden="1" customWidth="1"/>
    <col min="41" max="42" width="10.33203125" hidden="1" customWidth="1"/>
    <col min="43" max="78" width="8.88671875" hidden="1" customWidth="1"/>
    <col min="79" max="81" width="0.109375" hidden="1" customWidth="1"/>
    <col min="82" max="84" width="8.88671875" hidden="1" customWidth="1"/>
    <col min="85" max="16384" width="9.109375" hidden="1"/>
  </cols>
  <sheetData>
    <row r="1" spans="1:84" ht="3.9" customHeight="1">
      <c r="A1" s="1194" t="str">
        <f>Language!C866&amp;'Análise de Emissões'!B188</f>
        <v>Modelo Energético RETScreen - Projeto produção de Eletricidade</v>
      </c>
      <c r="B1" s="1194"/>
      <c r="C1" s="1194"/>
      <c r="D1" s="1194"/>
      <c r="E1" s="1194"/>
      <c r="F1" s="1194"/>
      <c r="G1" s="1194"/>
      <c r="H1" s="1194"/>
      <c r="I1" s="1"/>
      <c r="J1" s="1"/>
      <c r="K1" s="1"/>
      <c r="L1" s="1"/>
      <c r="M1" s="319"/>
      <c r="N1" s="319"/>
      <c r="O1" s="319"/>
      <c r="P1" s="319"/>
      <c r="Q1" s="319"/>
      <c r="R1" s="319"/>
      <c r="S1" s="319"/>
      <c r="T1" s="319"/>
      <c r="U1" s="319"/>
      <c r="V1" s="319"/>
      <c r="W1" s="319"/>
      <c r="X1" s="319"/>
      <c r="Y1" s="319"/>
      <c r="Z1" s="319"/>
      <c r="AA1" s="319"/>
      <c r="AB1" s="319"/>
      <c r="AC1" s="319"/>
      <c r="AD1" s="319"/>
      <c r="AE1" s="319"/>
      <c r="AF1" s="319"/>
      <c r="AG1" s="319"/>
      <c r="AH1" s="319"/>
      <c r="AI1" s="319"/>
      <c r="AJ1" s="319"/>
      <c r="AK1" s="319"/>
      <c r="AL1" s="319"/>
      <c r="AM1" s="319"/>
      <c r="AN1" s="319"/>
      <c r="AO1" s="319">
        <v>2000000</v>
      </c>
      <c r="AP1" s="319"/>
      <c r="AQ1" s="319"/>
      <c r="AR1" s="319"/>
      <c r="AS1" s="319"/>
      <c r="AT1" s="319"/>
      <c r="AU1" s="319"/>
      <c r="AV1" s="319"/>
      <c r="AW1" s="319"/>
      <c r="AX1" s="319"/>
      <c r="AY1" s="319"/>
      <c r="AZ1" s="319"/>
      <c r="BA1" s="319"/>
      <c r="BB1" s="319"/>
      <c r="BC1" s="319"/>
      <c r="BD1" s="319"/>
      <c r="BE1" s="319"/>
      <c r="BF1" s="319"/>
      <c r="BG1" s="319"/>
      <c r="BH1" s="319"/>
      <c r="BI1" s="319"/>
      <c r="BJ1" s="319"/>
      <c r="BK1" s="319"/>
      <c r="BL1" s="319"/>
      <c r="BM1" s="319"/>
      <c r="BN1" s="319"/>
      <c r="BO1" s="319"/>
      <c r="BP1" s="319"/>
      <c r="BQ1" s="319"/>
      <c r="BR1" s="319"/>
      <c r="BS1" s="319"/>
      <c r="BT1" s="319"/>
      <c r="BU1" s="319"/>
      <c r="BV1" s="319"/>
      <c r="BW1" s="319"/>
      <c r="BX1" s="319"/>
      <c r="BY1" s="319"/>
      <c r="BZ1" s="319"/>
      <c r="CA1" s="319"/>
      <c r="CB1" s="319"/>
      <c r="CC1" s="319"/>
      <c r="CD1" s="319"/>
      <c r="CE1" s="319"/>
      <c r="CF1" s="319"/>
    </row>
    <row r="2" spans="1:84" ht="12.75" customHeight="1">
      <c r="A2" s="1194"/>
      <c r="B2" s="1194"/>
      <c r="C2" s="1194"/>
      <c r="D2" s="1194"/>
      <c r="E2" s="1194"/>
      <c r="F2" s="1194"/>
      <c r="G2" s="1194"/>
      <c r="H2" s="1194"/>
      <c r="I2" s="1255"/>
      <c r="J2" s="1254" t="str">
        <f>Language!C491</f>
        <v>Mostrar outras unidades</v>
      </c>
      <c r="K2" s="1254"/>
      <c r="L2" s="1"/>
      <c r="M2" s="319">
        <f>IF(ISERROR(SUM(M3:N1032)),2,SUM(M3:M1032)+SUM(N3:N1032)*3)</f>
        <v>27475</v>
      </c>
      <c r="N2" s="319">
        <v>27475</v>
      </c>
      <c r="O2" s="319" t="s">
        <v>4796</v>
      </c>
      <c r="P2" s="319" t="s">
        <v>3189</v>
      </c>
      <c r="Q2" s="319"/>
      <c r="R2" s="319" t="s">
        <v>3818</v>
      </c>
      <c r="S2" s="319" t="s">
        <v>1781</v>
      </c>
      <c r="T2" s="319" t="s">
        <v>4334</v>
      </c>
      <c r="U2" s="319" t="s">
        <v>4021</v>
      </c>
      <c r="V2" s="319" t="s">
        <v>518</v>
      </c>
      <c r="W2" s="319"/>
      <c r="X2" s="319"/>
      <c r="Y2" s="319"/>
      <c r="Z2" s="319"/>
      <c r="AA2" s="319"/>
      <c r="AB2" s="319"/>
      <c r="AC2" s="319"/>
      <c r="AD2" s="319"/>
      <c r="AE2" s="319"/>
      <c r="AF2" s="319"/>
      <c r="AG2" s="319"/>
      <c r="AH2" s="319"/>
      <c r="AI2" s="319"/>
      <c r="AJ2" s="319"/>
      <c r="AK2" s="319"/>
      <c r="AL2" s="319"/>
      <c r="AM2" s="319"/>
      <c r="AN2" s="319"/>
      <c r="AO2" s="319">
        <v>2000000</v>
      </c>
      <c r="AP2" s="319" t="s">
        <v>4192</v>
      </c>
      <c r="AQ2" s="1006" t="s">
        <v>2452</v>
      </c>
      <c r="AR2" s="1006" t="s">
        <v>3541</v>
      </c>
      <c r="AS2" s="1006" t="s">
        <v>3542</v>
      </c>
      <c r="AT2" s="1006" t="s">
        <v>3543</v>
      </c>
      <c r="AU2" s="1006" t="s">
        <v>2456</v>
      </c>
      <c r="AV2" s="1006" t="s">
        <v>2457</v>
      </c>
      <c r="AW2" s="1029" t="s">
        <v>4176</v>
      </c>
      <c r="AX2" s="1029" t="s">
        <v>4185</v>
      </c>
      <c r="AY2" s="1029" t="s">
        <v>4175</v>
      </c>
      <c r="AZ2" s="1029" t="s">
        <v>4177</v>
      </c>
      <c r="BA2" s="1029" t="s">
        <v>4178</v>
      </c>
      <c r="BB2" s="319"/>
      <c r="BC2" s="319" t="s">
        <v>4191</v>
      </c>
      <c r="BD2" s="1013" t="s">
        <v>2452</v>
      </c>
      <c r="BE2" s="1013" t="s">
        <v>2453</v>
      </c>
      <c r="BF2" s="1013" t="s">
        <v>2455</v>
      </c>
      <c r="BG2" s="1013" t="s">
        <v>2454</v>
      </c>
      <c r="BH2" s="1013" t="s">
        <v>4185</v>
      </c>
      <c r="BI2" s="1013" t="s">
        <v>4186</v>
      </c>
      <c r="BJ2" s="319"/>
      <c r="BK2" s="319"/>
      <c r="BL2" s="319"/>
      <c r="BM2" s="319"/>
      <c r="BN2" s="319"/>
      <c r="BO2" s="319"/>
      <c r="BP2" s="319"/>
      <c r="BQ2" s="319"/>
      <c r="BR2" s="319"/>
      <c r="BS2" s="319"/>
      <c r="BT2" s="319"/>
      <c r="BU2" s="319"/>
      <c r="BV2" s="319"/>
      <c r="BW2" s="319"/>
      <c r="BX2" s="319"/>
      <c r="BY2" s="319"/>
      <c r="BZ2" s="319"/>
      <c r="CA2" s="319"/>
      <c r="CB2" s="319"/>
      <c r="CC2" s="319"/>
      <c r="CD2" s="319"/>
      <c r="CE2" s="319"/>
      <c r="CF2" s="319"/>
    </row>
    <row r="3" spans="1:84" ht="12.75" customHeight="1">
      <c r="A3" s="1194"/>
      <c r="B3" s="1194"/>
      <c r="C3" s="1194"/>
      <c r="D3" s="1194"/>
      <c r="E3" s="1194"/>
      <c r="F3" s="1194"/>
      <c r="G3" s="1194"/>
      <c r="H3" s="1194"/>
      <c r="I3" s="1255"/>
      <c r="J3" s="1254"/>
      <c r="K3" s="1254"/>
      <c r="L3" s="1"/>
      <c r="M3" s="3" t="b">
        <v>0</v>
      </c>
      <c r="N3" s="319"/>
      <c r="O3" s="319" t="s">
        <v>230</v>
      </c>
      <c r="P3" s="319">
        <f>IF(AND(M31=2,EM_gridtype=5),IF(OR(Set_C=1,Set_C&gt;6),5,0),0)</f>
        <v>0</v>
      </c>
      <c r="Q3" s="319">
        <f>EM_gridtype</f>
        <v>1</v>
      </c>
      <c r="R3" s="319"/>
      <c r="S3" s="319"/>
      <c r="T3" s="319"/>
      <c r="U3" s="319"/>
      <c r="V3" s="319"/>
      <c r="W3" s="319"/>
      <c r="X3" s="319">
        <f>IF(HideCode_projectType3=7,0,IF(AND(HideCode_projectType3=6,HideCodeES_Cool_BL&lt;&gt;1),0,1))</f>
        <v>1</v>
      </c>
      <c r="Y3" s="319"/>
      <c r="Z3" s="319"/>
      <c r="AA3" s="319"/>
      <c r="AB3" s="319"/>
      <c r="AC3" s="319"/>
      <c r="AD3" s="319"/>
      <c r="AE3" s="319"/>
      <c r="AF3" s="319"/>
      <c r="AG3" s="319"/>
      <c r="AH3" s="319"/>
      <c r="AI3" s="319"/>
      <c r="AJ3" s="319"/>
      <c r="AK3" s="319"/>
      <c r="AL3" s="319"/>
      <c r="AM3" s="319"/>
      <c r="AN3" s="319"/>
      <c r="AO3" s="319">
        <v>2000000</v>
      </c>
      <c r="AP3" s="319"/>
      <c r="AQ3" s="1007">
        <v>224</v>
      </c>
      <c r="AR3" s="1007">
        <v>3</v>
      </c>
      <c r="AS3" s="1007">
        <v>226</v>
      </c>
      <c r="AT3" s="1007">
        <v>19</v>
      </c>
      <c r="AU3" s="1007" t="b">
        <v>1</v>
      </c>
      <c r="AV3" s="1007" t="s">
        <v>4132</v>
      </c>
      <c r="AW3" s="1007" t="b">
        <v>1</v>
      </c>
      <c r="AX3" s="1007">
        <v>224</v>
      </c>
      <c r="AY3" s="1007">
        <v>4</v>
      </c>
      <c r="AZ3" s="1007">
        <v>226</v>
      </c>
      <c r="BA3" s="1007">
        <v>20</v>
      </c>
      <c r="BB3" s="319"/>
      <c r="BC3" s="319"/>
      <c r="BD3" s="1007">
        <v>228</v>
      </c>
      <c r="BE3" s="1007">
        <v>5</v>
      </c>
      <c r="BF3" s="1007">
        <v>229</v>
      </c>
      <c r="BG3" s="1007">
        <v>13</v>
      </c>
      <c r="BH3" s="1007">
        <v>228</v>
      </c>
      <c r="BI3" s="1007">
        <v>6</v>
      </c>
      <c r="BJ3" s="319"/>
      <c r="BK3" s="319"/>
      <c r="BL3" s="319"/>
      <c r="BM3" s="319"/>
      <c r="BN3" s="319"/>
      <c r="BO3" s="319"/>
      <c r="BP3" s="319"/>
      <c r="BQ3" s="319"/>
      <c r="BR3" s="319"/>
      <c r="BS3" s="319"/>
      <c r="BT3" s="319"/>
      <c r="BU3" s="319"/>
      <c r="BV3" s="319"/>
      <c r="BW3" s="319"/>
      <c r="BX3" s="319"/>
      <c r="BY3" s="319"/>
      <c r="BZ3" s="319"/>
      <c r="CA3" s="319"/>
      <c r="CB3" s="319"/>
      <c r="CC3" s="319"/>
      <c r="CD3" s="319"/>
      <c r="CE3" s="319"/>
      <c r="CF3" s="319"/>
    </row>
    <row r="4" spans="1:84" ht="14.1" hidden="1" customHeight="1">
      <c r="A4" s="1174" t="str">
        <f>Language!C397</f>
        <v>Sistema de refrigeração do caso proposto</v>
      </c>
      <c r="B4" s="1175"/>
      <c r="C4" s="1175"/>
      <c r="D4" s="1175"/>
      <c r="E4" s="1175"/>
      <c r="F4" s="1260" t="str">
        <f>Language!C1746</f>
        <v>Custo inicial incremental</v>
      </c>
      <c r="G4" s="1260"/>
      <c r="H4" s="1260"/>
      <c r="I4" s="1260"/>
      <c r="J4" s="1260"/>
      <c r="K4" s="1033"/>
      <c r="L4" s="1"/>
      <c r="M4" s="319">
        <f>IF(P4=1,5310,0)</f>
        <v>0</v>
      </c>
      <c r="N4" s="319"/>
      <c r="O4" s="319" t="s">
        <v>5723</v>
      </c>
      <c r="P4" s="319">
        <f>Set_Level</f>
        <v>2</v>
      </c>
      <c r="Q4" s="319"/>
      <c r="R4" s="319"/>
      <c r="S4" s="319"/>
      <c r="T4" s="319"/>
      <c r="U4" s="319"/>
      <c r="V4" s="319"/>
      <c r="W4" s="319"/>
      <c r="X4" s="319">
        <f>IF(HideCode_projectType3=7,0,IF(AND(HideCode_projectType3=6,HideCodeES_Cool_PL&lt;&gt;1),0,100))</f>
        <v>100</v>
      </c>
      <c r="Y4" s="319"/>
      <c r="Z4" s="319"/>
      <c r="AA4" s="319"/>
      <c r="AB4" s="319"/>
      <c r="AC4" s="319"/>
      <c r="AD4" s="319"/>
      <c r="AE4" s="319"/>
      <c r="AF4" s="319"/>
      <c r="AG4" s="319"/>
      <c r="AH4" s="319"/>
      <c r="AI4" s="319"/>
      <c r="AJ4" s="319"/>
      <c r="AK4" s="319"/>
      <c r="AL4" s="319"/>
      <c r="AM4" s="319"/>
      <c r="AN4" s="319"/>
      <c r="AO4" s="319">
        <v>2010000</v>
      </c>
      <c r="AP4" s="319"/>
      <c r="AQ4" s="1007">
        <v>224</v>
      </c>
      <c r="AR4" s="1007">
        <v>3</v>
      </c>
      <c r="AS4" s="1007">
        <v>226</v>
      </c>
      <c r="AT4" s="1007">
        <v>20</v>
      </c>
      <c r="AU4" s="1007" t="b">
        <v>1</v>
      </c>
      <c r="AV4" s="1007" t="s">
        <v>4132</v>
      </c>
      <c r="AW4" s="1007" t="b">
        <v>1</v>
      </c>
      <c r="AX4" s="1007">
        <v>224</v>
      </c>
      <c r="AY4" s="1007">
        <v>4</v>
      </c>
      <c r="AZ4" s="1007">
        <v>226</v>
      </c>
      <c r="BA4" s="1007">
        <v>21</v>
      </c>
      <c r="BB4" s="319"/>
      <c r="BC4" s="319"/>
      <c r="BD4" s="1007">
        <v>266</v>
      </c>
      <c r="BE4" s="1007">
        <v>2</v>
      </c>
      <c r="BF4" s="1007">
        <v>266</v>
      </c>
      <c r="BG4" s="1007">
        <v>13</v>
      </c>
      <c r="BH4" s="1007">
        <v>266</v>
      </c>
      <c r="BI4" s="1007">
        <v>3</v>
      </c>
      <c r="BJ4" s="319"/>
      <c r="BK4" s="319"/>
      <c r="BL4" s="319"/>
      <c r="BM4" s="319"/>
      <c r="BN4" s="319"/>
      <c r="BO4" s="319"/>
      <c r="BP4" s="319"/>
      <c r="BQ4" s="319"/>
      <c r="BR4" s="319"/>
      <c r="BS4" s="319"/>
      <c r="BT4" s="319"/>
      <c r="BU4" s="319"/>
      <c r="BV4" s="319"/>
      <c r="BW4" s="319"/>
      <c r="BX4" s="319"/>
      <c r="BY4" s="319"/>
      <c r="BZ4" s="319"/>
      <c r="CA4" s="319"/>
      <c r="CB4" s="319"/>
      <c r="CC4" s="319"/>
      <c r="CD4" s="319"/>
      <c r="CE4" s="319"/>
      <c r="CF4" s="319"/>
    </row>
    <row r="5" spans="1:84" ht="12.75" hidden="1" customHeight="1">
      <c r="A5" s="12"/>
      <c r="B5" s="28" t="str">
        <f>Language!C222</f>
        <v>Carga base do sistema de refrigeração</v>
      </c>
      <c r="C5" s="1"/>
      <c r="D5" s="1"/>
      <c r="E5" s="1"/>
      <c r="F5" s="1"/>
      <c r="G5" s="79"/>
      <c r="H5" s="1"/>
      <c r="I5" s="1"/>
      <c r="J5" s="1"/>
      <c r="K5" s="9"/>
      <c r="L5" s="1"/>
      <c r="M5" s="319"/>
      <c r="N5" s="319"/>
      <c r="O5" s="319" t="s">
        <v>3833</v>
      </c>
      <c r="P5" s="319">
        <f>IF(OR(HideCode_projectType3=2,HideCode_projectType3=10),0,1)+IF(OR(EM_gridtype=1,EM_gridtype=3),0,1)</f>
        <v>0</v>
      </c>
      <c r="Q5" s="319"/>
      <c r="R5" s="319"/>
      <c r="S5" s="319"/>
      <c r="T5" s="319"/>
      <c r="U5" s="319"/>
      <c r="V5" s="319"/>
      <c r="W5" s="319"/>
      <c r="X5" s="319" t="str">
        <f>Language!C131</f>
        <v>Carga Base do Sistema</v>
      </c>
      <c r="Y5" s="319"/>
      <c r="Z5" s="319"/>
      <c r="AA5" s="319"/>
      <c r="AB5" s="319"/>
      <c r="AC5" s="319"/>
      <c r="AD5" s="319"/>
      <c r="AE5" s="319"/>
      <c r="AF5" s="319"/>
      <c r="AG5" s="319"/>
      <c r="AH5" s="319"/>
      <c r="AI5" s="319"/>
      <c r="AJ5" s="319"/>
      <c r="AK5" s="319"/>
      <c r="AL5" s="319"/>
      <c r="AM5" s="319"/>
      <c r="AN5" s="319"/>
      <c r="AO5" s="319">
        <v>2010100</v>
      </c>
      <c r="AP5" s="319"/>
      <c r="AQ5" s="1007">
        <v>224</v>
      </c>
      <c r="AR5" s="1007">
        <v>3</v>
      </c>
      <c r="AS5" s="1007">
        <v>226</v>
      </c>
      <c r="AT5" s="1007">
        <v>21</v>
      </c>
      <c r="AU5" s="1007" t="b">
        <v>1</v>
      </c>
      <c r="AV5" s="1007" t="s">
        <v>4132</v>
      </c>
      <c r="AW5" s="1007" t="b">
        <v>1</v>
      </c>
      <c r="AX5" s="1007">
        <v>224</v>
      </c>
      <c r="AY5" s="1007">
        <v>4</v>
      </c>
      <c r="AZ5" s="1007">
        <v>226</v>
      </c>
      <c r="BA5" s="1007">
        <v>19</v>
      </c>
      <c r="BB5" s="319"/>
      <c r="BC5" s="319"/>
      <c r="BD5" s="1007">
        <v>296</v>
      </c>
      <c r="BE5" s="1007">
        <v>6</v>
      </c>
      <c r="BF5" s="1007">
        <v>296</v>
      </c>
      <c r="BG5" s="1007">
        <v>13</v>
      </c>
      <c r="BH5" s="1007">
        <v>296</v>
      </c>
      <c r="BI5" s="1007">
        <v>7</v>
      </c>
      <c r="BJ5" s="319"/>
      <c r="BK5" s="319"/>
      <c r="BL5" s="319"/>
      <c r="BM5" s="319"/>
      <c r="BN5" s="319"/>
      <c r="BO5" s="319"/>
      <c r="BP5" s="319"/>
      <c r="BQ5" s="319"/>
      <c r="BR5" s="319"/>
      <c r="BS5" s="319"/>
      <c r="BT5" s="319"/>
      <c r="BU5" s="319"/>
      <c r="BV5" s="319"/>
      <c r="BW5" s="319"/>
      <c r="BX5" s="319"/>
      <c r="BY5" s="319"/>
      <c r="BZ5" s="319"/>
      <c r="CA5" s="319"/>
      <c r="CB5" s="319"/>
      <c r="CC5" s="319"/>
      <c r="CD5" s="319"/>
      <c r="CE5" s="319"/>
      <c r="CF5" s="319"/>
    </row>
    <row r="6" spans="1:84" ht="12.75" hidden="1" customHeight="1">
      <c r="A6" s="12"/>
      <c r="B6" s="329" t="str">
        <f>Language!C2015</f>
        <v>Tecnologia</v>
      </c>
      <c r="C6" s="1133" t="s">
        <v>6412</v>
      </c>
      <c r="D6" s="1134"/>
      <c r="E6" s="1135"/>
      <c r="F6" s="1"/>
      <c r="G6" s="1"/>
      <c r="H6" s="362"/>
      <c r="I6" s="1"/>
      <c r="J6" s="1"/>
      <c r="K6" s="784" t="str">
        <f>$K$268</f>
        <v>Mostrar figura</v>
      </c>
      <c r="L6" s="1"/>
      <c r="M6" s="319">
        <f>IF(C6="",1,VLOOKUP(C6,$G$1076:$H$1081,2,FALSE))</f>
        <v>1</v>
      </c>
      <c r="N6" s="319"/>
      <c r="O6" s="319" t="s">
        <v>4291</v>
      </c>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v>2010102</v>
      </c>
      <c r="AP6" s="319"/>
      <c r="AQ6" s="1007">
        <v>313</v>
      </c>
      <c r="AR6" s="1007">
        <v>3</v>
      </c>
      <c r="AS6" s="1007">
        <v>312</v>
      </c>
      <c r="AT6" s="1007">
        <v>13</v>
      </c>
      <c r="AU6" s="1007" t="b">
        <v>1</v>
      </c>
      <c r="AV6" s="1007" t="s">
        <v>4133</v>
      </c>
      <c r="AW6" s="1007" t="b">
        <v>1</v>
      </c>
      <c r="AX6" s="1007">
        <v>313</v>
      </c>
      <c r="AY6" s="1007">
        <v>4</v>
      </c>
      <c r="AZ6" s="1007">
        <v>313</v>
      </c>
      <c r="BA6" s="1007">
        <v>13</v>
      </c>
      <c r="BB6" s="319"/>
      <c r="BC6" s="319"/>
      <c r="BD6" s="1007">
        <v>453</v>
      </c>
      <c r="BE6" s="1007">
        <v>2</v>
      </c>
      <c r="BF6" s="1007">
        <v>453</v>
      </c>
      <c r="BG6" s="1007">
        <v>13</v>
      </c>
      <c r="BH6" s="1007">
        <v>453</v>
      </c>
      <c r="BI6" s="1007">
        <v>3</v>
      </c>
      <c r="BJ6" s="319"/>
      <c r="BK6" s="319"/>
      <c r="BL6" s="319"/>
      <c r="BM6" s="319"/>
      <c r="BN6" s="319"/>
      <c r="BO6" s="319"/>
      <c r="BP6" s="319"/>
      <c r="BQ6" s="319"/>
      <c r="BR6" s="319"/>
      <c r="BS6" s="319"/>
      <c r="BT6" s="319"/>
      <c r="BU6" s="319"/>
      <c r="BV6" s="319"/>
      <c r="BW6" s="319"/>
      <c r="BX6" s="319"/>
      <c r="BY6" s="319"/>
      <c r="BZ6" s="319"/>
      <c r="CA6" s="319"/>
      <c r="CB6" s="319"/>
      <c r="CC6" s="319"/>
      <c r="CD6" s="319"/>
      <c r="CE6" s="319"/>
      <c r="CF6" s="319"/>
    </row>
    <row r="7" spans="1:84" ht="12.75" hidden="1" customHeight="1">
      <c r="A7" s="12"/>
      <c r="B7" s="329" t="str">
        <f>Language!C398</f>
        <v>Fonte de energia</v>
      </c>
      <c r="C7" s="1"/>
      <c r="D7" s="29" t="str">
        <f>IF(HideCodeES_Cool_BL=1,K1197,IF(OR(C6=$G$1078,C6=$G$1079),K1198,K1196))</f>
        <v>Sistema de produção de eletricidade</v>
      </c>
      <c r="E7" s="1"/>
      <c r="F7" s="1"/>
      <c r="G7" s="1"/>
      <c r="H7" s="1"/>
      <c r="I7" s="1"/>
      <c r="J7" s="1"/>
      <c r="K7" s="9"/>
      <c r="L7" s="1"/>
      <c r="M7" s="319">
        <f>IF(D7=K1196,0,1)</f>
        <v>1</v>
      </c>
      <c r="N7" s="319"/>
      <c r="O7" s="319" t="s">
        <v>4264</v>
      </c>
      <c r="P7" s="319"/>
      <c r="Q7" s="319"/>
      <c r="R7" s="319"/>
      <c r="S7" s="319"/>
      <c r="T7" s="319"/>
      <c r="U7" s="319"/>
      <c r="V7" s="319"/>
      <c r="W7" s="319"/>
      <c r="X7" s="319">
        <f>IF(HideCodeEM_Heat_Peak=0,13,7)</f>
        <v>13</v>
      </c>
      <c r="Y7" s="319"/>
      <c r="Z7" s="319"/>
      <c r="AA7" s="319"/>
      <c r="AB7" s="319"/>
      <c r="AC7" s="319"/>
      <c r="AD7" s="319"/>
      <c r="AE7" s="319"/>
      <c r="AF7" s="319"/>
      <c r="AG7" s="319"/>
      <c r="AH7" s="319"/>
      <c r="AI7" s="319"/>
      <c r="AJ7" s="319"/>
      <c r="AK7" s="319"/>
      <c r="AL7" s="319"/>
      <c r="AM7" s="319"/>
      <c r="AN7" s="319"/>
      <c r="AO7" s="319">
        <v>2010104</v>
      </c>
      <c r="AP7" s="319"/>
      <c r="AQ7" s="1007">
        <v>313</v>
      </c>
      <c r="AR7" s="1007">
        <v>3</v>
      </c>
      <c r="AS7" s="1007">
        <v>313</v>
      </c>
      <c r="AT7" s="1007">
        <v>13</v>
      </c>
      <c r="AU7" s="1007" t="b">
        <v>1</v>
      </c>
      <c r="AV7" s="1007" t="s">
        <v>4133</v>
      </c>
      <c r="AW7" s="1007" t="b">
        <v>1</v>
      </c>
      <c r="AX7" s="1007">
        <v>313</v>
      </c>
      <c r="AY7" s="1007">
        <v>4</v>
      </c>
      <c r="AZ7" s="1007">
        <v>312</v>
      </c>
      <c r="BA7" s="1007">
        <v>13</v>
      </c>
      <c r="BB7" s="319"/>
      <c r="BC7" s="319"/>
      <c r="BD7" s="1026">
        <v>967</v>
      </c>
      <c r="BE7" s="1026">
        <v>1</v>
      </c>
      <c r="BF7" s="1026">
        <v>967</v>
      </c>
      <c r="BG7" s="1026">
        <v>16</v>
      </c>
      <c r="BH7" s="1026">
        <v>967</v>
      </c>
      <c r="BI7" s="1026">
        <v>2</v>
      </c>
      <c r="BJ7" s="319"/>
      <c r="BK7" s="319"/>
      <c r="BL7" s="319"/>
      <c r="BM7" s="319"/>
      <c r="BN7" s="319"/>
      <c r="BO7" s="319"/>
      <c r="BP7" s="319"/>
      <c r="BQ7" s="319"/>
      <c r="BR7" s="319"/>
      <c r="BS7" s="319"/>
      <c r="BT7" s="319"/>
      <c r="BU7" s="319"/>
      <c r="BV7" s="319"/>
      <c r="BW7" s="319"/>
      <c r="BX7" s="319"/>
      <c r="BY7" s="319"/>
      <c r="BZ7" s="319"/>
      <c r="CA7" s="319"/>
      <c r="CB7" s="319"/>
      <c r="CC7" s="319"/>
      <c r="CD7" s="319"/>
      <c r="CE7" s="319"/>
      <c r="CF7" s="319"/>
    </row>
    <row r="8" spans="1:84" ht="12.75" hidden="1" customHeight="1">
      <c r="A8" s="12"/>
      <c r="B8" s="329" t="str">
        <f>Language!C211</f>
        <v>Tipo de Combustível</v>
      </c>
      <c r="C8" s="1133" t="s">
        <v>7151</v>
      </c>
      <c r="D8" s="1134"/>
      <c r="E8" s="1135"/>
      <c r="F8" s="1"/>
      <c r="G8" s="1"/>
      <c r="H8" s="1"/>
      <c r="I8" s="1"/>
      <c r="J8" s="1"/>
      <c r="K8" s="9"/>
      <c r="L8" s="1"/>
      <c r="M8" s="319"/>
      <c r="N8" s="319"/>
      <c r="O8" s="319"/>
      <c r="P8" s="319"/>
      <c r="Q8" s="319"/>
      <c r="R8" s="319"/>
      <c r="S8" s="319"/>
      <c r="T8" s="319"/>
      <c r="U8" s="319"/>
      <c r="V8" s="319"/>
      <c r="W8" s="319"/>
      <c r="X8" s="319"/>
      <c r="Y8" s="319"/>
      <c r="Z8" s="319"/>
      <c r="AA8" s="319"/>
      <c r="AB8" s="319"/>
      <c r="AC8" s="319"/>
      <c r="AD8" s="319"/>
      <c r="AE8" s="319"/>
      <c r="AF8" s="319"/>
      <c r="AG8" s="319"/>
      <c r="AH8" s="319"/>
      <c r="AI8" s="319"/>
      <c r="AJ8" s="319"/>
      <c r="AK8" s="319"/>
      <c r="AL8" s="319"/>
      <c r="AM8" s="319"/>
      <c r="AN8" s="319"/>
      <c r="AO8" s="319">
        <v>2010106</v>
      </c>
      <c r="AP8" s="319"/>
      <c r="AQ8" s="1007">
        <v>446</v>
      </c>
      <c r="AR8" s="1007">
        <v>3</v>
      </c>
      <c r="AS8" s="1007">
        <v>447</v>
      </c>
      <c r="AT8" s="1007">
        <v>13</v>
      </c>
      <c r="AU8" s="1007" t="b">
        <v>1</v>
      </c>
      <c r="AV8" s="1007" t="s">
        <v>4134</v>
      </c>
      <c r="AW8" s="1007" t="b">
        <v>1</v>
      </c>
      <c r="AX8" s="1007">
        <v>446</v>
      </c>
      <c r="AY8" s="1007">
        <v>4</v>
      </c>
      <c r="AZ8" s="1007">
        <v>448</v>
      </c>
      <c r="BA8" s="1007">
        <v>13</v>
      </c>
      <c r="BB8" s="319"/>
      <c r="BC8" s="319"/>
      <c r="BD8" s="319"/>
      <c r="BE8" s="319"/>
      <c r="BF8" s="319"/>
      <c r="BG8" s="319"/>
      <c r="BH8" s="319"/>
      <c r="BI8" s="319"/>
      <c r="BJ8" s="319"/>
      <c r="BK8" s="319"/>
      <c r="BL8" s="319"/>
      <c r="BM8" s="319"/>
      <c r="BN8" s="319"/>
      <c r="BO8" s="319"/>
      <c r="BP8" s="319"/>
      <c r="BQ8" s="319"/>
      <c r="BR8" s="319"/>
      <c r="BS8" s="319"/>
      <c r="BT8" s="319"/>
      <c r="BU8" s="319"/>
      <c r="BV8" s="319"/>
      <c r="BW8" s="319"/>
      <c r="BX8" s="319"/>
      <c r="BY8" s="319"/>
      <c r="BZ8" s="319"/>
      <c r="CA8" s="319"/>
      <c r="CB8" s="319"/>
      <c r="CC8" s="319"/>
      <c r="CD8" s="319"/>
      <c r="CE8" s="319"/>
      <c r="CF8" s="319"/>
    </row>
    <row r="9" spans="1:84" ht="12.75" hidden="1" customHeight="1">
      <c r="A9" s="12"/>
      <c r="B9" s="329" t="str">
        <f>I42</f>
        <v>Preço do combustível</v>
      </c>
      <c r="C9" s="29" t="str">
        <f>VLOOKUP(C8,$B$1176:$F$1289,3,FALSE)</f>
        <v>€/MWh</v>
      </c>
      <c r="D9" s="399"/>
      <c r="E9" s="1"/>
      <c r="F9" s="1"/>
      <c r="G9" s="1"/>
      <c r="H9" s="1"/>
      <c r="I9" s="1"/>
      <c r="J9" s="1"/>
      <c r="K9" s="9"/>
      <c r="L9" s="1"/>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v>2010108</v>
      </c>
      <c r="AP9" s="319"/>
      <c r="AQ9" s="1007">
        <v>446</v>
      </c>
      <c r="AR9" s="1007">
        <v>3</v>
      </c>
      <c r="AS9" s="1007">
        <v>448</v>
      </c>
      <c r="AT9" s="1007">
        <v>13</v>
      </c>
      <c r="AU9" s="1007" t="b">
        <v>1</v>
      </c>
      <c r="AV9" s="1007" t="s">
        <v>4134</v>
      </c>
      <c r="AW9" s="1007" t="b">
        <v>1</v>
      </c>
      <c r="AX9" s="1007">
        <v>446</v>
      </c>
      <c r="AY9" s="1007">
        <v>4</v>
      </c>
      <c r="AZ9" s="1007">
        <v>447</v>
      </c>
      <c r="BA9" s="1007">
        <v>13</v>
      </c>
      <c r="BB9" s="319"/>
      <c r="BC9" s="319"/>
      <c r="BD9" s="319"/>
      <c r="BE9" s="319"/>
      <c r="BF9" s="319"/>
      <c r="BG9" s="319"/>
      <c r="BH9" s="319"/>
      <c r="BI9" s="319"/>
      <c r="BJ9" s="319"/>
      <c r="BK9" s="319"/>
      <c r="BL9" s="319"/>
      <c r="BM9" s="319"/>
      <c r="BN9" s="319"/>
      <c r="BO9" s="319"/>
      <c r="BP9" s="319"/>
      <c r="BQ9" s="319"/>
      <c r="BR9" s="319"/>
      <c r="BS9" s="319"/>
      <c r="BT9" s="319"/>
      <c r="BU9" s="319"/>
      <c r="BV9" s="319"/>
      <c r="BW9" s="319"/>
      <c r="BX9" s="319"/>
      <c r="BY9" s="319"/>
      <c r="BZ9" s="319"/>
      <c r="CA9" s="319"/>
      <c r="CB9" s="319"/>
      <c r="CC9" s="319"/>
      <c r="CD9" s="319"/>
      <c r="CE9" s="319"/>
      <c r="CF9" s="319"/>
    </row>
    <row r="10" spans="1:84" ht="12.75" hidden="1" customHeight="1">
      <c r="A10" s="12"/>
      <c r="B10" s="329" t="str">
        <f>Language!C202</f>
        <v>Capacidade</v>
      </c>
      <c r="C10" s="303" t="s">
        <v>5700</v>
      </c>
      <c r="D10" s="427"/>
      <c r="E10" s="80" t="e">
        <f>S10/$R$866</f>
        <v>#DIV/0!</v>
      </c>
      <c r="F10" s="1"/>
      <c r="G10" s="1"/>
      <c r="H10" s="1346"/>
      <c r="I10" s="1252" t="str">
        <f>Language!C61</f>
        <v>Ver banco de dados de produtos</v>
      </c>
      <c r="J10" s="1191"/>
      <c r="K10" s="1210"/>
      <c r="L10" s="1"/>
      <c r="M10" s="319"/>
      <c r="N10" s="319"/>
      <c r="O10" s="824"/>
      <c r="P10" s="319" t="str">
        <f>IF(CapaUnit_Cooling1=$Z$1086,$Z$1086,$Z$1087)</f>
        <v>kW</v>
      </c>
      <c r="Q10" s="319"/>
      <c r="R10" s="319" t="s">
        <v>2409</v>
      </c>
      <c r="S10" s="494">
        <f>IF(C10=$Z$1086,D10,IF(C10=$Z$1087,D10/$AA$1087,D10/$AA$1088))</f>
        <v>0</v>
      </c>
      <c r="T10" s="319"/>
      <c r="U10" s="319"/>
      <c r="V10" s="319"/>
      <c r="W10" s="319"/>
      <c r="X10" s="319"/>
      <c r="Y10" s="319"/>
      <c r="Z10" s="319"/>
      <c r="AA10" s="319"/>
      <c r="AB10" s="319"/>
      <c r="AC10" s="319"/>
      <c r="AD10" s="319"/>
      <c r="AE10" s="319"/>
      <c r="AF10" s="319"/>
      <c r="AG10" s="319"/>
      <c r="AH10" s="319"/>
      <c r="AI10" s="319"/>
      <c r="AJ10" s="319"/>
      <c r="AK10" s="319"/>
      <c r="AL10" s="319"/>
      <c r="AM10" s="319"/>
      <c r="AN10" s="319"/>
      <c r="AO10" s="319">
        <v>2010110</v>
      </c>
      <c r="AP10" s="319"/>
      <c r="AQ10" s="319"/>
      <c r="AR10" s="319"/>
      <c r="AS10" s="319"/>
      <c r="AT10" s="319"/>
      <c r="AU10" s="319"/>
      <c r="AV10" s="319"/>
      <c r="AW10" s="319"/>
      <c r="AX10" s="319"/>
      <c r="AY10" s="319"/>
      <c r="AZ10" s="319"/>
      <c r="BA10" s="319"/>
      <c r="BB10" s="319"/>
      <c r="BC10" s="319"/>
      <c r="BD10" s="319"/>
      <c r="BE10" s="319"/>
      <c r="BF10" s="319"/>
      <c r="BG10" s="319"/>
      <c r="BH10" s="319"/>
      <c r="BI10" s="319"/>
      <c r="BJ10" s="319"/>
      <c r="BK10" s="319"/>
      <c r="BL10" s="319"/>
      <c r="BM10" s="319"/>
      <c r="BN10" s="319"/>
      <c r="BO10" s="319"/>
      <c r="BP10" s="319"/>
      <c r="BQ10" s="319"/>
      <c r="BR10" s="319"/>
      <c r="BS10" s="319"/>
      <c r="BT10" s="319"/>
      <c r="BU10" s="319"/>
      <c r="BV10" s="319"/>
      <c r="BW10" s="319"/>
      <c r="BX10" s="319"/>
      <c r="BY10" s="319"/>
      <c r="BZ10" s="319"/>
      <c r="CA10" s="319"/>
      <c r="CB10" s="319"/>
      <c r="CC10" s="319"/>
      <c r="CD10" s="319"/>
      <c r="CE10" s="319"/>
      <c r="CF10" s="319"/>
    </row>
    <row r="11" spans="1:84" ht="12.75" hidden="1" customHeight="1">
      <c r="A11" s="12"/>
      <c r="B11" s="329" t="str">
        <f>Language!C1544</f>
        <v>Coeficiente de desempenho - sazonal</v>
      </c>
      <c r="C11" s="29"/>
      <c r="D11" s="821"/>
      <c r="E11" s="1"/>
      <c r="F11" s="783"/>
      <c r="G11" s="1"/>
      <c r="H11" s="1"/>
      <c r="I11" s="1"/>
      <c r="J11" s="1"/>
      <c r="K11" s="9"/>
      <c r="L11" s="1"/>
      <c r="M11" s="319"/>
      <c r="N11" s="319"/>
      <c r="O11" s="319"/>
      <c r="P11" s="319"/>
      <c r="Q11" s="319"/>
      <c r="R11" s="319"/>
      <c r="S11" s="319"/>
      <c r="T11" s="319"/>
      <c r="U11" s="319"/>
      <c r="V11" s="319"/>
      <c r="W11" s="319"/>
      <c r="X11" s="319"/>
      <c r="Y11" s="319"/>
      <c r="Z11" s="319"/>
      <c r="AA11" s="319"/>
      <c r="AB11" s="319"/>
      <c r="AC11" s="319"/>
      <c r="AD11" s="319"/>
      <c r="AE11" s="319"/>
      <c r="AF11" s="319"/>
      <c r="AG11" s="319"/>
      <c r="AH11" s="319"/>
      <c r="AI11" s="319"/>
      <c r="AJ11" s="319"/>
      <c r="AK11" s="319"/>
      <c r="AL11" s="319"/>
      <c r="AM11" s="319"/>
      <c r="AN11" s="319"/>
      <c r="AO11" s="319">
        <v>2010112</v>
      </c>
      <c r="AP11" s="319"/>
      <c r="AQ11" s="319"/>
      <c r="AR11" s="319"/>
      <c r="AS11" s="319"/>
      <c r="AT11" s="319"/>
      <c r="AU11" s="319"/>
      <c r="AV11" s="319"/>
      <c r="AW11" s="319"/>
      <c r="AX11" s="319"/>
      <c r="AY11" s="319"/>
      <c r="AZ11" s="319"/>
      <c r="BA11" s="319"/>
      <c r="BB11" s="319"/>
      <c r="BC11" s="319"/>
      <c r="BD11" s="319"/>
      <c r="BE11" s="319"/>
      <c r="BF11" s="319"/>
      <c r="BG11" s="319"/>
      <c r="BH11" s="319"/>
      <c r="BI11" s="319"/>
      <c r="BJ11" s="319"/>
      <c r="BK11" s="319"/>
      <c r="BL11" s="319"/>
      <c r="BM11" s="319"/>
      <c r="BN11" s="319"/>
      <c r="BO11" s="319"/>
      <c r="BP11" s="319"/>
      <c r="BQ11" s="319"/>
      <c r="BR11" s="319"/>
      <c r="BS11" s="319"/>
      <c r="BT11" s="319"/>
      <c r="BU11" s="319"/>
      <c r="BV11" s="319"/>
      <c r="BW11" s="319"/>
      <c r="BX11" s="319"/>
      <c r="BY11" s="319"/>
      <c r="BZ11" s="319"/>
      <c r="CA11" s="319"/>
      <c r="CB11" s="319"/>
      <c r="CC11" s="319"/>
      <c r="CD11" s="319"/>
      <c r="CE11" s="319"/>
      <c r="CF11" s="319"/>
    </row>
    <row r="12" spans="1:84" ht="12.75" hidden="1" customHeight="1">
      <c r="A12" s="12"/>
      <c r="B12" s="329" t="str">
        <f>Language!C1157</f>
        <v>Fabricante</v>
      </c>
      <c r="C12" s="1152"/>
      <c r="D12" s="1153"/>
      <c r="E12" s="1154"/>
      <c r="F12" s="1"/>
      <c r="G12" s="1"/>
      <c r="H12" s="1"/>
      <c r="I12" s="1"/>
      <c r="J12" s="1"/>
      <c r="K12" s="9"/>
      <c r="L12" s="1"/>
      <c r="M12" s="319"/>
      <c r="N12" s="319"/>
      <c r="O12" s="319"/>
      <c r="P12" s="319"/>
      <c r="Q12" s="319"/>
      <c r="R12" s="319"/>
      <c r="S12" s="319"/>
      <c r="T12" s="319"/>
      <c r="U12" s="319"/>
      <c r="V12" s="319"/>
      <c r="W12" s="319"/>
      <c r="X12" s="319"/>
      <c r="Y12" s="319"/>
      <c r="Z12" s="319"/>
      <c r="AA12" s="319"/>
      <c r="AB12" s="319"/>
      <c r="AC12" s="319"/>
      <c r="AD12" s="319"/>
      <c r="AE12" s="319"/>
      <c r="AF12" s="319"/>
      <c r="AG12" s="319"/>
      <c r="AH12" s="319"/>
      <c r="AI12" s="319"/>
      <c r="AJ12" s="319"/>
      <c r="AK12" s="319"/>
      <c r="AL12" s="319"/>
      <c r="AM12" s="319"/>
      <c r="AN12" s="319"/>
      <c r="AO12" s="319">
        <v>2050012</v>
      </c>
      <c r="AP12" s="319"/>
      <c r="AQ12" s="319"/>
      <c r="AR12" s="319"/>
      <c r="AS12" s="319"/>
      <c r="AT12" s="319"/>
      <c r="AU12" s="319"/>
      <c r="AV12" s="319"/>
      <c r="AW12" s="319"/>
      <c r="AX12" s="319"/>
      <c r="AY12" s="319"/>
      <c r="AZ12" s="319"/>
      <c r="BA12" s="319"/>
      <c r="BB12" s="319"/>
      <c r="BC12" s="319"/>
      <c r="BD12" s="319"/>
      <c r="BE12" s="319"/>
      <c r="BF12" s="319"/>
      <c r="BG12" s="319"/>
      <c r="BH12" s="319"/>
      <c r="BI12" s="319"/>
      <c r="BJ12" s="319"/>
      <c r="BK12" s="319"/>
      <c r="BL12" s="319"/>
      <c r="BM12" s="319"/>
      <c r="BN12" s="319"/>
      <c r="BO12" s="319"/>
      <c r="BP12" s="319"/>
      <c r="BQ12" s="319"/>
      <c r="BR12" s="319"/>
      <c r="BS12" s="319"/>
      <c r="BT12" s="319"/>
      <c r="BU12" s="319"/>
      <c r="BV12" s="319"/>
      <c r="BW12" s="319"/>
      <c r="BX12" s="319"/>
      <c r="BY12" s="319"/>
      <c r="BZ12" s="319"/>
      <c r="CA12" s="319"/>
      <c r="CB12" s="319"/>
      <c r="CC12" s="319"/>
      <c r="CD12" s="319"/>
      <c r="CE12" s="319"/>
      <c r="CF12" s="319"/>
    </row>
    <row r="13" spans="1:84" ht="12.75" hidden="1" customHeight="1">
      <c r="A13" s="12"/>
      <c r="B13" s="329" t="str">
        <f>Language!C1160</f>
        <v>Modelo</v>
      </c>
      <c r="C13" s="1152"/>
      <c r="D13" s="1153"/>
      <c r="E13" s="1154"/>
      <c r="F13" s="1" t="str">
        <f>Equip_NbUnits &amp; Lang_Unit</f>
        <v>1 unidade(s)</v>
      </c>
      <c r="G13" s="1"/>
      <c r="H13" s="1"/>
      <c r="I13" s="1"/>
      <c r="J13" s="1"/>
      <c r="K13" s="9"/>
      <c r="L13" s="1"/>
      <c r="M13" s="319"/>
      <c r="N13" s="319"/>
      <c r="O13" s="319"/>
      <c r="P13" s="319"/>
      <c r="Q13" s="319"/>
      <c r="R13" s="319"/>
      <c r="S13" s="319"/>
      <c r="T13" s="319"/>
      <c r="U13" s="319"/>
      <c r="V13" s="319"/>
      <c r="W13" s="319"/>
      <c r="X13" s="319"/>
      <c r="Y13" s="319"/>
      <c r="Z13" s="319"/>
      <c r="AA13" s="319"/>
      <c r="AB13" s="319"/>
      <c r="AC13" s="319"/>
      <c r="AD13" s="319"/>
      <c r="AE13" s="319"/>
      <c r="AF13" s="319"/>
      <c r="AG13" s="319"/>
      <c r="AH13" s="319"/>
      <c r="AI13" s="319"/>
      <c r="AJ13" s="319"/>
      <c r="AK13" s="319"/>
      <c r="AL13" s="319"/>
      <c r="AM13" s="319"/>
      <c r="AN13" s="319"/>
      <c r="AO13" s="319">
        <v>2050014</v>
      </c>
      <c r="AP13" s="319"/>
      <c r="AQ13" s="319"/>
      <c r="AR13" s="319"/>
      <c r="AS13" s="319"/>
      <c r="AT13" s="319"/>
      <c r="AU13" s="319"/>
      <c r="AV13" s="319"/>
      <c r="AW13" s="319"/>
      <c r="AX13" s="319"/>
      <c r="AY13" s="319"/>
      <c r="AZ13" s="319"/>
      <c r="BA13" s="319"/>
      <c r="BB13" s="319"/>
      <c r="BC13" s="319"/>
      <c r="BD13" s="319"/>
      <c r="BE13" s="319"/>
      <c r="BF13" s="319"/>
      <c r="BG13" s="319"/>
      <c r="BH13" s="319"/>
      <c r="BI13" s="319"/>
      <c r="BJ13" s="319"/>
      <c r="BK13" s="319"/>
      <c r="BL13" s="319"/>
      <c r="BM13" s="319"/>
      <c r="BN13" s="319"/>
      <c r="BO13" s="319"/>
      <c r="BP13" s="319"/>
      <c r="BQ13" s="319"/>
      <c r="BR13" s="319"/>
      <c r="BS13" s="319"/>
      <c r="BT13" s="319"/>
      <c r="BU13" s="319"/>
      <c r="BV13" s="319"/>
      <c r="BW13" s="319"/>
      <c r="BX13" s="319"/>
      <c r="BY13" s="319"/>
      <c r="BZ13" s="319"/>
      <c r="CA13" s="319"/>
      <c r="CB13" s="319"/>
      <c r="CC13" s="319"/>
      <c r="CD13" s="319"/>
      <c r="CE13" s="319"/>
      <c r="CF13" s="319"/>
    </row>
    <row r="14" spans="1:84" ht="12.75" hidden="1" customHeight="1">
      <c r="A14" s="12"/>
      <c r="B14" s="329" t="str">
        <f>Language!C204</f>
        <v>Frio fornecido</v>
      </c>
      <c r="C14" s="29" t="str">
        <f>IF(Unit=TRUE,R14,T14)</f>
        <v>MWh</v>
      </c>
      <c r="D14" s="30">
        <f>IF(Unit=TRUE,S14,U14)</f>
        <v>0</v>
      </c>
      <c r="E14" s="80" t="e">
        <f>S14/$R$867</f>
        <v>#DIV/0!</v>
      </c>
      <c r="F14" s="29" t="str">
        <f>IF($M$3=FALSE,"",IF(Unit=FALSE,R14,T14))</f>
        <v/>
      </c>
      <c r="G14" s="30" t="str">
        <f>IF($M$3=FALSE,"",IF(Unit=FALSE,S14,U14))</f>
        <v/>
      </c>
      <c r="H14" s="1"/>
      <c r="I14" s="1"/>
      <c r="J14" s="1"/>
      <c r="K14" s="9"/>
      <c r="L14" s="1"/>
      <c r="M14" s="319"/>
      <c r="N14" s="319"/>
      <c r="O14" s="319"/>
      <c r="P14" s="319"/>
      <c r="Q14" s="319"/>
      <c r="R14" s="319" t="str">
        <f>Language!C1396</f>
        <v>MWh</v>
      </c>
      <c r="S14" s="494">
        <f>'Carga e Rede'!AN335</f>
        <v>0</v>
      </c>
      <c r="T14" s="319" t="str">
        <f>Z1103</f>
        <v>TRh</v>
      </c>
      <c r="U14" s="494">
        <f>S14*$AA$1088*1000</f>
        <v>0</v>
      </c>
      <c r="V14" s="319"/>
      <c r="W14" s="319"/>
      <c r="X14" s="319"/>
      <c r="Y14" s="319"/>
      <c r="Z14" s="319"/>
      <c r="AA14" s="319"/>
      <c r="AB14" s="319"/>
      <c r="AC14" s="319"/>
      <c r="AD14" s="319"/>
      <c r="AE14" s="319"/>
      <c r="AF14" s="319"/>
      <c r="AG14" s="319"/>
      <c r="AH14" s="319"/>
      <c r="AI14" s="319"/>
      <c r="AJ14" s="319"/>
      <c r="AK14" s="319"/>
      <c r="AL14" s="319"/>
      <c r="AM14" s="319"/>
      <c r="AN14" s="319"/>
      <c r="AO14" s="319">
        <v>2010118</v>
      </c>
      <c r="AP14" s="319"/>
      <c r="AQ14" s="319"/>
      <c r="AR14" s="319"/>
      <c r="AS14" s="319"/>
      <c r="AT14" s="319"/>
      <c r="AU14" s="319"/>
      <c r="AV14" s="319"/>
      <c r="AW14" s="319"/>
      <c r="AX14" s="319"/>
      <c r="AY14" s="319"/>
      <c r="AZ14" s="319"/>
      <c r="BA14" s="319"/>
      <c r="BB14" s="319"/>
      <c r="BC14" s="319"/>
      <c r="BD14" s="319"/>
      <c r="BE14" s="319"/>
      <c r="BF14" s="319"/>
      <c r="BG14" s="319"/>
      <c r="BH14" s="319"/>
      <c r="BI14" s="319"/>
      <c r="BJ14" s="319"/>
      <c r="BK14" s="319"/>
      <c r="BL14" s="319"/>
      <c r="BM14" s="319"/>
      <c r="BN14" s="319"/>
      <c r="BO14" s="319"/>
      <c r="BP14" s="319"/>
      <c r="BQ14" s="319"/>
      <c r="BR14" s="319"/>
      <c r="BS14" s="319"/>
      <c r="BT14" s="319"/>
      <c r="BU14" s="319"/>
      <c r="BV14" s="319"/>
      <c r="BW14" s="319"/>
      <c r="BX14" s="319"/>
      <c r="BY14" s="319"/>
      <c r="BZ14" s="319"/>
      <c r="CA14" s="319"/>
      <c r="CB14" s="319"/>
      <c r="CC14" s="319"/>
      <c r="CD14" s="319"/>
      <c r="CE14" s="319"/>
      <c r="CF14" s="319"/>
    </row>
    <row r="15" spans="1:84" ht="12.75" hidden="1" customHeight="1">
      <c r="A15" s="12"/>
      <c r="B15" s="28" t="str">
        <f>Language!C223</f>
        <v>Carga de ponta do sistema de refrigeração</v>
      </c>
      <c r="C15" s="1268" t="str">
        <f>IF(AND(Equip_CoolType2=G1081,S20&gt;0),G1086,IF(S21&lt;S20,Language!C235,IF(S20=0,IF(Equip_CoolType2=G1081,"",G1087),"")))</f>
        <v>Sistema de ponta não requerido</v>
      </c>
      <c r="D15" s="1268"/>
      <c r="E15" s="1268"/>
      <c r="F15" s="1"/>
      <c r="G15" s="1"/>
      <c r="H15" s="1"/>
      <c r="I15" s="1"/>
      <c r="J15" s="1"/>
      <c r="K15" s="9"/>
      <c r="L15" s="1"/>
      <c r="M15" s="319">
        <f>IF(ISERROR(S20),0,IF(AND(C16=G1081,S20=0),0,100))</f>
        <v>100</v>
      </c>
      <c r="N15" s="319"/>
      <c r="O15" s="319" t="s">
        <v>5687</v>
      </c>
      <c r="P15" s="319"/>
      <c r="Q15" s="319"/>
      <c r="R15" s="319"/>
      <c r="S15" s="319"/>
      <c r="T15" s="319"/>
      <c r="U15" s="319"/>
      <c r="V15" s="319"/>
      <c r="W15" s="319"/>
      <c r="X15" s="319"/>
      <c r="Y15" s="319"/>
      <c r="Z15" s="319"/>
      <c r="AA15" s="319"/>
      <c r="AB15" s="319"/>
      <c r="AC15" s="319"/>
      <c r="AD15" s="319"/>
      <c r="AE15" s="319"/>
      <c r="AF15" s="319"/>
      <c r="AG15" s="319"/>
      <c r="AH15" s="319"/>
      <c r="AI15" s="319"/>
      <c r="AJ15" s="319"/>
      <c r="AK15" s="319"/>
      <c r="AL15" s="319"/>
      <c r="AM15" s="319"/>
      <c r="AN15" s="319"/>
      <c r="AO15" s="319">
        <v>2010101</v>
      </c>
      <c r="AP15" s="319"/>
      <c r="AQ15" s="319"/>
      <c r="AR15" s="319"/>
      <c r="AS15" s="319"/>
      <c r="AT15" s="319"/>
      <c r="AU15" s="319"/>
      <c r="AV15" s="319"/>
      <c r="AW15" s="319"/>
      <c r="AX15" s="319"/>
      <c r="AY15" s="319"/>
      <c r="AZ15" s="319"/>
      <c r="BA15" s="319"/>
      <c r="BB15" s="319"/>
      <c r="BC15" s="319"/>
      <c r="BD15" s="319"/>
      <c r="BE15" s="319"/>
      <c r="BF15" s="319"/>
      <c r="BG15" s="319"/>
      <c r="BH15" s="319"/>
      <c r="BI15" s="319"/>
      <c r="BJ15" s="319"/>
      <c r="BK15" s="319"/>
      <c r="BL15" s="319"/>
      <c r="BM15" s="319"/>
      <c r="BN15" s="319"/>
      <c r="BO15" s="319"/>
      <c r="BP15" s="319"/>
      <c r="BQ15" s="319"/>
      <c r="BR15" s="319"/>
      <c r="BS15" s="319"/>
      <c r="BT15" s="319"/>
      <c r="BU15" s="319"/>
      <c r="BV15" s="319"/>
      <c r="BW15" s="319"/>
      <c r="BX15" s="319"/>
      <c r="BY15" s="319"/>
      <c r="BZ15" s="319"/>
      <c r="CA15" s="319"/>
      <c r="CB15" s="319"/>
      <c r="CC15" s="319"/>
      <c r="CD15" s="319"/>
      <c r="CE15" s="319"/>
      <c r="CF15" s="319"/>
    </row>
    <row r="16" spans="1:84" ht="12.75" hidden="1" customHeight="1">
      <c r="A16" s="12"/>
      <c r="B16" s="329" t="str">
        <f>B6</f>
        <v>Tecnologia</v>
      </c>
      <c r="C16" s="1133" t="s">
        <v>147</v>
      </c>
      <c r="D16" s="1134"/>
      <c r="E16" s="1135"/>
      <c r="F16" s="1"/>
      <c r="G16" s="1"/>
      <c r="H16" s="1"/>
      <c r="I16" s="1"/>
      <c r="J16" s="1"/>
      <c r="K16" s="9"/>
      <c r="L16" s="1"/>
      <c r="M16" s="319">
        <f>IF(C16="",1,VLOOKUP(C16,$G$1076:$H$1081,2,FALSE))</f>
        <v>1</v>
      </c>
      <c r="N16" s="319"/>
      <c r="O16" s="319" t="s">
        <v>4797</v>
      </c>
      <c r="P16" s="319"/>
      <c r="Q16" s="319"/>
      <c r="R16" s="319"/>
      <c r="S16" s="319"/>
      <c r="T16" s="319"/>
      <c r="U16" s="319"/>
      <c r="V16" s="319"/>
      <c r="W16" s="319"/>
      <c r="X16" s="319"/>
      <c r="Y16" s="319"/>
      <c r="Z16" s="319"/>
      <c r="AA16" s="319"/>
      <c r="AB16" s="319"/>
      <c r="AC16" s="319"/>
      <c r="AD16" s="319"/>
      <c r="AE16" s="319"/>
      <c r="AF16" s="319"/>
      <c r="AG16" s="319"/>
      <c r="AH16" s="319"/>
      <c r="AI16" s="319"/>
      <c r="AJ16" s="319"/>
      <c r="AK16" s="319"/>
      <c r="AL16" s="319"/>
      <c r="AM16" s="319"/>
      <c r="AN16" s="319"/>
      <c r="AO16" s="319">
        <v>2010103</v>
      </c>
      <c r="AP16" s="319"/>
      <c r="AQ16" s="319"/>
      <c r="AR16" s="319"/>
      <c r="AS16" s="319"/>
      <c r="AT16" s="319"/>
      <c r="AU16" s="319"/>
      <c r="AV16" s="319"/>
      <c r="AW16" s="319"/>
      <c r="AX16" s="319"/>
      <c r="AY16" s="319"/>
      <c r="AZ16" s="319"/>
      <c r="BA16" s="319"/>
      <c r="BB16" s="319"/>
      <c r="BC16" s="319"/>
      <c r="BD16" s="319"/>
      <c r="BE16" s="319"/>
      <c r="BF16" s="319"/>
      <c r="BG16" s="319"/>
      <c r="BH16" s="319"/>
      <c r="BI16" s="319"/>
      <c r="BJ16" s="319"/>
      <c r="BK16" s="319"/>
      <c r="BL16" s="319"/>
      <c r="BM16" s="319"/>
      <c r="BN16" s="319"/>
      <c r="BO16" s="319"/>
      <c r="BP16" s="319"/>
      <c r="BQ16" s="319"/>
      <c r="BR16" s="319"/>
      <c r="BS16" s="319"/>
      <c r="BT16" s="319"/>
      <c r="BU16" s="319"/>
      <c r="BV16" s="319"/>
      <c r="BW16" s="319"/>
      <c r="BX16" s="319"/>
      <c r="BY16" s="319"/>
      <c r="BZ16" s="319"/>
      <c r="CA16" s="319"/>
      <c r="CB16" s="319"/>
      <c r="CC16" s="319"/>
      <c r="CD16" s="319"/>
      <c r="CE16" s="319"/>
      <c r="CF16" s="319"/>
    </row>
    <row r="17" spans="1:84" ht="12.75" hidden="1" customHeight="1">
      <c r="A17" s="12"/>
      <c r="B17" s="329" t="str">
        <f>Language!C398</f>
        <v>Fonte de energia</v>
      </c>
      <c r="C17" s="1264" t="str">
        <f>IF(HideCodeES_Cool_PL=1,K1197,IF(OR(C16=$G$1078,C16=$G$1079),K1198,K1196))</f>
        <v>Sistema de produção de eletricidade</v>
      </c>
      <c r="D17" s="1261"/>
      <c r="E17" s="1264"/>
      <c r="F17" s="1"/>
      <c r="G17" s="1"/>
      <c r="H17" s="1"/>
      <c r="I17" s="1"/>
      <c r="J17" s="1"/>
      <c r="K17" s="9"/>
      <c r="L17" s="1"/>
      <c r="M17" s="319">
        <f>IF(C17=K1196,0,1)</f>
        <v>1</v>
      </c>
      <c r="N17" s="319"/>
      <c r="O17" s="319" t="s">
        <v>4212</v>
      </c>
      <c r="P17" s="319"/>
      <c r="Q17" s="319"/>
      <c r="R17" s="319"/>
      <c r="S17" s="319"/>
      <c r="T17" s="319"/>
      <c r="U17" s="319"/>
      <c r="V17" s="319"/>
      <c r="W17" s="319"/>
      <c r="X17" s="319"/>
      <c r="Y17" s="319"/>
      <c r="Z17" s="319"/>
      <c r="AA17" s="319"/>
      <c r="AB17" s="319"/>
      <c r="AC17" s="319"/>
      <c r="AD17" s="319"/>
      <c r="AE17" s="319"/>
      <c r="AF17" s="319"/>
      <c r="AG17" s="319"/>
      <c r="AH17" s="319"/>
      <c r="AI17" s="319"/>
      <c r="AJ17" s="319"/>
      <c r="AK17" s="319"/>
      <c r="AL17" s="319"/>
      <c r="AM17" s="319"/>
      <c r="AN17" s="319"/>
      <c r="AO17" s="319">
        <v>2010104</v>
      </c>
      <c r="AP17" s="319"/>
      <c r="AQ17" s="319"/>
      <c r="AR17" s="319"/>
      <c r="AS17" s="319"/>
      <c r="AT17" s="319"/>
      <c r="AU17" s="319"/>
      <c r="AV17" s="319"/>
      <c r="AW17" s="319"/>
      <c r="AX17" s="319"/>
      <c r="AY17" s="319"/>
      <c r="AZ17" s="319"/>
      <c r="BA17" s="319"/>
      <c r="BB17" s="319"/>
      <c r="BC17" s="319"/>
      <c r="BD17" s="319"/>
      <c r="BE17" s="319"/>
      <c r="BF17" s="319"/>
      <c r="BG17" s="319"/>
      <c r="BH17" s="319"/>
      <c r="BI17" s="319"/>
      <c r="BJ17" s="319"/>
      <c r="BK17" s="319"/>
      <c r="BL17" s="319"/>
      <c r="BM17" s="319"/>
      <c r="BN17" s="319"/>
      <c r="BO17" s="319"/>
      <c r="BP17" s="319"/>
      <c r="BQ17" s="319"/>
      <c r="BR17" s="319"/>
      <c r="BS17" s="319"/>
      <c r="BT17" s="319"/>
      <c r="BU17" s="319"/>
      <c r="BV17" s="319"/>
      <c r="BW17" s="319"/>
      <c r="BX17" s="319"/>
      <c r="BY17" s="319"/>
      <c r="BZ17" s="319"/>
      <c r="CA17" s="319"/>
      <c r="CB17" s="319"/>
      <c r="CC17" s="319"/>
      <c r="CD17" s="319"/>
      <c r="CE17" s="319"/>
      <c r="CF17" s="319"/>
    </row>
    <row r="18" spans="1:84" ht="12.75" hidden="1" customHeight="1">
      <c r="A18" s="12"/>
      <c r="B18" s="329" t="str">
        <f>B8</f>
        <v>Tipo de Combustível</v>
      </c>
      <c r="C18" s="1133" t="s">
        <v>7151</v>
      </c>
      <c r="D18" s="1134"/>
      <c r="E18" s="1135"/>
      <c r="F18" s="1"/>
      <c r="G18" s="1"/>
      <c r="H18" s="1"/>
      <c r="I18" s="1"/>
      <c r="J18" s="1"/>
      <c r="K18" s="9"/>
      <c r="L18" s="1"/>
      <c r="M18" s="319"/>
      <c r="N18" s="319"/>
      <c r="O18" s="319" t="str">
        <f>G1087</f>
        <v>Sistema de ponta não requerido</v>
      </c>
      <c r="P18" s="319"/>
      <c r="Q18" s="319"/>
      <c r="R18" s="319"/>
      <c r="S18" s="319"/>
      <c r="T18" s="319"/>
      <c r="U18" s="319"/>
      <c r="V18" s="319"/>
      <c r="W18" s="319"/>
      <c r="X18" s="319"/>
      <c r="Y18" s="319"/>
      <c r="Z18" s="319"/>
      <c r="AA18" s="319"/>
      <c r="AB18" s="319"/>
      <c r="AC18" s="319"/>
      <c r="AD18" s="319"/>
      <c r="AE18" s="319"/>
      <c r="AF18" s="319"/>
      <c r="AG18" s="319"/>
      <c r="AH18" s="319"/>
      <c r="AI18" s="319"/>
      <c r="AJ18" s="319"/>
      <c r="AK18" s="319"/>
      <c r="AL18" s="319"/>
      <c r="AM18" s="319"/>
      <c r="AN18" s="319"/>
      <c r="AO18" s="319">
        <v>2010106</v>
      </c>
      <c r="AP18" s="319"/>
      <c r="AQ18" s="319"/>
      <c r="AR18" s="319"/>
      <c r="AS18" s="319"/>
      <c r="AT18" s="319"/>
      <c r="AU18" s="319"/>
      <c r="AV18" s="319"/>
      <c r="AW18" s="319"/>
      <c r="AX18" s="319"/>
      <c r="AY18" s="319"/>
      <c r="AZ18" s="319"/>
      <c r="BA18" s="319"/>
      <c r="BB18" s="319"/>
      <c r="BC18" s="319"/>
      <c r="BD18" s="319"/>
      <c r="BE18" s="319"/>
      <c r="BF18" s="319"/>
      <c r="BG18" s="319"/>
      <c r="BH18" s="319"/>
      <c r="BI18" s="319"/>
      <c r="BJ18" s="319"/>
      <c r="BK18" s="319"/>
      <c r="BL18" s="319"/>
      <c r="BM18" s="319"/>
      <c r="BN18" s="319"/>
      <c r="BO18" s="319"/>
      <c r="BP18" s="319"/>
      <c r="BQ18" s="319"/>
      <c r="BR18" s="319"/>
      <c r="BS18" s="319"/>
      <c r="BT18" s="319"/>
      <c r="BU18" s="319"/>
      <c r="BV18" s="319"/>
      <c r="BW18" s="319"/>
      <c r="BX18" s="319"/>
      <c r="BY18" s="319"/>
      <c r="BZ18" s="319"/>
      <c r="CA18" s="319"/>
      <c r="CB18" s="319"/>
      <c r="CC18" s="319"/>
      <c r="CD18" s="319"/>
      <c r="CE18" s="319"/>
      <c r="CF18" s="319"/>
    </row>
    <row r="19" spans="1:84" ht="12.75" hidden="1" customHeight="1">
      <c r="A19" s="12"/>
      <c r="B19" s="329" t="str">
        <f>I42</f>
        <v>Preço do combustível</v>
      </c>
      <c r="C19" s="29" t="str">
        <f>VLOOKUP(C18,$B$1176:$F$1289,3,FALSE)</f>
        <v>€/MWh</v>
      </c>
      <c r="D19" s="410"/>
      <c r="E19" s="1"/>
      <c r="F19" s="1"/>
      <c r="G19" s="1"/>
      <c r="H19" s="1"/>
      <c r="I19" s="1"/>
      <c r="J19" s="1"/>
      <c r="K19" s="9"/>
      <c r="L19" s="1"/>
      <c r="M19" s="319"/>
      <c r="N19" s="319"/>
      <c r="O19" s="319"/>
      <c r="P19" s="319"/>
      <c r="Q19" s="319"/>
      <c r="R19" s="319"/>
      <c r="S19" s="319"/>
      <c r="T19" s="319"/>
      <c r="U19" s="319"/>
      <c r="V19" s="319"/>
      <c r="W19" s="319"/>
      <c r="X19" s="319"/>
      <c r="Y19" s="319"/>
      <c r="Z19" s="319"/>
      <c r="AA19" s="319"/>
      <c r="AB19" s="319"/>
      <c r="AC19" s="319"/>
      <c r="AD19" s="319"/>
      <c r="AE19" s="319"/>
      <c r="AF19" s="319"/>
      <c r="AG19" s="319"/>
      <c r="AH19" s="319"/>
      <c r="AI19" s="319"/>
      <c r="AJ19" s="319"/>
      <c r="AK19" s="319"/>
      <c r="AL19" s="319"/>
      <c r="AM19" s="319"/>
      <c r="AN19" s="319"/>
      <c r="AO19" s="319">
        <v>2010108</v>
      </c>
      <c r="AP19" s="319"/>
      <c r="AQ19" s="319"/>
      <c r="AR19" s="319"/>
      <c r="AS19" s="319"/>
      <c r="AT19" s="319"/>
      <c r="AU19" s="319"/>
      <c r="AV19" s="319"/>
      <c r="AW19" s="319"/>
      <c r="AX19" s="319"/>
      <c r="AY19" s="319"/>
      <c r="AZ19" s="319"/>
      <c r="BA19" s="319"/>
      <c r="BB19" s="319"/>
      <c r="BC19" s="319"/>
      <c r="BD19" s="319"/>
      <c r="BE19" s="319"/>
      <c r="BF19" s="319"/>
      <c r="BG19" s="319"/>
      <c r="BH19" s="319"/>
      <c r="BI19" s="319"/>
      <c r="BJ19" s="319"/>
      <c r="BK19" s="319"/>
      <c r="BL19" s="319"/>
      <c r="BM19" s="319"/>
      <c r="BN19" s="319"/>
      <c r="BO19" s="319"/>
      <c r="BP19" s="319"/>
      <c r="BQ19" s="319"/>
      <c r="BR19" s="319"/>
      <c r="BS19" s="319"/>
      <c r="BT19" s="319"/>
      <c r="BU19" s="319"/>
      <c r="BV19" s="319"/>
      <c r="BW19" s="319"/>
      <c r="BX19" s="319"/>
      <c r="BY19" s="319"/>
      <c r="BZ19" s="319"/>
      <c r="CA19" s="319"/>
      <c r="CB19" s="319"/>
      <c r="CC19" s="319"/>
      <c r="CD19" s="319"/>
      <c r="CE19" s="319"/>
      <c r="CF19" s="319"/>
    </row>
    <row r="20" spans="1:84" ht="12.75" hidden="1" customHeight="1">
      <c r="A20" s="12"/>
      <c r="B20" s="329" t="str">
        <f>Language!C215</f>
        <v>Capacidade sugerida</v>
      </c>
      <c r="C20" s="29" t="str">
        <f>IF(Unit=TRUE,R20,T20)</f>
        <v>kW</v>
      </c>
      <c r="D20" s="140">
        <f>IF(Unit=TRUE,S20,U20)</f>
        <v>0</v>
      </c>
      <c r="E20" s="1"/>
      <c r="F20" s="29" t="str">
        <f>IF($M$3=FALSE,"",IF(Unit=FALSE,R20,T20))</f>
        <v/>
      </c>
      <c r="G20" s="140" t="str">
        <f>IF($M$3=FALSE,"",IF(Unit=FALSE,S20,U20))</f>
        <v/>
      </c>
      <c r="H20" s="1"/>
      <c r="I20" s="1"/>
      <c r="J20" s="1"/>
      <c r="K20" s="9"/>
      <c r="L20" s="1"/>
      <c r="M20" s="319"/>
      <c r="N20" s="319"/>
      <c r="O20" s="319"/>
      <c r="P20" s="319"/>
      <c r="Q20" s="319"/>
      <c r="R20" s="319" t="str">
        <f>Language!C1364</f>
        <v>kW</v>
      </c>
      <c r="S20" s="494">
        <f>IF(R866-S10&lt;0,0,R866-S10)</f>
        <v>0</v>
      </c>
      <c r="T20" s="319" t="str">
        <f>Z1099</f>
        <v>TR</v>
      </c>
      <c r="U20" s="494">
        <f>S20*$AA$1088</f>
        <v>0</v>
      </c>
      <c r="V20" s="319"/>
      <c r="W20" s="319"/>
      <c r="X20" s="319"/>
      <c r="Y20" s="319"/>
      <c r="Z20" s="319"/>
      <c r="AA20" s="319"/>
      <c r="AB20" s="319"/>
      <c r="AC20" s="319"/>
      <c r="AD20" s="319"/>
      <c r="AE20" s="319"/>
      <c r="AF20" s="319"/>
      <c r="AG20" s="319"/>
      <c r="AH20" s="319"/>
      <c r="AI20" s="319"/>
      <c r="AJ20" s="319"/>
      <c r="AK20" s="319"/>
      <c r="AL20" s="319"/>
      <c r="AM20" s="319"/>
      <c r="AN20" s="319"/>
      <c r="AO20" s="319">
        <v>2010109</v>
      </c>
      <c r="AP20" s="319"/>
      <c r="AQ20" s="319"/>
      <c r="AR20" s="319"/>
      <c r="AS20" s="319"/>
      <c r="AT20" s="319"/>
      <c r="AU20" s="319"/>
      <c r="AV20" s="319"/>
      <c r="AW20" s="319"/>
      <c r="AX20" s="319"/>
      <c r="AY20" s="319"/>
      <c r="AZ20" s="319"/>
      <c r="BA20" s="319"/>
      <c r="BB20" s="319"/>
      <c r="BC20" s="319"/>
      <c r="BD20" s="319"/>
      <c r="BE20" s="319"/>
      <c r="BF20" s="319"/>
      <c r="BG20" s="319"/>
      <c r="BH20" s="319"/>
      <c r="BI20" s="319"/>
      <c r="BJ20" s="319"/>
      <c r="BK20" s="319"/>
      <c r="BL20" s="319"/>
      <c r="BM20" s="319"/>
      <c r="BN20" s="319"/>
      <c r="BO20" s="319"/>
      <c r="BP20" s="319"/>
      <c r="BQ20" s="319"/>
      <c r="BR20" s="319"/>
      <c r="BS20" s="319"/>
      <c r="BT20" s="319"/>
      <c r="BU20" s="319"/>
      <c r="BV20" s="319"/>
      <c r="BW20" s="319"/>
      <c r="BX20" s="319"/>
      <c r="BY20" s="319"/>
      <c r="BZ20" s="319"/>
      <c r="CA20" s="319"/>
      <c r="CB20" s="319"/>
      <c r="CC20" s="319"/>
      <c r="CD20" s="319"/>
      <c r="CE20" s="319"/>
      <c r="CF20" s="319"/>
    </row>
    <row r="21" spans="1:84" ht="12.75" hidden="1" customHeight="1">
      <c r="A21" s="12"/>
      <c r="B21" s="329" t="str">
        <f>Language!C202</f>
        <v>Capacidade</v>
      </c>
      <c r="C21" s="303" t="s">
        <v>5700</v>
      </c>
      <c r="D21" s="427"/>
      <c r="E21" s="80" t="e">
        <f>S21/$R$866</f>
        <v>#DIV/0!</v>
      </c>
      <c r="F21" s="1"/>
      <c r="G21" s="1"/>
      <c r="H21" s="1346"/>
      <c r="I21" s="1252" t="str">
        <f>Language!C61</f>
        <v>Ver banco de dados de produtos</v>
      </c>
      <c r="J21" s="1191"/>
      <c r="K21" s="1210"/>
      <c r="L21" s="1"/>
      <c r="M21" s="319"/>
      <c r="N21" s="319"/>
      <c r="O21" s="824"/>
      <c r="P21" s="319" t="str">
        <f>IF(CapaUnit_Cooling2=$Z$1086,$Z$1086,$Z$1087)</f>
        <v>kW</v>
      </c>
      <c r="Q21" s="319"/>
      <c r="R21" s="319" t="s">
        <v>2409</v>
      </c>
      <c r="S21" s="494">
        <f>IF(C21=$Z$1086,D21,IF(C21=$Z$1087,D21/$AA$1087,D21/$AA$1088))</f>
        <v>0</v>
      </c>
      <c r="T21" s="319"/>
      <c r="U21" s="319"/>
      <c r="V21" s="319"/>
      <c r="W21" s="319"/>
      <c r="X21" s="319"/>
      <c r="Y21" s="319"/>
      <c r="Z21" s="319"/>
      <c r="AA21" s="319"/>
      <c r="AB21" s="319"/>
      <c r="AC21" s="319"/>
      <c r="AD21" s="319"/>
      <c r="AE21" s="319"/>
      <c r="AF21" s="319"/>
      <c r="AG21" s="319"/>
      <c r="AH21" s="319"/>
      <c r="AI21" s="319"/>
      <c r="AJ21" s="319"/>
      <c r="AK21" s="319"/>
      <c r="AL21" s="319"/>
      <c r="AM21" s="319"/>
      <c r="AN21" s="319"/>
      <c r="AO21" s="319">
        <v>2010111</v>
      </c>
      <c r="AP21" s="319"/>
      <c r="AQ21" s="319"/>
      <c r="AR21" s="319"/>
      <c r="AS21" s="319"/>
      <c r="AT21" s="319"/>
      <c r="AU21" s="319"/>
      <c r="AV21" s="319"/>
      <c r="AW21" s="319"/>
      <c r="AX21" s="319"/>
      <c r="AY21" s="319"/>
      <c r="AZ21" s="319"/>
      <c r="BA21" s="319"/>
      <c r="BB21" s="319"/>
      <c r="BC21" s="319"/>
      <c r="BD21" s="319"/>
      <c r="BE21" s="319"/>
      <c r="BF21" s="319"/>
      <c r="BG21" s="319"/>
      <c r="BH21" s="319"/>
      <c r="BI21" s="319"/>
      <c r="BJ21" s="319"/>
      <c r="BK21" s="319"/>
      <c r="BL21" s="319"/>
      <c r="BM21" s="319"/>
      <c r="BN21" s="319"/>
      <c r="BO21" s="319"/>
      <c r="BP21" s="319"/>
      <c r="BQ21" s="319"/>
      <c r="BR21" s="319"/>
      <c r="BS21" s="319"/>
      <c r="BT21" s="319"/>
      <c r="BU21" s="319"/>
      <c r="BV21" s="319"/>
      <c r="BW21" s="319"/>
      <c r="BX21" s="319"/>
      <c r="BY21" s="319"/>
      <c r="BZ21" s="319"/>
      <c r="CA21" s="319"/>
      <c r="CB21" s="319"/>
      <c r="CC21" s="319"/>
      <c r="CD21" s="319"/>
      <c r="CE21" s="319"/>
      <c r="CF21" s="319"/>
    </row>
    <row r="22" spans="1:84" ht="12.75" hidden="1" customHeight="1">
      <c r="A22" s="12"/>
      <c r="B22" s="329" t="str">
        <f>B11</f>
        <v>Coeficiente de desempenho - sazonal</v>
      </c>
      <c r="C22" s="29"/>
      <c r="D22" s="310"/>
      <c r="E22" s="1"/>
      <c r="F22" s="1"/>
      <c r="G22" s="1"/>
      <c r="H22" s="1"/>
      <c r="I22" s="1"/>
      <c r="J22" s="1"/>
      <c r="K22" s="9"/>
      <c r="L22" s="1"/>
      <c r="M22" s="319"/>
      <c r="N22" s="319"/>
      <c r="O22" s="319"/>
      <c r="P22" s="319"/>
      <c r="Q22" s="319"/>
      <c r="R22" s="319"/>
      <c r="S22" s="319"/>
      <c r="T22" s="319"/>
      <c r="U22" s="319"/>
      <c r="V22" s="319"/>
      <c r="W22" s="319"/>
      <c r="X22" s="319"/>
      <c r="Y22" s="319"/>
      <c r="Z22" s="319"/>
      <c r="AA22" s="319"/>
      <c r="AB22" s="319"/>
      <c r="AC22" s="319"/>
      <c r="AD22" s="319"/>
      <c r="AE22" s="319"/>
      <c r="AF22" s="319"/>
      <c r="AG22" s="319"/>
      <c r="AH22" s="319"/>
      <c r="AI22" s="319"/>
      <c r="AJ22" s="319"/>
      <c r="AK22" s="319"/>
      <c r="AL22" s="319"/>
      <c r="AM22" s="319"/>
      <c r="AN22" s="319"/>
      <c r="AO22" s="319">
        <v>2010112</v>
      </c>
      <c r="AP22" s="319"/>
      <c r="AQ22" s="319"/>
      <c r="AR22" s="319"/>
      <c r="AS22" s="319"/>
      <c r="AT22" s="319"/>
      <c r="AU22" s="319"/>
      <c r="AV22" s="319"/>
      <c r="AW22" s="319"/>
      <c r="AX22" s="319"/>
      <c r="BA22" s="319"/>
      <c r="BB22" s="319"/>
      <c r="BC22" s="319"/>
      <c r="BD22" s="319"/>
      <c r="BE22" s="319"/>
      <c r="BF22" s="319"/>
      <c r="BG22" s="319"/>
      <c r="BH22" s="319"/>
      <c r="BI22" s="319"/>
      <c r="BJ22" s="319"/>
      <c r="BK22" s="319"/>
      <c r="BL22" s="319"/>
      <c r="BM22" s="319"/>
      <c r="BN22" s="319"/>
      <c r="BO22" s="319"/>
      <c r="BP22" s="319"/>
      <c r="BQ22" s="319"/>
      <c r="BR22" s="319"/>
      <c r="BS22" s="319"/>
      <c r="BT22" s="319"/>
      <c r="BU22" s="319"/>
      <c r="BV22" s="319"/>
      <c r="BW22" s="319"/>
      <c r="BX22" s="319"/>
      <c r="BY22" s="319"/>
      <c r="BZ22" s="319"/>
      <c r="CA22" s="319"/>
      <c r="CB22" s="319"/>
      <c r="CC22" s="319"/>
      <c r="CD22" s="319"/>
      <c r="CE22" s="319"/>
      <c r="CF22" s="319"/>
    </row>
    <row r="23" spans="1:84" ht="12.75" hidden="1" customHeight="1">
      <c r="A23" s="12"/>
      <c r="B23" s="329" t="str">
        <f>B12</f>
        <v>Fabricante</v>
      </c>
      <c r="C23" s="1152"/>
      <c r="D23" s="1153"/>
      <c r="E23" s="1154"/>
      <c r="F23" s="1"/>
      <c r="G23" s="1"/>
      <c r="H23" s="1"/>
      <c r="I23" s="1"/>
      <c r="J23" s="1"/>
      <c r="K23" s="9"/>
      <c r="L23" s="1"/>
      <c r="M23" s="319"/>
      <c r="N23" s="319"/>
      <c r="O23" s="319"/>
      <c r="P23" s="319"/>
      <c r="Q23" s="319"/>
      <c r="R23" s="319"/>
      <c r="S23" s="319"/>
      <c r="T23" s="319"/>
      <c r="U23" s="319"/>
      <c r="V23" s="319"/>
      <c r="W23" s="319"/>
      <c r="X23" s="319"/>
      <c r="Y23" s="319"/>
      <c r="Z23" s="319"/>
      <c r="AA23" s="319"/>
      <c r="AB23" s="319"/>
      <c r="AC23" s="319"/>
      <c r="AD23" s="319"/>
      <c r="AE23" s="319"/>
      <c r="AF23" s="319"/>
      <c r="AG23" s="319"/>
      <c r="AH23" s="319"/>
      <c r="AI23" s="319"/>
      <c r="AJ23" s="319"/>
      <c r="AK23" s="319"/>
      <c r="AL23" s="319"/>
      <c r="AM23" s="319"/>
      <c r="AN23" s="319"/>
      <c r="AO23" s="319">
        <v>2050012</v>
      </c>
      <c r="AP23" s="319"/>
      <c r="AQ23" s="319"/>
      <c r="AR23" s="319"/>
      <c r="AS23" s="319"/>
      <c r="AT23" s="319"/>
      <c r="AU23" s="319"/>
      <c r="AV23" s="319"/>
      <c r="AW23" s="319"/>
      <c r="AX23" s="319"/>
      <c r="BA23" s="319"/>
      <c r="BB23" s="319"/>
      <c r="BC23" s="319"/>
      <c r="BD23" s="319"/>
      <c r="BE23" s="319"/>
      <c r="BF23" s="319"/>
      <c r="BG23" s="319"/>
      <c r="BH23" s="319"/>
      <c r="BI23" s="319"/>
      <c r="BJ23" s="319"/>
      <c r="BK23" s="319"/>
      <c r="BL23" s="319"/>
      <c r="BM23" s="319"/>
      <c r="BN23" s="319"/>
      <c r="BO23" s="319"/>
      <c r="BP23" s="319"/>
      <c r="BQ23" s="319"/>
      <c r="BR23" s="319"/>
      <c r="BS23" s="319"/>
      <c r="BT23" s="319"/>
      <c r="BU23" s="319"/>
      <c r="BV23" s="319"/>
      <c r="BW23" s="319"/>
      <c r="BX23" s="319"/>
      <c r="BY23" s="319"/>
      <c r="BZ23" s="319"/>
      <c r="CA23" s="319"/>
      <c r="CB23" s="319"/>
      <c r="CC23" s="319"/>
      <c r="CD23" s="319"/>
      <c r="CE23" s="319"/>
      <c r="CF23" s="319"/>
    </row>
    <row r="24" spans="1:84" ht="12.75" hidden="1" customHeight="1">
      <c r="A24" s="12"/>
      <c r="B24" s="329" t="str">
        <f>B13</f>
        <v>Modelo</v>
      </c>
      <c r="C24" s="1152"/>
      <c r="D24" s="1153"/>
      <c r="E24" s="1154"/>
      <c r="F24" s="1" t="str">
        <f>$J$1063 &amp; Lang_Unit</f>
        <v>1 unidade(s)</v>
      </c>
      <c r="G24" s="1"/>
      <c r="H24" s="1"/>
      <c r="I24" s="1"/>
      <c r="J24" s="1"/>
      <c r="K24" s="9"/>
      <c r="L24" s="1"/>
      <c r="M24" s="319"/>
      <c r="N24" s="319"/>
      <c r="O24" s="319"/>
      <c r="P24" s="319"/>
      <c r="Q24" s="319"/>
      <c r="R24" s="319"/>
      <c r="S24" s="319"/>
      <c r="T24" s="319"/>
      <c r="U24" s="319"/>
      <c r="V24" s="319"/>
      <c r="W24" s="319"/>
      <c r="X24" s="319"/>
      <c r="Y24" s="319"/>
      <c r="Z24" s="319"/>
      <c r="AA24" s="319"/>
      <c r="AB24" s="319"/>
      <c r="AC24" s="319"/>
      <c r="AD24" s="319"/>
      <c r="AE24" s="319"/>
      <c r="AF24" s="319"/>
      <c r="AG24" s="319"/>
      <c r="AH24" s="319"/>
      <c r="AI24" s="319"/>
      <c r="AJ24" s="319"/>
      <c r="AK24" s="319"/>
      <c r="AL24" s="319"/>
      <c r="AM24" s="319"/>
      <c r="AN24" s="319"/>
      <c r="AO24" s="319">
        <v>2050014</v>
      </c>
      <c r="AP24" s="319"/>
      <c r="AQ24" s="319"/>
      <c r="AR24" s="319"/>
      <c r="AS24" s="319"/>
      <c r="AT24" s="319"/>
      <c r="AU24" s="319"/>
      <c r="AV24" s="319"/>
      <c r="AW24" s="319"/>
      <c r="AX24" s="319"/>
      <c r="BA24" s="319"/>
      <c r="BB24" s="319"/>
      <c r="BC24" s="319"/>
      <c r="BD24" s="319"/>
      <c r="BE24" s="319"/>
      <c r="BF24" s="319"/>
      <c r="BG24" s="319"/>
      <c r="BH24" s="319"/>
      <c r="BI24" s="319"/>
      <c r="BJ24" s="319"/>
      <c r="BK24" s="319"/>
      <c r="BL24" s="319"/>
      <c r="BM24" s="319"/>
      <c r="BN24" s="319"/>
      <c r="BO24" s="319"/>
      <c r="BP24" s="319"/>
      <c r="BQ24" s="319"/>
      <c r="BR24" s="319"/>
      <c r="BS24" s="319"/>
      <c r="BT24" s="319"/>
      <c r="BU24" s="319"/>
      <c r="BV24" s="319"/>
      <c r="BW24" s="319"/>
      <c r="BX24" s="319"/>
      <c r="BY24" s="319"/>
      <c r="BZ24" s="319"/>
      <c r="CA24" s="319"/>
      <c r="CB24" s="319"/>
      <c r="CC24" s="319"/>
      <c r="CD24" s="319"/>
      <c r="CE24" s="319"/>
      <c r="CF24" s="319"/>
    </row>
    <row r="25" spans="1:84" ht="12.75" hidden="1" customHeight="1">
      <c r="A25" s="14"/>
      <c r="B25" s="380" t="str">
        <f>B14</f>
        <v>Frio fornecido</v>
      </c>
      <c r="C25" s="33" t="str">
        <f>IF(Unit=TRUE,R25,T25)</f>
        <v>MWh</v>
      </c>
      <c r="D25" s="34">
        <f>IF(Unit=TRUE,S25,U25)</f>
        <v>0</v>
      </c>
      <c r="E25" s="81" t="e">
        <f>S25/$R$867</f>
        <v>#DIV/0!</v>
      </c>
      <c r="F25" s="33" t="str">
        <f>IF($M$3=FALSE,"",IF(Unit=FALSE,R25,T25))</f>
        <v/>
      </c>
      <c r="G25" s="34" t="str">
        <f>IF($M$3=FALSE,"",IF(Unit=FALSE,S25,U25))</f>
        <v/>
      </c>
      <c r="H25" s="15"/>
      <c r="I25" s="15"/>
      <c r="J25" s="15"/>
      <c r="K25" s="11"/>
      <c r="L25" s="1"/>
      <c r="M25" s="319"/>
      <c r="N25" s="319"/>
      <c r="O25" s="319"/>
      <c r="P25" s="319"/>
      <c r="Q25" s="319"/>
      <c r="R25" s="319" t="str">
        <f>$R$14</f>
        <v>MWh</v>
      </c>
      <c r="S25" s="494">
        <f>'Carga e Rede'!AO335</f>
        <v>0</v>
      </c>
      <c r="T25" s="319" t="str">
        <f>T14</f>
        <v>TRh</v>
      </c>
      <c r="U25" s="494">
        <f>S25*$AA$1088*1000</f>
        <v>0</v>
      </c>
      <c r="V25" s="319"/>
      <c r="W25" s="319"/>
      <c r="X25" s="319"/>
      <c r="Y25" s="319"/>
      <c r="Z25" s="319"/>
      <c r="AA25" s="319"/>
      <c r="AB25" s="319"/>
      <c r="AC25" s="319"/>
      <c r="AD25" s="319"/>
      <c r="AE25" s="319"/>
      <c r="AF25" s="319"/>
      <c r="AG25" s="319"/>
      <c r="AH25" s="319"/>
      <c r="AI25" s="319"/>
      <c r="AJ25" s="319"/>
      <c r="AK25" s="319"/>
      <c r="AL25" s="319"/>
      <c r="AM25" s="319"/>
      <c r="AN25" s="319"/>
      <c r="AO25" s="319">
        <v>2010118</v>
      </c>
      <c r="AP25" s="319"/>
      <c r="AQ25" s="319"/>
      <c r="AR25" s="319"/>
      <c r="AS25" s="319"/>
      <c r="AT25" s="319"/>
      <c r="AU25" s="319"/>
      <c r="AV25" s="319"/>
      <c r="AW25" s="319"/>
      <c r="AX25" s="319"/>
      <c r="BA25" s="319"/>
      <c r="BB25" s="319"/>
      <c r="BC25" s="319"/>
      <c r="BD25" s="319"/>
      <c r="BE25" s="319"/>
      <c r="BF25" s="319"/>
      <c r="BG25" s="319"/>
      <c r="BH25" s="319"/>
      <c r="BI25" s="319"/>
      <c r="BJ25" s="319"/>
      <c r="BK25" s="319"/>
      <c r="BL25" s="319"/>
      <c r="BM25" s="319"/>
      <c r="BN25" s="319"/>
      <c r="BO25" s="319"/>
      <c r="BP25" s="319"/>
      <c r="BQ25" s="319"/>
      <c r="BR25" s="319"/>
      <c r="BS25" s="319"/>
      <c r="BT25" s="319"/>
      <c r="BU25" s="319"/>
      <c r="BV25" s="319"/>
      <c r="BW25" s="319"/>
      <c r="BX25" s="319"/>
      <c r="BY25" s="319"/>
      <c r="BZ25" s="319"/>
      <c r="CA25" s="319"/>
      <c r="CB25" s="319"/>
      <c r="CC25" s="319"/>
      <c r="CD25" s="319"/>
      <c r="CE25" s="319"/>
      <c r="CF25" s="319"/>
    </row>
    <row r="26" spans="1:84" ht="12.75" hidden="1" customHeight="1">
      <c r="A26" s="5"/>
      <c r="B26" s="5"/>
      <c r="C26" s="5"/>
      <c r="D26" s="5"/>
      <c r="E26" s="5"/>
      <c r="F26" s="5"/>
      <c r="G26" s="5"/>
      <c r="H26" s="5"/>
      <c r="I26" s="5"/>
      <c r="J26" s="5"/>
      <c r="K26" s="5"/>
      <c r="L26" s="1"/>
      <c r="M26" s="319"/>
      <c r="N26" s="319"/>
      <c r="O26" s="319"/>
      <c r="P26" s="319"/>
      <c r="Q26" s="319"/>
      <c r="R26" s="319"/>
      <c r="S26" s="319"/>
      <c r="T26" s="319"/>
      <c r="U26" s="319"/>
      <c r="V26" s="319"/>
      <c r="W26" s="319"/>
      <c r="X26" s="319"/>
      <c r="Y26" s="319"/>
      <c r="Z26" s="319"/>
      <c r="AA26" s="319"/>
      <c r="AB26" s="319"/>
      <c r="AC26" s="319"/>
      <c r="AD26" s="319"/>
      <c r="AE26" s="319"/>
      <c r="AF26" s="319"/>
      <c r="AG26" s="319"/>
      <c r="AH26" s="319"/>
      <c r="AI26" s="319"/>
      <c r="AJ26" s="319"/>
      <c r="AK26" s="319"/>
      <c r="AL26" s="319"/>
      <c r="AM26" s="319"/>
      <c r="AN26" s="319"/>
      <c r="AO26" s="319">
        <v>2000000</v>
      </c>
      <c r="AP26" s="319"/>
      <c r="AQ26" s="319"/>
      <c r="AR26" s="319"/>
      <c r="AS26" s="319"/>
      <c r="AT26" s="319"/>
      <c r="AU26" s="319"/>
      <c r="AV26" s="319"/>
      <c r="AW26" s="319"/>
      <c r="AX26" s="319"/>
      <c r="AY26" s="319"/>
      <c r="AZ26" s="319"/>
      <c r="BA26" s="319"/>
      <c r="BB26" s="319"/>
      <c r="BC26" s="319"/>
      <c r="BD26" s="319"/>
      <c r="BE26" s="319"/>
      <c r="BF26" s="319"/>
      <c r="BG26" s="319"/>
      <c r="BH26" s="319"/>
      <c r="BI26" s="319"/>
      <c r="BJ26" s="319"/>
      <c r="BK26" s="319"/>
      <c r="BL26" s="319"/>
      <c r="BM26" s="319"/>
      <c r="BN26" s="319"/>
      <c r="BO26" s="319"/>
      <c r="BP26" s="319"/>
      <c r="BQ26" s="319"/>
      <c r="BR26" s="319"/>
      <c r="BS26" s="319"/>
      <c r="BT26" s="319"/>
      <c r="BU26" s="319"/>
      <c r="BV26" s="319"/>
      <c r="BW26" s="319"/>
      <c r="BX26" s="319"/>
      <c r="BY26" s="319"/>
      <c r="BZ26" s="319"/>
      <c r="CA26" s="319"/>
      <c r="CB26" s="319"/>
      <c r="CC26" s="319"/>
      <c r="CD26" s="319"/>
      <c r="CE26" s="319"/>
      <c r="CF26" s="319"/>
    </row>
    <row r="27" spans="1:84" ht="14.1" hidden="1" customHeight="1">
      <c r="A27" s="1174" t="str">
        <f>Language!C407</f>
        <v>Sitema de aquecimento do caso proposto</v>
      </c>
      <c r="B27" s="1175"/>
      <c r="C27" s="25"/>
      <c r="D27" s="25"/>
      <c r="E27" s="25"/>
      <c r="F27" s="25"/>
      <c r="G27" s="25"/>
      <c r="H27" s="26" t="str">
        <f>F4</f>
        <v>Custo inicial incremental</v>
      </c>
      <c r="I27" s="25"/>
      <c r="J27" s="25"/>
      <c r="K27" s="27"/>
      <c r="L27" s="1"/>
      <c r="M27" s="319">
        <f>HideCode_projectType</f>
        <v>2</v>
      </c>
      <c r="N27" s="319"/>
      <c r="O27" s="319" t="s">
        <v>5319</v>
      </c>
      <c r="P27" s="319"/>
      <c r="Q27" s="319"/>
      <c r="R27" s="319"/>
      <c r="S27" s="319"/>
      <c r="T27" s="319"/>
      <c r="U27" s="319"/>
      <c r="V27" s="319"/>
      <c r="W27" s="319"/>
      <c r="X27" s="319"/>
      <c r="Y27" s="319"/>
      <c r="Z27" s="319"/>
      <c r="AA27" s="319"/>
      <c r="AB27" s="319"/>
      <c r="AC27" s="319"/>
      <c r="AD27" s="319"/>
      <c r="AE27" s="319"/>
      <c r="AF27" s="319"/>
      <c r="AG27" s="319"/>
      <c r="AH27" s="319"/>
      <c r="AI27" s="319"/>
      <c r="AJ27" s="319"/>
      <c r="AK27" s="319"/>
      <c r="AL27" s="319"/>
      <c r="AM27" s="319"/>
      <c r="AN27" s="319"/>
      <c r="AO27" s="319">
        <v>2020000</v>
      </c>
      <c r="AP27" s="319"/>
      <c r="AQ27" s="319"/>
      <c r="AR27" s="319"/>
      <c r="AS27" s="319"/>
      <c r="AT27" s="319"/>
      <c r="AU27" s="319"/>
      <c r="AV27" s="319"/>
      <c r="AW27" s="319"/>
      <c r="AX27" s="319"/>
      <c r="AY27" s="319"/>
      <c r="AZ27" s="319"/>
      <c r="BA27" s="319"/>
      <c r="BB27" s="319"/>
      <c r="BC27" s="319"/>
      <c r="BD27" s="319"/>
      <c r="BE27" s="319"/>
      <c r="BF27" s="319"/>
      <c r="BG27" s="319"/>
      <c r="BH27" s="319"/>
      <c r="BI27" s="319"/>
      <c r="BJ27" s="319"/>
      <c r="BK27" s="319"/>
      <c r="BL27" s="319"/>
      <c r="BM27" s="319"/>
      <c r="BN27" s="319"/>
      <c r="BO27" s="319"/>
      <c r="BP27" s="319"/>
      <c r="BQ27" s="319"/>
      <c r="BR27" s="319"/>
      <c r="BS27" s="319"/>
      <c r="BT27" s="319"/>
      <c r="BU27" s="319"/>
      <c r="BV27" s="319"/>
      <c r="BW27" s="319"/>
      <c r="BX27" s="319"/>
      <c r="BY27" s="319"/>
      <c r="BZ27" s="319"/>
      <c r="CA27" s="319"/>
      <c r="CB27" s="319"/>
      <c r="CC27" s="319"/>
      <c r="CD27" s="319"/>
      <c r="CE27" s="319"/>
      <c r="CF27" s="319"/>
    </row>
    <row r="28" spans="1:84" ht="12.75" hidden="1" customHeight="1">
      <c r="A28" s="12"/>
      <c r="B28" s="1" t="str">
        <f>Language!C408</f>
        <v>Seleção do Sistema</v>
      </c>
      <c r="C28" s="1133" t="s">
        <v>6142</v>
      </c>
      <c r="D28" s="1134"/>
      <c r="E28" s="1135"/>
      <c r="F28" s="1"/>
      <c r="G28" s="1"/>
      <c r="H28" s="1"/>
      <c r="I28" s="1"/>
      <c r="J28" s="1"/>
      <c r="K28" s="9"/>
      <c r="L28" s="1"/>
      <c r="M28" s="319">
        <f>IF(C28="",1,MATCH(C28,ES_TypeBI,0))</f>
        <v>1</v>
      </c>
      <c r="N28" s="319"/>
      <c r="O28" s="319" t="s">
        <v>5606</v>
      </c>
      <c r="P28" s="319"/>
      <c r="Q28" s="319"/>
      <c r="R28" s="319"/>
      <c r="S28" s="319"/>
      <c r="T28" s="319"/>
      <c r="U28" s="319"/>
      <c r="V28" s="319"/>
      <c r="W28" s="319"/>
      <c r="X28" s="319"/>
      <c r="Y28" s="319"/>
      <c r="Z28" s="319"/>
      <c r="AA28" s="319"/>
      <c r="AB28" s="319"/>
      <c r="AC28" s="319"/>
      <c r="AD28" s="319"/>
      <c r="AE28" s="319"/>
      <c r="AF28" s="319"/>
      <c r="AG28" s="319"/>
      <c r="AH28" s="319"/>
      <c r="AI28" s="319"/>
      <c r="AJ28" s="319"/>
      <c r="AK28" s="319"/>
      <c r="AL28" s="319"/>
      <c r="AM28" s="319"/>
      <c r="AN28" s="319"/>
      <c r="AO28" s="319">
        <v>2020002</v>
      </c>
      <c r="AP28" s="319"/>
      <c r="AQ28" s="319"/>
      <c r="AR28" s="319"/>
      <c r="AS28" s="319"/>
      <c r="AT28" s="319"/>
      <c r="AU28" s="319"/>
      <c r="AV28" s="319"/>
      <c r="AW28" s="319"/>
      <c r="AX28" s="319"/>
      <c r="AY28" s="319"/>
      <c r="AZ28" s="319"/>
      <c r="BA28" s="319"/>
      <c r="BB28" s="319"/>
      <c r="BC28" s="319"/>
      <c r="BD28" s="319"/>
      <c r="BE28" s="319"/>
      <c r="BF28" s="319"/>
      <c r="BG28" s="319"/>
      <c r="BH28" s="319"/>
      <c r="BI28" s="319"/>
      <c r="BJ28" s="319"/>
      <c r="BK28" s="319"/>
      <c r="BL28" s="319"/>
      <c r="BM28" s="319"/>
      <c r="BN28" s="319"/>
      <c r="BO28" s="319"/>
      <c r="BP28" s="319"/>
      <c r="BQ28" s="319"/>
      <c r="BR28" s="319"/>
      <c r="BS28" s="319"/>
      <c r="BT28" s="319"/>
      <c r="BU28" s="319"/>
      <c r="BV28" s="319"/>
      <c r="BW28" s="319"/>
      <c r="BX28" s="319"/>
      <c r="BY28" s="319"/>
      <c r="BZ28" s="319"/>
      <c r="CA28" s="319"/>
      <c r="CB28" s="319"/>
      <c r="CC28" s="319"/>
      <c r="CD28" s="319"/>
      <c r="CE28" s="319"/>
      <c r="CF28" s="319"/>
    </row>
    <row r="29" spans="1:84" ht="14.1" customHeight="1">
      <c r="A29" s="1174" t="str">
        <f>Language!C409</f>
        <v>Sistema de eletricidade do caso proposto</v>
      </c>
      <c r="B29" s="1175"/>
      <c r="C29" s="25"/>
      <c r="D29" s="25"/>
      <c r="E29" s="25"/>
      <c r="F29" s="25"/>
      <c r="G29" s="25"/>
      <c r="H29" s="26" t="str">
        <f>F4</f>
        <v>Custo inicial incremental</v>
      </c>
      <c r="I29" s="25"/>
      <c r="J29" s="25"/>
      <c r="K29" s="27"/>
      <c r="L29" s="1"/>
      <c r="M29" s="319">
        <f>HideCodeEM_1+HideCodeES_PSS*123</f>
        <v>21056</v>
      </c>
      <c r="N29" s="319"/>
      <c r="O29" s="319" t="s">
        <v>5725</v>
      </c>
      <c r="P29" s="319">
        <f>IF(OR(EM_gridtype=1,EM_gridtype=3),100,0)+M31</f>
        <v>102</v>
      </c>
      <c r="Q29" s="319"/>
      <c r="R29" s="319"/>
      <c r="S29" s="319"/>
      <c r="T29" s="319"/>
      <c r="U29" s="319"/>
      <c r="V29" s="319"/>
      <c r="W29" s="319"/>
      <c r="X29" s="319"/>
      <c r="Y29" s="319"/>
      <c r="Z29" s="319"/>
      <c r="AA29" s="319"/>
      <c r="AB29" s="319"/>
      <c r="AC29" s="319"/>
      <c r="AD29" s="319"/>
      <c r="AE29" s="319"/>
      <c r="AF29" s="319"/>
      <c r="AG29" s="319"/>
      <c r="AH29" s="319"/>
      <c r="AI29" s="319"/>
      <c r="AJ29" s="319"/>
      <c r="AK29" s="319"/>
      <c r="AL29" s="319"/>
      <c r="AM29" s="319"/>
      <c r="AN29" s="319"/>
      <c r="AO29" s="319">
        <v>2030000</v>
      </c>
      <c r="AP29" s="319"/>
      <c r="AQ29" s="319"/>
      <c r="AR29" s="319"/>
      <c r="AS29" s="319"/>
      <c r="AT29" s="319"/>
      <c r="AU29" s="319"/>
      <c r="AV29" s="319"/>
      <c r="AW29" s="319"/>
      <c r="AX29" s="319"/>
      <c r="AY29" s="319"/>
      <c r="AZ29" s="319"/>
      <c r="BA29" s="319"/>
      <c r="BB29" s="319"/>
      <c r="BC29" s="319"/>
      <c r="BD29" s="319"/>
      <c r="BE29" s="319"/>
      <c r="BF29" s="319"/>
      <c r="BG29" s="319"/>
      <c r="BH29" s="319"/>
      <c r="BI29" s="319"/>
      <c r="BJ29" s="319"/>
      <c r="BK29" s="319"/>
      <c r="BL29" s="319"/>
      <c r="BM29" s="319"/>
      <c r="BN29" s="319"/>
      <c r="BO29" s="319"/>
      <c r="BP29" s="319"/>
      <c r="BQ29" s="319"/>
      <c r="BR29" s="319"/>
      <c r="BS29" s="319"/>
      <c r="BT29" s="319"/>
      <c r="BU29" s="319"/>
      <c r="BV29" s="319"/>
      <c r="BW29" s="319"/>
      <c r="BX29" s="319"/>
      <c r="BY29" s="319"/>
      <c r="BZ29" s="319"/>
      <c r="CA29" s="319"/>
      <c r="CB29" s="319"/>
      <c r="CC29" s="319"/>
      <c r="CD29" s="319"/>
      <c r="CE29" s="319"/>
      <c r="CF29" s="319"/>
    </row>
    <row r="30" spans="1:84" ht="12.75" hidden="1" customHeight="1">
      <c r="A30" s="12"/>
      <c r="B30" s="1" t="str">
        <f>Language!C408</f>
        <v>Seleção do Sistema</v>
      </c>
      <c r="C30" s="1133" t="s">
        <v>6142</v>
      </c>
      <c r="D30" s="1134"/>
      <c r="E30" s="1135"/>
      <c r="F30" s="1"/>
      <c r="G30" s="1"/>
      <c r="H30" s="1"/>
      <c r="I30" s="1"/>
      <c r="J30" s="1"/>
      <c r="K30" s="9"/>
      <c r="L30" s="1"/>
      <c r="M30" s="319">
        <f>IF(C30=G1074,2,1)</f>
        <v>1</v>
      </c>
      <c r="N30" s="319"/>
      <c r="O30" s="319" t="s">
        <v>4121</v>
      </c>
      <c r="P30" s="319"/>
      <c r="Q30" s="319"/>
      <c r="R30" s="319"/>
      <c r="S30" s="319"/>
      <c r="T30" s="319"/>
      <c r="U30" s="319"/>
      <c r="V30" s="319"/>
      <c r="W30" s="319"/>
      <c r="X30" s="319"/>
      <c r="Y30" s="319"/>
      <c r="Z30" s="319"/>
      <c r="AA30" s="319"/>
      <c r="AB30" s="319"/>
      <c r="AC30" s="319"/>
      <c r="AD30" s="319"/>
      <c r="AE30" s="319"/>
      <c r="AF30" s="319"/>
      <c r="AG30" s="319"/>
      <c r="AH30" s="319"/>
      <c r="AI30" s="319"/>
      <c r="AJ30" s="319"/>
      <c r="AK30" s="319"/>
      <c r="AL30" s="319"/>
      <c r="AM30" s="319"/>
      <c r="AN30" s="319"/>
      <c r="AO30" s="319">
        <v>2030002</v>
      </c>
      <c r="AP30" s="319"/>
      <c r="AQ30" s="319"/>
      <c r="AR30" s="319"/>
      <c r="AS30" s="319"/>
      <c r="AT30" s="319"/>
      <c r="AU30" s="319"/>
      <c r="AV30" s="319"/>
      <c r="AW30" s="319"/>
      <c r="AX30" s="319"/>
      <c r="AY30" s="319"/>
      <c r="AZ30" s="319"/>
      <c r="BA30" s="319"/>
      <c r="BB30" s="319"/>
      <c r="BC30" s="319"/>
      <c r="BD30" s="319"/>
      <c r="BE30" s="319"/>
      <c r="BF30" s="319"/>
      <c r="BG30" s="319"/>
      <c r="BH30" s="319"/>
      <c r="BI30" s="319"/>
      <c r="BJ30" s="319"/>
      <c r="BK30" s="319"/>
      <c r="BL30" s="319"/>
      <c r="BM30" s="319"/>
      <c r="BN30" s="319"/>
      <c r="BO30" s="319"/>
      <c r="BP30" s="319"/>
      <c r="BQ30" s="319"/>
      <c r="BR30" s="319"/>
      <c r="BS30" s="319"/>
      <c r="BT30" s="319"/>
      <c r="BU30" s="319"/>
      <c r="BV30" s="319"/>
      <c r="BW30" s="319"/>
      <c r="BX30" s="319"/>
      <c r="BY30" s="319"/>
      <c r="BZ30" s="319"/>
      <c r="CA30" s="319"/>
      <c r="CB30" s="319"/>
      <c r="CC30" s="319"/>
      <c r="CD30" s="319"/>
      <c r="CE30" s="319"/>
      <c r="CF30" s="319"/>
    </row>
    <row r="31" spans="1:84" ht="12.75" customHeight="1">
      <c r="A31" s="194"/>
      <c r="B31" s="28" t="str">
        <f>IF(M31=2,"",IF(M31=10,IF(C854=E1094,Language!C199,Language!C209),(IF(OR(HideCode_projectType3=1,HideCode_projectType3=6),Language!C218,IF(C30=G1073,Language!C199,IF(C854=E1094,Language!C199,Language!C209))))))</f>
        <v/>
      </c>
      <c r="C31" s="1"/>
      <c r="D31" s="1"/>
      <c r="E31" s="1"/>
      <c r="F31" s="1"/>
      <c r="G31" s="1"/>
      <c r="H31" s="1"/>
      <c r="I31" s="1"/>
      <c r="J31" s="1"/>
      <c r="K31" s="9"/>
      <c r="L31" s="1"/>
      <c r="M31" s="319">
        <f>Iniciar!P20</f>
        <v>2</v>
      </c>
      <c r="N31" s="319"/>
      <c r="O31" s="319"/>
      <c r="P31" s="319"/>
      <c r="Q31" s="319"/>
      <c r="R31" s="319"/>
      <c r="S31" s="319"/>
      <c r="T31" s="319"/>
      <c r="U31" s="319"/>
      <c r="V31" s="319"/>
      <c r="W31" s="319"/>
      <c r="X31" s="319"/>
      <c r="Y31" s="319"/>
      <c r="Z31" s="319"/>
      <c r="AA31" s="319"/>
      <c r="AB31" s="319"/>
      <c r="AC31" s="319"/>
      <c r="AD31" s="319"/>
      <c r="AE31" s="319"/>
      <c r="AF31" s="319"/>
      <c r="AG31" s="319"/>
      <c r="AH31" s="319"/>
      <c r="AI31" s="319"/>
      <c r="AJ31" s="319"/>
      <c r="AK31" s="319"/>
      <c r="AL31" s="319"/>
      <c r="AM31" s="319"/>
      <c r="AN31" s="319"/>
      <c r="AO31" s="319">
        <v>2020004</v>
      </c>
      <c r="AP31" s="319"/>
      <c r="AQ31" s="319"/>
      <c r="AR31" s="319"/>
      <c r="AS31" s="319"/>
      <c r="AT31" s="319"/>
      <c r="AU31" s="319"/>
      <c r="AV31" s="319"/>
      <c r="AW31" s="319"/>
      <c r="AX31" s="319"/>
      <c r="AY31" s="319"/>
      <c r="AZ31" s="319"/>
      <c r="BA31" s="319"/>
      <c r="BB31" s="319"/>
      <c r="BC31" s="319"/>
      <c r="BD31" s="319"/>
      <c r="BE31" s="319"/>
      <c r="BF31" s="319"/>
      <c r="BG31" s="319"/>
      <c r="BH31" s="319"/>
      <c r="BI31" s="319"/>
      <c r="BJ31" s="319"/>
      <c r="BK31" s="319"/>
      <c r="BL31" s="319"/>
      <c r="BM31" s="319"/>
      <c r="BN31" s="319"/>
      <c r="BO31" s="319"/>
      <c r="BP31" s="319"/>
      <c r="BQ31" s="319"/>
      <c r="BR31" s="319"/>
      <c r="BS31" s="319"/>
      <c r="BT31" s="319"/>
      <c r="BU31" s="319"/>
      <c r="BV31" s="319"/>
      <c r="BW31" s="319"/>
      <c r="BX31" s="319"/>
      <c r="BY31" s="319"/>
      <c r="BZ31" s="319"/>
      <c r="CA31" s="319"/>
      <c r="CB31" s="319"/>
      <c r="CC31" s="319"/>
      <c r="CD31" s="319"/>
      <c r="CE31" s="319"/>
      <c r="CF31" s="319"/>
    </row>
    <row r="32" spans="1:84" ht="12.75" hidden="1" customHeight="1">
      <c r="A32" s="12"/>
      <c r="B32" s="1" t="str">
        <f>B6</f>
        <v>Tecnologia</v>
      </c>
      <c r="C32" s="1133" t="s">
        <v>6409</v>
      </c>
      <c r="D32" s="1134"/>
      <c r="E32" s="1135"/>
      <c r="F32" s="1"/>
      <c r="G32" s="1"/>
      <c r="H32" s="1"/>
      <c r="I32" s="1"/>
      <c r="J32" s="1"/>
      <c r="K32" s="9"/>
      <c r="L32" s="1"/>
      <c r="M32" s="319">
        <f>IF(C32="",1,IF(ISERROR(MATCH(C32,E1079:E1084,0)),1,MATCH(C32,E1079:E1084,0)))</f>
        <v>1</v>
      </c>
      <c r="N32" s="319"/>
      <c r="O32" s="319" t="s">
        <v>2866</v>
      </c>
      <c r="P32" s="319"/>
      <c r="Q32" s="319"/>
      <c r="R32" s="319"/>
      <c r="S32" s="319"/>
      <c r="T32" s="319"/>
      <c r="U32" s="319"/>
      <c r="V32" s="319"/>
      <c r="W32" s="319"/>
      <c r="X32" s="319"/>
      <c r="Y32" s="319"/>
      <c r="Z32" s="319"/>
      <c r="AA32" s="319"/>
      <c r="AB32" s="319"/>
      <c r="AC32" s="319"/>
      <c r="AD32" s="319"/>
      <c r="AE32" s="319"/>
      <c r="AF32" s="319"/>
      <c r="AG32" s="319"/>
      <c r="AH32" s="319"/>
      <c r="AI32" s="319"/>
      <c r="AJ32" s="319"/>
      <c r="AK32" s="319"/>
      <c r="AL32" s="319"/>
      <c r="AM32" s="319"/>
      <c r="AN32" s="319"/>
      <c r="AO32" s="319">
        <v>2020104</v>
      </c>
      <c r="AP32" s="319"/>
      <c r="AQ32" s="319"/>
      <c r="AR32" s="319"/>
      <c r="AS32" s="319"/>
      <c r="AT32" s="319"/>
      <c r="AU32" s="319"/>
      <c r="AV32" s="319"/>
      <c r="AW32" s="319"/>
      <c r="AX32" s="319"/>
      <c r="AY32" s="319"/>
      <c r="AZ32" s="319"/>
      <c r="BA32" s="319"/>
      <c r="BB32" s="319"/>
      <c r="BC32" s="319"/>
      <c r="BD32" s="319"/>
      <c r="BE32" s="319"/>
      <c r="BF32" s="319"/>
      <c r="BG32" s="319"/>
      <c r="BH32" s="319"/>
      <c r="BI32" s="319"/>
      <c r="BJ32" s="319"/>
      <c r="BK32" s="319"/>
      <c r="BL32" s="319"/>
      <c r="BM32" s="319"/>
      <c r="BN32" s="319"/>
      <c r="BO32" s="319"/>
      <c r="BP32" s="319"/>
      <c r="BQ32" s="319"/>
      <c r="BR32" s="319"/>
      <c r="BS32" s="319"/>
      <c r="BT32" s="319"/>
      <c r="BU32" s="319"/>
      <c r="BV32" s="319"/>
      <c r="BW32" s="319"/>
      <c r="BX32" s="319"/>
      <c r="BY32" s="319"/>
      <c r="BZ32" s="319"/>
      <c r="CA32" s="319"/>
      <c r="CB32" s="319"/>
      <c r="CC32" s="319"/>
      <c r="CD32" s="319"/>
      <c r="CE32" s="319"/>
      <c r="CF32" s="319"/>
    </row>
    <row r="33" spans="1:84" ht="12.75" hidden="1" customHeight="1">
      <c r="A33" s="12"/>
      <c r="B33" s="329" t="str">
        <f>Language!C2015</f>
        <v>Tecnologia</v>
      </c>
      <c r="C33" s="1265" t="s">
        <v>6152</v>
      </c>
      <c r="D33" s="1265"/>
      <c r="E33" s="1265"/>
      <c r="F33" s="1"/>
      <c r="G33" s="1"/>
      <c r="H33" s="1"/>
      <c r="I33" s="1"/>
      <c r="J33" s="1"/>
      <c r="K33" s="9"/>
      <c r="L33" s="1"/>
      <c r="M33" s="319">
        <f>IF(OR(Equip_PowerType="",Equip_PowerType=Iniciar!D121),1,MATCH(Equip_PowerType,ES_PowerType,0))</f>
        <v>9</v>
      </c>
      <c r="N33" s="319"/>
      <c r="O33" s="319" t="s">
        <v>3222</v>
      </c>
      <c r="P33" s="319"/>
      <c r="Q33" s="319"/>
      <c r="R33" s="319"/>
      <c r="S33" s="319"/>
      <c r="T33" s="319"/>
      <c r="U33" s="319"/>
      <c r="V33" s="319"/>
      <c r="W33" s="319"/>
      <c r="X33" s="319"/>
      <c r="Y33" s="319"/>
      <c r="Z33" s="319"/>
      <c r="AA33" s="319"/>
      <c r="AB33" s="319"/>
      <c r="AC33" s="319"/>
      <c r="AD33" s="319"/>
      <c r="AE33" s="319"/>
      <c r="AF33" s="319"/>
      <c r="AG33" s="319"/>
      <c r="AH33" s="319"/>
      <c r="AI33" s="319"/>
      <c r="AJ33" s="319"/>
      <c r="AK33" s="319"/>
      <c r="AL33" s="319"/>
      <c r="AM33" s="319"/>
      <c r="AN33" s="319"/>
      <c r="AO33" s="319">
        <v>2030008</v>
      </c>
      <c r="AP33" s="319"/>
      <c r="AQ33" s="319"/>
      <c r="AR33" s="319"/>
      <c r="AS33" s="319"/>
      <c r="AT33" s="319"/>
      <c r="AU33" s="319"/>
      <c r="AV33" s="319"/>
      <c r="AW33" s="319"/>
      <c r="AX33" s="319"/>
      <c r="AY33" s="319"/>
      <c r="AZ33" s="319"/>
      <c r="BA33" s="319"/>
      <c r="BB33" s="319"/>
      <c r="BC33" s="319"/>
      <c r="BD33" s="319"/>
      <c r="BE33" s="319"/>
      <c r="BF33" s="319"/>
      <c r="BG33" s="319"/>
      <c r="BH33" s="319"/>
      <c r="BI33" s="319"/>
      <c r="BJ33" s="319"/>
      <c r="BK33" s="319"/>
      <c r="BL33" s="319"/>
      <c r="BM33" s="319"/>
      <c r="BN33" s="319"/>
      <c r="BO33" s="319"/>
      <c r="BP33" s="319"/>
      <c r="BQ33" s="319"/>
      <c r="BR33" s="319"/>
      <c r="BS33" s="319"/>
      <c r="BT33" s="319"/>
      <c r="BU33" s="319"/>
      <c r="BV33" s="319"/>
      <c r="BW33" s="319"/>
      <c r="BX33" s="319"/>
      <c r="BY33" s="319"/>
      <c r="BZ33" s="319"/>
      <c r="CA33" s="319"/>
      <c r="CB33" s="319"/>
      <c r="CC33" s="319"/>
      <c r="CD33" s="319"/>
      <c r="CE33" s="319"/>
      <c r="CF33" s="319"/>
    </row>
    <row r="34" spans="1:84" ht="12.75" customHeight="1">
      <c r="A34" s="12"/>
      <c r="B34" s="329" t="str">
        <f>B33</f>
        <v>Tecnologia</v>
      </c>
      <c r="C34" s="1139" t="str">
        <f>Equip_PowerType</f>
        <v>Fotovoltaica</v>
      </c>
      <c r="D34" s="1139"/>
      <c r="E34" s="1139"/>
      <c r="F34" s="1"/>
      <c r="G34" s="1"/>
      <c r="H34" s="1"/>
      <c r="I34" s="1"/>
      <c r="J34" s="1"/>
      <c r="K34" s="9"/>
      <c r="L34" s="1"/>
      <c r="M34" s="319">
        <f>HideCodeES_PowerST1*123</f>
        <v>1107</v>
      </c>
      <c r="N34" s="319"/>
      <c r="O34" s="319"/>
      <c r="P34" s="319"/>
      <c r="Q34" s="319"/>
      <c r="R34" s="319"/>
      <c r="S34" s="319"/>
      <c r="T34" s="319"/>
      <c r="U34" s="319"/>
      <c r="V34" s="319"/>
      <c r="W34" s="319"/>
      <c r="X34" s="319"/>
      <c r="Y34" s="319"/>
      <c r="Z34" s="319"/>
      <c r="AA34" s="319"/>
      <c r="AB34" s="319"/>
      <c r="AC34" s="319"/>
      <c r="AD34" s="319"/>
      <c r="AE34" s="319"/>
      <c r="AF34" s="319"/>
      <c r="AG34" s="319"/>
      <c r="AH34" s="319"/>
      <c r="AI34" s="319"/>
      <c r="AJ34" s="319"/>
      <c r="AK34" s="319"/>
      <c r="AL34" s="319"/>
      <c r="AM34" s="319"/>
      <c r="AN34" s="319"/>
      <c r="AO34" s="319">
        <v>2030008</v>
      </c>
      <c r="AP34" s="319"/>
      <c r="AQ34" s="319"/>
      <c r="AR34" s="319"/>
      <c r="AS34" s="319"/>
      <c r="AT34" s="319"/>
      <c r="AU34" s="319"/>
      <c r="AV34" s="319"/>
      <c r="AW34" s="319"/>
      <c r="AX34" s="319"/>
      <c r="AY34" s="319"/>
      <c r="AZ34" s="319"/>
      <c r="BA34" s="319"/>
      <c r="BB34" s="319"/>
      <c r="BC34" s="319"/>
      <c r="BD34" s="319"/>
      <c r="BE34" s="319"/>
      <c r="BF34" s="319"/>
      <c r="BG34" s="319"/>
      <c r="BH34" s="319"/>
      <c r="BI34" s="319"/>
      <c r="BJ34" s="319"/>
      <c r="BK34" s="319"/>
      <c r="BL34" s="319"/>
      <c r="BM34" s="319"/>
      <c r="BN34" s="319"/>
      <c r="BO34" s="319"/>
      <c r="BP34" s="319"/>
      <c r="BQ34" s="319"/>
      <c r="BR34" s="319"/>
      <c r="BS34" s="319"/>
      <c r="BT34" s="319"/>
      <c r="BU34" s="319"/>
      <c r="BV34" s="319"/>
      <c r="BW34" s="319"/>
      <c r="BX34" s="319"/>
      <c r="BY34" s="319"/>
      <c r="BZ34" s="319"/>
      <c r="CA34" s="319"/>
      <c r="CB34" s="319"/>
      <c r="CC34" s="319"/>
      <c r="CD34" s="319"/>
      <c r="CE34" s="319"/>
      <c r="CF34" s="319"/>
    </row>
    <row r="35" spans="1:84" ht="12.75" hidden="1" customHeight="1">
      <c r="A35" s="12"/>
      <c r="B35" s="329" t="str">
        <f>Language!C410</f>
        <v>Disponibilidade</v>
      </c>
      <c r="C35" s="303" t="s">
        <v>739</v>
      </c>
      <c r="D35" s="307"/>
      <c r="E35" s="422"/>
      <c r="F35" s="29" t="str">
        <f>IF(C35=$Z$1105,FIXED(U35*100,1)&amp;T35,FIXED(S35,0)&amp;" "&amp;R35)</f>
        <v>8 760 h</v>
      </c>
      <c r="G35" s="1"/>
      <c r="H35" s="1"/>
      <c r="I35" s="1"/>
      <c r="J35" s="1"/>
      <c r="K35" s="9"/>
      <c r="L35" s="1"/>
      <c r="M35" s="319"/>
      <c r="N35" s="319"/>
      <c r="O35" s="319"/>
      <c r="P35" s="319"/>
      <c r="Q35" s="319"/>
      <c r="R35" s="319" t="str">
        <f>Language!C1339</f>
        <v>h</v>
      </c>
      <c r="S35" s="494">
        <f>IF(OR(M33=7,M33=8,M33=9,M33&gt;10),8760,IF(C35=Z1105,D35,E35*8760))</f>
        <v>8760</v>
      </c>
      <c r="T35" s="319" t="str">
        <f>Language!C1306</f>
        <v>%</v>
      </c>
      <c r="U35" s="742">
        <f>S35/8760</f>
        <v>1</v>
      </c>
      <c r="V35" s="319"/>
      <c r="W35" s="319"/>
      <c r="X35" s="319"/>
      <c r="Y35" s="319"/>
      <c r="Z35" s="319"/>
      <c r="AA35" s="319"/>
      <c r="AB35" s="319"/>
      <c r="AC35" s="319"/>
      <c r="AD35" s="319"/>
      <c r="AE35" s="319"/>
      <c r="AF35" s="319"/>
      <c r="AG35" s="319"/>
      <c r="AH35" s="319"/>
      <c r="AI35" s="319"/>
      <c r="AJ35" s="319"/>
      <c r="AK35" s="319"/>
      <c r="AL35" s="319"/>
      <c r="AM35" s="319"/>
      <c r="AN35" s="319"/>
      <c r="AO35" s="319">
        <v>2030010</v>
      </c>
      <c r="AP35" s="319"/>
      <c r="AQ35" s="319"/>
      <c r="AR35" s="319"/>
      <c r="AS35" s="319"/>
      <c r="AT35" s="319"/>
      <c r="AU35" s="319"/>
      <c r="AV35" s="319"/>
      <c r="AW35" s="319"/>
      <c r="AX35" s="319"/>
      <c r="AY35" s="319"/>
      <c r="AZ35" s="319"/>
      <c r="BA35" s="319"/>
      <c r="BB35" s="319"/>
      <c r="BC35" s="319"/>
      <c r="BD35" s="319"/>
      <c r="BE35" s="319"/>
      <c r="BF35" s="319"/>
      <c r="BG35" s="319"/>
      <c r="BH35" s="319"/>
      <c r="BI35" s="319"/>
      <c r="BJ35" s="319"/>
      <c r="BK35" s="319"/>
      <c r="BL35" s="319"/>
      <c r="BM35" s="319"/>
      <c r="BN35" s="319"/>
      <c r="BO35" s="319"/>
      <c r="BP35" s="319"/>
      <c r="BQ35" s="319"/>
      <c r="BR35" s="319"/>
      <c r="BS35" s="319"/>
      <c r="BT35" s="319"/>
      <c r="BU35" s="319"/>
      <c r="BV35" s="319"/>
      <c r="BW35" s="319"/>
      <c r="BX35" s="319"/>
      <c r="BY35" s="319"/>
      <c r="BZ35" s="319"/>
      <c r="CA35" s="319"/>
      <c r="CB35" s="319"/>
      <c r="CC35" s="319"/>
      <c r="CD35" s="319"/>
      <c r="CE35" s="319"/>
      <c r="CF35" s="319"/>
    </row>
    <row r="36" spans="1:84" ht="12.75" hidden="1" customHeight="1">
      <c r="A36" s="12"/>
      <c r="B36" s="1"/>
      <c r="C36" s="1"/>
      <c r="D36" s="1"/>
      <c r="E36" s="1"/>
      <c r="F36" s="1"/>
      <c r="G36" s="1"/>
      <c r="H36" s="1"/>
      <c r="I36" s="1"/>
      <c r="J36" s="1"/>
      <c r="K36" s="9"/>
      <c r="L36" s="1"/>
      <c r="M36" s="319"/>
      <c r="N36" s="319"/>
      <c r="O36" s="319"/>
      <c r="P36" s="319"/>
      <c r="Q36" s="319"/>
      <c r="R36" s="319"/>
      <c r="S36" s="319"/>
      <c r="T36" s="319"/>
      <c r="U36" s="319"/>
      <c r="V36" s="319"/>
      <c r="W36" s="319"/>
      <c r="X36" s="319"/>
      <c r="Y36" s="319"/>
      <c r="Z36" s="319"/>
      <c r="AA36" s="319"/>
      <c r="AB36" s="319"/>
      <c r="AC36" s="319"/>
      <c r="AD36" s="319"/>
      <c r="AE36" s="319"/>
      <c r="AF36" s="319"/>
      <c r="AG36" s="319"/>
      <c r="AH36" s="319"/>
      <c r="AI36" s="319"/>
      <c r="AJ36" s="319"/>
      <c r="AK36" s="319"/>
      <c r="AL36" s="319"/>
      <c r="AM36" s="319"/>
      <c r="AN36" s="319"/>
      <c r="AO36" s="319">
        <v>2030100</v>
      </c>
      <c r="AP36" s="319"/>
      <c r="AQ36" s="319"/>
      <c r="AR36" s="319"/>
      <c r="AS36" s="319"/>
      <c r="AT36" s="319"/>
      <c r="AU36" s="319"/>
      <c r="AV36" s="319"/>
      <c r="AW36" s="319"/>
      <c r="AX36" s="319"/>
      <c r="AY36" s="319"/>
      <c r="AZ36" s="319"/>
      <c r="BA36" s="319"/>
      <c r="BB36" s="319"/>
      <c r="BC36" s="319"/>
      <c r="BD36" s="319"/>
      <c r="BE36" s="319"/>
      <c r="BF36" s="319"/>
      <c r="BG36" s="319"/>
      <c r="BH36" s="319"/>
      <c r="BI36" s="319"/>
      <c r="BJ36" s="319"/>
      <c r="BK36" s="319"/>
      <c r="BL36" s="319"/>
      <c r="BM36" s="319"/>
      <c r="BN36" s="319"/>
      <c r="BO36" s="319"/>
      <c r="BP36" s="319"/>
      <c r="BQ36" s="319"/>
      <c r="BR36" s="319"/>
      <c r="BS36" s="319"/>
      <c r="BT36" s="319"/>
      <c r="BU36" s="319"/>
      <c r="BV36" s="319"/>
      <c r="BW36" s="319"/>
      <c r="BX36" s="319"/>
      <c r="BY36" s="319"/>
      <c r="BZ36" s="319"/>
      <c r="CA36" s="319"/>
      <c r="CB36" s="319"/>
      <c r="CC36" s="319"/>
      <c r="CD36" s="319"/>
      <c r="CE36" s="319"/>
      <c r="CF36" s="319"/>
    </row>
    <row r="37" spans="1:84" ht="12.75" hidden="1" customHeight="1">
      <c r="A37" s="12"/>
      <c r="B37" s="1" t="str">
        <f>Language!C411</f>
        <v>Método-seleção de combustível</v>
      </c>
      <c r="C37" s="1133" t="s">
        <v>6154</v>
      </c>
      <c r="D37" s="1134"/>
      <c r="E37" s="1135"/>
      <c r="F37" s="1"/>
      <c r="G37" s="1"/>
      <c r="H37" s="1"/>
      <c r="I37" s="1"/>
      <c r="J37" s="1"/>
      <c r="K37" s="788" t="str">
        <f>IF(Ferramentas!E411&lt;1,G1097,"")</f>
        <v/>
      </c>
      <c r="L37" s="1"/>
      <c r="M37" s="319">
        <f>IF(C37="",1,MATCH(C37,ES_FuelMethod,0))</f>
        <v>1</v>
      </c>
      <c r="N37" s="319"/>
      <c r="O37" s="319" t="s">
        <v>4084</v>
      </c>
      <c r="P37" s="319"/>
      <c r="Q37" s="319"/>
      <c r="R37" s="319"/>
      <c r="S37" s="319"/>
      <c r="T37" s="319"/>
      <c r="U37" s="319"/>
      <c r="V37" s="319"/>
      <c r="W37" s="319"/>
      <c r="X37" s="319"/>
      <c r="Y37" s="319"/>
      <c r="Z37" s="319"/>
      <c r="AA37" s="319"/>
      <c r="AB37" s="319"/>
      <c r="AC37" s="319"/>
      <c r="AD37" s="319"/>
      <c r="AE37" s="319"/>
      <c r="AF37" s="319"/>
      <c r="AG37" s="319"/>
      <c r="AH37" s="319"/>
      <c r="AI37" s="319"/>
      <c r="AJ37" s="319"/>
      <c r="AK37" s="319"/>
      <c r="AL37" s="319"/>
      <c r="AM37" s="319"/>
      <c r="AN37" s="319"/>
      <c r="AO37" s="319">
        <v>2030100</v>
      </c>
      <c r="AP37" s="319"/>
      <c r="AQ37" s="319"/>
      <c r="AR37" s="319"/>
      <c r="AS37" s="319"/>
      <c r="AT37" s="319"/>
      <c r="AU37" s="319"/>
      <c r="AV37" s="319"/>
      <c r="AW37" s="319"/>
      <c r="AX37" s="319"/>
      <c r="AY37" s="319"/>
      <c r="AZ37" s="319"/>
      <c r="BA37" s="319"/>
      <c r="BB37" s="319"/>
      <c r="BC37" s="319"/>
      <c r="BD37" s="319"/>
      <c r="BE37" s="319"/>
      <c r="BF37" s="319"/>
      <c r="BG37" s="319"/>
      <c r="BH37" s="319"/>
      <c r="BI37" s="319"/>
      <c r="BJ37" s="319"/>
      <c r="BK37" s="319"/>
      <c r="BL37" s="319"/>
      <c r="BM37" s="319"/>
      <c r="BN37" s="319"/>
      <c r="BO37" s="319"/>
      <c r="BP37" s="319"/>
      <c r="BQ37" s="319"/>
      <c r="BR37" s="319"/>
      <c r="BS37" s="319"/>
      <c r="BT37" s="319"/>
      <c r="BU37" s="319"/>
      <c r="BV37" s="319"/>
      <c r="BW37" s="319"/>
      <c r="BX37" s="319"/>
      <c r="BY37" s="319"/>
      <c r="BZ37" s="319"/>
      <c r="CA37" s="319"/>
      <c r="CB37" s="319"/>
      <c r="CC37" s="319"/>
      <c r="CD37" s="319"/>
      <c r="CE37" s="319"/>
      <c r="CF37" s="319"/>
    </row>
    <row r="38" spans="1:84" ht="12.75" hidden="1" customHeight="1">
      <c r="A38" s="12"/>
      <c r="B38" s="329" t="str">
        <f>B8</f>
        <v>Tipo de Combustível</v>
      </c>
      <c r="C38" s="1133" t="s">
        <v>7046</v>
      </c>
      <c r="D38" s="1134"/>
      <c r="E38" s="1135"/>
      <c r="F38" s="1"/>
      <c r="G38" s="1"/>
      <c r="H38" s="1"/>
      <c r="I38" s="1"/>
      <c r="J38" s="1"/>
      <c r="K38" s="785" t="str">
        <f>Language!C62</f>
        <v>Completar planilha Ferramentas</v>
      </c>
      <c r="L38" s="1"/>
      <c r="M38" s="319">
        <f>M37*100</f>
        <v>100</v>
      </c>
      <c r="N38" s="319"/>
      <c r="O38" s="319"/>
      <c r="P38" s="319"/>
      <c r="Q38" s="319"/>
      <c r="R38" s="319" t="s">
        <v>5376</v>
      </c>
      <c r="S38" s="476">
        <f>VLOOKUP(C38,$B$1176:$F$1289,4,FALSE)</f>
        <v>47.856000000000002</v>
      </c>
      <c r="T38" s="319" t="s">
        <v>5859</v>
      </c>
      <c r="U38" s="494">
        <f>S38*$AA$1092</f>
        <v>20574.37661220981</v>
      </c>
      <c r="V38" s="319">
        <f>SUMIF($B$1102:$B$1105,C38,$A$1102:$A$1105)</f>
        <v>0</v>
      </c>
      <c r="W38" s="319"/>
      <c r="X38" s="319" t="s">
        <v>955</v>
      </c>
      <c r="Y38" s="319"/>
      <c r="Z38" s="319"/>
      <c r="AA38" s="319"/>
      <c r="AB38" s="319"/>
      <c r="AC38" s="319"/>
      <c r="AD38" s="319"/>
      <c r="AE38" s="319"/>
      <c r="AF38" s="319"/>
      <c r="AG38" s="319"/>
      <c r="AH38" s="319"/>
      <c r="AI38" s="319"/>
      <c r="AJ38" s="319"/>
      <c r="AK38" s="319"/>
      <c r="AL38" s="319"/>
      <c r="AM38" s="319"/>
      <c r="AN38" s="319"/>
      <c r="AO38" s="319">
        <v>2010106</v>
      </c>
      <c r="AP38" s="319"/>
      <c r="AQ38" s="319"/>
      <c r="AR38" s="319"/>
      <c r="AS38" s="319"/>
      <c r="AT38" s="319"/>
      <c r="AU38" s="319"/>
      <c r="AV38" s="319"/>
      <c r="AW38" s="319"/>
      <c r="AX38" s="319"/>
      <c r="AY38" s="319"/>
      <c r="AZ38" s="319"/>
      <c r="BA38" s="319"/>
      <c r="BB38" s="319"/>
      <c r="BC38" s="319"/>
      <c r="BD38" s="319"/>
      <c r="BE38" s="319"/>
      <c r="BF38" s="319"/>
      <c r="BG38" s="319"/>
      <c r="BH38" s="319"/>
      <c r="BI38" s="319"/>
      <c r="BJ38" s="319"/>
      <c r="BK38" s="319"/>
      <c r="BL38" s="319"/>
      <c r="BM38" s="319"/>
      <c r="BN38" s="319"/>
      <c r="BO38" s="319"/>
      <c r="BP38" s="319"/>
      <c r="BQ38" s="319"/>
      <c r="BR38" s="319"/>
      <c r="BS38" s="319"/>
      <c r="BT38" s="319"/>
      <c r="BU38" s="319"/>
      <c r="BV38" s="319"/>
      <c r="BW38" s="319"/>
      <c r="BX38" s="319"/>
      <c r="BY38" s="319"/>
      <c r="BZ38" s="319"/>
      <c r="CA38" s="319"/>
      <c r="CB38" s="319"/>
      <c r="CC38" s="319"/>
      <c r="CD38" s="319"/>
      <c r="CE38" s="319"/>
      <c r="CF38" s="319"/>
    </row>
    <row r="39" spans="1:84" ht="12.75" hidden="1" customHeight="1">
      <c r="A39" s="12"/>
      <c r="B39" s="329" t="str">
        <f>I42</f>
        <v>Preço do combustível</v>
      </c>
      <c r="C39" s="29" t="str">
        <f>VLOOKUP(C38,$B$1176:$F$1289,3,FALSE)</f>
        <v>€/m³</v>
      </c>
      <c r="D39" s="410"/>
      <c r="E39" s="1"/>
      <c r="F39" s="1"/>
      <c r="G39" s="1"/>
      <c r="H39" s="1"/>
      <c r="I39" s="1"/>
      <c r="J39" s="1"/>
      <c r="K39" s="9"/>
      <c r="L39" s="1"/>
      <c r="M39" s="319"/>
      <c r="N39" s="319"/>
      <c r="O39" s="319"/>
      <c r="P39" s="319"/>
      <c r="Q39" s="319"/>
      <c r="R39" s="319" t="s">
        <v>5915</v>
      </c>
      <c r="S39" s="476">
        <f>1000/S38/VLOOKUP(C38,$B$1176:$F$1289,5,FALSE)*D39*3.6</f>
        <v>0</v>
      </c>
      <c r="T39" s="319"/>
      <c r="U39" s="319"/>
      <c r="V39" s="319"/>
      <c r="W39" s="319"/>
      <c r="X39" s="319"/>
      <c r="Y39" s="319"/>
      <c r="Z39" s="319"/>
      <c r="AA39" s="319"/>
      <c r="AB39" s="319"/>
      <c r="AC39" s="319"/>
      <c r="AD39" s="319"/>
      <c r="AE39" s="319"/>
      <c r="AF39" s="319"/>
      <c r="AG39" s="319"/>
      <c r="AH39" s="319"/>
      <c r="AI39" s="319"/>
      <c r="AJ39" s="319"/>
      <c r="AK39" s="319"/>
      <c r="AL39" s="319"/>
      <c r="AM39" s="319"/>
      <c r="AN39" s="319"/>
      <c r="AO39" s="319">
        <v>2010108</v>
      </c>
      <c r="AP39" s="319"/>
      <c r="AQ39" s="319"/>
      <c r="AR39" s="319"/>
      <c r="AS39" s="319"/>
      <c r="AT39" s="319"/>
      <c r="AU39" s="319"/>
      <c r="AV39" s="319"/>
      <c r="AW39" s="319"/>
      <c r="AX39" s="319"/>
      <c r="AY39" s="319"/>
      <c r="AZ39" s="319"/>
      <c r="BA39" s="319"/>
      <c r="BB39" s="319"/>
      <c r="BC39" s="319"/>
      <c r="BD39" s="319"/>
      <c r="BE39" s="319"/>
      <c r="BF39" s="319"/>
      <c r="BG39" s="319"/>
      <c r="BH39" s="319"/>
      <c r="BI39" s="319"/>
      <c r="BJ39" s="319"/>
      <c r="BK39" s="319"/>
      <c r="BL39" s="319"/>
      <c r="BM39" s="319"/>
      <c r="BN39" s="319"/>
      <c r="BO39" s="319"/>
      <c r="BP39" s="319"/>
      <c r="BQ39" s="319"/>
      <c r="BR39" s="319"/>
      <c r="BS39" s="319"/>
      <c r="BT39" s="319"/>
      <c r="BU39" s="319"/>
      <c r="BV39" s="319"/>
      <c r="BW39" s="319"/>
      <c r="BX39" s="319"/>
      <c r="BY39" s="319"/>
      <c r="BZ39" s="319"/>
      <c r="CA39" s="319"/>
      <c r="CB39" s="319"/>
      <c r="CC39" s="319"/>
      <c r="CD39" s="319"/>
      <c r="CE39" s="319"/>
      <c r="CF39" s="319"/>
    </row>
    <row r="40" spans="1:84" ht="12.75" customHeight="1">
      <c r="A40" s="12"/>
      <c r="B40" s="1"/>
      <c r="C40" s="1"/>
      <c r="D40" s="1"/>
      <c r="E40" s="1"/>
      <c r="F40" s="1"/>
      <c r="G40" s="1"/>
      <c r="H40" s="1"/>
      <c r="I40" s="1"/>
      <c r="J40" s="1"/>
      <c r="K40" s="9"/>
      <c r="L40" s="1"/>
      <c r="M40" s="319"/>
      <c r="N40" s="319"/>
      <c r="O40" s="319"/>
      <c r="P40" s="319"/>
      <c r="Q40" s="319"/>
      <c r="R40" s="319"/>
      <c r="S40" s="319"/>
      <c r="T40" s="319"/>
      <c r="U40" s="319"/>
      <c r="V40" s="319"/>
      <c r="W40" s="319"/>
      <c r="X40" s="319"/>
      <c r="Y40" s="319"/>
      <c r="Z40" s="319"/>
      <c r="AA40" s="319"/>
      <c r="AB40" s="319"/>
      <c r="AC40" s="319"/>
      <c r="AD40" s="319"/>
      <c r="AE40" s="319"/>
      <c r="AF40" s="319"/>
      <c r="AG40" s="319"/>
      <c r="AH40" s="319"/>
      <c r="AI40" s="319"/>
      <c r="AJ40" s="319"/>
      <c r="AK40" s="319"/>
      <c r="AL40" s="319"/>
      <c r="AM40" s="319"/>
      <c r="AN40" s="319"/>
      <c r="AO40" s="319">
        <v>2030008</v>
      </c>
      <c r="AP40" s="319"/>
      <c r="AQ40" s="319"/>
      <c r="AR40" s="319"/>
      <c r="AS40" s="319"/>
      <c r="AT40" s="319"/>
      <c r="AU40" s="319"/>
      <c r="AV40" s="319"/>
      <c r="AW40" s="319"/>
      <c r="AX40" s="319"/>
      <c r="AY40" s="319"/>
      <c r="AZ40" s="319"/>
      <c r="BA40" s="319"/>
      <c r="BB40" s="319"/>
      <c r="BC40" s="319"/>
      <c r="BD40" s="319"/>
      <c r="BE40" s="319"/>
      <c r="BF40" s="319"/>
      <c r="BG40" s="319"/>
      <c r="BH40" s="319"/>
      <c r="BI40" s="319"/>
      <c r="BJ40" s="319"/>
      <c r="BK40" s="319"/>
      <c r="BL40" s="319"/>
      <c r="BM40" s="319"/>
      <c r="BN40" s="319"/>
      <c r="BO40" s="319"/>
      <c r="BP40" s="319"/>
      <c r="BQ40" s="319"/>
      <c r="BR40" s="319"/>
      <c r="BS40" s="319"/>
      <c r="BT40" s="319"/>
      <c r="BU40" s="319"/>
      <c r="BV40" s="319"/>
      <c r="BW40" s="319"/>
      <c r="BX40" s="319"/>
      <c r="BY40" s="319"/>
      <c r="BZ40" s="319"/>
      <c r="CA40" s="319"/>
      <c r="CB40" s="319"/>
      <c r="CC40" s="319"/>
      <c r="CD40" s="319"/>
      <c r="CE40" s="319"/>
      <c r="CF40" s="319"/>
    </row>
    <row r="41" spans="1:84" ht="12.75" hidden="1" customHeight="1">
      <c r="A41" s="12"/>
      <c r="B41" s="1"/>
      <c r="C41" s="1"/>
      <c r="D41" s="1"/>
      <c r="E41" s="1"/>
      <c r="F41" s="1"/>
      <c r="G41" s="1"/>
      <c r="H41" s="1"/>
      <c r="I41" s="1"/>
      <c r="J41" s="1"/>
      <c r="K41" s="9"/>
      <c r="L41" s="1"/>
      <c r="M41" s="319"/>
      <c r="N41" s="319"/>
      <c r="O41" s="319"/>
      <c r="P41" s="319"/>
      <c r="Q41" s="319"/>
      <c r="R41" s="319"/>
      <c r="S41" s="319"/>
      <c r="T41" s="319"/>
      <c r="U41" s="319"/>
      <c r="V41" s="319"/>
      <c r="W41" s="319"/>
      <c r="X41" s="319"/>
      <c r="Y41" s="319"/>
      <c r="Z41" s="319"/>
      <c r="AA41" s="319"/>
      <c r="AB41" s="319"/>
      <c r="AC41" s="319"/>
      <c r="AD41" s="319"/>
      <c r="AE41" s="319"/>
      <c r="AF41" s="319"/>
      <c r="AG41" s="319"/>
      <c r="AH41" s="319"/>
      <c r="AI41" s="319"/>
      <c r="AJ41" s="319"/>
      <c r="AK41" s="319"/>
      <c r="AL41" s="319"/>
      <c r="AM41" s="319"/>
      <c r="AN41" s="319"/>
      <c r="AO41" s="319">
        <v>2030200</v>
      </c>
      <c r="AP41" s="319"/>
      <c r="AQ41" s="319"/>
      <c r="AR41" s="319"/>
      <c r="AS41" s="319"/>
      <c r="AT41" s="319"/>
      <c r="AU41" s="319"/>
      <c r="AV41" s="319"/>
      <c r="AW41" s="319"/>
      <c r="AX41" s="319"/>
      <c r="AY41" s="319"/>
      <c r="AZ41" s="319"/>
      <c r="BA41" s="319"/>
      <c r="BB41" s="319"/>
      <c r="BC41" s="319"/>
      <c r="BD41" s="319"/>
      <c r="BE41" s="319"/>
      <c r="BF41" s="319"/>
      <c r="BG41" s="319"/>
      <c r="BH41" s="319"/>
      <c r="BI41" s="319"/>
      <c r="BJ41" s="319"/>
      <c r="BK41" s="319"/>
      <c r="BL41" s="319"/>
      <c r="BM41" s="319"/>
      <c r="BN41" s="319"/>
      <c r="BO41" s="319"/>
      <c r="BP41" s="319"/>
      <c r="BQ41" s="319"/>
      <c r="BR41" s="319"/>
      <c r="BS41" s="319"/>
      <c r="BT41" s="319"/>
      <c r="BU41" s="319"/>
      <c r="BV41" s="319"/>
      <c r="BW41" s="319"/>
      <c r="BX41" s="319"/>
      <c r="BY41" s="319"/>
      <c r="BZ41" s="319"/>
      <c r="CA41" s="319"/>
      <c r="CB41" s="319"/>
      <c r="CC41" s="319"/>
      <c r="CD41" s="319"/>
      <c r="CE41" s="319"/>
      <c r="CF41" s="319"/>
    </row>
    <row r="42" spans="1:84" ht="38.25" hidden="1" customHeight="1">
      <c r="A42" s="12"/>
      <c r="B42" s="1"/>
      <c r="C42" s="1208" t="str">
        <f>B8</f>
        <v>Tipo de Combustível</v>
      </c>
      <c r="D42" s="1208"/>
      <c r="E42" s="82" t="str">
        <f>Language!C412</f>
        <v>Mix do combustível</v>
      </c>
      <c r="F42" s="82" t="str">
        <f>Language!C357</f>
        <v>Consumo de combustível - unitário</v>
      </c>
      <c r="G42" s="142" t="str">
        <f>Language!C413</f>
        <v>Consumo de combustível</v>
      </c>
      <c r="H42" s="82" t="str">
        <f>Language!C359</f>
        <v>Preço combustível - unidade</v>
      </c>
      <c r="I42" s="82" t="str">
        <f>Language!C212</f>
        <v>Preço do combustível</v>
      </c>
      <c r="J42" s="82" t="str">
        <f>Language!C287</f>
        <v>Custo do combustível</v>
      </c>
      <c r="K42" s="9"/>
      <c r="L42" s="1"/>
      <c r="M42" s="319"/>
      <c r="N42" s="319"/>
      <c r="O42" s="319" t="s">
        <v>5205</v>
      </c>
      <c r="P42" s="319" t="s">
        <v>611</v>
      </c>
      <c r="Q42" s="319" t="s">
        <v>5865</v>
      </c>
      <c r="R42" s="319"/>
      <c r="S42" s="319"/>
      <c r="T42" s="319"/>
      <c r="U42" s="319"/>
      <c r="V42" s="319"/>
      <c r="W42" s="319"/>
      <c r="X42" s="319"/>
      <c r="Y42" s="319"/>
      <c r="Z42" s="319"/>
      <c r="AA42" s="319"/>
      <c r="AB42" s="319"/>
      <c r="AC42" s="319"/>
      <c r="AD42" s="319"/>
      <c r="AE42" s="319"/>
      <c r="AF42" s="319"/>
      <c r="AG42" s="319"/>
      <c r="AH42" s="319"/>
      <c r="AI42" s="319"/>
      <c r="AJ42" s="319"/>
      <c r="AK42" s="319"/>
      <c r="AL42" s="319"/>
      <c r="AM42" s="319"/>
      <c r="AN42" s="319"/>
      <c r="AO42" s="319">
        <v>2030200</v>
      </c>
      <c r="AP42" s="319"/>
      <c r="AQ42" s="319"/>
      <c r="AR42" s="319"/>
      <c r="AS42" s="319"/>
      <c r="AT42" s="319"/>
      <c r="AU42" s="319"/>
      <c r="AV42" s="319"/>
      <c r="AW42" s="319"/>
      <c r="AX42" s="319"/>
      <c r="AY42" s="319"/>
      <c r="AZ42" s="319"/>
      <c r="BA42" s="319"/>
      <c r="BB42" s="319"/>
      <c r="BC42" s="319"/>
      <c r="BD42" s="319"/>
      <c r="BE42" s="319"/>
      <c r="BF42" s="319"/>
      <c r="BG42" s="319"/>
      <c r="BH42" s="319"/>
      <c r="BI42" s="319"/>
      <c r="BJ42" s="319"/>
      <c r="BK42" s="319"/>
      <c r="BL42" s="319"/>
      <c r="BM42" s="319"/>
      <c r="BN42" s="319"/>
      <c r="BO42" s="319"/>
      <c r="BP42" s="319"/>
      <c r="BQ42" s="319"/>
      <c r="BR42" s="319"/>
      <c r="BS42" s="319"/>
      <c r="BT42" s="319"/>
      <c r="BU42" s="319"/>
      <c r="BV42" s="319"/>
      <c r="BW42" s="319"/>
      <c r="BX42" s="319"/>
      <c r="BY42" s="319"/>
      <c r="BZ42" s="319"/>
      <c r="CA42" s="319"/>
      <c r="CB42" s="319"/>
      <c r="CC42" s="319"/>
      <c r="CD42" s="319"/>
      <c r="CE42" s="319"/>
      <c r="CF42" s="319"/>
    </row>
    <row r="43" spans="1:84" ht="12.75" hidden="1" customHeight="1">
      <c r="A43" s="12"/>
      <c r="B43" s="83" t="str">
        <f>Language!C146</f>
        <v>Combustível #1</v>
      </c>
      <c r="C43" s="1133" t="s">
        <v>7152</v>
      </c>
      <c r="D43" s="1135"/>
      <c r="E43" s="84" t="str">
        <f>IF(Q43=0,"",Q43/$Q$46)</f>
        <v/>
      </c>
      <c r="F43" s="85" t="str">
        <f>IF(O43="","",VLOOKUP($C43,$B$1176:$F$1289,2,FALSE))</f>
        <v>t</v>
      </c>
      <c r="G43" s="86" t="str">
        <f>IF(OR(C43="",E43=""),"",Q43*1000/O43/VLOOKUP($C43,$B$1176:$F$1289,5,FALSE))</f>
        <v/>
      </c>
      <c r="H43" s="85" t="str">
        <f>IF(F43="","",VLOOKUP($C43,$B$1176:$F$1289,3,FALSE))</f>
        <v>€/t</v>
      </c>
      <c r="I43" s="399"/>
      <c r="J43" s="1389" t="str">
        <f>IF(OR(O43="",G43=""),"",G43*I43)</f>
        <v/>
      </c>
      <c r="K43" s="1256" t="str">
        <f>Language!C62</f>
        <v>Completar planilha Ferramentas</v>
      </c>
      <c r="L43" s="1"/>
      <c r="M43" s="319"/>
      <c r="N43" s="319"/>
      <c r="O43" s="476">
        <f>IF(C43="","",VLOOKUP($C43,$B$1176:$F$1289,4,FALSE))</f>
        <v>18.444143599999997</v>
      </c>
      <c r="P43" s="476">
        <f>O43*$AA$1092</f>
        <v>7929.5544282029241</v>
      </c>
      <c r="Q43" s="476">
        <f>IF(SUM($S$49:$S$60)=0,SUM(S49:S62),SUMIF($C$49:$C$60,B43,$S$49:$S$62)*$U$35*SUM($S$49:$S$62)/SUM($S$49:$S$60))</f>
        <v>0</v>
      </c>
      <c r="R43" s="319">
        <f>SUMIF($B$1102:$B$1105,C43,$A$1102:$A$1105)</f>
        <v>0</v>
      </c>
      <c r="S43" s="319" t="s">
        <v>5477</v>
      </c>
      <c r="T43" s="319"/>
      <c r="U43" s="319"/>
      <c r="V43" s="319"/>
      <c r="W43" s="319"/>
      <c r="X43" s="319"/>
      <c r="Y43" s="319"/>
      <c r="Z43" s="319"/>
      <c r="AA43" s="319"/>
      <c r="AB43" s="319"/>
      <c r="AC43" s="319"/>
      <c r="AD43" s="319"/>
      <c r="AE43" s="319"/>
      <c r="AF43" s="319"/>
      <c r="AG43" s="319"/>
      <c r="AH43" s="319"/>
      <c r="AI43" s="319"/>
      <c r="AJ43" s="319"/>
      <c r="AK43" s="319"/>
      <c r="AL43" s="319"/>
      <c r="AM43" s="319"/>
      <c r="AN43" s="319"/>
      <c r="AO43" s="319">
        <v>2030200</v>
      </c>
      <c r="AP43" s="319"/>
      <c r="AQ43" s="319"/>
      <c r="AR43" s="319"/>
      <c r="AS43" s="319"/>
      <c r="AT43" s="319"/>
      <c r="AU43" s="319"/>
      <c r="AV43" s="319"/>
      <c r="AW43" s="319"/>
      <c r="AX43" s="319"/>
      <c r="AY43" s="319"/>
      <c r="AZ43" s="319"/>
      <c r="BA43" s="319"/>
      <c r="BB43" s="319"/>
      <c r="BC43" s="319"/>
      <c r="BD43" s="319"/>
      <c r="BE43" s="319"/>
      <c r="BF43" s="319"/>
      <c r="BG43" s="319"/>
      <c r="BH43" s="319"/>
      <c r="BI43" s="319"/>
      <c r="BJ43" s="319"/>
      <c r="BK43" s="319"/>
      <c r="BL43" s="319"/>
      <c r="BM43" s="319"/>
      <c r="BN43" s="319"/>
      <c r="BO43" s="319"/>
      <c r="BP43" s="319"/>
      <c r="BQ43" s="319"/>
      <c r="BR43" s="319"/>
      <c r="BS43" s="319"/>
      <c r="BT43" s="319"/>
      <c r="BU43" s="319"/>
      <c r="BV43" s="319"/>
      <c r="BW43" s="319"/>
      <c r="BX43" s="319"/>
      <c r="BY43" s="319"/>
      <c r="BZ43" s="319"/>
      <c r="CA43" s="319"/>
      <c r="CB43" s="319"/>
      <c r="CC43" s="319"/>
      <c r="CD43" s="319"/>
      <c r="CE43" s="319"/>
      <c r="CF43" s="319"/>
    </row>
    <row r="44" spans="1:84" ht="12.75" hidden="1" customHeight="1">
      <c r="A44" s="12"/>
      <c r="B44" s="83" t="str">
        <f>Language!C147</f>
        <v>Combustível #2</v>
      </c>
      <c r="C44" s="1133"/>
      <c r="D44" s="1135"/>
      <c r="E44" s="87" t="str">
        <f>IF(Q44=0,"",Q44/$Q$46)</f>
        <v/>
      </c>
      <c r="F44" s="21" t="str">
        <f>IF(O44="","",VLOOKUP($C44,$B$1176:$F$1289,2,FALSE))</f>
        <v/>
      </c>
      <c r="G44" s="88" t="str">
        <f>IF(OR(C44="",E44=""),"",Q44*1000/O44/VLOOKUP($C44,$B$1176:$F$1289,5,FALSE))</f>
        <v/>
      </c>
      <c r="H44" s="21" t="str">
        <f>IF(F44="","",VLOOKUP($C44,$B$1176:$F$1289,3,FALSE))</f>
        <v/>
      </c>
      <c r="I44" s="399"/>
      <c r="J44" s="1390" t="str">
        <f>IF(OR(O44="",G44=""),"",G44*I44)</f>
        <v/>
      </c>
      <c r="K44" s="1256"/>
      <c r="L44" s="1"/>
      <c r="M44" s="319"/>
      <c r="N44" s="319"/>
      <c r="O44" s="476" t="str">
        <f>IF(C44="","",VLOOKUP($C44,$B$1176:$F$1289,4,FALSE))</f>
        <v/>
      </c>
      <c r="P44" s="476" t="e">
        <f>O44*$AA$1092</f>
        <v>#VALUE!</v>
      </c>
      <c r="Q44" s="476">
        <f>IF(SUM($S$49:$S$60)=0,0,SUMIF($C$49:$C$60,B44,$S$49:$S$62)*$U$35*SUM($S$49:$S$62)/SUM($S$49:$S$60))</f>
        <v>0</v>
      </c>
      <c r="R44" s="319">
        <f>SUMIF($B$1102:$B$1105,C44,$A$1102:$A$1105)</f>
        <v>0</v>
      </c>
      <c r="S44" s="319" t="s">
        <v>2998</v>
      </c>
      <c r="T44" s="319"/>
      <c r="U44" s="319"/>
      <c r="V44" s="319"/>
      <c r="W44" s="319"/>
      <c r="X44" s="319"/>
      <c r="Y44" s="319"/>
      <c r="Z44" s="319"/>
      <c r="AA44" s="319"/>
      <c r="AB44" s="319"/>
      <c r="AC44" s="319"/>
      <c r="AD44" s="319"/>
      <c r="AE44" s="319"/>
      <c r="AF44" s="319"/>
      <c r="AG44" s="319"/>
      <c r="AH44" s="319"/>
      <c r="AI44" s="319"/>
      <c r="AJ44" s="319"/>
      <c r="AK44" s="319"/>
      <c r="AL44" s="319"/>
      <c r="AM44" s="319"/>
      <c r="AN44" s="319"/>
      <c r="AO44" s="319">
        <v>2030200</v>
      </c>
      <c r="AP44" s="319"/>
      <c r="AQ44" s="319"/>
      <c r="AR44" s="319"/>
      <c r="AS44" s="319"/>
      <c r="AT44" s="319"/>
      <c r="AU44" s="319"/>
      <c r="AV44" s="319"/>
      <c r="AW44" s="319"/>
      <c r="AX44" s="319"/>
      <c r="AY44" s="319"/>
      <c r="AZ44" s="319"/>
      <c r="BA44" s="319"/>
      <c r="BB44" s="319"/>
      <c r="BC44" s="319"/>
      <c r="BD44" s="319"/>
      <c r="BE44" s="319"/>
      <c r="BF44" s="319"/>
      <c r="BG44" s="319"/>
      <c r="BH44" s="319"/>
      <c r="BI44" s="319"/>
      <c r="BJ44" s="319"/>
      <c r="BK44" s="319"/>
      <c r="BL44" s="319"/>
      <c r="BM44" s="319"/>
      <c r="BN44" s="319"/>
      <c r="BO44" s="319"/>
      <c r="BP44" s="319"/>
      <c r="BQ44" s="319"/>
      <c r="BR44" s="319"/>
      <c r="BS44" s="319"/>
      <c r="BT44" s="319"/>
      <c r="BU44" s="319"/>
      <c r="BV44" s="319"/>
      <c r="BW44" s="319"/>
      <c r="BX44" s="319"/>
      <c r="BY44" s="319"/>
      <c r="BZ44" s="319"/>
      <c r="CA44" s="319"/>
      <c r="CB44" s="319"/>
      <c r="CC44" s="319"/>
      <c r="CD44" s="319"/>
      <c r="CE44" s="319"/>
      <c r="CF44" s="319"/>
    </row>
    <row r="45" spans="1:84" ht="12.75" hidden="1" customHeight="1">
      <c r="A45" s="12"/>
      <c r="B45" s="83" t="str">
        <f>Language!C148</f>
        <v>Combustível #3</v>
      </c>
      <c r="C45" s="1133"/>
      <c r="D45" s="1135"/>
      <c r="E45" s="89" t="str">
        <f>IF(Q45=0,"",Q45/$Q$46)</f>
        <v/>
      </c>
      <c r="F45" s="33" t="str">
        <f>IF(O45="","",VLOOKUP($C45,$B$1176:$F$1289,2,FALSE))</f>
        <v/>
      </c>
      <c r="G45" s="34" t="str">
        <f>IF(OR(C45="",E45=""),"",Q45*1000/O45/VLOOKUP($C45,$B$1176:$F$1289,5,FALSE))</f>
        <v/>
      </c>
      <c r="H45" s="33" t="str">
        <f>IF(F45="","",VLOOKUP($C45,$B$1176:$F$1289,3,FALSE))</f>
        <v/>
      </c>
      <c r="I45" s="399"/>
      <c r="J45" s="1391" t="str">
        <f>IF(OR(O45="",G45=""),"",G45*I45)</f>
        <v/>
      </c>
      <c r="K45" s="1256"/>
      <c r="L45" s="1"/>
      <c r="M45" s="319"/>
      <c r="N45" s="319"/>
      <c r="O45" s="476" t="str">
        <f>IF(C45="","",VLOOKUP($C45,$B$1176:$F$1289,4,FALSE))</f>
        <v/>
      </c>
      <c r="P45" s="476" t="e">
        <f>O45*$AA$1092</f>
        <v>#VALUE!</v>
      </c>
      <c r="Q45" s="476">
        <f>IF(SUM($S$49:$S$60)=0,0,SUMIF($C$49:$C$60,B45,$S$49:$S$62)*$U$35*SUM($S$49:$S$62)/SUM($S$49:$S$60))</f>
        <v>0</v>
      </c>
      <c r="R45" s="319">
        <f>SUMIF($B$1102:$B$1105,C45,$A$1102:$A$1105)</f>
        <v>0</v>
      </c>
      <c r="S45" s="319" t="s">
        <v>1687</v>
      </c>
      <c r="T45" s="319"/>
      <c r="U45" s="319"/>
      <c r="V45" s="319"/>
      <c r="W45" s="319"/>
      <c r="X45" s="319"/>
      <c r="Y45" s="319"/>
      <c r="Z45" s="319"/>
      <c r="AA45" s="319"/>
      <c r="AB45" s="319"/>
      <c r="AC45" s="319"/>
      <c r="AD45" s="319"/>
      <c r="AE45" s="319"/>
      <c r="AF45" s="319"/>
      <c r="AG45" s="319"/>
      <c r="AH45" s="319"/>
      <c r="AI45" s="319"/>
      <c r="AJ45" s="319"/>
      <c r="AK45" s="319"/>
      <c r="AL45" s="319"/>
      <c r="AM45" s="319"/>
      <c r="AN45" s="319"/>
      <c r="AO45" s="319">
        <v>2030200</v>
      </c>
      <c r="AP45" s="319"/>
      <c r="AQ45" s="319"/>
      <c r="AR45" s="319"/>
      <c r="AS45" s="319"/>
      <c r="AT45" s="319"/>
      <c r="AU45" s="319"/>
      <c r="AV45" s="319"/>
      <c r="AW45" s="319"/>
      <c r="AX45" s="319"/>
      <c r="AY45" s="319"/>
      <c r="AZ45" s="319"/>
      <c r="BA45" s="319"/>
      <c r="BB45" s="319"/>
      <c r="BC45" s="319"/>
      <c r="BD45" s="319"/>
      <c r="BE45" s="319"/>
      <c r="BF45" s="319"/>
      <c r="BG45" s="319"/>
      <c r="BH45" s="319"/>
      <c r="BI45" s="319"/>
      <c r="BJ45" s="319"/>
      <c r="BK45" s="319"/>
      <c r="BL45" s="319"/>
      <c r="BM45" s="319"/>
      <c r="BN45" s="319"/>
      <c r="BO45" s="319"/>
      <c r="BP45" s="319"/>
      <c r="BQ45" s="319"/>
      <c r="BR45" s="319"/>
      <c r="BS45" s="319"/>
      <c r="BT45" s="319"/>
      <c r="BU45" s="319"/>
      <c r="BV45" s="319"/>
      <c r="BW45" s="319"/>
      <c r="BX45" s="319"/>
      <c r="BY45" s="319"/>
      <c r="BZ45" s="319"/>
      <c r="CA45" s="319"/>
      <c r="CB45" s="319"/>
      <c r="CC45" s="319"/>
      <c r="CD45" s="319"/>
      <c r="CE45" s="319"/>
      <c r="CF45" s="319"/>
    </row>
    <row r="46" spans="1:84" ht="12.75" hidden="1" customHeight="1">
      <c r="A46" s="12"/>
      <c r="B46" s="1"/>
      <c r="C46" s="1"/>
      <c r="D46" s="1"/>
      <c r="E46" s="55">
        <f>SUM(E43:E45)</f>
        <v>0</v>
      </c>
      <c r="F46" s="1"/>
      <c r="G46" s="1"/>
      <c r="H46" s="29" t="str">
        <f>Currency&amp;Language!C1302</f>
        <v>€/MWh</v>
      </c>
      <c r="I46" s="124">
        <f>IF(Q46=0,0,J46/Q46)*3.6</f>
        <v>0</v>
      </c>
      <c r="J46" s="1358">
        <f>SUM(J43:J45)</f>
        <v>0</v>
      </c>
      <c r="K46" s="9"/>
      <c r="L46" s="1"/>
      <c r="M46" s="319"/>
      <c r="N46" s="319"/>
      <c r="O46" s="319"/>
      <c r="P46" s="319"/>
      <c r="Q46" s="476">
        <f>SUM(Q43:Q45)</f>
        <v>0</v>
      </c>
      <c r="R46" s="319">
        <f>SUM(R43:R45)</f>
        <v>0</v>
      </c>
      <c r="S46" s="319"/>
      <c r="T46" s="319"/>
      <c r="U46" s="319"/>
      <c r="V46" s="319"/>
      <c r="W46" s="319"/>
      <c r="X46" s="319"/>
      <c r="Y46" s="319"/>
      <c r="Z46" s="319"/>
      <c r="AA46" s="319"/>
      <c r="AB46" s="319"/>
      <c r="AC46" s="319"/>
      <c r="AD46" s="319"/>
      <c r="AE46" s="319"/>
      <c r="AF46" s="319"/>
      <c r="AG46" s="319"/>
      <c r="AH46" s="319"/>
      <c r="AI46" s="319"/>
      <c r="AJ46" s="319"/>
      <c r="AK46" s="319"/>
      <c r="AL46" s="319"/>
      <c r="AM46" s="319"/>
      <c r="AN46" s="319"/>
      <c r="AO46" s="319">
        <v>2030200</v>
      </c>
      <c r="AP46" s="319"/>
      <c r="AQ46" s="319"/>
      <c r="AR46" s="319"/>
      <c r="AS46" s="319"/>
      <c r="AT46" s="319"/>
      <c r="AU46" s="319"/>
      <c r="AV46" s="319"/>
      <c r="AW46" s="319"/>
      <c r="AX46" s="319"/>
      <c r="AY46" s="319"/>
      <c r="AZ46" s="319"/>
      <c r="BA46" s="319"/>
      <c r="BB46" s="319"/>
      <c r="BC46" s="319"/>
      <c r="BD46" s="319"/>
      <c r="BE46" s="319"/>
      <c r="BF46" s="319"/>
      <c r="BG46" s="319"/>
      <c r="BH46" s="319"/>
      <c r="BI46" s="319"/>
      <c r="BJ46" s="319"/>
      <c r="BK46" s="319"/>
      <c r="BL46" s="319"/>
      <c r="BM46" s="319"/>
      <c r="BN46" s="319"/>
      <c r="BO46" s="319"/>
      <c r="BP46" s="319"/>
      <c r="BQ46" s="319"/>
      <c r="BR46" s="319"/>
      <c r="BS46" s="319"/>
      <c r="BT46" s="319"/>
      <c r="BU46" s="319"/>
      <c r="BV46" s="319"/>
      <c r="BW46" s="319"/>
      <c r="BX46" s="319"/>
      <c r="BY46" s="319"/>
      <c r="BZ46" s="319"/>
      <c r="CA46" s="319"/>
      <c r="CB46" s="319"/>
      <c r="CC46" s="319"/>
      <c r="CD46" s="319"/>
      <c r="CE46" s="319"/>
      <c r="CF46" s="319"/>
    </row>
    <row r="47" spans="1:84" ht="12.75" hidden="1" customHeight="1">
      <c r="A47" s="12"/>
      <c r="B47" s="1"/>
      <c r="C47" s="1"/>
      <c r="D47" s="1"/>
      <c r="E47" s="1"/>
      <c r="F47" s="1"/>
      <c r="G47" s="1"/>
      <c r="H47" s="1"/>
      <c r="I47" s="1"/>
      <c r="J47" s="1"/>
      <c r="K47" s="9"/>
      <c r="L47" s="1"/>
      <c r="M47" s="319"/>
      <c r="N47" s="319"/>
      <c r="O47" s="319"/>
      <c r="P47" s="319"/>
      <c r="Q47" s="319"/>
      <c r="R47" s="319"/>
      <c r="S47" s="319"/>
      <c r="T47" s="319"/>
      <c r="U47" s="319"/>
      <c r="V47" s="319"/>
      <c r="W47" s="319"/>
      <c r="X47" s="319"/>
      <c r="Y47" s="319"/>
      <c r="Z47" s="319"/>
      <c r="AA47" s="319"/>
      <c r="AB47" s="319"/>
      <c r="AC47" s="319"/>
      <c r="AD47" s="319"/>
      <c r="AE47" s="319"/>
      <c r="AF47" s="319"/>
      <c r="AG47" s="319"/>
      <c r="AH47" s="319"/>
      <c r="AI47" s="319"/>
      <c r="AJ47" s="319"/>
      <c r="AK47" s="319"/>
      <c r="AL47" s="319"/>
      <c r="AM47" s="319"/>
      <c r="AN47" s="319"/>
      <c r="AO47" s="319">
        <v>2030200</v>
      </c>
      <c r="AP47" s="319"/>
      <c r="AQ47" s="319"/>
      <c r="AR47" s="319"/>
      <c r="AS47" s="319"/>
      <c r="AT47" s="319"/>
      <c r="AU47" s="319"/>
      <c r="AV47" s="319"/>
      <c r="AW47" s="319"/>
      <c r="AX47" s="319"/>
      <c r="AY47" s="319"/>
      <c r="AZ47" s="319"/>
      <c r="BA47" s="319"/>
      <c r="BB47" s="319"/>
      <c r="BC47" s="319"/>
      <c r="BD47" s="319"/>
      <c r="BE47" s="319"/>
      <c r="BF47" s="319"/>
      <c r="BG47" s="319"/>
      <c r="BH47" s="319"/>
      <c r="BI47" s="319"/>
      <c r="BJ47" s="319"/>
      <c r="BK47" s="319"/>
      <c r="BL47" s="319"/>
      <c r="BM47" s="319"/>
      <c r="BN47" s="319"/>
      <c r="BO47" s="319"/>
      <c r="BP47" s="319"/>
      <c r="BQ47" s="319"/>
      <c r="BR47" s="319"/>
      <c r="BS47" s="319"/>
      <c r="BT47" s="319"/>
      <c r="BU47" s="319"/>
      <c r="BV47" s="319"/>
      <c r="BW47" s="319"/>
      <c r="BX47" s="319"/>
      <c r="BY47" s="319"/>
      <c r="BZ47" s="319"/>
      <c r="CA47" s="319"/>
      <c r="CB47" s="319"/>
      <c r="CC47" s="319"/>
      <c r="CD47" s="319"/>
      <c r="CE47" s="319"/>
      <c r="CF47" s="319"/>
    </row>
    <row r="48" spans="1:84" ht="38.25" hidden="1" customHeight="1">
      <c r="A48" s="12"/>
      <c r="B48" s="1"/>
      <c r="C48" s="82" t="str">
        <f>B8</f>
        <v>Tipo de Combustível</v>
      </c>
      <c r="D48" s="82" t="str">
        <f>Language!C415</f>
        <v>Consumo
de combustível
MWh</v>
      </c>
      <c r="E48" s="1"/>
      <c r="F48" s="1"/>
      <c r="G48" s="1"/>
      <c r="H48" s="1"/>
      <c r="I48" s="1"/>
      <c r="J48" s="1"/>
      <c r="K48" s="9"/>
      <c r="L48" s="1"/>
      <c r="M48" s="319"/>
      <c r="N48" s="319"/>
      <c r="O48" s="319" t="s">
        <v>1382</v>
      </c>
      <c r="P48" s="319"/>
      <c r="Q48" s="319" t="s">
        <v>4374</v>
      </c>
      <c r="R48" s="319"/>
      <c r="S48" s="319" t="str">
        <f>S564</f>
        <v>Consumo
de combustível
MWh</v>
      </c>
      <c r="T48" s="319"/>
      <c r="U48" s="319"/>
      <c r="V48" s="319"/>
      <c r="W48" s="319"/>
      <c r="X48" s="319"/>
      <c r="Y48" s="319"/>
      <c r="Z48" s="319"/>
      <c r="AA48" s="319"/>
      <c r="AB48" s="319"/>
      <c r="AC48" s="319"/>
      <c r="AD48" s="319"/>
      <c r="AE48" s="319"/>
      <c r="AF48" s="319"/>
      <c r="AG48" s="319"/>
      <c r="AH48" s="319"/>
      <c r="AI48" s="319"/>
      <c r="AJ48" s="319"/>
      <c r="AK48" s="319"/>
      <c r="AL48" s="319"/>
      <c r="AM48" s="319"/>
      <c r="AN48" s="319"/>
      <c r="AO48" s="319">
        <v>2030200</v>
      </c>
      <c r="AP48" s="319"/>
      <c r="AQ48" s="319"/>
      <c r="AR48" s="319"/>
      <c r="AS48" s="319"/>
      <c r="AT48" s="319"/>
      <c r="AU48" s="319"/>
      <c r="AV48" s="319"/>
      <c r="AW48" s="319"/>
      <c r="AX48" s="319"/>
      <c r="AY48" s="319"/>
      <c r="AZ48" s="319"/>
      <c r="BA48" s="319"/>
      <c r="BB48" s="319"/>
      <c r="BC48" s="319"/>
      <c r="BD48" s="319"/>
      <c r="BE48" s="319"/>
      <c r="BF48" s="319"/>
      <c r="BG48" s="319"/>
      <c r="BH48" s="319"/>
      <c r="BI48" s="319"/>
      <c r="BJ48" s="319"/>
      <c r="BK48" s="319"/>
      <c r="BL48" s="319"/>
      <c r="BM48" s="319"/>
      <c r="BN48" s="319"/>
      <c r="BO48" s="319"/>
      <c r="BP48" s="319"/>
      <c r="BQ48" s="319"/>
      <c r="BR48" s="319"/>
      <c r="BS48" s="319"/>
      <c r="BT48" s="319"/>
      <c r="BU48" s="319"/>
      <c r="BV48" s="319"/>
      <c r="BW48" s="319"/>
      <c r="BX48" s="319"/>
      <c r="BY48" s="319"/>
      <c r="BZ48" s="319"/>
      <c r="CA48" s="319"/>
      <c r="CB48" s="319"/>
      <c r="CC48" s="319"/>
      <c r="CD48" s="319"/>
      <c r="CE48" s="319"/>
      <c r="CF48" s="319"/>
    </row>
    <row r="49" spans="1:84" ht="12.75" hidden="1" customHeight="1">
      <c r="A49" s="12"/>
      <c r="B49" s="83" t="str">
        <f>Language!C251</f>
        <v>Janeiro</v>
      </c>
      <c r="C49" s="303" t="s">
        <v>6157</v>
      </c>
      <c r="D49" s="90">
        <f t="shared" ref="D49:D60" si="0">S49/3.6</f>
        <v>0</v>
      </c>
      <c r="E49" s="1"/>
      <c r="F49" s="1"/>
      <c r="G49" s="1"/>
      <c r="H49" s="1"/>
      <c r="I49" s="1"/>
      <c r="J49" s="1"/>
      <c r="K49" s="9"/>
      <c r="L49" s="1"/>
      <c r="M49" s="319"/>
      <c r="N49" s="319"/>
      <c r="O49" s="319">
        <v>8</v>
      </c>
      <c r="P49" s="319"/>
      <c r="Q49" s="476">
        <f t="shared" ref="Q49:Q60" si="1">IF(OR(HideCode_projectType3=1,HideCode_projectType3=6)=TRUE,IF($C$28=$G$1073,K1139,H1139)/$N$1109*3.6,IF($C$30=$G$1073,HLOOKUP($N$863,$T$1132:$BZ$1151,O49,FALSE),IF($G$1120=1,$C$1127,HLOOKUP($N$863,$T$1132:$BZ$1151,O49,FALSE))))</f>
        <v>0</v>
      </c>
      <c r="R49" s="319"/>
      <c r="S49" s="476">
        <f t="shared" ref="S49:S60" si="2">Q49*C1139/1000</f>
        <v>0</v>
      </c>
      <c r="T49" s="319"/>
      <c r="U49" s="319"/>
      <c r="V49" s="319"/>
      <c r="W49" s="319"/>
      <c r="X49" s="319"/>
      <c r="Y49" s="319"/>
      <c r="Z49" s="319"/>
      <c r="AA49" s="319"/>
      <c r="AB49" s="319"/>
      <c r="AC49" s="319"/>
      <c r="AD49" s="319"/>
      <c r="AE49" s="319"/>
      <c r="AF49" s="319"/>
      <c r="AG49" s="319"/>
      <c r="AH49" s="319"/>
      <c r="AI49" s="319"/>
      <c r="AJ49" s="319"/>
      <c r="AK49" s="319"/>
      <c r="AL49" s="319"/>
      <c r="AM49" s="319"/>
      <c r="AN49" s="319"/>
      <c r="AO49" s="319">
        <v>2030200</v>
      </c>
      <c r="AP49" s="319"/>
      <c r="AQ49" s="319"/>
      <c r="AR49" s="319"/>
      <c r="AS49" s="319"/>
      <c r="AT49" s="319"/>
      <c r="AU49" s="319"/>
      <c r="AV49" s="319"/>
      <c r="AW49" s="319"/>
      <c r="AX49" s="319"/>
      <c r="AY49" s="319"/>
      <c r="AZ49" s="319"/>
      <c r="BA49" s="319"/>
      <c r="BB49" s="319"/>
      <c r="BC49" s="319"/>
      <c r="BD49" s="319"/>
      <c r="BE49" s="319"/>
      <c r="BF49" s="319"/>
      <c r="BG49" s="319"/>
      <c r="BH49" s="319"/>
      <c r="BI49" s="319"/>
      <c r="BJ49" s="319"/>
      <c r="BK49" s="319"/>
      <c r="BL49" s="319"/>
      <c r="BM49" s="319"/>
      <c r="BN49" s="319"/>
      <c r="BO49" s="319"/>
      <c r="BP49" s="319"/>
      <c r="BQ49" s="319"/>
      <c r="BR49" s="319"/>
      <c r="BS49" s="319"/>
      <c r="BT49" s="319"/>
      <c r="BU49" s="319"/>
      <c r="BV49" s="319"/>
      <c r="BW49" s="319"/>
      <c r="BX49" s="319"/>
      <c r="BY49" s="319"/>
      <c r="BZ49" s="319"/>
      <c r="CA49" s="319"/>
      <c r="CB49" s="319"/>
      <c r="CC49" s="319"/>
      <c r="CD49" s="319"/>
      <c r="CE49" s="319"/>
      <c r="CF49" s="319"/>
    </row>
    <row r="50" spans="1:84" ht="12.75" hidden="1" customHeight="1">
      <c r="A50" s="12"/>
      <c r="B50" s="83" t="str">
        <f>Language!C252</f>
        <v>Fevereiro</v>
      </c>
      <c r="C50" s="303" t="s">
        <v>6157</v>
      </c>
      <c r="D50" s="37">
        <f t="shared" si="0"/>
        <v>0</v>
      </c>
      <c r="E50" s="1"/>
      <c r="F50" s="1"/>
      <c r="G50" s="1"/>
      <c r="H50" s="1"/>
      <c r="I50" s="1"/>
      <c r="J50" s="1"/>
      <c r="K50" s="9"/>
      <c r="L50" s="1"/>
      <c r="M50" s="319"/>
      <c r="N50" s="319"/>
      <c r="O50" s="319">
        <v>9</v>
      </c>
      <c r="P50" s="319"/>
      <c r="Q50" s="476">
        <f t="shared" si="1"/>
        <v>0</v>
      </c>
      <c r="R50" s="319"/>
      <c r="S50" s="476">
        <f t="shared" si="2"/>
        <v>0</v>
      </c>
      <c r="T50" s="319"/>
      <c r="U50" s="319"/>
      <c r="V50" s="319"/>
      <c r="W50" s="319"/>
      <c r="X50" s="319"/>
      <c r="Y50" s="319"/>
      <c r="Z50" s="319"/>
      <c r="AA50" s="319"/>
      <c r="AB50" s="319"/>
      <c r="AC50" s="319"/>
      <c r="AD50" s="319"/>
      <c r="AE50" s="319"/>
      <c r="AF50" s="319"/>
      <c r="AG50" s="319"/>
      <c r="AH50" s="319"/>
      <c r="AI50" s="319"/>
      <c r="AJ50" s="319"/>
      <c r="AK50" s="319"/>
      <c r="AL50" s="319"/>
      <c r="AM50" s="319"/>
      <c r="AN50" s="319"/>
      <c r="AO50" s="319">
        <v>2030200</v>
      </c>
      <c r="AP50" s="319"/>
      <c r="AQ50" s="319"/>
      <c r="AR50" s="319"/>
      <c r="AS50" s="319"/>
      <c r="AT50" s="319"/>
      <c r="AU50" s="319"/>
      <c r="AV50" s="319"/>
      <c r="AW50" s="319"/>
      <c r="AX50" s="319"/>
      <c r="AY50" s="319"/>
      <c r="AZ50" s="319"/>
      <c r="BA50" s="319"/>
      <c r="BB50" s="319"/>
      <c r="BC50" s="319"/>
      <c r="BD50" s="319"/>
      <c r="BE50" s="319"/>
      <c r="BF50" s="319"/>
      <c r="BG50" s="319"/>
      <c r="BH50" s="319"/>
      <c r="BI50" s="319"/>
      <c r="BJ50" s="319"/>
      <c r="BK50" s="319"/>
      <c r="BL50" s="319"/>
      <c r="BM50" s="319"/>
      <c r="BN50" s="319"/>
      <c r="BO50" s="319"/>
      <c r="BP50" s="319"/>
      <c r="BQ50" s="319"/>
      <c r="BR50" s="319"/>
      <c r="BS50" s="319"/>
      <c r="BT50" s="319"/>
      <c r="BU50" s="319"/>
      <c r="BV50" s="319"/>
      <c r="BW50" s="319"/>
      <c r="BX50" s="319"/>
      <c r="BY50" s="319"/>
      <c r="BZ50" s="319"/>
      <c r="CA50" s="319"/>
      <c r="CB50" s="319"/>
      <c r="CC50" s="319"/>
      <c r="CD50" s="319"/>
      <c r="CE50" s="319"/>
      <c r="CF50" s="319"/>
    </row>
    <row r="51" spans="1:84" ht="12.75" hidden="1" customHeight="1">
      <c r="A51" s="12"/>
      <c r="B51" s="83" t="str">
        <f>Language!C253</f>
        <v>Março</v>
      </c>
      <c r="C51" s="303" t="s">
        <v>6157</v>
      </c>
      <c r="D51" s="37">
        <f t="shared" si="0"/>
        <v>0</v>
      </c>
      <c r="E51" s="1"/>
      <c r="F51" s="1"/>
      <c r="G51" s="1"/>
      <c r="H51" s="1"/>
      <c r="I51" s="1"/>
      <c r="J51" s="1"/>
      <c r="K51" s="9"/>
      <c r="L51" s="1"/>
      <c r="M51" s="319"/>
      <c r="N51" s="319"/>
      <c r="O51" s="319">
        <v>10</v>
      </c>
      <c r="P51" s="319"/>
      <c r="Q51" s="476">
        <f t="shared" si="1"/>
        <v>0</v>
      </c>
      <c r="R51" s="319"/>
      <c r="S51" s="476">
        <f t="shared" si="2"/>
        <v>0</v>
      </c>
      <c r="T51" s="319"/>
      <c r="U51" s="319"/>
      <c r="V51" s="319"/>
      <c r="W51" s="319"/>
      <c r="X51" s="319"/>
      <c r="Y51" s="319"/>
      <c r="Z51" s="319"/>
      <c r="AA51" s="319"/>
      <c r="AB51" s="319"/>
      <c r="AC51" s="319"/>
      <c r="AD51" s="319"/>
      <c r="AE51" s="319"/>
      <c r="AF51" s="319"/>
      <c r="AG51" s="319"/>
      <c r="AH51" s="319"/>
      <c r="AI51" s="319"/>
      <c r="AJ51" s="319"/>
      <c r="AK51" s="319"/>
      <c r="AL51" s="319"/>
      <c r="AM51" s="319"/>
      <c r="AN51" s="319"/>
      <c r="AO51" s="319">
        <v>2030200</v>
      </c>
      <c r="AP51" s="319"/>
      <c r="AQ51" s="319"/>
      <c r="AR51" s="319"/>
      <c r="AS51" s="319"/>
      <c r="AT51" s="319"/>
      <c r="AU51" s="319"/>
      <c r="AV51" s="319"/>
      <c r="AW51" s="319"/>
      <c r="AX51" s="319"/>
      <c r="AY51" s="319"/>
      <c r="AZ51" s="319"/>
      <c r="BA51" s="319"/>
      <c r="BB51" s="319"/>
      <c r="BC51" s="319"/>
      <c r="BD51" s="319"/>
      <c r="BE51" s="319"/>
      <c r="BF51" s="319"/>
      <c r="BG51" s="319"/>
      <c r="BH51" s="319"/>
      <c r="BI51" s="319"/>
      <c r="BJ51" s="319"/>
      <c r="BK51" s="319"/>
      <c r="BL51" s="319"/>
      <c r="BM51" s="319"/>
      <c r="BN51" s="319"/>
      <c r="BO51" s="319"/>
      <c r="BP51" s="319"/>
      <c r="BQ51" s="319"/>
      <c r="BR51" s="319"/>
      <c r="BS51" s="319"/>
      <c r="BT51" s="319"/>
      <c r="BU51" s="319"/>
      <c r="BV51" s="319"/>
      <c r="BW51" s="319"/>
      <c r="BX51" s="319"/>
      <c r="BY51" s="319"/>
      <c r="BZ51" s="319"/>
      <c r="CA51" s="319"/>
      <c r="CB51" s="319"/>
      <c r="CC51" s="319"/>
      <c r="CD51" s="319"/>
      <c r="CE51" s="319"/>
      <c r="CF51" s="319"/>
    </row>
    <row r="52" spans="1:84" ht="12.75" hidden="1" customHeight="1">
      <c r="A52" s="12"/>
      <c r="B52" s="83" t="str">
        <f>Language!C254</f>
        <v>Abril</v>
      </c>
      <c r="C52" s="303" t="s">
        <v>6157</v>
      </c>
      <c r="D52" s="37">
        <f t="shared" si="0"/>
        <v>0</v>
      </c>
      <c r="E52" s="1"/>
      <c r="F52" s="1"/>
      <c r="G52" s="1"/>
      <c r="H52" s="1"/>
      <c r="I52" s="1"/>
      <c r="J52" s="1"/>
      <c r="K52" s="9"/>
      <c r="L52" s="1"/>
      <c r="M52" s="319"/>
      <c r="N52" s="319"/>
      <c r="O52" s="319">
        <v>11</v>
      </c>
      <c r="P52" s="319"/>
      <c r="Q52" s="476">
        <f t="shared" si="1"/>
        <v>0</v>
      </c>
      <c r="R52" s="319"/>
      <c r="S52" s="476">
        <f t="shared" si="2"/>
        <v>0</v>
      </c>
      <c r="T52" s="319"/>
      <c r="U52" s="319"/>
      <c r="V52" s="319"/>
      <c r="W52" s="319"/>
      <c r="X52" s="319"/>
      <c r="Y52" s="319"/>
      <c r="Z52" s="319"/>
      <c r="AA52" s="319"/>
      <c r="AB52" s="319"/>
      <c r="AC52" s="319"/>
      <c r="AD52" s="319"/>
      <c r="AE52" s="319"/>
      <c r="AF52" s="319"/>
      <c r="AG52" s="319"/>
      <c r="AH52" s="319"/>
      <c r="AI52" s="319"/>
      <c r="AJ52" s="319"/>
      <c r="AK52" s="319"/>
      <c r="AL52" s="319"/>
      <c r="AM52" s="319"/>
      <c r="AN52" s="319"/>
      <c r="AO52" s="319">
        <v>2030200</v>
      </c>
      <c r="AP52" s="319"/>
      <c r="AQ52" s="319"/>
      <c r="AR52" s="319"/>
      <c r="AS52" s="319"/>
      <c r="AT52" s="319"/>
      <c r="AU52" s="319"/>
      <c r="AV52" s="319"/>
      <c r="AW52" s="319"/>
      <c r="AX52" s="319"/>
      <c r="AY52" s="319"/>
      <c r="AZ52" s="319"/>
      <c r="BA52" s="319"/>
      <c r="BB52" s="319"/>
      <c r="BC52" s="319"/>
      <c r="BD52" s="319"/>
      <c r="BE52" s="319"/>
      <c r="BF52" s="319"/>
      <c r="BG52" s="319"/>
      <c r="BH52" s="319"/>
      <c r="BI52" s="319"/>
      <c r="BJ52" s="319"/>
      <c r="BK52" s="319"/>
      <c r="BL52" s="319"/>
      <c r="BM52" s="319"/>
      <c r="BN52" s="319"/>
      <c r="BO52" s="319"/>
      <c r="BP52" s="319"/>
      <c r="BQ52" s="319"/>
      <c r="BR52" s="319"/>
      <c r="BS52" s="319"/>
      <c r="BT52" s="319"/>
      <c r="BU52" s="319"/>
      <c r="BV52" s="319"/>
      <c r="BW52" s="319"/>
      <c r="BX52" s="319"/>
      <c r="BY52" s="319"/>
      <c r="BZ52" s="319"/>
      <c r="CA52" s="319"/>
      <c r="CB52" s="319"/>
      <c r="CC52" s="319"/>
      <c r="CD52" s="319"/>
      <c r="CE52" s="319"/>
      <c r="CF52" s="319"/>
    </row>
    <row r="53" spans="1:84" ht="12.75" hidden="1" customHeight="1">
      <c r="A53" s="12"/>
      <c r="B53" s="83" t="str">
        <f>Language!C255</f>
        <v>Maio</v>
      </c>
      <c r="C53" s="303" t="s">
        <v>6157</v>
      </c>
      <c r="D53" s="37">
        <f t="shared" si="0"/>
        <v>0</v>
      </c>
      <c r="E53" s="1"/>
      <c r="F53" s="1"/>
      <c r="G53" s="1"/>
      <c r="H53" s="1"/>
      <c r="I53" s="1"/>
      <c r="J53" s="1"/>
      <c r="K53" s="9"/>
      <c r="L53" s="1"/>
      <c r="M53" s="319"/>
      <c r="N53" s="319"/>
      <c r="O53" s="319">
        <v>12</v>
      </c>
      <c r="P53" s="319"/>
      <c r="Q53" s="476">
        <f t="shared" si="1"/>
        <v>0</v>
      </c>
      <c r="R53" s="319"/>
      <c r="S53" s="476">
        <f t="shared" si="2"/>
        <v>0</v>
      </c>
      <c r="T53" s="319"/>
      <c r="U53" s="319"/>
      <c r="V53" s="319"/>
      <c r="W53" s="319"/>
      <c r="X53" s="319"/>
      <c r="Y53" s="319"/>
      <c r="Z53" s="319"/>
      <c r="AA53" s="319"/>
      <c r="AB53" s="319"/>
      <c r="AC53" s="319"/>
      <c r="AD53" s="319"/>
      <c r="AE53" s="319"/>
      <c r="AF53" s="319"/>
      <c r="AG53" s="319"/>
      <c r="AH53" s="319"/>
      <c r="AI53" s="319"/>
      <c r="AJ53" s="319"/>
      <c r="AK53" s="319"/>
      <c r="AL53" s="319"/>
      <c r="AM53" s="319"/>
      <c r="AN53" s="319"/>
      <c r="AO53" s="319">
        <v>2030200</v>
      </c>
      <c r="AP53" s="319"/>
      <c r="AQ53" s="319"/>
      <c r="AR53" s="319"/>
      <c r="AS53" s="319"/>
      <c r="AT53" s="319"/>
      <c r="AU53" s="319"/>
      <c r="AV53" s="319"/>
      <c r="AW53" s="319"/>
      <c r="AX53" s="319"/>
      <c r="AY53" s="319"/>
      <c r="AZ53" s="319"/>
      <c r="BA53" s="319"/>
      <c r="BB53" s="319"/>
      <c r="BC53" s="319"/>
      <c r="BD53" s="319"/>
      <c r="BE53" s="319"/>
      <c r="BF53" s="319"/>
      <c r="BG53" s="319"/>
      <c r="BH53" s="319"/>
      <c r="BI53" s="319"/>
      <c r="BJ53" s="319"/>
      <c r="BK53" s="319"/>
      <c r="BL53" s="319"/>
      <c r="BM53" s="319"/>
      <c r="BN53" s="319"/>
      <c r="BO53" s="319"/>
      <c r="BP53" s="319"/>
      <c r="BQ53" s="319"/>
      <c r="BR53" s="319"/>
      <c r="BS53" s="319"/>
      <c r="BT53" s="319"/>
      <c r="BU53" s="319"/>
      <c r="BV53" s="319"/>
      <c r="BW53" s="319"/>
      <c r="BX53" s="319"/>
      <c r="BY53" s="319"/>
      <c r="BZ53" s="319"/>
      <c r="CA53" s="319"/>
      <c r="CB53" s="319"/>
      <c r="CC53" s="319"/>
      <c r="CD53" s="319"/>
      <c r="CE53" s="319"/>
      <c r="CF53" s="319"/>
    </row>
    <row r="54" spans="1:84" ht="12.75" hidden="1" customHeight="1">
      <c r="A54" s="12"/>
      <c r="B54" s="83" t="str">
        <f>Language!C256</f>
        <v>Junho</v>
      </c>
      <c r="C54" s="303" t="s">
        <v>6157</v>
      </c>
      <c r="D54" s="37">
        <f t="shared" si="0"/>
        <v>0</v>
      </c>
      <c r="E54" s="1"/>
      <c r="F54" s="1"/>
      <c r="G54" s="1"/>
      <c r="H54" s="1"/>
      <c r="I54" s="1"/>
      <c r="J54" s="1"/>
      <c r="K54" s="9"/>
      <c r="L54" s="1"/>
      <c r="M54" s="319"/>
      <c r="N54" s="319"/>
      <c r="O54" s="319">
        <v>13</v>
      </c>
      <c r="P54" s="319"/>
      <c r="Q54" s="476">
        <f t="shared" si="1"/>
        <v>0</v>
      </c>
      <c r="R54" s="319"/>
      <c r="S54" s="476">
        <f t="shared" si="2"/>
        <v>0</v>
      </c>
      <c r="T54" s="319"/>
      <c r="U54" s="319"/>
      <c r="V54" s="319"/>
      <c r="W54" s="319"/>
      <c r="X54" s="319"/>
      <c r="Y54" s="319"/>
      <c r="Z54" s="319"/>
      <c r="AA54" s="319"/>
      <c r="AB54" s="319"/>
      <c r="AC54" s="319"/>
      <c r="AD54" s="319"/>
      <c r="AE54" s="319"/>
      <c r="AF54" s="319"/>
      <c r="AG54" s="319"/>
      <c r="AH54" s="319"/>
      <c r="AI54" s="319"/>
      <c r="AJ54" s="319"/>
      <c r="AK54" s="319"/>
      <c r="AL54" s="319"/>
      <c r="AM54" s="319"/>
      <c r="AN54" s="319"/>
      <c r="AO54" s="319">
        <v>2030200</v>
      </c>
      <c r="AP54" s="319"/>
      <c r="AQ54" s="319"/>
      <c r="AR54" s="319"/>
      <c r="AS54" s="319"/>
      <c r="AT54" s="319"/>
      <c r="AU54" s="319"/>
      <c r="AV54" s="319"/>
      <c r="AW54" s="319"/>
      <c r="AX54" s="319"/>
      <c r="AY54" s="319"/>
      <c r="AZ54" s="319"/>
      <c r="BA54" s="319"/>
      <c r="BB54" s="319"/>
      <c r="BC54" s="319"/>
      <c r="BD54" s="319"/>
      <c r="BE54" s="319"/>
      <c r="BF54" s="319"/>
      <c r="BG54" s="319"/>
      <c r="BH54" s="319"/>
      <c r="BI54" s="319"/>
      <c r="BJ54" s="319"/>
      <c r="BK54" s="319"/>
      <c r="BL54" s="319"/>
      <c r="BM54" s="319"/>
      <c r="BN54" s="319"/>
      <c r="BO54" s="319"/>
      <c r="BP54" s="319"/>
      <c r="BQ54" s="319"/>
      <c r="BR54" s="319"/>
      <c r="BS54" s="319"/>
      <c r="BT54" s="319"/>
      <c r="BU54" s="319"/>
      <c r="BV54" s="319"/>
      <c r="BW54" s="319"/>
      <c r="BX54" s="319"/>
      <c r="BY54" s="319"/>
      <c r="BZ54" s="319"/>
      <c r="CA54" s="319"/>
      <c r="CB54" s="319"/>
      <c r="CC54" s="319"/>
      <c r="CD54" s="319"/>
      <c r="CE54" s="319"/>
      <c r="CF54" s="319"/>
    </row>
    <row r="55" spans="1:84" ht="12.75" hidden="1" customHeight="1">
      <c r="A55" s="12"/>
      <c r="B55" s="83" t="str">
        <f>Language!C257</f>
        <v>Julho</v>
      </c>
      <c r="C55" s="303" t="s">
        <v>6157</v>
      </c>
      <c r="D55" s="37">
        <f t="shared" si="0"/>
        <v>0</v>
      </c>
      <c r="E55" s="1"/>
      <c r="F55" s="1"/>
      <c r="G55" s="1"/>
      <c r="H55" s="1"/>
      <c r="I55" s="1"/>
      <c r="J55" s="1"/>
      <c r="K55" s="9"/>
      <c r="L55" s="1"/>
      <c r="M55" s="319"/>
      <c r="N55" s="319"/>
      <c r="O55" s="319">
        <v>14</v>
      </c>
      <c r="P55" s="319"/>
      <c r="Q55" s="476">
        <f t="shared" si="1"/>
        <v>0</v>
      </c>
      <c r="R55" s="319"/>
      <c r="S55" s="476">
        <f t="shared" si="2"/>
        <v>0</v>
      </c>
      <c r="T55" s="319"/>
      <c r="U55" s="319"/>
      <c r="V55" s="319"/>
      <c r="W55" s="319"/>
      <c r="X55" s="319"/>
      <c r="Y55" s="319"/>
      <c r="Z55" s="319"/>
      <c r="AA55" s="319"/>
      <c r="AB55" s="319"/>
      <c r="AC55" s="319"/>
      <c r="AD55" s="319"/>
      <c r="AE55" s="319"/>
      <c r="AF55" s="319"/>
      <c r="AG55" s="319"/>
      <c r="AH55" s="319"/>
      <c r="AI55" s="319"/>
      <c r="AJ55" s="319"/>
      <c r="AK55" s="319"/>
      <c r="AL55" s="319"/>
      <c r="AM55" s="319"/>
      <c r="AN55" s="319"/>
      <c r="AO55" s="319">
        <v>2030200</v>
      </c>
      <c r="AP55" s="319"/>
      <c r="AQ55" s="319"/>
      <c r="AR55" s="319"/>
      <c r="AS55" s="319"/>
      <c r="AT55" s="319"/>
      <c r="AU55" s="319"/>
      <c r="AV55" s="319"/>
      <c r="AW55" s="319"/>
      <c r="AX55" s="319"/>
      <c r="AY55" s="319"/>
      <c r="AZ55" s="319"/>
      <c r="BA55" s="319"/>
      <c r="BB55" s="319"/>
      <c r="BC55" s="319"/>
      <c r="BD55" s="319"/>
      <c r="BE55" s="319"/>
      <c r="BF55" s="319"/>
      <c r="BG55" s="319"/>
      <c r="BH55" s="319"/>
      <c r="BI55" s="319"/>
      <c r="BJ55" s="319"/>
      <c r="BK55" s="319"/>
      <c r="BL55" s="319"/>
      <c r="BM55" s="319"/>
      <c r="BN55" s="319"/>
      <c r="BO55" s="319"/>
      <c r="BP55" s="319"/>
      <c r="BQ55" s="319"/>
      <c r="BR55" s="319"/>
      <c r="BS55" s="319"/>
      <c r="BT55" s="319"/>
      <c r="BU55" s="319"/>
      <c r="BV55" s="319"/>
      <c r="BW55" s="319"/>
      <c r="BX55" s="319"/>
      <c r="BY55" s="319"/>
      <c r="BZ55" s="319"/>
      <c r="CA55" s="319"/>
      <c r="CB55" s="319"/>
      <c r="CC55" s="319"/>
      <c r="CD55" s="319"/>
      <c r="CE55" s="319"/>
      <c r="CF55" s="319"/>
    </row>
    <row r="56" spans="1:84" ht="12.75" hidden="1" customHeight="1">
      <c r="A56" s="12"/>
      <c r="B56" s="83" t="str">
        <f>Language!C258</f>
        <v>Agosto</v>
      </c>
      <c r="C56" s="303" t="s">
        <v>6157</v>
      </c>
      <c r="D56" s="37">
        <f t="shared" si="0"/>
        <v>0</v>
      </c>
      <c r="E56" s="1"/>
      <c r="F56" s="1"/>
      <c r="G56" s="1"/>
      <c r="H56" s="1"/>
      <c r="I56" s="1"/>
      <c r="J56" s="1"/>
      <c r="K56" s="9"/>
      <c r="L56" s="1"/>
      <c r="M56" s="319"/>
      <c r="N56" s="319"/>
      <c r="O56" s="319">
        <v>15</v>
      </c>
      <c r="P56" s="319"/>
      <c r="Q56" s="476">
        <f t="shared" si="1"/>
        <v>0</v>
      </c>
      <c r="R56" s="319"/>
      <c r="S56" s="476">
        <f t="shared" si="2"/>
        <v>0</v>
      </c>
      <c r="T56" s="319"/>
      <c r="U56" s="319"/>
      <c r="V56" s="319"/>
      <c r="W56" s="319"/>
      <c r="X56" s="319"/>
      <c r="Y56" s="319"/>
      <c r="Z56" s="319"/>
      <c r="AA56" s="319"/>
      <c r="AB56" s="319"/>
      <c r="AC56" s="319"/>
      <c r="AD56" s="319"/>
      <c r="AE56" s="319"/>
      <c r="AF56" s="319"/>
      <c r="AG56" s="319"/>
      <c r="AH56" s="319"/>
      <c r="AI56" s="319"/>
      <c r="AJ56" s="319"/>
      <c r="AK56" s="319"/>
      <c r="AL56" s="319"/>
      <c r="AM56" s="319"/>
      <c r="AN56" s="319"/>
      <c r="AO56" s="319">
        <v>2030200</v>
      </c>
      <c r="AP56" s="319"/>
      <c r="AQ56" s="319"/>
      <c r="AR56" s="319"/>
      <c r="AS56" s="319"/>
      <c r="AT56" s="319"/>
      <c r="AU56" s="319"/>
      <c r="AV56" s="319"/>
      <c r="AW56" s="319"/>
      <c r="AX56" s="319"/>
      <c r="AY56" s="319"/>
      <c r="AZ56" s="319"/>
      <c r="BA56" s="319"/>
      <c r="BB56" s="319"/>
      <c r="BC56" s="319"/>
      <c r="BD56" s="319"/>
      <c r="BE56" s="319"/>
      <c r="BF56" s="319"/>
      <c r="BG56" s="319"/>
      <c r="BH56" s="319"/>
      <c r="BI56" s="319"/>
      <c r="BJ56" s="319"/>
      <c r="BK56" s="319"/>
      <c r="BL56" s="319"/>
      <c r="BM56" s="319"/>
      <c r="BN56" s="319"/>
      <c r="BO56" s="319"/>
      <c r="BP56" s="319"/>
      <c r="BQ56" s="319"/>
      <c r="BR56" s="319"/>
      <c r="BS56" s="319"/>
      <c r="BT56" s="319"/>
      <c r="BU56" s="319"/>
      <c r="BV56" s="319"/>
      <c r="BW56" s="319"/>
      <c r="BX56" s="319"/>
      <c r="BY56" s="319"/>
      <c r="BZ56" s="319"/>
      <c r="CA56" s="319"/>
      <c r="CB56" s="319"/>
      <c r="CC56" s="319"/>
      <c r="CD56" s="319"/>
      <c r="CE56" s="319"/>
      <c r="CF56" s="319"/>
    </row>
    <row r="57" spans="1:84" ht="12.75" hidden="1" customHeight="1">
      <c r="A57" s="12"/>
      <c r="B57" s="83" t="str">
        <f>Language!C259</f>
        <v>Setembro</v>
      </c>
      <c r="C57" s="303" t="s">
        <v>6157</v>
      </c>
      <c r="D57" s="37">
        <f t="shared" si="0"/>
        <v>0</v>
      </c>
      <c r="E57" s="1"/>
      <c r="F57" s="1"/>
      <c r="G57" s="1"/>
      <c r="H57" s="1"/>
      <c r="I57" s="1"/>
      <c r="J57" s="1"/>
      <c r="K57" s="9"/>
      <c r="L57" s="1"/>
      <c r="M57" s="319"/>
      <c r="N57" s="319"/>
      <c r="O57" s="319">
        <v>16</v>
      </c>
      <c r="P57" s="319"/>
      <c r="Q57" s="476">
        <f t="shared" si="1"/>
        <v>0</v>
      </c>
      <c r="R57" s="319"/>
      <c r="S57" s="476">
        <f t="shared" si="2"/>
        <v>0</v>
      </c>
      <c r="T57" s="319"/>
      <c r="U57" s="319"/>
      <c r="V57" s="319"/>
      <c r="W57" s="319"/>
      <c r="X57" s="319"/>
      <c r="Y57" s="319"/>
      <c r="Z57" s="319"/>
      <c r="AA57" s="319"/>
      <c r="AB57" s="319"/>
      <c r="AC57" s="319"/>
      <c r="AD57" s="319"/>
      <c r="AE57" s="319"/>
      <c r="AF57" s="319"/>
      <c r="AG57" s="319"/>
      <c r="AH57" s="319"/>
      <c r="AI57" s="319"/>
      <c r="AJ57" s="319"/>
      <c r="AK57" s="319"/>
      <c r="AL57" s="319"/>
      <c r="AM57" s="319"/>
      <c r="AN57" s="319"/>
      <c r="AO57" s="319">
        <v>2030200</v>
      </c>
      <c r="AP57" s="319"/>
      <c r="AQ57" s="319"/>
      <c r="AR57" s="319"/>
      <c r="AS57" s="319"/>
      <c r="AT57" s="319"/>
      <c r="AU57" s="319"/>
      <c r="AV57" s="319"/>
      <c r="AW57" s="319"/>
      <c r="AX57" s="319"/>
      <c r="AY57" s="319"/>
      <c r="AZ57" s="319"/>
      <c r="BA57" s="319"/>
      <c r="BB57" s="319"/>
      <c r="BC57" s="319"/>
      <c r="BD57" s="319"/>
      <c r="BE57" s="319"/>
      <c r="BF57" s="319"/>
      <c r="BG57" s="319"/>
      <c r="BH57" s="319"/>
      <c r="BI57" s="319"/>
      <c r="BJ57" s="319"/>
      <c r="BK57" s="319"/>
      <c r="BL57" s="319"/>
      <c r="BM57" s="319"/>
      <c r="BN57" s="319"/>
      <c r="BO57" s="319"/>
      <c r="BP57" s="319"/>
      <c r="BQ57" s="319"/>
      <c r="BR57" s="319"/>
      <c r="BS57" s="319"/>
      <c r="BT57" s="319"/>
      <c r="BU57" s="319"/>
      <c r="BV57" s="319"/>
      <c r="BW57" s="319"/>
      <c r="BX57" s="319"/>
      <c r="BY57" s="319"/>
      <c r="BZ57" s="319"/>
      <c r="CA57" s="319"/>
      <c r="CB57" s="319"/>
      <c r="CC57" s="319"/>
      <c r="CD57" s="319"/>
      <c r="CE57" s="319"/>
      <c r="CF57" s="319"/>
    </row>
    <row r="58" spans="1:84" ht="12.75" hidden="1" customHeight="1">
      <c r="A58" s="12"/>
      <c r="B58" s="83" t="str">
        <f>Language!C260</f>
        <v>Outubro</v>
      </c>
      <c r="C58" s="303" t="s">
        <v>6157</v>
      </c>
      <c r="D58" s="37">
        <f t="shared" si="0"/>
        <v>0</v>
      </c>
      <c r="E58" s="1"/>
      <c r="F58" s="1"/>
      <c r="G58" s="1"/>
      <c r="H58" s="1"/>
      <c r="I58" s="1"/>
      <c r="J58" s="1"/>
      <c r="K58" s="9"/>
      <c r="L58" s="1"/>
      <c r="M58" s="319"/>
      <c r="N58" s="319"/>
      <c r="O58" s="319">
        <v>17</v>
      </c>
      <c r="P58" s="319"/>
      <c r="Q58" s="476">
        <f t="shared" si="1"/>
        <v>0</v>
      </c>
      <c r="R58" s="319"/>
      <c r="S58" s="476">
        <f t="shared" si="2"/>
        <v>0</v>
      </c>
      <c r="T58" s="319"/>
      <c r="U58" s="319"/>
      <c r="V58" s="319"/>
      <c r="W58" s="319"/>
      <c r="X58" s="319"/>
      <c r="Y58" s="319"/>
      <c r="Z58" s="319"/>
      <c r="AA58" s="319"/>
      <c r="AB58" s="319"/>
      <c r="AC58" s="319"/>
      <c r="AD58" s="319"/>
      <c r="AE58" s="319"/>
      <c r="AF58" s="319"/>
      <c r="AG58" s="319"/>
      <c r="AH58" s="319"/>
      <c r="AI58" s="319"/>
      <c r="AJ58" s="319"/>
      <c r="AK58" s="319"/>
      <c r="AL58" s="319"/>
      <c r="AM58" s="319"/>
      <c r="AN58" s="319"/>
      <c r="AO58" s="319">
        <v>2030200</v>
      </c>
      <c r="AP58" s="319"/>
      <c r="AQ58" s="319"/>
      <c r="AR58" s="319"/>
      <c r="AS58" s="319"/>
      <c r="AT58" s="319"/>
      <c r="AU58" s="319"/>
      <c r="AV58" s="319"/>
      <c r="AW58" s="319"/>
      <c r="AX58" s="319"/>
      <c r="AY58" s="319"/>
      <c r="AZ58" s="319"/>
      <c r="BA58" s="319"/>
      <c r="BB58" s="319"/>
      <c r="BC58" s="319"/>
      <c r="BD58" s="319"/>
      <c r="BE58" s="319"/>
      <c r="BF58" s="319"/>
      <c r="BG58" s="319"/>
      <c r="BH58" s="319"/>
      <c r="BI58" s="319"/>
      <c r="BJ58" s="319"/>
      <c r="BK58" s="319"/>
      <c r="BL58" s="319"/>
      <c r="BM58" s="319"/>
      <c r="BN58" s="319"/>
      <c r="BO58" s="319"/>
      <c r="BP58" s="319"/>
      <c r="BQ58" s="319"/>
      <c r="BR58" s="319"/>
      <c r="BS58" s="319"/>
      <c r="BT58" s="319"/>
      <c r="BU58" s="319"/>
      <c r="BV58" s="319"/>
      <c r="BW58" s="319"/>
      <c r="BX58" s="319"/>
      <c r="BY58" s="319"/>
      <c r="BZ58" s="319"/>
      <c r="CA58" s="319"/>
      <c r="CB58" s="319"/>
      <c r="CC58" s="319"/>
      <c r="CD58" s="319"/>
      <c r="CE58" s="319"/>
      <c r="CF58" s="319"/>
    </row>
    <row r="59" spans="1:84" ht="12.75" hidden="1" customHeight="1">
      <c r="A59" s="12"/>
      <c r="B59" s="83" t="str">
        <f>Language!C261</f>
        <v>Novembro</v>
      </c>
      <c r="C59" s="303" t="s">
        <v>6157</v>
      </c>
      <c r="D59" s="37">
        <f t="shared" si="0"/>
        <v>0</v>
      </c>
      <c r="E59" s="1"/>
      <c r="F59" s="1"/>
      <c r="G59" s="1"/>
      <c r="H59" s="1"/>
      <c r="I59" s="1"/>
      <c r="J59" s="1"/>
      <c r="K59" s="9"/>
      <c r="L59" s="1"/>
      <c r="M59" s="319"/>
      <c r="N59" s="319"/>
      <c r="O59" s="319">
        <v>18</v>
      </c>
      <c r="P59" s="319"/>
      <c r="Q59" s="476">
        <f t="shared" si="1"/>
        <v>0</v>
      </c>
      <c r="R59" s="319"/>
      <c r="S59" s="476">
        <f t="shared" si="2"/>
        <v>0</v>
      </c>
      <c r="T59" s="319"/>
      <c r="U59" s="319"/>
      <c r="V59" s="319"/>
      <c r="W59" s="319"/>
      <c r="X59" s="319"/>
      <c r="Y59" s="319"/>
      <c r="Z59" s="319"/>
      <c r="AA59" s="319"/>
      <c r="AB59" s="319"/>
      <c r="AC59" s="319"/>
      <c r="AD59" s="319"/>
      <c r="AE59" s="319"/>
      <c r="AF59" s="319"/>
      <c r="AG59" s="319"/>
      <c r="AH59" s="319"/>
      <c r="AI59" s="319"/>
      <c r="AJ59" s="319"/>
      <c r="AK59" s="319"/>
      <c r="AL59" s="319"/>
      <c r="AM59" s="319"/>
      <c r="AN59" s="319"/>
      <c r="AO59" s="319">
        <v>2030200</v>
      </c>
      <c r="AP59" s="319"/>
      <c r="AQ59" s="319"/>
      <c r="AR59" s="319"/>
      <c r="AS59" s="319"/>
      <c r="AT59" s="319"/>
      <c r="AU59" s="319"/>
      <c r="AV59" s="319"/>
      <c r="AW59" s="319"/>
      <c r="AX59" s="319"/>
      <c r="AY59" s="319"/>
      <c r="AZ59" s="319"/>
      <c r="BA59" s="319"/>
      <c r="BB59" s="319"/>
      <c r="BC59" s="319"/>
      <c r="BD59" s="319"/>
      <c r="BE59" s="319"/>
      <c r="BF59" s="319"/>
      <c r="BG59" s="319"/>
      <c r="BH59" s="319"/>
      <c r="BI59" s="319"/>
      <c r="BJ59" s="319"/>
      <c r="BK59" s="319"/>
      <c r="BL59" s="319"/>
      <c r="BM59" s="319"/>
      <c r="BN59" s="319"/>
      <c r="BO59" s="319"/>
      <c r="BP59" s="319"/>
      <c r="BQ59" s="319"/>
      <c r="BR59" s="319"/>
      <c r="BS59" s="319"/>
      <c r="BT59" s="319"/>
      <c r="BU59" s="319"/>
      <c r="BV59" s="319"/>
      <c r="BW59" s="319"/>
      <c r="BX59" s="319"/>
      <c r="BY59" s="319"/>
      <c r="BZ59" s="319"/>
      <c r="CA59" s="319"/>
      <c r="CB59" s="319"/>
      <c r="CC59" s="319"/>
      <c r="CD59" s="319"/>
      <c r="CE59" s="319"/>
      <c r="CF59" s="319"/>
    </row>
    <row r="60" spans="1:84" ht="12.75" hidden="1" customHeight="1">
      <c r="A60" s="12"/>
      <c r="B60" s="83" t="str">
        <f>Language!C262</f>
        <v>Dezembro</v>
      </c>
      <c r="C60" s="303" t="s">
        <v>6157</v>
      </c>
      <c r="D60" s="42">
        <f t="shared" si="0"/>
        <v>0</v>
      </c>
      <c r="E60" s="1"/>
      <c r="F60" s="1"/>
      <c r="G60" s="1"/>
      <c r="H60" s="1"/>
      <c r="I60" s="1"/>
      <c r="J60" s="1"/>
      <c r="K60" s="9"/>
      <c r="L60" s="1"/>
      <c r="M60" s="319"/>
      <c r="N60" s="319"/>
      <c r="O60" s="319">
        <v>19</v>
      </c>
      <c r="P60" s="319"/>
      <c r="Q60" s="476">
        <f t="shared" si="1"/>
        <v>0</v>
      </c>
      <c r="R60" s="319"/>
      <c r="S60" s="476">
        <f t="shared" si="2"/>
        <v>0</v>
      </c>
      <c r="T60" s="319"/>
      <c r="U60" s="319"/>
      <c r="V60" s="319"/>
      <c r="W60" s="319"/>
      <c r="X60" s="319"/>
      <c r="Y60" s="319"/>
      <c r="Z60" s="319"/>
      <c r="AA60" s="319"/>
      <c r="AB60" s="319"/>
      <c r="AC60" s="319"/>
      <c r="AD60" s="319"/>
      <c r="AE60" s="319"/>
      <c r="AF60" s="319"/>
      <c r="AG60" s="319"/>
      <c r="AH60" s="319"/>
      <c r="AI60" s="319"/>
      <c r="AJ60" s="319"/>
      <c r="AK60" s="319"/>
      <c r="AL60" s="319"/>
      <c r="AM60" s="319"/>
      <c r="AN60" s="319"/>
      <c r="AO60" s="319">
        <v>2030200</v>
      </c>
      <c r="AP60" s="319"/>
      <c r="AQ60" s="319"/>
      <c r="AR60" s="319"/>
      <c r="AS60" s="319"/>
      <c r="AT60" s="319"/>
      <c r="AU60" s="319"/>
      <c r="AV60" s="319"/>
      <c r="AW60" s="319"/>
      <c r="AX60" s="319"/>
      <c r="AY60" s="319"/>
      <c r="AZ60" s="319"/>
      <c r="BA60" s="319"/>
      <c r="BB60" s="319"/>
      <c r="BC60" s="319"/>
      <c r="BD60" s="319"/>
      <c r="BE60" s="319"/>
      <c r="BF60" s="319"/>
      <c r="BG60" s="319"/>
      <c r="BH60" s="319"/>
      <c r="BI60" s="319"/>
      <c r="BJ60" s="319"/>
      <c r="BK60" s="319"/>
      <c r="BL60" s="319"/>
      <c r="BM60" s="319"/>
      <c r="BN60" s="319"/>
      <c r="BO60" s="319"/>
      <c r="BP60" s="319"/>
      <c r="BQ60" s="319"/>
      <c r="BR60" s="319"/>
      <c r="BS60" s="319"/>
      <c r="BT60" s="319"/>
      <c r="BU60" s="319"/>
      <c r="BV60" s="319"/>
      <c r="BW60" s="319"/>
      <c r="BX60" s="319"/>
      <c r="BY60" s="319"/>
      <c r="BZ60" s="319"/>
      <c r="CA60" s="319"/>
      <c r="CB60" s="319"/>
      <c r="CC60" s="319"/>
      <c r="CD60" s="319"/>
      <c r="CE60" s="319"/>
      <c r="CF60" s="319"/>
    </row>
    <row r="61" spans="1:84" ht="12.75" hidden="1" customHeight="1">
      <c r="A61" s="12"/>
      <c r="B61" s="1"/>
      <c r="C61" s="29" t="str">
        <f>Language!C233</f>
        <v>Total</v>
      </c>
      <c r="D61" s="30">
        <f>SUM(D49:D60)</f>
        <v>0</v>
      </c>
      <c r="E61" s="1"/>
      <c r="F61" s="1"/>
      <c r="G61" s="1"/>
      <c r="H61" s="1"/>
      <c r="I61" s="1"/>
      <c r="J61" s="1"/>
      <c r="K61" s="9"/>
      <c r="L61" s="1"/>
      <c r="M61" s="319"/>
      <c r="N61" s="319"/>
      <c r="O61" s="319">
        <v>20</v>
      </c>
      <c r="P61" s="319"/>
      <c r="Q61" s="476"/>
      <c r="R61" s="319"/>
      <c r="S61" s="476"/>
      <c r="T61" s="319"/>
      <c r="U61" s="319"/>
      <c r="V61" s="319"/>
      <c r="W61" s="319"/>
      <c r="X61" s="319"/>
      <c r="Y61" s="319"/>
      <c r="Z61" s="319"/>
      <c r="AA61" s="319"/>
      <c r="AB61" s="319"/>
      <c r="AC61" s="319"/>
      <c r="AD61" s="319"/>
      <c r="AE61" s="319"/>
      <c r="AF61" s="319"/>
      <c r="AG61" s="319"/>
      <c r="AH61" s="319"/>
      <c r="AI61" s="319"/>
      <c r="AJ61" s="319"/>
      <c r="AK61" s="319"/>
      <c r="AL61" s="319"/>
      <c r="AM61" s="319"/>
      <c r="AN61" s="319"/>
      <c r="AO61" s="319">
        <v>2030200</v>
      </c>
      <c r="AP61" s="319"/>
      <c r="AQ61" s="319"/>
      <c r="AR61" s="319"/>
      <c r="AS61" s="319"/>
      <c r="AT61" s="319"/>
      <c r="AU61" s="319"/>
      <c r="AV61" s="319"/>
      <c r="AW61" s="319"/>
      <c r="AX61" s="319"/>
      <c r="AY61" s="319"/>
      <c r="AZ61" s="319"/>
      <c r="BA61" s="319"/>
      <c r="BB61" s="319"/>
      <c r="BC61" s="319"/>
      <c r="BD61" s="319"/>
      <c r="BE61" s="319"/>
      <c r="BF61" s="319"/>
      <c r="BG61" s="319"/>
      <c r="BH61" s="319"/>
      <c r="BI61" s="319"/>
      <c r="BJ61" s="319"/>
      <c r="BK61" s="319"/>
      <c r="BL61" s="319"/>
      <c r="BM61" s="319"/>
      <c r="BN61" s="319"/>
      <c r="BO61" s="319"/>
      <c r="BP61" s="319"/>
      <c r="BQ61" s="319"/>
      <c r="BR61" s="319"/>
      <c r="BS61" s="319"/>
      <c r="BT61" s="319"/>
      <c r="BU61" s="319"/>
      <c r="BV61" s="319"/>
      <c r="BW61" s="319"/>
      <c r="BX61" s="319"/>
      <c r="BY61" s="319"/>
      <c r="BZ61" s="319"/>
      <c r="CA61" s="319"/>
      <c r="CB61" s="319"/>
      <c r="CC61" s="319"/>
      <c r="CD61" s="319"/>
      <c r="CE61" s="319"/>
      <c r="CF61" s="319"/>
    </row>
    <row r="62" spans="1:84" ht="12.75" hidden="1" customHeight="1">
      <c r="A62" s="12"/>
      <c r="B62" s="1"/>
      <c r="C62" s="1"/>
      <c r="D62" s="1"/>
      <c r="E62" s="1"/>
      <c r="F62" s="1"/>
      <c r="G62" s="1"/>
      <c r="H62" s="1"/>
      <c r="I62" s="1"/>
      <c r="J62" s="1"/>
      <c r="K62" s="9"/>
      <c r="L62" s="1"/>
      <c r="M62" s="319"/>
      <c r="N62" s="319"/>
      <c r="O62" s="319">
        <v>20</v>
      </c>
      <c r="P62" s="319"/>
      <c r="Q62" s="476">
        <f>IF(OR(HideCode_projectType3=1,HideCode_projectType3=6)=TRUE,IF($C$28=$G$1073,K1151,H1151)/$N$1109*3.6,IF($C$30=$G$1073,HLOOKUP($N$863,$T$1132:$BZ$1151,O61,FALSE),IF($G$1120=1,$C$1127,HLOOKUP($N$863,$T$1132:$BZ$1151,O61,FALSE))))</f>
        <v>0</v>
      </c>
      <c r="R62" s="319"/>
      <c r="S62" s="476">
        <f>Q62*C1151/1000</f>
        <v>0</v>
      </c>
      <c r="T62" s="319"/>
      <c r="U62" s="319"/>
      <c r="V62" s="319"/>
      <c r="W62" s="319"/>
      <c r="X62" s="319"/>
      <c r="Y62" s="319"/>
      <c r="Z62" s="319"/>
      <c r="AA62" s="319"/>
      <c r="AB62" s="319"/>
      <c r="AC62" s="319"/>
      <c r="AD62" s="319"/>
      <c r="AE62" s="319"/>
      <c r="AF62" s="319"/>
      <c r="AG62" s="319"/>
      <c r="AH62" s="319"/>
      <c r="AI62" s="319"/>
      <c r="AJ62" s="319"/>
      <c r="AK62" s="319"/>
      <c r="AL62" s="319"/>
      <c r="AM62" s="319"/>
      <c r="AN62" s="319"/>
      <c r="AO62" s="319">
        <v>2030200</v>
      </c>
      <c r="AP62" s="319"/>
      <c r="AQ62" s="319"/>
      <c r="AR62" s="319"/>
      <c r="AS62" s="319"/>
      <c r="AT62" s="319"/>
      <c r="AU62" s="319"/>
      <c r="AV62" s="319"/>
      <c r="AW62" s="319"/>
      <c r="AX62" s="319"/>
      <c r="AY62" s="319"/>
      <c r="AZ62" s="319"/>
      <c r="BA62" s="319"/>
      <c r="BB62" s="319"/>
      <c r="BC62" s="319"/>
      <c r="BD62" s="319"/>
      <c r="BE62" s="319"/>
      <c r="BF62" s="319"/>
      <c r="BG62" s="319"/>
      <c r="BH62" s="319"/>
      <c r="BI62" s="319"/>
      <c r="BJ62" s="319"/>
      <c r="BK62" s="319"/>
      <c r="BL62" s="319"/>
      <c r="BM62" s="319"/>
      <c r="BN62" s="319"/>
      <c r="BO62" s="319"/>
      <c r="BP62" s="319"/>
      <c r="BQ62" s="319"/>
      <c r="BR62" s="319"/>
      <c r="BS62" s="319"/>
      <c r="BT62" s="319"/>
      <c r="BU62" s="319"/>
      <c r="BV62" s="319"/>
      <c r="BW62" s="319"/>
      <c r="BX62" s="319"/>
      <c r="BY62" s="319"/>
      <c r="BZ62" s="319"/>
      <c r="CA62" s="319"/>
      <c r="CB62" s="319"/>
      <c r="CC62" s="319"/>
      <c r="CD62" s="319"/>
      <c r="CE62" s="319"/>
      <c r="CF62" s="319"/>
    </row>
    <row r="63" spans="1:84" ht="12.75" hidden="1" customHeight="1">
      <c r="A63" s="12"/>
      <c r="B63" s="1"/>
      <c r="C63" s="1"/>
      <c r="D63" s="1"/>
      <c r="E63" s="1"/>
      <c r="F63" s="1"/>
      <c r="G63" s="1"/>
      <c r="H63" s="1"/>
      <c r="I63" s="1"/>
      <c r="J63" s="1"/>
      <c r="K63" s="9"/>
      <c r="L63" s="1"/>
      <c r="M63" s="319"/>
      <c r="N63" s="319"/>
      <c r="O63" s="319"/>
      <c r="P63" s="319"/>
      <c r="Q63" s="319"/>
      <c r="R63" s="319"/>
      <c r="S63" s="319"/>
      <c r="T63" s="319"/>
      <c r="U63" s="319"/>
      <c r="V63" s="319"/>
      <c r="W63" s="319"/>
      <c r="X63" s="319"/>
      <c r="Y63" s="319"/>
      <c r="Z63" s="319"/>
      <c r="AA63" s="319"/>
      <c r="AB63" s="319"/>
      <c r="AC63" s="319"/>
      <c r="AD63" s="319"/>
      <c r="AE63" s="319"/>
      <c r="AF63" s="319"/>
      <c r="AG63" s="319"/>
      <c r="AH63" s="319"/>
      <c r="AI63" s="319"/>
      <c r="AJ63" s="319"/>
      <c r="AK63" s="319"/>
      <c r="AL63" s="319"/>
      <c r="AM63" s="319"/>
      <c r="AN63" s="319"/>
      <c r="AO63" s="319">
        <v>2030300</v>
      </c>
      <c r="AP63" s="319"/>
      <c r="AQ63" s="319"/>
      <c r="AR63" s="319"/>
      <c r="AS63" s="319"/>
      <c r="AT63" s="319"/>
      <c r="AU63" s="319"/>
      <c r="AV63" s="319"/>
      <c r="AW63" s="319"/>
      <c r="AX63" s="319"/>
      <c r="AY63" s="319"/>
      <c r="AZ63" s="319"/>
      <c r="BA63" s="319"/>
      <c r="BB63" s="319"/>
      <c r="BC63" s="319"/>
      <c r="BD63" s="319"/>
      <c r="BE63" s="319"/>
      <c r="BF63" s="319"/>
      <c r="BG63" s="319"/>
      <c r="BH63" s="319"/>
      <c r="BI63" s="319"/>
      <c r="BJ63" s="319"/>
      <c r="BK63" s="319"/>
      <c r="BL63" s="319"/>
      <c r="BM63" s="319"/>
      <c r="BN63" s="319"/>
      <c r="BO63" s="319"/>
      <c r="BP63" s="319"/>
      <c r="BQ63" s="319"/>
      <c r="BR63" s="319"/>
      <c r="BS63" s="319"/>
      <c r="BT63" s="319"/>
      <c r="BU63" s="319"/>
      <c r="BV63" s="319"/>
      <c r="BW63" s="319"/>
      <c r="BX63" s="319"/>
      <c r="BY63" s="319"/>
      <c r="BZ63" s="319"/>
      <c r="CA63" s="319"/>
      <c r="CB63" s="319"/>
      <c r="CC63" s="319"/>
      <c r="CD63" s="319"/>
      <c r="CE63" s="319"/>
      <c r="CF63" s="319"/>
    </row>
    <row r="64" spans="1:84" ht="38.25" hidden="1" customHeight="1">
      <c r="A64" s="12"/>
      <c r="B64" s="1"/>
      <c r="C64" s="1208" t="str">
        <f>C42</f>
        <v>Tipo de Combustível</v>
      </c>
      <c r="D64" s="1208"/>
      <c r="E64" s="82" t="str">
        <f t="shared" ref="E64:J64" si="3">E42</f>
        <v>Mix do combustível</v>
      </c>
      <c r="F64" s="82" t="str">
        <f t="shared" si="3"/>
        <v>Consumo de combustível - unitário</v>
      </c>
      <c r="G64" s="142" t="str">
        <f t="shared" si="3"/>
        <v>Consumo de combustível</v>
      </c>
      <c r="H64" s="82" t="str">
        <f t="shared" si="3"/>
        <v>Preço combustível - unidade</v>
      </c>
      <c r="I64" s="82" t="str">
        <f t="shared" si="3"/>
        <v>Preço do combustível</v>
      </c>
      <c r="J64" s="82" t="str">
        <f t="shared" si="3"/>
        <v>Custo do combustível</v>
      </c>
      <c r="K64" s="9"/>
      <c r="L64" s="1"/>
      <c r="M64" s="319"/>
      <c r="N64" s="319"/>
      <c r="O64" s="319" t="s">
        <v>5205</v>
      </c>
      <c r="P64" s="319" t="s">
        <v>611</v>
      </c>
      <c r="Q64" s="319"/>
      <c r="R64" s="319"/>
      <c r="S64" s="319"/>
      <c r="T64" s="319"/>
      <c r="U64" s="319"/>
      <c r="V64" s="319"/>
      <c r="W64" s="319"/>
      <c r="X64" s="319"/>
      <c r="Y64" s="319"/>
      <c r="Z64" s="319"/>
      <c r="AA64" s="319"/>
      <c r="AB64" s="319"/>
      <c r="AC64" s="319"/>
      <c r="AD64" s="319"/>
      <c r="AE64" s="319"/>
      <c r="AF64" s="319"/>
      <c r="AG64" s="319"/>
      <c r="AH64" s="319"/>
      <c r="AI64" s="319"/>
      <c r="AJ64" s="319"/>
      <c r="AK64" s="319"/>
      <c r="AL64" s="319"/>
      <c r="AM64" s="319"/>
      <c r="AN64" s="319"/>
      <c r="AO64" s="319">
        <v>2030300</v>
      </c>
      <c r="AP64" s="319"/>
      <c r="AQ64" s="319"/>
      <c r="AR64" s="319"/>
      <c r="AS64" s="319"/>
      <c r="AT64" s="319"/>
      <c r="AU64" s="319"/>
      <c r="AV64" s="319"/>
      <c r="AW64" s="319"/>
      <c r="AX64" s="319"/>
      <c r="AY64" s="319"/>
      <c r="AZ64" s="319"/>
      <c r="BA64" s="319"/>
      <c r="BB64" s="319"/>
      <c r="BC64" s="319"/>
      <c r="BD64" s="319"/>
      <c r="BE64" s="319"/>
      <c r="BF64" s="319"/>
      <c r="BG64" s="319"/>
      <c r="BH64" s="319"/>
      <c r="BI64" s="319"/>
      <c r="BJ64" s="319"/>
      <c r="BK64" s="319"/>
      <c r="BL64" s="319"/>
      <c r="BM64" s="319"/>
      <c r="BN64" s="319"/>
      <c r="BO64" s="319"/>
      <c r="BP64" s="319"/>
      <c r="BQ64" s="319"/>
      <c r="BR64" s="319"/>
      <c r="BS64" s="319"/>
      <c r="BT64" s="319"/>
      <c r="BU64" s="319"/>
      <c r="BV64" s="319"/>
      <c r="BW64" s="319"/>
      <c r="BX64" s="319"/>
      <c r="BY64" s="319"/>
      <c r="BZ64" s="319"/>
      <c r="CA64" s="319"/>
      <c r="CB64" s="319"/>
      <c r="CC64" s="319"/>
      <c r="CD64" s="319"/>
      <c r="CE64" s="319"/>
      <c r="CF64" s="319"/>
    </row>
    <row r="65" spans="1:84" ht="12.75" hidden="1" customHeight="1">
      <c r="A65" s="12"/>
      <c r="B65" s="83" t="str">
        <f>B43</f>
        <v>Combustível #1</v>
      </c>
      <c r="C65" s="1226" t="s">
        <v>7152</v>
      </c>
      <c r="D65" s="1226"/>
      <c r="E65" s="339">
        <v>1</v>
      </c>
      <c r="F65" s="91" t="str">
        <f>IF(O65="","",VLOOKUP($C65,$B$1176:$F$1289,2,FALSE))</f>
        <v>t</v>
      </c>
      <c r="G65" s="88">
        <f>IF(OR(C65="",E65=""),"",$Q$46*E65*1000/O65/VLOOKUP($C65,$B$1176:$F$1289,5,FALSE))</f>
        <v>0</v>
      </c>
      <c r="H65" s="92" t="str">
        <f>IF(F65="","",VLOOKUP($C65,$B$1176:$F$1289,3,FALSE))</f>
        <v>€/t</v>
      </c>
      <c r="I65" s="399"/>
      <c r="J65" s="1374" t="str">
        <f>IF(OR(O65="",G65=0,G65=""),"",G65*I65)</f>
        <v/>
      </c>
      <c r="K65" s="1257" t="str">
        <f>Language!C62</f>
        <v>Completar planilha Ferramentas</v>
      </c>
      <c r="L65" s="1"/>
      <c r="M65" s="319"/>
      <c r="N65" s="319"/>
      <c r="O65" s="319">
        <f>IF(C65="","",VLOOKUP($C65,$B$1176:$F$1289,4,FALSE))</f>
        <v>18.444143599999997</v>
      </c>
      <c r="P65" s="319">
        <f>O65*$AA$1092</f>
        <v>7929.5544282029241</v>
      </c>
      <c r="Q65" s="319"/>
      <c r="R65" s="319">
        <f>SUMIF($B$1102:$B$1105,C65,$A$1102:$A$1105)</f>
        <v>0</v>
      </c>
      <c r="S65" s="319"/>
      <c r="T65" s="319"/>
      <c r="U65" s="319"/>
      <c r="V65" s="319"/>
      <c r="W65" s="319"/>
      <c r="X65" s="319"/>
      <c r="Y65" s="319"/>
      <c r="Z65" s="319"/>
      <c r="AA65" s="319"/>
      <c r="AB65" s="319"/>
      <c r="AC65" s="319"/>
      <c r="AD65" s="319"/>
      <c r="AE65" s="319"/>
      <c r="AF65" s="319"/>
      <c r="AG65" s="319"/>
      <c r="AH65" s="319"/>
      <c r="AI65" s="319"/>
      <c r="AJ65" s="319"/>
      <c r="AK65" s="319"/>
      <c r="AL65" s="319"/>
      <c r="AM65" s="319"/>
      <c r="AN65" s="319"/>
      <c r="AO65" s="319">
        <v>2030300</v>
      </c>
      <c r="AP65" s="319"/>
      <c r="AQ65" s="319"/>
      <c r="AR65" s="319"/>
      <c r="AS65" s="319"/>
      <c r="AT65" s="319"/>
      <c r="AU65" s="319"/>
      <c r="AV65" s="319"/>
      <c r="AW65" s="319"/>
      <c r="AX65" s="319"/>
      <c r="AY65" s="319"/>
      <c r="AZ65" s="319"/>
      <c r="BA65" s="319"/>
      <c r="BB65" s="319"/>
      <c r="BC65" s="319"/>
      <c r="BD65" s="319"/>
      <c r="BE65" s="319"/>
      <c r="BF65" s="319"/>
      <c r="BG65" s="319"/>
      <c r="BH65" s="319"/>
      <c r="BI65" s="319"/>
      <c r="BJ65" s="319"/>
      <c r="BK65" s="319"/>
      <c r="BL65" s="319"/>
      <c r="BM65" s="319"/>
      <c r="BN65" s="319"/>
      <c r="BO65" s="319"/>
      <c r="BP65" s="319"/>
      <c r="BQ65" s="319"/>
      <c r="BR65" s="319"/>
      <c r="BS65" s="319"/>
      <c r="BT65" s="319"/>
      <c r="BU65" s="319"/>
      <c r="BV65" s="319"/>
      <c r="BW65" s="319"/>
      <c r="BX65" s="319"/>
      <c r="BY65" s="319"/>
      <c r="BZ65" s="319"/>
      <c r="CA65" s="319"/>
      <c r="CB65" s="319"/>
      <c r="CC65" s="319"/>
      <c r="CD65" s="319"/>
      <c r="CE65" s="319"/>
      <c r="CF65" s="319"/>
    </row>
    <row r="66" spans="1:84" ht="12.75" hidden="1" customHeight="1">
      <c r="A66" s="12"/>
      <c r="B66" s="83" t="str">
        <f>B44</f>
        <v>Combustível #2</v>
      </c>
      <c r="C66" s="1226"/>
      <c r="D66" s="1226"/>
      <c r="E66" s="339"/>
      <c r="F66" s="93" t="str">
        <f>IF(O66="","",VLOOKUP($C66,$B$1176:$F$1289,2,FALSE))</f>
        <v/>
      </c>
      <c r="G66" s="88" t="str">
        <f>IF(OR(C66="",E66=""),"",$Q$46*E66*1000/O66/VLOOKUP($C66,$B$1176:$F$1289,5,FALSE))</f>
        <v/>
      </c>
      <c r="H66" s="38" t="str">
        <f>IF(F66="","",VLOOKUP($C66,$B$1176:$F$1289,3,FALSE))</f>
        <v/>
      </c>
      <c r="I66" s="399"/>
      <c r="J66" s="1370" t="str">
        <f>IF(OR(O66="",G66=0,G66=""),"",G66*I66)</f>
        <v/>
      </c>
      <c r="K66" s="1257"/>
      <c r="L66" s="1"/>
      <c r="M66" s="319"/>
      <c r="N66" s="319"/>
      <c r="O66" s="319" t="str">
        <f>IF(C66="","",VLOOKUP($C66,$B$1176:$F$1289,4,FALSE))</f>
        <v/>
      </c>
      <c r="P66" s="319" t="e">
        <f>O66*$AA$1092</f>
        <v>#VALUE!</v>
      </c>
      <c r="Q66" s="319"/>
      <c r="R66" s="319">
        <f>SUMIF($B$1102:$B$1105,C66,$A$1102:$A$1105)</f>
        <v>0</v>
      </c>
      <c r="S66" s="319"/>
      <c r="T66" s="319"/>
      <c r="U66" s="319"/>
      <c r="V66" s="319"/>
      <c r="W66" s="319"/>
      <c r="X66" s="319"/>
      <c r="Y66" s="319"/>
      <c r="Z66" s="319"/>
      <c r="AA66" s="319"/>
      <c r="AB66" s="319"/>
      <c r="AC66" s="319"/>
      <c r="AD66" s="319"/>
      <c r="AE66" s="319"/>
      <c r="AF66" s="319"/>
      <c r="AG66" s="319"/>
      <c r="AH66" s="319"/>
      <c r="AI66" s="319"/>
      <c r="AJ66" s="319"/>
      <c r="AK66" s="319"/>
      <c r="AL66" s="319"/>
      <c r="AM66" s="319"/>
      <c r="AN66" s="319"/>
      <c r="AO66" s="319">
        <v>2030300</v>
      </c>
      <c r="AP66" s="319"/>
      <c r="AQ66" s="319"/>
      <c r="AR66" s="319"/>
      <c r="AS66" s="319"/>
      <c r="AT66" s="319"/>
      <c r="AU66" s="319"/>
      <c r="AV66" s="319"/>
      <c r="AW66" s="319"/>
      <c r="AX66" s="319"/>
      <c r="AY66" s="319"/>
      <c r="AZ66" s="319"/>
      <c r="BA66" s="319"/>
      <c r="BB66" s="319"/>
      <c r="BC66" s="319"/>
      <c r="BD66" s="319"/>
      <c r="BE66" s="319"/>
      <c r="BF66" s="319"/>
      <c r="BG66" s="319"/>
      <c r="BH66" s="319"/>
      <c r="BI66" s="319"/>
      <c r="BJ66" s="319"/>
      <c r="BK66" s="319"/>
      <c r="BL66" s="319"/>
      <c r="BM66" s="319"/>
      <c r="BN66" s="319"/>
      <c r="BO66" s="319"/>
      <c r="BP66" s="319"/>
      <c r="BQ66" s="319"/>
      <c r="BR66" s="319"/>
      <c r="BS66" s="319"/>
      <c r="BT66" s="319"/>
      <c r="BU66" s="319"/>
      <c r="BV66" s="319"/>
      <c r="BW66" s="319"/>
      <c r="BX66" s="319"/>
      <c r="BY66" s="319"/>
      <c r="BZ66" s="319"/>
      <c r="CA66" s="319"/>
      <c r="CB66" s="319"/>
      <c r="CC66" s="319"/>
      <c r="CD66" s="319"/>
      <c r="CE66" s="319"/>
      <c r="CF66" s="319"/>
    </row>
    <row r="67" spans="1:84" ht="12.75" hidden="1" customHeight="1">
      <c r="A67" s="12"/>
      <c r="B67" s="83" t="str">
        <f>B45</f>
        <v>Combustível #3</v>
      </c>
      <c r="C67" s="1226"/>
      <c r="D67" s="1226"/>
      <c r="E67" s="339"/>
      <c r="F67" s="94" t="str">
        <f>IF(O67="","",VLOOKUP($C67,$B$1176:$F$1289,2,FALSE))</f>
        <v/>
      </c>
      <c r="G67" s="34" t="str">
        <f>IF(OR(C67="",E67=""),"",$Q$46*E67*1000/O67/VLOOKUP($C67,$B$1176:$F$1289,5,FALSE))</f>
        <v/>
      </c>
      <c r="H67" s="95" t="str">
        <f>IF(F67="","",VLOOKUP($C67,$B$1176:$F$1289,3,FALSE))</f>
        <v/>
      </c>
      <c r="I67" s="399"/>
      <c r="J67" s="1383" t="str">
        <f>IF(OR(O67="",G67=0,G67=""),"",G67*I67)</f>
        <v/>
      </c>
      <c r="K67" s="1257"/>
      <c r="L67" s="1"/>
      <c r="M67" s="319"/>
      <c r="N67" s="319"/>
      <c r="O67" s="319" t="str">
        <f>IF(C67="","",VLOOKUP($C67,$B$1176:$F$1289,4,FALSE))</f>
        <v/>
      </c>
      <c r="P67" s="319" t="e">
        <f>O67*$AA$1092</f>
        <v>#VALUE!</v>
      </c>
      <c r="Q67" s="319"/>
      <c r="R67" s="319">
        <f>SUMIF($B$1102:$B$1105,C67,$A$1102:$A$1105)</f>
        <v>0</v>
      </c>
      <c r="S67" s="319"/>
      <c r="T67" s="319"/>
      <c r="U67" s="319"/>
      <c r="V67" s="319"/>
      <c r="W67" s="319"/>
      <c r="X67" s="319"/>
      <c r="Y67" s="319"/>
      <c r="Z67" s="319"/>
      <c r="AA67" s="319"/>
      <c r="AB67" s="319"/>
      <c r="AC67" s="319"/>
      <c r="AD67" s="319"/>
      <c r="AE67" s="319"/>
      <c r="AF67" s="319"/>
      <c r="AG67" s="319"/>
      <c r="AH67" s="319"/>
      <c r="AI67" s="319"/>
      <c r="AJ67" s="319"/>
      <c r="AK67" s="319"/>
      <c r="AL67" s="319"/>
      <c r="AM67" s="319"/>
      <c r="AN67" s="319"/>
      <c r="AO67" s="319">
        <v>2030300</v>
      </c>
      <c r="AP67" s="319"/>
      <c r="AQ67" s="319"/>
      <c r="AR67" s="319"/>
      <c r="AS67" s="319"/>
      <c r="AT67" s="319"/>
      <c r="AU67" s="319"/>
      <c r="AV67" s="319"/>
      <c r="AW67" s="319"/>
      <c r="AX67" s="319"/>
      <c r="AY67" s="319"/>
      <c r="AZ67" s="319"/>
      <c r="BA67" s="319"/>
      <c r="BB67" s="319"/>
      <c r="BC67" s="319"/>
      <c r="BD67" s="319"/>
      <c r="BE67" s="319"/>
      <c r="BF67" s="319"/>
      <c r="BG67" s="319"/>
      <c r="BH67" s="319"/>
      <c r="BI67" s="319"/>
      <c r="BJ67" s="319"/>
      <c r="BK67" s="319"/>
      <c r="BL67" s="319"/>
      <c r="BM67" s="319"/>
      <c r="BN67" s="319"/>
      <c r="BO67" s="319"/>
      <c r="BP67" s="319"/>
      <c r="BQ67" s="319"/>
      <c r="BR67" s="319"/>
      <c r="BS67" s="319"/>
      <c r="BT67" s="319"/>
      <c r="BU67" s="319"/>
      <c r="BV67" s="319"/>
      <c r="BW67" s="319"/>
      <c r="BX67" s="319"/>
      <c r="BY67" s="319"/>
      <c r="BZ67" s="319"/>
      <c r="CA67" s="319"/>
      <c r="CB67" s="319"/>
      <c r="CC67" s="319"/>
      <c r="CD67" s="319"/>
      <c r="CE67" s="319"/>
      <c r="CF67" s="319"/>
    </row>
    <row r="68" spans="1:84" ht="12.75" hidden="1" customHeight="1">
      <c r="A68" s="12"/>
      <c r="B68" s="1"/>
      <c r="C68" s="1"/>
      <c r="D68" s="1"/>
      <c r="E68" s="96">
        <f>SUM(E65:E67)</f>
        <v>1</v>
      </c>
      <c r="F68" s="1"/>
      <c r="G68" s="1"/>
      <c r="H68" s="29" t="str">
        <f>H46</f>
        <v>€/MWh</v>
      </c>
      <c r="I68" s="97">
        <f>IF(Q46=0,0,J68/Q46)*3.6</f>
        <v>0</v>
      </c>
      <c r="J68" s="1358">
        <f>SUM(J65:J67)</f>
        <v>0</v>
      </c>
      <c r="K68" s="9"/>
      <c r="L68" s="1"/>
      <c r="M68" s="319"/>
      <c r="N68" s="319"/>
      <c r="O68" s="319"/>
      <c r="P68" s="319"/>
      <c r="Q68" s="319"/>
      <c r="R68" s="319">
        <f>SUM(R65:R67)</f>
        <v>0</v>
      </c>
      <c r="S68" s="319"/>
      <c r="T68" s="319"/>
      <c r="U68" s="319"/>
      <c r="V68" s="319"/>
      <c r="W68" s="319"/>
      <c r="X68" s="319"/>
      <c r="Y68" s="319"/>
      <c r="Z68" s="319"/>
      <c r="AA68" s="319"/>
      <c r="AB68" s="319"/>
      <c r="AC68" s="319"/>
      <c r="AD68" s="319"/>
      <c r="AE68" s="319"/>
      <c r="AF68" s="319"/>
      <c r="AG68" s="319"/>
      <c r="AH68" s="319"/>
      <c r="AI68" s="319"/>
      <c r="AJ68" s="319"/>
      <c r="AK68" s="319"/>
      <c r="AL68" s="319"/>
      <c r="AM68" s="319"/>
      <c r="AN68" s="319"/>
      <c r="AO68" s="319">
        <v>2030300</v>
      </c>
      <c r="AP68" s="319"/>
      <c r="AQ68" s="319"/>
      <c r="AR68" s="319"/>
      <c r="AS68" s="319"/>
      <c r="AT68" s="319"/>
      <c r="AU68" s="319"/>
      <c r="AV68" s="319"/>
      <c r="AW68" s="319"/>
      <c r="AX68" s="319"/>
      <c r="AY68" s="319"/>
      <c r="AZ68" s="319"/>
      <c r="BA68" s="319"/>
      <c r="BB68" s="319"/>
      <c r="BC68" s="319"/>
      <c r="BD68" s="319"/>
      <c r="BE68" s="319"/>
      <c r="BF68" s="319"/>
      <c r="BG68" s="319"/>
      <c r="BH68" s="319"/>
      <c r="BI68" s="319"/>
      <c r="BJ68" s="319"/>
      <c r="BK68" s="319"/>
      <c r="BL68" s="319"/>
      <c r="BM68" s="319"/>
      <c r="BN68" s="319"/>
      <c r="BO68" s="319"/>
      <c r="BP68" s="319"/>
      <c r="BQ68" s="319"/>
      <c r="BR68" s="319"/>
      <c r="BS68" s="319"/>
      <c r="BT68" s="319"/>
      <c r="BU68" s="319"/>
      <c r="BV68" s="319"/>
      <c r="BW68" s="319"/>
      <c r="BX68" s="319"/>
      <c r="BY68" s="319"/>
      <c r="BZ68" s="319"/>
      <c r="CA68" s="319"/>
      <c r="CB68" s="319"/>
      <c r="CC68" s="319"/>
      <c r="CD68" s="319"/>
      <c r="CE68" s="319"/>
      <c r="CF68" s="319"/>
    </row>
    <row r="69" spans="1:84" ht="12.75" hidden="1" customHeight="1">
      <c r="A69" s="12"/>
      <c r="B69" s="1"/>
      <c r="C69" s="1"/>
      <c r="D69" s="1"/>
      <c r="E69" s="1"/>
      <c r="F69" s="1"/>
      <c r="G69" s="1"/>
      <c r="H69" s="1"/>
      <c r="I69" s="1"/>
      <c r="J69" s="1"/>
      <c r="K69" s="9"/>
      <c r="L69" s="1"/>
      <c r="M69" s="319"/>
      <c r="N69" s="319"/>
      <c r="O69" s="319"/>
      <c r="P69" s="319"/>
      <c r="Q69" s="319"/>
      <c r="R69" s="319"/>
      <c r="S69" s="319"/>
      <c r="T69" s="319"/>
      <c r="U69" s="319"/>
      <c r="V69" s="319"/>
      <c r="W69" s="319"/>
      <c r="X69" s="319"/>
      <c r="Y69" s="319"/>
      <c r="Z69" s="319"/>
      <c r="AA69" s="319"/>
      <c r="AB69" s="319"/>
      <c r="AC69" s="319"/>
      <c r="AD69" s="319"/>
      <c r="AE69" s="319"/>
      <c r="AF69" s="319"/>
      <c r="AG69" s="319"/>
      <c r="AH69" s="319"/>
      <c r="AI69" s="319"/>
      <c r="AJ69" s="319"/>
      <c r="AK69" s="319"/>
      <c r="AL69" s="319"/>
      <c r="AM69" s="319"/>
      <c r="AN69" s="319"/>
      <c r="AO69" s="319">
        <v>2030300</v>
      </c>
      <c r="AP69" s="319"/>
      <c r="AQ69" s="319"/>
      <c r="AR69" s="319"/>
      <c r="AS69" s="319"/>
      <c r="AT69" s="319"/>
      <c r="AU69" s="319"/>
      <c r="AV69" s="319"/>
      <c r="AW69" s="319"/>
      <c r="AX69" s="319"/>
      <c r="AY69" s="319"/>
      <c r="AZ69" s="319"/>
      <c r="BA69" s="319"/>
      <c r="BB69" s="319"/>
      <c r="BC69" s="319"/>
      <c r="BD69" s="319"/>
      <c r="BE69" s="319"/>
      <c r="BF69" s="319"/>
      <c r="BG69" s="319"/>
      <c r="BH69" s="319"/>
      <c r="BI69" s="319"/>
      <c r="BJ69" s="319"/>
      <c r="BK69" s="319"/>
      <c r="BL69" s="319"/>
      <c r="BM69" s="319"/>
      <c r="BN69" s="319"/>
      <c r="BO69" s="319"/>
      <c r="BP69" s="319"/>
      <c r="BQ69" s="319"/>
      <c r="BR69" s="319"/>
      <c r="BS69" s="319"/>
      <c r="BT69" s="319"/>
      <c r="BU69" s="319"/>
      <c r="BV69" s="319"/>
      <c r="BW69" s="319"/>
      <c r="BX69" s="319"/>
      <c r="BY69" s="319"/>
      <c r="BZ69" s="319"/>
      <c r="CA69" s="319"/>
      <c r="CB69" s="319"/>
      <c r="CC69" s="319"/>
      <c r="CD69" s="319"/>
      <c r="CE69" s="319"/>
      <c r="CF69" s="319"/>
    </row>
    <row r="70" spans="1:84" ht="12.75" hidden="1" customHeight="1">
      <c r="A70" s="12"/>
      <c r="B70" s="28" t="str">
        <f>Equip_HeatingType</f>
        <v>Sistema à biomassa</v>
      </c>
      <c r="C70" s="1"/>
      <c r="D70" s="1"/>
      <c r="E70" s="1"/>
      <c r="F70" s="1"/>
      <c r="G70" s="1"/>
      <c r="H70" s="1"/>
      <c r="I70" s="1"/>
      <c r="J70" s="1"/>
      <c r="K70" s="9"/>
      <c r="L70" s="1"/>
      <c r="M70" s="319"/>
      <c r="N70" s="319"/>
      <c r="O70" s="319"/>
      <c r="P70" s="319"/>
      <c r="Q70" s="319"/>
      <c r="R70" s="319"/>
      <c r="S70" s="319"/>
      <c r="T70" s="319"/>
      <c r="U70" s="319"/>
      <c r="V70" s="319"/>
      <c r="W70" s="319"/>
      <c r="X70" s="319"/>
      <c r="Y70" s="319"/>
      <c r="Z70" s="319"/>
      <c r="AA70" s="319"/>
      <c r="AB70" s="319"/>
      <c r="AC70" s="319"/>
      <c r="AD70" s="319"/>
      <c r="AE70" s="319"/>
      <c r="AF70" s="319"/>
      <c r="AG70" s="319"/>
      <c r="AH70" s="319"/>
      <c r="AI70" s="319"/>
      <c r="AJ70" s="319"/>
      <c r="AK70" s="319"/>
      <c r="AL70" s="319"/>
      <c r="AM70" s="319"/>
      <c r="AN70" s="319"/>
      <c r="AO70" s="319">
        <v>2020104</v>
      </c>
      <c r="AP70" s="319"/>
      <c r="AQ70" s="319"/>
      <c r="AR70" s="319"/>
      <c r="AS70" s="319"/>
      <c r="AT70" s="319"/>
      <c r="AU70" s="319"/>
      <c r="AV70" s="319"/>
      <c r="AW70" s="319"/>
      <c r="AX70" s="319"/>
      <c r="AY70" s="319"/>
      <c r="AZ70" s="319"/>
      <c r="BA70" s="319"/>
      <c r="BB70" s="319"/>
      <c r="BC70" s="319"/>
      <c r="BD70" s="319"/>
      <c r="BE70" s="319"/>
      <c r="BF70" s="319"/>
      <c r="BG70" s="319"/>
      <c r="BH70" s="319"/>
      <c r="BI70" s="319"/>
      <c r="BJ70" s="319"/>
      <c r="BK70" s="319"/>
      <c r="BL70" s="319"/>
      <c r="BM70" s="319"/>
      <c r="BN70" s="319"/>
      <c r="BO70" s="319"/>
      <c r="BP70" s="319"/>
      <c r="BQ70" s="319"/>
      <c r="BR70" s="319"/>
      <c r="BS70" s="319"/>
      <c r="BT70" s="319"/>
      <c r="BU70" s="319"/>
      <c r="BV70" s="319"/>
      <c r="BW70" s="319"/>
      <c r="BX70" s="319"/>
      <c r="BY70" s="319"/>
      <c r="BZ70" s="319"/>
      <c r="CA70" s="319"/>
      <c r="CB70" s="319"/>
      <c r="CC70" s="319"/>
      <c r="CD70" s="319"/>
      <c r="CE70" s="319"/>
      <c r="CF70" s="319"/>
    </row>
    <row r="71" spans="1:84" ht="12.75" hidden="1" customHeight="1">
      <c r="A71" s="12"/>
      <c r="B71" s="1"/>
      <c r="C71" s="1"/>
      <c r="D71" s="1"/>
      <c r="E71" s="1"/>
      <c r="F71" s="1"/>
      <c r="G71" s="1"/>
      <c r="H71" s="1"/>
      <c r="I71" s="1"/>
      <c r="J71" s="1"/>
      <c r="K71" s="9"/>
      <c r="L71" s="1"/>
      <c r="M71" s="319"/>
      <c r="N71" s="319"/>
      <c r="O71" s="319"/>
      <c r="P71" s="319"/>
      <c r="Q71" s="319"/>
      <c r="R71" s="319"/>
      <c r="S71" s="319"/>
      <c r="T71" s="319"/>
      <c r="U71" s="319"/>
      <c r="V71" s="319"/>
      <c r="W71" s="319"/>
      <c r="X71" s="319"/>
      <c r="Y71" s="319"/>
      <c r="Z71" s="319"/>
      <c r="AA71" s="319"/>
      <c r="AB71" s="319"/>
      <c r="AC71" s="319"/>
      <c r="AD71" s="319"/>
      <c r="AE71" s="319"/>
      <c r="AF71" s="319"/>
      <c r="AG71" s="319"/>
      <c r="AH71" s="319"/>
      <c r="AI71" s="319"/>
      <c r="AJ71" s="319"/>
      <c r="AK71" s="319"/>
      <c r="AL71" s="319"/>
      <c r="AM71" s="319"/>
      <c r="AN71" s="319"/>
      <c r="AO71" s="319">
        <v>2020104</v>
      </c>
      <c r="AP71" s="319"/>
      <c r="AQ71" s="319"/>
      <c r="AR71" s="319"/>
      <c r="AS71" s="319"/>
      <c r="AT71" s="319"/>
      <c r="AU71" s="319"/>
      <c r="AV71" s="319"/>
      <c r="AW71" s="319"/>
      <c r="AX71" s="319"/>
      <c r="AY71" s="319"/>
      <c r="AZ71" s="319"/>
      <c r="BA71" s="319"/>
      <c r="BB71" s="319"/>
      <c r="BC71" s="319"/>
      <c r="BD71" s="319"/>
      <c r="BE71" s="319"/>
      <c r="BF71" s="319"/>
      <c r="BG71" s="319"/>
      <c r="BH71" s="319"/>
      <c r="BI71" s="319"/>
      <c r="BJ71" s="319"/>
      <c r="BK71" s="319"/>
      <c r="BL71" s="319"/>
      <c r="BM71" s="319"/>
      <c r="BN71" s="319"/>
      <c r="BO71" s="319"/>
      <c r="BP71" s="319"/>
      <c r="BQ71" s="319"/>
      <c r="BR71" s="319"/>
      <c r="BS71" s="319"/>
      <c r="BT71" s="319"/>
      <c r="BU71" s="319"/>
      <c r="BV71" s="319"/>
      <c r="BW71" s="319"/>
      <c r="BX71" s="319"/>
      <c r="BY71" s="319"/>
      <c r="BZ71" s="319"/>
      <c r="CA71" s="319"/>
      <c r="CB71" s="319"/>
      <c r="CC71" s="319"/>
      <c r="CD71" s="319"/>
      <c r="CE71" s="319"/>
      <c r="CF71" s="319"/>
    </row>
    <row r="72" spans="1:84" ht="12.75" hidden="1" customHeight="1">
      <c r="A72" s="12"/>
      <c r="B72" s="329" t="str">
        <f>Language!C202</f>
        <v>Capacidade</v>
      </c>
      <c r="C72" s="303" t="s">
        <v>5700</v>
      </c>
      <c r="D72" s="427"/>
      <c r="E72" s="80" t="e">
        <f>S72/$Q$866</f>
        <v>#DIV/0!</v>
      </c>
      <c r="F72" s="1"/>
      <c r="G72" s="1"/>
      <c r="H72" s="1346">
        <v>0</v>
      </c>
      <c r="I72" s="1252" t="str">
        <f>$I$79</f>
        <v>Ver banco de dados de produtos</v>
      </c>
      <c r="J72" s="1191"/>
      <c r="K72" s="1210"/>
      <c r="L72" s="1"/>
      <c r="M72" s="319"/>
      <c r="N72" s="319"/>
      <c r="O72" s="319"/>
      <c r="P72" s="319"/>
      <c r="Q72" s="319"/>
      <c r="R72" s="319" t="s">
        <v>5700</v>
      </c>
      <c r="S72" s="476">
        <f>IF(C72=$Z$1086,D72,D72/$AA$1087)</f>
        <v>0</v>
      </c>
      <c r="T72" s="319"/>
      <c r="U72" s="319"/>
      <c r="V72" s="319"/>
      <c r="W72" s="319"/>
      <c r="X72" s="319"/>
      <c r="Y72" s="319"/>
      <c r="Z72" s="319"/>
      <c r="AA72" s="319"/>
      <c r="AB72" s="319"/>
      <c r="AC72" s="319"/>
      <c r="AD72" s="319"/>
      <c r="AE72" s="319"/>
      <c r="AF72" s="319"/>
      <c r="AG72" s="319"/>
      <c r="AH72" s="319"/>
      <c r="AI72" s="319"/>
      <c r="AJ72" s="319"/>
      <c r="AK72" s="319"/>
      <c r="AL72" s="319"/>
      <c r="AM72" s="319"/>
      <c r="AN72" s="319"/>
      <c r="AO72" s="319">
        <v>2020200</v>
      </c>
      <c r="AP72" s="319"/>
      <c r="AQ72" s="319"/>
      <c r="AR72" s="319"/>
      <c r="AS72" s="319"/>
      <c r="AT72" s="319"/>
      <c r="AU72" s="319"/>
      <c r="AV72" s="319"/>
      <c r="AW72" s="319"/>
      <c r="AX72" s="319"/>
      <c r="AY72" s="319"/>
      <c r="AZ72" s="319"/>
      <c r="BA72" s="319"/>
      <c r="BB72" s="319"/>
      <c r="BC72" s="319"/>
      <c r="BD72" s="319"/>
      <c r="BE72" s="319"/>
      <c r="BF72" s="319"/>
      <c r="BG72" s="319"/>
      <c r="BH72" s="319"/>
      <c r="BI72" s="319"/>
      <c r="BJ72" s="319"/>
      <c r="BK72" s="319"/>
      <c r="BL72" s="319"/>
      <c r="BM72" s="319"/>
      <c r="BN72" s="319"/>
      <c r="BO72" s="319"/>
      <c r="BP72" s="319"/>
      <c r="BQ72" s="319"/>
      <c r="BR72" s="319"/>
      <c r="BS72" s="319"/>
      <c r="BT72" s="319"/>
      <c r="BU72" s="319"/>
      <c r="BV72" s="319"/>
      <c r="BW72" s="319"/>
      <c r="BX72" s="319"/>
      <c r="BY72" s="319"/>
      <c r="BZ72" s="319"/>
      <c r="CA72" s="319"/>
      <c r="CB72" s="319"/>
      <c r="CC72" s="319"/>
      <c r="CD72" s="319"/>
      <c r="CE72" s="319"/>
      <c r="CF72" s="319"/>
    </row>
    <row r="73" spans="1:84" ht="12.75" hidden="1" customHeight="1">
      <c r="A73" s="12"/>
      <c r="B73" s="329" t="str">
        <f>Language!C203</f>
        <v>Calor fornecido</v>
      </c>
      <c r="C73" s="29" t="str">
        <f>IF(Unit=TRUE,R73,T73)</f>
        <v>MWh</v>
      </c>
      <c r="D73" s="30">
        <f>IF(Unit=TRUE,S73,U73)</f>
        <v>0</v>
      </c>
      <c r="E73" s="80" t="e">
        <f>S73/$Q$867</f>
        <v>#DIV/0!</v>
      </c>
      <c r="F73" s="29" t="str">
        <f>IF($M$3=FALSE,"",IF(Unit=FALSE,R73,T73))</f>
        <v/>
      </c>
      <c r="G73" s="140" t="str">
        <f>IF($M$3=FALSE,"",IF(Unit=FALSE,S73,U73))</f>
        <v/>
      </c>
      <c r="H73" s="1"/>
      <c r="I73" s="1"/>
      <c r="J73" s="1"/>
      <c r="K73" s="9"/>
      <c r="L73" s="1"/>
      <c r="M73" s="319"/>
      <c r="N73" s="319"/>
      <c r="O73" s="319"/>
      <c r="P73" s="319"/>
      <c r="Q73" s="319"/>
      <c r="R73" s="319" t="str">
        <f>$R$25</f>
        <v>MWh</v>
      </c>
      <c r="S73" s="476">
        <f>G1109</f>
        <v>0</v>
      </c>
      <c r="T73" s="319" t="str">
        <f>Language!C1382</f>
        <v>milhão Btu</v>
      </c>
      <c r="U73" s="476">
        <f>S73*$AB$1087</f>
        <v>0</v>
      </c>
      <c r="V73" s="319"/>
      <c r="W73" s="319"/>
      <c r="X73" s="319"/>
      <c r="Y73" s="319"/>
      <c r="Z73" s="319"/>
      <c r="AA73" s="319"/>
      <c r="AB73" s="319"/>
      <c r="AC73" s="319"/>
      <c r="AD73" s="319"/>
      <c r="AE73" s="319"/>
      <c r="AF73" s="319"/>
      <c r="AG73" s="319"/>
      <c r="AH73" s="319"/>
      <c r="AI73" s="319"/>
      <c r="AJ73" s="319"/>
      <c r="AK73" s="319"/>
      <c r="AL73" s="319"/>
      <c r="AM73" s="319"/>
      <c r="AN73" s="319"/>
      <c r="AO73" s="319">
        <v>2020202</v>
      </c>
      <c r="AP73" s="319"/>
      <c r="AQ73" s="319"/>
      <c r="AR73" s="319"/>
      <c r="AS73" s="319"/>
      <c r="AT73" s="319"/>
      <c r="AU73" s="319"/>
      <c r="AV73" s="319"/>
      <c r="AW73" s="319"/>
      <c r="AX73" s="319"/>
      <c r="AY73" s="319"/>
      <c r="AZ73" s="319"/>
      <c r="BA73" s="319"/>
      <c r="BB73" s="319"/>
      <c r="BC73" s="319"/>
      <c r="BD73" s="319"/>
      <c r="BE73" s="319"/>
      <c r="BF73" s="319"/>
      <c r="BG73" s="319"/>
      <c r="BH73" s="319"/>
      <c r="BI73" s="319"/>
      <c r="BJ73" s="319"/>
      <c r="BK73" s="319"/>
      <c r="BL73" s="319"/>
      <c r="BM73" s="319"/>
      <c r="BN73" s="319"/>
      <c r="BO73" s="319"/>
      <c r="BP73" s="319"/>
      <c r="BQ73" s="319"/>
      <c r="BR73" s="319"/>
      <c r="BS73" s="319"/>
      <c r="BT73" s="319"/>
      <c r="BU73" s="319"/>
      <c r="BV73" s="319"/>
      <c r="BW73" s="319"/>
      <c r="BX73" s="319"/>
      <c r="BY73" s="319"/>
      <c r="BZ73" s="319"/>
      <c r="CA73" s="319"/>
      <c r="CB73" s="319"/>
      <c r="CC73" s="319"/>
      <c r="CD73" s="319"/>
      <c r="CE73" s="319"/>
      <c r="CF73" s="319"/>
    </row>
    <row r="74" spans="1:84" ht="12.75" hidden="1" customHeight="1">
      <c r="A74" s="12"/>
      <c r="B74" s="329" t="str">
        <f>B12</f>
        <v>Fabricante</v>
      </c>
      <c r="C74" s="1152"/>
      <c r="D74" s="1153"/>
      <c r="E74" s="1154"/>
      <c r="F74" s="1"/>
      <c r="G74" s="1"/>
      <c r="H74" s="1"/>
      <c r="I74" s="1"/>
      <c r="J74" s="1"/>
      <c r="K74" s="9"/>
      <c r="L74" s="1"/>
      <c r="M74" s="319"/>
      <c r="N74" s="319"/>
      <c r="O74" s="319"/>
      <c r="P74" s="319"/>
      <c r="Q74" s="319"/>
      <c r="R74" s="319"/>
      <c r="S74" s="319"/>
      <c r="T74" s="319"/>
      <c r="U74" s="319"/>
      <c r="V74" s="319"/>
      <c r="W74" s="319"/>
      <c r="X74" s="319"/>
      <c r="Y74" s="319"/>
      <c r="Z74" s="319"/>
      <c r="AA74" s="319"/>
      <c r="AB74" s="319"/>
      <c r="AC74" s="319"/>
      <c r="AD74" s="319"/>
      <c r="AE74" s="319"/>
      <c r="AF74" s="319"/>
      <c r="AG74" s="319"/>
      <c r="AH74" s="319"/>
      <c r="AI74" s="319"/>
      <c r="AJ74" s="319"/>
      <c r="AK74" s="319"/>
      <c r="AL74" s="319"/>
      <c r="AM74" s="319"/>
      <c r="AN74" s="319"/>
      <c r="AO74" s="319">
        <v>2050012</v>
      </c>
      <c r="AP74" s="319"/>
      <c r="AQ74" s="319"/>
      <c r="AR74" s="319"/>
      <c r="AS74" s="319"/>
      <c r="AT74" s="319"/>
      <c r="AU74" s="319"/>
      <c r="AV74" s="319"/>
      <c r="AW74" s="319"/>
      <c r="AX74" s="319"/>
      <c r="AY74" s="319"/>
      <c r="AZ74" s="319"/>
      <c r="BA74" s="319"/>
      <c r="BB74" s="319"/>
      <c r="BC74" s="319"/>
      <c r="BD74" s="319"/>
      <c r="BE74" s="319"/>
      <c r="BF74" s="319"/>
      <c r="BG74" s="319"/>
      <c r="BH74" s="319"/>
      <c r="BI74" s="319"/>
      <c r="BJ74" s="319"/>
      <c r="BK74" s="319"/>
      <c r="BL74" s="319"/>
      <c r="BM74" s="319"/>
      <c r="BN74" s="319"/>
      <c r="BO74" s="319"/>
      <c r="BP74" s="319"/>
      <c r="BQ74" s="319"/>
      <c r="BR74" s="319"/>
      <c r="BS74" s="319"/>
      <c r="BT74" s="319"/>
      <c r="BU74" s="319"/>
      <c r="BV74" s="319"/>
      <c r="BW74" s="319"/>
      <c r="BX74" s="319"/>
      <c r="BY74" s="319"/>
      <c r="BZ74" s="319"/>
      <c r="CA74" s="319"/>
      <c r="CB74" s="319"/>
      <c r="CC74" s="319"/>
      <c r="CD74" s="319"/>
      <c r="CE74" s="319"/>
      <c r="CF74" s="319"/>
    </row>
    <row r="75" spans="1:84" ht="12.75" hidden="1" customHeight="1">
      <c r="A75" s="12"/>
      <c r="B75" s="329" t="str">
        <f>B13</f>
        <v>Modelo</v>
      </c>
      <c r="C75" s="1152"/>
      <c r="D75" s="1153"/>
      <c r="E75" s="1154"/>
      <c r="F75" s="1" t="str">
        <f>$J$1065 &amp; Lang_Unit</f>
        <v>1 unidade(s)</v>
      </c>
      <c r="G75" s="1"/>
      <c r="H75" s="1"/>
      <c r="I75" s="1"/>
      <c r="J75" s="1"/>
      <c r="K75" s="9"/>
      <c r="L75" s="1"/>
      <c r="M75" s="319"/>
      <c r="N75" s="319"/>
      <c r="O75" s="319"/>
      <c r="P75" s="319"/>
      <c r="Q75" s="319"/>
      <c r="R75" s="319"/>
      <c r="S75" s="319"/>
      <c r="T75" s="319"/>
      <c r="U75" s="319"/>
      <c r="V75" s="319"/>
      <c r="W75" s="319"/>
      <c r="X75" s="319"/>
      <c r="Y75" s="319"/>
      <c r="Z75" s="319"/>
      <c r="AA75" s="319"/>
      <c r="AB75" s="319"/>
      <c r="AC75" s="319"/>
      <c r="AD75" s="319"/>
      <c r="AE75" s="319"/>
      <c r="AF75" s="319"/>
      <c r="AG75" s="319"/>
      <c r="AH75" s="319"/>
      <c r="AI75" s="319"/>
      <c r="AJ75" s="319"/>
      <c r="AK75" s="319"/>
      <c r="AL75" s="319"/>
      <c r="AM75" s="319"/>
      <c r="AN75" s="319"/>
      <c r="AO75" s="319">
        <v>2050014</v>
      </c>
      <c r="AP75" s="319"/>
      <c r="AQ75" s="319"/>
      <c r="AR75" s="319"/>
      <c r="AS75" s="319"/>
      <c r="AT75" s="319"/>
      <c r="AU75" s="319"/>
      <c r="AV75" s="319"/>
      <c r="AW75" s="319"/>
      <c r="AX75" s="319"/>
      <c r="AY75" s="319"/>
      <c r="AZ75" s="319"/>
      <c r="BA75" s="319"/>
      <c r="BB75" s="319"/>
      <c r="BC75" s="319"/>
      <c r="BD75" s="319"/>
      <c r="BE75" s="319"/>
      <c r="BF75" s="319"/>
      <c r="BG75" s="319"/>
      <c r="BH75" s="319"/>
      <c r="BI75" s="319"/>
      <c r="BJ75" s="319"/>
      <c r="BK75" s="319"/>
      <c r="BL75" s="319"/>
      <c r="BM75" s="319"/>
      <c r="BN75" s="319"/>
      <c r="BO75" s="319"/>
      <c r="BP75" s="319"/>
      <c r="BQ75" s="319"/>
      <c r="BR75" s="319"/>
      <c r="BS75" s="319"/>
      <c r="BT75" s="319"/>
      <c r="BU75" s="319"/>
      <c r="BV75" s="319"/>
      <c r="BW75" s="319"/>
      <c r="BX75" s="319"/>
      <c r="BY75" s="319"/>
      <c r="BZ75" s="319"/>
      <c r="CA75" s="319"/>
      <c r="CB75" s="319"/>
      <c r="CC75" s="319"/>
      <c r="CD75" s="319"/>
      <c r="CE75" s="319"/>
      <c r="CF75" s="319"/>
    </row>
    <row r="76" spans="1:84" ht="12.75" hidden="1" customHeight="1">
      <c r="A76" s="12"/>
      <c r="B76" s="329" t="str">
        <f>B919</f>
        <v>Eficiência Sazonal</v>
      </c>
      <c r="C76" s="29" t="str">
        <f>$T$35</f>
        <v>%</v>
      </c>
      <c r="D76" s="339"/>
      <c r="E76" s="1"/>
      <c r="F76" s="1"/>
      <c r="G76" s="1"/>
      <c r="H76" s="1"/>
      <c r="I76" s="1"/>
      <c r="J76" s="1"/>
      <c r="K76" s="9"/>
      <c r="L76" s="1"/>
      <c r="M76" s="319"/>
      <c r="N76" s="319"/>
      <c r="O76" s="319"/>
      <c r="P76" s="319"/>
      <c r="Q76" s="319"/>
      <c r="R76" s="319"/>
      <c r="S76" s="319"/>
      <c r="T76" s="319"/>
      <c r="U76" s="319"/>
      <c r="V76" s="319"/>
      <c r="W76" s="319"/>
      <c r="X76" s="319"/>
      <c r="Y76" s="319"/>
      <c r="Z76" s="319"/>
      <c r="AA76" s="319"/>
      <c r="AB76" s="319"/>
      <c r="AC76" s="319"/>
      <c r="AD76" s="319"/>
      <c r="AE76" s="319"/>
      <c r="AF76" s="319"/>
      <c r="AG76" s="319"/>
      <c r="AH76" s="319"/>
      <c r="AI76" s="319"/>
      <c r="AJ76" s="319"/>
      <c r="AK76" s="319"/>
      <c r="AL76" s="319"/>
      <c r="AM76" s="319"/>
      <c r="AN76" s="319"/>
      <c r="AO76" s="319">
        <v>2020208</v>
      </c>
      <c r="AP76" s="319"/>
      <c r="AQ76" s="319"/>
      <c r="AR76" s="319"/>
      <c r="AS76" s="319"/>
      <c r="AT76" s="319"/>
      <c r="AU76" s="319"/>
      <c r="AV76" s="319"/>
      <c r="AW76" s="319"/>
      <c r="AX76" s="319"/>
      <c r="AY76" s="319"/>
      <c r="AZ76" s="319"/>
      <c r="BA76" s="319"/>
      <c r="BB76" s="319"/>
      <c r="BC76" s="319"/>
      <c r="BD76" s="319"/>
      <c r="BE76" s="319"/>
      <c r="BF76" s="319"/>
      <c r="BG76" s="319"/>
      <c r="BH76" s="319"/>
      <c r="BI76" s="319"/>
      <c r="BJ76" s="319"/>
      <c r="BK76" s="319"/>
      <c r="BL76" s="319"/>
      <c r="BM76" s="319"/>
      <c r="BN76" s="319"/>
      <c r="BO76" s="319"/>
      <c r="BP76" s="319"/>
      <c r="BQ76" s="319"/>
      <c r="BR76" s="319"/>
      <c r="BS76" s="319"/>
      <c r="BT76" s="319"/>
      <c r="BU76" s="319"/>
      <c r="BV76" s="319"/>
      <c r="BW76" s="319"/>
      <c r="BX76" s="319"/>
      <c r="BY76" s="319"/>
      <c r="BZ76" s="319"/>
      <c r="CA76" s="319"/>
      <c r="CB76" s="319"/>
      <c r="CC76" s="319"/>
      <c r="CD76" s="319"/>
      <c r="CE76" s="319"/>
      <c r="CF76" s="319"/>
    </row>
    <row r="77" spans="1:84" ht="12.75" hidden="1" customHeight="1">
      <c r="A77" s="12"/>
      <c r="B77" s="329" t="str">
        <f>Language!C426</f>
        <v>Combustível necessário</v>
      </c>
      <c r="C77" s="29" t="str">
        <f>IF(Unit=TRUE,R77,T77)</f>
        <v>GJ/h</v>
      </c>
      <c r="D77" s="36" t="e">
        <f>IF(Unit=TRUE,S77,U77)</f>
        <v>#DIV/0!</v>
      </c>
      <c r="E77" s="1"/>
      <c r="F77" s="29" t="str">
        <f>IF($M$3=FALSE,"",IF(Unit=FALSE,R77,T77))</f>
        <v/>
      </c>
      <c r="G77" s="140" t="str">
        <f>IF($M$3=FALSE,"",IF(Unit=FALSE,S77,U77))</f>
        <v/>
      </c>
      <c r="H77" s="1"/>
      <c r="I77" s="1"/>
      <c r="J77" s="1"/>
      <c r="K77" s="9"/>
      <c r="L77" s="1"/>
      <c r="M77" s="319"/>
      <c r="N77" s="319"/>
      <c r="O77" s="319"/>
      <c r="P77" s="319"/>
      <c r="Q77" s="319"/>
      <c r="R77" s="319" t="str">
        <f>Language!C1336</f>
        <v>GJ/h</v>
      </c>
      <c r="S77" s="476" t="e">
        <f>S72/D76*3.6/1000</f>
        <v>#DIV/0!</v>
      </c>
      <c r="T77" s="319" t="str">
        <f>Language!C1383</f>
        <v>milhão Btu/h</v>
      </c>
      <c r="U77" s="476" t="e">
        <f>S77/$AA$1082</f>
        <v>#DIV/0!</v>
      </c>
      <c r="V77" s="319"/>
      <c r="W77" s="319"/>
      <c r="X77" s="319"/>
      <c r="Y77" s="319"/>
      <c r="Z77" s="319"/>
      <c r="AA77" s="319"/>
      <c r="AB77" s="319"/>
      <c r="AC77" s="319"/>
      <c r="AD77" s="319"/>
      <c r="AE77" s="319"/>
      <c r="AF77" s="319"/>
      <c r="AG77" s="319"/>
      <c r="AH77" s="319"/>
      <c r="AI77" s="319"/>
      <c r="AJ77" s="319"/>
      <c r="AK77" s="319"/>
      <c r="AL77" s="319"/>
      <c r="AM77" s="319"/>
      <c r="AN77" s="319"/>
      <c r="AO77" s="319">
        <v>2020222</v>
      </c>
      <c r="AP77" s="319"/>
      <c r="AQ77" s="319"/>
      <c r="AR77" s="319"/>
      <c r="AS77" s="319"/>
      <c r="AT77" s="319"/>
      <c r="AU77" s="319"/>
      <c r="AV77" s="319"/>
      <c r="AW77" s="319"/>
      <c r="AX77" s="319"/>
      <c r="AY77" s="319"/>
      <c r="AZ77" s="319"/>
      <c r="BA77" s="319"/>
      <c r="BB77" s="319"/>
      <c r="BC77" s="319"/>
      <c r="BD77" s="319"/>
      <c r="BE77" s="319"/>
      <c r="BF77" s="319"/>
      <c r="BG77" s="319"/>
      <c r="BH77" s="319"/>
      <c r="BI77" s="319"/>
      <c r="BJ77" s="319"/>
      <c r="BK77" s="319"/>
      <c r="BL77" s="319"/>
      <c r="BM77" s="319"/>
      <c r="BN77" s="319"/>
      <c r="BO77" s="319"/>
      <c r="BP77" s="319"/>
      <c r="BQ77" s="319"/>
      <c r="BR77" s="319"/>
      <c r="BS77" s="319"/>
      <c r="BT77" s="319"/>
      <c r="BU77" s="319"/>
      <c r="BV77" s="319"/>
      <c r="BW77" s="319"/>
      <c r="BX77" s="319"/>
      <c r="BY77" s="319"/>
      <c r="BZ77" s="319"/>
      <c r="CA77" s="319"/>
      <c r="CB77" s="319"/>
      <c r="CC77" s="319"/>
      <c r="CD77" s="319"/>
      <c r="CE77" s="319"/>
      <c r="CF77" s="319"/>
    </row>
    <row r="78" spans="1:84" ht="12.75" hidden="1" customHeight="1">
      <c r="A78" s="12"/>
      <c r="B78" s="153" t="str">
        <f>Equip_HeatingType</f>
        <v>Sistema à biomassa</v>
      </c>
      <c r="C78" s="8"/>
      <c r="D78" s="8"/>
      <c r="E78" s="8"/>
      <c r="F78" s="8"/>
      <c r="G78" s="8"/>
      <c r="H78" s="8"/>
      <c r="I78" s="8"/>
      <c r="J78" s="8"/>
      <c r="K78" s="9"/>
      <c r="L78" s="1"/>
      <c r="M78" s="319"/>
      <c r="N78" s="319"/>
      <c r="O78" s="319"/>
      <c r="P78" s="319"/>
      <c r="Q78" s="319"/>
      <c r="R78" s="319"/>
      <c r="S78" s="319"/>
      <c r="T78" s="319"/>
      <c r="U78" s="319"/>
      <c r="V78" s="319"/>
      <c r="W78" s="319"/>
      <c r="X78" s="319"/>
      <c r="Y78" s="319"/>
      <c r="Z78" s="319"/>
      <c r="AA78" s="319"/>
      <c r="AB78" s="319"/>
      <c r="AC78" s="319"/>
      <c r="AD78" s="319"/>
      <c r="AE78" s="319"/>
      <c r="AF78" s="319"/>
      <c r="AG78" s="319"/>
      <c r="AH78" s="319"/>
      <c r="AI78" s="319"/>
      <c r="AJ78" s="319"/>
      <c r="AK78" s="319"/>
      <c r="AL78" s="319"/>
      <c r="AM78" s="319"/>
      <c r="AN78" s="319"/>
      <c r="AO78" s="319">
        <v>2020104</v>
      </c>
      <c r="AP78" s="319"/>
      <c r="AQ78" s="319"/>
      <c r="AR78" s="319"/>
      <c r="AS78" s="319"/>
      <c r="AT78" s="319"/>
      <c r="AU78" s="319"/>
      <c r="AV78" s="319"/>
      <c r="AW78" s="319"/>
      <c r="AX78" s="319"/>
      <c r="AY78" s="319"/>
      <c r="AZ78" s="319"/>
      <c r="BA78" s="319"/>
      <c r="BB78" s="319"/>
      <c r="BC78" s="319"/>
      <c r="BD78" s="319"/>
      <c r="BE78" s="319"/>
      <c r="BF78" s="319"/>
      <c r="BG78" s="319"/>
      <c r="BH78" s="319"/>
      <c r="BI78" s="319"/>
      <c r="BJ78" s="319"/>
      <c r="BK78" s="319"/>
      <c r="BL78" s="319"/>
      <c r="BM78" s="319"/>
      <c r="BN78" s="319"/>
      <c r="BO78" s="319"/>
      <c r="BP78" s="319"/>
      <c r="BQ78" s="319"/>
      <c r="BR78" s="319"/>
      <c r="BS78" s="319"/>
      <c r="BT78" s="319"/>
      <c r="BU78" s="319"/>
      <c r="BV78" s="319"/>
      <c r="BW78" s="319"/>
      <c r="BX78" s="319"/>
      <c r="BY78" s="319"/>
      <c r="BZ78" s="319"/>
      <c r="CA78" s="319"/>
      <c r="CB78" s="319"/>
      <c r="CC78" s="319"/>
      <c r="CD78" s="319"/>
      <c r="CE78" s="319"/>
      <c r="CF78" s="319"/>
    </row>
    <row r="79" spans="1:84" ht="12.75" hidden="1" customHeight="1">
      <c r="A79" s="12"/>
      <c r="B79" s="329" t="str">
        <f>Language!C202</f>
        <v>Capacidade</v>
      </c>
      <c r="C79" s="303" t="s">
        <v>5700</v>
      </c>
      <c r="D79" s="427"/>
      <c r="E79" s="80" t="e">
        <f>S79/$Q$866</f>
        <v>#DIV/0!</v>
      </c>
      <c r="F79" s="1"/>
      <c r="G79" s="1"/>
      <c r="H79" s="1346"/>
      <c r="I79" s="1252" t="str">
        <f>Language!C61</f>
        <v>Ver banco de dados de produtos</v>
      </c>
      <c r="J79" s="1191"/>
      <c r="K79" s="1210"/>
      <c r="L79" s="1"/>
      <c r="M79" s="319"/>
      <c r="N79" s="319"/>
      <c r="O79" s="319"/>
      <c r="P79" s="319"/>
      <c r="Q79" s="319"/>
      <c r="R79" s="319" t="s">
        <v>5700</v>
      </c>
      <c r="S79" s="476">
        <f>IF(C79=$Z$1086,D79,D79/$AA$1087)</f>
        <v>0</v>
      </c>
      <c r="T79" s="319"/>
      <c r="U79" s="319"/>
      <c r="V79" s="319"/>
      <c r="W79" s="319"/>
      <c r="X79" s="319"/>
      <c r="Y79" s="319"/>
      <c r="Z79" s="319"/>
      <c r="AA79" s="319"/>
      <c r="AB79" s="319"/>
      <c r="AC79" s="319"/>
      <c r="AD79" s="319"/>
      <c r="AE79" s="319"/>
      <c r="AF79" s="319"/>
      <c r="AG79" s="319"/>
      <c r="AH79" s="319"/>
      <c r="AI79" s="319"/>
      <c r="AJ79" s="319"/>
      <c r="AK79" s="319"/>
      <c r="AL79" s="319"/>
      <c r="AM79" s="319"/>
      <c r="AN79" s="319"/>
      <c r="AO79" s="319">
        <v>2020200</v>
      </c>
      <c r="AP79" s="319"/>
      <c r="AQ79" s="319"/>
      <c r="AR79" s="319"/>
      <c r="AS79" s="319"/>
      <c r="AT79" s="319"/>
      <c r="AU79" s="319"/>
      <c r="AV79" s="319"/>
      <c r="AW79" s="319"/>
      <c r="AX79" s="319"/>
      <c r="AY79" s="319"/>
      <c r="AZ79" s="319"/>
      <c r="BA79" s="319"/>
      <c r="BB79" s="319"/>
      <c r="BC79" s="319"/>
      <c r="BD79" s="319"/>
      <c r="BE79" s="319"/>
      <c r="BF79" s="319"/>
      <c r="BG79" s="319"/>
      <c r="BH79" s="319"/>
      <c r="BI79" s="319"/>
      <c r="BJ79" s="319"/>
      <c r="BK79" s="319"/>
      <c r="BL79" s="319"/>
      <c r="BM79" s="319"/>
      <c r="BN79" s="319"/>
      <c r="BO79" s="319"/>
      <c r="BP79" s="319"/>
      <c r="BQ79" s="319"/>
      <c r="BR79" s="319"/>
      <c r="BS79" s="319"/>
      <c r="BT79" s="319"/>
      <c r="BU79" s="319"/>
      <c r="BV79" s="319"/>
      <c r="BW79" s="319"/>
      <c r="BX79" s="319"/>
      <c r="BY79" s="319"/>
      <c r="BZ79" s="319"/>
      <c r="CA79" s="319"/>
      <c r="CB79" s="319"/>
      <c r="CC79" s="319"/>
      <c r="CD79" s="319"/>
      <c r="CE79" s="319"/>
      <c r="CF79" s="319"/>
    </row>
    <row r="80" spans="1:84" ht="12.75" hidden="1" customHeight="1">
      <c r="A80" s="12"/>
      <c r="B80" s="329" t="str">
        <f>B73</f>
        <v>Calor fornecido</v>
      </c>
      <c r="C80" s="29" t="str">
        <f>IF(Unit=TRUE,R80,T80)</f>
        <v>MWh</v>
      </c>
      <c r="D80" s="30">
        <f>IF(Unit=TRUE,S80,U80)</f>
        <v>0</v>
      </c>
      <c r="E80" s="80" t="e">
        <f>S80/$Q$867</f>
        <v>#DIV/0!</v>
      </c>
      <c r="F80" s="29" t="str">
        <f>IF($M$3=FALSE,"",IF(Unit=FALSE,R80,T80))</f>
        <v/>
      </c>
      <c r="G80" s="140" t="str">
        <f>IF($M$3=FALSE,"",IF(Unit=FALSE,S80,U80))</f>
        <v/>
      </c>
      <c r="H80" s="1"/>
      <c r="I80" s="1"/>
      <c r="J80" s="1"/>
      <c r="K80" s="9"/>
      <c r="L80" s="1"/>
      <c r="M80" s="319"/>
      <c r="N80" s="319"/>
      <c r="O80" s="319"/>
      <c r="P80" s="319"/>
      <c r="Q80" s="319"/>
      <c r="R80" s="319" t="str">
        <f>$R$25</f>
        <v>MWh</v>
      </c>
      <c r="S80" s="476">
        <f>G1109</f>
        <v>0</v>
      </c>
      <c r="T80" s="319" t="str">
        <f>$T$73</f>
        <v>milhão Btu</v>
      </c>
      <c r="U80" s="476">
        <f>S80*$AB$1087</f>
        <v>0</v>
      </c>
      <c r="V80" s="319"/>
      <c r="W80" s="319"/>
      <c r="X80" s="319"/>
      <c r="Y80" s="319"/>
      <c r="Z80" s="319"/>
      <c r="AA80" s="319"/>
      <c r="AB80" s="319"/>
      <c r="AC80" s="319"/>
      <c r="AD80" s="319"/>
      <c r="AE80" s="319"/>
      <c r="AF80" s="319"/>
      <c r="AG80" s="319"/>
      <c r="AH80" s="319"/>
      <c r="AI80" s="319"/>
      <c r="AJ80" s="319"/>
      <c r="AK80" s="319"/>
      <c r="AL80" s="319"/>
      <c r="AM80" s="319"/>
      <c r="AN80" s="319"/>
      <c r="AO80" s="319">
        <v>2020202</v>
      </c>
      <c r="AP80" s="319"/>
      <c r="AQ80" s="319"/>
      <c r="AR80" s="319"/>
      <c r="AS80" s="319"/>
      <c r="AT80" s="319"/>
      <c r="AU80" s="319"/>
      <c r="AV80" s="319"/>
      <c r="AW80" s="319"/>
      <c r="AX80" s="319"/>
      <c r="AY80" s="319"/>
      <c r="AZ80" s="319"/>
      <c r="BA80" s="319"/>
      <c r="BB80" s="319"/>
      <c r="BC80" s="319"/>
      <c r="BD80" s="319"/>
      <c r="BE80" s="319"/>
      <c r="BF80" s="319"/>
      <c r="BG80" s="319"/>
      <c r="BH80" s="319"/>
      <c r="BI80" s="319"/>
      <c r="BJ80" s="319"/>
      <c r="BK80" s="319"/>
      <c r="BL80" s="319"/>
      <c r="BM80" s="319"/>
      <c r="BN80" s="319"/>
      <c r="BO80" s="319"/>
      <c r="BP80" s="319"/>
      <c r="BQ80" s="319"/>
      <c r="BR80" s="319"/>
      <c r="BS80" s="319"/>
      <c r="BT80" s="319"/>
      <c r="BU80" s="319"/>
      <c r="BV80" s="319"/>
      <c r="BW80" s="319"/>
      <c r="BX80" s="319"/>
      <c r="BY80" s="319"/>
      <c r="BZ80" s="319"/>
      <c r="CA80" s="319"/>
      <c r="CB80" s="319"/>
      <c r="CC80" s="319"/>
      <c r="CD80" s="319"/>
      <c r="CE80" s="319"/>
      <c r="CF80" s="319"/>
    </row>
    <row r="81" spans="1:84" ht="12.75" hidden="1" customHeight="1">
      <c r="A81" s="12"/>
      <c r="B81" s="329" t="str">
        <f>B12</f>
        <v>Fabricante</v>
      </c>
      <c r="C81" s="1152"/>
      <c r="D81" s="1153"/>
      <c r="E81" s="1154"/>
      <c r="F81" s="1"/>
      <c r="G81" s="1"/>
      <c r="H81" s="1"/>
      <c r="I81" s="1"/>
      <c r="J81" s="1"/>
      <c r="K81" s="9"/>
      <c r="L81" s="1"/>
      <c r="M81" s="319"/>
      <c r="N81" s="319"/>
      <c r="O81" s="319"/>
      <c r="P81" s="319"/>
      <c r="Q81" s="319"/>
      <c r="R81" s="319"/>
      <c r="S81" s="319"/>
      <c r="T81" s="319"/>
      <c r="U81" s="319"/>
      <c r="V81" s="319"/>
      <c r="W81" s="319"/>
      <c r="X81" s="319"/>
      <c r="Y81" s="319"/>
      <c r="Z81" s="319"/>
      <c r="AA81" s="319"/>
      <c r="AB81" s="319"/>
      <c r="AC81" s="319"/>
      <c r="AD81" s="319"/>
      <c r="AE81" s="319"/>
      <c r="AF81" s="319"/>
      <c r="AG81" s="319"/>
      <c r="AH81" s="319"/>
      <c r="AI81" s="319"/>
      <c r="AJ81" s="319"/>
      <c r="AK81" s="319"/>
      <c r="AL81" s="319"/>
      <c r="AM81" s="319"/>
      <c r="AN81" s="319"/>
      <c r="AO81" s="319">
        <v>2050012</v>
      </c>
      <c r="AP81" s="319"/>
      <c r="AQ81" s="319"/>
      <c r="AR81" s="319"/>
      <c r="AS81" s="319"/>
      <c r="AT81" s="319"/>
      <c r="AU81" s="319"/>
      <c r="AV81" s="319"/>
      <c r="AW81" s="319"/>
      <c r="AX81" s="319"/>
      <c r="AY81" s="319"/>
      <c r="AZ81" s="319"/>
      <c r="BA81" s="319"/>
      <c r="BB81" s="319"/>
      <c r="BC81" s="319"/>
      <c r="BD81" s="319"/>
      <c r="BE81" s="319"/>
      <c r="BF81" s="319"/>
      <c r="BG81" s="319"/>
      <c r="BH81" s="319"/>
      <c r="BI81" s="319"/>
      <c r="BJ81" s="319"/>
      <c r="BK81" s="319"/>
      <c r="BL81" s="319"/>
      <c r="BM81" s="319"/>
      <c r="BN81" s="319"/>
      <c r="BO81" s="319"/>
      <c r="BP81" s="319"/>
      <c r="BQ81" s="319"/>
      <c r="BR81" s="319"/>
      <c r="BS81" s="319"/>
      <c r="BT81" s="319"/>
      <c r="BU81" s="319"/>
      <c r="BV81" s="319"/>
      <c r="BW81" s="319"/>
      <c r="BX81" s="319"/>
      <c r="BY81" s="319"/>
      <c r="BZ81" s="319"/>
      <c r="CA81" s="319"/>
      <c r="CB81" s="319"/>
      <c r="CC81" s="319"/>
      <c r="CD81" s="319"/>
      <c r="CE81" s="319"/>
      <c r="CF81" s="319"/>
    </row>
    <row r="82" spans="1:84" ht="12.75" hidden="1" customHeight="1">
      <c r="A82" s="12"/>
      <c r="B82" s="329" t="str">
        <f>B13</f>
        <v>Modelo</v>
      </c>
      <c r="C82" s="1152"/>
      <c r="D82" s="1153"/>
      <c r="E82" s="1154"/>
      <c r="F82" s="1" t="str">
        <f>$J$1064 &amp; Lang_Unit</f>
        <v>1 unidade(s)</v>
      </c>
      <c r="G82" s="1"/>
      <c r="H82" s="1"/>
      <c r="I82" s="1"/>
      <c r="J82" s="1"/>
      <c r="K82" s="9"/>
      <c r="L82" s="1"/>
      <c r="M82" s="319"/>
      <c r="N82" s="319"/>
      <c r="O82" s="319"/>
      <c r="P82" s="319"/>
      <c r="Q82" s="319"/>
      <c r="R82" s="319"/>
      <c r="S82" s="319"/>
      <c r="T82" s="319"/>
      <c r="U82" s="319"/>
      <c r="V82" s="319"/>
      <c r="W82" s="319"/>
      <c r="X82" s="319"/>
      <c r="Y82" s="319"/>
      <c r="Z82" s="319"/>
      <c r="AA82" s="319"/>
      <c r="AB82" s="319"/>
      <c r="AC82" s="319"/>
      <c r="AD82" s="319"/>
      <c r="AE82" s="319"/>
      <c r="AF82" s="319"/>
      <c r="AG82" s="319"/>
      <c r="AH82" s="319"/>
      <c r="AI82" s="319"/>
      <c r="AJ82" s="319"/>
      <c r="AK82" s="319"/>
      <c r="AL82" s="319"/>
      <c r="AM82" s="319"/>
      <c r="AN82" s="319"/>
      <c r="AO82" s="319">
        <v>2050014</v>
      </c>
      <c r="AP82" s="319"/>
      <c r="AQ82" s="319"/>
      <c r="AR82" s="319"/>
      <c r="AS82" s="319"/>
      <c r="AT82" s="319"/>
      <c r="AU82" s="319"/>
      <c r="AV82" s="319"/>
      <c r="AW82" s="319"/>
      <c r="AX82" s="319"/>
      <c r="AY82" s="319"/>
      <c r="AZ82" s="319"/>
      <c r="BA82" s="319"/>
      <c r="BB82" s="319"/>
      <c r="BC82" s="319"/>
      <c r="BD82" s="319"/>
      <c r="BE82" s="319"/>
      <c r="BF82" s="319"/>
      <c r="BG82" s="319"/>
      <c r="BH82" s="319"/>
      <c r="BI82" s="319"/>
      <c r="BJ82" s="319"/>
      <c r="BK82" s="319"/>
      <c r="BL82" s="319"/>
      <c r="BM82" s="319"/>
      <c r="BN82" s="319"/>
      <c r="BO82" s="319"/>
      <c r="BP82" s="319"/>
      <c r="BQ82" s="319"/>
      <c r="BR82" s="319"/>
      <c r="BS82" s="319"/>
      <c r="BT82" s="319"/>
      <c r="BU82" s="319"/>
      <c r="BV82" s="319"/>
      <c r="BW82" s="319"/>
      <c r="BX82" s="319"/>
      <c r="BY82" s="319"/>
      <c r="BZ82" s="319"/>
      <c r="CA82" s="319"/>
      <c r="CB82" s="319"/>
      <c r="CC82" s="319"/>
      <c r="CD82" s="319"/>
      <c r="CE82" s="319"/>
      <c r="CF82" s="319"/>
    </row>
    <row r="83" spans="1:84" ht="12.75" hidden="1" customHeight="1">
      <c r="A83" s="12"/>
      <c r="B83" s="329" t="str">
        <f>B919</f>
        <v>Eficiência Sazonal</v>
      </c>
      <c r="C83" s="29" t="str">
        <f>$T$35</f>
        <v>%</v>
      </c>
      <c r="D83" s="339"/>
      <c r="E83" s="1"/>
      <c r="F83" s="1"/>
      <c r="G83" s="1"/>
      <c r="H83" s="1"/>
      <c r="I83" s="1"/>
      <c r="J83" s="1"/>
      <c r="K83" s="9"/>
      <c r="L83" s="1"/>
      <c r="M83" s="319"/>
      <c r="N83" s="319"/>
      <c r="O83" s="319"/>
      <c r="P83" s="319"/>
      <c r="Q83" s="319"/>
      <c r="R83" s="319"/>
      <c r="S83" s="319"/>
      <c r="T83" s="319"/>
      <c r="U83" s="319"/>
      <c r="V83" s="319"/>
      <c r="W83" s="319"/>
      <c r="X83" s="319"/>
      <c r="Y83" s="319"/>
      <c r="Z83" s="319"/>
      <c r="AA83" s="319"/>
      <c r="AB83" s="319"/>
      <c r="AC83" s="319"/>
      <c r="AD83" s="319"/>
      <c r="AE83" s="319"/>
      <c r="AF83" s="319"/>
      <c r="AG83" s="319"/>
      <c r="AH83" s="319"/>
      <c r="AI83" s="319"/>
      <c r="AJ83" s="319"/>
      <c r="AK83" s="319"/>
      <c r="AL83" s="319"/>
      <c r="AM83" s="319"/>
      <c r="AN83" s="319"/>
      <c r="AO83" s="319">
        <v>2020208</v>
      </c>
      <c r="AP83" s="319"/>
      <c r="AQ83" s="319"/>
      <c r="AR83" s="319"/>
      <c r="AS83" s="319"/>
      <c r="AT83" s="319"/>
      <c r="AU83" s="319"/>
      <c r="AV83" s="319"/>
      <c r="AW83" s="319"/>
      <c r="AX83" s="319"/>
      <c r="AY83" s="319"/>
      <c r="AZ83" s="319"/>
      <c r="BA83" s="319"/>
      <c r="BB83" s="319"/>
      <c r="BC83" s="319"/>
      <c r="BD83" s="319"/>
      <c r="BE83" s="319"/>
      <c r="BF83" s="319"/>
      <c r="BG83" s="319"/>
      <c r="BH83" s="319"/>
      <c r="BI83" s="319"/>
      <c r="BJ83" s="319"/>
      <c r="BK83" s="319"/>
      <c r="BL83" s="319"/>
      <c r="BM83" s="319"/>
      <c r="BN83" s="319"/>
      <c r="BO83" s="319"/>
      <c r="BP83" s="319"/>
      <c r="BQ83" s="319"/>
      <c r="BR83" s="319"/>
      <c r="BS83" s="319"/>
      <c r="BT83" s="319"/>
      <c r="BU83" s="319"/>
      <c r="BV83" s="319"/>
      <c r="BW83" s="319"/>
      <c r="BX83" s="319"/>
      <c r="BY83" s="319"/>
      <c r="BZ83" s="319"/>
      <c r="CA83" s="319"/>
      <c r="CB83" s="319"/>
      <c r="CC83" s="319"/>
      <c r="CD83" s="319"/>
      <c r="CE83" s="319"/>
      <c r="CF83" s="319"/>
    </row>
    <row r="84" spans="1:84" ht="12.75" hidden="1" customHeight="1">
      <c r="A84" s="12"/>
      <c r="B84" s="329" t="str">
        <f>Language!C422</f>
        <v>Tipo de Caldeira</v>
      </c>
      <c r="C84" s="1"/>
      <c r="D84" s="420" t="s">
        <v>6160</v>
      </c>
      <c r="E84" s="1"/>
      <c r="F84" s="1"/>
      <c r="G84" s="1"/>
      <c r="H84" s="1"/>
      <c r="I84" s="1"/>
      <c r="J84" s="1"/>
      <c r="K84" s="9"/>
      <c r="L84" s="1"/>
      <c r="M84" s="319">
        <f>IF(D84="",1,MATCH(D84,ES_BoilerT,0))</f>
        <v>1</v>
      </c>
      <c r="N84" s="319"/>
      <c r="O84" s="319" t="s">
        <v>1457</v>
      </c>
      <c r="P84" s="319"/>
      <c r="Q84" s="319"/>
      <c r="R84" s="319"/>
      <c r="S84" s="319"/>
      <c r="T84" s="319"/>
      <c r="U84" s="319"/>
      <c r="V84" s="319"/>
      <c r="W84" s="319"/>
      <c r="X84" s="319"/>
      <c r="Y84" s="319"/>
      <c r="Z84" s="319"/>
      <c r="AA84" s="319"/>
      <c r="AB84" s="319"/>
      <c r="AC84" s="319"/>
      <c r="AD84" s="319"/>
      <c r="AE84" s="319"/>
      <c r="AF84" s="319"/>
      <c r="AG84" s="319"/>
      <c r="AH84" s="319"/>
      <c r="AI84" s="319"/>
      <c r="AJ84" s="319"/>
      <c r="AK84" s="319"/>
      <c r="AL84" s="319"/>
      <c r="AM84" s="319"/>
      <c r="AN84" s="319"/>
      <c r="AO84" s="319">
        <v>2020210</v>
      </c>
      <c r="AP84" s="319"/>
      <c r="AQ84" s="319"/>
      <c r="AR84" s="319"/>
      <c r="AS84" s="319"/>
      <c r="AT84" s="319"/>
      <c r="AU84" s="319"/>
      <c r="AV84" s="319"/>
      <c r="AW84" s="319"/>
      <c r="AX84" s="319"/>
      <c r="AY84" s="319"/>
      <c r="AZ84" s="319"/>
      <c r="BA84" s="319"/>
      <c r="BB84" s="319"/>
      <c r="BC84" s="319"/>
      <c r="BD84" s="319"/>
      <c r="BE84" s="319"/>
      <c r="BF84" s="319"/>
      <c r="BG84" s="319"/>
      <c r="BH84" s="319"/>
      <c r="BI84" s="319"/>
      <c r="BJ84" s="319"/>
      <c r="BK84" s="319"/>
      <c r="BL84" s="319"/>
      <c r="BM84" s="319"/>
      <c r="BN84" s="319"/>
      <c r="BO84" s="319"/>
      <c r="BP84" s="319"/>
      <c r="BQ84" s="319"/>
      <c r="BR84" s="319"/>
      <c r="BS84" s="319"/>
      <c r="BT84" s="319"/>
      <c r="BU84" s="319"/>
      <c r="BV84" s="319"/>
      <c r="BW84" s="319"/>
      <c r="BX84" s="319"/>
      <c r="BY84" s="319"/>
      <c r="BZ84" s="319"/>
      <c r="CA84" s="319"/>
      <c r="CB84" s="319"/>
      <c r="CC84" s="319"/>
      <c r="CD84" s="319"/>
      <c r="CE84" s="319"/>
      <c r="CF84" s="319"/>
    </row>
    <row r="85" spans="1:84" ht="12.75" hidden="1" customHeight="1">
      <c r="A85" s="12"/>
      <c r="B85" s="329" t="str">
        <f>Language!C423</f>
        <v>Pressão de Operação</v>
      </c>
      <c r="C85" s="303" t="s">
        <v>2791</v>
      </c>
      <c r="D85" s="307"/>
      <c r="E85" s="1"/>
      <c r="F85" s="1"/>
      <c r="G85" s="1"/>
      <c r="H85" s="1"/>
      <c r="I85" s="1"/>
      <c r="J85" s="1"/>
      <c r="K85" s="788" t="str">
        <f>IF(V86=SteamP*1000,$G$1088,"")</f>
        <v/>
      </c>
      <c r="L85" s="1"/>
      <c r="M85" s="319"/>
      <c r="N85" s="319"/>
      <c r="O85" s="319"/>
      <c r="P85" s="319"/>
      <c r="Q85" s="319"/>
      <c r="R85" s="319"/>
      <c r="S85" s="319"/>
      <c r="T85" s="319"/>
      <c r="U85" s="319"/>
      <c r="V85" s="319"/>
      <c r="W85" s="319"/>
      <c r="X85" s="319"/>
      <c r="Y85" s="319"/>
      <c r="Z85" s="319"/>
      <c r="AA85" s="319"/>
      <c r="AB85" s="319"/>
      <c r="AC85" s="319"/>
      <c r="AD85" s="319"/>
      <c r="AE85" s="319"/>
      <c r="AF85" s="319"/>
      <c r="AG85" s="319"/>
      <c r="AH85" s="319"/>
      <c r="AI85" s="319"/>
      <c r="AJ85" s="319"/>
      <c r="AK85" s="319"/>
      <c r="AL85" s="319"/>
      <c r="AM85" s="319"/>
      <c r="AN85" s="319"/>
      <c r="AO85" s="319">
        <v>2020212</v>
      </c>
      <c r="AP85" s="319"/>
      <c r="AQ85" s="319"/>
      <c r="AR85" s="319"/>
      <c r="AS85" s="319"/>
      <c r="AT85" s="319"/>
      <c r="AU85" s="319"/>
      <c r="AV85" s="319"/>
      <c r="AW85" s="319"/>
      <c r="AX85" s="319"/>
      <c r="AY85" s="319"/>
      <c r="AZ85" s="319"/>
      <c r="BA85" s="319"/>
      <c r="BB85" s="319"/>
      <c r="BC85" s="319"/>
      <c r="BD85" s="319"/>
      <c r="BE85" s="319"/>
      <c r="BF85" s="319"/>
      <c r="BG85" s="319"/>
      <c r="BH85" s="319"/>
      <c r="BI85" s="319"/>
      <c r="BJ85" s="319"/>
      <c r="BK85" s="319"/>
      <c r="BL85" s="319"/>
      <c r="BM85" s="319"/>
      <c r="BN85" s="319"/>
      <c r="BO85" s="319"/>
      <c r="BP85" s="319"/>
      <c r="BQ85" s="319"/>
      <c r="BR85" s="319"/>
      <c r="BS85" s="319"/>
      <c r="BT85" s="319"/>
      <c r="BU85" s="319"/>
      <c r="BV85" s="319"/>
      <c r="BW85" s="319"/>
      <c r="BX85" s="319"/>
      <c r="BY85" s="319"/>
      <c r="BZ85" s="319"/>
      <c r="CA85" s="319"/>
      <c r="CB85" s="319"/>
      <c r="CC85" s="319"/>
      <c r="CD85" s="319"/>
      <c r="CE85" s="319"/>
      <c r="CF85" s="319"/>
    </row>
    <row r="86" spans="1:84" ht="12.75" hidden="1" customHeight="1">
      <c r="A86" s="12"/>
      <c r="B86" s="329" t="str">
        <f>Language!C424</f>
        <v>Temperatura de saturação</v>
      </c>
      <c r="C86" s="29" t="str">
        <f>IF(Unit=TRUE,R86,T86)</f>
        <v>°C</v>
      </c>
      <c r="D86" s="30">
        <f>IF(Unit=TRUE,S86,U86)</f>
        <v>-273.14999999999998</v>
      </c>
      <c r="E86" s="1"/>
      <c r="F86" s="29" t="str">
        <f>IF($M$3=FALSE,"",IF(Unit=FALSE,R86,T86))</f>
        <v/>
      </c>
      <c r="G86" s="140" t="str">
        <f>IF($M$3=FALSE,"",IF(Unit=FALSE,S86,U86))</f>
        <v/>
      </c>
      <c r="H86" s="1"/>
      <c r="I86" s="1"/>
      <c r="J86" s="1"/>
      <c r="K86" s="9"/>
      <c r="L86" s="1"/>
      <c r="M86" s="319"/>
      <c r="N86" s="319"/>
      <c r="O86" s="319"/>
      <c r="P86" s="319"/>
      <c r="Q86" s="319"/>
      <c r="R86" s="319" t="str">
        <f>Language!C1310</f>
        <v>°C</v>
      </c>
      <c r="S86" s="476">
        <f>Tsat(V86/1000)-$AA$1090</f>
        <v>-273.14999999999998</v>
      </c>
      <c r="T86" s="319" t="str">
        <f>Language!C1313</f>
        <v>°F</v>
      </c>
      <c r="U86" s="476">
        <f>S86*1.8+32</f>
        <v>-459.66999999999996</v>
      </c>
      <c r="V86" s="476">
        <f>IF(IF(C85=$Z$1067,D85,IF(C85=$Z$1068,D85*100,IF(C85=$Z$1069,(D85+$AA$1069)/$Y$1069*100,IF(C85=$Z$1070,D85/$Y$1069*100))))&lt;SteamP,SteamP,IF(C85=$Z$1067,D85,IF(C85=$Z$1068,D85*100,IF(C85=$Z$1069,(D85+$AA$1069)/$Y$1069*100,IF(C85=$Z$1070,D85/$Y$1069*100)))))</f>
        <v>1.1100000000000001E-3</v>
      </c>
      <c r="W86" s="319" t="s">
        <v>741</v>
      </c>
      <c r="X86" s="319"/>
      <c r="Y86" s="319"/>
      <c r="Z86" s="319"/>
      <c r="AA86" s="319"/>
      <c r="AB86" s="319"/>
      <c r="AC86" s="319"/>
      <c r="AD86" s="319"/>
      <c r="AE86" s="319"/>
      <c r="AF86" s="319"/>
      <c r="AG86" s="319"/>
      <c r="AH86" s="319"/>
      <c r="AI86" s="319"/>
      <c r="AJ86" s="319"/>
      <c r="AK86" s="319"/>
      <c r="AL86" s="319"/>
      <c r="AM86" s="319"/>
      <c r="AN86" s="319"/>
      <c r="AO86" s="319">
        <v>2060010</v>
      </c>
      <c r="AP86" s="319"/>
      <c r="AQ86" s="319"/>
      <c r="AR86" s="319"/>
      <c r="AS86" s="319"/>
      <c r="AT86" s="319"/>
      <c r="AU86" s="319"/>
      <c r="AV86" s="319"/>
      <c r="AW86" s="319"/>
      <c r="AX86" s="319"/>
      <c r="AY86" s="319"/>
      <c r="AZ86" s="319"/>
      <c r="BA86" s="319"/>
      <c r="BB86" s="319"/>
      <c r="BC86" s="319"/>
      <c r="BD86" s="319"/>
      <c r="BE86" s="319"/>
      <c r="BF86" s="319"/>
      <c r="BG86" s="319"/>
      <c r="BH86" s="319"/>
      <c r="BI86" s="319"/>
      <c r="BJ86" s="319"/>
      <c r="BK86" s="319"/>
      <c r="BL86" s="319"/>
      <c r="BM86" s="319"/>
      <c r="BN86" s="319"/>
      <c r="BO86" s="319"/>
      <c r="BP86" s="319"/>
      <c r="BQ86" s="319"/>
      <c r="BR86" s="319"/>
      <c r="BS86" s="319"/>
      <c r="BT86" s="319"/>
      <c r="BU86" s="319"/>
      <c r="BV86" s="319"/>
      <c r="BW86" s="319"/>
      <c r="BX86" s="319"/>
      <c r="BY86" s="319"/>
      <c r="BZ86" s="319"/>
      <c r="CA86" s="319"/>
      <c r="CB86" s="319"/>
      <c r="CC86" s="319"/>
      <c r="CD86" s="319"/>
      <c r="CE86" s="319"/>
      <c r="CF86" s="319"/>
    </row>
    <row r="87" spans="1:84" ht="12.75" hidden="1" customHeight="1">
      <c r="A87" s="12"/>
      <c r="B87" s="329" t="str">
        <f>Language!C425</f>
        <v>Temperatura superaquecimento</v>
      </c>
      <c r="C87" s="303" t="s">
        <v>5568</v>
      </c>
      <c r="D87" s="307"/>
      <c r="E87" s="1"/>
      <c r="F87" s="1"/>
      <c r="G87" s="1"/>
      <c r="H87" s="1"/>
      <c r="I87" s="1"/>
      <c r="J87" s="1"/>
      <c r="K87" s="9"/>
      <c r="L87" s="1"/>
      <c r="M87" s="319"/>
      <c r="N87" s="319"/>
      <c r="O87" s="319"/>
      <c r="P87" s="319"/>
      <c r="Q87" s="319"/>
      <c r="R87" s="319">
        <f>IF(C87=$Z$1107,D87,(D87-32)/1.8)</f>
        <v>0</v>
      </c>
      <c r="S87" s="319" t="s">
        <v>144</v>
      </c>
      <c r="T87" s="319"/>
      <c r="U87" s="319"/>
      <c r="V87" s="476">
        <f>EnthalpyV(IF(V86/1000&lt;SteamP,SteamP,V86/1000),R87+$AA$1090)</f>
        <v>2500.3977354876192</v>
      </c>
      <c r="W87" s="319" t="s">
        <v>2922</v>
      </c>
      <c r="X87" s="319"/>
      <c r="Y87" s="319"/>
      <c r="Z87" s="319"/>
      <c r="AA87" s="319"/>
      <c r="AB87" s="319"/>
      <c r="AC87" s="319"/>
      <c r="AD87" s="319"/>
      <c r="AE87" s="319"/>
      <c r="AF87" s="319"/>
      <c r="AG87" s="319"/>
      <c r="AH87" s="319"/>
      <c r="AI87" s="319"/>
      <c r="AJ87" s="319"/>
      <c r="AK87" s="319"/>
      <c r="AL87" s="319"/>
      <c r="AM87" s="319"/>
      <c r="AN87" s="319"/>
      <c r="AO87" s="319">
        <v>2020216</v>
      </c>
      <c r="AP87" s="319"/>
      <c r="AQ87" s="319"/>
      <c r="AR87" s="319"/>
      <c r="AS87" s="319"/>
      <c r="AT87" s="319"/>
      <c r="AU87" s="319"/>
      <c r="AV87" s="319"/>
      <c r="AW87" s="319"/>
      <c r="AX87" s="319"/>
      <c r="AY87" s="319"/>
      <c r="AZ87" s="319"/>
      <c r="BA87" s="319"/>
      <c r="BB87" s="319"/>
      <c r="BC87" s="319"/>
      <c r="BD87" s="319"/>
      <c r="BE87" s="319"/>
      <c r="BF87" s="319"/>
      <c r="BG87" s="319"/>
      <c r="BH87" s="319"/>
      <c r="BI87" s="319"/>
      <c r="BJ87" s="319"/>
      <c r="BK87" s="319"/>
      <c r="BL87" s="319"/>
      <c r="BM87" s="319"/>
      <c r="BN87" s="319"/>
      <c r="BO87" s="319"/>
      <c r="BP87" s="319"/>
      <c r="BQ87" s="319"/>
      <c r="BR87" s="319"/>
      <c r="BS87" s="319"/>
      <c r="BT87" s="319"/>
      <c r="BU87" s="319"/>
      <c r="BV87" s="319"/>
      <c r="BW87" s="319"/>
      <c r="BX87" s="319"/>
      <c r="BY87" s="319"/>
      <c r="BZ87" s="319"/>
      <c r="CA87" s="319"/>
      <c r="CB87" s="319"/>
      <c r="CC87" s="319"/>
      <c r="CD87" s="319"/>
      <c r="CE87" s="319"/>
      <c r="CF87" s="319"/>
    </row>
    <row r="88" spans="1:84" ht="12.75" hidden="1" customHeight="1">
      <c r="A88" s="12"/>
      <c r="B88" s="329" t="str">
        <f>B156</f>
        <v>Temp. de retorno</v>
      </c>
      <c r="C88" s="303" t="s">
        <v>5568</v>
      </c>
      <c r="D88" s="307"/>
      <c r="E88" s="1"/>
      <c r="F88" s="1"/>
      <c r="G88" s="1"/>
      <c r="H88" s="1"/>
      <c r="I88" s="1"/>
      <c r="J88" s="1"/>
      <c r="K88" s="9"/>
      <c r="L88" s="1"/>
      <c r="M88" s="319"/>
      <c r="N88" s="319"/>
      <c r="O88" s="319"/>
      <c r="P88" s="319"/>
      <c r="Q88" s="319"/>
      <c r="R88" s="319">
        <f>IF(C88=$Z$1107,D88,(D88-32)/1.8)</f>
        <v>0</v>
      </c>
      <c r="S88" s="319" t="s">
        <v>144</v>
      </c>
      <c r="T88" s="319"/>
      <c r="U88" s="319"/>
      <c r="V88" s="476">
        <f>EnthalpyF(0.1,R88+$AA$1090)</f>
        <v>5.9662252247094469E-2</v>
      </c>
      <c r="W88" s="319" t="s">
        <v>2922</v>
      </c>
      <c r="X88" s="319"/>
      <c r="Y88" s="319"/>
      <c r="Z88" s="319"/>
      <c r="AA88" s="319"/>
      <c r="AB88" s="319"/>
      <c r="AC88" s="319"/>
      <c r="AD88" s="319"/>
      <c r="AE88" s="319"/>
      <c r="AF88" s="319"/>
      <c r="AG88" s="319"/>
      <c r="AH88" s="319"/>
      <c r="AI88" s="319"/>
      <c r="AJ88" s="319"/>
      <c r="AK88" s="319"/>
      <c r="AL88" s="319"/>
      <c r="AM88" s="319"/>
      <c r="AN88" s="319"/>
      <c r="AO88" s="319">
        <v>2020218</v>
      </c>
      <c r="AP88" s="319"/>
      <c r="AQ88" s="319"/>
      <c r="AR88" s="319"/>
      <c r="AS88" s="319"/>
      <c r="AT88" s="319"/>
      <c r="AU88" s="319"/>
      <c r="AV88" s="319"/>
      <c r="AW88" s="319"/>
      <c r="AX88" s="319"/>
      <c r="AY88" s="319"/>
      <c r="AZ88" s="319"/>
      <c r="BA88" s="319"/>
      <c r="BB88" s="319"/>
      <c r="BC88" s="319"/>
      <c r="BD88" s="319"/>
      <c r="BE88" s="319"/>
      <c r="BF88" s="319"/>
      <c r="BG88" s="319"/>
      <c r="BH88" s="319"/>
      <c r="BI88" s="319"/>
      <c r="BJ88" s="319"/>
      <c r="BK88" s="319"/>
      <c r="BL88" s="319"/>
      <c r="BM88" s="319"/>
      <c r="BN88" s="319"/>
      <c r="BO88" s="319"/>
      <c r="BP88" s="319"/>
      <c r="BQ88" s="319"/>
      <c r="BR88" s="319"/>
      <c r="BS88" s="319"/>
      <c r="BT88" s="319"/>
      <c r="BU88" s="319"/>
      <c r="BV88" s="319"/>
      <c r="BW88" s="319"/>
      <c r="BX88" s="319"/>
      <c r="BY88" s="319"/>
      <c r="BZ88" s="319"/>
      <c r="CA88" s="319"/>
      <c r="CB88" s="319"/>
      <c r="CC88" s="319"/>
      <c r="CD88" s="319"/>
      <c r="CE88" s="319"/>
      <c r="CF88" s="319"/>
    </row>
    <row r="89" spans="1:84" ht="12.75" hidden="1" customHeight="1">
      <c r="A89" s="12"/>
      <c r="B89" s="329" t="str">
        <f>B131</f>
        <v>Fluxo de vapor</v>
      </c>
      <c r="C89" s="29" t="str">
        <f>IF(Unit=TRUE,R89,T89)</f>
        <v>kg/h</v>
      </c>
      <c r="D89" s="30">
        <f>IF(Unit=TRUE,S89,U89)</f>
        <v>0</v>
      </c>
      <c r="E89" s="1"/>
      <c r="F89" s="29" t="str">
        <f>IF($M$3=FALSE,"",IF(Unit=FALSE,R89,T89))</f>
        <v/>
      </c>
      <c r="G89" s="140" t="str">
        <f>IF($M$3=FALSE,"",IF(Unit=FALSE,S89,U89))</f>
        <v/>
      </c>
      <c r="H89" s="1"/>
      <c r="I89" s="1"/>
      <c r="J89" s="1"/>
      <c r="K89" s="9"/>
      <c r="L89" s="1"/>
      <c r="M89" s="319"/>
      <c r="N89" s="319"/>
      <c r="O89" s="319"/>
      <c r="P89" s="319"/>
      <c r="Q89" s="319"/>
      <c r="R89" s="319" t="str">
        <f>Language!C1355</f>
        <v>kg/h</v>
      </c>
      <c r="S89" s="476">
        <f>S79/V89*3600</f>
        <v>0</v>
      </c>
      <c r="T89" s="319" t="str">
        <f>Language!C1368</f>
        <v>lb/h</v>
      </c>
      <c r="U89" s="476">
        <f>S89/$AA$1085</f>
        <v>0</v>
      </c>
      <c r="V89" s="476">
        <f>V87-V88</f>
        <v>2500.3380732353721</v>
      </c>
      <c r="W89" s="319" t="s">
        <v>2922</v>
      </c>
      <c r="X89" s="319"/>
      <c r="Y89" s="319"/>
      <c r="Z89" s="319"/>
      <c r="AA89" s="319"/>
      <c r="AB89" s="319"/>
      <c r="AC89" s="319"/>
      <c r="AD89" s="319"/>
      <c r="AE89" s="319"/>
      <c r="AF89" s="319"/>
      <c r="AG89" s="319"/>
      <c r="AH89" s="319"/>
      <c r="AI89" s="319"/>
      <c r="AJ89" s="319"/>
      <c r="AK89" s="319"/>
      <c r="AL89" s="319"/>
      <c r="AM89" s="319"/>
      <c r="AN89" s="319"/>
      <c r="AO89" s="319">
        <v>2020220</v>
      </c>
      <c r="AP89" s="319"/>
      <c r="AQ89" s="319"/>
      <c r="AR89" s="319"/>
      <c r="AS89" s="319"/>
      <c r="AT89" s="319"/>
      <c r="AU89" s="319"/>
      <c r="AV89" s="319"/>
      <c r="AW89" s="319"/>
      <c r="AX89" s="319"/>
      <c r="AY89" s="319"/>
      <c r="AZ89" s="319"/>
      <c r="BA89" s="319"/>
      <c r="BB89" s="319"/>
      <c r="BC89" s="319"/>
      <c r="BD89" s="319"/>
      <c r="BE89" s="319"/>
      <c r="BF89" s="319"/>
      <c r="BG89" s="319"/>
      <c r="BH89" s="319"/>
      <c r="BI89" s="319"/>
      <c r="BJ89" s="319"/>
      <c r="BK89" s="319"/>
      <c r="BL89" s="319"/>
      <c r="BM89" s="319"/>
      <c r="BN89" s="319"/>
      <c r="BO89" s="319"/>
      <c r="BP89" s="319"/>
      <c r="BQ89" s="319"/>
      <c r="BR89" s="319"/>
      <c r="BS89" s="319"/>
      <c r="BT89" s="319"/>
      <c r="BU89" s="319"/>
      <c r="BV89" s="319"/>
      <c r="BW89" s="319"/>
      <c r="BX89" s="319"/>
      <c r="BY89" s="319"/>
      <c r="BZ89" s="319"/>
      <c r="CA89" s="319"/>
      <c r="CB89" s="319"/>
      <c r="CC89" s="319"/>
      <c r="CD89" s="319"/>
      <c r="CE89" s="319"/>
      <c r="CF89" s="319"/>
    </row>
    <row r="90" spans="1:84" ht="12.75" hidden="1" customHeight="1">
      <c r="A90" s="14"/>
      <c r="B90" s="380" t="str">
        <f>B77</f>
        <v>Combustível necessário</v>
      </c>
      <c r="C90" s="33" t="str">
        <f>IF(Unit=TRUE,R90,T90)</f>
        <v>GJ/h</v>
      </c>
      <c r="D90" s="99" t="e">
        <f>IF(Unit=TRUE,S90,U90)</f>
        <v>#DIV/0!</v>
      </c>
      <c r="E90" s="15"/>
      <c r="F90" s="33" t="str">
        <f>IF($M$3=FALSE,"",IF(Unit=FALSE,R90,T90))</f>
        <v/>
      </c>
      <c r="G90" s="245" t="str">
        <f>IF($M$3=FALSE,"",IF(Unit=FALSE,S90,U90))</f>
        <v/>
      </c>
      <c r="H90" s="15"/>
      <c r="I90" s="15"/>
      <c r="J90" s="15"/>
      <c r="K90" s="11"/>
      <c r="L90" s="1"/>
      <c r="M90" s="319"/>
      <c r="N90" s="319"/>
      <c r="O90" s="319"/>
      <c r="P90" s="319"/>
      <c r="Q90" s="319"/>
      <c r="R90" s="319" t="str">
        <f>$R$77</f>
        <v>GJ/h</v>
      </c>
      <c r="S90" s="476" t="e">
        <f>S79/D83*3.6/1000</f>
        <v>#DIV/0!</v>
      </c>
      <c r="T90" s="319" t="str">
        <f>$T$77</f>
        <v>milhão Btu/h</v>
      </c>
      <c r="U90" s="476" t="e">
        <f>S90/$AA$1082</f>
        <v>#DIV/0!</v>
      </c>
      <c r="V90" s="319"/>
      <c r="W90" s="319"/>
      <c r="X90" s="319"/>
      <c r="Y90" s="319"/>
      <c r="Z90" s="319"/>
      <c r="AA90" s="319"/>
      <c r="AB90" s="319"/>
      <c r="AC90" s="319"/>
      <c r="AD90" s="319"/>
      <c r="AE90" s="319"/>
      <c r="AF90" s="319"/>
      <c r="AG90" s="319"/>
      <c r="AH90" s="319"/>
      <c r="AI90" s="319"/>
      <c r="AJ90" s="319"/>
      <c r="AK90" s="319"/>
      <c r="AL90" s="319"/>
      <c r="AM90" s="319"/>
      <c r="AN90" s="319"/>
      <c r="AO90" s="319">
        <v>2020222</v>
      </c>
      <c r="AP90" s="319"/>
      <c r="AQ90" s="319"/>
      <c r="AR90" s="319"/>
      <c r="AS90" s="319"/>
      <c r="AT90" s="319"/>
      <c r="AU90" s="319"/>
      <c r="AV90" s="319"/>
      <c r="AW90" s="319"/>
      <c r="AX90" s="319"/>
      <c r="AY90" s="319"/>
      <c r="AZ90" s="319"/>
      <c r="BA90" s="319"/>
      <c r="BB90" s="319"/>
      <c r="BC90" s="319"/>
      <c r="BD90" s="319"/>
      <c r="BE90" s="319"/>
      <c r="BF90" s="319"/>
      <c r="BG90" s="319"/>
      <c r="BH90" s="319"/>
      <c r="BI90" s="319"/>
      <c r="BJ90" s="319"/>
      <c r="BK90" s="319"/>
      <c r="BL90" s="319"/>
      <c r="BM90" s="319"/>
      <c r="BN90" s="319"/>
      <c r="BO90" s="319"/>
      <c r="BP90" s="319"/>
      <c r="BQ90" s="319"/>
      <c r="BR90" s="319"/>
      <c r="BS90" s="319"/>
      <c r="BT90" s="319"/>
      <c r="BU90" s="319"/>
      <c r="BV90" s="319"/>
      <c r="BW90" s="319"/>
      <c r="BX90" s="319"/>
      <c r="BY90" s="319"/>
      <c r="BZ90" s="319"/>
      <c r="CA90" s="319"/>
      <c r="CB90" s="319"/>
      <c r="CC90" s="319"/>
      <c r="CD90" s="319"/>
      <c r="CE90" s="319"/>
      <c r="CF90" s="319"/>
    </row>
    <row r="91" spans="1:84" ht="12.75" hidden="1" customHeight="1">
      <c r="A91" s="12"/>
      <c r="B91" s="28" t="str">
        <f>IF(HideCodeES_PSS=1,Language!C133,Language!C133&amp;" #1")</f>
        <v>Motor recíproco</v>
      </c>
      <c r="C91" s="1"/>
      <c r="D91" s="1"/>
      <c r="E91" s="1"/>
      <c r="F91" s="1"/>
      <c r="G91" s="1"/>
      <c r="H91" s="1"/>
      <c r="I91" s="1"/>
      <c r="J91" s="1"/>
      <c r="K91" s="9"/>
      <c r="L91" s="1"/>
      <c r="M91" s="319"/>
      <c r="N91" s="319"/>
      <c r="O91" s="319"/>
      <c r="P91" s="319"/>
      <c r="Q91" s="319"/>
      <c r="R91" s="319"/>
      <c r="S91" s="319"/>
      <c r="T91" s="319"/>
      <c r="U91" s="319"/>
      <c r="V91" s="319"/>
      <c r="W91" s="319"/>
      <c r="X91" s="319"/>
      <c r="Y91" s="319"/>
      <c r="Z91" s="319"/>
      <c r="AA91" s="319"/>
      <c r="AB91" s="319"/>
      <c r="AC91" s="319"/>
      <c r="AD91" s="319"/>
      <c r="AE91" s="319"/>
      <c r="AF91" s="319"/>
      <c r="AG91" s="319"/>
      <c r="AH91" s="319"/>
      <c r="AI91" s="319"/>
      <c r="AJ91" s="319"/>
      <c r="AK91" s="319"/>
      <c r="AL91" s="319"/>
      <c r="AM91" s="319"/>
      <c r="AN91" s="319"/>
      <c r="AO91" s="319">
        <v>2040022</v>
      </c>
      <c r="AP91" s="319"/>
      <c r="AQ91" s="319"/>
      <c r="AR91" s="319"/>
      <c r="AS91" s="319"/>
      <c r="AT91" s="319"/>
      <c r="AU91" s="319"/>
      <c r="AV91" s="319"/>
      <c r="AW91" s="319"/>
      <c r="AX91" s="319"/>
      <c r="AY91" s="319"/>
      <c r="AZ91" s="319"/>
      <c r="BA91" s="319"/>
      <c r="BB91" s="319"/>
      <c r="BC91" s="319"/>
      <c r="BD91" s="319"/>
      <c r="BE91" s="319"/>
      <c r="BF91" s="319"/>
      <c r="BG91" s="319"/>
      <c r="BH91" s="319"/>
      <c r="BI91" s="319"/>
      <c r="BJ91" s="319"/>
      <c r="BK91" s="319"/>
      <c r="BL91" s="319"/>
      <c r="BM91" s="319"/>
      <c r="BN91" s="319"/>
      <c r="BO91" s="319"/>
      <c r="BP91" s="319"/>
      <c r="BQ91" s="319"/>
      <c r="BR91" s="319"/>
      <c r="BS91" s="319"/>
      <c r="BT91" s="319"/>
      <c r="BU91" s="319"/>
      <c r="BV91" s="319"/>
      <c r="BW91" s="319"/>
      <c r="BX91" s="319"/>
      <c r="BY91" s="319"/>
      <c r="BZ91" s="319"/>
      <c r="CA91" s="319"/>
      <c r="CB91" s="319"/>
      <c r="CC91" s="319"/>
      <c r="CD91" s="319"/>
      <c r="CE91" s="319"/>
      <c r="CF91" s="319"/>
    </row>
    <row r="92" spans="1:84" ht="12.75" hidden="1" customHeight="1">
      <c r="A92" s="12"/>
      <c r="B92" s="329" t="str">
        <f>Language!C427</f>
        <v>Potência elétrica</v>
      </c>
      <c r="C92" s="29" t="str">
        <f>Language!C1364</f>
        <v>kW</v>
      </c>
      <c r="D92" s="412"/>
      <c r="E92" s="80" t="str">
        <f>IF($P$866=0,"",D92/$P$866)</f>
        <v/>
      </c>
      <c r="F92" s="1"/>
      <c r="G92" s="1"/>
      <c r="H92" s="1346"/>
      <c r="I92" s="1252" t="str">
        <f>Language!C61</f>
        <v>Ver banco de dados de produtos</v>
      </c>
      <c r="J92" s="1191"/>
      <c r="K92" s="1210"/>
      <c r="L92" s="1"/>
      <c r="M92" s="319"/>
      <c r="N92" s="319"/>
      <c r="O92" s="319"/>
      <c r="P92" s="319"/>
      <c r="Q92" s="319"/>
      <c r="R92" s="319"/>
      <c r="S92" s="319"/>
      <c r="T92" s="319"/>
      <c r="U92" s="319"/>
      <c r="V92" s="319"/>
      <c r="W92" s="319"/>
      <c r="X92" s="319"/>
      <c r="Y92" s="319"/>
      <c r="Z92" s="319"/>
      <c r="AA92" s="319"/>
      <c r="AB92" s="319"/>
      <c r="AC92" s="319"/>
      <c r="AD92" s="319"/>
      <c r="AE92" s="319"/>
      <c r="AF92" s="319"/>
      <c r="AG92" s="319"/>
      <c r="AH92" s="319"/>
      <c r="AI92" s="319"/>
      <c r="AJ92" s="319"/>
      <c r="AK92" s="319"/>
      <c r="AL92" s="319"/>
      <c r="AM92" s="319"/>
      <c r="AN92" s="319"/>
      <c r="AO92" s="319">
        <v>2050002</v>
      </c>
      <c r="AP92" s="319"/>
      <c r="AQ92" s="319"/>
      <c r="AR92" s="319"/>
      <c r="AS92" s="319"/>
      <c r="AT92" s="319"/>
      <c r="AU92" s="319"/>
      <c r="AV92" s="319"/>
      <c r="AW92" s="319"/>
      <c r="AX92" s="319"/>
      <c r="AY92" s="319"/>
      <c r="AZ92" s="319"/>
      <c r="BA92" s="319"/>
      <c r="BB92" s="319"/>
      <c r="BC92" s="319"/>
      <c r="BD92" s="319"/>
      <c r="BE92" s="319"/>
      <c r="BF92" s="319"/>
      <c r="BG92" s="319"/>
      <c r="BH92" s="319"/>
      <c r="BI92" s="319"/>
      <c r="BJ92" s="319"/>
      <c r="BK92" s="319"/>
      <c r="BL92" s="319"/>
      <c r="BM92" s="319"/>
      <c r="BN92" s="319"/>
      <c r="BO92" s="319"/>
      <c r="BP92" s="319"/>
      <c r="BQ92" s="319"/>
      <c r="BR92" s="319"/>
      <c r="BS92" s="319"/>
      <c r="BT92" s="319"/>
      <c r="BU92" s="319"/>
      <c r="BV92" s="319"/>
      <c r="BW92" s="319"/>
      <c r="BX92" s="319"/>
      <c r="BY92" s="319"/>
      <c r="BZ92" s="319"/>
      <c r="CA92" s="319"/>
      <c r="CB92" s="319"/>
      <c r="CC92" s="319"/>
      <c r="CD92" s="319"/>
      <c r="CE92" s="319"/>
      <c r="CF92" s="319"/>
    </row>
    <row r="93" spans="1:84" ht="12.75" hidden="1" customHeight="1">
      <c r="A93" s="12"/>
      <c r="B93" s="329" t="str">
        <f>Language!C429</f>
        <v>Capac. Mínima</v>
      </c>
      <c r="C93" s="29" t="str">
        <f>$T$35</f>
        <v>%</v>
      </c>
      <c r="D93" s="422"/>
      <c r="E93" s="1"/>
      <c r="F93" s="1"/>
      <c r="G93" s="1"/>
      <c r="H93" s="1"/>
      <c r="I93" s="1"/>
      <c r="J93" s="1"/>
      <c r="K93" s="788" t="str">
        <f>IF(S93&gt;0,$G$1095&amp;S93&amp;$G$1096,"")</f>
        <v/>
      </c>
      <c r="L93" s="1"/>
      <c r="M93" s="319"/>
      <c r="N93" s="319"/>
      <c r="O93" s="319"/>
      <c r="P93" s="319"/>
      <c r="Q93" s="319"/>
      <c r="R93" s="319" t="s">
        <v>4372</v>
      </c>
      <c r="S93" s="319">
        <f t="array" ref="S93">IF(AND(HideCodeES_PSS=2,$C$854=$E$1094),SUM(IF($D$1139:$D$1150&lt;D92*M1114,1,0)),SUM(IF($I$1139:$I$1150&lt;D92*M1114,1,0)))*IF(SUM($D$1139:$D$1150)=0,0,1)</f>
        <v>0</v>
      </c>
      <c r="T93" s="319"/>
      <c r="U93" s="319"/>
      <c r="V93" s="319"/>
      <c r="W93" s="319"/>
      <c r="X93" s="319"/>
      <c r="Y93" s="319"/>
      <c r="Z93" s="319"/>
      <c r="AA93" s="319"/>
      <c r="AB93" s="319"/>
      <c r="AC93" s="319"/>
      <c r="AD93" s="319"/>
      <c r="AE93" s="319"/>
      <c r="AF93" s="319"/>
      <c r="AG93" s="319"/>
      <c r="AH93" s="319"/>
      <c r="AI93" s="319"/>
      <c r="AJ93" s="319"/>
      <c r="AK93" s="319"/>
      <c r="AL93" s="319"/>
      <c r="AM93" s="319"/>
      <c r="AN93" s="319"/>
      <c r="AO93" s="319">
        <v>2050006</v>
      </c>
      <c r="AP93" s="319"/>
      <c r="AQ93" s="319"/>
      <c r="AR93" s="319"/>
      <c r="AS93" s="319"/>
      <c r="AT93" s="319"/>
      <c r="AU93" s="319"/>
      <c r="AV93" s="319"/>
      <c r="AW93" s="319"/>
      <c r="AX93" s="319"/>
      <c r="AY93" s="319"/>
      <c r="AZ93" s="319"/>
      <c r="BA93" s="319"/>
      <c r="BB93" s="319"/>
      <c r="BC93" s="319"/>
      <c r="BD93" s="319"/>
      <c r="BE93" s="319"/>
      <c r="BF93" s="319"/>
      <c r="BG93" s="319"/>
      <c r="BH93" s="319"/>
      <c r="BI93" s="319"/>
      <c r="BJ93" s="319"/>
      <c r="BK93" s="319"/>
      <c r="BL93" s="319"/>
      <c r="BM93" s="319"/>
      <c r="BN93" s="319"/>
      <c r="BO93" s="319"/>
      <c r="BP93" s="319"/>
      <c r="BQ93" s="319"/>
      <c r="BR93" s="319"/>
      <c r="BS93" s="319"/>
      <c r="BT93" s="319"/>
      <c r="BU93" s="319"/>
      <c r="BV93" s="319"/>
      <c r="BW93" s="319"/>
      <c r="BX93" s="319"/>
      <c r="BY93" s="319"/>
      <c r="BZ93" s="319"/>
      <c r="CA93" s="319"/>
      <c r="CB93" s="319"/>
      <c r="CC93" s="319"/>
      <c r="CD93" s="319"/>
      <c r="CE93" s="319"/>
      <c r="CF93" s="319"/>
    </row>
    <row r="94" spans="1:84" ht="12.75" hidden="1" customHeight="1">
      <c r="A94" s="12"/>
      <c r="B94" s="329" t="str">
        <f>Language!C205</f>
        <v>Eletricidade fornecida à carga</v>
      </c>
      <c r="C94" s="29" t="str">
        <f>R14</f>
        <v>MWh</v>
      </c>
      <c r="D94" s="30">
        <f>IF(HideCodeES_PSS=1,$G$1107,IF($C$854=$E$1094,$G$1107,$G$1108))</f>
        <v>0</v>
      </c>
      <c r="E94" s="80" t="str">
        <f>IF($P$867=0,"",D94/$P$867)</f>
        <v/>
      </c>
      <c r="F94" s="1"/>
      <c r="G94" s="1"/>
      <c r="H94" s="1"/>
      <c r="I94" s="1"/>
      <c r="J94" s="1"/>
      <c r="K94" s="9"/>
      <c r="L94" s="1"/>
      <c r="M94" s="319"/>
      <c r="N94" s="319"/>
      <c r="O94" s="319"/>
      <c r="P94" s="319"/>
      <c r="Q94" s="319"/>
      <c r="R94" s="319"/>
      <c r="S94" s="319"/>
      <c r="T94" s="319"/>
      <c r="U94" s="319"/>
      <c r="V94" s="319"/>
      <c r="W94" s="319"/>
      <c r="X94" s="319"/>
      <c r="Y94" s="319"/>
      <c r="Z94" s="319"/>
      <c r="AA94" s="319"/>
      <c r="AB94" s="319"/>
      <c r="AC94" s="319"/>
      <c r="AD94" s="319"/>
      <c r="AE94" s="319"/>
      <c r="AF94" s="319"/>
      <c r="AG94" s="319"/>
      <c r="AH94" s="319"/>
      <c r="AI94" s="319"/>
      <c r="AJ94" s="319"/>
      <c r="AK94" s="319"/>
      <c r="AL94" s="319"/>
      <c r="AM94" s="319"/>
      <c r="AN94" s="319"/>
      <c r="AO94" s="319">
        <v>2050008</v>
      </c>
      <c r="AP94" s="319"/>
      <c r="AQ94" s="319"/>
      <c r="AR94" s="319"/>
      <c r="AS94" s="319"/>
      <c r="AT94" s="319"/>
      <c r="AU94" s="319"/>
      <c r="AV94" s="319"/>
      <c r="AW94" s="319"/>
      <c r="AX94" s="319"/>
      <c r="AY94" s="319"/>
      <c r="AZ94" s="319"/>
      <c r="BA94" s="319"/>
      <c r="BB94" s="319"/>
      <c r="BC94" s="319"/>
      <c r="BD94" s="319"/>
      <c r="BE94" s="319"/>
      <c r="BF94" s="319"/>
      <c r="BG94" s="319"/>
      <c r="BH94" s="319"/>
      <c r="BI94" s="319"/>
      <c r="BJ94" s="319"/>
      <c r="BK94" s="319"/>
      <c r="BL94" s="319"/>
      <c r="BM94" s="319"/>
      <c r="BN94" s="319"/>
      <c r="BO94" s="319"/>
      <c r="BP94" s="319"/>
      <c r="BQ94" s="319"/>
      <c r="BR94" s="319"/>
      <c r="BS94" s="319"/>
      <c r="BT94" s="319"/>
      <c r="BU94" s="319"/>
      <c r="BV94" s="319"/>
      <c r="BW94" s="319"/>
      <c r="BX94" s="319"/>
      <c r="BY94" s="319"/>
      <c r="BZ94" s="319"/>
      <c r="CA94" s="319"/>
      <c r="CB94" s="319"/>
      <c r="CC94" s="319"/>
      <c r="CD94" s="319"/>
      <c r="CE94" s="319"/>
      <c r="CF94" s="319"/>
    </row>
    <row r="95" spans="1:84" ht="12.75" hidden="1" customHeight="1">
      <c r="A95" s="12"/>
      <c r="B95" s="329" t="str">
        <f>Language!C206</f>
        <v>Eletricidade exportada p/ rede</v>
      </c>
      <c r="C95" s="29" t="str">
        <f>R14</f>
        <v>MWh</v>
      </c>
      <c r="D95" s="30">
        <f>IF(HideCodeES_PSS=1,$J$1107,IF($C$854=$E$1094,$J$1107,$J$1108))</f>
        <v>5.3903325633948667</v>
      </c>
      <c r="E95" s="1"/>
      <c r="F95" s="1"/>
      <c r="G95" s="1"/>
      <c r="H95" s="1"/>
      <c r="I95" s="1"/>
      <c r="J95" s="1"/>
      <c r="K95" s="9"/>
      <c r="L95" s="1"/>
      <c r="M95" s="319"/>
      <c r="N95" s="319"/>
      <c r="O95" s="319"/>
      <c r="P95" s="319"/>
      <c r="Q95" s="319"/>
      <c r="R95" s="319"/>
      <c r="S95" s="319"/>
      <c r="T95" s="319"/>
      <c r="U95" s="319"/>
      <c r="V95" s="319"/>
      <c r="W95" s="319"/>
      <c r="X95" s="319"/>
      <c r="Y95" s="319"/>
      <c r="Z95" s="319"/>
      <c r="AA95" s="319"/>
      <c r="AB95" s="319"/>
      <c r="AC95" s="319"/>
      <c r="AD95" s="319"/>
      <c r="AE95" s="319"/>
      <c r="AF95" s="319"/>
      <c r="AG95" s="319"/>
      <c r="AH95" s="319"/>
      <c r="AI95" s="319"/>
      <c r="AJ95" s="319"/>
      <c r="AK95" s="319"/>
      <c r="AL95" s="319"/>
      <c r="AM95" s="319"/>
      <c r="AN95" s="319"/>
      <c r="AO95" s="319">
        <v>2050010</v>
      </c>
      <c r="AP95" s="319"/>
      <c r="AQ95" s="319"/>
      <c r="AR95" s="319"/>
      <c r="AS95" s="319"/>
      <c r="AT95" s="319"/>
      <c r="AU95" s="319"/>
      <c r="AV95" s="319"/>
      <c r="AW95" s="319"/>
      <c r="AX95" s="319"/>
      <c r="AY95" s="319"/>
      <c r="AZ95" s="319"/>
      <c r="BA95" s="319"/>
      <c r="BB95" s="319"/>
      <c r="BC95" s="319"/>
      <c r="BD95" s="319"/>
      <c r="BE95" s="319"/>
      <c r="BF95" s="319"/>
      <c r="BG95" s="319"/>
      <c r="BH95" s="319"/>
      <c r="BI95" s="319"/>
      <c r="BJ95" s="319"/>
      <c r="BK95" s="319"/>
      <c r="BL95" s="319"/>
      <c r="BM95" s="319"/>
      <c r="BN95" s="319"/>
      <c r="BO95" s="319"/>
      <c r="BP95" s="319"/>
      <c r="BQ95" s="319"/>
      <c r="BR95" s="319"/>
      <c r="BS95" s="319"/>
      <c r="BT95" s="319"/>
      <c r="BU95" s="319"/>
      <c r="BV95" s="319"/>
      <c r="BW95" s="319"/>
      <c r="BX95" s="319"/>
      <c r="BY95" s="319"/>
      <c r="BZ95" s="319"/>
      <c r="CA95" s="319"/>
      <c r="CB95" s="319"/>
      <c r="CC95" s="319"/>
      <c r="CD95" s="319"/>
      <c r="CE95" s="319"/>
      <c r="CF95" s="319"/>
    </row>
    <row r="96" spans="1:84" ht="12.75" hidden="1" customHeight="1">
      <c r="A96" s="12"/>
      <c r="B96" s="329" t="str">
        <f>B12</f>
        <v>Fabricante</v>
      </c>
      <c r="C96" s="1152"/>
      <c r="D96" s="1153"/>
      <c r="E96" s="1154"/>
      <c r="F96" s="1"/>
      <c r="G96" s="1"/>
      <c r="H96" s="1"/>
      <c r="I96" s="1"/>
      <c r="J96" s="1"/>
      <c r="K96" s="9"/>
      <c r="L96" s="1"/>
      <c r="M96" s="319"/>
      <c r="N96" s="319"/>
      <c r="O96" s="319"/>
      <c r="P96" s="319"/>
      <c r="Q96" s="319"/>
      <c r="R96" s="319"/>
      <c r="S96" s="319"/>
      <c r="T96" s="319"/>
      <c r="U96" s="319"/>
      <c r="V96" s="319"/>
      <c r="W96" s="319"/>
      <c r="X96" s="319"/>
      <c r="Y96" s="319"/>
      <c r="Z96" s="319"/>
      <c r="AA96" s="319"/>
      <c r="AB96" s="319"/>
      <c r="AC96" s="319"/>
      <c r="AD96" s="319"/>
      <c r="AE96" s="319"/>
      <c r="AF96" s="319"/>
      <c r="AG96" s="319"/>
      <c r="AH96" s="319"/>
      <c r="AI96" s="319"/>
      <c r="AJ96" s="319"/>
      <c r="AK96" s="319"/>
      <c r="AL96" s="319"/>
      <c r="AM96" s="319"/>
      <c r="AN96" s="319"/>
      <c r="AO96" s="319">
        <v>2050012</v>
      </c>
      <c r="AP96" s="319"/>
      <c r="AQ96" s="319"/>
      <c r="AR96" s="319"/>
      <c r="AS96" s="319"/>
      <c r="AT96" s="319"/>
      <c r="AU96" s="319"/>
      <c r="AV96" s="319"/>
      <c r="AW96" s="319"/>
      <c r="AX96" s="319"/>
      <c r="AY96" s="319"/>
      <c r="AZ96" s="319"/>
      <c r="BA96" s="319"/>
      <c r="BB96" s="319"/>
      <c r="BC96" s="319"/>
      <c r="BD96" s="319"/>
      <c r="BE96" s="319"/>
      <c r="BF96" s="319"/>
      <c r="BG96" s="319"/>
      <c r="BH96" s="319"/>
      <c r="BI96" s="319"/>
      <c r="BJ96" s="319"/>
      <c r="BK96" s="319"/>
      <c r="BL96" s="319"/>
      <c r="BM96" s="319"/>
      <c r="BN96" s="319"/>
      <c r="BO96" s="319"/>
      <c r="BP96" s="319"/>
      <c r="BQ96" s="319"/>
      <c r="BR96" s="319"/>
      <c r="BS96" s="319"/>
      <c r="BT96" s="319"/>
      <c r="BU96" s="319"/>
      <c r="BV96" s="319"/>
      <c r="BW96" s="319"/>
      <c r="BX96" s="319"/>
      <c r="BY96" s="319"/>
      <c r="BZ96" s="319"/>
      <c r="CA96" s="319"/>
      <c r="CB96" s="319"/>
      <c r="CC96" s="319"/>
      <c r="CD96" s="319"/>
      <c r="CE96" s="319"/>
      <c r="CF96" s="319"/>
    </row>
    <row r="97" spans="1:84" ht="12.75" hidden="1" customHeight="1">
      <c r="A97" s="12"/>
      <c r="B97" s="329" t="str">
        <f>B13</f>
        <v>Modelo</v>
      </c>
      <c r="C97" s="1152"/>
      <c r="D97" s="1153"/>
      <c r="E97" s="1154"/>
      <c r="F97" s="1" t="str">
        <f>$J$1071 &amp; Lang_Unit</f>
        <v>1 unidade(s)</v>
      </c>
      <c r="G97" s="1"/>
      <c r="H97" s="1"/>
      <c r="I97" s="1"/>
      <c r="J97" s="1"/>
      <c r="K97" s="9"/>
      <c r="L97" s="1"/>
      <c r="M97" s="319"/>
      <c r="N97" s="319"/>
      <c r="O97" s="319"/>
      <c r="P97" s="319"/>
      <c r="Q97" s="319"/>
      <c r="R97" s="319"/>
      <c r="S97" s="319"/>
      <c r="T97" s="319"/>
      <c r="U97" s="319"/>
      <c r="V97" s="319"/>
      <c r="W97" s="319"/>
      <c r="X97" s="319"/>
      <c r="Y97" s="319"/>
      <c r="Z97" s="319"/>
      <c r="AA97" s="319"/>
      <c r="AB97" s="319"/>
      <c r="AC97" s="319"/>
      <c r="AD97" s="319"/>
      <c r="AE97" s="319"/>
      <c r="AF97" s="319"/>
      <c r="AG97" s="319"/>
      <c r="AH97" s="319"/>
      <c r="AI97" s="319"/>
      <c r="AJ97" s="319"/>
      <c r="AK97" s="319"/>
      <c r="AL97" s="319"/>
      <c r="AM97" s="319"/>
      <c r="AN97" s="319"/>
      <c r="AO97" s="319">
        <v>2050014</v>
      </c>
      <c r="AP97" s="319"/>
      <c r="AQ97" s="319"/>
      <c r="AR97" s="319"/>
      <c r="AS97" s="319"/>
      <c r="AT97" s="319"/>
      <c r="AU97" s="319"/>
      <c r="AV97" s="319"/>
      <c r="AW97" s="319"/>
      <c r="AX97" s="319"/>
      <c r="AY97" s="319"/>
      <c r="AZ97" s="319"/>
      <c r="BA97" s="319"/>
      <c r="BB97" s="319"/>
      <c r="BC97" s="319"/>
      <c r="BD97" s="319"/>
      <c r="BE97" s="319"/>
      <c r="BF97" s="319"/>
      <c r="BG97" s="319"/>
      <c r="BH97" s="319"/>
      <c r="BI97" s="319"/>
      <c r="BJ97" s="319"/>
      <c r="BK97" s="319"/>
      <c r="BL97" s="319"/>
      <c r="BM97" s="319"/>
      <c r="BN97" s="319"/>
      <c r="BO97" s="319"/>
      <c r="BP97" s="319"/>
      <c r="BQ97" s="319"/>
      <c r="BR97" s="319"/>
      <c r="BS97" s="319"/>
      <c r="BT97" s="319"/>
      <c r="BU97" s="319"/>
      <c r="BV97" s="319"/>
      <c r="BW97" s="319"/>
      <c r="BX97" s="319"/>
      <c r="BY97" s="319"/>
      <c r="BZ97" s="319"/>
      <c r="CA97" s="319"/>
      <c r="CB97" s="319"/>
      <c r="CC97" s="319"/>
      <c r="CD97" s="319"/>
      <c r="CE97" s="319"/>
      <c r="CF97" s="319"/>
    </row>
    <row r="98" spans="1:84" ht="12.75" hidden="1" customHeight="1">
      <c r="A98" s="12"/>
      <c r="B98" s="329" t="str">
        <f>Language!C216</f>
        <v>Preço do calor</v>
      </c>
      <c r="C98" s="303" t="s">
        <v>4213</v>
      </c>
      <c r="D98" s="307"/>
      <c r="E98" s="1"/>
      <c r="F98" s="1"/>
      <c r="G98" s="1"/>
      <c r="H98" s="1"/>
      <c r="I98" s="1"/>
      <c r="J98" s="1"/>
      <c r="K98" s="9"/>
      <c r="L98" s="1"/>
      <c r="M98" s="319"/>
      <c r="N98" s="319"/>
      <c r="O98" s="319"/>
      <c r="P98" s="319"/>
      <c r="Q98" s="319"/>
      <c r="R98" s="319" t="s">
        <v>4213</v>
      </c>
      <c r="S98" s="319">
        <f>IF(C98=$Z$1081,D98,D98*$AA$1082)</f>
        <v>0</v>
      </c>
      <c r="T98" s="319"/>
      <c r="U98" s="319"/>
      <c r="V98" s="319"/>
      <c r="W98" s="319"/>
      <c r="X98" s="319"/>
      <c r="Y98" s="319"/>
      <c r="Z98" s="319"/>
      <c r="AA98" s="319"/>
      <c r="AB98" s="319"/>
      <c r="AC98" s="319"/>
      <c r="AD98" s="319"/>
      <c r="AE98" s="319"/>
      <c r="AF98" s="319"/>
      <c r="AG98" s="319"/>
      <c r="AH98" s="319"/>
      <c r="AI98" s="319"/>
      <c r="AJ98" s="319"/>
      <c r="AK98" s="319"/>
      <c r="AL98" s="319"/>
      <c r="AM98" s="319"/>
      <c r="AN98" s="319"/>
      <c r="AO98" s="319">
        <v>2050018</v>
      </c>
      <c r="AP98" s="319"/>
      <c r="AQ98" s="319"/>
      <c r="AR98" s="319"/>
      <c r="AS98" s="319"/>
      <c r="AT98" s="319"/>
      <c r="AU98" s="319"/>
      <c r="AV98" s="319"/>
      <c r="AW98" s="319"/>
      <c r="AX98" s="319"/>
      <c r="AY98" s="319"/>
      <c r="AZ98" s="319"/>
      <c r="BA98" s="319"/>
      <c r="BB98" s="319"/>
      <c r="BC98" s="319"/>
      <c r="BD98" s="319"/>
      <c r="BE98" s="319"/>
      <c r="BF98" s="319"/>
      <c r="BG98" s="319"/>
      <c r="BH98" s="319"/>
      <c r="BI98" s="319"/>
      <c r="BJ98" s="319"/>
      <c r="BK98" s="319"/>
      <c r="BL98" s="319"/>
      <c r="BM98" s="319"/>
      <c r="BN98" s="319"/>
      <c r="BO98" s="319"/>
      <c r="BP98" s="319"/>
      <c r="BQ98" s="319"/>
      <c r="BR98" s="319"/>
      <c r="BS98" s="319"/>
      <c r="BT98" s="319"/>
      <c r="BU98" s="319"/>
      <c r="BV98" s="319"/>
      <c r="BW98" s="319"/>
      <c r="BX98" s="319"/>
      <c r="BY98" s="319"/>
      <c r="BZ98" s="319"/>
      <c r="CA98" s="319"/>
      <c r="CB98" s="319"/>
      <c r="CC98" s="319"/>
      <c r="CD98" s="319"/>
      <c r="CE98" s="319"/>
      <c r="CF98" s="319"/>
    </row>
    <row r="99" spans="1:84" ht="12.75" hidden="1" customHeight="1">
      <c r="A99" s="12"/>
      <c r="B99" s="329" t="str">
        <f>Language!C430</f>
        <v>Taxa de recuperação de calor</v>
      </c>
      <c r="C99" s="29" t="str">
        <f>$T$35</f>
        <v>%</v>
      </c>
      <c r="D99" s="422"/>
      <c r="E99" s="1"/>
      <c r="F99" s="1"/>
      <c r="G99" s="1"/>
      <c r="H99" s="1"/>
      <c r="I99" s="1"/>
      <c r="J99" s="1"/>
      <c r="K99" s="9"/>
      <c r="L99" s="1"/>
      <c r="M99" s="319"/>
      <c r="N99" s="319"/>
      <c r="O99" s="319"/>
      <c r="P99" s="319"/>
      <c r="Q99" s="319"/>
      <c r="R99" s="319"/>
      <c r="S99" s="319"/>
      <c r="T99" s="319"/>
      <c r="U99" s="319"/>
      <c r="V99" s="319"/>
      <c r="W99" s="319"/>
      <c r="X99" s="319"/>
      <c r="Y99" s="319"/>
      <c r="Z99" s="319"/>
      <c r="AA99" s="319"/>
      <c r="AB99" s="319"/>
      <c r="AC99" s="319"/>
      <c r="AD99" s="319"/>
      <c r="AE99" s="319"/>
      <c r="AF99" s="319"/>
      <c r="AG99" s="319"/>
      <c r="AH99" s="319"/>
      <c r="AI99" s="319"/>
      <c r="AJ99" s="319"/>
      <c r="AK99" s="319"/>
      <c r="AL99" s="319"/>
      <c r="AM99" s="319"/>
      <c r="AN99" s="319"/>
      <c r="AO99" s="319">
        <v>2050028</v>
      </c>
      <c r="AP99" s="319"/>
      <c r="AQ99" s="319"/>
      <c r="AR99" s="319"/>
      <c r="AS99" s="319"/>
      <c r="AT99" s="319"/>
      <c r="AU99" s="319"/>
      <c r="AV99" s="319"/>
      <c r="AW99" s="319"/>
      <c r="AX99" s="319"/>
      <c r="AY99" s="319"/>
      <c r="AZ99" s="319"/>
      <c r="BA99" s="319"/>
      <c r="BB99" s="319"/>
      <c r="BC99" s="319"/>
      <c r="BD99" s="319"/>
      <c r="BE99" s="319"/>
      <c r="BF99" s="319"/>
      <c r="BG99" s="319"/>
      <c r="BH99" s="319"/>
      <c r="BI99" s="319"/>
      <c r="BJ99" s="319"/>
      <c r="BK99" s="319"/>
      <c r="BL99" s="319"/>
      <c r="BM99" s="319"/>
      <c r="BN99" s="319"/>
      <c r="BO99" s="319"/>
      <c r="BP99" s="319"/>
      <c r="BQ99" s="319"/>
      <c r="BR99" s="319"/>
      <c r="BS99" s="319"/>
      <c r="BT99" s="319"/>
      <c r="BU99" s="319"/>
      <c r="BV99" s="319"/>
      <c r="BW99" s="319"/>
      <c r="BX99" s="319"/>
      <c r="BY99" s="319"/>
      <c r="BZ99" s="319"/>
      <c r="CA99" s="319"/>
      <c r="CB99" s="319"/>
      <c r="CC99" s="319"/>
      <c r="CD99" s="319"/>
      <c r="CE99" s="319"/>
      <c r="CF99" s="319"/>
    </row>
    <row r="100" spans="1:84" ht="11.25" hidden="1" customHeight="1">
      <c r="A100" s="12"/>
      <c r="B100" s="329" t="str">
        <f>B77</f>
        <v>Combustível necessário</v>
      </c>
      <c r="C100" s="29" t="str">
        <f>IF(Unit=TRUE,R100,T100)</f>
        <v>GJ/h</v>
      </c>
      <c r="D100" s="140">
        <f>IF(Unit=TRUE,S100,U100)</f>
        <v>0</v>
      </c>
      <c r="E100" s="1"/>
      <c r="F100" s="29" t="str">
        <f>IF($M$3=FALSE,"",IF(Unit=FALSE,R100,T100))</f>
        <v/>
      </c>
      <c r="G100" s="284" t="str">
        <f>IF($M$3=FALSE,"",IF(Unit=FALSE,S100,U100))</f>
        <v/>
      </c>
      <c r="H100" s="1"/>
      <c r="I100" s="1"/>
      <c r="J100" s="1"/>
      <c r="K100" s="9"/>
      <c r="L100" s="1"/>
      <c r="M100" s="319"/>
      <c r="N100" s="319"/>
      <c r="O100" s="319"/>
      <c r="P100" s="319"/>
      <c r="Q100" s="319"/>
      <c r="R100" s="319" t="str">
        <f>$R$77</f>
        <v>GJ/h</v>
      </c>
      <c r="S100" s="476">
        <f>D92*S98/10^6</f>
        <v>0</v>
      </c>
      <c r="T100" s="319" t="str">
        <f>$T$77</f>
        <v>milhão Btu/h</v>
      </c>
      <c r="U100" s="476">
        <f>S100/$AA$1082</f>
        <v>0</v>
      </c>
      <c r="V100" s="319"/>
      <c r="W100" s="319"/>
      <c r="X100" s="319"/>
      <c r="Y100" s="319"/>
      <c r="Z100" s="319"/>
      <c r="AA100" s="319"/>
      <c r="AB100" s="319"/>
      <c r="AC100" s="319"/>
      <c r="AD100" s="319"/>
      <c r="AE100" s="319"/>
      <c r="AF100" s="319"/>
      <c r="AG100" s="319"/>
      <c r="AH100" s="319"/>
      <c r="AI100" s="319"/>
      <c r="AJ100" s="319"/>
      <c r="AK100" s="319"/>
      <c r="AL100" s="319"/>
      <c r="AM100" s="319"/>
      <c r="AN100" s="319"/>
      <c r="AO100" s="319">
        <v>2050032</v>
      </c>
      <c r="AP100" s="319"/>
      <c r="AQ100" s="319"/>
      <c r="AR100" s="319"/>
      <c r="AS100" s="319"/>
      <c r="AT100" s="319"/>
      <c r="AU100" s="319"/>
      <c r="AV100" s="319"/>
      <c r="AW100" s="319"/>
      <c r="AX100" s="319"/>
      <c r="AY100" s="319"/>
      <c r="AZ100" s="319"/>
      <c r="BA100" s="319"/>
      <c r="BB100" s="319"/>
      <c r="BC100" s="319"/>
      <c r="BD100" s="319"/>
      <c r="BE100" s="319"/>
      <c r="BF100" s="319"/>
      <c r="BG100" s="319"/>
      <c r="BH100" s="319"/>
      <c r="BI100" s="319"/>
      <c r="BJ100" s="319"/>
      <c r="BK100" s="319"/>
      <c r="BL100" s="319"/>
      <c r="BM100" s="319"/>
      <c r="BN100" s="319"/>
      <c r="BO100" s="319"/>
      <c r="BP100" s="319"/>
      <c r="BQ100" s="319"/>
      <c r="BR100" s="319"/>
      <c r="BS100" s="319"/>
      <c r="BT100" s="319"/>
      <c r="BU100" s="319"/>
      <c r="BV100" s="319"/>
      <c r="BW100" s="319"/>
      <c r="BX100" s="319"/>
      <c r="BY100" s="319"/>
      <c r="BZ100" s="319"/>
      <c r="CA100" s="319"/>
      <c r="CB100" s="319"/>
      <c r="CC100" s="319"/>
      <c r="CD100" s="319"/>
      <c r="CE100" s="319"/>
      <c r="CF100" s="319"/>
    </row>
    <row r="101" spans="1:84" ht="12.75" hidden="1" customHeight="1">
      <c r="A101" s="14"/>
      <c r="B101" s="380" t="str">
        <f>Language!C431</f>
        <v>Capacidade térmica</v>
      </c>
      <c r="C101" s="33" t="str">
        <f>IF(Unit=TRUE,R101,T101)</f>
        <v>kW</v>
      </c>
      <c r="D101" s="245">
        <f>IF(Unit=TRUE,S101,U101)</f>
        <v>0</v>
      </c>
      <c r="E101" s="81" t="str">
        <f>IF(OR(HideCode_projectType3=2,HideCode_projectType3=5),"",S101/$Q$866)</f>
        <v/>
      </c>
      <c r="F101" s="33" t="str">
        <f>IF($M$3=FALSE,"",IF(Unit=FALSE,R101,T101))</f>
        <v/>
      </c>
      <c r="G101" s="218" t="str">
        <f>IF($M$3=FALSE,"",IF(Unit=FALSE,S101,U101))</f>
        <v/>
      </c>
      <c r="H101" s="15"/>
      <c r="I101" s="15"/>
      <c r="J101" s="15"/>
      <c r="K101" s="11"/>
      <c r="L101" s="1"/>
      <c r="M101" s="319"/>
      <c r="N101" s="319"/>
      <c r="O101" s="319"/>
      <c r="P101" s="319"/>
      <c r="Q101" s="319"/>
      <c r="R101" s="319" t="str">
        <f>$R$20</f>
        <v>kW</v>
      </c>
      <c r="S101" s="476">
        <f>(S98*D92/10^3/3.6-D92)*D99</f>
        <v>0</v>
      </c>
      <c r="T101" s="319" t="str">
        <f>$T$77</f>
        <v>milhão Btu/h</v>
      </c>
      <c r="U101" s="476">
        <f>S101*$AA$1087</f>
        <v>0</v>
      </c>
      <c r="V101" s="319"/>
      <c r="W101" s="319"/>
      <c r="X101" s="319"/>
      <c r="Y101" s="319"/>
      <c r="Z101" s="319"/>
      <c r="AA101" s="319"/>
      <c r="AB101" s="319"/>
      <c r="AC101" s="319"/>
      <c r="AD101" s="319"/>
      <c r="AE101" s="319"/>
      <c r="AF101" s="319"/>
      <c r="AG101" s="319"/>
      <c r="AH101" s="319"/>
      <c r="AI101" s="319"/>
      <c r="AJ101" s="319"/>
      <c r="AK101" s="319"/>
      <c r="AL101" s="319"/>
      <c r="AM101" s="319"/>
      <c r="AN101" s="319"/>
      <c r="AO101" s="319">
        <v>2050034</v>
      </c>
      <c r="AP101" s="319"/>
      <c r="AQ101" s="319"/>
      <c r="AR101" s="319"/>
      <c r="AS101" s="319"/>
      <c r="AT101" s="319"/>
      <c r="AU101" s="319"/>
      <c r="AV101" s="319"/>
      <c r="AW101" s="319"/>
      <c r="AX101" s="319"/>
      <c r="AY101" s="319"/>
      <c r="AZ101" s="319"/>
      <c r="BA101" s="319"/>
      <c r="BB101" s="319"/>
      <c r="BC101" s="319"/>
      <c r="BD101" s="319"/>
      <c r="BE101" s="319"/>
      <c r="BF101" s="319"/>
      <c r="BG101" s="319"/>
      <c r="BH101" s="319"/>
      <c r="BI101" s="319"/>
      <c r="BJ101" s="319"/>
      <c r="BK101" s="319"/>
      <c r="BL101" s="319"/>
      <c r="BM101" s="319"/>
      <c r="BN101" s="319"/>
      <c r="BO101" s="319"/>
      <c r="BP101" s="319"/>
      <c r="BQ101" s="319"/>
      <c r="BR101" s="319"/>
      <c r="BS101" s="319"/>
      <c r="BT101" s="319"/>
      <c r="BU101" s="319"/>
      <c r="BV101" s="319"/>
      <c r="BW101" s="319"/>
      <c r="BX101" s="319"/>
      <c r="BY101" s="319"/>
      <c r="BZ101" s="319"/>
      <c r="CA101" s="319"/>
      <c r="CB101" s="319"/>
      <c r="CC101" s="319"/>
      <c r="CD101" s="319"/>
      <c r="CE101" s="319"/>
      <c r="CF101" s="319"/>
    </row>
    <row r="102" spans="1:84" ht="12.75" hidden="1" customHeight="1">
      <c r="A102" s="50"/>
      <c r="B102" s="1"/>
      <c r="C102" s="1"/>
      <c r="D102" s="1"/>
      <c r="E102" s="1"/>
      <c r="F102" s="1"/>
      <c r="G102" s="1"/>
      <c r="H102" s="1"/>
      <c r="I102" s="1"/>
      <c r="J102" s="1"/>
      <c r="K102" s="6"/>
      <c r="L102" s="1"/>
      <c r="M102" s="319"/>
      <c r="N102" s="319"/>
      <c r="O102" s="319"/>
      <c r="P102" s="319"/>
      <c r="Q102" s="319"/>
      <c r="R102" s="319"/>
      <c r="S102" s="319"/>
      <c r="T102" s="319"/>
      <c r="U102" s="319"/>
      <c r="V102" s="319"/>
      <c r="W102" s="319"/>
      <c r="X102" s="319"/>
      <c r="Y102" s="319"/>
      <c r="Z102" s="319"/>
      <c r="AA102" s="319"/>
      <c r="AB102" s="319"/>
      <c r="AC102" s="319"/>
      <c r="AD102" s="319"/>
      <c r="AE102" s="319"/>
      <c r="AF102" s="319"/>
      <c r="AG102" s="319"/>
      <c r="AH102" s="319"/>
      <c r="AI102" s="319"/>
      <c r="AJ102" s="319"/>
      <c r="AK102" s="319"/>
      <c r="AL102" s="319"/>
      <c r="AM102" s="319"/>
      <c r="AN102" s="319"/>
      <c r="AO102" s="319">
        <v>2030000</v>
      </c>
      <c r="AP102" s="319"/>
      <c r="AQ102" s="319"/>
      <c r="AR102" s="319"/>
      <c r="AS102" s="319"/>
      <c r="AT102" s="319"/>
      <c r="AU102" s="319"/>
      <c r="AV102" s="319"/>
      <c r="AW102" s="319"/>
      <c r="AX102" s="319"/>
      <c r="AY102" s="319"/>
      <c r="AZ102" s="319"/>
      <c r="BA102" s="319"/>
      <c r="BB102" s="319"/>
      <c r="BC102" s="319"/>
      <c r="BD102" s="319"/>
      <c r="BE102" s="319"/>
      <c r="BF102" s="319"/>
      <c r="BG102" s="319"/>
      <c r="BH102" s="319"/>
      <c r="BI102" s="319"/>
      <c r="BJ102" s="319"/>
      <c r="BK102" s="319"/>
      <c r="BL102" s="319"/>
      <c r="BM102" s="319"/>
      <c r="BN102" s="319"/>
      <c r="BO102" s="319"/>
      <c r="BP102" s="319"/>
      <c r="BQ102" s="319"/>
      <c r="BR102" s="319"/>
      <c r="BS102" s="319"/>
      <c r="BT102" s="319"/>
      <c r="BU102" s="319"/>
      <c r="BV102" s="319"/>
      <c r="BW102" s="319"/>
      <c r="BX102" s="319"/>
      <c r="BY102" s="319"/>
      <c r="BZ102" s="319"/>
      <c r="CA102" s="319"/>
      <c r="CB102" s="319"/>
      <c r="CC102" s="319"/>
      <c r="CD102" s="319"/>
      <c r="CE102" s="319"/>
      <c r="CF102" s="319"/>
    </row>
    <row r="103" spans="1:84" ht="12.75" hidden="1" customHeight="1">
      <c r="A103" s="12"/>
      <c r="B103" s="28" t="str">
        <f>IF(HideCodeES_PSS=1,Language!C134,Language!C134&amp;" #1")</f>
        <v>Turbina à gas</v>
      </c>
      <c r="C103" s="1"/>
      <c r="D103" s="1"/>
      <c r="E103" s="1"/>
      <c r="F103" s="1"/>
      <c r="G103" s="1"/>
      <c r="H103" s="1"/>
      <c r="I103" s="1"/>
      <c r="J103" s="1"/>
      <c r="K103" s="9"/>
      <c r="L103" s="1"/>
      <c r="M103" s="319"/>
      <c r="N103" s="319"/>
      <c r="O103" s="319"/>
      <c r="P103" s="319"/>
      <c r="Q103" s="319"/>
      <c r="R103" s="319"/>
      <c r="S103" s="319"/>
      <c r="T103" s="319"/>
      <c r="U103" s="319"/>
      <c r="V103" s="319"/>
      <c r="W103" s="319"/>
      <c r="X103" s="319"/>
      <c r="Y103" s="319"/>
      <c r="Z103" s="319"/>
      <c r="AA103" s="319"/>
      <c r="AB103" s="319"/>
      <c r="AD103" s="319"/>
      <c r="AE103" s="319"/>
      <c r="AF103" s="319"/>
      <c r="AG103" s="319"/>
      <c r="AH103" s="319"/>
      <c r="AI103" s="319"/>
      <c r="AJ103" s="319"/>
      <c r="AK103" s="319"/>
      <c r="AL103" s="319"/>
      <c r="AM103" s="319"/>
      <c r="AN103" s="319"/>
      <c r="AO103" s="319">
        <v>14110</v>
      </c>
      <c r="AP103" s="319"/>
      <c r="AQ103" s="319"/>
      <c r="AR103" s="319"/>
      <c r="AS103" s="319"/>
      <c r="AT103" s="319"/>
      <c r="AU103" s="319"/>
      <c r="AV103" s="319"/>
      <c r="AW103" s="319"/>
      <c r="AX103" s="319"/>
      <c r="AY103" s="319"/>
      <c r="AZ103" s="319"/>
      <c r="BA103" s="319"/>
      <c r="BB103" s="319"/>
      <c r="BC103" s="319"/>
      <c r="BD103" s="319"/>
      <c r="BE103" s="319"/>
      <c r="BF103" s="319"/>
      <c r="BG103" s="319"/>
      <c r="BH103" s="319"/>
      <c r="BI103" s="319"/>
      <c r="BJ103" s="319"/>
      <c r="BK103" s="319"/>
      <c r="BL103" s="319"/>
      <c r="BM103" s="319"/>
      <c r="BN103" s="319"/>
      <c r="BO103" s="319"/>
      <c r="BP103" s="319"/>
      <c r="BQ103" s="319"/>
      <c r="BR103" s="319"/>
      <c r="BS103" s="319"/>
      <c r="BT103" s="319"/>
      <c r="BU103" s="319"/>
      <c r="BV103" s="319"/>
      <c r="BW103" s="319"/>
      <c r="BX103" s="319"/>
      <c r="BY103" s="319"/>
      <c r="BZ103" s="319"/>
      <c r="CA103" s="319"/>
      <c r="CB103" s="319"/>
      <c r="CC103" s="319"/>
      <c r="CD103" s="319"/>
      <c r="CE103" s="319"/>
      <c r="CF103" s="319"/>
    </row>
    <row r="104" spans="1:84" ht="12.75" hidden="1" customHeight="1">
      <c r="A104" s="12"/>
      <c r="B104" s="329" t="str">
        <f>Language!C427</f>
        <v>Potência elétrica</v>
      </c>
      <c r="C104" s="29" t="str">
        <f>$C$92</f>
        <v>kW</v>
      </c>
      <c r="D104" s="412"/>
      <c r="E104" s="80" t="str">
        <f>IF($P$866=0,"",D104/$P$866)</f>
        <v/>
      </c>
      <c r="F104" s="1"/>
      <c r="G104" s="1"/>
      <c r="H104" s="1346"/>
      <c r="I104" s="1252" t="str">
        <f>Language!C61</f>
        <v>Ver banco de dados de produtos</v>
      </c>
      <c r="J104" s="1191"/>
      <c r="K104" s="1210"/>
      <c r="L104" s="1"/>
      <c r="M104" s="319"/>
      <c r="N104" s="319"/>
      <c r="O104" s="319"/>
      <c r="P104" s="319"/>
      <c r="Q104" s="319"/>
      <c r="R104" s="319"/>
      <c r="S104" s="319"/>
      <c r="T104" s="319"/>
      <c r="U104" s="319"/>
      <c r="V104" s="319"/>
      <c r="W104" s="319"/>
      <c r="X104" s="319"/>
      <c r="Y104" s="319"/>
      <c r="Z104" s="319" t="s">
        <v>1812</v>
      </c>
      <c r="AA104" s="319"/>
      <c r="AB104" s="319" t="s">
        <v>1750</v>
      </c>
      <c r="AC104" s="319" t="s">
        <v>2799</v>
      </c>
      <c r="AD104" s="319"/>
      <c r="AE104" s="319"/>
      <c r="AF104" s="319"/>
      <c r="AG104" s="319"/>
      <c r="AH104" s="319"/>
      <c r="AI104" s="319"/>
      <c r="AJ104" s="319"/>
      <c r="AK104" s="319"/>
      <c r="AL104" s="319"/>
      <c r="AM104" s="319"/>
      <c r="AN104" s="319"/>
      <c r="AO104" s="319">
        <v>2050002</v>
      </c>
      <c r="AP104" s="319"/>
      <c r="AQ104" s="319"/>
      <c r="AR104" s="319"/>
      <c r="AS104" s="319"/>
      <c r="AT104" s="319"/>
      <c r="AU104" s="319"/>
      <c r="AV104" s="319"/>
      <c r="AW104" s="319"/>
      <c r="AX104" s="319"/>
      <c r="AY104" s="319"/>
      <c r="AZ104" s="319"/>
      <c r="BA104" s="319"/>
      <c r="BB104" s="319"/>
      <c r="BC104" s="319"/>
      <c r="BD104" s="319"/>
      <c r="BE104" s="319"/>
      <c r="BF104" s="319"/>
      <c r="BG104" s="319"/>
      <c r="BH104" s="319"/>
      <c r="BI104" s="319"/>
      <c r="BJ104" s="319"/>
      <c r="BK104" s="319"/>
      <c r="BL104" s="319"/>
      <c r="BM104" s="319"/>
      <c r="BN104" s="319"/>
      <c r="BO104" s="319"/>
      <c r="BP104" s="319"/>
      <c r="BQ104" s="319"/>
      <c r="BR104" s="319"/>
      <c r="BS104" s="319"/>
      <c r="BT104" s="319"/>
      <c r="BU104" s="319"/>
      <c r="BV104" s="319"/>
      <c r="BW104" s="319"/>
      <c r="BX104" s="319"/>
      <c r="BY104" s="319"/>
      <c r="BZ104" s="319"/>
      <c r="CA104" s="319"/>
      <c r="CB104" s="319"/>
      <c r="CC104" s="319"/>
      <c r="CD104" s="319"/>
      <c r="CE104" s="319"/>
      <c r="CF104" s="319"/>
    </row>
    <row r="105" spans="1:84" ht="12.75" hidden="1" customHeight="1">
      <c r="A105" s="12"/>
      <c r="B105" s="329" t="str">
        <f>Language!C429</f>
        <v>Capac. Mínima</v>
      </c>
      <c r="C105" s="29" t="str">
        <f>$T$35</f>
        <v>%</v>
      </c>
      <c r="D105" s="422"/>
      <c r="E105" s="1"/>
      <c r="F105" s="1"/>
      <c r="G105" s="1"/>
      <c r="H105" s="1"/>
      <c r="I105" s="1"/>
      <c r="J105" s="1"/>
      <c r="K105" s="788" t="str">
        <f>IF(S105&gt;0,$G$1095&amp;S105&amp;$G$1096,"")</f>
        <v/>
      </c>
      <c r="L105" s="1"/>
      <c r="M105" s="319"/>
      <c r="N105" s="319"/>
      <c r="O105" s="319"/>
      <c r="P105" s="319"/>
      <c r="Q105" s="319"/>
      <c r="R105" s="319"/>
      <c r="S105" s="319">
        <f t="array" ref="S105">IF(AND(HideCodeES_PSS=2,$C$854=I1088),SUM(IF($D$1139:$D$1150&lt;D104*M1115,1,0)),SUM(IF($I$1139:$I$1150&lt;D104*M1115,1,0)))*IF(SUM($D$1139:$D$1150)=0,0,1)</f>
        <v>0</v>
      </c>
      <c r="T105" s="319" t="s">
        <v>4372</v>
      </c>
      <c r="U105" s="319"/>
      <c r="V105" s="319"/>
      <c r="W105" s="319"/>
      <c r="X105" s="319"/>
      <c r="Y105" s="319"/>
      <c r="Z105" s="319"/>
      <c r="AA105" s="319"/>
      <c r="AB105" s="319"/>
      <c r="AC105" s="319"/>
      <c r="AD105" s="319"/>
      <c r="AE105" s="319"/>
      <c r="AF105" s="319"/>
      <c r="AG105" s="319"/>
      <c r="AH105" s="319"/>
      <c r="AI105" s="319"/>
      <c r="AJ105" s="319"/>
      <c r="AK105" s="319"/>
      <c r="AL105" s="319"/>
      <c r="AM105" s="319"/>
      <c r="AN105" s="319"/>
      <c r="AO105" s="319">
        <v>2050006</v>
      </c>
      <c r="AP105" s="319"/>
      <c r="AQ105" s="319"/>
      <c r="AR105" s="319"/>
      <c r="AS105" s="319"/>
      <c r="AT105" s="319"/>
      <c r="AU105" s="319"/>
      <c r="AV105" s="319"/>
      <c r="AW105" s="319"/>
      <c r="AX105" s="319"/>
      <c r="AY105" s="319"/>
      <c r="AZ105" s="319"/>
      <c r="BA105" s="319"/>
      <c r="BB105" s="319"/>
      <c r="BC105" s="319"/>
      <c r="BD105" s="319"/>
      <c r="BE105" s="319"/>
      <c r="BF105" s="319"/>
      <c r="BG105" s="319"/>
      <c r="BH105" s="319"/>
      <c r="BI105" s="319"/>
      <c r="BJ105" s="319"/>
      <c r="BK105" s="319"/>
      <c r="BL105" s="319"/>
      <c r="BM105" s="319"/>
      <c r="BN105" s="319"/>
      <c r="BO105" s="319"/>
      <c r="BP105" s="319"/>
      <c r="BQ105" s="319"/>
      <c r="BR105" s="319"/>
      <c r="BS105" s="319"/>
      <c r="BT105" s="319"/>
      <c r="BU105" s="319"/>
      <c r="BV105" s="319"/>
      <c r="BW105" s="319"/>
      <c r="BX105" s="319"/>
      <c r="BY105" s="319"/>
      <c r="BZ105" s="319"/>
      <c r="CA105" s="319"/>
      <c r="CB105" s="319"/>
      <c r="CC105" s="319"/>
      <c r="CD105" s="319"/>
      <c r="CE105" s="319"/>
      <c r="CF105" s="319"/>
    </row>
    <row r="106" spans="1:84" ht="12.75" hidden="1" customHeight="1">
      <c r="A106" s="12"/>
      <c r="B106" s="329" t="str">
        <f>$B$94</f>
        <v>Eletricidade fornecida à carga</v>
      </c>
      <c r="C106" s="29" t="str">
        <f>R14</f>
        <v>MWh</v>
      </c>
      <c r="D106" s="30">
        <f>IF(HideCodeES_PSS=1,$G$1107,IF($C$854=$E$1094,$G$1107,$G$1108))</f>
        <v>0</v>
      </c>
      <c r="E106" s="80" t="str">
        <f>IF($P$867=0,"",D106/$P$867)</f>
        <v/>
      </c>
      <c r="F106" s="1"/>
      <c r="G106" s="1"/>
      <c r="H106" s="1"/>
      <c r="I106" s="1"/>
      <c r="J106" s="1"/>
      <c r="K106" s="9"/>
      <c r="L106" s="1"/>
      <c r="M106" s="319"/>
      <c r="N106" s="319"/>
      <c r="O106" s="319"/>
      <c r="P106" s="319"/>
      <c r="Q106" s="319"/>
      <c r="R106" s="319"/>
      <c r="S106" s="319"/>
      <c r="T106" s="319"/>
      <c r="U106" s="319"/>
      <c r="V106" s="319"/>
      <c r="W106" s="319"/>
      <c r="X106" s="319"/>
      <c r="Y106" s="319"/>
      <c r="Z106" s="319"/>
      <c r="AA106" s="319"/>
      <c r="AB106" s="319"/>
      <c r="AC106" s="319"/>
      <c r="AD106" s="319"/>
      <c r="AE106" s="319"/>
      <c r="AF106" s="319"/>
      <c r="AG106" s="319"/>
      <c r="AH106" s="319"/>
      <c r="AI106" s="319"/>
      <c r="AJ106" s="319"/>
      <c r="AK106" s="319"/>
      <c r="AL106" s="319"/>
      <c r="AM106" s="319"/>
      <c r="AN106" s="319"/>
      <c r="AO106" s="319">
        <v>2050008</v>
      </c>
      <c r="AP106" s="319"/>
      <c r="AQ106" s="319"/>
      <c r="AR106" s="319"/>
      <c r="AS106" s="319"/>
      <c r="AT106" s="319"/>
      <c r="AU106" s="319"/>
      <c r="AV106" s="319"/>
      <c r="AW106" s="319"/>
      <c r="AX106" s="319"/>
      <c r="AY106" s="319"/>
      <c r="AZ106" s="319"/>
      <c r="BA106" s="319"/>
      <c r="BB106" s="319"/>
      <c r="BC106" s="319"/>
      <c r="BD106" s="319"/>
      <c r="BE106" s="319"/>
      <c r="BF106" s="319"/>
      <c r="BG106" s="319"/>
      <c r="BH106" s="319"/>
      <c r="BI106" s="319"/>
      <c r="BJ106" s="319"/>
      <c r="BK106" s="319"/>
      <c r="BL106" s="319"/>
      <c r="BM106" s="319"/>
      <c r="BN106" s="319"/>
      <c r="BO106" s="319"/>
      <c r="BP106" s="319"/>
      <c r="BQ106" s="319"/>
      <c r="BR106" s="319"/>
      <c r="BS106" s="319"/>
      <c r="BT106" s="319"/>
      <c r="BU106" s="319"/>
      <c r="BV106" s="319"/>
      <c r="BW106" s="319"/>
      <c r="BX106" s="319"/>
      <c r="BY106" s="319"/>
      <c r="BZ106" s="319"/>
      <c r="CA106" s="319"/>
      <c r="CB106" s="319"/>
      <c r="CC106" s="319"/>
      <c r="CD106" s="319"/>
      <c r="CE106" s="319"/>
      <c r="CF106" s="319"/>
    </row>
    <row r="107" spans="1:84" ht="12.75" hidden="1" customHeight="1">
      <c r="A107" s="12"/>
      <c r="B107" s="329" t="str">
        <f>$B$95</f>
        <v>Eletricidade exportada p/ rede</v>
      </c>
      <c r="C107" s="29" t="str">
        <f>R14</f>
        <v>MWh</v>
      </c>
      <c r="D107" s="30">
        <f>IF(HideCodeES_PSS=1,$J$1107,IF($C$854=$E$1094,$J$1107,$J$1108))</f>
        <v>5.3903325633948667</v>
      </c>
      <c r="E107" s="1"/>
      <c r="F107" s="1"/>
      <c r="G107" s="1"/>
      <c r="H107" s="1"/>
      <c r="I107" s="1"/>
      <c r="J107" s="1"/>
      <c r="K107" s="9"/>
      <c r="L107" s="1"/>
      <c r="M107" s="319"/>
      <c r="N107" s="319"/>
      <c r="O107" s="319"/>
      <c r="P107" s="319"/>
      <c r="Q107" s="319"/>
      <c r="R107" s="319"/>
      <c r="S107" s="319"/>
      <c r="T107" s="319"/>
      <c r="U107" s="319"/>
      <c r="V107" s="319"/>
      <c r="W107" s="319"/>
      <c r="X107" s="319"/>
      <c r="Y107" s="319"/>
      <c r="Z107" s="319"/>
      <c r="AA107" s="319"/>
      <c r="AB107" s="319"/>
      <c r="AC107" s="319"/>
      <c r="AD107" s="319"/>
      <c r="AE107" s="319"/>
      <c r="AF107" s="319"/>
      <c r="AG107" s="319"/>
      <c r="AH107" s="319"/>
      <c r="AI107" s="319"/>
      <c r="AJ107" s="319"/>
      <c r="AK107" s="319"/>
      <c r="AL107" s="319"/>
      <c r="AM107" s="319"/>
      <c r="AN107" s="319"/>
      <c r="AO107" s="319">
        <v>2050010</v>
      </c>
      <c r="AP107" s="319"/>
      <c r="AQ107" s="319"/>
      <c r="AR107" s="319"/>
      <c r="AS107" s="319"/>
      <c r="AT107" s="319"/>
      <c r="AU107" s="319"/>
      <c r="AV107" s="319"/>
      <c r="AW107" s="319"/>
      <c r="AX107" s="319"/>
      <c r="AY107" s="319"/>
      <c r="AZ107" s="319"/>
      <c r="BA107" s="319"/>
      <c r="BB107" s="319"/>
      <c r="BC107" s="319"/>
      <c r="BD107" s="319"/>
      <c r="BE107" s="319"/>
      <c r="BF107" s="319"/>
      <c r="BG107" s="319"/>
      <c r="BH107" s="319"/>
      <c r="BI107" s="319"/>
      <c r="BJ107" s="319"/>
      <c r="BK107" s="319"/>
      <c r="BL107" s="319"/>
      <c r="BM107" s="319"/>
      <c r="BN107" s="319"/>
      <c r="BO107" s="319"/>
      <c r="BP107" s="319"/>
      <c r="BQ107" s="319"/>
      <c r="BR107" s="319"/>
      <c r="BS107" s="319"/>
      <c r="BT107" s="319"/>
      <c r="BU107" s="319"/>
      <c r="BV107" s="319"/>
      <c r="BW107" s="319"/>
      <c r="BX107" s="319"/>
      <c r="BY107" s="319"/>
      <c r="BZ107" s="319"/>
      <c r="CA107" s="319"/>
      <c r="CB107" s="319"/>
      <c r="CC107" s="319"/>
      <c r="CD107" s="319"/>
      <c r="CE107" s="319"/>
      <c r="CF107" s="319"/>
    </row>
    <row r="108" spans="1:84" ht="12.75" hidden="1" customHeight="1">
      <c r="A108" s="12"/>
      <c r="B108" s="329" t="str">
        <f>B12</f>
        <v>Fabricante</v>
      </c>
      <c r="C108" s="1152"/>
      <c r="D108" s="1153"/>
      <c r="E108" s="1154"/>
      <c r="F108" s="1"/>
      <c r="G108" s="1"/>
      <c r="H108" s="1"/>
      <c r="I108" s="1"/>
      <c r="J108" s="1"/>
      <c r="K108" s="9"/>
      <c r="L108" s="1"/>
      <c r="M108" s="319"/>
      <c r="N108" s="319"/>
      <c r="O108" s="319"/>
      <c r="P108" s="319"/>
      <c r="Q108" s="319"/>
      <c r="R108" s="319"/>
      <c r="S108" s="319"/>
      <c r="T108" s="319"/>
      <c r="U108" s="319"/>
      <c r="V108" s="319"/>
      <c r="W108" s="319"/>
      <c r="X108" s="319"/>
      <c r="Y108" s="319"/>
      <c r="Z108" s="319"/>
      <c r="AA108" s="319"/>
      <c r="AB108" s="319"/>
      <c r="AC108" s="319"/>
      <c r="AD108" s="319"/>
      <c r="AE108" s="319"/>
      <c r="AF108" s="319"/>
      <c r="AG108" s="319"/>
      <c r="AH108" s="319"/>
      <c r="AI108" s="319"/>
      <c r="AJ108" s="319"/>
      <c r="AK108" s="319"/>
      <c r="AL108" s="319"/>
      <c r="AM108" s="319"/>
      <c r="AN108" s="319"/>
      <c r="AO108" s="319">
        <v>2050012</v>
      </c>
      <c r="AP108" s="319"/>
      <c r="AQ108" s="319"/>
      <c r="AR108" s="319"/>
      <c r="AS108" s="319"/>
      <c r="AT108" s="319"/>
      <c r="AU108" s="319"/>
      <c r="AV108" s="319"/>
      <c r="AW108" s="319"/>
      <c r="AX108" s="319"/>
      <c r="AY108" s="319"/>
      <c r="AZ108" s="319"/>
      <c r="BA108" s="319"/>
      <c r="BB108" s="319"/>
      <c r="BC108" s="319"/>
      <c r="BD108" s="319"/>
      <c r="BE108" s="319"/>
      <c r="BF108" s="319"/>
      <c r="BG108" s="319"/>
      <c r="BH108" s="319"/>
      <c r="BI108" s="319"/>
      <c r="BJ108" s="319"/>
      <c r="BK108" s="319"/>
      <c r="BL108" s="319"/>
      <c r="BM108" s="319"/>
      <c r="BN108" s="319"/>
      <c r="BO108" s="319"/>
      <c r="BP108" s="319"/>
      <c r="BQ108" s="319"/>
      <c r="BR108" s="319"/>
      <c r="BS108" s="319"/>
      <c r="BT108" s="319"/>
      <c r="BU108" s="319"/>
      <c r="BV108" s="319"/>
      <c r="BW108" s="319"/>
      <c r="BX108" s="319"/>
      <c r="BY108" s="319"/>
      <c r="BZ108" s="319"/>
      <c r="CA108" s="319"/>
      <c r="CB108" s="319"/>
      <c r="CC108" s="319"/>
      <c r="CD108" s="319"/>
      <c r="CE108" s="319"/>
      <c r="CF108" s="319"/>
    </row>
    <row r="109" spans="1:84" ht="12.75" hidden="1" customHeight="1">
      <c r="A109" s="12"/>
      <c r="B109" s="329" t="str">
        <f>B13</f>
        <v>Modelo</v>
      </c>
      <c r="C109" s="1152"/>
      <c r="D109" s="1153"/>
      <c r="E109" s="1154"/>
      <c r="F109" s="1" t="str">
        <f>$J$1068 &amp; Lang_Unit</f>
        <v>1 unidade(s)</v>
      </c>
      <c r="G109" s="1"/>
      <c r="H109" s="1"/>
      <c r="I109" s="1"/>
      <c r="J109" s="1"/>
      <c r="K109" s="9"/>
      <c r="L109" s="1"/>
      <c r="M109" s="319"/>
      <c r="N109" s="319"/>
      <c r="O109" s="319"/>
      <c r="P109" s="319"/>
      <c r="Q109" s="319"/>
      <c r="R109" s="319"/>
      <c r="S109" s="319"/>
      <c r="T109" s="319"/>
      <c r="U109" s="319"/>
      <c r="V109" s="319"/>
      <c r="W109" s="319"/>
      <c r="X109" s="319"/>
      <c r="Y109" s="319"/>
      <c r="Z109" s="319"/>
      <c r="AA109" s="319"/>
      <c r="AB109" s="319"/>
      <c r="AC109" s="319"/>
      <c r="AD109" s="319"/>
      <c r="AE109" s="319"/>
      <c r="AF109" s="319"/>
      <c r="AG109" s="319"/>
      <c r="AH109" s="319"/>
      <c r="AI109" s="319"/>
      <c r="AJ109" s="319"/>
      <c r="AK109" s="319"/>
      <c r="AL109" s="319"/>
      <c r="AM109" s="319"/>
      <c r="AN109" s="319"/>
      <c r="AO109" s="319">
        <v>2050014</v>
      </c>
      <c r="AP109" s="319"/>
      <c r="AQ109" s="319"/>
      <c r="AR109" s="319"/>
      <c r="AS109" s="319"/>
      <c r="AT109" s="319"/>
      <c r="AU109" s="319"/>
      <c r="AV109" s="319"/>
      <c r="AW109" s="319"/>
      <c r="AX109" s="319"/>
      <c r="AY109" s="319"/>
      <c r="AZ109" s="319"/>
      <c r="BA109" s="319"/>
      <c r="BB109" s="319"/>
      <c r="BC109" s="319"/>
      <c r="BD109" s="319"/>
      <c r="BE109" s="319"/>
      <c r="BF109" s="319"/>
      <c r="BG109" s="319"/>
      <c r="BH109" s="319"/>
      <c r="BI109" s="319"/>
      <c r="BJ109" s="319"/>
      <c r="BK109" s="319"/>
      <c r="BL109" s="319"/>
      <c r="BM109" s="319"/>
      <c r="BN109" s="319"/>
      <c r="BO109" s="319"/>
      <c r="BP109" s="319"/>
      <c r="BQ109" s="319"/>
      <c r="BR109" s="319"/>
      <c r="BS109" s="319"/>
      <c r="BT109" s="319"/>
      <c r="BU109" s="319"/>
      <c r="BV109" s="319"/>
      <c r="BW109" s="319"/>
      <c r="BX109" s="319"/>
      <c r="BY109" s="319"/>
      <c r="BZ109" s="319"/>
      <c r="CA109" s="319"/>
      <c r="CB109" s="319"/>
      <c r="CC109" s="319"/>
      <c r="CD109" s="319"/>
      <c r="CE109" s="319"/>
      <c r="CF109" s="319"/>
    </row>
    <row r="110" spans="1:84" ht="12.75" hidden="1" customHeight="1">
      <c r="A110" s="12"/>
      <c r="B110" s="329" t="str">
        <f>B98</f>
        <v>Preço do calor</v>
      </c>
      <c r="C110" s="303" t="s">
        <v>4213</v>
      </c>
      <c r="D110" s="307"/>
      <c r="E110" s="1"/>
      <c r="F110" s="1"/>
      <c r="G110" s="1"/>
      <c r="H110" s="1"/>
      <c r="I110" s="1"/>
      <c r="J110" s="1"/>
      <c r="K110" s="9"/>
      <c r="L110" s="1"/>
      <c r="M110" s="319"/>
      <c r="N110" s="319"/>
      <c r="O110" s="319"/>
      <c r="P110" s="319"/>
      <c r="Q110" s="319"/>
      <c r="R110" s="319" t="s">
        <v>4213</v>
      </c>
      <c r="S110" s="476">
        <f>IF(C110=$Z$1081,D110,D110*$AA$1082)</f>
        <v>0</v>
      </c>
      <c r="T110" s="319"/>
      <c r="U110" s="319"/>
      <c r="V110" s="319"/>
      <c r="W110" s="319"/>
      <c r="X110" s="319"/>
      <c r="Y110" s="319"/>
      <c r="Z110" s="319" t="s">
        <v>1813</v>
      </c>
      <c r="AA110" s="319"/>
      <c r="AB110" s="319"/>
      <c r="AC110" s="319"/>
      <c r="AD110" s="319"/>
      <c r="AE110" s="319"/>
      <c r="AF110" s="319"/>
      <c r="AG110" s="319"/>
      <c r="AH110" s="319"/>
      <c r="AI110" s="319"/>
      <c r="AJ110" s="319"/>
      <c r="AK110" s="319"/>
      <c r="AL110" s="319"/>
      <c r="AM110" s="319"/>
      <c r="AN110" s="319"/>
      <c r="AO110" s="319">
        <v>2050018</v>
      </c>
      <c r="AP110" s="319"/>
      <c r="AQ110" s="319"/>
      <c r="AR110" s="319"/>
      <c r="AS110" s="319"/>
      <c r="AT110" s="319"/>
      <c r="AU110" s="319"/>
      <c r="AV110" s="319"/>
      <c r="AW110" s="319"/>
      <c r="AX110" s="319"/>
      <c r="AY110" s="319"/>
      <c r="AZ110" s="319"/>
      <c r="BA110" s="319"/>
      <c r="BB110" s="319"/>
      <c r="BC110" s="319"/>
      <c r="BD110" s="319"/>
      <c r="BE110" s="319"/>
      <c r="BF110" s="319"/>
      <c r="BG110" s="319"/>
      <c r="BH110" s="319"/>
      <c r="BI110" s="319"/>
      <c r="BJ110" s="319"/>
      <c r="BK110" s="319"/>
      <c r="BL110" s="319"/>
      <c r="BM110" s="319"/>
      <c r="BN110" s="319"/>
      <c r="BO110" s="319"/>
      <c r="BP110" s="319"/>
      <c r="BQ110" s="319"/>
      <c r="BR110" s="319"/>
      <c r="BS110" s="319"/>
      <c r="BT110" s="319"/>
      <c r="BU110" s="319"/>
      <c r="BV110" s="319"/>
      <c r="BW110" s="319"/>
      <c r="BX110" s="319"/>
      <c r="BY110" s="319"/>
      <c r="BZ110" s="319"/>
      <c r="CA110" s="319"/>
      <c r="CB110" s="319"/>
      <c r="CC110" s="319"/>
      <c r="CD110" s="319"/>
      <c r="CE110" s="319"/>
      <c r="CF110" s="319"/>
    </row>
    <row r="111" spans="1:84" ht="12.75" hidden="1" customHeight="1">
      <c r="A111" s="12"/>
      <c r="B111" s="329" t="str">
        <f>Language!C430</f>
        <v>Taxa de recuperação de calor</v>
      </c>
      <c r="C111" s="29" t="str">
        <f>$T$35</f>
        <v>%</v>
      </c>
      <c r="D111" s="422"/>
      <c r="E111" s="1"/>
      <c r="F111" s="1"/>
      <c r="G111" s="1"/>
      <c r="H111" s="1"/>
      <c r="I111" s="1"/>
      <c r="J111" s="1"/>
      <c r="K111" s="9"/>
      <c r="L111" s="1"/>
      <c r="M111" s="319"/>
      <c r="N111" s="319"/>
      <c r="O111" s="319"/>
      <c r="P111" s="319"/>
      <c r="Q111" s="319"/>
      <c r="R111" s="319"/>
      <c r="S111" s="476"/>
      <c r="T111" s="319"/>
      <c r="U111" s="319"/>
      <c r="V111" s="319"/>
      <c r="W111" s="319"/>
      <c r="X111" s="319"/>
      <c r="Y111" s="319"/>
      <c r="Z111" s="319"/>
      <c r="AA111" s="319"/>
      <c r="AB111" s="319"/>
      <c r="AC111" s="319"/>
      <c r="AD111" s="319"/>
      <c r="AE111" s="319"/>
      <c r="AF111" s="319"/>
      <c r="AG111" s="319"/>
      <c r="AH111" s="319"/>
      <c r="AI111" s="319"/>
      <c r="AJ111" s="319"/>
      <c r="AK111" s="319"/>
      <c r="AL111" s="319"/>
      <c r="AM111" s="319"/>
      <c r="AN111" s="319"/>
      <c r="AO111" s="319">
        <v>2050028</v>
      </c>
      <c r="AP111" s="319"/>
      <c r="AQ111" s="319"/>
      <c r="AR111" s="319"/>
      <c r="AS111" s="319"/>
      <c r="AT111" s="319"/>
      <c r="AU111" s="319"/>
      <c r="AV111" s="319"/>
      <c r="AW111" s="319"/>
      <c r="AX111" s="319"/>
      <c r="AY111" s="319"/>
      <c r="AZ111" s="319"/>
      <c r="BA111" s="319"/>
      <c r="BB111" s="319"/>
      <c r="BC111" s="319"/>
      <c r="BD111" s="319"/>
      <c r="BE111" s="319"/>
      <c r="BF111" s="319"/>
      <c r="BG111" s="319"/>
      <c r="BH111" s="319"/>
      <c r="BI111" s="319"/>
      <c r="BJ111" s="319"/>
      <c r="BK111" s="319"/>
      <c r="BL111" s="319"/>
      <c r="BM111" s="319"/>
      <c r="BN111" s="319"/>
      <c r="BO111" s="319"/>
      <c r="BP111" s="319"/>
      <c r="BQ111" s="319"/>
      <c r="BR111" s="319"/>
      <c r="BS111" s="319"/>
      <c r="BT111" s="319"/>
      <c r="BU111" s="319"/>
      <c r="BV111" s="319"/>
      <c r="BW111" s="319"/>
      <c r="BX111" s="319"/>
      <c r="BY111" s="319"/>
      <c r="BZ111" s="319"/>
      <c r="CA111" s="319"/>
      <c r="CB111" s="319"/>
      <c r="CC111" s="319"/>
      <c r="CD111" s="319"/>
      <c r="CE111" s="319"/>
      <c r="CF111" s="319"/>
    </row>
    <row r="112" spans="1:84" ht="12.75" hidden="1" customHeight="1">
      <c r="A112" s="12"/>
      <c r="B112" s="329" t="str">
        <f>B77</f>
        <v>Combustível necessário</v>
      </c>
      <c r="C112" s="29" t="str">
        <f>IF(Unit=TRUE,R112,T112)</f>
        <v>GJ/h</v>
      </c>
      <c r="D112" s="140">
        <f>IF(Unit=TRUE,S112,U112)</f>
        <v>0</v>
      </c>
      <c r="E112" s="1"/>
      <c r="F112" s="29" t="str">
        <f>IF($M$3=FALSE,"",IF(Unit=FALSE,R112,T112))</f>
        <v/>
      </c>
      <c r="G112" s="140" t="str">
        <f>IF($M$3=FALSE,"",IF(Unit=FALSE,S112,U112))</f>
        <v/>
      </c>
      <c r="H112" s="1"/>
      <c r="I112" s="1"/>
      <c r="J112" s="1"/>
      <c r="K112" s="9"/>
      <c r="L112" s="1"/>
      <c r="M112" s="319"/>
      <c r="N112" s="319"/>
      <c r="O112" s="319"/>
      <c r="P112" s="319"/>
      <c r="Q112" s="319"/>
      <c r="R112" s="319" t="str">
        <f>$R$77</f>
        <v>GJ/h</v>
      </c>
      <c r="S112" s="476">
        <f>D104*S110/10^6</f>
        <v>0</v>
      </c>
      <c r="T112" s="319" t="str">
        <f>$T$77</f>
        <v>milhão Btu/h</v>
      </c>
      <c r="U112" s="476">
        <f>S112/$AA$1082</f>
        <v>0</v>
      </c>
      <c r="V112" s="319"/>
      <c r="W112" s="319"/>
      <c r="X112" s="319"/>
      <c r="Y112" s="319"/>
      <c r="Z112" s="319"/>
      <c r="AA112" s="319"/>
      <c r="AB112" s="319"/>
      <c r="AC112" s="319"/>
      <c r="AD112" s="319"/>
      <c r="AE112" s="319"/>
      <c r="AF112" s="319"/>
      <c r="AG112" s="319"/>
      <c r="AH112" s="319"/>
      <c r="AI112" s="319"/>
      <c r="AJ112" s="319"/>
      <c r="AK112" s="319"/>
      <c r="AL112" s="319"/>
      <c r="AM112" s="319"/>
      <c r="AN112" s="319"/>
      <c r="AO112" s="319">
        <v>2050032</v>
      </c>
      <c r="AP112" s="319"/>
      <c r="AQ112" s="319"/>
      <c r="AR112" s="319"/>
      <c r="AS112" s="319"/>
      <c r="AT112" s="319"/>
      <c r="AU112" s="319"/>
      <c r="AV112" s="319"/>
      <c r="AW112" s="319"/>
      <c r="AX112" s="319"/>
      <c r="AY112" s="319"/>
      <c r="AZ112" s="319"/>
      <c r="BA112" s="319"/>
      <c r="BB112" s="319"/>
      <c r="BC112" s="319"/>
      <c r="BD112" s="319"/>
      <c r="BE112" s="319"/>
      <c r="BF112" s="319"/>
      <c r="BG112" s="319"/>
      <c r="BH112" s="319"/>
      <c r="BI112" s="319"/>
      <c r="BJ112" s="319"/>
      <c r="BK112" s="319"/>
      <c r="BL112" s="319"/>
      <c r="BM112" s="319"/>
      <c r="BN112" s="319"/>
      <c r="BO112" s="319"/>
      <c r="BP112" s="319"/>
      <c r="BQ112" s="319"/>
      <c r="BR112" s="319"/>
      <c r="BS112" s="319"/>
      <c r="BT112" s="319"/>
      <c r="BU112" s="319"/>
      <c r="BV112" s="319"/>
      <c r="BW112" s="319"/>
      <c r="BX112" s="319"/>
      <c r="BY112" s="319"/>
      <c r="BZ112" s="319"/>
      <c r="CA112" s="319"/>
      <c r="CB112" s="319"/>
      <c r="CC112" s="319"/>
      <c r="CD112" s="319"/>
      <c r="CE112" s="319"/>
      <c r="CF112" s="319"/>
    </row>
    <row r="113" spans="1:84" ht="12.75" hidden="1" customHeight="1">
      <c r="A113" s="14"/>
      <c r="B113" s="380" t="str">
        <f>Language!C431</f>
        <v>Capacidade térmica</v>
      </c>
      <c r="C113" s="33" t="str">
        <f>IF(Unit=TRUE,R113,T113)</f>
        <v>kW</v>
      </c>
      <c r="D113" s="245">
        <f>IF(Unit=TRUE,S113,U113)</f>
        <v>0</v>
      </c>
      <c r="E113" s="81" t="str">
        <f>IF(OR(HideCode_projectType3=2,HideCode_projectType3=5),"",S113/$Q$866)</f>
        <v/>
      </c>
      <c r="F113" s="33" t="str">
        <f>IF($M$3=FALSE,"",IF(Unit=FALSE,R113,T113))</f>
        <v/>
      </c>
      <c r="G113" s="245" t="str">
        <f>IF($M$3=FALSE,"",IF(Unit=FALSE,S113,U113))</f>
        <v/>
      </c>
      <c r="H113" s="15"/>
      <c r="I113" s="15"/>
      <c r="J113" s="15"/>
      <c r="K113" s="11"/>
      <c r="L113" s="1"/>
      <c r="M113" s="319"/>
      <c r="N113" s="319"/>
      <c r="O113" s="319"/>
      <c r="P113" s="319"/>
      <c r="Q113" s="319"/>
      <c r="R113" s="319" t="str">
        <f>$R$20</f>
        <v>kW</v>
      </c>
      <c r="S113" s="476">
        <f>(S112-D104/1000*3.6)*(D111)/0.0036</f>
        <v>0</v>
      </c>
      <c r="T113" s="319" t="str">
        <f>$T$77</f>
        <v>milhão Btu/h</v>
      </c>
      <c r="U113" s="476">
        <f>S113*$AA$1087</f>
        <v>0</v>
      </c>
      <c r="V113" s="319"/>
      <c r="W113" s="319"/>
      <c r="X113" s="319"/>
      <c r="Y113" s="319"/>
      <c r="Z113" s="319"/>
      <c r="AA113" s="319"/>
      <c r="AB113" s="319"/>
      <c r="AC113" s="319"/>
      <c r="AD113" s="319"/>
      <c r="AE113" s="319"/>
      <c r="AF113" s="319"/>
      <c r="AG113" s="319"/>
      <c r="AH113" s="319"/>
      <c r="AI113" s="319"/>
      <c r="AJ113" s="319"/>
      <c r="AK113" s="319"/>
      <c r="AL113" s="319"/>
      <c r="AM113" s="319"/>
      <c r="AN113" s="319"/>
      <c r="AO113" s="319">
        <v>2050034</v>
      </c>
      <c r="AP113" s="319"/>
      <c r="AQ113" s="319"/>
      <c r="AR113" s="319"/>
      <c r="AS113" s="319"/>
      <c r="AT113" s="319"/>
      <c r="AU113" s="319"/>
      <c r="AV113" s="319"/>
      <c r="AW113" s="319"/>
      <c r="AX113" s="319"/>
      <c r="AY113" s="319"/>
      <c r="AZ113" s="319"/>
      <c r="BA113" s="319"/>
      <c r="BB113" s="319"/>
      <c r="BC113" s="319"/>
      <c r="BD113" s="319"/>
      <c r="BE113" s="319"/>
      <c r="BF113" s="319"/>
      <c r="BG113" s="319"/>
      <c r="BH113" s="319"/>
      <c r="BI113" s="319"/>
      <c r="BJ113" s="319"/>
      <c r="BK113" s="319"/>
      <c r="BL113" s="319"/>
      <c r="BM113" s="319"/>
      <c r="BN113" s="319"/>
      <c r="BO113" s="319"/>
      <c r="BP113" s="319"/>
      <c r="BQ113" s="319"/>
      <c r="BR113" s="319"/>
      <c r="BS113" s="319"/>
      <c r="BT113" s="319"/>
      <c r="BU113" s="319"/>
      <c r="BV113" s="319"/>
      <c r="BW113" s="319"/>
      <c r="BX113" s="319"/>
      <c r="BY113" s="319"/>
      <c r="BZ113" s="319"/>
      <c r="CA113" s="319"/>
      <c r="CB113" s="319"/>
      <c r="CC113" s="319"/>
      <c r="CD113" s="319"/>
      <c r="CE113" s="319"/>
      <c r="CF113" s="319"/>
    </row>
    <row r="114" spans="1:84" ht="12.75" hidden="1" customHeight="1">
      <c r="A114" s="50"/>
      <c r="B114" s="1"/>
      <c r="C114" s="1"/>
      <c r="D114" s="1"/>
      <c r="E114" s="1"/>
      <c r="F114" s="1"/>
      <c r="G114" s="1"/>
      <c r="H114" s="1"/>
      <c r="I114" s="1"/>
      <c r="J114" s="1"/>
      <c r="K114" s="6"/>
      <c r="L114" s="1"/>
      <c r="M114" s="319"/>
      <c r="N114" s="319"/>
      <c r="O114" s="319"/>
      <c r="P114" s="319"/>
      <c r="Q114" s="319"/>
      <c r="R114" s="319"/>
      <c r="S114" s="476"/>
      <c r="T114" s="319"/>
      <c r="U114" s="476"/>
      <c r="V114" s="319"/>
      <c r="W114" s="319"/>
      <c r="X114" s="319"/>
      <c r="Y114" s="319"/>
      <c r="Z114" s="319"/>
      <c r="AA114" s="319"/>
      <c r="AB114" s="319"/>
      <c r="AC114" s="319"/>
      <c r="AD114" s="319"/>
      <c r="AE114" s="319"/>
      <c r="AF114" s="319"/>
      <c r="AG114" s="319"/>
      <c r="AH114" s="319"/>
      <c r="AI114" s="319"/>
      <c r="AJ114" s="319"/>
      <c r="AK114" s="319"/>
      <c r="AL114" s="319"/>
      <c r="AM114" s="319"/>
      <c r="AN114" s="319"/>
      <c r="AO114" s="319">
        <v>2030000</v>
      </c>
      <c r="AP114" s="319"/>
      <c r="AQ114" s="319"/>
      <c r="AR114" s="319"/>
      <c r="AS114" s="319"/>
      <c r="AT114" s="319"/>
      <c r="AU114" s="319"/>
      <c r="AV114" s="319"/>
      <c r="AW114" s="319"/>
      <c r="AX114" s="319"/>
      <c r="AY114" s="319"/>
      <c r="AZ114" s="319"/>
      <c r="BA114" s="319"/>
      <c r="BB114" s="319"/>
      <c r="BC114" s="319"/>
      <c r="BD114" s="319"/>
      <c r="BE114" s="319"/>
      <c r="BF114" s="319"/>
      <c r="BG114" s="319"/>
      <c r="BH114" s="319"/>
      <c r="BI114" s="319"/>
      <c r="BJ114" s="319"/>
      <c r="BK114" s="319"/>
      <c r="BL114" s="319"/>
      <c r="BM114" s="319"/>
      <c r="BN114" s="319"/>
      <c r="BO114" s="319"/>
      <c r="BP114" s="319"/>
      <c r="BQ114" s="319"/>
      <c r="BR114" s="319"/>
      <c r="BS114" s="319"/>
      <c r="BT114" s="319"/>
      <c r="BU114" s="319"/>
      <c r="BV114" s="319"/>
      <c r="BW114" s="319"/>
      <c r="BX114" s="319"/>
      <c r="BY114" s="319"/>
      <c r="BZ114" s="319"/>
      <c r="CA114" s="319"/>
      <c r="CB114" s="319"/>
      <c r="CC114" s="319"/>
      <c r="CD114" s="319"/>
      <c r="CE114" s="319"/>
      <c r="CF114" s="319"/>
    </row>
    <row r="115" spans="1:84" ht="12.75" hidden="1" customHeight="1">
      <c r="A115" s="12"/>
      <c r="B115" s="28" t="str">
        <f>IF(HideCodeES_PSS=1,Language!C135,Language!C135&amp;" #1")</f>
        <v>Turbina à gas-ciclo combinado</v>
      </c>
      <c r="C115" s="1"/>
      <c r="D115" s="1"/>
      <c r="E115" s="1"/>
      <c r="F115" s="1"/>
      <c r="G115" s="1"/>
      <c r="H115" s="1"/>
      <c r="I115" s="1"/>
      <c r="J115" s="1"/>
      <c r="K115" s="9"/>
      <c r="L115" s="1"/>
      <c r="M115" s="319"/>
      <c r="N115" s="319"/>
      <c r="O115" s="319"/>
      <c r="P115" s="319"/>
      <c r="Q115" s="319"/>
      <c r="R115" s="319"/>
      <c r="S115" s="476"/>
      <c r="T115" s="319"/>
      <c r="U115" s="476"/>
      <c r="V115" s="319"/>
      <c r="W115" s="319"/>
      <c r="X115" s="319"/>
      <c r="Y115" s="319"/>
      <c r="Z115" s="319"/>
      <c r="AA115" s="319"/>
      <c r="AB115" s="319"/>
      <c r="AC115" s="319"/>
      <c r="AD115" s="319"/>
      <c r="AE115" s="319"/>
      <c r="AF115" s="319"/>
      <c r="AG115" s="319"/>
      <c r="AH115" s="319"/>
      <c r="AI115" s="319"/>
      <c r="AJ115" s="319"/>
      <c r="AK115" s="319"/>
      <c r="AL115" s="319"/>
      <c r="AM115" s="319"/>
      <c r="AN115" s="319"/>
      <c r="AO115" s="319">
        <v>14120</v>
      </c>
      <c r="AP115" s="319"/>
      <c r="AQ115" s="319"/>
      <c r="AR115" s="319"/>
      <c r="AS115" s="319"/>
      <c r="AT115" s="319"/>
      <c r="AU115" s="319"/>
      <c r="AV115" s="319"/>
      <c r="AW115" s="319"/>
      <c r="AX115" s="319"/>
      <c r="AY115" s="319"/>
      <c r="AZ115" s="319"/>
      <c r="BA115" s="319"/>
      <c r="BB115" s="319"/>
      <c r="BC115" s="319"/>
      <c r="BD115" s="319"/>
      <c r="BE115" s="319"/>
      <c r="BF115" s="319"/>
      <c r="BG115" s="319"/>
      <c r="BH115" s="319"/>
      <c r="BI115" s="319"/>
      <c r="BJ115" s="319"/>
      <c r="BK115" s="319"/>
      <c r="BL115" s="319"/>
      <c r="BM115" s="319"/>
      <c r="BN115" s="319"/>
      <c r="BO115" s="319"/>
      <c r="BP115" s="319"/>
      <c r="BQ115" s="319"/>
      <c r="BR115" s="319"/>
      <c r="BS115" s="319"/>
      <c r="BT115" s="319"/>
      <c r="BU115" s="319"/>
      <c r="BV115" s="319"/>
      <c r="BW115" s="319"/>
      <c r="BX115" s="319"/>
      <c r="BY115" s="319"/>
      <c r="BZ115" s="319"/>
      <c r="CA115" s="319"/>
      <c r="CB115" s="319"/>
      <c r="CC115" s="319"/>
      <c r="CD115" s="319"/>
      <c r="CE115" s="319"/>
      <c r="CF115" s="319"/>
    </row>
    <row r="116" spans="1:84" ht="12.75" hidden="1" customHeight="1">
      <c r="A116" s="12"/>
      <c r="B116" s="329" t="str">
        <f>Language!C428</f>
        <v>Potência elétrica (TG)</v>
      </c>
      <c r="C116" s="29" t="str">
        <f>$C$92</f>
        <v>kW</v>
      </c>
      <c r="D116" s="412"/>
      <c r="E116" s="80" t="str">
        <f>IF($P$866=0,"",D116/$P$866)</f>
        <v/>
      </c>
      <c r="F116" s="1"/>
      <c r="G116" s="1"/>
      <c r="H116" s="1346"/>
      <c r="I116" s="1252" t="str">
        <f>Language!C61</f>
        <v>Ver banco de dados de produtos</v>
      </c>
      <c r="J116" s="1191"/>
      <c r="K116" s="1210"/>
      <c r="L116" s="1"/>
      <c r="M116" s="319"/>
      <c r="N116" s="319"/>
      <c r="O116" s="319"/>
      <c r="P116" s="319"/>
      <c r="Q116" s="319"/>
      <c r="R116" s="319"/>
      <c r="S116" s="476"/>
      <c r="T116" s="319"/>
      <c r="U116" s="476"/>
      <c r="V116" s="319"/>
      <c r="W116" s="319"/>
      <c r="X116" s="319"/>
      <c r="Y116" s="319"/>
      <c r="Z116" s="319"/>
      <c r="AA116" s="319"/>
      <c r="AB116" s="319"/>
      <c r="AC116" s="319"/>
      <c r="AD116" s="319"/>
      <c r="AE116" s="319"/>
      <c r="AF116" s="319"/>
      <c r="AG116" s="319"/>
      <c r="AH116" s="319"/>
      <c r="AI116" s="319"/>
      <c r="AJ116" s="319"/>
      <c r="AK116" s="319"/>
      <c r="AL116" s="319"/>
      <c r="AM116" s="319"/>
      <c r="AN116" s="319"/>
      <c r="AO116" s="319">
        <v>2050004</v>
      </c>
      <c r="AP116" s="319"/>
      <c r="AQ116" s="319"/>
      <c r="AR116" s="319"/>
      <c r="AS116" s="319"/>
      <c r="AT116" s="319"/>
      <c r="AU116" s="319"/>
      <c r="AV116" s="319"/>
      <c r="AW116" s="319"/>
      <c r="AX116" s="319"/>
      <c r="AY116" s="319"/>
      <c r="AZ116" s="319"/>
      <c r="BA116" s="319"/>
      <c r="BB116" s="319"/>
      <c r="BC116" s="319"/>
      <c r="BD116" s="319"/>
      <c r="BE116" s="319"/>
      <c r="BF116" s="319"/>
      <c r="BG116" s="319"/>
      <c r="BH116" s="319"/>
      <c r="BI116" s="319"/>
      <c r="BJ116" s="319"/>
      <c r="BK116" s="319"/>
      <c r="BL116" s="319"/>
      <c r="BM116" s="319"/>
      <c r="BN116" s="319"/>
      <c r="BO116" s="319"/>
      <c r="BP116" s="319"/>
      <c r="BQ116" s="319"/>
      <c r="BR116" s="319"/>
      <c r="BS116" s="319"/>
      <c r="BT116" s="319"/>
      <c r="BU116" s="319"/>
      <c r="BV116" s="319"/>
      <c r="BW116" s="319"/>
      <c r="BX116" s="319"/>
      <c r="BY116" s="319"/>
      <c r="BZ116" s="319"/>
      <c r="CA116" s="319"/>
      <c r="CB116" s="319"/>
      <c r="CC116" s="319"/>
      <c r="CD116" s="319"/>
      <c r="CE116" s="319"/>
      <c r="CF116" s="319"/>
    </row>
    <row r="117" spans="1:84" ht="12.75" hidden="1" customHeight="1">
      <c r="A117" s="12"/>
      <c r="B117" s="329" t="str">
        <f>Language!C429</f>
        <v>Capac. Mínima</v>
      </c>
      <c r="C117" s="29" t="str">
        <f>$T$35</f>
        <v>%</v>
      </c>
      <c r="D117" s="422"/>
      <c r="E117" s="1"/>
      <c r="F117" s="1"/>
      <c r="G117" s="1"/>
      <c r="H117" s="1"/>
      <c r="I117" s="1"/>
      <c r="J117" s="1"/>
      <c r="K117" s="788" t="e">
        <f>IF(S117&gt;0,$G$1095&amp;S117&amp;$G$1096,"")</f>
        <v>#DIV/0!</v>
      </c>
      <c r="L117" s="1"/>
      <c r="M117" s="319"/>
      <c r="N117" s="319"/>
      <c r="O117" s="319"/>
      <c r="P117" s="319"/>
      <c r="Q117" s="319"/>
      <c r="R117" s="319" t="s">
        <v>4372</v>
      </c>
      <c r="S117" s="476" t="e">
        <f t="array" ref="S117">IF(AND(HideCodeES_PSS=2,$C$854=$E$1094),SUM(IF($D$1139:$D$1150&lt;D153*M1116,1,0)),SUM(IF($I$1139:$I$1150&lt;D153*M1116,1,0)))*IF(SUM($D$1139:$D$1150)=0,0,1)</f>
        <v>#DIV/0!</v>
      </c>
      <c r="T117" s="319"/>
      <c r="U117" s="476"/>
      <c r="V117" s="319"/>
      <c r="W117" s="319"/>
      <c r="X117" s="319"/>
      <c r="Y117" s="319"/>
      <c r="Z117" s="319"/>
      <c r="AA117" s="319"/>
      <c r="AB117" s="319"/>
      <c r="AC117" s="319"/>
      <c r="AD117" s="319"/>
      <c r="AE117" s="319"/>
      <c r="AF117" s="319"/>
      <c r="AG117" s="319"/>
      <c r="AH117" s="319"/>
      <c r="AI117" s="319"/>
      <c r="AJ117" s="319"/>
      <c r="AK117" s="319"/>
      <c r="AL117" s="319"/>
      <c r="AM117" s="319"/>
      <c r="AN117" s="319"/>
      <c r="AO117" s="319">
        <v>2050006</v>
      </c>
      <c r="AP117" s="319"/>
      <c r="AQ117" s="319"/>
      <c r="AR117" s="319"/>
      <c r="AS117" s="319"/>
      <c r="AT117" s="319"/>
      <c r="AU117" s="319"/>
      <c r="AV117" s="319"/>
      <c r="AW117" s="319"/>
      <c r="AX117" s="319"/>
      <c r="AY117" s="319"/>
      <c r="AZ117" s="319"/>
      <c r="BA117" s="319"/>
      <c r="BB117" s="319"/>
      <c r="BC117" s="319"/>
      <c r="BD117" s="319"/>
      <c r="BE117" s="319"/>
      <c r="BF117" s="319"/>
      <c r="BG117" s="319"/>
      <c r="BH117" s="319"/>
      <c r="BI117" s="319"/>
      <c r="BJ117" s="319"/>
      <c r="BK117" s="319"/>
      <c r="BL117" s="319"/>
      <c r="BM117" s="319"/>
      <c r="BN117" s="319"/>
      <c r="BO117" s="319"/>
      <c r="BP117" s="319"/>
      <c r="BQ117" s="319"/>
      <c r="BR117" s="319"/>
      <c r="BS117" s="319"/>
      <c r="BT117" s="319"/>
      <c r="BU117" s="319"/>
      <c r="BV117" s="319"/>
      <c r="BW117" s="319"/>
      <c r="BX117" s="319"/>
      <c r="BY117" s="319"/>
      <c r="BZ117" s="319"/>
      <c r="CA117" s="319"/>
      <c r="CB117" s="319"/>
      <c r="CC117" s="319"/>
      <c r="CD117" s="319"/>
      <c r="CE117" s="319"/>
      <c r="CF117" s="319"/>
    </row>
    <row r="118" spans="1:84" ht="12.75" hidden="1" customHeight="1">
      <c r="A118" s="12"/>
      <c r="B118" s="329" t="str">
        <f>B12</f>
        <v>Fabricante</v>
      </c>
      <c r="C118" s="1152"/>
      <c r="D118" s="1153"/>
      <c r="E118" s="1154"/>
      <c r="F118" s="1"/>
      <c r="G118" s="1"/>
      <c r="H118" s="1"/>
      <c r="I118" s="1"/>
      <c r="J118" s="1"/>
      <c r="K118" s="9"/>
      <c r="L118" s="1"/>
      <c r="M118" s="319"/>
      <c r="N118" s="319"/>
      <c r="O118" s="319"/>
      <c r="P118" s="319"/>
      <c r="Q118" s="319"/>
      <c r="R118" s="319"/>
      <c r="S118" s="476"/>
      <c r="T118" s="319"/>
      <c r="U118" s="476"/>
      <c r="V118" s="319"/>
      <c r="W118" s="319"/>
      <c r="X118" s="319"/>
      <c r="Y118" s="319"/>
      <c r="Z118" s="319"/>
      <c r="AA118" s="319"/>
      <c r="AB118" s="319"/>
      <c r="AC118" s="319"/>
      <c r="AD118" s="319"/>
      <c r="AE118" s="319"/>
      <c r="AF118" s="319"/>
      <c r="AG118" s="319"/>
      <c r="AH118" s="319"/>
      <c r="AI118" s="319"/>
      <c r="AJ118" s="319"/>
      <c r="AK118" s="319"/>
      <c r="AL118" s="319"/>
      <c r="AM118" s="319"/>
      <c r="AN118" s="319"/>
      <c r="AO118" s="319">
        <v>2050012</v>
      </c>
      <c r="AP118" s="319"/>
      <c r="AQ118" s="319"/>
      <c r="AR118" s="319"/>
      <c r="AS118" s="319"/>
      <c r="AT118" s="319"/>
      <c r="AU118" s="319"/>
      <c r="AV118" s="319"/>
      <c r="AW118" s="319"/>
      <c r="AX118" s="319"/>
      <c r="AY118" s="319"/>
      <c r="AZ118" s="319"/>
      <c r="BA118" s="319"/>
      <c r="BB118" s="319"/>
      <c r="BC118" s="319"/>
      <c r="BD118" s="319"/>
      <c r="BE118" s="319"/>
      <c r="BF118" s="319"/>
      <c r="BG118" s="319"/>
      <c r="BH118" s="319"/>
      <c r="BI118" s="319"/>
      <c r="BJ118" s="319"/>
      <c r="BK118" s="319"/>
      <c r="BL118" s="319"/>
      <c r="BM118" s="319"/>
      <c r="BN118" s="319"/>
      <c r="BO118" s="319"/>
      <c r="BP118" s="319"/>
      <c r="BQ118" s="319"/>
      <c r="BR118" s="319"/>
      <c r="BS118" s="319"/>
      <c r="BT118" s="319"/>
      <c r="BU118" s="319"/>
      <c r="BV118" s="319"/>
      <c r="BW118" s="319"/>
      <c r="BX118" s="319"/>
      <c r="BY118" s="319"/>
      <c r="BZ118" s="319"/>
      <c r="CA118" s="319"/>
      <c r="CB118" s="319"/>
      <c r="CC118" s="319"/>
      <c r="CD118" s="319"/>
      <c r="CE118" s="319"/>
      <c r="CF118" s="319"/>
    </row>
    <row r="119" spans="1:84" ht="12.75" hidden="1" customHeight="1">
      <c r="A119" s="12"/>
      <c r="B119" s="329" t="str">
        <f>B13</f>
        <v>Modelo</v>
      </c>
      <c r="C119" s="1152"/>
      <c r="D119" s="1153"/>
      <c r="E119" s="1154"/>
      <c r="F119" s="1" t="str">
        <f>$J$1069 &amp; Lang_Unit</f>
        <v>1 unidade(s)</v>
      </c>
      <c r="G119" s="1"/>
      <c r="H119" s="1"/>
      <c r="I119" s="1"/>
      <c r="J119" s="1"/>
      <c r="K119" s="9"/>
      <c r="L119" s="1"/>
      <c r="M119" s="319"/>
      <c r="N119" s="319"/>
      <c r="O119" s="319"/>
      <c r="P119" s="319"/>
      <c r="Q119" s="319"/>
      <c r="R119" s="319"/>
      <c r="S119" s="476"/>
      <c r="T119" s="319"/>
      <c r="U119" s="476"/>
      <c r="V119" s="319"/>
      <c r="W119" s="319"/>
      <c r="X119" s="319"/>
      <c r="Y119" s="319"/>
      <c r="Z119" s="319"/>
      <c r="AA119" s="319"/>
      <c r="AB119" s="319"/>
      <c r="AC119" s="319"/>
      <c r="AD119" s="319"/>
      <c r="AE119" s="319"/>
      <c r="AF119" s="319"/>
      <c r="AG119" s="319"/>
      <c r="AH119" s="319"/>
      <c r="AI119" s="319"/>
      <c r="AJ119" s="319"/>
      <c r="AK119" s="319"/>
      <c r="AL119" s="319"/>
      <c r="AM119" s="319"/>
      <c r="AN119" s="319"/>
      <c r="AO119" s="319">
        <v>2050014</v>
      </c>
      <c r="AP119" s="319"/>
      <c r="AQ119" s="319"/>
      <c r="AR119" s="319"/>
      <c r="AS119" s="319"/>
      <c r="AT119" s="319"/>
      <c r="AU119" s="319"/>
      <c r="AV119" s="319"/>
      <c r="AW119" s="319"/>
      <c r="AX119" s="319"/>
      <c r="AY119" s="319"/>
      <c r="AZ119" s="319"/>
      <c r="BA119" s="319"/>
      <c r="BB119" s="319"/>
      <c r="BC119" s="319"/>
      <c r="BD119" s="319"/>
      <c r="BE119" s="319"/>
      <c r="BF119" s="319"/>
      <c r="BG119" s="319"/>
      <c r="BH119" s="319"/>
      <c r="BI119" s="319"/>
      <c r="BJ119" s="319"/>
      <c r="BK119" s="319"/>
      <c r="BL119" s="319"/>
      <c r="BM119" s="319"/>
      <c r="BN119" s="319"/>
      <c r="BO119" s="319"/>
      <c r="BP119" s="319"/>
      <c r="BQ119" s="319"/>
      <c r="BR119" s="319"/>
      <c r="BS119" s="319"/>
      <c r="BT119" s="319"/>
      <c r="BU119" s="319"/>
      <c r="BV119" s="319"/>
      <c r="BW119" s="319"/>
      <c r="BX119" s="319"/>
      <c r="BY119" s="319"/>
      <c r="BZ119" s="319"/>
      <c r="CA119" s="319"/>
      <c r="CB119" s="319"/>
      <c r="CC119" s="319"/>
      <c r="CD119" s="319"/>
      <c r="CE119" s="319"/>
      <c r="CF119" s="319"/>
    </row>
    <row r="120" spans="1:84" ht="12.75" hidden="1" customHeight="1">
      <c r="A120" s="12"/>
      <c r="B120" s="329" t="str">
        <f>B98</f>
        <v>Preço do calor</v>
      </c>
      <c r="C120" s="303" t="s">
        <v>4213</v>
      </c>
      <c r="D120" s="307"/>
      <c r="E120" s="1"/>
      <c r="F120" s="1"/>
      <c r="G120" s="1"/>
      <c r="H120" s="1"/>
      <c r="I120" s="1"/>
      <c r="J120" s="1"/>
      <c r="K120" s="9"/>
      <c r="L120" s="1"/>
      <c r="M120" s="319"/>
      <c r="N120" s="319"/>
      <c r="O120" s="319"/>
      <c r="P120" s="319"/>
      <c r="Q120" s="319"/>
      <c r="R120" s="319" t="s">
        <v>4213</v>
      </c>
      <c r="S120" s="476">
        <f>IF(C120=$Z$1081,D120,D120*$AA$1082)</f>
        <v>0</v>
      </c>
      <c r="T120" s="319"/>
      <c r="U120" s="476"/>
      <c r="V120" s="319"/>
      <c r="W120" s="319"/>
      <c r="X120" s="319"/>
      <c r="Y120" s="319"/>
      <c r="Z120" s="319"/>
      <c r="AA120" s="319"/>
      <c r="AB120" s="319"/>
      <c r="AC120" s="319"/>
      <c r="AD120" s="319"/>
      <c r="AE120" s="319"/>
      <c r="AF120" s="319"/>
      <c r="AG120" s="319"/>
      <c r="AH120" s="319"/>
      <c r="AI120" s="319"/>
      <c r="AJ120" s="319"/>
      <c r="AK120" s="319"/>
      <c r="AL120" s="319"/>
      <c r="AM120" s="319"/>
      <c r="AN120" s="319"/>
      <c r="AO120" s="319">
        <v>2050018</v>
      </c>
      <c r="AP120" s="319"/>
      <c r="AQ120" s="319"/>
      <c r="AR120" s="319"/>
      <c r="AS120" s="319"/>
      <c r="AT120" s="319"/>
      <c r="AU120" s="319"/>
      <c r="AV120" s="319"/>
      <c r="AW120" s="319"/>
      <c r="AX120" s="319"/>
      <c r="AY120" s="319"/>
      <c r="AZ120" s="319"/>
      <c r="BA120" s="319"/>
      <c r="BB120" s="319"/>
      <c r="BC120" s="319"/>
      <c r="BD120" s="319"/>
      <c r="BE120" s="319"/>
      <c r="BF120" s="319"/>
      <c r="BG120" s="319"/>
      <c r="BH120" s="319"/>
      <c r="BI120" s="319"/>
      <c r="BJ120" s="319"/>
      <c r="BK120" s="319"/>
      <c r="BL120" s="319"/>
      <c r="BM120" s="319"/>
      <c r="BN120" s="319"/>
      <c r="BO120" s="319"/>
      <c r="BP120" s="319"/>
      <c r="BQ120" s="319"/>
      <c r="BR120" s="319"/>
      <c r="BS120" s="319"/>
      <c r="BT120" s="319"/>
      <c r="BU120" s="319"/>
      <c r="BV120" s="319"/>
      <c r="BW120" s="319"/>
      <c r="BX120" s="319"/>
      <c r="BY120" s="319"/>
      <c r="BZ120" s="319"/>
      <c r="CA120" s="319"/>
      <c r="CB120" s="319"/>
      <c r="CC120" s="319"/>
      <c r="CD120" s="319"/>
      <c r="CE120" s="319"/>
      <c r="CF120" s="319"/>
    </row>
    <row r="121" spans="1:84" ht="12.75" hidden="1" customHeight="1">
      <c r="A121" s="12"/>
      <c r="B121" s="329" t="str">
        <f>Language!C430</f>
        <v>Taxa de recuperação de calor</v>
      </c>
      <c r="C121" s="29" t="str">
        <f>$T$35</f>
        <v>%</v>
      </c>
      <c r="D121" s="422"/>
      <c r="E121" s="1"/>
      <c r="F121" s="1"/>
      <c r="G121" s="1"/>
      <c r="H121" s="1"/>
      <c r="I121" s="1"/>
      <c r="J121" s="1"/>
      <c r="K121" s="9"/>
      <c r="L121" s="1"/>
      <c r="M121" s="319"/>
      <c r="N121" s="319"/>
      <c r="O121" s="319"/>
      <c r="P121" s="319"/>
      <c r="Q121" s="319"/>
      <c r="R121" s="319"/>
      <c r="S121" s="476"/>
      <c r="T121" s="319"/>
      <c r="U121" s="476"/>
      <c r="V121" s="319"/>
      <c r="W121" s="319"/>
      <c r="X121" s="319"/>
      <c r="Y121" s="319"/>
      <c r="Z121" s="319"/>
      <c r="AA121" s="319"/>
      <c r="AB121" s="319"/>
      <c r="AC121" s="319"/>
      <c r="AD121" s="319"/>
      <c r="AE121" s="319"/>
      <c r="AF121" s="319"/>
      <c r="AG121" s="319"/>
      <c r="AH121" s="319"/>
      <c r="AI121" s="319"/>
      <c r="AJ121" s="319"/>
      <c r="AK121" s="319"/>
      <c r="AL121" s="319"/>
      <c r="AM121" s="319"/>
      <c r="AN121" s="319"/>
      <c r="AO121" s="319">
        <v>2050028</v>
      </c>
      <c r="AP121" s="319"/>
      <c r="AQ121" s="319"/>
      <c r="AR121" s="319"/>
      <c r="AS121" s="319"/>
      <c r="AT121" s="319"/>
      <c r="AU121" s="319"/>
      <c r="AV121" s="319"/>
      <c r="AW121" s="319"/>
      <c r="AX121" s="319"/>
      <c r="AY121" s="319"/>
      <c r="AZ121" s="319"/>
      <c r="BA121" s="319"/>
      <c r="BB121" s="319"/>
      <c r="BC121" s="319"/>
      <c r="BD121" s="319"/>
      <c r="BE121" s="319"/>
      <c r="BF121" s="319"/>
      <c r="BG121" s="319"/>
      <c r="BH121" s="319"/>
      <c r="BI121" s="319"/>
      <c r="BJ121" s="319"/>
      <c r="BK121" s="319"/>
      <c r="BL121" s="319"/>
      <c r="BM121" s="319"/>
      <c r="BN121" s="319"/>
      <c r="BO121" s="319"/>
      <c r="BP121" s="319"/>
      <c r="BQ121" s="319"/>
      <c r="BR121" s="319"/>
      <c r="BS121" s="319"/>
      <c r="BT121" s="319"/>
      <c r="BU121" s="319"/>
      <c r="BV121" s="319"/>
      <c r="BW121" s="319"/>
      <c r="BX121" s="319"/>
      <c r="BY121" s="319"/>
      <c r="BZ121" s="319"/>
      <c r="CA121" s="319"/>
      <c r="CB121" s="319"/>
      <c r="CC121" s="319"/>
      <c r="CD121" s="319"/>
      <c r="CE121" s="319"/>
      <c r="CF121" s="319"/>
    </row>
    <row r="122" spans="1:84" ht="12.75" hidden="1" customHeight="1">
      <c r="A122" s="12"/>
      <c r="B122" s="329" t="str">
        <f>B77</f>
        <v>Combustível necessário</v>
      </c>
      <c r="C122" s="29" t="str">
        <f>IF(Unit=TRUE,R122,T122)</f>
        <v>GJ/h</v>
      </c>
      <c r="D122" s="140">
        <f>IF(Unit=TRUE,S122,U122)</f>
        <v>0</v>
      </c>
      <c r="E122" s="1"/>
      <c r="F122" s="29" t="str">
        <f>IF($M$3=FALSE,"",IF(Unit=FALSE,R122,T122))</f>
        <v/>
      </c>
      <c r="G122" s="140" t="str">
        <f>IF($M$3=FALSE,"",IF(Unit=FALSE,S122,U122))</f>
        <v/>
      </c>
      <c r="H122" s="1"/>
      <c r="I122" s="1"/>
      <c r="J122" s="1"/>
      <c r="K122" s="9"/>
      <c r="L122" s="1"/>
      <c r="M122" s="319"/>
      <c r="N122" s="319"/>
      <c r="O122" s="319"/>
      <c r="P122" s="319"/>
      <c r="Q122" s="319"/>
      <c r="R122" s="319" t="str">
        <f>$R$77</f>
        <v>GJ/h</v>
      </c>
      <c r="S122" s="476">
        <f>IF(D124=E1096,D116*S120/10^6+S125*3.6/1000,D116*S120/10^6)</f>
        <v>0</v>
      </c>
      <c r="T122" s="319" t="str">
        <f>$T$77</f>
        <v>milhão Btu/h</v>
      </c>
      <c r="U122" s="476">
        <f>S122/$AA$1082</f>
        <v>0</v>
      </c>
      <c r="V122" s="319"/>
      <c r="W122" s="319"/>
      <c r="X122" s="319"/>
      <c r="Y122" s="319"/>
      <c r="Z122" s="319"/>
      <c r="AA122" s="319"/>
      <c r="AB122" s="319"/>
      <c r="AC122" s="319"/>
      <c r="AD122" s="319"/>
      <c r="AE122" s="319"/>
      <c r="AF122" s="319"/>
      <c r="AG122" s="319"/>
      <c r="AH122" s="319"/>
      <c r="AI122" s="319"/>
      <c r="AJ122" s="319"/>
      <c r="AK122" s="319"/>
      <c r="AL122" s="319"/>
      <c r="AM122" s="319"/>
      <c r="AN122" s="319"/>
      <c r="AO122" s="319">
        <v>2050032</v>
      </c>
      <c r="AP122" s="319"/>
      <c r="AQ122" s="319"/>
      <c r="AR122" s="319"/>
      <c r="AS122" s="319"/>
      <c r="AT122" s="319"/>
      <c r="AU122" s="319"/>
      <c r="AV122" s="319"/>
      <c r="AW122" s="319"/>
      <c r="AX122" s="319"/>
      <c r="AY122" s="319"/>
      <c r="AZ122" s="319"/>
      <c r="BA122" s="319"/>
      <c r="BB122" s="319"/>
      <c r="BC122" s="319"/>
      <c r="BD122" s="319"/>
      <c r="BE122" s="319"/>
      <c r="BF122" s="319"/>
      <c r="BG122" s="319"/>
      <c r="BH122" s="319"/>
      <c r="BI122" s="319"/>
      <c r="BJ122" s="319"/>
      <c r="BK122" s="319"/>
      <c r="BL122" s="319"/>
      <c r="BM122" s="319"/>
      <c r="BN122" s="319"/>
      <c r="BO122" s="319"/>
      <c r="BP122" s="319"/>
      <c r="BQ122" s="319"/>
      <c r="BR122" s="319"/>
      <c r="BS122" s="319"/>
      <c r="BT122" s="319"/>
      <c r="BU122" s="319"/>
      <c r="BV122" s="319"/>
      <c r="BW122" s="319"/>
      <c r="BX122" s="319"/>
      <c r="BY122" s="319"/>
      <c r="BZ122" s="319"/>
      <c r="CA122" s="319"/>
      <c r="CB122" s="319"/>
      <c r="CC122" s="319"/>
      <c r="CD122" s="319"/>
      <c r="CE122" s="319"/>
      <c r="CF122" s="319"/>
    </row>
    <row r="123" spans="1:84" ht="12.75" hidden="1" customHeight="1">
      <c r="A123" s="12"/>
      <c r="B123" s="329" t="str">
        <f>Language!C431</f>
        <v>Capacidade térmica</v>
      </c>
      <c r="C123" s="29" t="str">
        <f>IF(Unit=TRUE,R123,T123)</f>
        <v>kW</v>
      </c>
      <c r="D123" s="140">
        <f>IF(Unit=TRUE,S123,U123)</f>
        <v>0</v>
      </c>
      <c r="E123" s="40" t="str">
        <f>IF(OR(HideCode_projectType3=2,HideCode_projectType3=5),"",S123/$Q$866)</f>
        <v/>
      </c>
      <c r="F123" s="29" t="str">
        <f>IF($M$3=FALSE,"",IF(Unit=FALSE,R123,T123))</f>
        <v/>
      </c>
      <c r="G123" s="140" t="str">
        <f>IF($M$3=FALSE,"",IF(Unit=FALSE,S123,U123))</f>
        <v/>
      </c>
      <c r="H123" s="1"/>
      <c r="I123" s="1"/>
      <c r="J123" s="1"/>
      <c r="K123" s="9"/>
      <c r="L123" s="1"/>
      <c r="M123" s="319"/>
      <c r="N123" s="319"/>
      <c r="O123" s="319"/>
      <c r="P123" s="319"/>
      <c r="Q123" s="319"/>
      <c r="R123" s="319" t="str">
        <f>$R$20</f>
        <v>kW</v>
      </c>
      <c r="S123" s="476">
        <f>(D116*S120/10^6-D116/1000*3.6)*(D121)/0.0036</f>
        <v>0</v>
      </c>
      <c r="T123" s="319" t="str">
        <f>$T$77</f>
        <v>milhão Btu/h</v>
      </c>
      <c r="U123" s="476">
        <f>S123*$AA$1087</f>
        <v>0</v>
      </c>
      <c r="V123" s="319"/>
      <c r="W123" s="319"/>
      <c r="X123" s="319"/>
      <c r="Y123" s="319"/>
      <c r="Z123" s="319"/>
      <c r="AA123" s="319"/>
      <c r="AB123" s="319"/>
      <c r="AC123" s="319"/>
      <c r="AD123" s="319"/>
      <c r="AE123" s="319"/>
      <c r="AF123" s="319"/>
      <c r="AG123" s="319"/>
      <c r="AH123" s="319"/>
      <c r="AI123" s="319"/>
      <c r="AJ123" s="319"/>
      <c r="AK123" s="319"/>
      <c r="AL123" s="319"/>
      <c r="AM123" s="319"/>
      <c r="AN123" s="319"/>
      <c r="AO123" s="319">
        <v>2050036</v>
      </c>
      <c r="AP123" s="319"/>
      <c r="AQ123" s="319"/>
      <c r="AR123" s="319"/>
      <c r="AS123" s="319"/>
      <c r="AT123" s="319"/>
      <c r="AU123" s="319"/>
      <c r="AV123" s="319"/>
      <c r="AW123" s="319"/>
      <c r="AX123" s="319"/>
      <c r="AY123" s="319"/>
      <c r="AZ123" s="319"/>
      <c r="BA123" s="319"/>
      <c r="BB123" s="319"/>
      <c r="BC123" s="319"/>
      <c r="BD123" s="319"/>
      <c r="BE123" s="319"/>
      <c r="BF123" s="319"/>
      <c r="BG123" s="319"/>
      <c r="BH123" s="319"/>
      <c r="BI123" s="319"/>
      <c r="BJ123" s="319"/>
      <c r="BK123" s="319"/>
      <c r="BL123" s="319"/>
      <c r="BM123" s="319"/>
      <c r="BN123" s="319"/>
      <c r="BO123" s="319"/>
      <c r="BP123" s="319"/>
      <c r="BQ123" s="319"/>
      <c r="BR123" s="319"/>
      <c r="BS123" s="319"/>
      <c r="BT123" s="319"/>
      <c r="BU123" s="319"/>
      <c r="BV123" s="319"/>
      <c r="BW123" s="319"/>
      <c r="BX123" s="319"/>
      <c r="BY123" s="319"/>
      <c r="BZ123" s="319"/>
      <c r="CA123" s="319"/>
      <c r="CB123" s="319"/>
      <c r="CC123" s="319"/>
      <c r="CD123" s="319"/>
      <c r="CE123" s="319"/>
      <c r="CF123" s="319"/>
    </row>
    <row r="124" spans="1:84" ht="12.75" hidden="1" customHeight="1">
      <c r="A124" s="12"/>
      <c r="B124" s="28" t="str">
        <f>Language!C434</f>
        <v>Ignição do duto</v>
      </c>
      <c r="C124" s="1"/>
      <c r="D124" s="303" t="s">
        <v>6132</v>
      </c>
      <c r="E124" s="1"/>
      <c r="F124" s="1"/>
      <c r="G124" s="1"/>
      <c r="H124" s="1"/>
      <c r="I124" s="1"/>
      <c r="J124" s="1"/>
      <c r="K124" s="9"/>
      <c r="L124" s="1"/>
      <c r="M124" s="319">
        <f>IF(D124="",1,MATCH(D124,YesNo,0))</f>
        <v>2</v>
      </c>
      <c r="N124" s="319"/>
      <c r="O124" s="319" t="s">
        <v>1775</v>
      </c>
      <c r="P124" s="319"/>
      <c r="Q124" s="319"/>
      <c r="R124" s="319"/>
      <c r="S124" s="476"/>
      <c r="T124" s="319"/>
      <c r="U124" s="476"/>
      <c r="V124" s="319"/>
      <c r="W124" s="319"/>
      <c r="X124" s="319"/>
      <c r="Y124" s="319"/>
      <c r="Z124" s="319"/>
      <c r="AA124" s="319"/>
      <c r="AB124" s="319"/>
      <c r="AC124" s="319"/>
      <c r="AD124" s="319"/>
      <c r="AE124" s="319"/>
      <c r="AF124" s="319"/>
      <c r="AG124" s="319"/>
      <c r="AH124" s="319"/>
      <c r="AI124" s="319"/>
      <c r="AJ124" s="319"/>
      <c r="AK124" s="319"/>
      <c r="AL124" s="319"/>
      <c r="AM124" s="319"/>
      <c r="AN124" s="319"/>
      <c r="AO124" s="319">
        <v>2060000</v>
      </c>
      <c r="AP124" s="319"/>
      <c r="AQ124" s="319"/>
      <c r="AR124" s="319"/>
      <c r="AS124" s="319"/>
      <c r="AT124" s="319"/>
      <c r="AU124" s="319"/>
      <c r="AV124" s="319"/>
      <c r="AW124" s="319"/>
      <c r="AX124" s="319"/>
      <c r="AY124" s="319"/>
      <c r="AZ124" s="319"/>
      <c r="BA124" s="319"/>
      <c r="BB124" s="319"/>
      <c r="BC124" s="319"/>
      <c r="BD124" s="319"/>
      <c r="BE124" s="319"/>
      <c r="BF124" s="319"/>
      <c r="BG124" s="319"/>
      <c r="BH124" s="319"/>
      <c r="BI124" s="319"/>
      <c r="BJ124" s="319"/>
      <c r="BK124" s="319"/>
      <c r="BL124" s="319"/>
      <c r="BM124" s="319"/>
      <c r="BN124" s="319"/>
      <c r="BO124" s="319"/>
      <c r="BP124" s="319"/>
      <c r="BQ124" s="319"/>
      <c r="BR124" s="319"/>
      <c r="BS124" s="319"/>
      <c r="BT124" s="319"/>
      <c r="BU124" s="319"/>
      <c r="BV124" s="319"/>
      <c r="BW124" s="319"/>
      <c r="BX124" s="319"/>
      <c r="BY124" s="319"/>
      <c r="BZ124" s="319"/>
      <c r="CA124" s="319"/>
      <c r="CB124" s="319"/>
      <c r="CC124" s="319"/>
      <c r="CD124" s="319"/>
      <c r="CE124" s="319"/>
      <c r="CF124" s="319"/>
    </row>
    <row r="125" spans="1:84" ht="12.75" hidden="1" customHeight="1">
      <c r="A125" s="12"/>
      <c r="B125" s="329" t="str">
        <f>Language!C435</f>
        <v>Capacidade térmica da ignição do duto</v>
      </c>
      <c r="C125" s="303" t="s">
        <v>5700</v>
      </c>
      <c r="D125" s="395"/>
      <c r="E125" s="1"/>
      <c r="F125" s="1"/>
      <c r="G125" s="1"/>
      <c r="H125" s="1"/>
      <c r="I125" s="1"/>
      <c r="J125" s="1"/>
      <c r="K125" s="9"/>
      <c r="L125" s="1"/>
      <c r="M125" s="319"/>
      <c r="N125" s="319"/>
      <c r="O125" s="319"/>
      <c r="P125" s="319"/>
      <c r="Q125" s="319"/>
      <c r="R125" s="319" t="s">
        <v>5700</v>
      </c>
      <c r="S125" s="476">
        <f>IF(C125=$Z$1086,D125,D125/$AA$1087)</f>
        <v>0</v>
      </c>
      <c r="T125" s="319"/>
      <c r="U125" s="476"/>
      <c r="V125" s="319"/>
      <c r="W125" s="319"/>
      <c r="X125" s="319"/>
      <c r="Y125" s="319"/>
      <c r="Z125" s="319"/>
      <c r="AA125" s="319"/>
      <c r="AB125" s="319"/>
      <c r="AC125" s="319"/>
      <c r="AD125" s="319"/>
      <c r="AE125" s="319"/>
      <c r="AF125" s="319"/>
      <c r="AG125" s="319"/>
      <c r="AH125" s="319"/>
      <c r="AI125" s="319"/>
      <c r="AJ125" s="319"/>
      <c r="AK125" s="319"/>
      <c r="AL125" s="319"/>
      <c r="AM125" s="319"/>
      <c r="AN125" s="319"/>
      <c r="AO125" s="319">
        <v>2060002</v>
      </c>
      <c r="AP125" s="319"/>
      <c r="AQ125" s="319"/>
      <c r="AR125" s="319"/>
      <c r="AS125" s="319"/>
      <c r="AT125" s="319"/>
      <c r="AU125" s="319"/>
      <c r="AV125" s="319"/>
      <c r="AW125" s="319"/>
      <c r="AX125" s="319"/>
      <c r="AY125" s="319"/>
      <c r="AZ125" s="319"/>
      <c r="BA125" s="319"/>
      <c r="BB125" s="319"/>
      <c r="BC125" s="319"/>
      <c r="BD125" s="319"/>
      <c r="BE125" s="319"/>
      <c r="BF125" s="319"/>
      <c r="BG125" s="319"/>
      <c r="BH125" s="319"/>
      <c r="BI125" s="319"/>
      <c r="BJ125" s="319"/>
      <c r="BK125" s="319"/>
      <c r="BL125" s="319"/>
      <c r="BM125" s="319"/>
      <c r="BN125" s="319"/>
      <c r="BO125" s="319"/>
      <c r="BP125" s="319"/>
      <c r="BQ125" s="319"/>
      <c r="BR125" s="319"/>
      <c r="BS125" s="319"/>
      <c r="BT125" s="319"/>
      <c r="BU125" s="319"/>
      <c r="BV125" s="319"/>
      <c r="BW125" s="319"/>
      <c r="BX125" s="319"/>
      <c r="BY125" s="319"/>
      <c r="BZ125" s="319"/>
      <c r="CA125" s="319"/>
      <c r="CB125" s="319"/>
      <c r="CC125" s="319"/>
      <c r="CD125" s="319"/>
      <c r="CE125" s="319"/>
      <c r="CF125" s="319"/>
    </row>
    <row r="126" spans="1:84" ht="12.75" hidden="1" customHeight="1">
      <c r="A126" s="12"/>
      <c r="B126" s="329" t="str">
        <f>Language!C436</f>
        <v>Capacidade térmica após ignição do duto</v>
      </c>
      <c r="C126" s="29" t="str">
        <f>IF(Unit=TRUE,R126,T126)</f>
        <v>kW</v>
      </c>
      <c r="D126" s="30">
        <f>IF(Unit=TRUE,S126,U126)</f>
        <v>0</v>
      </c>
      <c r="E126" s="1"/>
      <c r="F126" s="29" t="str">
        <f>IF($M$3=FALSE,"",IF(Unit=FALSE,R126,T126))</f>
        <v/>
      </c>
      <c r="G126" s="140" t="str">
        <f>IF($M$3=FALSE,"",IF(Unit=FALSE,S126,U126))</f>
        <v/>
      </c>
      <c r="H126" s="1"/>
      <c r="I126" s="1"/>
      <c r="J126" s="1"/>
      <c r="K126" s="9"/>
      <c r="L126" s="1"/>
      <c r="M126" s="319"/>
      <c r="N126" s="319"/>
      <c r="O126" s="319"/>
      <c r="P126" s="319"/>
      <c r="Q126" s="319"/>
      <c r="R126" s="319" t="str">
        <f>$R$20</f>
        <v>kW</v>
      </c>
      <c r="S126" s="476">
        <f>S123+S125</f>
        <v>0</v>
      </c>
      <c r="T126" s="319" t="str">
        <f>$T$77</f>
        <v>milhão Btu/h</v>
      </c>
      <c r="U126" s="476">
        <f>S126*$AA$1087</f>
        <v>0</v>
      </c>
      <c r="V126" s="319"/>
      <c r="W126" s="319"/>
      <c r="X126" s="319"/>
      <c r="Y126" s="319"/>
      <c r="Z126" s="319"/>
      <c r="AA126" s="319"/>
      <c r="AB126" s="319"/>
      <c r="AC126" s="319"/>
      <c r="AD126" s="319"/>
      <c r="AE126" s="319"/>
      <c r="AF126" s="319"/>
      <c r="AG126" s="319"/>
      <c r="AH126" s="319"/>
      <c r="AI126" s="319"/>
      <c r="AJ126" s="319"/>
      <c r="AK126" s="319"/>
      <c r="AL126" s="319"/>
      <c r="AM126" s="319"/>
      <c r="AN126" s="319"/>
      <c r="AO126" s="319">
        <v>2060004</v>
      </c>
      <c r="AP126" s="319"/>
      <c r="AQ126" s="319"/>
      <c r="AR126" s="319"/>
      <c r="AS126" s="319"/>
      <c r="AT126" s="319"/>
      <c r="AU126" s="319"/>
      <c r="AV126" s="319"/>
      <c r="AW126" s="319"/>
      <c r="AX126" s="319"/>
      <c r="AY126" s="319"/>
      <c r="AZ126" s="319"/>
      <c r="BA126" s="319"/>
      <c r="BB126" s="319"/>
      <c r="BC126" s="319"/>
      <c r="BD126" s="319"/>
      <c r="BE126" s="319"/>
      <c r="BF126" s="319"/>
      <c r="BG126" s="319"/>
      <c r="BH126" s="319"/>
      <c r="BI126" s="319"/>
      <c r="BJ126" s="319"/>
      <c r="BK126" s="319"/>
      <c r="BL126" s="319"/>
      <c r="BM126" s="319"/>
      <c r="BN126" s="319"/>
      <c r="BO126" s="319"/>
      <c r="BP126" s="319"/>
      <c r="BQ126" s="319"/>
      <c r="BR126" s="319"/>
      <c r="BS126" s="319"/>
      <c r="BT126" s="319"/>
      <c r="BU126" s="319"/>
      <c r="BV126" s="319"/>
      <c r="BW126" s="319"/>
      <c r="BX126" s="319"/>
      <c r="BY126" s="319"/>
      <c r="BZ126" s="319"/>
      <c r="CA126" s="319"/>
      <c r="CB126" s="319"/>
      <c r="CC126" s="319"/>
      <c r="CD126" s="319"/>
      <c r="CE126" s="319"/>
      <c r="CF126" s="319"/>
    </row>
    <row r="127" spans="1:84" ht="12.75" hidden="1" customHeight="1">
      <c r="A127" s="12"/>
      <c r="B127" s="28" t="str">
        <f>Language!C136</f>
        <v>Turbina à vapor</v>
      </c>
      <c r="C127" s="1"/>
      <c r="D127" s="1"/>
      <c r="E127" s="1"/>
      <c r="F127" s="1"/>
      <c r="G127" s="1"/>
      <c r="H127" s="1"/>
      <c r="I127" s="1"/>
      <c r="J127" s="1"/>
      <c r="K127" s="9"/>
      <c r="L127" s="1"/>
      <c r="M127" s="319"/>
      <c r="N127" s="319"/>
      <c r="O127" s="319"/>
      <c r="P127" s="319"/>
      <c r="Q127" s="319"/>
      <c r="R127" s="319"/>
      <c r="S127" s="476"/>
      <c r="T127" s="319"/>
      <c r="U127" s="476"/>
      <c r="V127" s="319"/>
      <c r="W127" s="319"/>
      <c r="X127" s="319"/>
      <c r="Y127" s="319"/>
      <c r="Z127" s="319"/>
      <c r="AA127" s="319"/>
      <c r="AB127" s="319"/>
      <c r="AC127" s="319"/>
      <c r="AD127" s="319"/>
      <c r="AE127" s="319"/>
      <c r="AF127" s="319"/>
      <c r="AG127" s="319"/>
      <c r="AH127" s="319"/>
      <c r="AI127" s="319"/>
      <c r="AJ127" s="319"/>
      <c r="AK127" s="319"/>
      <c r="AL127" s="319"/>
      <c r="AM127" s="319"/>
      <c r="AN127" s="319"/>
      <c r="AO127" s="319">
        <v>2060006</v>
      </c>
      <c r="AP127" s="319"/>
      <c r="AQ127" s="319"/>
      <c r="AR127" s="319"/>
      <c r="AS127" s="319"/>
      <c r="AT127" s="319"/>
      <c r="AU127" s="319"/>
      <c r="AV127" s="319"/>
      <c r="AW127" s="319"/>
      <c r="AX127" s="319"/>
      <c r="AY127" s="319"/>
      <c r="AZ127" s="319"/>
      <c r="BA127" s="319"/>
      <c r="BB127" s="319"/>
      <c r="BC127" s="319"/>
      <c r="BD127" s="319"/>
      <c r="BE127" s="319"/>
      <c r="BF127" s="319"/>
      <c r="BG127" s="319"/>
      <c r="BH127" s="319"/>
      <c r="BI127" s="319"/>
      <c r="BJ127" s="319"/>
      <c r="BK127" s="319"/>
      <c r="BL127" s="319"/>
      <c r="BM127" s="319"/>
      <c r="BN127" s="319"/>
      <c r="BO127" s="319"/>
      <c r="BP127" s="319"/>
      <c r="BQ127" s="319"/>
      <c r="BR127" s="319"/>
      <c r="BS127" s="319"/>
      <c r="BT127" s="319"/>
      <c r="BU127" s="319"/>
      <c r="BV127" s="319"/>
      <c r="BW127" s="319"/>
      <c r="BX127" s="319"/>
      <c r="BY127" s="319"/>
      <c r="BZ127" s="319"/>
      <c r="CA127" s="319"/>
      <c r="CB127" s="319"/>
      <c r="CC127" s="319"/>
      <c r="CD127" s="319"/>
      <c r="CE127" s="319"/>
      <c r="CF127" s="319"/>
    </row>
    <row r="128" spans="1:84" ht="12.75" hidden="1" customHeight="1">
      <c r="A128" s="12"/>
      <c r="B128" s="329" t="str">
        <f>B85</f>
        <v>Pressão de Operação</v>
      </c>
      <c r="C128" s="303" t="s">
        <v>2791</v>
      </c>
      <c r="D128" s="307"/>
      <c r="E128" s="1"/>
      <c r="F128" s="1"/>
      <c r="G128" s="1"/>
      <c r="H128" s="1"/>
      <c r="I128" s="1"/>
      <c r="J128" s="1"/>
      <c r="K128" s="788" t="str">
        <f>IF(V128=SteamP,$G$1088,"")</f>
        <v>Pressão está fora do intervalo válido</v>
      </c>
      <c r="L128" s="1"/>
      <c r="M128" s="319"/>
      <c r="N128" s="319"/>
      <c r="O128" s="319"/>
      <c r="P128" s="319"/>
      <c r="Q128" s="319"/>
      <c r="R128" s="319" t="s">
        <v>2922</v>
      </c>
      <c r="S128" s="476">
        <f>S132-S144</f>
        <v>2464.5791646450202</v>
      </c>
      <c r="T128" s="319"/>
      <c r="U128" s="476"/>
      <c r="V128" s="476">
        <f>IF(IF(C128=$Z$1067,D128/1000,IF(C128=$Z$1068,D128/10,IF(C128=$Z$1069,(D128+$AA$1069)/$Y$1069/10,IF(C128=$Z$1070,D128/$Y$1069/10))))&lt;SteamP,SteamP,IF(C128=$Z$1067,D128/1000,IF(C128=$Z$1068,D128/10,IF(C128=$Z$1069,(D128+$AA$1069)/$Y$1069/10,IF(C128=$Z$1070,D128/$Y$1069/10)))))</f>
        <v>1.1100000000000001E-3</v>
      </c>
      <c r="W128" s="319" t="s">
        <v>3345</v>
      </c>
      <c r="X128" s="319"/>
      <c r="Y128" s="319"/>
      <c r="Z128" s="319" t="s">
        <v>2523</v>
      </c>
      <c r="AA128" s="319"/>
      <c r="AB128" s="319"/>
      <c r="AC128" s="319"/>
      <c r="AD128" s="319"/>
      <c r="AE128" s="319"/>
      <c r="AF128" s="319"/>
      <c r="AG128" s="319"/>
      <c r="AH128" s="319"/>
      <c r="AI128" s="319"/>
      <c r="AJ128" s="319"/>
      <c r="AK128" s="319"/>
      <c r="AL128" s="319"/>
      <c r="AM128" s="319"/>
      <c r="AN128" s="319"/>
      <c r="AO128" s="319">
        <v>2060008</v>
      </c>
      <c r="AP128" s="319"/>
      <c r="AQ128" s="319"/>
      <c r="AR128" s="319"/>
      <c r="AS128" s="319"/>
      <c r="AT128" s="319"/>
      <c r="AU128" s="319"/>
      <c r="AV128" s="319"/>
      <c r="AW128" s="319"/>
      <c r="AX128" s="319"/>
      <c r="AY128" s="319"/>
      <c r="AZ128" s="319"/>
      <c r="BA128" s="319"/>
      <c r="BB128" s="319"/>
      <c r="BC128" s="319"/>
      <c r="BD128" s="319"/>
      <c r="BE128" s="319"/>
      <c r="BF128" s="319"/>
      <c r="BG128" s="319"/>
      <c r="BH128" s="319"/>
      <c r="BI128" s="319"/>
      <c r="BJ128" s="319"/>
      <c r="BK128" s="319"/>
      <c r="BL128" s="319"/>
      <c r="BM128" s="319"/>
      <c r="BN128" s="319"/>
      <c r="BO128" s="319"/>
      <c r="BP128" s="319"/>
      <c r="BQ128" s="319"/>
      <c r="BR128" s="319"/>
      <c r="BS128" s="319"/>
      <c r="BT128" s="319"/>
      <c r="BU128" s="319"/>
      <c r="BV128" s="319"/>
      <c r="BW128" s="319"/>
      <c r="BX128" s="319"/>
      <c r="BY128" s="319"/>
      <c r="BZ128" s="319"/>
      <c r="CA128" s="319"/>
      <c r="CB128" s="319"/>
      <c r="CC128" s="319"/>
      <c r="CD128" s="319"/>
      <c r="CE128" s="319"/>
      <c r="CF128" s="319"/>
    </row>
    <row r="129" spans="1:84" ht="12.75" hidden="1" customHeight="1">
      <c r="A129" s="12"/>
      <c r="B129" s="329" t="str">
        <f>B86</f>
        <v>Temperatura de saturação</v>
      </c>
      <c r="C129" s="29" t="str">
        <f>IF(Unit=TRUE,R129,T129)</f>
        <v>°C</v>
      </c>
      <c r="D129" s="30">
        <f>IF(Unit=TRUE,S129,U129)</f>
        <v>8.4990758364950239</v>
      </c>
      <c r="E129" s="1"/>
      <c r="F129" s="29" t="str">
        <f>IF($M$3=FALSE,"",IF(Unit=FALSE,R129,T129))</f>
        <v/>
      </c>
      <c r="G129" s="140" t="str">
        <f>IF($M$3=FALSE,"",IF(Unit=FALSE,S129,U129))</f>
        <v/>
      </c>
      <c r="H129" s="1"/>
      <c r="I129" s="1"/>
      <c r="J129" s="1"/>
      <c r="K129" s="9"/>
      <c r="L129" s="1"/>
      <c r="M129" s="319"/>
      <c r="N129" s="319"/>
      <c r="O129" s="319"/>
      <c r="P129" s="319"/>
      <c r="Q129" s="319"/>
      <c r="R129" s="319" t="str">
        <f>$R$86</f>
        <v>°C</v>
      </c>
      <c r="S129" s="476">
        <f>V129-$AA$1090</f>
        <v>8.4990758364950239</v>
      </c>
      <c r="T129" s="319" t="str">
        <f>$T$86</f>
        <v>°F</v>
      </c>
      <c r="U129" s="476">
        <f>S129*1.8+32</f>
        <v>47.29833650569104</v>
      </c>
      <c r="V129" s="476">
        <f>Tsat(V128)</f>
        <v>281.649075836495</v>
      </c>
      <c r="W129" s="319" t="s">
        <v>143</v>
      </c>
      <c r="X129" s="319"/>
      <c r="Y129" s="319"/>
      <c r="Z129" s="319" t="s">
        <v>848</v>
      </c>
      <c r="AA129" s="319"/>
      <c r="AB129" s="319"/>
      <c r="AC129" s="319"/>
      <c r="AD129" s="319"/>
      <c r="AE129" s="319"/>
      <c r="AF129" s="319"/>
      <c r="AG129" s="319"/>
      <c r="AH129" s="319"/>
      <c r="AI129" s="319"/>
      <c r="AJ129" s="319"/>
      <c r="AK129" s="319"/>
      <c r="AL129" s="319"/>
      <c r="AM129" s="319"/>
      <c r="AN129" s="319"/>
      <c r="AO129" s="319">
        <v>2060010</v>
      </c>
      <c r="AP129" s="319"/>
      <c r="AQ129" s="319"/>
      <c r="AR129" s="319"/>
      <c r="AS129" s="319"/>
      <c r="AT129" s="319"/>
      <c r="AU129" s="319"/>
      <c r="AV129" s="319"/>
      <c r="AW129" s="319"/>
      <c r="AX129" s="319"/>
      <c r="AY129" s="319"/>
      <c r="AZ129" s="319"/>
      <c r="BA129" s="319"/>
      <c r="BB129" s="319"/>
      <c r="BC129" s="319"/>
      <c r="BD129" s="319"/>
      <c r="BE129" s="319"/>
      <c r="BF129" s="319"/>
      <c r="BG129" s="319"/>
      <c r="BH129" s="319"/>
      <c r="BI129" s="319"/>
      <c r="BJ129" s="319"/>
      <c r="BK129" s="319"/>
      <c r="BL129" s="319"/>
      <c r="BM129" s="319"/>
      <c r="BN129" s="319"/>
      <c r="BO129" s="319"/>
      <c r="BP129" s="319"/>
      <c r="BQ129" s="319"/>
      <c r="BR129" s="319"/>
      <c r="BS129" s="319"/>
      <c r="BT129" s="319"/>
      <c r="BU129" s="319"/>
      <c r="BV129" s="319"/>
      <c r="BW129" s="319"/>
      <c r="BX129" s="319"/>
      <c r="BY129" s="319"/>
      <c r="BZ129" s="319"/>
      <c r="CA129" s="319"/>
      <c r="CB129" s="319"/>
      <c r="CC129" s="319"/>
      <c r="CD129" s="319"/>
      <c r="CE129" s="319"/>
      <c r="CF129" s="319"/>
    </row>
    <row r="130" spans="1:84" ht="12.75" hidden="1" customHeight="1">
      <c r="A130" s="12"/>
      <c r="B130" s="329" t="str">
        <f>B87</f>
        <v>Temperatura superaquecimento</v>
      </c>
      <c r="C130" s="303" t="s">
        <v>5568</v>
      </c>
      <c r="D130" s="307"/>
      <c r="E130" s="1"/>
      <c r="F130" s="1"/>
      <c r="G130" s="1"/>
      <c r="H130" s="1"/>
      <c r="I130" s="1"/>
      <c r="J130" s="1"/>
      <c r="K130" s="788" t="str">
        <f>IF(S130&lt;S129,$G$1089,IF(S130&gt;800,$G$1090,""))</f>
        <v>Temp do vapor abaixo do ponto de saturação</v>
      </c>
      <c r="L130" s="1"/>
      <c r="M130" s="319"/>
      <c r="N130" s="319"/>
      <c r="O130" s="319"/>
      <c r="P130" s="319"/>
      <c r="Q130" s="319"/>
      <c r="R130" s="319" t="s">
        <v>144</v>
      </c>
      <c r="S130" s="476">
        <f>IF(C130=$Z$1107,D130,(D130-32)/1.8)</f>
        <v>0</v>
      </c>
      <c r="T130" s="319"/>
      <c r="U130" s="476"/>
      <c r="V130" s="476">
        <f>S130+$AA$1090</f>
        <v>273.14999999999998</v>
      </c>
      <c r="W130" s="319" t="s">
        <v>143</v>
      </c>
      <c r="X130" s="319"/>
      <c r="Y130" s="319"/>
      <c r="Z130" s="319" t="s">
        <v>3006</v>
      </c>
      <c r="AA130" s="319"/>
      <c r="AB130" s="319"/>
      <c r="AC130" s="319"/>
      <c r="AD130" s="319"/>
      <c r="AE130" s="319"/>
      <c r="AF130" s="319"/>
      <c r="AG130" s="319"/>
      <c r="AH130" s="319"/>
      <c r="AI130" s="319"/>
      <c r="AJ130" s="319"/>
      <c r="AK130" s="319"/>
      <c r="AL130" s="319"/>
      <c r="AM130" s="319"/>
      <c r="AN130" s="319"/>
      <c r="AO130" s="319">
        <v>2060012</v>
      </c>
      <c r="AP130" s="319"/>
      <c r="AQ130" s="319"/>
      <c r="AR130" s="319"/>
      <c r="AS130" s="319"/>
      <c r="AT130" s="319"/>
      <c r="AU130" s="319"/>
      <c r="AV130" s="319"/>
      <c r="AW130" s="319"/>
      <c r="AX130" s="319"/>
      <c r="AY130" s="319"/>
      <c r="AZ130" s="319"/>
      <c r="BA130" s="319"/>
      <c r="BB130" s="319"/>
      <c r="BC130" s="319"/>
      <c r="BD130" s="319"/>
      <c r="BE130" s="319"/>
      <c r="BF130" s="319"/>
      <c r="BG130" s="319"/>
      <c r="BH130" s="319"/>
      <c r="BI130" s="319"/>
      <c r="BJ130" s="319"/>
      <c r="BK130" s="319"/>
      <c r="BL130" s="319"/>
      <c r="BM130" s="319"/>
      <c r="BN130" s="319"/>
      <c r="BO130" s="319"/>
      <c r="BP130" s="319"/>
      <c r="BQ130" s="319"/>
      <c r="BR130" s="319"/>
      <c r="BS130" s="319"/>
      <c r="BT130" s="319"/>
      <c r="BU130" s="319"/>
      <c r="BV130" s="319"/>
      <c r="BW130" s="319"/>
      <c r="BX130" s="319"/>
      <c r="BY130" s="319"/>
      <c r="BZ130" s="319"/>
      <c r="CA130" s="319"/>
      <c r="CB130" s="319"/>
      <c r="CC130" s="319"/>
      <c r="CD130" s="319"/>
      <c r="CE130" s="319"/>
      <c r="CF130" s="319"/>
    </row>
    <row r="131" spans="1:84" ht="12.75" hidden="1" customHeight="1">
      <c r="A131" s="12"/>
      <c r="B131" s="329" t="str">
        <f>Language!C460</f>
        <v>Fluxo de vapor</v>
      </c>
      <c r="C131" s="29" t="str">
        <f t="shared" ref="C131:D133" si="4">IF(Unit=TRUE,R131,T131)</f>
        <v>kg/h</v>
      </c>
      <c r="D131" s="30">
        <f t="shared" si="4"/>
        <v>0</v>
      </c>
      <c r="E131" s="1"/>
      <c r="F131" s="29" t="str">
        <f t="shared" ref="F131:G133" si="5">IF($M$3=FALSE,"",IF(Unit=FALSE,R131,T131))</f>
        <v/>
      </c>
      <c r="G131" s="140" t="str">
        <f t="shared" si="5"/>
        <v/>
      </c>
      <c r="H131" s="1"/>
      <c r="I131" s="1"/>
      <c r="J131" s="1"/>
      <c r="K131" s="9"/>
      <c r="L131" s="1"/>
      <c r="M131" s="319"/>
      <c r="N131" s="319"/>
      <c r="O131" s="319"/>
      <c r="P131" s="319"/>
      <c r="Q131" s="319"/>
      <c r="R131" s="319" t="str">
        <f>$R$89</f>
        <v>kg/h</v>
      </c>
      <c r="S131" s="476">
        <f>IF(D124=E1096,S126*3.6/S128*1000,S123*3.6/S128*1000)</f>
        <v>0</v>
      </c>
      <c r="T131" s="319" t="str">
        <f>T89</f>
        <v>lb/h</v>
      </c>
      <c r="U131" s="476">
        <f>S131/$AA$1085</f>
        <v>0</v>
      </c>
      <c r="V131" s="476"/>
      <c r="W131" s="319"/>
      <c r="X131" s="319"/>
      <c r="Y131" s="319"/>
      <c r="Z131" s="319" t="s">
        <v>5143</v>
      </c>
      <c r="AA131" s="319"/>
      <c r="AB131" s="319"/>
      <c r="AC131" s="319"/>
      <c r="AD131" s="319"/>
      <c r="AE131" s="319"/>
      <c r="AF131" s="319"/>
      <c r="AG131" s="319"/>
      <c r="AH131" s="319"/>
      <c r="AI131" s="319"/>
      <c r="AJ131" s="319"/>
      <c r="AK131" s="319"/>
      <c r="AL131" s="319"/>
      <c r="AM131" s="319"/>
      <c r="AN131" s="319"/>
      <c r="AO131" s="319">
        <v>2060014</v>
      </c>
      <c r="AP131" s="319"/>
      <c r="AQ131" s="319"/>
      <c r="AR131" s="319"/>
      <c r="AS131" s="319"/>
      <c r="AT131" s="319"/>
      <c r="AU131" s="319"/>
      <c r="AV131" s="319"/>
      <c r="AW131" s="319"/>
      <c r="AX131" s="319"/>
      <c r="AY131" s="319"/>
      <c r="AZ131" s="319"/>
      <c r="BA131" s="319"/>
      <c r="BB131" s="319"/>
      <c r="BC131" s="319"/>
      <c r="BD131" s="319"/>
      <c r="BE131" s="319"/>
      <c r="BF131" s="319"/>
      <c r="BG131" s="319"/>
      <c r="BH131" s="319"/>
      <c r="BI131" s="319"/>
      <c r="BJ131" s="319"/>
      <c r="BK131" s="319"/>
      <c r="BL131" s="319"/>
      <c r="BM131" s="319"/>
      <c r="BN131" s="319"/>
      <c r="BO131" s="319"/>
      <c r="BP131" s="319"/>
      <c r="BQ131" s="319"/>
      <c r="BR131" s="319"/>
      <c r="BS131" s="319"/>
      <c r="BT131" s="319"/>
      <c r="BU131" s="319"/>
      <c r="BV131" s="319"/>
      <c r="BW131" s="319"/>
      <c r="BX131" s="319"/>
      <c r="BY131" s="319"/>
      <c r="BZ131" s="319"/>
      <c r="CA131" s="319"/>
      <c r="CB131" s="319"/>
      <c r="CC131" s="319"/>
      <c r="CD131" s="319"/>
      <c r="CE131" s="319"/>
      <c r="CF131" s="319"/>
    </row>
    <row r="132" spans="1:84" ht="12.75" hidden="1" customHeight="1">
      <c r="A132" s="12"/>
      <c r="B132" s="329" t="str">
        <f>Language!C437</f>
        <v>Entalpia</v>
      </c>
      <c r="C132" s="29" t="str">
        <f t="shared" si="4"/>
        <v>kJ/kg</v>
      </c>
      <c r="D132" s="30">
        <f t="shared" si="4"/>
        <v>2500.3977354876192</v>
      </c>
      <c r="E132" s="1"/>
      <c r="F132" s="29" t="str">
        <f t="shared" si="5"/>
        <v/>
      </c>
      <c r="G132" s="140" t="str">
        <f t="shared" si="5"/>
        <v/>
      </c>
      <c r="H132" s="1"/>
      <c r="I132" s="1"/>
      <c r="J132" s="1"/>
      <c r="K132" s="9"/>
      <c r="L132" s="1"/>
      <c r="M132" s="319"/>
      <c r="N132" s="319"/>
      <c r="O132" s="319"/>
      <c r="P132" s="319"/>
      <c r="Q132" s="319"/>
      <c r="R132" s="319" t="str">
        <f>Language!C1359</f>
        <v>kJ/kg</v>
      </c>
      <c r="S132" s="476">
        <f>V132</f>
        <v>2500.3977354876192</v>
      </c>
      <c r="T132" s="319" t="str">
        <f>Language!C1325</f>
        <v>Btu/lb</v>
      </c>
      <c r="U132" s="476">
        <f>S132*$AA$1073</f>
        <v>1074.9775303042218</v>
      </c>
      <c r="V132" s="476">
        <f>EnthalpyV(V128,V130)</f>
        <v>2500.3977354876192</v>
      </c>
      <c r="W132" s="319" t="s">
        <v>2922</v>
      </c>
      <c r="X132" s="319"/>
      <c r="Y132" s="319"/>
      <c r="Z132" s="319" t="s">
        <v>2002</v>
      </c>
      <c r="AA132" s="319"/>
      <c r="AB132" s="319"/>
      <c r="AC132" s="319"/>
      <c r="AD132" s="319"/>
      <c r="AE132" s="319"/>
      <c r="AF132" s="319"/>
      <c r="AG132" s="319"/>
      <c r="AH132" s="319"/>
      <c r="AI132" s="319"/>
      <c r="AJ132" s="319"/>
      <c r="AK132" s="319"/>
      <c r="AL132" s="319"/>
      <c r="AM132" s="319"/>
      <c r="AN132" s="319"/>
      <c r="AO132" s="319">
        <v>2060018</v>
      </c>
      <c r="AP132" s="319"/>
      <c r="AQ132" s="319"/>
      <c r="AR132" s="319"/>
      <c r="AS132" s="319"/>
      <c r="AT132" s="319"/>
      <c r="AU132" s="319"/>
      <c r="AV132" s="319"/>
      <c r="AW132" s="319"/>
      <c r="AX132" s="319"/>
      <c r="AY132" s="319"/>
      <c r="AZ132" s="319"/>
      <c r="BA132" s="319"/>
      <c r="BB132" s="319"/>
      <c r="BC132" s="319"/>
      <c r="BD132" s="319"/>
      <c r="BE132" s="319"/>
      <c r="BF132" s="319"/>
      <c r="BG132" s="319"/>
      <c r="BH132" s="319"/>
      <c r="BI132" s="319"/>
      <c r="BJ132" s="319"/>
      <c r="BK132" s="319"/>
      <c r="BL132" s="319"/>
      <c r="BM132" s="319"/>
      <c r="BN132" s="319"/>
      <c r="BO132" s="319"/>
      <c r="BP132" s="319"/>
      <c r="BQ132" s="319"/>
      <c r="BR132" s="319"/>
      <c r="BS132" s="319"/>
      <c r="BT132" s="319"/>
      <c r="BU132" s="319"/>
      <c r="BV132" s="319"/>
      <c r="BW132" s="319"/>
      <c r="BX132" s="319"/>
      <c r="BY132" s="319"/>
      <c r="BZ132" s="319"/>
      <c r="CA132" s="319"/>
      <c r="CB132" s="319"/>
      <c r="CC132" s="319"/>
      <c r="CD132" s="319"/>
      <c r="CE132" s="319"/>
      <c r="CF132" s="319"/>
    </row>
    <row r="133" spans="1:84" ht="12.75" hidden="1" customHeight="1">
      <c r="A133" s="12"/>
      <c r="B133" s="329" t="str">
        <f>Language!C438</f>
        <v>Entropia</v>
      </c>
      <c r="C133" s="29" t="str">
        <f t="shared" si="4"/>
        <v>kJ/kg/K</v>
      </c>
      <c r="D133" s="100">
        <f t="shared" si="4"/>
        <v>8.8787178819601049</v>
      </c>
      <c r="E133" s="1"/>
      <c r="F133" s="29" t="str">
        <f t="shared" si="5"/>
        <v/>
      </c>
      <c r="G133" s="140" t="str">
        <f t="shared" si="5"/>
        <v/>
      </c>
      <c r="H133" s="1"/>
      <c r="I133" s="1"/>
      <c r="J133" s="1"/>
      <c r="K133" s="9"/>
      <c r="L133" s="1"/>
      <c r="M133" s="319"/>
      <c r="N133" s="319"/>
      <c r="O133" s="319"/>
      <c r="P133" s="319"/>
      <c r="Q133" s="319"/>
      <c r="R133" s="319" t="str">
        <f>Language!C1360</f>
        <v>kJ/kg/K</v>
      </c>
      <c r="S133" s="476">
        <f>V135</f>
        <v>8.8787178819601049</v>
      </c>
      <c r="T133" s="319" t="str">
        <f>Language!C1326</f>
        <v>Btu/lb/°R</v>
      </c>
      <c r="U133" s="476">
        <f>S133*$AA$1075</f>
        <v>2.1206453334193434</v>
      </c>
      <c r="V133" s="476"/>
      <c r="W133" s="319"/>
      <c r="X133" s="319"/>
      <c r="Y133" s="319"/>
      <c r="Z133" s="319" t="s">
        <v>724</v>
      </c>
      <c r="AA133" s="319"/>
      <c r="AB133" s="319"/>
      <c r="AC133" s="319"/>
      <c r="AD133" s="319"/>
      <c r="AE133" s="319"/>
      <c r="AF133" s="319"/>
      <c r="AG133" s="319"/>
      <c r="AH133" s="319"/>
      <c r="AI133" s="319"/>
      <c r="AJ133" s="319"/>
      <c r="AK133" s="319"/>
      <c r="AL133" s="319"/>
      <c r="AM133" s="319"/>
      <c r="AN133" s="319"/>
      <c r="AO133" s="319">
        <v>2060020</v>
      </c>
      <c r="AP133" s="319"/>
      <c r="AQ133" s="319"/>
      <c r="AR133" s="319"/>
      <c r="AS133" s="319"/>
      <c r="AT133" s="319"/>
      <c r="AU133" s="319"/>
      <c r="AV133" s="319"/>
      <c r="AW133" s="319"/>
      <c r="AX133" s="319"/>
      <c r="AY133" s="319"/>
      <c r="AZ133" s="319"/>
      <c r="BA133" s="319"/>
      <c r="BB133" s="319"/>
      <c r="BC133" s="319"/>
      <c r="BD133" s="319"/>
      <c r="BE133" s="319"/>
      <c r="BF133" s="319"/>
      <c r="BG133" s="319"/>
      <c r="BH133" s="319"/>
      <c r="BI133" s="319"/>
      <c r="BJ133" s="319"/>
      <c r="BK133" s="319"/>
      <c r="BL133" s="319"/>
      <c r="BM133" s="319"/>
      <c r="BN133" s="319"/>
      <c r="BO133" s="319"/>
      <c r="BP133" s="319"/>
      <c r="BQ133" s="319"/>
      <c r="BR133" s="319"/>
      <c r="BS133" s="319"/>
      <c r="BT133" s="319"/>
      <c r="BU133" s="319"/>
      <c r="BV133" s="319"/>
      <c r="BW133" s="319"/>
      <c r="BX133" s="319"/>
      <c r="BY133" s="319"/>
      <c r="BZ133" s="319"/>
      <c r="CA133" s="319"/>
      <c r="CB133" s="319"/>
      <c r="CC133" s="319"/>
      <c r="CD133" s="319"/>
      <c r="CE133" s="319"/>
      <c r="CF133" s="319"/>
    </row>
    <row r="134" spans="1:84" ht="12.75" hidden="1" customHeight="1">
      <c r="A134" s="12"/>
      <c r="B134" s="28" t="str">
        <f>Language!C439</f>
        <v>Porta de extração</v>
      </c>
      <c r="C134" s="1"/>
      <c r="D134" s="303" t="s">
        <v>6132</v>
      </c>
      <c r="E134" s="1"/>
      <c r="F134" s="1"/>
      <c r="G134" s="1"/>
      <c r="H134" s="1"/>
      <c r="I134" s="1"/>
      <c r="J134" s="1"/>
      <c r="K134" s="9"/>
      <c r="L134" s="1"/>
      <c r="M134" s="319">
        <f>IF(D134="",1,MATCH(D134,YesNo,0))</f>
        <v>2</v>
      </c>
      <c r="N134" s="319"/>
      <c r="O134" s="319" t="s">
        <v>3852</v>
      </c>
      <c r="P134" s="319"/>
      <c r="Q134" s="319"/>
      <c r="R134" s="319"/>
      <c r="S134" s="476"/>
      <c r="T134" s="319"/>
      <c r="U134" s="476"/>
      <c r="V134" s="476"/>
      <c r="W134" s="319"/>
      <c r="X134" s="319"/>
      <c r="Y134" s="319"/>
      <c r="Z134" s="319"/>
      <c r="AA134" s="319"/>
      <c r="AB134" s="319"/>
      <c r="AC134" s="319"/>
      <c r="AD134" s="319"/>
      <c r="AE134" s="319"/>
      <c r="AF134" s="319"/>
      <c r="AG134" s="319"/>
      <c r="AH134" s="319"/>
      <c r="AI134" s="319"/>
      <c r="AJ134" s="319"/>
      <c r="AK134" s="319"/>
      <c r="AL134" s="319"/>
      <c r="AM134" s="319"/>
      <c r="AN134" s="319"/>
      <c r="AO134" s="319">
        <v>2060022</v>
      </c>
      <c r="AP134" s="319"/>
      <c r="AQ134" s="319"/>
      <c r="AR134" s="319"/>
      <c r="AS134" s="319"/>
      <c r="AT134" s="319"/>
      <c r="AU134" s="319"/>
      <c r="AV134" s="319"/>
      <c r="AW134" s="319"/>
      <c r="AX134" s="319"/>
      <c r="AY134" s="319"/>
      <c r="AZ134" s="319"/>
      <c r="BA134" s="319"/>
      <c r="BB134" s="319"/>
      <c r="BC134" s="319"/>
      <c r="BD134" s="319"/>
      <c r="BE134" s="319"/>
      <c r="BF134" s="319"/>
      <c r="BG134" s="319"/>
      <c r="BH134" s="319"/>
      <c r="BI134" s="319"/>
      <c r="BJ134" s="319"/>
      <c r="BK134" s="319"/>
      <c r="BL134" s="319"/>
      <c r="BM134" s="319"/>
      <c r="BN134" s="319"/>
      <c r="BO134" s="319"/>
      <c r="BP134" s="319"/>
      <c r="BQ134" s="319"/>
      <c r="BR134" s="319"/>
      <c r="BS134" s="319"/>
      <c r="BT134" s="319"/>
      <c r="BU134" s="319"/>
      <c r="BV134" s="319"/>
      <c r="BW134" s="319"/>
      <c r="BX134" s="319"/>
      <c r="BY134" s="319"/>
      <c r="BZ134" s="319"/>
      <c r="CA134" s="319"/>
      <c r="CB134" s="319"/>
      <c r="CC134" s="319"/>
      <c r="CD134" s="319"/>
      <c r="CE134" s="319"/>
      <c r="CF134" s="319"/>
    </row>
    <row r="135" spans="1:84" ht="12.75" hidden="1" customHeight="1">
      <c r="A135" s="12"/>
      <c r="B135" s="329" t="str">
        <f>Language!C440</f>
        <v>Extração máxima</v>
      </c>
      <c r="C135" s="29" t="str">
        <f>$T$35</f>
        <v>%</v>
      </c>
      <c r="D135" s="422"/>
      <c r="E135" s="1"/>
      <c r="F135" s="1"/>
      <c r="G135" s="1"/>
      <c r="H135" s="1"/>
      <c r="I135" s="1"/>
      <c r="J135" s="1"/>
      <c r="K135" s="9"/>
      <c r="L135" s="1"/>
      <c r="M135" s="319"/>
      <c r="N135" s="319"/>
      <c r="O135" s="319"/>
      <c r="P135" s="319"/>
      <c r="Q135" s="319"/>
      <c r="R135" s="319" t="s">
        <v>2153</v>
      </c>
      <c r="S135" s="476">
        <f>IF(HideCodeES_Extract_GTCC1=1,D135,0)</f>
        <v>0</v>
      </c>
      <c r="T135" s="319"/>
      <c r="U135" s="476"/>
      <c r="V135" s="476">
        <f>entropyV(V128,V130)</f>
        <v>8.8787178819601049</v>
      </c>
      <c r="W135" s="319" t="s">
        <v>2923</v>
      </c>
      <c r="X135" s="319"/>
      <c r="Y135" s="319"/>
      <c r="Z135" s="319" t="s">
        <v>1540</v>
      </c>
      <c r="AA135" s="319"/>
      <c r="AB135" s="319"/>
      <c r="AC135" s="319"/>
      <c r="AD135" s="319"/>
      <c r="AE135" s="319"/>
      <c r="AF135" s="319"/>
      <c r="AG135" s="319"/>
      <c r="AH135" s="319"/>
      <c r="AI135" s="319"/>
      <c r="AJ135" s="319"/>
      <c r="AK135" s="319"/>
      <c r="AL135" s="319"/>
      <c r="AM135" s="319"/>
      <c r="AN135" s="319"/>
      <c r="AO135" s="319">
        <v>2060024</v>
      </c>
      <c r="AP135" s="319"/>
      <c r="AQ135" s="319"/>
      <c r="AR135" s="319"/>
      <c r="AS135" s="319"/>
      <c r="AT135" s="319"/>
      <c r="AU135" s="319"/>
      <c r="AV135" s="319"/>
      <c r="AW135" s="319"/>
      <c r="AX135" s="319"/>
      <c r="AY135" s="319"/>
      <c r="AZ135" s="319"/>
      <c r="BA135" s="319"/>
      <c r="BB135" s="319"/>
      <c r="BC135" s="319"/>
      <c r="BD135" s="319"/>
      <c r="BE135" s="319"/>
      <c r="BF135" s="319"/>
      <c r="BG135" s="319"/>
      <c r="BH135" s="319"/>
      <c r="BI135" s="319"/>
      <c r="BJ135" s="319"/>
      <c r="BK135" s="319"/>
      <c r="BL135" s="319"/>
      <c r="BM135" s="319"/>
      <c r="BN135" s="319"/>
      <c r="BO135" s="319"/>
      <c r="BP135" s="319"/>
      <c r="BQ135" s="319"/>
      <c r="BR135" s="319"/>
      <c r="BS135" s="319"/>
      <c r="BT135" s="319"/>
      <c r="BU135" s="319"/>
      <c r="BV135" s="319"/>
      <c r="BW135" s="319"/>
      <c r="BX135" s="319"/>
      <c r="BY135" s="319"/>
      <c r="BZ135" s="319"/>
      <c r="CA135" s="319"/>
      <c r="CB135" s="319"/>
      <c r="CC135" s="319"/>
      <c r="CD135" s="319"/>
      <c r="CE135" s="319"/>
      <c r="CF135" s="319"/>
    </row>
    <row r="136" spans="1:84" ht="12.75" hidden="1" customHeight="1">
      <c r="A136" s="12"/>
      <c r="B136" s="329" t="str">
        <f>Language!C441</f>
        <v>Extração</v>
      </c>
      <c r="C136" s="29" t="str">
        <f>IF(Unit=TRUE,R136,T136)</f>
        <v>kg/h</v>
      </c>
      <c r="D136" s="30">
        <f>IF(Unit=TRUE,S136,U136)</f>
        <v>0</v>
      </c>
      <c r="E136" s="1"/>
      <c r="F136" s="29" t="str">
        <f>IF($M$3=FALSE,"",IF(Unit=FALSE,R136,T136))</f>
        <v/>
      </c>
      <c r="G136" s="140" t="str">
        <f>IF($M$3=FALSE,"",IF(Unit=FALSE,S136,U136))</f>
        <v/>
      </c>
      <c r="H136" s="1"/>
      <c r="I136" s="1"/>
      <c r="J136" s="1"/>
      <c r="K136" s="9"/>
      <c r="L136" s="1"/>
      <c r="M136" s="319"/>
      <c r="N136" s="319"/>
      <c r="O136" s="319"/>
      <c r="P136" s="319"/>
      <c r="Q136" s="319"/>
      <c r="R136" s="319" t="str">
        <f>$R$89</f>
        <v>kg/h</v>
      </c>
      <c r="S136" s="476">
        <f>S135*S131</f>
        <v>0</v>
      </c>
      <c r="T136" s="319" t="str">
        <f>$T$89</f>
        <v>lb/h</v>
      </c>
      <c r="U136" s="476">
        <f>S136/$AA$1085</f>
        <v>0</v>
      </c>
      <c r="V136" s="476"/>
      <c r="W136" s="319"/>
      <c r="X136" s="319"/>
      <c r="Y136" s="319"/>
      <c r="Z136" s="319"/>
      <c r="AA136" s="319"/>
      <c r="AB136" s="319"/>
      <c r="AC136" s="319"/>
      <c r="AD136" s="319"/>
      <c r="AE136" s="319"/>
      <c r="AF136" s="319"/>
      <c r="AG136" s="319"/>
      <c r="AH136" s="319"/>
      <c r="AI136" s="319"/>
      <c r="AJ136" s="319"/>
      <c r="AK136" s="319"/>
      <c r="AL136" s="319"/>
      <c r="AM136" s="319"/>
      <c r="AN136" s="319"/>
      <c r="AO136" s="319">
        <v>2060026</v>
      </c>
      <c r="AP136" s="319"/>
      <c r="AQ136" s="319"/>
      <c r="AR136" s="319"/>
      <c r="AS136" s="319"/>
      <c r="AT136" s="319"/>
      <c r="AU136" s="319"/>
      <c r="AV136" s="319"/>
      <c r="AW136" s="319"/>
      <c r="AX136" s="319"/>
      <c r="AY136" s="319"/>
      <c r="AZ136" s="319"/>
      <c r="BA136" s="319"/>
      <c r="BB136" s="319"/>
      <c r="BC136" s="319"/>
      <c r="BD136" s="319"/>
      <c r="BE136" s="319"/>
      <c r="BF136" s="319"/>
      <c r="BG136" s="319"/>
      <c r="BH136" s="319"/>
      <c r="BI136" s="319"/>
      <c r="BJ136" s="319"/>
      <c r="BK136" s="319"/>
      <c r="BL136" s="319"/>
      <c r="BM136" s="319"/>
      <c r="BN136" s="319"/>
      <c r="BO136" s="319"/>
      <c r="BP136" s="319"/>
      <c r="BQ136" s="319"/>
      <c r="BR136" s="319"/>
      <c r="BS136" s="319"/>
      <c r="BT136" s="319"/>
      <c r="BU136" s="319"/>
      <c r="BV136" s="319"/>
      <c r="BW136" s="319"/>
      <c r="BX136" s="319"/>
      <c r="BY136" s="319"/>
      <c r="BZ136" s="319"/>
      <c r="CA136" s="319"/>
      <c r="CB136" s="319"/>
      <c r="CC136" s="319"/>
      <c r="CD136" s="319"/>
      <c r="CE136" s="319"/>
      <c r="CF136" s="319"/>
    </row>
    <row r="137" spans="1:84" ht="12.75" hidden="1" customHeight="1">
      <c r="A137" s="12"/>
      <c r="B137" s="329" t="str">
        <f>Language!C442</f>
        <v>Pressão da extração</v>
      </c>
      <c r="C137" s="303" t="s">
        <v>741</v>
      </c>
      <c r="D137" s="307"/>
      <c r="E137" s="1"/>
      <c r="F137" s="1"/>
      <c r="G137" s="1"/>
      <c r="H137" s="1"/>
      <c r="I137" s="1"/>
      <c r="J137" s="1"/>
      <c r="K137" s="788" t="str">
        <f>IF(V137=SteamP,$G$1088,IF(V137&lt;=V142,Language!C485,""))</f>
        <v>Pressão está fora do intervalo válido</v>
      </c>
      <c r="L137" s="1"/>
      <c r="M137" s="319"/>
      <c r="N137" s="319"/>
      <c r="O137" s="319"/>
      <c r="P137" s="319"/>
      <c r="Q137" s="319"/>
      <c r="R137" s="319"/>
      <c r="S137" s="476"/>
      <c r="T137" s="319"/>
      <c r="U137" s="476"/>
      <c r="V137" s="476">
        <f>IF(IF(C137=$Z$1061,D137/1000,IF(C137=$Z$1062,(D137+$AA$1069)/$Y$1069/10,IF(C137=$Z$1063,D137/$Y$1069/10,IF(C137=$Z$1064,D137/$AA$1064,D137/$AA$1065/10))))&lt;SteamP,SteamP,IF(C137=$Z$1061,D137/1000,IF(C137=$Z$1062,(D137+$AA$1069)/$Y$1069/10,IF(C137=$Z$1063,D137/$Y$1069/10,IF(C137=$Z$1064,D137/$AA$1064,D137/$AA$1065/10)))))</f>
        <v>1.1100000000000001E-3</v>
      </c>
      <c r="W137" s="319" t="s">
        <v>3345</v>
      </c>
      <c r="X137" s="319"/>
      <c r="Y137" s="319"/>
      <c r="Z137" s="319" t="s">
        <v>2122</v>
      </c>
      <c r="AA137" s="319"/>
      <c r="AB137" s="319"/>
      <c r="AC137" s="319"/>
      <c r="AD137" s="319"/>
      <c r="AE137" s="319"/>
      <c r="AF137" s="319"/>
      <c r="AG137" s="319"/>
      <c r="AH137" s="319"/>
      <c r="AI137" s="319"/>
      <c r="AJ137" s="319"/>
      <c r="AK137" s="319"/>
      <c r="AL137" s="319"/>
      <c r="AM137" s="319"/>
      <c r="AN137" s="319"/>
      <c r="AO137" s="319">
        <v>2060028</v>
      </c>
      <c r="AP137" s="319"/>
      <c r="AQ137" s="319"/>
      <c r="AR137" s="319"/>
      <c r="AS137" s="319"/>
      <c r="AT137" s="319"/>
      <c r="AU137" s="319"/>
      <c r="AV137" s="319"/>
      <c r="AW137" s="319"/>
      <c r="AX137" s="319"/>
      <c r="AY137" s="319"/>
      <c r="AZ137" s="319"/>
      <c r="BA137" s="319"/>
      <c r="BB137" s="319"/>
      <c r="BC137" s="319"/>
      <c r="BD137" s="319"/>
      <c r="BE137" s="319"/>
      <c r="BF137" s="319"/>
      <c r="BG137" s="319"/>
      <c r="BH137" s="319"/>
      <c r="BI137" s="319"/>
      <c r="BJ137" s="319"/>
      <c r="BK137" s="319"/>
      <c r="BL137" s="319"/>
      <c r="BM137" s="319"/>
      <c r="BN137" s="319"/>
      <c r="BO137" s="319"/>
      <c r="BP137" s="319"/>
      <c r="BQ137" s="319"/>
      <c r="BR137" s="319"/>
      <c r="BS137" s="319"/>
      <c r="BT137" s="319"/>
      <c r="BU137" s="319"/>
      <c r="BV137" s="319"/>
      <c r="BW137" s="319"/>
      <c r="BX137" s="319"/>
      <c r="BY137" s="319"/>
      <c r="BZ137" s="319"/>
      <c r="CA137" s="319"/>
      <c r="CB137" s="319"/>
      <c r="CC137" s="319"/>
      <c r="CD137" s="319"/>
      <c r="CE137" s="319"/>
      <c r="CF137" s="319"/>
    </row>
    <row r="138" spans="1:84" ht="12.75" hidden="1" customHeight="1">
      <c r="A138" s="12"/>
      <c r="B138" s="329" t="str">
        <f>Language!C443</f>
        <v>Temperatura</v>
      </c>
      <c r="C138" s="29" t="str">
        <f>IF(Unit=TRUE,R138,T138)</f>
        <v>°C</v>
      </c>
      <c r="D138" s="30">
        <f>IF(Unit=TRUE,S138,U138)</f>
        <v>8.4990758364950239</v>
      </c>
      <c r="E138" s="1"/>
      <c r="F138" s="29" t="str">
        <f>IF($M$3=FALSE,"",IF(Unit=FALSE,R138,T138))</f>
        <v/>
      </c>
      <c r="G138" s="140" t="str">
        <f>IF($M$3=FALSE,"",IF(Unit=FALSE,S138,U138))</f>
        <v/>
      </c>
      <c r="H138" s="1"/>
      <c r="I138" s="1"/>
      <c r="J138" s="1"/>
      <c r="K138" s="9"/>
      <c r="L138" s="1"/>
      <c r="M138" s="319"/>
      <c r="N138" s="319"/>
      <c r="O138" s="319"/>
      <c r="P138" s="319"/>
      <c r="Q138" s="319"/>
      <c r="R138" s="319" t="str">
        <f>$R$86</f>
        <v>°C</v>
      </c>
      <c r="S138" s="476">
        <f>V138-$AA$1090</f>
        <v>8.4990758364950239</v>
      </c>
      <c r="T138" s="319" t="str">
        <f>$T$86</f>
        <v>°F</v>
      </c>
      <c r="U138" s="476">
        <f>S138*1.8+32</f>
        <v>47.29833650569104</v>
      </c>
      <c r="V138" s="476">
        <f>Tsat(V137)</f>
        <v>281.649075836495</v>
      </c>
      <c r="W138" s="319" t="s">
        <v>143</v>
      </c>
      <c r="X138" s="319"/>
      <c r="Y138" s="319"/>
      <c r="Z138" s="319"/>
      <c r="AA138" s="319"/>
      <c r="AB138" s="319"/>
      <c r="AC138" s="319"/>
      <c r="AD138" s="319"/>
      <c r="AE138" s="319"/>
      <c r="AF138" s="319"/>
      <c r="AG138" s="319"/>
      <c r="AH138" s="319"/>
      <c r="AI138" s="319"/>
      <c r="AJ138" s="319"/>
      <c r="AK138" s="319"/>
      <c r="AL138" s="319"/>
      <c r="AM138" s="319"/>
      <c r="AN138" s="319"/>
      <c r="AO138" s="319">
        <v>2060030</v>
      </c>
      <c r="AP138" s="319"/>
      <c r="AQ138" s="319"/>
      <c r="AR138" s="319"/>
      <c r="AS138" s="319"/>
      <c r="AT138" s="319"/>
      <c r="AU138" s="319"/>
      <c r="AV138" s="319"/>
      <c r="AW138" s="319"/>
      <c r="AX138" s="319"/>
      <c r="AY138" s="319"/>
      <c r="AZ138" s="319"/>
      <c r="BA138" s="319"/>
      <c r="BB138" s="319"/>
      <c r="BC138" s="319"/>
      <c r="BD138" s="319"/>
      <c r="BE138" s="319"/>
      <c r="BF138" s="319"/>
      <c r="BG138" s="319"/>
      <c r="BH138" s="319"/>
      <c r="BI138" s="319"/>
      <c r="BJ138" s="319"/>
      <c r="BK138" s="319"/>
      <c r="BL138" s="319"/>
      <c r="BM138" s="319"/>
      <c r="BN138" s="319"/>
      <c r="BO138" s="319"/>
      <c r="BP138" s="319"/>
      <c r="BQ138" s="319"/>
      <c r="BR138" s="319"/>
      <c r="BS138" s="319"/>
      <c r="BT138" s="319"/>
      <c r="BU138" s="319"/>
      <c r="BV138" s="319"/>
      <c r="BW138" s="319"/>
      <c r="BX138" s="319"/>
      <c r="BY138" s="319"/>
      <c r="BZ138" s="319"/>
      <c r="CA138" s="319"/>
      <c r="CB138" s="319"/>
      <c r="CC138" s="319"/>
      <c r="CD138" s="319"/>
      <c r="CE138" s="319"/>
      <c r="CF138" s="319"/>
    </row>
    <row r="139" spans="1:84" ht="12.75" hidden="1" customHeight="1">
      <c r="A139" s="12"/>
      <c r="B139" s="329" t="str">
        <f>Language!C444</f>
        <v>Qualidade da mistura</v>
      </c>
      <c r="C139" s="1"/>
      <c r="D139" s="100">
        <f>V139</f>
        <v>0.9934117547612823</v>
      </c>
      <c r="E139" s="1"/>
      <c r="F139" s="1"/>
      <c r="G139" s="1"/>
      <c r="H139" s="1"/>
      <c r="I139" s="1"/>
      <c r="J139" s="1"/>
      <c r="K139" s="788" t="str">
        <f>IF(D139&lt;1,$G$1091,"")</f>
        <v>Vapor está húmido</v>
      </c>
      <c r="L139" s="1"/>
      <c r="M139" s="319"/>
      <c r="N139" s="319"/>
      <c r="O139" s="319"/>
      <c r="P139" s="319"/>
      <c r="Q139" s="319"/>
      <c r="R139" s="319"/>
      <c r="S139" s="476"/>
      <c r="T139" s="319"/>
      <c r="U139" s="476"/>
      <c r="V139" s="476">
        <f>(entropyV(V128,V130)-entropyF(V137,V138))/(entropyV(V137,V138)-entropyF(V137,V138))</f>
        <v>0.9934117547612823</v>
      </c>
      <c r="W139" s="319"/>
      <c r="X139" s="319"/>
      <c r="Y139" s="319"/>
      <c r="Z139" s="319"/>
      <c r="AA139" s="319"/>
      <c r="AB139" s="319"/>
      <c r="AC139" s="319"/>
      <c r="AD139" s="319"/>
      <c r="AE139" s="319"/>
      <c r="AF139" s="319"/>
      <c r="AG139" s="319"/>
      <c r="AH139" s="319"/>
      <c r="AI139" s="319"/>
      <c r="AJ139" s="319"/>
      <c r="AK139" s="319"/>
      <c r="AL139" s="319"/>
      <c r="AM139" s="319"/>
      <c r="AN139" s="319"/>
      <c r="AO139" s="319">
        <v>2060032</v>
      </c>
      <c r="AP139" s="319"/>
      <c r="AQ139" s="319"/>
      <c r="AR139" s="319"/>
      <c r="AS139" s="319"/>
      <c r="AT139" s="319"/>
      <c r="AU139" s="319"/>
      <c r="AV139" s="319"/>
      <c r="AW139" s="319"/>
      <c r="AX139" s="319"/>
      <c r="AY139" s="319"/>
      <c r="AZ139" s="319"/>
      <c r="BA139" s="319"/>
      <c r="BB139" s="319"/>
      <c r="BC139" s="319"/>
      <c r="BD139" s="319"/>
      <c r="BE139" s="319"/>
      <c r="BF139" s="319"/>
      <c r="BG139" s="319"/>
      <c r="BH139" s="319"/>
      <c r="BI139" s="319"/>
      <c r="BJ139" s="319"/>
      <c r="BK139" s="319"/>
      <c r="BL139" s="319"/>
      <c r="BM139" s="319"/>
      <c r="BN139" s="319"/>
      <c r="BO139" s="319"/>
      <c r="BP139" s="319"/>
      <c r="BQ139" s="319"/>
      <c r="BR139" s="319"/>
      <c r="BS139" s="319"/>
      <c r="BT139" s="319"/>
      <c r="BU139" s="319"/>
      <c r="BV139" s="319"/>
      <c r="BW139" s="319"/>
      <c r="BX139" s="319"/>
      <c r="BY139" s="319"/>
      <c r="BZ139" s="319"/>
      <c r="CA139" s="319"/>
      <c r="CB139" s="319"/>
      <c r="CC139" s="319"/>
      <c r="CD139" s="319"/>
      <c r="CE139" s="319"/>
      <c r="CF139" s="319"/>
    </row>
    <row r="140" spans="1:84" ht="12.75" hidden="1" customHeight="1">
      <c r="A140" s="12"/>
      <c r="B140" s="329" t="str">
        <f>B132</f>
        <v>Entalpia</v>
      </c>
      <c r="C140" s="29" t="str">
        <f>IF(Unit=TRUE,R140,T140)</f>
        <v>kJ/kg</v>
      </c>
      <c r="D140" s="30">
        <f>IF(Unit=TRUE,S140,U140)</f>
        <v>2500.1495435522315</v>
      </c>
      <c r="E140" s="1"/>
      <c r="F140" s="29" t="str">
        <f>IF($M$3=FALSE,"",IF(Unit=FALSE,R140,T140))</f>
        <v/>
      </c>
      <c r="G140" s="140" t="str">
        <f>IF($M$3=FALSE,"",IF(Unit=FALSE,S140,U140))</f>
        <v/>
      </c>
      <c r="H140" s="1"/>
      <c r="I140" s="1"/>
      <c r="J140" s="1"/>
      <c r="K140" s="9"/>
      <c r="L140" s="1"/>
      <c r="M140" s="319"/>
      <c r="N140" s="319"/>
      <c r="O140" s="319"/>
      <c r="P140" s="319"/>
      <c r="Q140" s="319"/>
      <c r="R140" s="319" t="str">
        <f>$R$132</f>
        <v>kJ/kg</v>
      </c>
      <c r="S140" s="476">
        <f>V140</f>
        <v>2500.1495435522315</v>
      </c>
      <c r="T140" s="319" t="str">
        <f>$T$132</f>
        <v>Btu/lb</v>
      </c>
      <c r="U140" s="476">
        <f>S140*$AA$1073</f>
        <v>1074.8708269786036</v>
      </c>
      <c r="V140" s="476">
        <f>EnthalpyF(V137,V138)+V139*(EnthalpyV(V137,V138)-EnthalpyF(V137,V138))</f>
        <v>2500.1495435522315</v>
      </c>
      <c r="W140" s="319" t="s">
        <v>2922</v>
      </c>
      <c r="X140" s="319"/>
      <c r="Y140" s="319"/>
      <c r="Z140" s="319"/>
      <c r="AA140" s="319"/>
      <c r="AB140" s="319"/>
      <c r="AC140" s="319"/>
      <c r="AD140" s="319"/>
      <c r="AE140" s="319"/>
      <c r="AF140" s="319"/>
      <c r="AG140" s="319"/>
      <c r="AH140" s="319"/>
      <c r="AI140" s="319"/>
      <c r="AJ140" s="319"/>
      <c r="AK140" s="319"/>
      <c r="AL140" s="319"/>
      <c r="AM140" s="319"/>
      <c r="AN140" s="319"/>
      <c r="AO140" s="319">
        <v>2060034</v>
      </c>
      <c r="AP140" s="319"/>
      <c r="AQ140" s="319"/>
      <c r="AR140" s="319"/>
      <c r="AS140" s="319"/>
      <c r="AT140" s="319"/>
      <c r="AU140" s="319"/>
      <c r="AV140" s="319"/>
      <c r="AW140" s="319"/>
      <c r="AX140" s="319"/>
      <c r="AY140" s="319"/>
      <c r="AZ140" s="319"/>
      <c r="BA140" s="319"/>
      <c r="BB140" s="319"/>
      <c r="BC140" s="319"/>
      <c r="BD140" s="319"/>
      <c r="BE140" s="319"/>
      <c r="BF140" s="319"/>
      <c r="BG140" s="319"/>
      <c r="BH140" s="319"/>
      <c r="BI140" s="319"/>
      <c r="BJ140" s="319"/>
      <c r="BK140" s="319"/>
      <c r="BL140" s="319"/>
      <c r="BM140" s="319"/>
      <c r="BN140" s="319"/>
      <c r="BO140" s="319"/>
      <c r="BP140" s="319"/>
      <c r="BQ140" s="319"/>
      <c r="BR140" s="319"/>
      <c r="BS140" s="319"/>
      <c r="BT140" s="319"/>
      <c r="BU140" s="319"/>
      <c r="BV140" s="319"/>
      <c r="BW140" s="319"/>
      <c r="BX140" s="319"/>
      <c r="BY140" s="319"/>
      <c r="BZ140" s="319"/>
      <c r="CA140" s="319"/>
      <c r="CB140" s="319"/>
      <c r="CC140" s="319"/>
      <c r="CD140" s="319"/>
      <c r="CE140" s="319"/>
      <c r="CF140" s="319"/>
    </row>
    <row r="141" spans="1:84" ht="12.75" hidden="1" customHeight="1">
      <c r="A141" s="12"/>
      <c r="B141" s="329" t="str">
        <f>Language!C445</f>
        <v>Taxa teórica de produção do vapor</v>
      </c>
      <c r="C141" s="29" t="str">
        <f>IF(Unit=TRUE,R141,T141)</f>
        <v>kg/kWh</v>
      </c>
      <c r="D141" s="284">
        <f>IF(Unit=TRUE,S141,U141)</f>
        <v>14504.903208786885</v>
      </c>
      <c r="E141" s="1"/>
      <c r="F141" s="29" t="str">
        <f>IF($M$3=FALSE,"",IF(Unit=FALSE,R141,T141))</f>
        <v/>
      </c>
      <c r="G141" s="140" t="str">
        <f>IF($M$3=FALSE,"",IF(Unit=FALSE,S141,U141))</f>
        <v/>
      </c>
      <c r="H141" s="1"/>
      <c r="I141" s="1"/>
      <c r="J141" s="1"/>
      <c r="K141" s="9"/>
      <c r="L141" s="1"/>
      <c r="M141" s="319"/>
      <c r="N141" s="319"/>
      <c r="O141" s="319"/>
      <c r="P141" s="319"/>
      <c r="Q141" s="319"/>
      <c r="R141" s="319" t="str">
        <f>Language!C1356</f>
        <v>kg/kWh</v>
      </c>
      <c r="S141" s="476">
        <f>$V141</f>
        <v>14504.903208786885</v>
      </c>
      <c r="T141" s="319" t="str">
        <f>Language!C1369</f>
        <v>lb/kWh</v>
      </c>
      <c r="U141" s="476">
        <f>S141/$AA$1085</f>
        <v>31977.837741818465</v>
      </c>
      <c r="V141" s="476">
        <f>3600/(V132-V140)</f>
        <v>14504.903208786885</v>
      </c>
      <c r="W141" s="319" t="s">
        <v>5699</v>
      </c>
      <c r="X141" s="319"/>
      <c r="Y141" s="319"/>
      <c r="Z141" s="319" t="s">
        <v>341</v>
      </c>
      <c r="AA141" s="319"/>
      <c r="AB141" s="319"/>
      <c r="AC141" s="319"/>
      <c r="AD141" s="319"/>
      <c r="AE141" s="319"/>
      <c r="AF141" s="319"/>
      <c r="AG141" s="319"/>
      <c r="AH141" s="319"/>
      <c r="AI141" s="319"/>
      <c r="AJ141" s="319"/>
      <c r="AK141" s="319"/>
      <c r="AL141" s="319"/>
      <c r="AM141" s="319"/>
      <c r="AN141" s="319"/>
      <c r="AO141" s="319">
        <v>2060036</v>
      </c>
      <c r="AP141" s="319"/>
      <c r="AQ141" s="319"/>
      <c r="AR141" s="319"/>
      <c r="AS141" s="319"/>
      <c r="AT141" s="319"/>
      <c r="AU141" s="319"/>
      <c r="AV141" s="319"/>
      <c r="AW141" s="319"/>
      <c r="AX141" s="319"/>
      <c r="AY141" s="319"/>
      <c r="AZ141" s="319"/>
      <c r="BA141" s="319"/>
      <c r="BB141" s="319"/>
      <c r="BC141" s="319"/>
      <c r="BD141" s="319"/>
      <c r="BE141" s="319"/>
      <c r="BF141" s="319"/>
      <c r="BG141" s="319"/>
      <c r="BH141" s="319"/>
      <c r="BI141" s="319"/>
      <c r="BJ141" s="319"/>
      <c r="BK141" s="319"/>
      <c r="BL141" s="319"/>
      <c r="BM141" s="319"/>
      <c r="BN141" s="319"/>
      <c r="BO141" s="319"/>
      <c r="BP141" s="319"/>
      <c r="BQ141" s="319"/>
      <c r="BR141" s="319"/>
      <c r="BS141" s="319"/>
      <c r="BT141" s="319"/>
      <c r="BU141" s="319"/>
      <c r="BV141" s="319"/>
      <c r="BW141" s="319"/>
      <c r="BX141" s="319"/>
      <c r="BY141" s="319"/>
      <c r="BZ141" s="319"/>
      <c r="CA141" s="319"/>
      <c r="CB141" s="319"/>
      <c r="CC141" s="319"/>
      <c r="CD141" s="319"/>
      <c r="CE141" s="319"/>
      <c r="CF141" s="319"/>
    </row>
    <row r="142" spans="1:84" ht="12.75" hidden="1" customHeight="1">
      <c r="A142" s="12"/>
      <c r="B142" s="28" t="str">
        <f>Language!C446</f>
        <v>Saída da turbina - pressão de vapor</v>
      </c>
      <c r="C142" s="303" t="s">
        <v>741</v>
      </c>
      <c r="D142" s="395"/>
      <c r="E142" s="1"/>
      <c r="F142" s="1"/>
      <c r="G142" s="1"/>
      <c r="H142" s="1"/>
      <c r="I142" s="1"/>
      <c r="J142" s="1"/>
      <c r="K142" s="788" t="str">
        <f>IF(V142=SteamP,$G$1088,"")</f>
        <v>Pressão está fora do intervalo válido</v>
      </c>
      <c r="L142" s="1"/>
      <c r="M142" s="319"/>
      <c r="N142" s="319"/>
      <c r="O142" s="319"/>
      <c r="P142" s="319"/>
      <c r="Q142" s="319"/>
      <c r="R142" s="319"/>
      <c r="S142" s="476"/>
      <c r="T142" s="319"/>
      <c r="U142" s="476"/>
      <c r="V142" s="476">
        <f>IF(IF(C142=$Z$1061,D142/1000,IF(C142=$Z$1062,(D142+$AA$1069)/$Y$1069/10,IF(C142=$Z$1063,D142/$Y$1069/10,IF(C142=$Z$1064,D142/$AA$1064,D142/$AA$1065/10))))&lt;SteamP,SteamP,IF(C142=$Z$1061,D142/1000,IF(C142=$Z$1062,(D142+$AA$1069)/$Y$1069/10,IF(C142=$Z$1063,D142/$Y$1069/10,IF(C142=$Z$1064,D142/$AA$1064,D142/$AA$1065/10)))))</f>
        <v>1.1100000000000001E-3</v>
      </c>
      <c r="W142" s="319" t="s">
        <v>3345</v>
      </c>
      <c r="X142" s="319"/>
      <c r="Y142" s="319"/>
      <c r="Z142" s="319"/>
      <c r="AA142" s="319"/>
      <c r="AB142" s="319"/>
      <c r="AC142" s="319"/>
      <c r="AD142" s="319"/>
      <c r="AE142" s="319"/>
      <c r="AF142" s="319"/>
      <c r="AG142" s="319"/>
      <c r="AH142" s="319"/>
      <c r="AI142" s="319"/>
      <c r="AJ142" s="319"/>
      <c r="AK142" s="319"/>
      <c r="AL142" s="319"/>
      <c r="AM142" s="319"/>
      <c r="AN142" s="319"/>
      <c r="AO142" s="319">
        <v>2060038</v>
      </c>
      <c r="AP142" s="319"/>
      <c r="AQ142" s="319"/>
      <c r="AR142" s="319"/>
      <c r="AS142" s="319"/>
      <c r="AT142" s="319"/>
      <c r="AU142" s="319"/>
      <c r="AV142" s="319"/>
      <c r="AW142" s="319"/>
      <c r="AX142" s="319"/>
      <c r="AY142" s="319"/>
      <c r="AZ142" s="319"/>
      <c r="BA142" s="319"/>
      <c r="BB142" s="319"/>
      <c r="BC142" s="319"/>
      <c r="BD142" s="319"/>
      <c r="BE142" s="319"/>
      <c r="BF142" s="319"/>
      <c r="BG142" s="319"/>
      <c r="BH142" s="319"/>
      <c r="BI142" s="319"/>
      <c r="BJ142" s="319"/>
      <c r="BK142" s="319"/>
      <c r="BL142" s="319"/>
      <c r="BM142" s="319"/>
      <c r="BN142" s="319"/>
      <c r="BO142" s="319"/>
      <c r="BP142" s="319"/>
      <c r="BQ142" s="319"/>
      <c r="BR142" s="319"/>
      <c r="BS142" s="319"/>
      <c r="BT142" s="319"/>
      <c r="BU142" s="319"/>
      <c r="BV142" s="319"/>
      <c r="BW142" s="319"/>
      <c r="BX142" s="319"/>
      <c r="BY142" s="319"/>
      <c r="BZ142" s="319"/>
      <c r="CA142" s="319"/>
      <c r="CB142" s="319"/>
      <c r="CC142" s="319"/>
      <c r="CD142" s="319"/>
      <c r="CE142" s="319"/>
      <c r="CF142" s="319"/>
    </row>
    <row r="143" spans="1:84" ht="12.75" hidden="1" customHeight="1">
      <c r="A143" s="12"/>
      <c r="B143" s="329" t="str">
        <f>B138</f>
        <v>Temperatura</v>
      </c>
      <c r="C143" s="29" t="str">
        <f>IF(Unit=TRUE,R143,T143)</f>
        <v>°C</v>
      </c>
      <c r="D143" s="30">
        <f>IF(Unit=TRUE,S143,U143)</f>
        <v>8.4990758364950239</v>
      </c>
      <c r="E143" s="1"/>
      <c r="F143" s="29" t="str">
        <f>IF($M$3=FALSE,"",IF(Unit=FALSE,R143,T143))</f>
        <v/>
      </c>
      <c r="G143" s="140" t="str">
        <f>IF($M$3=FALSE,"",IF(Unit=FALSE,S143,U143))</f>
        <v/>
      </c>
      <c r="H143" s="1"/>
      <c r="I143" s="1"/>
      <c r="J143" s="1"/>
      <c r="K143" s="9"/>
      <c r="L143" s="1"/>
      <c r="M143" s="319"/>
      <c r="N143" s="319"/>
      <c r="O143" s="319"/>
      <c r="P143" s="319"/>
      <c r="Q143" s="319"/>
      <c r="R143" s="319" t="str">
        <f>$R$86</f>
        <v>°C</v>
      </c>
      <c r="S143" s="476">
        <f>V144-$AA$1090</f>
        <v>8.4990758364950239</v>
      </c>
      <c r="T143" s="319" t="str">
        <f>$T$86</f>
        <v>°F</v>
      </c>
      <c r="U143" s="476">
        <f>S143*1.8+32</f>
        <v>47.29833650569104</v>
      </c>
      <c r="V143" s="476"/>
      <c r="W143" s="319"/>
      <c r="X143" s="319"/>
      <c r="Y143" s="319"/>
      <c r="Z143" s="319"/>
      <c r="AA143" s="319"/>
      <c r="AB143" s="319"/>
      <c r="AC143" s="319"/>
      <c r="AD143" s="319"/>
      <c r="AE143" s="319"/>
      <c r="AF143" s="319"/>
      <c r="AG143" s="319"/>
      <c r="AH143" s="319"/>
      <c r="AI143" s="319"/>
      <c r="AJ143" s="319"/>
      <c r="AK143" s="319"/>
      <c r="AL143" s="319"/>
      <c r="AM143" s="319"/>
      <c r="AN143" s="319"/>
      <c r="AO143" s="319">
        <v>2060040</v>
      </c>
      <c r="AP143" s="319"/>
      <c r="AQ143" s="319"/>
      <c r="AR143" s="319"/>
      <c r="AS143" s="319"/>
      <c r="AT143" s="319"/>
      <c r="AU143" s="319"/>
      <c r="AV143" s="319"/>
      <c r="AW143" s="319"/>
      <c r="AX143" s="319"/>
      <c r="AY143" s="319"/>
      <c r="AZ143" s="319"/>
      <c r="BA143" s="319"/>
      <c r="BB143" s="319"/>
      <c r="BC143" s="319"/>
      <c r="BD143" s="319"/>
      <c r="BE143" s="319"/>
      <c r="BF143" s="319"/>
      <c r="BG143" s="319"/>
      <c r="BH143" s="319"/>
      <c r="BI143" s="319"/>
      <c r="BJ143" s="319"/>
      <c r="BK143" s="319"/>
      <c r="BL143" s="319"/>
      <c r="BM143" s="319"/>
      <c r="BN143" s="319"/>
      <c r="BO143" s="319"/>
      <c r="BP143" s="319"/>
      <c r="BQ143" s="319"/>
      <c r="BR143" s="319"/>
      <c r="BS143" s="319"/>
      <c r="BT143" s="319"/>
      <c r="BU143" s="319"/>
      <c r="BV143" s="319"/>
      <c r="BW143" s="319"/>
      <c r="BX143" s="319"/>
      <c r="BY143" s="319"/>
      <c r="BZ143" s="319"/>
      <c r="CA143" s="319"/>
      <c r="CB143" s="319"/>
      <c r="CC143" s="319"/>
      <c r="CD143" s="319"/>
      <c r="CE143" s="319"/>
      <c r="CF143" s="319"/>
    </row>
    <row r="144" spans="1:84" ht="12.75" hidden="1" customHeight="1">
      <c r="A144" s="12"/>
      <c r="B144" s="329" t="str">
        <f>B139</f>
        <v>Qualidade da mistura</v>
      </c>
      <c r="C144" s="1"/>
      <c r="D144" s="284">
        <f>V145</f>
        <v>0.9934117547612823</v>
      </c>
      <c r="E144" s="1"/>
      <c r="F144" s="1"/>
      <c r="G144" s="1"/>
      <c r="H144" s="1"/>
      <c r="I144" s="1"/>
      <c r="J144" s="1"/>
      <c r="K144" s="788" t="str">
        <f>IF(D144&lt;1,$G$1091,"")</f>
        <v>Vapor está húmido</v>
      </c>
      <c r="L144" s="1"/>
      <c r="M144" s="319"/>
      <c r="N144" s="319"/>
      <c r="O144" s="319"/>
      <c r="P144" s="319"/>
      <c r="Q144" s="319"/>
      <c r="R144" s="319" t="s">
        <v>2922</v>
      </c>
      <c r="S144" s="476">
        <f>EnthalpyF(0.1,S143+$AA$1090)</f>
        <v>35.818570842599144</v>
      </c>
      <c r="T144" s="319"/>
      <c r="U144" s="476"/>
      <c r="V144" s="476">
        <f>Tsat(V142)</f>
        <v>281.649075836495</v>
      </c>
      <c r="W144" s="319" t="s">
        <v>143</v>
      </c>
      <c r="X144" s="319"/>
      <c r="Y144" s="319"/>
      <c r="Z144" s="319"/>
      <c r="AA144" s="319"/>
      <c r="AB144" s="319"/>
      <c r="AC144" s="319"/>
      <c r="AD144" s="319"/>
      <c r="AE144" s="319"/>
      <c r="AF144" s="319"/>
      <c r="AG144" s="319"/>
      <c r="AH144" s="319"/>
      <c r="AI144" s="319"/>
      <c r="AJ144" s="319"/>
      <c r="AK144" s="319"/>
      <c r="AL144" s="319"/>
      <c r="AM144" s="319"/>
      <c r="AN144" s="319"/>
      <c r="AO144" s="319">
        <v>2060042</v>
      </c>
      <c r="AP144" s="319"/>
      <c r="AQ144" s="319"/>
      <c r="AR144" s="319"/>
      <c r="AS144" s="319"/>
      <c r="AT144" s="319"/>
      <c r="AU144" s="319"/>
      <c r="AV144" s="319"/>
      <c r="AW144" s="319"/>
      <c r="AX144" s="319"/>
      <c r="AY144" s="319"/>
      <c r="AZ144" s="319"/>
      <c r="BA144" s="319"/>
      <c r="BB144" s="319"/>
      <c r="BC144" s="319"/>
      <c r="BD144" s="319"/>
      <c r="BE144" s="319"/>
      <c r="BF144" s="319"/>
      <c r="BG144" s="319"/>
      <c r="BH144" s="319"/>
      <c r="BI144" s="319"/>
      <c r="BJ144" s="319"/>
      <c r="BK144" s="319"/>
      <c r="BL144" s="319"/>
      <c r="BM144" s="319"/>
      <c r="BN144" s="319"/>
      <c r="BO144" s="319"/>
      <c r="BP144" s="319"/>
      <c r="BQ144" s="319"/>
      <c r="BR144" s="319"/>
      <c r="BS144" s="319"/>
      <c r="BT144" s="319"/>
      <c r="BU144" s="319"/>
      <c r="BV144" s="319"/>
      <c r="BW144" s="319"/>
      <c r="BX144" s="319"/>
      <c r="BY144" s="319"/>
      <c r="BZ144" s="319"/>
      <c r="CA144" s="319"/>
      <c r="CB144" s="319"/>
      <c r="CC144" s="319"/>
      <c r="CD144" s="319"/>
      <c r="CE144" s="319"/>
      <c r="CF144" s="319"/>
    </row>
    <row r="145" spans="1:84" ht="12.75" hidden="1" customHeight="1">
      <c r="A145" s="12"/>
      <c r="B145" s="329" t="str">
        <f>B132</f>
        <v>Entalpia</v>
      </c>
      <c r="C145" s="29" t="str">
        <f>IF(Unit=TRUE,R145,T145)</f>
        <v>kJ/kg</v>
      </c>
      <c r="D145" s="30">
        <f>IF(Unit=TRUE,S145,U145)</f>
        <v>2500.1495435522315</v>
      </c>
      <c r="E145" s="1"/>
      <c r="F145" s="29" t="str">
        <f>IF($M$3=FALSE,"",IF(Unit=FALSE,R145,T145))</f>
        <v/>
      </c>
      <c r="G145" s="140" t="str">
        <f>IF($M$3=FALSE,"",IF(Unit=FALSE,S145,U145))</f>
        <v/>
      </c>
      <c r="H145" s="1"/>
      <c r="I145" s="1"/>
      <c r="J145" s="1"/>
      <c r="K145" s="9"/>
      <c r="L145" s="1"/>
      <c r="M145" s="319"/>
      <c r="N145" s="319"/>
      <c r="O145" s="319"/>
      <c r="P145" s="319"/>
      <c r="Q145" s="319"/>
      <c r="R145" s="319" t="str">
        <f>$R$132</f>
        <v>kJ/kg</v>
      </c>
      <c r="S145" s="476">
        <f>V146</f>
        <v>2500.1495435522315</v>
      </c>
      <c r="T145" s="319" t="str">
        <f>$T$132</f>
        <v>Btu/lb</v>
      </c>
      <c r="U145" s="476">
        <f>S145*$AA$1073</f>
        <v>1074.8708269786036</v>
      </c>
      <c r="V145" s="476">
        <f>(entropyV(V128,V130)-entropyF(V142,V144))/(entropyV(V142,V144)-entropyF(V142,V144))</f>
        <v>0.9934117547612823</v>
      </c>
      <c r="W145" s="319"/>
      <c r="X145" s="319"/>
      <c r="Y145" s="319"/>
      <c r="Z145" s="319"/>
      <c r="AA145" s="319"/>
      <c r="AB145" s="319"/>
      <c r="AC145" s="319"/>
      <c r="AD145" s="319"/>
      <c r="AE145" s="319"/>
      <c r="AF145" s="319"/>
      <c r="AG145" s="319"/>
      <c r="AH145" s="319"/>
      <c r="AI145" s="319"/>
      <c r="AJ145" s="319"/>
      <c r="AK145" s="319"/>
      <c r="AL145" s="319"/>
      <c r="AM145" s="319"/>
      <c r="AN145" s="319"/>
      <c r="AO145" s="319">
        <v>2060044</v>
      </c>
      <c r="AP145" s="319"/>
      <c r="AQ145" s="319"/>
      <c r="AR145" s="319"/>
      <c r="AS145" s="319"/>
      <c r="AT145" s="319"/>
      <c r="AU145" s="319"/>
      <c r="AV145" s="319"/>
      <c r="AW145" s="319"/>
      <c r="AX145" s="319"/>
      <c r="AY145" s="319"/>
      <c r="AZ145" s="319"/>
      <c r="BA145" s="319"/>
      <c r="BB145" s="319"/>
      <c r="BC145" s="319"/>
      <c r="BD145" s="319"/>
      <c r="BE145" s="319"/>
      <c r="BF145" s="319"/>
      <c r="BG145" s="319"/>
      <c r="BH145" s="319"/>
      <c r="BI145" s="319"/>
      <c r="BJ145" s="319"/>
      <c r="BK145" s="319"/>
      <c r="BL145" s="319"/>
      <c r="BM145" s="319"/>
      <c r="BN145" s="319"/>
      <c r="BO145" s="319"/>
      <c r="BP145" s="319"/>
      <c r="BQ145" s="319"/>
      <c r="BR145" s="319"/>
      <c r="BS145" s="319"/>
      <c r="BT145" s="319"/>
      <c r="BU145" s="319"/>
      <c r="BV145" s="319"/>
      <c r="BW145" s="319"/>
      <c r="BX145" s="319"/>
      <c r="BY145" s="319"/>
      <c r="BZ145" s="319"/>
      <c r="CA145" s="319"/>
      <c r="CB145" s="319"/>
      <c r="CC145" s="319"/>
      <c r="CD145" s="319"/>
      <c r="CE145" s="319"/>
      <c r="CF145" s="319"/>
    </row>
    <row r="146" spans="1:84" ht="12.75" hidden="1" customHeight="1">
      <c r="A146" s="12"/>
      <c r="B146" s="329" t="str">
        <f>B141</f>
        <v>Taxa teórica de produção do vapor</v>
      </c>
      <c r="C146" s="29" t="str">
        <f>IF(Unit=TRUE,R146,T146)</f>
        <v>kg/kWh</v>
      </c>
      <c r="D146" s="284">
        <f>IF(Unit=TRUE,S146,U146)</f>
        <v>14504.903208786885</v>
      </c>
      <c r="E146" s="1"/>
      <c r="F146" s="29" t="str">
        <f>IF($M$3=FALSE,"",IF(Unit=FALSE,R146,T146))</f>
        <v/>
      </c>
      <c r="G146" s="140" t="str">
        <f>IF($M$3=FALSE,"",IF(Unit=FALSE,S146,U146))</f>
        <v/>
      </c>
      <c r="H146" s="1"/>
      <c r="I146" s="1"/>
      <c r="J146" s="1"/>
      <c r="K146" s="9"/>
      <c r="L146" s="1"/>
      <c r="M146" s="319"/>
      <c r="N146" s="319"/>
      <c r="O146" s="319"/>
      <c r="P146" s="319"/>
      <c r="Q146" s="319"/>
      <c r="R146" s="319" t="str">
        <f>$R$141</f>
        <v>kg/kWh</v>
      </c>
      <c r="S146" s="476">
        <f>$V147</f>
        <v>14504.903208786885</v>
      </c>
      <c r="T146" s="319" t="str">
        <f>$T$141</f>
        <v>lb/kWh</v>
      </c>
      <c r="U146" s="476">
        <f>S146/$AA$1085</f>
        <v>31977.837741818465</v>
      </c>
      <c r="V146" s="476">
        <f>EnthalpyF(V142,V144)+V145*(EnthalpyV(V142,V144)-EnthalpyF(V142,V144))</f>
        <v>2500.1495435522315</v>
      </c>
      <c r="W146" s="319" t="s">
        <v>2922</v>
      </c>
      <c r="X146" s="319"/>
      <c r="Y146" s="319"/>
      <c r="Z146" s="319"/>
      <c r="AA146" s="319"/>
      <c r="AB146" s="319"/>
      <c r="AC146" s="319"/>
      <c r="AD146" s="319"/>
      <c r="AE146" s="319"/>
      <c r="AF146" s="319"/>
      <c r="AG146" s="319"/>
      <c r="AH146" s="319"/>
      <c r="AI146" s="319"/>
      <c r="AJ146" s="319"/>
      <c r="AK146" s="319"/>
      <c r="AL146" s="319"/>
      <c r="AM146" s="319"/>
      <c r="AN146" s="319"/>
      <c r="AO146" s="319">
        <v>2060046</v>
      </c>
      <c r="AP146" s="319"/>
      <c r="AQ146" s="319"/>
      <c r="AR146" s="319"/>
      <c r="AS146" s="319"/>
      <c r="AT146" s="319"/>
      <c r="AU146" s="319"/>
      <c r="AV146" s="319"/>
      <c r="AW146" s="319"/>
      <c r="AX146" s="319"/>
      <c r="AY146" s="319"/>
      <c r="AZ146" s="319"/>
      <c r="BA146" s="319"/>
      <c r="BB146" s="319"/>
      <c r="BC146" s="319"/>
      <c r="BD146" s="319"/>
      <c r="BE146" s="319"/>
      <c r="BF146" s="319"/>
      <c r="BG146" s="319"/>
      <c r="BH146" s="319"/>
      <c r="BI146" s="319"/>
      <c r="BJ146" s="319"/>
      <c r="BK146" s="319"/>
      <c r="BL146" s="319"/>
      <c r="BM146" s="319"/>
      <c r="BN146" s="319"/>
      <c r="BO146" s="319"/>
      <c r="BP146" s="319"/>
      <c r="BQ146" s="319"/>
      <c r="BR146" s="319"/>
      <c r="BS146" s="319"/>
      <c r="BT146" s="319"/>
      <c r="BU146" s="319"/>
      <c r="BV146" s="319"/>
      <c r="BW146" s="319"/>
      <c r="BX146" s="319"/>
      <c r="BY146" s="319"/>
      <c r="BZ146" s="319"/>
      <c r="CA146" s="319"/>
      <c r="CB146" s="319"/>
      <c r="CC146" s="319"/>
      <c r="CD146" s="319"/>
      <c r="CE146" s="319"/>
      <c r="CF146" s="319"/>
    </row>
    <row r="147" spans="1:84" ht="12.75" hidden="1" customHeight="1">
      <c r="A147" s="12"/>
      <c r="B147" s="329" t="str">
        <f>Language!C447</f>
        <v>Eficiência da turbina a vapor (TV)</v>
      </c>
      <c r="C147" s="29" t="str">
        <f>$T$35</f>
        <v>%</v>
      </c>
      <c r="D147" s="366"/>
      <c r="E147" s="1"/>
      <c r="F147" s="1"/>
      <c r="G147" s="1"/>
      <c r="H147" s="1"/>
      <c r="I147" s="1"/>
      <c r="J147" s="1"/>
      <c r="K147" s="9"/>
      <c r="L147" s="1"/>
      <c r="M147" s="319"/>
      <c r="N147" s="319"/>
      <c r="O147" s="319"/>
      <c r="P147" s="319"/>
      <c r="Q147" s="319"/>
      <c r="R147" s="319"/>
      <c r="S147" s="476"/>
      <c r="T147" s="319"/>
      <c r="U147" s="476"/>
      <c r="V147" s="476">
        <f>3600/(V132-V146)</f>
        <v>14504.903208786885</v>
      </c>
      <c r="W147" s="319" t="s">
        <v>5699</v>
      </c>
      <c r="X147" s="319"/>
      <c r="Y147" s="319"/>
      <c r="Z147" s="319" t="s">
        <v>636</v>
      </c>
      <c r="AA147" s="319"/>
      <c r="AB147" s="319"/>
      <c r="AC147" s="319"/>
      <c r="AD147" s="319"/>
      <c r="AE147" s="319"/>
      <c r="AF147" s="319"/>
      <c r="AG147" s="319"/>
      <c r="AH147" s="319"/>
      <c r="AI147" s="319"/>
      <c r="AJ147" s="319"/>
      <c r="AK147" s="319"/>
      <c r="AL147" s="319"/>
      <c r="AM147" s="319"/>
      <c r="AN147" s="319"/>
      <c r="AO147" s="319">
        <v>2060048</v>
      </c>
      <c r="AP147" s="319"/>
      <c r="AQ147" s="319"/>
      <c r="AR147" s="319"/>
      <c r="AS147" s="319"/>
      <c r="AT147" s="319"/>
      <c r="AU147" s="319"/>
      <c r="AV147" s="319"/>
      <c r="AW147" s="319"/>
      <c r="AX147" s="319"/>
      <c r="AY147" s="319"/>
      <c r="AZ147" s="319"/>
      <c r="BA147" s="319"/>
      <c r="BB147" s="319"/>
      <c r="BC147" s="319"/>
      <c r="BD147" s="319"/>
      <c r="BE147" s="319"/>
      <c r="BF147" s="319"/>
      <c r="BG147" s="319"/>
      <c r="BH147" s="319"/>
      <c r="BI147" s="319"/>
      <c r="BJ147" s="319"/>
      <c r="BK147" s="319"/>
      <c r="BL147" s="319"/>
      <c r="BM147" s="319"/>
      <c r="BN147" s="319"/>
      <c r="BO147" s="319"/>
      <c r="BP147" s="319"/>
      <c r="BQ147" s="319"/>
      <c r="BR147" s="319"/>
      <c r="BS147" s="319"/>
      <c r="BT147" s="319"/>
      <c r="BU147" s="319"/>
      <c r="BV147" s="319"/>
      <c r="BW147" s="319"/>
      <c r="BX147" s="319"/>
      <c r="BY147" s="319"/>
      <c r="BZ147" s="319"/>
      <c r="CA147" s="319"/>
      <c r="CB147" s="319"/>
      <c r="CC147" s="319"/>
      <c r="CD147" s="319"/>
      <c r="CE147" s="319"/>
      <c r="CF147" s="319"/>
    </row>
    <row r="148" spans="1:84" ht="12.75" hidden="1" customHeight="1">
      <c r="A148" s="12"/>
      <c r="B148" s="329" t="str">
        <f>Language!C448</f>
        <v>Taxa real de produção de vapor</v>
      </c>
      <c r="C148" s="29" t="str">
        <f>IF(Unit=TRUE,R148,T148)</f>
        <v>kg/kWh</v>
      </c>
      <c r="D148" s="100" t="e">
        <f>IF(Unit=TRUE,S148,U148)</f>
        <v>#DIV/0!</v>
      </c>
      <c r="E148" s="1"/>
      <c r="F148" s="29" t="str">
        <f>IF($M$3=FALSE,"",IF(Unit=FALSE,R148,T148))</f>
        <v/>
      </c>
      <c r="G148" s="140" t="str">
        <f>IF($M$3=FALSE,"",IF(Unit=FALSE,S148,U148))</f>
        <v/>
      </c>
      <c r="H148" s="1"/>
      <c r="I148" s="1"/>
      <c r="J148" s="1"/>
      <c r="K148" s="9"/>
      <c r="L148" s="1"/>
      <c r="M148" s="319"/>
      <c r="N148" s="319"/>
      <c r="O148" s="319"/>
      <c r="P148" s="319"/>
      <c r="Q148" s="319"/>
      <c r="R148" s="319" t="str">
        <f>$R$141</f>
        <v>kg/kWh</v>
      </c>
      <c r="S148" s="476" t="e">
        <f>((S131-S131*S135)*S146/D147+S131*S135*S141/D147)/S131</f>
        <v>#DIV/0!</v>
      </c>
      <c r="T148" s="319" t="str">
        <f>$T$141</f>
        <v>lb/kWh</v>
      </c>
      <c r="U148" s="476" t="e">
        <f>S148/$AA$1085</f>
        <v>#DIV/0!</v>
      </c>
      <c r="V148" s="319"/>
      <c r="W148" s="319"/>
      <c r="X148" s="319"/>
      <c r="Y148" s="319"/>
      <c r="Z148" s="319" t="s">
        <v>339</v>
      </c>
      <c r="AA148" s="319"/>
      <c r="AB148" s="319"/>
      <c r="AC148" s="319"/>
      <c r="AD148" s="319"/>
      <c r="AE148" s="319"/>
      <c r="AF148" s="319"/>
      <c r="AG148" s="319"/>
      <c r="AH148" s="319"/>
      <c r="AI148" s="319"/>
      <c r="AJ148" s="319"/>
      <c r="AK148" s="319"/>
      <c r="AL148" s="319"/>
      <c r="AM148" s="319"/>
      <c r="AN148" s="319"/>
      <c r="AO148" s="319">
        <v>2060050</v>
      </c>
      <c r="AP148" s="319"/>
      <c r="AQ148" s="319"/>
      <c r="AR148" s="319"/>
      <c r="AS148" s="319"/>
      <c r="AT148" s="319"/>
      <c r="AU148" s="319"/>
      <c r="AV148" s="319"/>
      <c r="AW148" s="319"/>
      <c r="AX148" s="319"/>
      <c r="AY148" s="319"/>
      <c r="AZ148" s="319"/>
      <c r="BA148" s="319"/>
      <c r="BB148" s="319"/>
      <c r="BC148" s="319"/>
      <c r="BD148" s="319"/>
      <c r="BE148" s="319"/>
      <c r="BF148" s="319"/>
      <c r="BG148" s="319"/>
      <c r="BH148" s="319"/>
      <c r="BI148" s="319"/>
      <c r="BJ148" s="319"/>
      <c r="BK148" s="319"/>
      <c r="BL148" s="319"/>
      <c r="BM148" s="319"/>
      <c r="BN148" s="319"/>
      <c r="BO148" s="319"/>
      <c r="BP148" s="319"/>
      <c r="BQ148" s="319"/>
      <c r="BR148" s="319"/>
      <c r="BS148" s="319"/>
      <c r="BT148" s="319"/>
      <c r="BU148" s="319"/>
      <c r="BV148" s="319"/>
      <c r="BW148" s="319"/>
      <c r="BX148" s="319"/>
      <c r="BY148" s="319"/>
      <c r="BZ148" s="319"/>
      <c r="CA148" s="319"/>
      <c r="CB148" s="319"/>
      <c r="CC148" s="319"/>
      <c r="CD148" s="319"/>
      <c r="CE148" s="319"/>
      <c r="CF148" s="319"/>
    </row>
    <row r="149" spans="1:84" ht="12.75" hidden="1" customHeight="1">
      <c r="A149" s="12"/>
      <c r="B149" s="28" t="str">
        <f>Language!C396</f>
        <v>Resumo</v>
      </c>
      <c r="C149" s="1"/>
      <c r="D149" s="1"/>
      <c r="E149" s="1"/>
      <c r="F149" s="1"/>
      <c r="G149" s="1"/>
      <c r="H149" s="1"/>
      <c r="I149" s="1"/>
      <c r="J149" s="1"/>
      <c r="K149" s="9"/>
      <c r="L149" s="1"/>
      <c r="M149" s="319"/>
      <c r="N149" s="319"/>
      <c r="O149" s="319"/>
      <c r="P149" s="319"/>
      <c r="Q149" s="319"/>
      <c r="R149" s="319"/>
      <c r="S149" s="319"/>
      <c r="T149" s="319"/>
      <c r="U149" s="319"/>
      <c r="V149" s="319"/>
      <c r="W149" s="319"/>
      <c r="X149" s="319"/>
      <c r="Y149" s="319"/>
      <c r="Z149" s="319"/>
      <c r="AA149" s="319"/>
      <c r="AB149" s="319"/>
      <c r="AC149" s="319"/>
      <c r="AD149" s="319"/>
      <c r="AE149" s="319"/>
      <c r="AF149" s="319"/>
      <c r="AG149" s="319"/>
      <c r="AH149" s="319"/>
      <c r="AI149" s="319"/>
      <c r="AJ149" s="319"/>
      <c r="AK149" s="319"/>
      <c r="AL149" s="319"/>
      <c r="AM149" s="319"/>
      <c r="AN149" s="319"/>
      <c r="AO149" s="319">
        <v>2060052</v>
      </c>
      <c r="AP149" s="319"/>
      <c r="AQ149" s="319"/>
      <c r="AR149" s="319"/>
      <c r="AS149" s="319"/>
      <c r="AT149" s="319"/>
      <c r="AU149" s="319"/>
      <c r="AV149" s="319"/>
      <c r="AW149" s="319"/>
      <c r="AX149" s="319"/>
      <c r="AY149" s="319"/>
      <c r="AZ149" s="319"/>
      <c r="BA149" s="319"/>
      <c r="BB149" s="319"/>
      <c r="BC149" s="319"/>
      <c r="BD149" s="319"/>
      <c r="BE149" s="319"/>
      <c r="BF149" s="319"/>
      <c r="BG149" s="319"/>
      <c r="BH149" s="319"/>
      <c r="BI149" s="319"/>
      <c r="BJ149" s="319"/>
      <c r="BK149" s="319"/>
      <c r="BL149" s="319"/>
      <c r="BM149" s="319"/>
      <c r="BN149" s="319"/>
      <c r="BO149" s="319"/>
      <c r="BP149" s="319"/>
      <c r="BQ149" s="319"/>
      <c r="BR149" s="319"/>
      <c r="BS149" s="319"/>
      <c r="BT149" s="319"/>
      <c r="BU149" s="319"/>
      <c r="BV149" s="319"/>
      <c r="BW149" s="319"/>
      <c r="BX149" s="319"/>
      <c r="BY149" s="319"/>
      <c r="BZ149" s="319"/>
      <c r="CA149" s="319"/>
      <c r="CB149" s="319"/>
      <c r="CC149" s="319"/>
      <c r="CD149" s="319"/>
      <c r="CE149" s="319"/>
      <c r="CF149" s="319"/>
    </row>
    <row r="150" spans="1:84" ht="12.75" hidden="1" customHeight="1">
      <c r="A150" s="12"/>
      <c r="B150" s="329" t="str">
        <f>B667</f>
        <v>Potência elétrica (TV) - com extração</v>
      </c>
      <c r="C150" s="29" t="str">
        <f>$C$92</f>
        <v>kW</v>
      </c>
      <c r="D150" s="30" t="e">
        <f>S131/S148</f>
        <v>#DIV/0!</v>
      </c>
      <c r="E150" s="40" t="str">
        <f>IF($P$866=0,"",D150/$P$866)</f>
        <v/>
      </c>
      <c r="F150" s="1"/>
      <c r="G150" s="1"/>
      <c r="H150" s="1"/>
      <c r="I150" s="1"/>
      <c r="J150" s="1"/>
      <c r="K150" s="9"/>
      <c r="L150" s="1"/>
      <c r="M150" s="319"/>
      <c r="N150" s="319"/>
      <c r="O150" s="319"/>
      <c r="P150" s="319"/>
      <c r="Q150" s="319"/>
      <c r="R150" s="319"/>
      <c r="S150" s="319"/>
      <c r="T150" s="319"/>
      <c r="U150" s="319"/>
      <c r="V150" s="319"/>
      <c r="W150" s="319"/>
      <c r="X150" s="319"/>
      <c r="Y150" s="319"/>
      <c r="Z150" s="319"/>
      <c r="AA150" s="319"/>
      <c r="AB150" s="319"/>
      <c r="AC150" s="319"/>
      <c r="AD150" s="319"/>
      <c r="AE150" s="319"/>
      <c r="AF150" s="319"/>
      <c r="AG150" s="319"/>
      <c r="AH150" s="319"/>
      <c r="AI150" s="319"/>
      <c r="AJ150" s="319"/>
      <c r="AK150" s="319"/>
      <c r="AL150" s="319"/>
      <c r="AM150" s="319"/>
      <c r="AN150" s="319"/>
      <c r="AO150" s="319">
        <v>2060054</v>
      </c>
      <c r="AP150" s="319"/>
      <c r="AQ150" s="319"/>
      <c r="AR150" s="319"/>
      <c r="AS150" s="319"/>
      <c r="AT150" s="319"/>
      <c r="AU150" s="319"/>
      <c r="AV150" s="319"/>
      <c r="AW150" s="319"/>
      <c r="AX150" s="319"/>
      <c r="AY150" s="319"/>
      <c r="AZ150" s="319"/>
      <c r="BA150" s="319"/>
      <c r="BB150" s="319"/>
      <c r="BC150" s="319"/>
      <c r="BD150" s="319"/>
      <c r="BE150" s="319"/>
      <c r="BF150" s="319"/>
      <c r="BG150" s="319"/>
      <c r="BH150" s="319"/>
      <c r="BI150" s="319"/>
      <c r="BJ150" s="319"/>
      <c r="BK150" s="319"/>
      <c r="BL150" s="319"/>
      <c r="BM150" s="319"/>
      <c r="BN150" s="319"/>
      <c r="BO150" s="319"/>
      <c r="BP150" s="319"/>
      <c r="BQ150" s="319"/>
      <c r="BR150" s="319"/>
      <c r="BS150" s="319"/>
      <c r="BT150" s="319"/>
      <c r="BU150" s="319"/>
      <c r="BV150" s="319"/>
      <c r="BW150" s="319"/>
      <c r="BX150" s="319"/>
      <c r="BY150" s="319"/>
      <c r="BZ150" s="319"/>
      <c r="CA150" s="319"/>
      <c r="CB150" s="319"/>
      <c r="CC150" s="319"/>
      <c r="CD150" s="319"/>
      <c r="CE150" s="319"/>
      <c r="CF150" s="319"/>
    </row>
    <row r="151" spans="1:84" ht="12.75" hidden="1" customHeight="1">
      <c r="A151" s="12"/>
      <c r="B151" s="329" t="str">
        <f>B668</f>
        <v>Potência elétrica total - com extração</v>
      </c>
      <c r="C151" s="29" t="str">
        <f>$C$92</f>
        <v>kW</v>
      </c>
      <c r="D151" s="30" t="e">
        <f>D150+D116</f>
        <v>#DIV/0!</v>
      </c>
      <c r="E151" s="40" t="str">
        <f>IF($P$866=0,"",D151/$P$866)</f>
        <v/>
      </c>
      <c r="F151" s="1"/>
      <c r="G151" s="1"/>
      <c r="H151" s="1"/>
      <c r="I151" s="1"/>
      <c r="J151" s="1"/>
      <c r="K151" s="9"/>
      <c r="L151" s="1"/>
      <c r="M151" s="319"/>
      <c r="N151" s="319"/>
      <c r="O151" s="319"/>
      <c r="P151" s="319"/>
      <c r="Q151" s="319"/>
      <c r="R151" s="319"/>
      <c r="S151" s="319"/>
      <c r="T151" s="319"/>
      <c r="U151" s="319"/>
      <c r="V151" s="319"/>
      <c r="W151" s="319"/>
      <c r="X151" s="319"/>
      <c r="Y151" s="319"/>
      <c r="Z151" s="319" t="s">
        <v>340</v>
      </c>
      <c r="AA151" s="319"/>
      <c r="AB151" s="319"/>
      <c r="AC151" s="319"/>
      <c r="AD151" s="319"/>
      <c r="AE151" s="319"/>
      <c r="AF151" s="319"/>
      <c r="AG151" s="319"/>
      <c r="AH151" s="319"/>
      <c r="AI151" s="319"/>
      <c r="AJ151" s="319"/>
      <c r="AK151" s="319"/>
      <c r="AL151" s="319"/>
      <c r="AM151" s="319"/>
      <c r="AN151" s="319"/>
      <c r="AO151" s="319">
        <v>2060056</v>
      </c>
      <c r="AP151" s="319"/>
      <c r="AQ151" s="319"/>
      <c r="AR151" s="319"/>
      <c r="AS151" s="319"/>
      <c r="AT151" s="319"/>
      <c r="AU151" s="319"/>
      <c r="AV151" s="319"/>
      <c r="AW151" s="319"/>
      <c r="AX151" s="319"/>
      <c r="AY151" s="319"/>
      <c r="AZ151" s="319"/>
      <c r="BA151" s="319"/>
      <c r="BB151" s="319"/>
      <c r="BC151" s="319"/>
      <c r="BD151" s="319"/>
      <c r="BE151" s="319"/>
      <c r="BF151" s="319"/>
      <c r="BG151" s="319"/>
      <c r="BH151" s="319"/>
      <c r="BI151" s="319"/>
      <c r="BJ151" s="319"/>
      <c r="BK151" s="319"/>
      <c r="BL151" s="319"/>
      <c r="BM151" s="319"/>
      <c r="BN151" s="319"/>
      <c r="BO151" s="319"/>
      <c r="BP151" s="319"/>
      <c r="BQ151" s="319"/>
      <c r="BR151" s="319"/>
      <c r="BS151" s="319"/>
      <c r="BT151" s="319"/>
      <c r="BU151" s="319"/>
      <c r="BV151" s="319"/>
      <c r="BW151" s="319"/>
      <c r="BX151" s="319"/>
      <c r="BY151" s="319"/>
      <c r="BZ151" s="319"/>
      <c r="CA151" s="319"/>
      <c r="CB151" s="319"/>
      <c r="CC151" s="319"/>
      <c r="CD151" s="319"/>
      <c r="CE151" s="319"/>
      <c r="CF151" s="319"/>
    </row>
    <row r="152" spans="1:84" ht="12.75" hidden="1" customHeight="1">
      <c r="A152" s="12"/>
      <c r="B152" s="329" t="str">
        <f>IF(HideCodeES_Extract_GTCC1=2,Language!C455,Language!C453)</f>
        <v>Potência elétrica (TV)</v>
      </c>
      <c r="C152" s="29" t="str">
        <f>$C$92</f>
        <v>kW</v>
      </c>
      <c r="D152" s="30" t="e">
        <f>S131/(S146/D147)</f>
        <v>#DIV/0!</v>
      </c>
      <c r="E152" s="40" t="str">
        <f>IF($P$866=0,"",D152/$P$866)</f>
        <v/>
      </c>
      <c r="F152" s="1"/>
      <c r="G152" s="1"/>
      <c r="H152" s="1"/>
      <c r="I152" s="1"/>
      <c r="J152" s="1"/>
      <c r="K152" s="9"/>
      <c r="L152" s="1"/>
      <c r="M152" s="319"/>
      <c r="N152" s="319"/>
      <c r="O152" s="319"/>
      <c r="P152" s="319"/>
      <c r="Q152" s="319"/>
      <c r="R152" s="319"/>
      <c r="S152" s="319"/>
      <c r="T152" s="319"/>
      <c r="U152" s="319"/>
      <c r="V152" s="319" t="e">
        <f>S131/(S146/D147)+D116</f>
        <v>#DIV/0!</v>
      </c>
      <c r="W152" s="319"/>
      <c r="X152" s="319"/>
      <c r="Y152" s="319"/>
      <c r="Z152" s="319"/>
      <c r="AA152" s="319"/>
      <c r="AB152" s="319"/>
      <c r="AC152" s="319"/>
      <c r="AD152" s="319"/>
      <c r="AE152" s="319"/>
      <c r="AF152" s="319"/>
      <c r="AG152" s="319"/>
      <c r="AH152" s="319"/>
      <c r="AI152" s="319"/>
      <c r="AJ152" s="319"/>
      <c r="AK152" s="319"/>
      <c r="AL152" s="319"/>
      <c r="AM152" s="319"/>
      <c r="AN152" s="319"/>
      <c r="AO152" s="319">
        <v>2060058</v>
      </c>
      <c r="AP152" s="319"/>
      <c r="AQ152" s="319"/>
      <c r="AR152" s="319"/>
      <c r="AS152" s="319"/>
      <c r="AT152" s="319"/>
      <c r="AU152" s="319"/>
      <c r="AV152" s="319"/>
      <c r="AW152" s="319"/>
      <c r="AX152" s="319"/>
      <c r="AY152" s="319"/>
      <c r="AZ152" s="319"/>
      <c r="BA152" s="319"/>
      <c r="BB152" s="319"/>
      <c r="BC152" s="319"/>
      <c r="BD152" s="319"/>
      <c r="BE152" s="319"/>
      <c r="BF152" s="319"/>
      <c r="BG152" s="319"/>
      <c r="BH152" s="319"/>
      <c r="BI152" s="319"/>
      <c r="BJ152" s="319"/>
      <c r="BK152" s="319"/>
      <c r="BL152" s="319"/>
      <c r="BM152" s="319"/>
      <c r="BN152" s="319"/>
      <c r="BO152" s="319"/>
      <c r="BP152" s="319"/>
      <c r="BQ152" s="319"/>
      <c r="BR152" s="319"/>
      <c r="BS152" s="319"/>
      <c r="BT152" s="319"/>
      <c r="BU152" s="319"/>
      <c r="BV152" s="319"/>
      <c r="BW152" s="319"/>
      <c r="BX152" s="319"/>
      <c r="BY152" s="319"/>
      <c r="BZ152" s="319"/>
      <c r="CA152" s="319"/>
      <c r="CB152" s="319"/>
      <c r="CC152" s="319"/>
      <c r="CD152" s="319"/>
      <c r="CE152" s="319"/>
      <c r="CF152" s="319"/>
    </row>
    <row r="153" spans="1:84" ht="12.75" hidden="1" customHeight="1">
      <c r="A153" s="12"/>
      <c r="B153" s="329" t="str">
        <f>IF(HideCodeES_Extract_GTCC1=2,Language!C456,Language!C454)</f>
        <v>Potência elétrica total</v>
      </c>
      <c r="C153" s="29" t="str">
        <f>$C$92</f>
        <v>kW</v>
      </c>
      <c r="D153" s="30" t="e">
        <f>V152</f>
        <v>#DIV/0!</v>
      </c>
      <c r="E153" s="40" t="str">
        <f>IF($P$866=0,"",D153/$P$866)</f>
        <v/>
      </c>
      <c r="F153" s="1"/>
      <c r="G153" s="1"/>
      <c r="H153" s="1"/>
      <c r="I153" s="1"/>
      <c r="J153" s="1"/>
      <c r="K153" s="788" t="e">
        <f>K117</f>
        <v>#DIV/0!</v>
      </c>
      <c r="L153" s="1"/>
      <c r="M153" s="319"/>
      <c r="N153" s="319"/>
      <c r="O153" s="319"/>
      <c r="P153" s="319"/>
      <c r="Q153" s="319"/>
      <c r="R153" s="319"/>
      <c r="S153" s="319"/>
      <c r="T153" s="319"/>
      <c r="U153" s="319"/>
      <c r="V153" s="476" t="e">
        <f>IF(OR(M31=2,M31=10),IF(HideCodeES_Extract_GTCC1=1,D151,S131/(S146/D147)+D116),V152)</f>
        <v>#DIV/0!</v>
      </c>
      <c r="W153" s="319" t="s">
        <v>4945</v>
      </c>
      <c r="X153" s="319" t="s">
        <v>4013</v>
      </c>
      <c r="Y153" s="319"/>
      <c r="Z153" s="319"/>
      <c r="AA153" s="319"/>
      <c r="AB153" s="319"/>
      <c r="AC153" s="319"/>
      <c r="AD153" s="319"/>
      <c r="AE153" s="319"/>
      <c r="AF153" s="319"/>
      <c r="AG153" s="319"/>
      <c r="AH153" s="319"/>
      <c r="AI153" s="319"/>
      <c r="AJ153" s="319"/>
      <c r="AK153" s="319"/>
      <c r="AL153" s="319"/>
      <c r="AM153" s="319"/>
      <c r="AN153" s="319"/>
      <c r="AO153" s="319">
        <v>2060060</v>
      </c>
      <c r="AP153" s="319"/>
      <c r="AQ153" s="319"/>
      <c r="AR153" s="319"/>
      <c r="AS153" s="319"/>
      <c r="AT153" s="319"/>
      <c r="AU153" s="319"/>
      <c r="AV153" s="319"/>
      <c r="AW153" s="319"/>
      <c r="AX153" s="319"/>
      <c r="AY153" s="319"/>
      <c r="AZ153" s="319"/>
      <c r="BA153" s="319"/>
      <c r="BB153" s="319"/>
      <c r="BC153" s="319"/>
      <c r="BD153" s="319"/>
      <c r="BE153" s="319"/>
      <c r="BF153" s="319"/>
      <c r="BG153" s="319"/>
      <c r="BH153" s="319"/>
      <c r="BI153" s="319"/>
      <c r="BJ153" s="319"/>
      <c r="BK153" s="319"/>
      <c r="BL153" s="319"/>
      <c r="BM153" s="319"/>
      <c r="BN153" s="319"/>
      <c r="BO153" s="319"/>
      <c r="BP153" s="319"/>
      <c r="BQ153" s="319"/>
      <c r="BR153" s="319"/>
      <c r="BS153" s="319"/>
      <c r="BT153" s="319"/>
      <c r="BU153" s="319"/>
      <c r="BV153" s="319"/>
      <c r="BW153" s="319"/>
      <c r="BX153" s="319"/>
      <c r="BY153" s="319"/>
      <c r="BZ153" s="319"/>
      <c r="CA153" s="319"/>
      <c r="CB153" s="319"/>
      <c r="CC153" s="319"/>
      <c r="CD153" s="319"/>
      <c r="CE153" s="319"/>
      <c r="CF153" s="319"/>
    </row>
    <row r="154" spans="1:84" ht="12.75" hidden="1" customHeight="1">
      <c r="A154" s="12"/>
      <c r="B154" s="329" t="str">
        <f>$B$94</f>
        <v>Eletricidade fornecida à carga</v>
      </c>
      <c r="C154" s="29" t="str">
        <f>R14</f>
        <v>MWh</v>
      </c>
      <c r="D154" s="30">
        <f>IF(HideCodeES_PSS=1,$G$1107,IF($C$854=$E$1094,$G$1107,$G$1108))</f>
        <v>0</v>
      </c>
      <c r="E154" s="40" t="str">
        <f>IF($P$867=0,"",D154/$P$867)</f>
        <v/>
      </c>
      <c r="F154" s="1"/>
      <c r="G154" s="1"/>
      <c r="H154" s="1"/>
      <c r="I154" s="1"/>
      <c r="J154" s="1"/>
      <c r="K154" s="9"/>
      <c r="L154" s="1"/>
      <c r="M154" s="319"/>
      <c r="N154" s="319"/>
      <c r="O154" s="319"/>
      <c r="P154" s="319"/>
      <c r="Q154" s="319"/>
      <c r="R154" s="319"/>
      <c r="S154" s="319"/>
      <c r="T154" s="319"/>
      <c r="U154" s="319"/>
      <c r="V154" s="319"/>
      <c r="W154" s="319"/>
      <c r="X154" s="319"/>
      <c r="Y154" s="319"/>
      <c r="Z154" s="319"/>
      <c r="AA154" s="319"/>
      <c r="AB154" s="319"/>
      <c r="AC154" s="319"/>
      <c r="AD154" s="319"/>
      <c r="AE154" s="319"/>
      <c r="AF154" s="319"/>
      <c r="AG154" s="319"/>
      <c r="AH154" s="319"/>
      <c r="AI154" s="319"/>
      <c r="AJ154" s="319"/>
      <c r="AK154" s="319"/>
      <c r="AL154" s="319"/>
      <c r="AM154" s="319"/>
      <c r="AN154" s="319"/>
      <c r="AO154" s="319">
        <v>2050008</v>
      </c>
      <c r="AP154" s="319"/>
      <c r="AQ154" s="319"/>
      <c r="AR154" s="319"/>
      <c r="AS154" s="319"/>
      <c r="AT154" s="319"/>
      <c r="AU154" s="319"/>
      <c r="AV154" s="319"/>
      <c r="AW154" s="319"/>
      <c r="AX154" s="319"/>
      <c r="AY154" s="319"/>
      <c r="AZ154" s="319"/>
      <c r="BA154" s="319"/>
      <c r="BB154" s="319"/>
      <c r="BC154" s="319"/>
      <c r="BD154" s="319"/>
      <c r="BE154" s="319"/>
      <c r="BF154" s="319"/>
      <c r="BG154" s="319"/>
      <c r="BH154" s="319"/>
      <c r="BI154" s="319"/>
      <c r="BJ154" s="319"/>
      <c r="BK154" s="319"/>
      <c r="BL154" s="319"/>
      <c r="BM154" s="319"/>
      <c r="BN154" s="319"/>
      <c r="BO154" s="319"/>
      <c r="BP154" s="319"/>
      <c r="BQ154" s="319"/>
      <c r="BR154" s="319"/>
      <c r="BS154" s="319"/>
      <c r="BT154" s="319"/>
      <c r="BU154" s="319"/>
      <c r="BV154" s="319"/>
      <c r="BW154" s="319"/>
      <c r="BX154" s="319"/>
      <c r="BY154" s="319"/>
      <c r="BZ154" s="319"/>
      <c r="CA154" s="319"/>
      <c r="CB154" s="319"/>
      <c r="CC154" s="319"/>
      <c r="CD154" s="319"/>
      <c r="CE154" s="319"/>
      <c r="CF154" s="319"/>
    </row>
    <row r="155" spans="1:84" ht="12.75" hidden="1" customHeight="1">
      <c r="A155" s="12"/>
      <c r="B155" s="329" t="str">
        <f>$B$95</f>
        <v>Eletricidade exportada p/ rede</v>
      </c>
      <c r="C155" s="29" t="str">
        <f>R14</f>
        <v>MWh</v>
      </c>
      <c r="D155" s="30">
        <f>IF(HideCodeES_PSS=1,$J$1107,IF($C$854=$E$1094,$J$1107,$J$1108))</f>
        <v>5.3903325633948667</v>
      </c>
      <c r="E155" s="101"/>
      <c r="F155" s="1"/>
      <c r="G155" s="1"/>
      <c r="H155" s="1"/>
      <c r="I155" s="1"/>
      <c r="J155" s="1"/>
      <c r="K155" s="9"/>
      <c r="L155" s="1"/>
      <c r="M155" s="319"/>
      <c r="N155" s="319"/>
      <c r="O155" s="319"/>
      <c r="P155" s="319"/>
      <c r="Q155" s="319"/>
      <c r="R155" s="319"/>
      <c r="S155" s="319"/>
      <c r="T155" s="319"/>
      <c r="U155" s="319"/>
      <c r="V155" s="319"/>
      <c r="W155" s="319"/>
      <c r="X155" s="319"/>
      <c r="Y155" s="319"/>
      <c r="Z155" s="319"/>
      <c r="AA155" s="319"/>
      <c r="AB155" s="319"/>
      <c r="AC155" s="319"/>
      <c r="AD155" s="319"/>
      <c r="AE155" s="319"/>
      <c r="AF155" s="319"/>
      <c r="AG155" s="319"/>
      <c r="AH155" s="319"/>
      <c r="AI155" s="319"/>
      <c r="AJ155" s="319"/>
      <c r="AK155" s="319"/>
      <c r="AL155" s="319"/>
      <c r="AM155" s="319"/>
      <c r="AN155" s="319"/>
      <c r="AO155" s="319">
        <v>2050010</v>
      </c>
      <c r="AP155" s="319"/>
      <c r="AQ155" s="319"/>
      <c r="AR155" s="319"/>
      <c r="AS155" s="319"/>
      <c r="AT155" s="319"/>
      <c r="AU155" s="319"/>
      <c r="AV155" s="319"/>
      <c r="AW155" s="319"/>
      <c r="AX155" s="319"/>
      <c r="AY155" s="319"/>
      <c r="AZ155" s="319"/>
      <c r="BA155" s="319"/>
      <c r="BB155" s="319"/>
      <c r="BC155" s="319"/>
      <c r="BD155" s="319"/>
      <c r="BE155" s="319"/>
      <c r="BF155" s="319"/>
      <c r="BG155" s="319"/>
      <c r="BH155" s="319"/>
      <c r="BI155" s="319"/>
      <c r="BJ155" s="319"/>
      <c r="BK155" s="319"/>
      <c r="BL155" s="319"/>
      <c r="BM155" s="319"/>
      <c r="BN155" s="319"/>
      <c r="BO155" s="319"/>
      <c r="BP155" s="319"/>
      <c r="BQ155" s="319"/>
      <c r="BR155" s="319"/>
      <c r="BS155" s="319"/>
      <c r="BT155" s="319"/>
      <c r="BU155" s="319"/>
      <c r="BV155" s="319"/>
      <c r="BW155" s="319"/>
      <c r="BX155" s="319"/>
      <c r="BY155" s="319"/>
      <c r="BZ155" s="319"/>
      <c r="CA155" s="319"/>
      <c r="CB155" s="319"/>
      <c r="CC155" s="319"/>
      <c r="CD155" s="319"/>
      <c r="CE155" s="319"/>
      <c r="CF155" s="319"/>
    </row>
    <row r="156" spans="1:84" ht="12.75" hidden="1" customHeight="1">
      <c r="A156" s="12"/>
      <c r="B156" s="329" t="str">
        <f>Language!C457</f>
        <v>Temp. de retorno</v>
      </c>
      <c r="C156" s="303" t="s">
        <v>5568</v>
      </c>
      <c r="D156" s="307"/>
      <c r="E156" s="1"/>
      <c r="F156" s="1"/>
      <c r="G156" s="1"/>
      <c r="H156" s="1"/>
      <c r="I156" s="1"/>
      <c r="J156" s="1"/>
      <c r="K156" s="9"/>
      <c r="L156" s="1"/>
      <c r="M156" s="319"/>
      <c r="N156" s="319"/>
      <c r="O156" s="319"/>
      <c r="P156" s="319"/>
      <c r="Q156" s="319"/>
      <c r="R156" s="319" t="str">
        <f>$R$86</f>
        <v>°C</v>
      </c>
      <c r="S156" s="476">
        <f>IF(C156=$Z$1107,D156,(D156-32)/1.8)</f>
        <v>0</v>
      </c>
      <c r="T156" s="319"/>
      <c r="U156" s="319"/>
      <c r="V156" s="319">
        <f>IF(EnthalpyF(V142,S143+$AA$1090)-EnthalpyF(0.1,S156+$AA$1090)&lt;0,0,1)</f>
        <v>1</v>
      </c>
      <c r="W156" s="319" t="s">
        <v>4085</v>
      </c>
      <c r="X156" s="319"/>
      <c r="Y156" s="319"/>
      <c r="Z156" s="319"/>
      <c r="AA156" s="319"/>
      <c r="AB156" s="319"/>
      <c r="AC156" s="319"/>
      <c r="AD156" s="319"/>
      <c r="AE156" s="319"/>
      <c r="AF156" s="319"/>
      <c r="AG156" s="319"/>
      <c r="AH156" s="319"/>
      <c r="AI156" s="319"/>
      <c r="AJ156" s="319"/>
      <c r="AK156" s="319"/>
      <c r="AL156" s="319"/>
      <c r="AM156" s="319"/>
      <c r="AN156" s="319"/>
      <c r="AO156" s="319">
        <v>2060062</v>
      </c>
      <c r="AP156" s="319"/>
      <c r="AQ156" s="319"/>
      <c r="AR156" s="319"/>
      <c r="AS156" s="319"/>
      <c r="AT156" s="319"/>
      <c r="AU156" s="319"/>
      <c r="AV156" s="319"/>
      <c r="AW156" s="319"/>
      <c r="AX156" s="319"/>
      <c r="AY156" s="319"/>
      <c r="AZ156" s="319"/>
      <c r="BA156" s="319"/>
      <c r="BB156" s="319"/>
      <c r="BC156" s="319"/>
      <c r="BD156" s="319"/>
      <c r="BE156" s="319"/>
      <c r="BF156" s="319"/>
      <c r="BG156" s="319"/>
      <c r="BH156" s="319"/>
      <c r="BI156" s="319"/>
      <c r="BJ156" s="319"/>
      <c r="BK156" s="319"/>
      <c r="BL156" s="319"/>
      <c r="BM156" s="319"/>
      <c r="BN156" s="319"/>
      <c r="BO156" s="319"/>
      <c r="BP156" s="319"/>
      <c r="BQ156" s="319"/>
      <c r="BR156" s="319"/>
      <c r="BS156" s="319"/>
      <c r="BT156" s="319"/>
      <c r="BU156" s="319"/>
      <c r="BV156" s="319"/>
      <c r="BW156" s="319"/>
      <c r="BX156" s="319"/>
      <c r="BY156" s="319"/>
      <c r="BZ156" s="319"/>
      <c r="CA156" s="319"/>
      <c r="CB156" s="319"/>
      <c r="CC156" s="319"/>
      <c r="CD156" s="319"/>
      <c r="CE156" s="319"/>
      <c r="CF156" s="319"/>
    </row>
    <row r="157" spans="1:84" ht="12.75" hidden="1" customHeight="1">
      <c r="A157" s="12"/>
      <c r="B157" s="329" t="str">
        <f>Language!C432</f>
        <v>Capacidade térmica - sem extração</v>
      </c>
      <c r="C157" s="29" t="str">
        <f>IF(Unit=TRUE,R157,T157)</f>
        <v>kW</v>
      </c>
      <c r="D157" s="140">
        <f>IF(Unit=TRUE,S157,U157)</f>
        <v>0</v>
      </c>
      <c r="E157" s="40" t="str">
        <f>IF(OR(HideCode_projectType3=2,HideCode_projectType3=5),"",S157/$Q$866)</f>
        <v/>
      </c>
      <c r="F157" s="29" t="str">
        <f>IF($M$3=FALSE,"",IF(Unit=FALSE,R157,T157))</f>
        <v/>
      </c>
      <c r="G157" s="140" t="str">
        <f>IF($M$3=FALSE,"",IF(Unit=FALSE,S157,U157))</f>
        <v/>
      </c>
      <c r="H157" s="1"/>
      <c r="I157" s="1"/>
      <c r="J157" s="1"/>
      <c r="K157" s="9"/>
      <c r="L157" s="1"/>
      <c r="M157" s="319"/>
      <c r="N157" s="319"/>
      <c r="O157" s="319"/>
      <c r="P157" s="319"/>
      <c r="Q157" s="319"/>
      <c r="R157" s="319" t="str">
        <f>$R$20</f>
        <v>kW</v>
      </c>
      <c r="S157" s="476">
        <f>(IF(V142&gt;0.1,EnthalpyV(V142,S143+$AA$1090)-EnthalpyF(0.1,S156+$AA$1090),EnthalpyF(V142,S143+$AA$1090)-EnthalpyF(0.1,S156+$AA$1090))*S131*V156)/3600</f>
        <v>0</v>
      </c>
      <c r="T157" s="319" t="str">
        <f>$T$77</f>
        <v>milhão Btu/h</v>
      </c>
      <c r="U157" s="476">
        <f>S157*$AA$1087</f>
        <v>0</v>
      </c>
      <c r="V157" s="476"/>
      <c r="W157" s="319"/>
      <c r="X157" s="319"/>
      <c r="Y157" s="319"/>
      <c r="Z157" s="319"/>
      <c r="AA157" s="319"/>
      <c r="AB157" s="319"/>
      <c r="AC157" s="319"/>
      <c r="AD157" s="319"/>
      <c r="AE157" s="319"/>
      <c r="AF157" s="319"/>
      <c r="AG157" s="319"/>
      <c r="AH157" s="319"/>
      <c r="AI157" s="319"/>
      <c r="AJ157" s="319"/>
      <c r="AK157" s="319"/>
      <c r="AL157" s="319"/>
      <c r="AM157" s="319"/>
      <c r="AN157" s="319"/>
      <c r="AO157" s="319">
        <v>2060064</v>
      </c>
      <c r="AP157" s="319"/>
      <c r="AQ157" s="319"/>
      <c r="AR157" s="319"/>
      <c r="AS157" s="319"/>
      <c r="AT157" s="319"/>
      <c r="AU157" s="319"/>
      <c r="AV157" s="319"/>
      <c r="AW157" s="319"/>
      <c r="AX157" s="319"/>
      <c r="AY157" s="319"/>
      <c r="AZ157" s="319"/>
      <c r="BA157" s="319"/>
      <c r="BB157" s="319"/>
      <c r="BC157" s="319"/>
      <c r="BD157" s="319"/>
      <c r="BE157" s="319"/>
      <c r="BF157" s="319"/>
      <c r="BG157" s="319"/>
      <c r="BH157" s="319"/>
      <c r="BI157" s="319"/>
      <c r="BJ157" s="319"/>
      <c r="BK157" s="319"/>
      <c r="BL157" s="319"/>
      <c r="BM157" s="319"/>
      <c r="BN157" s="319"/>
      <c r="BO157" s="319"/>
      <c r="BP157" s="319"/>
      <c r="BQ157" s="319"/>
      <c r="BR157" s="319"/>
      <c r="BS157" s="319"/>
      <c r="BT157" s="319"/>
      <c r="BU157" s="319"/>
      <c r="BV157" s="319"/>
      <c r="BW157" s="319"/>
      <c r="BX157" s="319"/>
      <c r="BY157" s="319"/>
      <c r="BZ157" s="319"/>
      <c r="CA157" s="319"/>
      <c r="CB157" s="319"/>
      <c r="CC157" s="319"/>
      <c r="CD157" s="319"/>
      <c r="CE157" s="319"/>
      <c r="CF157" s="319"/>
    </row>
    <row r="158" spans="1:84" ht="12.75" hidden="1" customHeight="1">
      <c r="A158" s="14"/>
      <c r="B158" s="380" t="str">
        <f>IF(HideCodeES_Extract_GTCC1=2,Language!C431,Language!C433)</f>
        <v>Capacidade térmica</v>
      </c>
      <c r="C158" s="33" t="str">
        <f>IF(Unit=TRUE,R158,T158)</f>
        <v>kW</v>
      </c>
      <c r="D158" s="245">
        <f>IF(Unit=TRUE,S158,U158)</f>
        <v>0</v>
      </c>
      <c r="E158" s="102" t="str">
        <f>IF(OR(HideCode_projectType3=2,HideCode_projectType3=5),"",S158/$Q$866)</f>
        <v/>
      </c>
      <c r="F158" s="33" t="str">
        <f>IF($M$3=FALSE,"",IF(Unit=FALSE,R158,T158))</f>
        <v/>
      </c>
      <c r="G158" s="245" t="str">
        <f>IF($M$3=FALSE,"",IF(Unit=FALSE,S158,U158))</f>
        <v/>
      </c>
      <c r="H158" s="15"/>
      <c r="I158" s="15"/>
      <c r="J158" s="15"/>
      <c r="K158" s="11"/>
      <c r="L158" s="1"/>
      <c r="M158" s="319"/>
      <c r="N158" s="319"/>
      <c r="O158" s="319"/>
      <c r="P158" s="319"/>
      <c r="Q158" s="319"/>
      <c r="R158" s="319" t="str">
        <f>$R$20</f>
        <v>kW</v>
      </c>
      <c r="S158" s="476">
        <f>(IF(V142&gt;0.1,EnthalpyV(V142,S143+$AA$1090)-EnthalpyF(0.1,S156+$AA$1090),EnthalpyF(V142,S143+$AA$1090)-EnthalpyF(0.1,S156+$AA$1090))*S131*(1-S135)*V156+IF(V137&gt;0.1,(S140-EnthalpyF(0.1,S156+$AA$1090)),(EnthalpyF(V137,S138+$AA$1090)-EnthalpyF(0.1,S156+$AA$1090)))*S135*S131)/3600</f>
        <v>0</v>
      </c>
      <c r="T158" s="319" t="str">
        <f>$T$77</f>
        <v>milhão Btu/h</v>
      </c>
      <c r="U158" s="476">
        <f>S158*$AA$1087</f>
        <v>0</v>
      </c>
      <c r="V158" s="476"/>
      <c r="W158" s="319"/>
      <c r="X158" s="319"/>
      <c r="Y158" s="319"/>
      <c r="Z158" s="319"/>
      <c r="AA158" s="319"/>
      <c r="AB158" s="319"/>
      <c r="AC158" s="319"/>
      <c r="AD158" s="319"/>
      <c r="AE158" s="319"/>
      <c r="AF158" s="319"/>
      <c r="AG158" s="319"/>
      <c r="AH158" s="319"/>
      <c r="AI158" s="319"/>
      <c r="AJ158" s="319"/>
      <c r="AK158" s="319"/>
      <c r="AL158" s="319"/>
      <c r="AM158" s="319"/>
      <c r="AN158" s="319"/>
      <c r="AO158" s="319">
        <v>2060066</v>
      </c>
      <c r="AP158" s="319"/>
      <c r="AQ158" s="319"/>
      <c r="AR158" s="319"/>
      <c r="AS158" s="319"/>
      <c r="AT158" s="319"/>
      <c r="AU158" s="319"/>
      <c r="AV158" s="319"/>
      <c r="AW158" s="319"/>
      <c r="AX158" s="319"/>
      <c r="AY158" s="319"/>
      <c r="AZ158" s="319"/>
      <c r="BA158" s="319"/>
      <c r="BB158" s="319"/>
      <c r="BC158" s="319"/>
      <c r="BD158" s="319"/>
      <c r="BE158" s="319"/>
      <c r="BF158" s="319"/>
      <c r="BG158" s="319"/>
      <c r="BH158" s="319"/>
      <c r="BI158" s="319"/>
      <c r="BJ158" s="319"/>
      <c r="BK158" s="319"/>
      <c r="BL158" s="319"/>
      <c r="BM158" s="319"/>
      <c r="BN158" s="319"/>
      <c r="BO158" s="319"/>
      <c r="BP158" s="319"/>
      <c r="BQ158" s="319"/>
      <c r="BR158" s="319"/>
      <c r="BS158" s="319"/>
      <c r="BT158" s="319"/>
      <c r="BU158" s="319"/>
      <c r="BV158" s="319"/>
      <c r="BW158" s="319"/>
      <c r="BX158" s="319"/>
      <c r="BY158" s="319"/>
      <c r="BZ158" s="319"/>
      <c r="CA158" s="319"/>
      <c r="CB158" s="319"/>
      <c r="CC158" s="319"/>
      <c r="CD158" s="319"/>
      <c r="CE158" s="319"/>
      <c r="CF158" s="319"/>
    </row>
    <row r="159" spans="1:84" ht="12.75" hidden="1" customHeight="1">
      <c r="A159" s="50"/>
      <c r="B159" s="1"/>
      <c r="C159" s="1"/>
      <c r="D159" s="1"/>
      <c r="E159" s="1"/>
      <c r="F159" s="1"/>
      <c r="G159" s="1"/>
      <c r="H159" s="1"/>
      <c r="I159" s="1"/>
      <c r="J159" s="1"/>
      <c r="K159" s="6"/>
      <c r="L159" s="1"/>
      <c r="M159" s="319"/>
      <c r="N159" s="319"/>
      <c r="O159" s="319"/>
      <c r="P159" s="319"/>
      <c r="Q159" s="319"/>
      <c r="R159" s="319"/>
      <c r="S159" s="476"/>
      <c r="T159" s="319"/>
      <c r="U159" s="476"/>
      <c r="V159" s="476"/>
      <c r="W159" s="319"/>
      <c r="X159" s="319"/>
      <c r="Y159" s="319"/>
      <c r="Z159" s="319"/>
      <c r="AA159" s="319"/>
      <c r="AB159" s="319"/>
      <c r="AC159" s="319"/>
      <c r="AD159" s="319"/>
      <c r="AE159" s="319"/>
      <c r="AF159" s="319"/>
      <c r="AG159" s="319"/>
      <c r="AH159" s="319"/>
      <c r="AI159" s="319"/>
      <c r="AJ159" s="319"/>
      <c r="AK159" s="319"/>
      <c r="AL159" s="319"/>
      <c r="AM159" s="319"/>
      <c r="AN159" s="319"/>
      <c r="AO159" s="319">
        <v>2030000</v>
      </c>
      <c r="AP159" s="319"/>
      <c r="AQ159" s="319"/>
      <c r="AR159" s="319"/>
      <c r="AS159" s="319"/>
      <c r="AT159" s="319"/>
      <c r="AU159" s="319"/>
      <c r="AV159" s="319"/>
      <c r="AW159" s="319"/>
      <c r="AX159" s="319"/>
      <c r="AY159" s="319"/>
      <c r="AZ159" s="319"/>
      <c r="BA159" s="319"/>
      <c r="BB159" s="319"/>
      <c r="BC159" s="319"/>
      <c r="BD159" s="319"/>
      <c r="BE159" s="319"/>
      <c r="BF159" s="319"/>
      <c r="BG159" s="319"/>
      <c r="BH159" s="319"/>
      <c r="BI159" s="319"/>
      <c r="BJ159" s="319"/>
      <c r="BK159" s="319"/>
      <c r="BL159" s="319"/>
      <c r="BM159" s="319"/>
      <c r="BN159" s="319"/>
      <c r="BO159" s="319"/>
      <c r="BP159" s="319"/>
      <c r="BQ159" s="319"/>
      <c r="BR159" s="319"/>
      <c r="BS159" s="319"/>
      <c r="BT159" s="319"/>
      <c r="BU159" s="319"/>
      <c r="BV159" s="319"/>
      <c r="BW159" s="319"/>
      <c r="BX159" s="319"/>
      <c r="BY159" s="319"/>
      <c r="BZ159" s="319"/>
      <c r="CA159" s="319"/>
      <c r="CB159" s="319"/>
      <c r="CC159" s="319"/>
      <c r="CD159" s="319"/>
      <c r="CE159" s="319"/>
      <c r="CF159" s="319"/>
    </row>
    <row r="160" spans="1:84" ht="12.75" hidden="1" customHeight="1">
      <c r="A160" s="12"/>
      <c r="B160" s="28" t="str">
        <f>IF(HideCodeES_PSS=1,B127,B127&amp;" #1")</f>
        <v>Turbina à vapor</v>
      </c>
      <c r="C160" s="1"/>
      <c r="D160" s="1"/>
      <c r="E160" s="1"/>
      <c r="F160" s="1"/>
      <c r="G160" s="1"/>
      <c r="H160" s="1"/>
      <c r="I160" s="1"/>
      <c r="J160" s="1"/>
      <c r="K160" s="9"/>
      <c r="L160" s="1"/>
      <c r="M160" s="319"/>
      <c r="N160" s="319"/>
      <c r="O160" s="319"/>
      <c r="P160" s="319"/>
      <c r="Q160" s="319"/>
      <c r="R160" s="319"/>
      <c r="S160" s="476"/>
      <c r="T160" s="319"/>
      <c r="U160" s="476"/>
      <c r="V160" s="476"/>
      <c r="W160" s="319"/>
      <c r="X160" s="319"/>
      <c r="Y160" s="319"/>
      <c r="Z160" s="319" t="s">
        <v>2677</v>
      </c>
      <c r="AA160" s="319"/>
      <c r="AB160" s="319"/>
      <c r="AC160" s="319"/>
      <c r="AD160" s="319"/>
      <c r="AE160" s="319"/>
      <c r="AF160" s="319"/>
      <c r="AG160" s="319"/>
      <c r="AH160" s="319"/>
      <c r="AI160" s="319"/>
      <c r="AJ160" s="319"/>
      <c r="AK160" s="319"/>
      <c r="AL160" s="319"/>
      <c r="AM160" s="319"/>
      <c r="AN160" s="319"/>
      <c r="AO160" s="319">
        <v>14200</v>
      </c>
      <c r="AP160" s="319"/>
      <c r="AQ160" s="319"/>
      <c r="AR160" s="319"/>
      <c r="AS160" s="319"/>
      <c r="AT160" s="319"/>
      <c r="AU160" s="319"/>
      <c r="AV160" s="319"/>
      <c r="AW160" s="319"/>
      <c r="AX160" s="319"/>
      <c r="AY160" s="319"/>
      <c r="AZ160" s="319"/>
      <c r="BA160" s="319"/>
      <c r="BB160" s="319"/>
      <c r="BC160" s="319"/>
      <c r="BD160" s="319"/>
      <c r="BE160" s="319"/>
      <c r="BF160" s="319"/>
      <c r="BG160" s="319"/>
      <c r="BH160" s="319"/>
      <c r="BI160" s="319"/>
      <c r="BJ160" s="319"/>
      <c r="BK160" s="319"/>
      <c r="BL160" s="319"/>
      <c r="BM160" s="319"/>
      <c r="BN160" s="319"/>
      <c r="BO160" s="319"/>
      <c r="BP160" s="319"/>
      <c r="BQ160" s="319"/>
      <c r="BR160" s="319"/>
      <c r="BS160" s="319"/>
      <c r="BT160" s="319"/>
      <c r="BU160" s="319"/>
      <c r="BV160" s="319"/>
      <c r="BW160" s="319"/>
      <c r="BX160" s="319"/>
      <c r="BY160" s="319"/>
      <c r="BZ160" s="319"/>
      <c r="CA160" s="319"/>
      <c r="CB160" s="319"/>
      <c r="CC160" s="319"/>
      <c r="CD160" s="319"/>
      <c r="CE160" s="319"/>
      <c r="CF160" s="319"/>
    </row>
    <row r="161" spans="1:84" ht="12.75" hidden="1" customHeight="1">
      <c r="A161" s="12"/>
      <c r="B161" s="329" t="str">
        <f>B131</f>
        <v>Fluxo de vapor</v>
      </c>
      <c r="C161" s="303" t="s">
        <v>4448</v>
      </c>
      <c r="D161" s="307"/>
      <c r="E161" s="1"/>
      <c r="F161" s="1"/>
      <c r="G161" s="1"/>
      <c r="H161" s="1346"/>
      <c r="I161" s="1"/>
      <c r="J161" s="1"/>
      <c r="K161" s="9"/>
      <c r="L161" s="1"/>
      <c r="M161" s="319"/>
      <c r="N161" s="319"/>
      <c r="O161" s="319"/>
      <c r="P161" s="319"/>
      <c r="Q161" s="319"/>
      <c r="R161" s="319" t="s">
        <v>4448</v>
      </c>
      <c r="S161" s="476">
        <f>IF(C161=$Z$1084,D161,D161*$AA$1085)</f>
        <v>0</v>
      </c>
      <c r="T161" s="319"/>
      <c r="U161" s="476"/>
      <c r="V161" s="476"/>
      <c r="W161" s="319"/>
      <c r="X161" s="319"/>
      <c r="Y161" s="319"/>
      <c r="Z161" s="319" t="s">
        <v>2523</v>
      </c>
      <c r="AA161" s="319"/>
      <c r="AB161" s="319"/>
      <c r="AC161" s="319"/>
      <c r="AD161" s="319"/>
      <c r="AE161" s="319"/>
      <c r="AF161" s="319"/>
      <c r="AG161" s="319"/>
      <c r="AH161" s="319"/>
      <c r="AI161" s="319"/>
      <c r="AJ161" s="319"/>
      <c r="AK161" s="319"/>
      <c r="AL161" s="319"/>
      <c r="AM161" s="319"/>
      <c r="AN161" s="319"/>
      <c r="AO161" s="319">
        <v>2060016</v>
      </c>
      <c r="AP161" s="319"/>
      <c r="AQ161" s="319"/>
      <c r="AR161" s="319"/>
      <c r="AS161" s="319"/>
      <c r="AT161" s="319"/>
      <c r="AU161" s="319"/>
      <c r="AV161" s="319"/>
      <c r="AW161" s="319"/>
      <c r="AX161" s="319"/>
      <c r="AY161" s="319"/>
      <c r="AZ161" s="319"/>
      <c r="BA161" s="319"/>
      <c r="BB161" s="319"/>
      <c r="BC161" s="319"/>
      <c r="BD161" s="319"/>
      <c r="BE161" s="319"/>
      <c r="BF161" s="319"/>
      <c r="BG161" s="319"/>
      <c r="BH161" s="319"/>
      <c r="BI161" s="319"/>
      <c r="BJ161" s="319"/>
      <c r="BK161" s="319"/>
      <c r="BL161" s="319"/>
      <c r="BM161" s="319"/>
      <c r="BN161" s="319"/>
      <c r="BO161" s="319"/>
      <c r="BP161" s="319"/>
      <c r="BQ161" s="319"/>
      <c r="BR161" s="319"/>
      <c r="BS161" s="319"/>
      <c r="BT161" s="319"/>
      <c r="BU161" s="319"/>
      <c r="BV161" s="319"/>
      <c r="BW161" s="319"/>
      <c r="BX161" s="319"/>
      <c r="BY161" s="319"/>
      <c r="BZ161" s="319"/>
      <c r="CA161" s="319"/>
      <c r="CB161" s="319"/>
      <c r="CC161" s="319"/>
      <c r="CD161" s="319"/>
      <c r="CE161" s="319"/>
      <c r="CF161" s="319"/>
    </row>
    <row r="162" spans="1:84" ht="12.75" hidden="1" customHeight="1">
      <c r="A162" s="12"/>
      <c r="B162" s="329" t="str">
        <f>B85</f>
        <v>Pressão de Operação</v>
      </c>
      <c r="C162" s="303" t="s">
        <v>2791</v>
      </c>
      <c r="D162" s="307"/>
      <c r="E162" s="1"/>
      <c r="F162" s="1"/>
      <c r="G162" s="1"/>
      <c r="H162" s="1"/>
      <c r="I162" s="1"/>
      <c r="J162" s="1"/>
      <c r="K162" s="788" t="str">
        <f>IF(V162=SteamP,$G$1088,"")</f>
        <v>Pressão está fora do intervalo válido</v>
      </c>
      <c r="L162" s="1"/>
      <c r="M162" s="319"/>
      <c r="N162" s="319"/>
      <c r="O162" s="319"/>
      <c r="P162" s="319"/>
      <c r="Q162" s="319"/>
      <c r="R162" s="319"/>
      <c r="S162" s="476"/>
      <c r="T162" s="319"/>
      <c r="U162" s="476"/>
      <c r="V162" s="476">
        <f>IF(IF(C162=$Z$1067,D162/1000,IF(C162=$Z$1068,D162/10,IF(C162=$Z$1069,(D162+$AA$1069)/$Y$1069/10,IF(C162=$Z$1070,D162/$Y$1069/10))))&lt;SteamP,SteamP,IF(C162=$Z$1067,D162/1000,IF(C162=$Z$1068,D162/10,IF(C162=$Z$1069,(D162+$AA$1069)/$Y$1069/10,IF(C162=$Z$1070,D162/$Y$1069/10)))))</f>
        <v>1.1100000000000001E-3</v>
      </c>
      <c r="W162" s="319" t="s">
        <v>3345</v>
      </c>
      <c r="X162" s="319"/>
      <c r="Y162" s="319"/>
      <c r="Z162" s="319" t="s">
        <v>3006</v>
      </c>
      <c r="AA162" s="319"/>
      <c r="AB162" s="319"/>
      <c r="AC162" s="319"/>
      <c r="AD162" s="319"/>
      <c r="AE162" s="319"/>
      <c r="AF162" s="319"/>
      <c r="AG162" s="319"/>
      <c r="AH162" s="319"/>
      <c r="AI162" s="319"/>
      <c r="AJ162" s="319"/>
      <c r="AK162" s="319"/>
      <c r="AL162" s="319"/>
      <c r="AM162" s="319"/>
      <c r="AN162" s="319"/>
      <c r="AO162" s="319">
        <v>2060008</v>
      </c>
      <c r="AP162" s="319"/>
      <c r="AQ162" s="319"/>
      <c r="AR162" s="319"/>
      <c r="AS162" s="319"/>
      <c r="AT162" s="319"/>
      <c r="AU162" s="319"/>
      <c r="AV162" s="319"/>
      <c r="AW162" s="319"/>
      <c r="AX162" s="319"/>
      <c r="AY162" s="319"/>
      <c r="AZ162" s="319"/>
      <c r="BA162" s="319"/>
      <c r="BB162" s="319"/>
      <c r="BC162" s="319"/>
      <c r="BD162" s="319"/>
      <c r="BE162" s="319"/>
      <c r="BF162" s="319"/>
      <c r="BG162" s="319"/>
      <c r="BH162" s="319"/>
      <c r="BI162" s="319"/>
      <c r="BJ162" s="319"/>
      <c r="BK162" s="319"/>
      <c r="BL162" s="319"/>
      <c r="BM162" s="319"/>
      <c r="BN162" s="319"/>
      <c r="BO162" s="319"/>
      <c r="BP162" s="319"/>
      <c r="BQ162" s="319"/>
      <c r="BR162" s="319"/>
      <c r="BS162" s="319"/>
      <c r="BT162" s="319"/>
      <c r="BU162" s="319"/>
      <c r="BV162" s="319"/>
      <c r="BW162" s="319"/>
      <c r="BX162" s="319"/>
      <c r="BY162" s="319"/>
      <c r="BZ162" s="319"/>
      <c r="CA162" s="319"/>
      <c r="CB162" s="319"/>
      <c r="CC162" s="319"/>
      <c r="CD162" s="319"/>
      <c r="CE162" s="319"/>
      <c r="CF162" s="319"/>
    </row>
    <row r="163" spans="1:84" ht="12.75" hidden="1" customHeight="1">
      <c r="A163" s="12"/>
      <c r="B163" s="329" t="str">
        <f>B86</f>
        <v>Temperatura de saturação</v>
      </c>
      <c r="C163" s="29" t="str">
        <f>IF(Unit=TRUE,R163,T163)</f>
        <v>°C</v>
      </c>
      <c r="D163" s="30">
        <f>IF(Unit=TRUE,S163,U163)</f>
        <v>8.4990758364950239</v>
      </c>
      <c r="E163" s="1"/>
      <c r="F163" s="29" t="str">
        <f>IF($M$3=FALSE,"",IF(Unit=FALSE,R163,T163))</f>
        <v/>
      </c>
      <c r="G163" s="140" t="str">
        <f>IF($M$3=FALSE,"",IF(Unit=FALSE,S163,U163))</f>
        <v/>
      </c>
      <c r="H163" s="1"/>
      <c r="I163" s="1"/>
      <c r="J163" s="1"/>
      <c r="K163" s="9"/>
      <c r="L163" s="1"/>
      <c r="M163" s="319"/>
      <c r="N163" s="319"/>
      <c r="O163" s="319"/>
      <c r="P163" s="319"/>
      <c r="Q163" s="319"/>
      <c r="R163" s="319" t="str">
        <f>$R$86</f>
        <v>°C</v>
      </c>
      <c r="S163" s="476">
        <f>V163-$AA$1090</f>
        <v>8.4990758364950239</v>
      </c>
      <c r="T163" s="319" t="str">
        <f>$T$86</f>
        <v>°F</v>
      </c>
      <c r="U163" s="476">
        <f>S163*1.8+32</f>
        <v>47.29833650569104</v>
      </c>
      <c r="V163" s="476">
        <f>Tsat(V162)</f>
        <v>281.649075836495</v>
      </c>
      <c r="W163" s="319" t="s">
        <v>143</v>
      </c>
      <c r="X163" s="319"/>
      <c r="Y163" s="319"/>
      <c r="Z163" s="319" t="s">
        <v>5143</v>
      </c>
      <c r="AA163" s="319"/>
      <c r="AB163" s="319"/>
      <c r="AC163" s="319"/>
      <c r="AD163" s="319"/>
      <c r="AE163" s="319"/>
      <c r="AF163" s="319"/>
      <c r="AG163" s="319"/>
      <c r="AH163" s="319"/>
      <c r="AI163" s="319"/>
      <c r="AJ163" s="319"/>
      <c r="AK163" s="319"/>
      <c r="AL163" s="319"/>
      <c r="AM163" s="319"/>
      <c r="AN163" s="319"/>
      <c r="AO163" s="319">
        <v>2060010</v>
      </c>
      <c r="AP163" s="319"/>
      <c r="AQ163" s="319"/>
      <c r="AR163" s="319"/>
      <c r="AS163" s="319"/>
      <c r="AT163" s="319"/>
      <c r="AU163" s="319"/>
      <c r="AV163" s="319"/>
      <c r="AW163" s="319"/>
      <c r="AX163" s="319"/>
      <c r="AY163" s="319"/>
      <c r="AZ163" s="319"/>
      <c r="BA163" s="319"/>
      <c r="BB163" s="319"/>
      <c r="BC163" s="319"/>
      <c r="BD163" s="319"/>
      <c r="BE163" s="319"/>
      <c r="BF163" s="319"/>
      <c r="BG163" s="319"/>
      <c r="BH163" s="319"/>
      <c r="BI163" s="319"/>
      <c r="BJ163" s="319"/>
      <c r="BK163" s="319"/>
      <c r="BL163" s="319"/>
      <c r="BM163" s="319"/>
      <c r="BN163" s="319"/>
      <c r="BO163" s="319"/>
      <c r="BP163" s="319"/>
      <c r="BQ163" s="319"/>
      <c r="BR163" s="319"/>
      <c r="BS163" s="319"/>
      <c r="BT163" s="319"/>
      <c r="BU163" s="319"/>
      <c r="BV163" s="319"/>
      <c r="BW163" s="319"/>
      <c r="BX163" s="319"/>
      <c r="BY163" s="319"/>
      <c r="BZ163" s="319"/>
      <c r="CA163" s="319"/>
      <c r="CB163" s="319"/>
      <c r="CC163" s="319"/>
      <c r="CD163" s="319"/>
      <c r="CE163" s="319"/>
      <c r="CF163" s="319"/>
    </row>
    <row r="164" spans="1:84" ht="12.75" hidden="1" customHeight="1">
      <c r="A164" s="12"/>
      <c r="B164" s="329" t="str">
        <f>B87</f>
        <v>Temperatura superaquecimento</v>
      </c>
      <c r="C164" s="303" t="s">
        <v>5568</v>
      </c>
      <c r="D164" s="307"/>
      <c r="E164" s="1"/>
      <c r="F164" s="29"/>
      <c r="G164" s="1"/>
      <c r="H164" s="1"/>
      <c r="I164" s="1"/>
      <c r="J164" s="1"/>
      <c r="K164" s="788" t="str">
        <f>IF(S164&lt;S163,$G$1089,IF(S164&gt;800,$G$1090,""))</f>
        <v>Temp do vapor abaixo do ponto de saturação</v>
      </c>
      <c r="L164" s="1"/>
      <c r="M164" s="319"/>
      <c r="N164" s="319"/>
      <c r="O164" s="319"/>
      <c r="P164" s="319"/>
      <c r="Q164" s="319"/>
      <c r="R164" s="319" t="str">
        <f>$R$86</f>
        <v>°C</v>
      </c>
      <c r="S164" s="476">
        <f>IF(C164=$Z$1107,D164,(D164-32)/1.8)</f>
        <v>0</v>
      </c>
      <c r="T164" s="319"/>
      <c r="U164" s="476"/>
      <c r="V164" s="476">
        <f>S164+$AA$1090</f>
        <v>273.14999999999998</v>
      </c>
      <c r="W164" s="319" t="s">
        <v>143</v>
      </c>
      <c r="X164" s="319"/>
      <c r="Y164" s="319"/>
      <c r="Z164" s="319" t="s">
        <v>2002</v>
      </c>
      <c r="AA164" s="319"/>
      <c r="AB164" s="319"/>
      <c r="AC164" s="319"/>
      <c r="AD164" s="319"/>
      <c r="AE164" s="319"/>
      <c r="AF164" s="319"/>
      <c r="AG164" s="319"/>
      <c r="AH164" s="319"/>
      <c r="AI164" s="319"/>
      <c r="AJ164" s="319"/>
      <c r="AK164" s="319"/>
      <c r="AL164" s="319"/>
      <c r="AM164" s="319"/>
      <c r="AN164" s="319"/>
      <c r="AO164" s="319">
        <v>2060012</v>
      </c>
      <c r="AP164" s="319"/>
      <c r="AQ164" s="319"/>
      <c r="AR164" s="319"/>
      <c r="AS164" s="319"/>
      <c r="AT164" s="319"/>
      <c r="AU164" s="319"/>
      <c r="AV164" s="319"/>
      <c r="AW164" s="319"/>
      <c r="AX164" s="319"/>
      <c r="AY164" s="319"/>
      <c r="AZ164" s="319"/>
      <c r="BA164" s="319"/>
      <c r="BB164" s="319"/>
      <c r="BC164" s="319"/>
      <c r="BD164" s="319"/>
      <c r="BE164" s="319"/>
      <c r="BF164" s="319"/>
      <c r="BG164" s="319"/>
      <c r="BH164" s="319"/>
      <c r="BI164" s="319"/>
      <c r="BJ164" s="319"/>
      <c r="BK164" s="319"/>
      <c r="BL164" s="319"/>
      <c r="BM164" s="319"/>
      <c r="BN164" s="319"/>
      <c r="BO164" s="319"/>
      <c r="BP164" s="319"/>
      <c r="BQ164" s="319"/>
      <c r="BR164" s="319"/>
      <c r="BS164" s="319"/>
      <c r="BT164" s="319"/>
      <c r="BU164" s="319"/>
      <c r="BV164" s="319"/>
      <c r="BW164" s="319"/>
      <c r="BX164" s="319"/>
      <c r="BY164" s="319"/>
      <c r="BZ164" s="319"/>
      <c r="CA164" s="319"/>
      <c r="CB164" s="319"/>
      <c r="CC164" s="319"/>
      <c r="CD164" s="319"/>
      <c r="CE164" s="319"/>
      <c r="CF164" s="319"/>
    </row>
    <row r="165" spans="1:84" ht="12.75" hidden="1" customHeight="1">
      <c r="A165" s="12"/>
      <c r="B165" s="329" t="str">
        <f>Language!C437</f>
        <v>Entalpia</v>
      </c>
      <c r="C165" s="29" t="str">
        <f>IF(Unit=TRUE,R165,T165)</f>
        <v>kJ/kg</v>
      </c>
      <c r="D165" s="30">
        <f>IF(Unit=TRUE,S165,U165)</f>
        <v>2500.3977354876192</v>
      </c>
      <c r="E165" s="1"/>
      <c r="F165" s="29" t="str">
        <f>IF($M$3=FALSE,"",IF(Unit=FALSE,R165,T165))</f>
        <v/>
      </c>
      <c r="G165" s="140" t="str">
        <f>IF($M$3=FALSE,"",IF(Unit=FALSE,S165,U165))</f>
        <v/>
      </c>
      <c r="H165" s="1"/>
      <c r="I165" s="1"/>
      <c r="J165" s="1"/>
      <c r="K165" s="9"/>
      <c r="L165" s="1"/>
      <c r="M165" s="319"/>
      <c r="N165" s="319"/>
      <c r="O165" s="319"/>
      <c r="P165" s="319"/>
      <c r="Q165" s="319"/>
      <c r="R165" s="319" t="str">
        <f>$R$132</f>
        <v>kJ/kg</v>
      </c>
      <c r="S165" s="476">
        <f>V165</f>
        <v>2500.3977354876192</v>
      </c>
      <c r="T165" s="319" t="str">
        <f>$T$132</f>
        <v>Btu/lb</v>
      </c>
      <c r="U165" s="476">
        <f>S165*$AA$1073</f>
        <v>1074.9775303042218</v>
      </c>
      <c r="V165" s="476">
        <f>EnthalpyV(V162,V164)</f>
        <v>2500.3977354876192</v>
      </c>
      <c r="W165" s="319" t="s">
        <v>2922</v>
      </c>
      <c r="X165" s="319"/>
      <c r="Y165" s="319"/>
      <c r="Z165" s="319" t="s">
        <v>724</v>
      </c>
      <c r="AA165" s="319"/>
      <c r="AB165" s="319"/>
      <c r="AC165" s="319"/>
      <c r="AD165" s="319"/>
      <c r="AE165" s="319"/>
      <c r="AF165" s="319"/>
      <c r="AG165" s="319"/>
      <c r="AH165" s="319"/>
      <c r="AI165" s="319"/>
      <c r="AJ165" s="319"/>
      <c r="AK165" s="319"/>
      <c r="AL165" s="319"/>
      <c r="AM165" s="319"/>
      <c r="AN165" s="319"/>
      <c r="AO165" s="319">
        <v>2060018</v>
      </c>
      <c r="AP165" s="319"/>
      <c r="AQ165" s="319"/>
      <c r="AR165" s="319"/>
      <c r="AS165" s="319"/>
      <c r="AT165" s="319"/>
      <c r="AU165" s="319"/>
      <c r="AV165" s="319"/>
      <c r="AW165" s="319"/>
      <c r="AX165" s="319"/>
      <c r="AY165" s="319"/>
      <c r="AZ165" s="319"/>
      <c r="BA165" s="319"/>
      <c r="BB165" s="319"/>
      <c r="BC165" s="319"/>
      <c r="BD165" s="319"/>
      <c r="BE165" s="319"/>
      <c r="BF165" s="319"/>
      <c r="BG165" s="319"/>
      <c r="BH165" s="319"/>
      <c r="BI165" s="319"/>
      <c r="BJ165" s="319"/>
      <c r="BK165" s="319"/>
      <c r="BL165" s="319"/>
      <c r="BM165" s="319"/>
      <c r="BN165" s="319"/>
      <c r="BO165" s="319"/>
      <c r="BP165" s="319"/>
      <c r="BQ165" s="319"/>
      <c r="BR165" s="319"/>
      <c r="BS165" s="319"/>
      <c r="BT165" s="319"/>
      <c r="BU165" s="319"/>
      <c r="BV165" s="319"/>
      <c r="BW165" s="319"/>
      <c r="BX165" s="319"/>
      <c r="BY165" s="319"/>
      <c r="BZ165" s="319"/>
      <c r="CA165" s="319"/>
      <c r="CB165" s="319"/>
      <c r="CC165" s="319"/>
      <c r="CD165" s="319"/>
      <c r="CE165" s="319"/>
      <c r="CF165" s="319"/>
    </row>
    <row r="166" spans="1:84" ht="12.75" hidden="1" customHeight="1">
      <c r="A166" s="12"/>
      <c r="B166" s="329" t="str">
        <f>Language!C438</f>
        <v>Entropia</v>
      </c>
      <c r="C166" s="29" t="str">
        <f>IF(Unit=TRUE,R166,T166)</f>
        <v>kJ/kg/K</v>
      </c>
      <c r="D166" s="100">
        <f>IF(Unit=TRUE,S166,U166)</f>
        <v>8.8787178819601049</v>
      </c>
      <c r="E166" s="1"/>
      <c r="F166" s="29" t="str">
        <f>IF($M$3=FALSE,"",IF(Unit=FALSE,R166,T166))</f>
        <v/>
      </c>
      <c r="G166" s="140" t="str">
        <f>IF($M$3=FALSE,"",IF(Unit=FALSE,S166,U166))</f>
        <v/>
      </c>
      <c r="H166" s="1"/>
      <c r="I166" s="1"/>
      <c r="J166" s="1"/>
      <c r="K166" s="9"/>
      <c r="L166" s="1"/>
      <c r="M166" s="319"/>
      <c r="N166" s="319"/>
      <c r="O166" s="319"/>
      <c r="P166" s="319"/>
      <c r="Q166" s="319"/>
      <c r="R166" s="319" t="str">
        <f>$R$133</f>
        <v>kJ/kg/K</v>
      </c>
      <c r="S166" s="476">
        <f>V166</f>
        <v>8.8787178819601049</v>
      </c>
      <c r="T166" s="319" t="str">
        <f>$T$133</f>
        <v>Btu/lb/°R</v>
      </c>
      <c r="U166" s="476">
        <f>S166*$AA$1075</f>
        <v>2.1206453334193434</v>
      </c>
      <c r="V166" s="476">
        <f>entropyV(V162,V164)</f>
        <v>8.8787178819601049</v>
      </c>
      <c r="W166" s="319" t="s">
        <v>2923</v>
      </c>
      <c r="X166" s="319"/>
      <c r="Y166" s="319"/>
      <c r="Z166" s="319" t="s">
        <v>1540</v>
      </c>
      <c r="AA166" s="319"/>
      <c r="AB166" s="319"/>
      <c r="AC166" s="319"/>
      <c r="AD166" s="319"/>
      <c r="AE166" s="319"/>
      <c r="AF166" s="319"/>
      <c r="AG166" s="319"/>
      <c r="AH166" s="319"/>
      <c r="AI166" s="319"/>
      <c r="AJ166" s="319"/>
      <c r="AK166" s="319"/>
      <c r="AL166" s="319"/>
      <c r="AM166" s="319"/>
      <c r="AN166" s="319"/>
      <c r="AO166" s="319">
        <v>2060020</v>
      </c>
      <c r="AP166" s="319"/>
      <c r="AQ166" s="319"/>
      <c r="AR166" s="319"/>
      <c r="AS166" s="319"/>
      <c r="AT166" s="319"/>
      <c r="AU166" s="319"/>
      <c r="AV166" s="319"/>
      <c r="AW166" s="319"/>
      <c r="AX166" s="319"/>
      <c r="AY166" s="319"/>
      <c r="AZ166" s="319"/>
      <c r="BA166" s="319"/>
      <c r="BB166" s="319"/>
      <c r="BC166" s="319"/>
      <c r="BD166" s="319"/>
      <c r="BE166" s="319"/>
      <c r="BF166" s="319"/>
      <c r="BG166" s="319"/>
      <c r="BH166" s="319"/>
      <c r="BI166" s="319"/>
      <c r="BJ166" s="319"/>
      <c r="BK166" s="319"/>
      <c r="BL166" s="319"/>
      <c r="BM166" s="319"/>
      <c r="BN166" s="319"/>
      <c r="BO166" s="319"/>
      <c r="BP166" s="319"/>
      <c r="BQ166" s="319"/>
      <c r="BR166" s="319"/>
      <c r="BS166" s="319"/>
      <c r="BT166" s="319"/>
      <c r="BU166" s="319"/>
      <c r="BV166" s="319"/>
      <c r="BW166" s="319"/>
      <c r="BX166" s="319"/>
      <c r="BY166" s="319"/>
      <c r="BZ166" s="319"/>
      <c r="CA166" s="319"/>
      <c r="CB166" s="319"/>
      <c r="CC166" s="319"/>
      <c r="CD166" s="319"/>
      <c r="CE166" s="319"/>
      <c r="CF166" s="319"/>
    </row>
    <row r="167" spans="1:84" ht="12.75" hidden="1" customHeight="1">
      <c r="A167" s="12"/>
      <c r="B167" s="28" t="str">
        <f>Language!C439</f>
        <v>Porta de extração</v>
      </c>
      <c r="C167" s="1"/>
      <c r="D167" s="303" t="s">
        <v>6132</v>
      </c>
      <c r="E167" s="1"/>
      <c r="F167" s="1"/>
      <c r="G167" s="1"/>
      <c r="H167" s="1"/>
      <c r="I167" s="1"/>
      <c r="J167" s="1"/>
      <c r="K167" s="9"/>
      <c r="L167" s="1"/>
      <c r="M167" s="319">
        <f>IF(D167="",1,MATCH(D167,YesNo,0))</f>
        <v>2</v>
      </c>
      <c r="N167" s="319"/>
      <c r="O167" s="319" t="s">
        <v>4265</v>
      </c>
      <c r="P167" s="319"/>
      <c r="Q167" s="319"/>
      <c r="R167" s="319"/>
      <c r="S167" s="476"/>
      <c r="T167" s="319"/>
      <c r="U167" s="476"/>
      <c r="V167" s="476"/>
      <c r="W167" s="319"/>
      <c r="X167" s="319"/>
      <c r="Y167" s="319"/>
      <c r="Z167" s="319"/>
      <c r="AA167" s="319"/>
      <c r="AB167" s="319"/>
      <c r="AC167" s="319"/>
      <c r="AD167" s="319"/>
      <c r="AE167" s="319"/>
      <c r="AF167" s="319"/>
      <c r="AG167" s="319"/>
      <c r="AH167" s="319"/>
      <c r="AI167" s="319"/>
      <c r="AJ167" s="319"/>
      <c r="AK167" s="319"/>
      <c r="AL167" s="319"/>
      <c r="AM167" s="319"/>
      <c r="AN167" s="319"/>
      <c r="AO167" s="319">
        <v>2060022</v>
      </c>
      <c r="AP167" s="319"/>
      <c r="AQ167" s="319"/>
      <c r="AR167" s="319"/>
      <c r="AS167" s="319"/>
      <c r="AT167" s="319"/>
      <c r="AU167" s="319"/>
      <c r="AV167" s="319"/>
      <c r="AW167" s="319"/>
      <c r="AX167" s="319"/>
      <c r="AY167" s="319"/>
      <c r="AZ167" s="319"/>
      <c r="BA167" s="319"/>
      <c r="BB167" s="319"/>
      <c r="BC167" s="319"/>
      <c r="BD167" s="319"/>
      <c r="BE167" s="319"/>
      <c r="BF167" s="319"/>
      <c r="BG167" s="319"/>
      <c r="BH167" s="319"/>
      <c r="BI167" s="319"/>
      <c r="BJ167" s="319"/>
      <c r="BK167" s="319"/>
      <c r="BL167" s="319"/>
      <c r="BM167" s="319"/>
      <c r="BN167" s="319"/>
      <c r="BO167" s="319"/>
      <c r="BP167" s="319"/>
      <c r="BQ167" s="319"/>
      <c r="BR167" s="319"/>
      <c r="BS167" s="319"/>
      <c r="BT167" s="319"/>
      <c r="BU167" s="319"/>
      <c r="BV167" s="319"/>
      <c r="BW167" s="319"/>
      <c r="BX167" s="319"/>
      <c r="BY167" s="319"/>
      <c r="BZ167" s="319"/>
      <c r="CA167" s="319"/>
      <c r="CB167" s="319"/>
      <c r="CC167" s="319"/>
      <c r="CD167" s="319"/>
      <c r="CE167" s="319"/>
      <c r="CF167" s="319"/>
    </row>
    <row r="168" spans="1:84" ht="12.75" hidden="1" customHeight="1">
      <c r="A168" s="12"/>
      <c r="B168" s="329" t="str">
        <f>Language!C440</f>
        <v>Extração máxima</v>
      </c>
      <c r="C168" s="29" t="str">
        <f>$T$35</f>
        <v>%</v>
      </c>
      <c r="D168" s="339"/>
      <c r="E168" s="1"/>
      <c r="F168" s="1"/>
      <c r="G168" s="1"/>
      <c r="H168" s="1"/>
      <c r="I168" s="1"/>
      <c r="J168" s="1"/>
      <c r="K168" s="9"/>
      <c r="L168" s="1"/>
      <c r="M168" s="319"/>
      <c r="N168" s="319"/>
      <c r="O168" s="319"/>
      <c r="P168" s="319"/>
      <c r="Q168" s="319"/>
      <c r="R168" s="319"/>
      <c r="S168" s="476"/>
      <c r="T168" s="319"/>
      <c r="U168" s="476"/>
      <c r="V168" s="476">
        <f>IF(HideCodeES_Extract_ST1=1,D168,0)</f>
        <v>0</v>
      </c>
      <c r="W168" s="319" t="s">
        <v>2153</v>
      </c>
      <c r="X168" s="319"/>
      <c r="Y168" s="319"/>
      <c r="Z168" s="319"/>
      <c r="AA168" s="319"/>
      <c r="AB168" s="319"/>
      <c r="AC168" s="319"/>
      <c r="AD168" s="319"/>
      <c r="AE168" s="319"/>
      <c r="AF168" s="319"/>
      <c r="AG168" s="319"/>
      <c r="AH168" s="319"/>
      <c r="AI168" s="319"/>
      <c r="AJ168" s="319"/>
      <c r="AK168" s="319"/>
      <c r="AL168" s="319"/>
      <c r="AM168" s="319"/>
      <c r="AN168" s="319"/>
      <c r="AO168" s="319">
        <v>2060024</v>
      </c>
      <c r="AP168" s="319"/>
      <c r="AQ168" s="319"/>
      <c r="AR168" s="319"/>
      <c r="AS168" s="319"/>
      <c r="AT168" s="319"/>
      <c r="AU168" s="319"/>
      <c r="AV168" s="319"/>
      <c r="AW168" s="319"/>
      <c r="AX168" s="319"/>
      <c r="AY168" s="319"/>
      <c r="AZ168" s="319"/>
      <c r="BA168" s="319"/>
      <c r="BB168" s="319"/>
      <c r="BC168" s="319"/>
      <c r="BD168" s="319"/>
      <c r="BE168" s="319"/>
      <c r="BF168" s="319"/>
      <c r="BG168" s="319"/>
      <c r="BH168" s="319"/>
      <c r="BI168" s="319"/>
      <c r="BJ168" s="319"/>
      <c r="BK168" s="319"/>
      <c r="BL168" s="319"/>
      <c r="BM168" s="319"/>
      <c r="BN168" s="319"/>
      <c r="BO168" s="319"/>
      <c r="BP168" s="319"/>
      <c r="BQ168" s="319"/>
      <c r="BR168" s="319"/>
      <c r="BS168" s="319"/>
      <c r="BT168" s="319"/>
      <c r="BU168" s="319"/>
      <c r="BV168" s="319"/>
      <c r="BW168" s="319"/>
      <c r="BX168" s="319"/>
      <c r="BY168" s="319"/>
      <c r="BZ168" s="319"/>
      <c r="CA168" s="319"/>
      <c r="CB168" s="319"/>
      <c r="CC168" s="319"/>
      <c r="CD168" s="319"/>
      <c r="CE168" s="319"/>
      <c r="CF168" s="319"/>
    </row>
    <row r="169" spans="1:84" ht="12.75" hidden="1" customHeight="1">
      <c r="A169" s="12"/>
      <c r="B169" s="329" t="str">
        <f>Language!C441</f>
        <v>Extração</v>
      </c>
      <c r="C169" s="29" t="str">
        <f>IF(Unit=TRUE,R169,T169)</f>
        <v>kg/h</v>
      </c>
      <c r="D169" s="30">
        <f>IF(Unit=TRUE,U169,S169)</f>
        <v>0</v>
      </c>
      <c r="E169" s="1"/>
      <c r="F169" s="29" t="str">
        <f>IF($M$3=FALSE,"",IF(Unit=FALSE,R169,T169))</f>
        <v/>
      </c>
      <c r="G169" s="140" t="str">
        <f>IF($M$3=FALSE,"",IF(Unit=FALSE,U169,S169))</f>
        <v/>
      </c>
      <c r="H169" s="1"/>
      <c r="I169" s="1"/>
      <c r="J169" s="1"/>
      <c r="K169" s="9"/>
      <c r="L169" s="1"/>
      <c r="M169" s="319"/>
      <c r="N169" s="319"/>
      <c r="O169" s="319"/>
      <c r="P169" s="319"/>
      <c r="Q169" s="319"/>
      <c r="R169" s="319" t="str">
        <f>$R$89</f>
        <v>kg/h</v>
      </c>
      <c r="S169" s="476">
        <f>U169/$AA$1085</f>
        <v>0</v>
      </c>
      <c r="T169" s="319" t="str">
        <f>$T$89</f>
        <v>lb/h</v>
      </c>
      <c r="U169" s="476">
        <f>V168*S161</f>
        <v>0</v>
      </c>
      <c r="V169" s="476"/>
      <c r="W169" s="319"/>
      <c r="X169" s="319"/>
      <c r="Y169" s="319"/>
      <c r="Z169" s="319" t="s">
        <v>2122</v>
      </c>
      <c r="AA169" s="319"/>
      <c r="AB169" s="319"/>
      <c r="AC169" s="319"/>
      <c r="AD169" s="319"/>
      <c r="AE169" s="319"/>
      <c r="AF169" s="319"/>
      <c r="AG169" s="319"/>
      <c r="AH169" s="319"/>
      <c r="AI169" s="319"/>
      <c r="AJ169" s="319"/>
      <c r="AK169" s="319"/>
      <c r="AL169" s="319"/>
      <c r="AM169" s="319"/>
      <c r="AN169" s="319"/>
      <c r="AO169" s="319">
        <v>2060026</v>
      </c>
      <c r="AP169" s="319"/>
      <c r="AQ169" s="319"/>
      <c r="AR169" s="319"/>
      <c r="AS169" s="319"/>
      <c r="AT169" s="319"/>
      <c r="AU169" s="319"/>
      <c r="AV169" s="319"/>
      <c r="AW169" s="319"/>
      <c r="AX169" s="319"/>
      <c r="AY169" s="319"/>
      <c r="AZ169" s="319"/>
      <c r="BA169" s="319"/>
      <c r="BB169" s="319"/>
      <c r="BC169" s="319"/>
      <c r="BD169" s="319"/>
      <c r="BE169" s="319"/>
      <c r="BF169" s="319"/>
      <c r="BG169" s="319"/>
      <c r="BH169" s="319"/>
      <c r="BI169" s="319"/>
      <c r="BJ169" s="319"/>
      <c r="BK169" s="319"/>
      <c r="BL169" s="319"/>
      <c r="BM169" s="319"/>
      <c r="BN169" s="319"/>
      <c r="BO169" s="319"/>
      <c r="BP169" s="319"/>
      <c r="BQ169" s="319"/>
      <c r="BR169" s="319"/>
      <c r="BS169" s="319"/>
      <c r="BT169" s="319"/>
      <c r="BU169" s="319"/>
      <c r="BV169" s="319"/>
      <c r="BW169" s="319"/>
      <c r="BX169" s="319"/>
      <c r="BY169" s="319"/>
      <c r="BZ169" s="319"/>
      <c r="CA169" s="319"/>
      <c r="CB169" s="319"/>
      <c r="CC169" s="319"/>
      <c r="CD169" s="319"/>
      <c r="CE169" s="319"/>
      <c r="CF169" s="319"/>
    </row>
    <row r="170" spans="1:84" ht="12.75" hidden="1" customHeight="1">
      <c r="A170" s="12"/>
      <c r="B170" s="329" t="str">
        <f>Language!C442</f>
        <v>Pressão da extração</v>
      </c>
      <c r="C170" s="303" t="s">
        <v>741</v>
      </c>
      <c r="D170" s="307"/>
      <c r="E170" s="1"/>
      <c r="F170" s="1"/>
      <c r="G170" s="1"/>
      <c r="H170" s="1"/>
      <c r="I170" s="1"/>
      <c r="J170" s="1"/>
      <c r="K170" s="788" t="str">
        <f>IF(S170=SteamP,$G$1088,IF(S170&lt;=V175,Language!C485,""))</f>
        <v>Pressão está fora do intervalo válido</v>
      </c>
      <c r="L170" s="1"/>
      <c r="M170" s="319"/>
      <c r="N170" s="319"/>
      <c r="O170" s="319"/>
      <c r="P170" s="319"/>
      <c r="Q170" s="319"/>
      <c r="R170" s="319"/>
      <c r="S170" s="476">
        <f>IF(IF(C170=$Z$1061,D170/1000,IF(C170=$Z$1062,(D170+$AA$1069)/$Y$1069/10,IF(C170=$Z$1063,D170/$Y$1069/10,IF(C170=$Z$1064,D170/$AA$1064,D170/$AA$1065/10))))&lt;SteamP,SteamP,IF(C170=$Z$1061,D170/1000,IF(C170=$Z$1062,(D170+$AA$1069)/$Y$1069/10,IF(C170=$Z$1063,D170/$Y$1069/10,IF(C170=$Z$1064,D170/$AA$1064,D170/$AA$1065/10)))))</f>
        <v>1.1100000000000001E-3</v>
      </c>
      <c r="T170" s="319" t="s">
        <v>3345</v>
      </c>
      <c r="U170" s="476"/>
      <c r="V170" s="476"/>
      <c r="W170" s="319"/>
      <c r="X170" s="319"/>
      <c r="Y170" s="319"/>
      <c r="Z170" s="319"/>
      <c r="AA170" s="319"/>
      <c r="AB170" s="319"/>
      <c r="AC170" s="319"/>
      <c r="AD170" s="319"/>
      <c r="AE170" s="319"/>
      <c r="AF170" s="319"/>
      <c r="AG170" s="319"/>
      <c r="AH170" s="319"/>
      <c r="AI170" s="319"/>
      <c r="AJ170" s="319"/>
      <c r="AK170" s="319"/>
      <c r="AL170" s="319"/>
      <c r="AM170" s="319"/>
      <c r="AN170" s="319"/>
      <c r="AO170" s="319">
        <v>2060028</v>
      </c>
      <c r="AP170" s="319"/>
      <c r="AQ170" s="319"/>
      <c r="AR170" s="319"/>
      <c r="AS170" s="319"/>
      <c r="AT170" s="319"/>
      <c r="AU170" s="319"/>
      <c r="AV170" s="319"/>
      <c r="AW170" s="319"/>
      <c r="AX170" s="319"/>
      <c r="AY170" s="319"/>
      <c r="AZ170" s="319"/>
      <c r="BA170" s="319"/>
      <c r="BB170" s="319"/>
      <c r="BC170" s="319"/>
      <c r="BD170" s="319"/>
      <c r="BE170" s="319"/>
      <c r="BF170" s="319"/>
      <c r="BG170" s="319"/>
      <c r="BH170" s="319"/>
      <c r="BI170" s="319"/>
      <c r="BJ170" s="319"/>
      <c r="BK170" s="319"/>
      <c r="BL170" s="319"/>
      <c r="BM170" s="319"/>
      <c r="BN170" s="319"/>
      <c r="BO170" s="319"/>
      <c r="BP170" s="319"/>
      <c r="BQ170" s="319"/>
      <c r="BR170" s="319"/>
      <c r="BS170" s="319"/>
      <c r="BT170" s="319"/>
      <c r="BU170" s="319"/>
      <c r="BV170" s="319"/>
      <c r="BW170" s="319"/>
      <c r="BX170" s="319"/>
      <c r="BY170" s="319"/>
      <c r="BZ170" s="319"/>
      <c r="CA170" s="319"/>
      <c r="CB170" s="319"/>
      <c r="CC170" s="319"/>
      <c r="CD170" s="319"/>
      <c r="CE170" s="319"/>
      <c r="CF170" s="319"/>
    </row>
    <row r="171" spans="1:84" ht="12.75" hidden="1" customHeight="1">
      <c r="A171" s="12"/>
      <c r="B171" s="329" t="str">
        <f>B138</f>
        <v>Temperatura</v>
      </c>
      <c r="C171" s="29" t="str">
        <f>IF(Unit=TRUE,R171,T171)</f>
        <v>°C</v>
      </c>
      <c r="D171" s="30">
        <f>IF(Unit=TRUE,S171,U171)</f>
        <v>8.4990758364950239</v>
      </c>
      <c r="E171" s="1"/>
      <c r="F171" s="29" t="str">
        <f>IF($M$3=FALSE,"",IF(Unit=FALSE,R171,T171))</f>
        <v/>
      </c>
      <c r="G171" s="140" t="str">
        <f>IF($M$3=FALSE,"",IF(Unit=FALSE,S171,U171))</f>
        <v/>
      </c>
      <c r="H171" s="1"/>
      <c r="I171" s="1"/>
      <c r="J171" s="1"/>
      <c r="K171" s="9"/>
      <c r="L171" s="1"/>
      <c r="M171" s="319"/>
      <c r="N171" s="319"/>
      <c r="O171" s="319"/>
      <c r="P171" s="319"/>
      <c r="Q171" s="319"/>
      <c r="R171" s="319" t="str">
        <f>$R$86</f>
        <v>°C</v>
      </c>
      <c r="S171" s="476">
        <f>V171-$AA$1090</f>
        <v>8.4990758364950239</v>
      </c>
      <c r="T171" s="319" t="str">
        <f>$T$86</f>
        <v>°F</v>
      </c>
      <c r="U171" s="476">
        <f>S171*1.8+32</f>
        <v>47.29833650569104</v>
      </c>
      <c r="V171" s="476">
        <f>Tsat(S170)</f>
        <v>281.649075836495</v>
      </c>
      <c r="W171" s="319" t="s">
        <v>143</v>
      </c>
      <c r="X171" s="319"/>
      <c r="Y171" s="319"/>
      <c r="Z171" s="319"/>
      <c r="AA171" s="319"/>
      <c r="AB171" s="319"/>
      <c r="AC171" s="319"/>
      <c r="AD171" s="319"/>
      <c r="AE171" s="319"/>
      <c r="AF171" s="319"/>
      <c r="AG171" s="319"/>
      <c r="AH171" s="319"/>
      <c r="AI171" s="319"/>
      <c r="AJ171" s="319"/>
      <c r="AK171" s="319"/>
      <c r="AL171" s="319"/>
      <c r="AM171" s="319"/>
      <c r="AN171" s="319"/>
      <c r="AO171" s="319">
        <v>2060030</v>
      </c>
      <c r="AP171" s="319"/>
      <c r="AQ171" s="319"/>
      <c r="AR171" s="319"/>
      <c r="AS171" s="319"/>
      <c r="AT171" s="319"/>
      <c r="AU171" s="319"/>
      <c r="AV171" s="319"/>
      <c r="AW171" s="319"/>
      <c r="AX171" s="319"/>
      <c r="AY171" s="319"/>
      <c r="AZ171" s="319"/>
      <c r="BA171" s="319"/>
      <c r="BB171" s="319"/>
      <c r="BC171" s="319"/>
      <c r="BD171" s="319"/>
      <c r="BE171" s="319"/>
      <c r="BF171" s="319"/>
      <c r="BG171" s="319"/>
      <c r="BH171" s="319"/>
      <c r="BI171" s="319"/>
      <c r="BJ171" s="319"/>
      <c r="BK171" s="319"/>
      <c r="BL171" s="319"/>
      <c r="BM171" s="319"/>
      <c r="BN171" s="319"/>
      <c r="BO171" s="319"/>
      <c r="BP171" s="319"/>
      <c r="BQ171" s="319"/>
      <c r="BR171" s="319"/>
      <c r="BS171" s="319"/>
      <c r="BT171" s="319"/>
      <c r="BU171" s="319"/>
      <c r="BV171" s="319"/>
      <c r="BW171" s="319"/>
      <c r="BX171" s="319"/>
      <c r="BY171" s="319"/>
      <c r="BZ171" s="319"/>
      <c r="CA171" s="319"/>
      <c r="CB171" s="319"/>
      <c r="CC171" s="319"/>
      <c r="CD171" s="319"/>
      <c r="CE171" s="319"/>
      <c r="CF171" s="319"/>
    </row>
    <row r="172" spans="1:84" ht="12.75" hidden="1" customHeight="1">
      <c r="A172" s="12"/>
      <c r="B172" s="329" t="str">
        <f>B139</f>
        <v>Qualidade da mistura</v>
      </c>
      <c r="C172" s="1"/>
      <c r="D172" s="284">
        <f>V172</f>
        <v>0.9934117547612823</v>
      </c>
      <c r="E172" s="1"/>
      <c r="F172" s="1"/>
      <c r="G172" s="1"/>
      <c r="H172" s="1"/>
      <c r="I172" s="1"/>
      <c r="J172" s="1"/>
      <c r="K172" s="788" t="str">
        <f>IF(D172&lt;1,$G$1091,"")</f>
        <v>Vapor está húmido</v>
      </c>
      <c r="L172" s="1"/>
      <c r="M172" s="319"/>
      <c r="N172" s="319"/>
      <c r="O172" s="319"/>
      <c r="P172" s="319"/>
      <c r="Q172" s="319"/>
      <c r="R172" s="319"/>
      <c r="S172" s="476"/>
      <c r="T172" s="319"/>
      <c r="U172" s="476"/>
      <c r="V172" s="476">
        <f>(entropyV(V162,V164)-entropyF(S170,V171))/(entropyV(S170,V171)-entropyF(S170,V171))</f>
        <v>0.9934117547612823</v>
      </c>
      <c r="W172" s="319"/>
      <c r="X172" s="319"/>
      <c r="Y172" s="319"/>
      <c r="Z172" s="319"/>
      <c r="AA172" s="319"/>
      <c r="AB172" s="319"/>
      <c r="AC172" s="319"/>
      <c r="AD172" s="319"/>
      <c r="AE172" s="319"/>
      <c r="AF172" s="319"/>
      <c r="AG172" s="319"/>
      <c r="AH172" s="319"/>
      <c r="AI172" s="319"/>
      <c r="AJ172" s="319"/>
      <c r="AK172" s="319"/>
      <c r="AL172" s="319"/>
      <c r="AM172" s="319"/>
      <c r="AN172" s="319"/>
      <c r="AO172" s="319">
        <v>2060032</v>
      </c>
      <c r="AP172" s="319"/>
      <c r="AQ172" s="319"/>
      <c r="AR172" s="319"/>
      <c r="AS172" s="319"/>
      <c r="AT172" s="319"/>
      <c r="AU172" s="319"/>
      <c r="AV172" s="319"/>
      <c r="AW172" s="319"/>
      <c r="AX172" s="319"/>
      <c r="AY172" s="319"/>
      <c r="AZ172" s="319"/>
      <c r="BA172" s="319"/>
      <c r="BB172" s="319"/>
      <c r="BC172" s="319"/>
      <c r="BD172" s="319"/>
      <c r="BE172" s="319"/>
      <c r="BF172" s="319"/>
      <c r="BG172" s="319"/>
      <c r="BH172" s="319"/>
      <c r="BI172" s="319"/>
      <c r="BJ172" s="319"/>
      <c r="BK172" s="319"/>
      <c r="BL172" s="319"/>
      <c r="BM172" s="319"/>
      <c r="BN172" s="319"/>
      <c r="BO172" s="319"/>
      <c r="BP172" s="319"/>
      <c r="BQ172" s="319"/>
      <c r="BR172" s="319"/>
      <c r="BS172" s="319"/>
      <c r="BT172" s="319"/>
      <c r="BU172" s="319"/>
      <c r="BV172" s="319"/>
      <c r="BW172" s="319"/>
      <c r="BX172" s="319"/>
      <c r="BY172" s="319"/>
      <c r="BZ172" s="319"/>
      <c r="CA172" s="319"/>
      <c r="CB172" s="319"/>
      <c r="CC172" s="319"/>
      <c r="CD172" s="319"/>
      <c r="CE172" s="319"/>
      <c r="CF172" s="319"/>
    </row>
    <row r="173" spans="1:84" ht="12.75" hidden="1" customHeight="1">
      <c r="A173" s="12"/>
      <c r="B173" s="329" t="str">
        <f>B132</f>
        <v>Entalpia</v>
      </c>
      <c r="C173" s="29" t="str">
        <f>IF(Unit=TRUE,R173,T173)</f>
        <v>kJ/kg</v>
      </c>
      <c r="D173" s="30">
        <f>IF(Unit=TRUE,S173,U173)</f>
        <v>2500.1495435522315</v>
      </c>
      <c r="E173" s="1"/>
      <c r="F173" s="29" t="str">
        <f>IF($M$3=FALSE,"",IF(Unit=FALSE,R173,T173))</f>
        <v/>
      </c>
      <c r="G173" s="140" t="str">
        <f>IF($M$3=FALSE,"",IF(Unit=FALSE,S173,U173))</f>
        <v/>
      </c>
      <c r="H173" s="1"/>
      <c r="I173" s="1"/>
      <c r="J173" s="1"/>
      <c r="K173" s="9"/>
      <c r="L173" s="1"/>
      <c r="M173" s="319"/>
      <c r="N173" s="319"/>
      <c r="O173" s="319"/>
      <c r="P173" s="319"/>
      <c r="Q173" s="319"/>
      <c r="R173" s="319" t="str">
        <f>$R$132</f>
        <v>kJ/kg</v>
      </c>
      <c r="S173" s="476">
        <f>V173</f>
        <v>2500.1495435522315</v>
      </c>
      <c r="T173" s="319" t="str">
        <f>$T$132</f>
        <v>Btu/lb</v>
      </c>
      <c r="U173" s="476">
        <f>S173*$AA$1073</f>
        <v>1074.8708269786036</v>
      </c>
      <c r="V173" s="476">
        <f>EnthalpyF(S170,V171)+V172*(EnthalpyV(S170,V171)-EnthalpyF(S170,V171))</f>
        <v>2500.1495435522315</v>
      </c>
      <c r="W173" s="319" t="s">
        <v>2922</v>
      </c>
      <c r="X173" s="319"/>
      <c r="Y173" s="319"/>
      <c r="Z173" s="319" t="s">
        <v>341</v>
      </c>
      <c r="AA173" s="319"/>
      <c r="AB173" s="319"/>
      <c r="AC173" s="319"/>
      <c r="AD173" s="319"/>
      <c r="AE173" s="319"/>
      <c r="AF173" s="319"/>
      <c r="AG173" s="319"/>
      <c r="AH173" s="319"/>
      <c r="AI173" s="319"/>
      <c r="AJ173" s="319"/>
      <c r="AK173" s="319"/>
      <c r="AL173" s="319"/>
      <c r="AM173" s="319"/>
      <c r="AN173" s="319"/>
      <c r="AO173" s="319">
        <v>2060034</v>
      </c>
      <c r="AP173" s="319"/>
      <c r="AQ173" s="319"/>
      <c r="AR173" s="319"/>
      <c r="AS173" s="319"/>
      <c r="AT173" s="319"/>
      <c r="AU173" s="319"/>
      <c r="AV173" s="319"/>
      <c r="AW173" s="319"/>
      <c r="AX173" s="319"/>
      <c r="AY173" s="319"/>
      <c r="AZ173" s="319"/>
      <c r="BA173" s="319"/>
      <c r="BB173" s="319"/>
      <c r="BC173" s="319"/>
      <c r="BD173" s="319"/>
      <c r="BE173" s="319"/>
      <c r="BF173" s="319"/>
      <c r="BG173" s="319"/>
      <c r="BH173" s="319"/>
      <c r="BI173" s="319"/>
      <c r="BJ173" s="319"/>
      <c r="BK173" s="319"/>
      <c r="BL173" s="319"/>
      <c r="BM173" s="319"/>
      <c r="BN173" s="319"/>
      <c r="BO173" s="319"/>
      <c r="BP173" s="319"/>
      <c r="BQ173" s="319"/>
      <c r="BR173" s="319"/>
      <c r="BS173" s="319"/>
      <c r="BT173" s="319"/>
      <c r="BU173" s="319"/>
      <c r="BV173" s="319"/>
      <c r="BW173" s="319"/>
      <c r="BX173" s="319"/>
      <c r="BY173" s="319"/>
      <c r="BZ173" s="319"/>
      <c r="CA173" s="319"/>
      <c r="CB173" s="319"/>
      <c r="CC173" s="319"/>
      <c r="CD173" s="319"/>
      <c r="CE173" s="319"/>
      <c r="CF173" s="319"/>
    </row>
    <row r="174" spans="1:84" ht="12.75" hidden="1" customHeight="1">
      <c r="A174" s="12"/>
      <c r="B174" s="329" t="str">
        <f>B141</f>
        <v>Taxa teórica de produção do vapor</v>
      </c>
      <c r="C174" s="29" t="str">
        <f>IF(Unit=TRUE,R174,T174)</f>
        <v>kg/kWh</v>
      </c>
      <c r="D174" s="100">
        <f>IF(Unit=TRUE,S174,U174)</f>
        <v>14504.903208786885</v>
      </c>
      <c r="E174" s="1"/>
      <c r="F174" s="29" t="str">
        <f>IF($M$3=FALSE,"",IF(Unit=FALSE,R174,T174))</f>
        <v/>
      </c>
      <c r="G174" s="140" t="str">
        <f>IF($M$3=FALSE,"",IF(Unit=FALSE,S174,U174))</f>
        <v/>
      </c>
      <c r="H174" s="1"/>
      <c r="I174" s="1"/>
      <c r="J174" s="1"/>
      <c r="K174" s="9"/>
      <c r="L174" s="1"/>
      <c r="M174" s="319"/>
      <c r="N174" s="319"/>
      <c r="O174" s="319"/>
      <c r="P174" s="319"/>
      <c r="Q174" s="319"/>
      <c r="R174" s="319" t="str">
        <f>$R$141</f>
        <v>kg/kWh</v>
      </c>
      <c r="S174" s="476">
        <f>$V174</f>
        <v>14504.903208786885</v>
      </c>
      <c r="T174" s="319" t="str">
        <f>$T$141</f>
        <v>lb/kWh</v>
      </c>
      <c r="U174" s="476">
        <f>S174/$AA$1085</f>
        <v>31977.837741818465</v>
      </c>
      <c r="V174" s="476">
        <f>3600/(V165-V173)</f>
        <v>14504.903208786885</v>
      </c>
      <c r="W174" s="319" t="s">
        <v>5699</v>
      </c>
      <c r="X174" s="319"/>
      <c r="Y174" s="319"/>
      <c r="Z174" s="319"/>
      <c r="AA174" s="319"/>
      <c r="AB174" s="319"/>
      <c r="AC174" s="319"/>
      <c r="AD174" s="319"/>
      <c r="AE174" s="319"/>
      <c r="AF174" s="319"/>
      <c r="AG174" s="319"/>
      <c r="AH174" s="319"/>
      <c r="AI174" s="319"/>
      <c r="AJ174" s="319"/>
      <c r="AK174" s="319"/>
      <c r="AL174" s="319"/>
      <c r="AM174" s="319"/>
      <c r="AN174" s="319"/>
      <c r="AO174" s="319">
        <v>2060036</v>
      </c>
      <c r="AP174" s="319"/>
      <c r="AQ174" s="319"/>
      <c r="AR174" s="319"/>
      <c r="AS174" s="319"/>
      <c r="AT174" s="319"/>
      <c r="AU174" s="319"/>
      <c r="AV174" s="319"/>
      <c r="AW174" s="319"/>
      <c r="AX174" s="319"/>
      <c r="AY174" s="319"/>
      <c r="AZ174" s="319"/>
      <c r="BA174" s="319"/>
      <c r="BB174" s="319"/>
      <c r="BC174" s="319"/>
      <c r="BD174" s="319"/>
      <c r="BE174" s="319"/>
      <c r="BF174" s="319"/>
      <c r="BG174" s="319"/>
      <c r="BH174" s="319"/>
      <c r="BI174" s="319"/>
      <c r="BJ174" s="319"/>
      <c r="BK174" s="319"/>
      <c r="BL174" s="319"/>
      <c r="BM174" s="319"/>
      <c r="BN174" s="319"/>
      <c r="BO174" s="319"/>
      <c r="BP174" s="319"/>
      <c r="BQ174" s="319"/>
      <c r="BR174" s="319"/>
      <c r="BS174" s="319"/>
      <c r="BT174" s="319"/>
      <c r="BU174" s="319"/>
      <c r="BV174" s="319"/>
      <c r="BW174" s="319"/>
      <c r="BX174" s="319"/>
      <c r="BY174" s="319"/>
      <c r="BZ174" s="319"/>
      <c r="CA174" s="319"/>
      <c r="CB174" s="319"/>
      <c r="CC174" s="319"/>
      <c r="CD174" s="319"/>
      <c r="CE174" s="319"/>
      <c r="CF174" s="319"/>
    </row>
    <row r="175" spans="1:84" ht="12.75" hidden="1" customHeight="1">
      <c r="A175" s="12"/>
      <c r="B175" s="28" t="str">
        <f>Language!C446</f>
        <v>Saída da turbina - pressão de vapor</v>
      </c>
      <c r="C175" s="303" t="s">
        <v>741</v>
      </c>
      <c r="D175" s="382"/>
      <c r="E175" s="1"/>
      <c r="F175" s="1"/>
      <c r="G175" s="1"/>
      <c r="H175" s="1"/>
      <c r="I175" s="1"/>
      <c r="J175" s="1"/>
      <c r="K175" s="788" t="str">
        <f>IF(V175=SteamP,$G$1088,"")</f>
        <v>Pressão está fora do intervalo válido</v>
      </c>
      <c r="L175" s="1"/>
      <c r="M175" s="319"/>
      <c r="N175" s="319"/>
      <c r="O175" s="319"/>
      <c r="P175" s="319"/>
      <c r="Q175" s="319"/>
      <c r="R175" s="319"/>
      <c r="S175" s="476"/>
      <c r="T175" s="319"/>
      <c r="U175" s="476"/>
      <c r="V175" s="476">
        <f>IF(IF(C175=$Z$1061,D175/1000,IF(C175=$Z$1062,(D175+$AA$1069)/$Y$1069/10,IF(C175=$Z$1063,D175/$Y$1069/10,IF(C175=$Z$1064,D175/$AA$1064,D175/$AA$1065/10))))&lt;SteamP,SteamP,IF(C175=$Z$1061,D175/1000,IF(C175=$Z$1062,(D175+$AA$1069)/$Y$1069/10,IF(C175=$Z$1063,D175/$Y$1069/10,IF(C175=$Z$1064,D175/$AA$1064,D175/$AA$1065/10)))))</f>
        <v>1.1100000000000001E-3</v>
      </c>
      <c r="W175" s="319" t="s">
        <v>3345</v>
      </c>
      <c r="X175" s="319"/>
      <c r="Y175" s="319"/>
      <c r="Z175" s="319"/>
      <c r="AA175" s="319"/>
      <c r="AB175" s="319"/>
      <c r="AC175" s="319"/>
      <c r="AD175" s="319"/>
      <c r="AE175" s="319"/>
      <c r="AF175" s="319"/>
      <c r="AG175" s="319"/>
      <c r="AH175" s="319"/>
      <c r="AI175" s="319"/>
      <c r="AJ175" s="319"/>
      <c r="AK175" s="319"/>
      <c r="AL175" s="319"/>
      <c r="AM175" s="319"/>
      <c r="AN175" s="319"/>
      <c r="AO175" s="319">
        <v>2060038</v>
      </c>
      <c r="AP175" s="319"/>
      <c r="AQ175" s="319"/>
      <c r="AR175" s="319"/>
      <c r="AS175" s="319"/>
      <c r="AT175" s="319"/>
      <c r="AU175" s="319"/>
      <c r="AV175" s="319"/>
      <c r="AW175" s="319"/>
      <c r="AX175" s="319"/>
      <c r="AY175" s="319"/>
      <c r="AZ175" s="319"/>
      <c r="BA175" s="319"/>
      <c r="BB175" s="319"/>
      <c r="BC175" s="319"/>
      <c r="BD175" s="319"/>
      <c r="BE175" s="319"/>
      <c r="BF175" s="319"/>
      <c r="BG175" s="319"/>
      <c r="BH175" s="319"/>
      <c r="BI175" s="319"/>
      <c r="BJ175" s="319"/>
      <c r="BK175" s="319"/>
      <c r="BL175" s="319"/>
      <c r="BM175" s="319"/>
      <c r="BN175" s="319"/>
      <c r="BO175" s="319"/>
      <c r="BP175" s="319"/>
      <c r="BQ175" s="319"/>
      <c r="BR175" s="319"/>
      <c r="BS175" s="319"/>
      <c r="BT175" s="319"/>
      <c r="BU175" s="319"/>
      <c r="BV175" s="319"/>
      <c r="BW175" s="319"/>
      <c r="BX175" s="319"/>
      <c r="BY175" s="319"/>
      <c r="BZ175" s="319"/>
      <c r="CA175" s="319"/>
      <c r="CB175" s="319"/>
      <c r="CC175" s="319"/>
      <c r="CD175" s="319"/>
      <c r="CE175" s="319"/>
      <c r="CF175" s="319"/>
    </row>
    <row r="176" spans="1:84" ht="12.75" hidden="1" customHeight="1">
      <c r="A176" s="12"/>
      <c r="B176" s="329" t="str">
        <f>B171</f>
        <v>Temperatura</v>
      </c>
      <c r="C176" s="29" t="str">
        <f>IF(Unit=TRUE,R176,T176)</f>
        <v>°C</v>
      </c>
      <c r="D176" s="30">
        <f>IF(Unit=TRUE,S176,U176)</f>
        <v>8.4990758364950239</v>
      </c>
      <c r="E176" s="1"/>
      <c r="F176" s="29" t="str">
        <f>IF($M$3=FALSE,"",IF(Unit=FALSE,R176,T176))</f>
        <v/>
      </c>
      <c r="G176" s="140" t="str">
        <f>IF($M$3=FALSE,"",IF(Unit=FALSE,S176,U176))</f>
        <v/>
      </c>
      <c r="H176" s="1"/>
      <c r="I176" s="1"/>
      <c r="J176" s="1"/>
      <c r="K176" s="9"/>
      <c r="L176" s="1"/>
      <c r="M176" s="319"/>
      <c r="N176" s="319"/>
      <c r="O176" s="319"/>
      <c r="P176" s="319"/>
      <c r="Q176" s="319"/>
      <c r="R176" s="319" t="str">
        <f>$R$86</f>
        <v>°C</v>
      </c>
      <c r="S176" s="476">
        <f>V176-$AA$1090</f>
        <v>8.4990758364950239</v>
      </c>
      <c r="T176" s="319" t="str">
        <f>$T$86</f>
        <v>°F</v>
      </c>
      <c r="U176" s="476">
        <f>S176*1.8+32</f>
        <v>47.29833650569104</v>
      </c>
      <c r="V176" s="476">
        <f>Tsat(V175)</f>
        <v>281.649075836495</v>
      </c>
      <c r="W176" s="319" t="s">
        <v>143</v>
      </c>
      <c r="X176" s="319"/>
      <c r="Y176" s="319"/>
      <c r="Z176" s="319"/>
      <c r="AA176" s="319"/>
      <c r="AB176" s="319"/>
      <c r="AC176" s="319"/>
      <c r="AD176" s="319"/>
      <c r="AE176" s="319"/>
      <c r="AF176" s="319"/>
      <c r="AG176" s="319"/>
      <c r="AH176" s="319"/>
      <c r="AI176" s="319"/>
      <c r="AJ176" s="319"/>
      <c r="AK176" s="319"/>
      <c r="AL176" s="319"/>
      <c r="AM176" s="319"/>
      <c r="AN176" s="319"/>
      <c r="AO176" s="319">
        <v>2060040</v>
      </c>
      <c r="AP176" s="319"/>
      <c r="AQ176" s="319"/>
      <c r="AR176" s="319"/>
      <c r="AS176" s="319"/>
      <c r="AT176" s="319"/>
      <c r="AU176" s="319"/>
      <c r="AV176" s="319"/>
      <c r="AW176" s="319"/>
      <c r="AX176" s="319"/>
      <c r="AY176" s="319"/>
      <c r="AZ176" s="319"/>
      <c r="BA176" s="319"/>
      <c r="BB176" s="319"/>
      <c r="BC176" s="319"/>
      <c r="BD176" s="319"/>
      <c r="BE176" s="319"/>
      <c r="BF176" s="319"/>
      <c r="BG176" s="319"/>
      <c r="BH176" s="319"/>
      <c r="BI176" s="319"/>
      <c r="BJ176" s="319"/>
      <c r="BK176" s="319"/>
      <c r="BL176" s="319"/>
      <c r="BM176" s="319"/>
      <c r="BN176" s="319"/>
      <c r="BO176" s="319"/>
      <c r="BP176" s="319"/>
      <c r="BQ176" s="319"/>
      <c r="BR176" s="319"/>
      <c r="BS176" s="319"/>
      <c r="BT176" s="319"/>
      <c r="BU176" s="319"/>
      <c r="BV176" s="319"/>
      <c r="BW176" s="319"/>
      <c r="BX176" s="319"/>
      <c r="BY176" s="319"/>
      <c r="BZ176" s="319"/>
      <c r="CA176" s="319"/>
      <c r="CB176" s="319"/>
      <c r="CC176" s="319"/>
      <c r="CD176" s="319"/>
      <c r="CE176" s="319"/>
      <c r="CF176" s="319"/>
    </row>
    <row r="177" spans="1:84" ht="12.75" hidden="1" customHeight="1">
      <c r="A177" s="12"/>
      <c r="B177" s="329" t="str">
        <f>B139</f>
        <v>Qualidade da mistura</v>
      </c>
      <c r="C177" s="1"/>
      <c r="D177" s="284">
        <f>V177</f>
        <v>0.9934117547612823</v>
      </c>
      <c r="E177" s="1"/>
      <c r="F177" s="1"/>
      <c r="G177" s="1"/>
      <c r="H177" s="1"/>
      <c r="I177" s="1"/>
      <c r="J177" s="1"/>
      <c r="K177" s="788" t="str">
        <f>IF(D177&lt;1,$G$1091,"")</f>
        <v>Vapor está húmido</v>
      </c>
      <c r="L177" s="1"/>
      <c r="M177" s="319"/>
      <c r="N177" s="319"/>
      <c r="O177" s="319"/>
      <c r="P177" s="319"/>
      <c r="Q177" s="319"/>
      <c r="R177" s="319"/>
      <c r="S177" s="476"/>
      <c r="T177" s="319"/>
      <c r="U177" s="476"/>
      <c r="V177" s="476">
        <f>(entropyV(V162,V164)-entropyF(V175,V176))/(entropyV(V175,V176)-entropyF(V175,V176))</f>
        <v>0.9934117547612823</v>
      </c>
      <c r="W177" s="319"/>
      <c r="X177" s="319"/>
      <c r="Y177" s="319"/>
      <c r="Z177" s="319" t="s">
        <v>1212</v>
      </c>
      <c r="AA177" s="319"/>
      <c r="AB177" s="319"/>
      <c r="AC177" s="319"/>
      <c r="AD177" s="319"/>
      <c r="AE177" s="319"/>
      <c r="AF177" s="319"/>
      <c r="AG177" s="319"/>
      <c r="AH177" s="319"/>
      <c r="AI177" s="319"/>
      <c r="AJ177" s="319"/>
      <c r="AK177" s="319"/>
      <c r="AL177" s="319"/>
      <c r="AM177" s="319"/>
      <c r="AN177" s="319"/>
      <c r="AO177" s="319">
        <v>2060042</v>
      </c>
      <c r="AP177" s="319"/>
      <c r="AQ177" s="319"/>
      <c r="AR177" s="319"/>
      <c r="AS177" s="319"/>
      <c r="AT177" s="319"/>
      <c r="AU177" s="319"/>
      <c r="AV177" s="319"/>
      <c r="AW177" s="319"/>
      <c r="AX177" s="319"/>
      <c r="AY177" s="319"/>
      <c r="AZ177" s="319"/>
      <c r="BA177" s="319"/>
      <c r="BB177" s="319"/>
      <c r="BC177" s="319"/>
      <c r="BD177" s="319"/>
      <c r="BE177" s="319"/>
      <c r="BF177" s="319"/>
      <c r="BG177" s="319"/>
      <c r="BH177" s="319"/>
      <c r="BI177" s="319"/>
      <c r="BJ177" s="319"/>
      <c r="BK177" s="319"/>
      <c r="BL177" s="319"/>
      <c r="BM177" s="319"/>
      <c r="BN177" s="319"/>
      <c r="BO177" s="319"/>
      <c r="BP177" s="319"/>
      <c r="BQ177" s="319"/>
      <c r="BR177" s="319"/>
      <c r="BS177" s="319"/>
      <c r="BT177" s="319"/>
      <c r="BU177" s="319"/>
      <c r="BV177" s="319"/>
      <c r="BW177" s="319"/>
      <c r="BX177" s="319"/>
      <c r="BY177" s="319"/>
      <c r="BZ177" s="319"/>
      <c r="CA177" s="319"/>
      <c r="CB177" s="319"/>
      <c r="CC177" s="319"/>
      <c r="CD177" s="319"/>
      <c r="CE177" s="319"/>
      <c r="CF177" s="319"/>
    </row>
    <row r="178" spans="1:84" ht="12.75" hidden="1" customHeight="1">
      <c r="A178" s="12"/>
      <c r="B178" s="329" t="str">
        <f>B132</f>
        <v>Entalpia</v>
      </c>
      <c r="C178" s="29" t="str">
        <f>IF(Unit=TRUE,R178,T178)</f>
        <v>kJ/kg</v>
      </c>
      <c r="D178" s="30">
        <f>IF(Unit=TRUE,S178,U178)</f>
        <v>2500.1495435522315</v>
      </c>
      <c r="E178" s="1"/>
      <c r="F178" s="29" t="str">
        <f>IF($M$3=FALSE,"",IF(Unit=FALSE,R178,T178))</f>
        <v/>
      </c>
      <c r="G178" s="140" t="str">
        <f>IF($M$3=FALSE,"",IF(Unit=FALSE,S178,U178))</f>
        <v/>
      </c>
      <c r="H178" s="1"/>
      <c r="I178" s="1"/>
      <c r="J178" s="1"/>
      <c r="K178" s="9"/>
      <c r="L178" s="1"/>
      <c r="M178" s="319"/>
      <c r="N178" s="319"/>
      <c r="O178" s="319"/>
      <c r="P178" s="319"/>
      <c r="Q178" s="319"/>
      <c r="R178" s="319" t="str">
        <f>$R$132</f>
        <v>kJ/kg</v>
      </c>
      <c r="S178" s="476">
        <f>V178</f>
        <v>2500.1495435522315</v>
      </c>
      <c r="T178" s="319" t="str">
        <f>$T$132</f>
        <v>Btu/lb</v>
      </c>
      <c r="U178" s="476">
        <f>S178*$AA$1073</f>
        <v>1074.8708269786036</v>
      </c>
      <c r="V178" s="476">
        <f>EnthalpyF(V175,V176)+V177*(EnthalpyV(V175,V176)-EnthalpyF(V175,V176))</f>
        <v>2500.1495435522315</v>
      </c>
      <c r="W178" s="319" t="s">
        <v>2922</v>
      </c>
      <c r="X178" s="319"/>
      <c r="Y178" s="319"/>
      <c r="Z178" s="319"/>
      <c r="AA178" s="319"/>
      <c r="AB178" s="319"/>
      <c r="AC178" s="319"/>
      <c r="AD178" s="319"/>
      <c r="AE178" s="319"/>
      <c r="AF178" s="319"/>
      <c r="AG178" s="319"/>
      <c r="AH178" s="319"/>
      <c r="AI178" s="319"/>
      <c r="AJ178" s="319"/>
      <c r="AK178" s="319"/>
      <c r="AL178" s="319"/>
      <c r="AM178" s="319"/>
      <c r="AN178" s="319"/>
      <c r="AO178" s="319">
        <v>2060044</v>
      </c>
      <c r="AP178" s="319"/>
      <c r="AQ178" s="319"/>
      <c r="AR178" s="319"/>
      <c r="AS178" s="319"/>
      <c r="AT178" s="319"/>
      <c r="AU178" s="319"/>
      <c r="AV178" s="319"/>
      <c r="AW178" s="319"/>
      <c r="AX178" s="319"/>
      <c r="AY178" s="319"/>
      <c r="AZ178" s="319"/>
      <c r="BA178" s="319"/>
      <c r="BB178" s="319"/>
      <c r="BC178" s="319"/>
      <c r="BD178" s="319"/>
      <c r="BE178" s="319"/>
      <c r="BF178" s="319"/>
      <c r="BG178" s="319"/>
      <c r="BH178" s="319"/>
      <c r="BI178" s="319"/>
      <c r="BJ178" s="319"/>
      <c r="BK178" s="319"/>
      <c r="BL178" s="319"/>
      <c r="BM178" s="319"/>
      <c r="BN178" s="319"/>
      <c r="BO178" s="319"/>
      <c r="BP178" s="319"/>
      <c r="BQ178" s="319"/>
      <c r="BR178" s="319"/>
      <c r="BS178" s="319"/>
      <c r="BT178" s="319"/>
      <c r="BU178" s="319"/>
      <c r="BV178" s="319"/>
      <c r="BW178" s="319"/>
      <c r="BX178" s="319"/>
      <c r="BY178" s="319"/>
      <c r="BZ178" s="319"/>
      <c r="CA178" s="319"/>
      <c r="CB178" s="319"/>
      <c r="CC178" s="319"/>
      <c r="CD178" s="319"/>
      <c r="CE178" s="319"/>
      <c r="CF178" s="319"/>
    </row>
    <row r="179" spans="1:84" ht="12.75" hidden="1" customHeight="1">
      <c r="A179" s="12"/>
      <c r="B179" s="329" t="str">
        <f>B141</f>
        <v>Taxa teórica de produção do vapor</v>
      </c>
      <c r="C179" s="29" t="str">
        <f>IF(Unit=TRUE,R179,T179)</f>
        <v>kg/kWh</v>
      </c>
      <c r="D179" s="284">
        <f>IF(Unit=TRUE,S179,U179)</f>
        <v>14504.903208786885</v>
      </c>
      <c r="E179" s="1"/>
      <c r="F179" s="29" t="str">
        <f>IF($M$3=FALSE,"",IF(Unit=FALSE,R179,T179))</f>
        <v/>
      </c>
      <c r="G179" s="140" t="str">
        <f>IF($M$3=FALSE,"",IF(Unit=FALSE,S179,U179))</f>
        <v/>
      </c>
      <c r="H179" s="1"/>
      <c r="I179" s="1"/>
      <c r="J179" s="1"/>
      <c r="K179" s="9"/>
      <c r="L179" s="1"/>
      <c r="M179" s="319"/>
      <c r="N179" s="319"/>
      <c r="O179" s="319"/>
      <c r="P179" s="319"/>
      <c r="Q179" s="319"/>
      <c r="R179" s="319" t="str">
        <f>$R$141</f>
        <v>kg/kWh</v>
      </c>
      <c r="S179" s="476">
        <f>$V179</f>
        <v>14504.903208786885</v>
      </c>
      <c r="T179" s="319" t="str">
        <f>$T$141</f>
        <v>lb/kWh</v>
      </c>
      <c r="U179" s="476">
        <f>S179/$AA$1085</f>
        <v>31977.837741818465</v>
      </c>
      <c r="V179" s="476">
        <f>3600/(V165-V178)</f>
        <v>14504.903208786885</v>
      </c>
      <c r="W179" s="319" t="s">
        <v>5699</v>
      </c>
      <c r="X179" s="319"/>
      <c r="Y179" s="319"/>
      <c r="Z179" s="319" t="s">
        <v>636</v>
      </c>
      <c r="AA179" s="319"/>
      <c r="AB179" s="319"/>
      <c r="AC179" s="319"/>
      <c r="AD179" s="319"/>
      <c r="AE179" s="319"/>
      <c r="AF179" s="319"/>
      <c r="AG179" s="319"/>
      <c r="AH179" s="319"/>
      <c r="AI179" s="319"/>
      <c r="AJ179" s="319"/>
      <c r="AK179" s="319"/>
      <c r="AL179" s="319"/>
      <c r="AM179" s="319"/>
      <c r="AN179" s="319"/>
      <c r="AO179" s="319">
        <v>2060046</v>
      </c>
      <c r="AP179" s="319"/>
      <c r="AQ179" s="319"/>
      <c r="AR179" s="319"/>
      <c r="AS179" s="319"/>
      <c r="AT179" s="319"/>
      <c r="AU179" s="319"/>
      <c r="AV179" s="319"/>
      <c r="AW179" s="319"/>
      <c r="AX179" s="319"/>
      <c r="AY179" s="319"/>
      <c r="AZ179" s="319"/>
      <c r="BA179" s="319"/>
      <c r="BB179" s="319"/>
      <c r="BC179" s="319"/>
      <c r="BD179" s="319"/>
      <c r="BE179" s="319"/>
      <c r="BF179" s="319"/>
      <c r="BG179" s="319"/>
      <c r="BH179" s="319"/>
      <c r="BI179" s="319"/>
      <c r="BJ179" s="319"/>
      <c r="BK179" s="319"/>
      <c r="BL179" s="319"/>
      <c r="BM179" s="319"/>
      <c r="BN179" s="319"/>
      <c r="BO179" s="319"/>
      <c r="BP179" s="319"/>
      <c r="BQ179" s="319"/>
      <c r="BR179" s="319"/>
      <c r="BS179" s="319"/>
      <c r="BT179" s="319"/>
      <c r="BU179" s="319"/>
      <c r="BV179" s="319"/>
      <c r="BW179" s="319"/>
      <c r="BX179" s="319"/>
      <c r="BY179" s="319"/>
      <c r="BZ179" s="319"/>
      <c r="CA179" s="319"/>
      <c r="CB179" s="319"/>
      <c r="CC179" s="319"/>
      <c r="CD179" s="319"/>
      <c r="CE179" s="319"/>
      <c r="CF179" s="319"/>
    </row>
    <row r="180" spans="1:84" ht="12.75" hidden="1" customHeight="1">
      <c r="A180" s="12"/>
      <c r="B180" s="329" t="str">
        <f>B147</f>
        <v>Eficiência da turbina a vapor (TV)</v>
      </c>
      <c r="C180" s="29" t="str">
        <f>C147</f>
        <v>%</v>
      </c>
      <c r="D180" s="422"/>
      <c r="E180" s="1"/>
      <c r="F180" s="1"/>
      <c r="G180" s="1"/>
      <c r="H180" s="1"/>
      <c r="I180" s="1"/>
      <c r="J180" s="1"/>
      <c r="K180" s="9"/>
      <c r="L180" s="1"/>
      <c r="M180" s="319"/>
      <c r="N180" s="319"/>
      <c r="O180" s="319"/>
      <c r="P180" s="319"/>
      <c r="Q180" s="319"/>
      <c r="R180" s="319"/>
      <c r="S180" s="476"/>
      <c r="T180" s="319"/>
      <c r="U180" s="476"/>
      <c r="V180" s="476" t="e">
        <f>S161*S179/$D$180/S161</f>
        <v>#DIV/0!</v>
      </c>
      <c r="W180" s="319" t="s">
        <v>2802</v>
      </c>
      <c r="X180" s="319"/>
      <c r="Y180" s="319"/>
      <c r="Z180" s="319" t="s">
        <v>339</v>
      </c>
      <c r="AA180" s="319"/>
      <c r="AB180" s="319"/>
      <c r="AC180" s="319"/>
      <c r="AD180" s="319"/>
      <c r="AE180" s="319"/>
      <c r="AF180" s="319"/>
      <c r="AG180" s="319"/>
      <c r="AH180" s="319"/>
      <c r="AI180" s="319"/>
      <c r="AJ180" s="319"/>
      <c r="AK180" s="319"/>
      <c r="AL180" s="319"/>
      <c r="AM180" s="319"/>
      <c r="AN180" s="319"/>
      <c r="AO180" s="319">
        <v>2060048</v>
      </c>
      <c r="AP180" s="319"/>
      <c r="AQ180" s="319"/>
      <c r="AR180" s="319"/>
      <c r="AS180" s="319"/>
      <c r="AT180" s="319"/>
      <c r="AU180" s="319"/>
      <c r="AV180" s="319"/>
      <c r="AW180" s="319"/>
      <c r="AX180" s="319"/>
      <c r="AY180" s="319"/>
      <c r="AZ180" s="319"/>
      <c r="BA180" s="319"/>
      <c r="BB180" s="319"/>
      <c r="BC180" s="319"/>
      <c r="BD180" s="319"/>
      <c r="BE180" s="319"/>
      <c r="BF180" s="319"/>
      <c r="BG180" s="319"/>
      <c r="BH180" s="319"/>
      <c r="BI180" s="319"/>
      <c r="BJ180" s="319"/>
      <c r="BK180" s="319"/>
      <c r="BL180" s="319"/>
      <c r="BM180" s="319"/>
      <c r="BN180" s="319"/>
      <c r="BO180" s="319"/>
      <c r="BP180" s="319"/>
      <c r="BQ180" s="319"/>
      <c r="BR180" s="319"/>
      <c r="BS180" s="319"/>
      <c r="BT180" s="319"/>
      <c r="BU180" s="319"/>
      <c r="BV180" s="319"/>
      <c r="BW180" s="319"/>
      <c r="BX180" s="319"/>
      <c r="BY180" s="319"/>
      <c r="BZ180" s="319"/>
      <c r="CA180" s="319"/>
      <c r="CB180" s="319"/>
      <c r="CC180" s="319"/>
      <c r="CD180" s="319"/>
      <c r="CE180" s="319"/>
      <c r="CF180" s="319"/>
    </row>
    <row r="181" spans="1:84" ht="12.75" hidden="1" customHeight="1">
      <c r="A181" s="12"/>
      <c r="B181" s="329" t="str">
        <f>Language!C448</f>
        <v>Taxa real de produção de vapor</v>
      </c>
      <c r="C181" s="29" t="str">
        <f>IF(Unit=TRUE,R181,T181)</f>
        <v>kg/kWh</v>
      </c>
      <c r="D181" s="100" t="e">
        <f>IF(Unit=TRUE,S181,U181)</f>
        <v>#DIV/0!</v>
      </c>
      <c r="E181" s="1"/>
      <c r="F181" s="29" t="str">
        <f>IF($M$3=FALSE,"",IF(Unit=FALSE,R181,T181))</f>
        <v/>
      </c>
      <c r="G181" s="140" t="str">
        <f>IF($M$3=FALSE,"",IF(Unit=FALSE,S181,U181))</f>
        <v/>
      </c>
      <c r="H181" s="1"/>
      <c r="I181" s="1"/>
      <c r="J181" s="1"/>
      <c r="K181" s="9"/>
      <c r="L181" s="1"/>
      <c r="M181" s="319"/>
      <c r="N181" s="319"/>
      <c r="O181" s="319"/>
      <c r="P181" s="319"/>
      <c r="Q181" s="319"/>
      <c r="R181" s="319" t="str">
        <f>$R$141</f>
        <v>kg/kWh</v>
      </c>
      <c r="S181" s="476" t="e">
        <f>((S161-S161*V168)*S179/$D$180+S161*V168*S174/$D$180)/S161</f>
        <v>#DIV/0!</v>
      </c>
      <c r="T181" s="319" t="str">
        <f>$T$141</f>
        <v>lb/kWh</v>
      </c>
      <c r="U181" s="476" t="e">
        <f>S181/$AA$1085</f>
        <v>#DIV/0!</v>
      </c>
      <c r="V181" s="476"/>
      <c r="W181" s="319"/>
      <c r="X181" s="319"/>
      <c r="Y181" s="319"/>
      <c r="Z181" s="319"/>
      <c r="AA181" s="319"/>
      <c r="AB181" s="319"/>
      <c r="AC181" s="319"/>
      <c r="AD181" s="319"/>
      <c r="AE181" s="319"/>
      <c r="AF181" s="319"/>
      <c r="AG181" s="319"/>
      <c r="AH181" s="319"/>
      <c r="AI181" s="319"/>
      <c r="AJ181" s="319"/>
      <c r="AK181" s="319"/>
      <c r="AL181" s="319"/>
      <c r="AM181" s="319"/>
      <c r="AN181" s="319"/>
      <c r="AO181" s="319">
        <v>2060050</v>
      </c>
      <c r="AP181" s="319"/>
      <c r="AQ181" s="319"/>
      <c r="AR181" s="319"/>
      <c r="AS181" s="319"/>
      <c r="AT181" s="319"/>
      <c r="AU181" s="319"/>
      <c r="AV181" s="319"/>
      <c r="AW181" s="319"/>
      <c r="AX181" s="319"/>
      <c r="AY181" s="319"/>
      <c r="AZ181" s="319"/>
      <c r="BA181" s="319"/>
      <c r="BB181" s="319"/>
      <c r="BC181" s="319"/>
      <c r="BD181" s="319"/>
      <c r="BE181" s="319"/>
      <c r="BF181" s="319"/>
      <c r="BG181" s="319"/>
      <c r="BH181" s="319"/>
      <c r="BI181" s="319"/>
      <c r="BJ181" s="319"/>
      <c r="BK181" s="319"/>
      <c r="BL181" s="319"/>
      <c r="BM181" s="319"/>
      <c r="BN181" s="319"/>
      <c r="BO181" s="319"/>
      <c r="BP181" s="319"/>
      <c r="BQ181" s="319"/>
      <c r="BR181" s="319"/>
      <c r="BS181" s="319"/>
      <c r="BT181" s="319"/>
      <c r="BU181" s="319"/>
      <c r="BV181" s="319"/>
      <c r="BW181" s="319"/>
      <c r="BX181" s="319"/>
      <c r="BY181" s="319"/>
      <c r="BZ181" s="319"/>
      <c r="CA181" s="319"/>
      <c r="CB181" s="319"/>
      <c r="CC181" s="319"/>
      <c r="CD181" s="319"/>
      <c r="CE181" s="319"/>
      <c r="CF181" s="319"/>
    </row>
    <row r="182" spans="1:84" ht="12.75" hidden="1" customHeight="1">
      <c r="A182" s="12"/>
      <c r="B182" s="28" t="str">
        <f>B149</f>
        <v>Resumo</v>
      </c>
      <c r="C182" s="1"/>
      <c r="D182" s="1"/>
      <c r="E182" s="1"/>
      <c r="F182" s="1"/>
      <c r="G182" s="1"/>
      <c r="H182" s="1"/>
      <c r="I182" s="1"/>
      <c r="J182" s="1"/>
      <c r="K182" s="9"/>
      <c r="L182" s="1"/>
      <c r="M182" s="319"/>
      <c r="N182" s="319"/>
      <c r="O182" s="319"/>
      <c r="P182" s="319"/>
      <c r="Q182" s="319"/>
      <c r="R182" s="319"/>
      <c r="S182" s="476"/>
      <c r="T182" s="319"/>
      <c r="U182" s="476"/>
      <c r="V182" s="476"/>
      <c r="W182" s="319"/>
      <c r="X182" s="319"/>
      <c r="Y182" s="319"/>
      <c r="Z182" s="319"/>
      <c r="AA182" s="319"/>
      <c r="AB182" s="319"/>
      <c r="AC182" s="319"/>
      <c r="AD182" s="319"/>
      <c r="AE182" s="319"/>
      <c r="AF182" s="319"/>
      <c r="AG182" s="319"/>
      <c r="AH182" s="319"/>
      <c r="AI182" s="319"/>
      <c r="AJ182" s="319"/>
      <c r="AK182" s="319"/>
      <c r="AL182" s="319"/>
      <c r="AM182" s="319"/>
      <c r="AN182" s="319"/>
      <c r="AO182" s="319">
        <v>2060068</v>
      </c>
      <c r="AP182" s="319"/>
      <c r="AQ182" s="319"/>
      <c r="AR182" s="319"/>
      <c r="AS182" s="319"/>
      <c r="AT182" s="319"/>
      <c r="AU182" s="319"/>
      <c r="AV182" s="319"/>
      <c r="AW182" s="319"/>
      <c r="AX182" s="319"/>
      <c r="AY182" s="319"/>
      <c r="AZ182" s="319"/>
      <c r="BA182" s="319"/>
      <c r="BB182" s="319"/>
      <c r="BC182" s="319"/>
      <c r="BD182" s="319"/>
      <c r="BE182" s="319"/>
      <c r="BF182" s="319"/>
      <c r="BG182" s="319"/>
      <c r="BH182" s="319"/>
      <c r="BI182" s="319"/>
      <c r="BJ182" s="319"/>
      <c r="BK182" s="319"/>
      <c r="BL182" s="319"/>
      <c r="BM182" s="319"/>
      <c r="BN182" s="319"/>
      <c r="BO182" s="319"/>
      <c r="BP182" s="319"/>
      <c r="BQ182" s="319"/>
      <c r="BR182" s="319"/>
      <c r="BS182" s="319"/>
      <c r="BT182" s="319"/>
      <c r="BU182" s="319"/>
      <c r="BV182" s="319"/>
      <c r="BW182" s="319"/>
      <c r="BX182" s="319"/>
      <c r="BY182" s="319"/>
      <c r="BZ182" s="319"/>
      <c r="CA182" s="319"/>
      <c r="CB182" s="319"/>
      <c r="CC182" s="319"/>
      <c r="CD182" s="319"/>
      <c r="CE182" s="319"/>
      <c r="CF182" s="319"/>
    </row>
    <row r="183" spans="1:84" ht="12.75" hidden="1" customHeight="1">
      <c r="A183" s="12"/>
      <c r="B183" s="329" t="str">
        <f>Language!C449</f>
        <v>Potência elétrica - com extração</v>
      </c>
      <c r="C183" s="29" t="str">
        <f>$C$92</f>
        <v>kW</v>
      </c>
      <c r="D183" s="30" t="e">
        <f>S161/S181</f>
        <v>#DIV/0!</v>
      </c>
      <c r="E183" s="80" t="str">
        <f>IF($P$866=0,"",D183/$P$866)</f>
        <v/>
      </c>
      <c r="F183" s="1"/>
      <c r="G183" s="1"/>
      <c r="H183" s="1"/>
      <c r="I183" s="1"/>
      <c r="J183" s="1"/>
      <c r="K183" s="9"/>
      <c r="L183" s="1"/>
      <c r="M183" s="319"/>
      <c r="N183" s="319"/>
      <c r="O183" s="319"/>
      <c r="P183" s="319"/>
      <c r="Q183" s="319"/>
      <c r="R183" s="319"/>
      <c r="S183" s="476"/>
      <c r="T183" s="319"/>
      <c r="U183" s="476"/>
      <c r="V183" s="476" t="e">
        <f>S161/V180</f>
        <v>#DIV/0!</v>
      </c>
      <c r="W183" s="319" t="s">
        <v>1211</v>
      </c>
      <c r="X183" s="319"/>
      <c r="Y183" s="319"/>
      <c r="Z183" s="319" t="s">
        <v>340</v>
      </c>
      <c r="AA183" s="319"/>
      <c r="AB183" s="319"/>
      <c r="AC183" s="319"/>
      <c r="AD183" s="319"/>
      <c r="AE183" s="319"/>
      <c r="AF183" s="319"/>
      <c r="AG183" s="319"/>
      <c r="AH183" s="319"/>
      <c r="AI183" s="319"/>
      <c r="AJ183" s="319"/>
      <c r="AK183" s="319"/>
      <c r="AL183" s="319"/>
      <c r="AM183" s="319"/>
      <c r="AN183" s="319"/>
      <c r="AO183" s="319">
        <v>2060054</v>
      </c>
      <c r="AP183" s="319"/>
      <c r="AQ183" s="319"/>
      <c r="AR183" s="319"/>
      <c r="AS183" s="319"/>
      <c r="AT183" s="319"/>
      <c r="AU183" s="319"/>
      <c r="AV183" s="319"/>
      <c r="AW183" s="319"/>
      <c r="AX183" s="319"/>
      <c r="AY183" s="319"/>
      <c r="AZ183" s="319"/>
      <c r="BA183" s="319"/>
      <c r="BB183" s="319"/>
      <c r="BC183" s="319"/>
      <c r="BD183" s="319"/>
      <c r="BE183" s="319"/>
      <c r="BF183" s="319"/>
      <c r="BG183" s="319"/>
      <c r="BH183" s="319"/>
      <c r="BI183" s="319"/>
      <c r="BJ183" s="319"/>
      <c r="BK183" s="319"/>
      <c r="BL183" s="319"/>
      <c r="BM183" s="319"/>
      <c r="BN183" s="319"/>
      <c r="BO183" s="319"/>
      <c r="BP183" s="319"/>
      <c r="BQ183" s="319"/>
      <c r="BR183" s="319"/>
      <c r="BS183" s="319"/>
      <c r="BT183" s="319"/>
      <c r="BU183" s="319"/>
      <c r="BV183" s="319"/>
      <c r="BW183" s="319"/>
      <c r="BX183" s="319"/>
      <c r="BY183" s="319"/>
      <c r="BZ183" s="319"/>
      <c r="CA183" s="319"/>
      <c r="CB183" s="319"/>
      <c r="CC183" s="319"/>
      <c r="CD183" s="319"/>
      <c r="CE183" s="319"/>
      <c r="CF183" s="319"/>
    </row>
    <row r="184" spans="1:84" ht="12.75" hidden="1" customHeight="1">
      <c r="A184" s="12"/>
      <c r="B184" s="329" t="str">
        <f>IF(HideCodeES_Extract_ST1=2,Language!C427,Language!C452)</f>
        <v>Potência elétrica</v>
      </c>
      <c r="C184" s="29" t="str">
        <f>$C$92</f>
        <v>kW</v>
      </c>
      <c r="D184" s="30" t="e">
        <f>V183</f>
        <v>#DIV/0!</v>
      </c>
      <c r="E184" s="80" t="str">
        <f>IF($P$866=0,"",D184/$P$866)</f>
        <v/>
      </c>
      <c r="F184" s="1"/>
      <c r="G184" s="1"/>
      <c r="H184" s="1"/>
      <c r="I184" s="1"/>
      <c r="J184" s="1"/>
      <c r="K184" s="789" t="str">
        <f>IF(V184&gt;0,$G$1095&amp;V184&amp;$G$1096,"")</f>
        <v/>
      </c>
      <c r="L184" s="1"/>
      <c r="M184" s="319"/>
      <c r="N184" s="319"/>
      <c r="O184" s="319"/>
      <c r="P184" s="319"/>
      <c r="Q184" s="319"/>
      <c r="R184" s="319"/>
      <c r="S184" s="476"/>
      <c r="T184" s="319"/>
      <c r="U184" s="476"/>
      <c r="V184" s="476"/>
      <c r="W184" s="319" t="s">
        <v>2879</v>
      </c>
      <c r="X184" s="319"/>
      <c r="Y184" s="319"/>
      <c r="Z184" s="319"/>
      <c r="AA184" s="319"/>
      <c r="AB184" s="319"/>
      <c r="AC184" s="319"/>
      <c r="AD184" s="319"/>
      <c r="AE184" s="319"/>
      <c r="AF184" s="319"/>
      <c r="AG184" s="319"/>
      <c r="AH184" s="319"/>
      <c r="AI184" s="319"/>
      <c r="AJ184" s="319"/>
      <c r="AK184" s="319"/>
      <c r="AL184" s="319"/>
      <c r="AM184" s="319"/>
      <c r="AN184" s="319"/>
      <c r="AO184" s="319">
        <v>2060058</v>
      </c>
      <c r="AP184" s="319"/>
      <c r="AQ184" s="319"/>
      <c r="AR184" s="319"/>
      <c r="AS184" s="319"/>
      <c r="AT184" s="319"/>
      <c r="AU184" s="319"/>
      <c r="AV184" s="319"/>
      <c r="AW184" s="319"/>
      <c r="AX184" s="319"/>
      <c r="AY184" s="319"/>
      <c r="AZ184" s="319"/>
      <c r="BA184" s="319"/>
      <c r="BB184" s="319"/>
      <c r="BC184" s="319"/>
      <c r="BD184" s="319"/>
      <c r="BE184" s="319"/>
      <c r="BF184" s="319"/>
      <c r="BG184" s="319"/>
      <c r="BH184" s="319"/>
      <c r="BI184" s="319"/>
      <c r="BJ184" s="319"/>
      <c r="BK184" s="319"/>
      <c r="BL184" s="319"/>
      <c r="BM184" s="319"/>
      <c r="BN184" s="319"/>
      <c r="BO184" s="319"/>
      <c r="BP184" s="319"/>
      <c r="BQ184" s="319"/>
      <c r="BR184" s="319"/>
      <c r="BS184" s="319"/>
      <c r="BT184" s="319"/>
      <c r="BU184" s="319"/>
      <c r="BV184" s="319"/>
      <c r="BW184" s="319"/>
      <c r="BX184" s="319"/>
      <c r="BY184" s="319"/>
      <c r="BZ184" s="319"/>
      <c r="CA184" s="319"/>
      <c r="CB184" s="319"/>
      <c r="CC184" s="319"/>
      <c r="CD184" s="319"/>
      <c r="CE184" s="319"/>
      <c r="CF184" s="319"/>
    </row>
    <row r="185" spans="1:84" ht="12.75" hidden="1" customHeight="1">
      <c r="A185" s="12"/>
      <c r="B185" s="329" t="str">
        <f>B93</f>
        <v>Capac. Mínima</v>
      </c>
      <c r="C185" s="29" t="str">
        <f>$T$35</f>
        <v>%</v>
      </c>
      <c r="D185" s="439"/>
      <c r="E185" s="1"/>
      <c r="F185" s="1"/>
      <c r="G185" s="1"/>
      <c r="H185" s="1"/>
      <c r="I185" s="1"/>
      <c r="J185" s="1"/>
      <c r="K185" s="788" t="e">
        <f>IF(V185&gt;0,$G$1095&amp;V185&amp;$G$1096,"")</f>
        <v>#DIV/0!</v>
      </c>
      <c r="L185" s="1"/>
      <c r="M185" s="319"/>
      <c r="N185" s="319"/>
      <c r="O185" s="319"/>
      <c r="P185" s="319"/>
      <c r="Q185" s="319"/>
      <c r="R185" s="319"/>
      <c r="S185" s="476"/>
      <c r="T185" s="319"/>
      <c r="U185" s="476"/>
      <c r="V185" s="476" t="e">
        <f t="array" ref="V185">IF(AND(HideCodeES_PSS=2,$C$854=$E$1094),SUM(IF($D$1139:$D$1150&lt;D184*M1117,1,0)),SUM(IF($I$1139:$I$1150&lt;D184*M1117,1,0)))*IF(SUM($D$1139:$D$1150)=0,0,1)</f>
        <v>#DIV/0!</v>
      </c>
      <c r="W185" s="319" t="s">
        <v>4372</v>
      </c>
      <c r="X185" s="319"/>
      <c r="Y185" s="319"/>
      <c r="Z185" s="319"/>
      <c r="AA185" s="319"/>
      <c r="AB185" s="319"/>
      <c r="AC185" s="319"/>
      <c r="AD185" s="319"/>
      <c r="AE185" s="319"/>
      <c r="AF185" s="319"/>
      <c r="AG185" s="319"/>
      <c r="AH185" s="319"/>
      <c r="AI185" s="319"/>
      <c r="AJ185" s="319"/>
      <c r="AK185" s="319"/>
      <c r="AL185" s="319"/>
      <c r="AM185" s="319"/>
      <c r="AN185" s="319"/>
      <c r="AO185" s="319">
        <v>2050006</v>
      </c>
      <c r="AP185" s="319"/>
      <c r="AQ185" s="319"/>
      <c r="AR185" s="319"/>
      <c r="AS185" s="319"/>
      <c r="AT185" s="319"/>
      <c r="AU185" s="319"/>
      <c r="AV185" s="319"/>
      <c r="AW185" s="319"/>
      <c r="AX185" s="319"/>
      <c r="AY185" s="319"/>
      <c r="AZ185" s="319"/>
      <c r="BA185" s="319"/>
      <c r="BB185" s="319"/>
      <c r="BC185" s="319"/>
      <c r="BD185" s="319"/>
      <c r="BE185" s="319"/>
      <c r="BF185" s="319"/>
      <c r="BG185" s="319"/>
      <c r="BH185" s="319"/>
      <c r="BI185" s="319"/>
      <c r="BJ185" s="319"/>
      <c r="BK185" s="319"/>
      <c r="BL185" s="319"/>
      <c r="BM185" s="319"/>
      <c r="BN185" s="319"/>
      <c r="BO185" s="319"/>
      <c r="BP185" s="319"/>
      <c r="BQ185" s="319"/>
      <c r="BR185" s="319"/>
      <c r="BS185" s="319"/>
      <c r="BT185" s="319"/>
      <c r="BU185" s="319"/>
      <c r="BV185" s="319"/>
      <c r="BW185" s="319"/>
      <c r="BX185" s="319"/>
      <c r="BY185" s="319"/>
      <c r="BZ185" s="319"/>
      <c r="CA185" s="319"/>
      <c r="CB185" s="319"/>
      <c r="CC185" s="319"/>
      <c r="CD185" s="319"/>
      <c r="CE185" s="319"/>
      <c r="CF185" s="319"/>
    </row>
    <row r="186" spans="1:84" ht="12.75" hidden="1" customHeight="1">
      <c r="A186" s="12"/>
      <c r="B186" s="329" t="str">
        <f>B12</f>
        <v>Fabricante</v>
      </c>
      <c r="C186" s="1152"/>
      <c r="D186" s="1153"/>
      <c r="E186" s="1154"/>
      <c r="F186" s="1"/>
      <c r="G186" s="1"/>
      <c r="H186" s="1"/>
      <c r="I186" s="1209" t="str">
        <f>Language!C61</f>
        <v>Ver banco de dados de produtos</v>
      </c>
      <c r="J186" s="1191"/>
      <c r="K186" s="1210"/>
      <c r="L186" s="1"/>
      <c r="M186" s="319"/>
      <c r="N186" s="319"/>
      <c r="O186" s="319"/>
      <c r="P186" s="319"/>
      <c r="Q186" s="319"/>
      <c r="R186" s="319"/>
      <c r="S186" s="476"/>
      <c r="T186" s="319"/>
      <c r="U186" s="476"/>
      <c r="V186" s="476"/>
      <c r="W186" s="319"/>
      <c r="X186" s="319"/>
      <c r="Y186" s="319"/>
      <c r="Z186" s="319" t="s">
        <v>848</v>
      </c>
      <c r="AA186" s="319"/>
      <c r="AB186" s="319"/>
      <c r="AC186" s="319"/>
      <c r="AD186" s="319"/>
      <c r="AE186" s="319"/>
      <c r="AF186" s="319"/>
      <c r="AG186" s="319"/>
      <c r="AH186" s="319"/>
      <c r="AI186" s="319"/>
      <c r="AJ186" s="319"/>
      <c r="AK186" s="319"/>
      <c r="AL186" s="319"/>
      <c r="AM186" s="319"/>
      <c r="AN186" s="319"/>
      <c r="AO186" s="319">
        <v>2050012</v>
      </c>
      <c r="AP186" s="319"/>
      <c r="AQ186" s="319"/>
      <c r="AR186" s="319"/>
      <c r="AS186" s="319"/>
      <c r="AT186" s="319"/>
      <c r="AU186" s="319"/>
      <c r="AV186" s="319"/>
      <c r="AW186" s="319"/>
      <c r="AX186" s="319"/>
      <c r="AY186" s="319"/>
      <c r="AZ186" s="319"/>
      <c r="BA186" s="319"/>
      <c r="BB186" s="319"/>
      <c r="BC186" s="319"/>
      <c r="BD186" s="319"/>
      <c r="BE186" s="319"/>
      <c r="BF186" s="319"/>
      <c r="BG186" s="319"/>
      <c r="BH186" s="319"/>
      <c r="BI186" s="319"/>
      <c r="BJ186" s="319"/>
      <c r="BK186" s="319"/>
      <c r="BL186" s="319"/>
      <c r="BM186" s="319"/>
      <c r="BN186" s="319"/>
      <c r="BO186" s="319"/>
      <c r="BP186" s="319"/>
      <c r="BQ186" s="319"/>
      <c r="BR186" s="319"/>
      <c r="BS186" s="319"/>
      <c r="BT186" s="319"/>
      <c r="BU186" s="319"/>
      <c r="BV186" s="319"/>
      <c r="BW186" s="319"/>
      <c r="BX186" s="319"/>
      <c r="BY186" s="319"/>
      <c r="BZ186" s="319"/>
      <c r="CA186" s="319"/>
      <c r="CB186" s="319"/>
      <c r="CC186" s="319"/>
      <c r="CD186" s="319"/>
      <c r="CE186" s="319"/>
      <c r="CF186" s="319"/>
    </row>
    <row r="187" spans="1:84" ht="12.75" hidden="1" customHeight="1">
      <c r="A187" s="12"/>
      <c r="B187" s="329" t="str">
        <f>Language!C1161</f>
        <v>Modelo e capacidade</v>
      </c>
      <c r="C187" s="1152"/>
      <c r="D187" s="1153"/>
      <c r="E187" s="1154"/>
      <c r="F187" s="1"/>
      <c r="G187" s="1"/>
      <c r="H187" s="1"/>
      <c r="I187" s="1"/>
      <c r="J187" s="1"/>
      <c r="K187" s="9"/>
      <c r="L187" s="1"/>
      <c r="M187" s="319"/>
      <c r="N187" s="319"/>
      <c r="O187" s="319"/>
      <c r="P187" s="319"/>
      <c r="Q187" s="319"/>
      <c r="R187" s="319"/>
      <c r="S187" s="476"/>
      <c r="T187" s="319"/>
      <c r="U187" s="476"/>
      <c r="V187" s="476"/>
      <c r="W187" s="319"/>
      <c r="X187" s="319"/>
      <c r="Y187" s="319"/>
      <c r="Z187" s="319"/>
      <c r="AA187" s="319"/>
      <c r="AB187" s="319"/>
      <c r="AC187" s="319"/>
      <c r="AD187" s="319"/>
      <c r="AE187" s="319"/>
      <c r="AF187" s="319"/>
      <c r="AG187" s="319"/>
      <c r="AH187" s="319"/>
      <c r="AI187" s="319"/>
      <c r="AJ187" s="319"/>
      <c r="AK187" s="319"/>
      <c r="AL187" s="319"/>
      <c r="AM187" s="319"/>
      <c r="AN187" s="319"/>
      <c r="AO187" s="319">
        <v>2050016</v>
      </c>
      <c r="AP187" s="319"/>
      <c r="AQ187" s="319"/>
      <c r="AR187" s="319"/>
      <c r="AS187" s="319"/>
      <c r="AT187" s="319"/>
      <c r="AU187" s="319"/>
      <c r="AV187" s="319"/>
      <c r="AW187" s="319"/>
      <c r="AX187" s="319"/>
      <c r="AY187" s="319"/>
      <c r="AZ187" s="319"/>
      <c r="BA187" s="319"/>
      <c r="BB187" s="319"/>
      <c r="BC187" s="319"/>
      <c r="BD187" s="319"/>
      <c r="BE187" s="319"/>
      <c r="BF187" s="319"/>
      <c r="BG187" s="319"/>
      <c r="BH187" s="319"/>
      <c r="BI187" s="319"/>
      <c r="BJ187" s="319"/>
      <c r="BK187" s="319"/>
      <c r="BL187" s="319"/>
      <c r="BM187" s="319"/>
      <c r="BN187" s="319"/>
      <c r="BO187" s="319"/>
      <c r="BP187" s="319"/>
      <c r="BQ187" s="319"/>
      <c r="BR187" s="319"/>
      <c r="BS187" s="319"/>
      <c r="BT187" s="319"/>
      <c r="BU187" s="319"/>
      <c r="BV187" s="319"/>
      <c r="BW187" s="319"/>
      <c r="BX187" s="319"/>
      <c r="BY187" s="319"/>
      <c r="BZ187" s="319"/>
      <c r="CA187" s="319"/>
      <c r="CB187" s="319"/>
      <c r="CC187" s="319"/>
      <c r="CD187" s="319"/>
      <c r="CE187" s="319"/>
      <c r="CF187" s="319"/>
    </row>
    <row r="188" spans="1:84" ht="12.75" hidden="1" customHeight="1">
      <c r="A188" s="12"/>
      <c r="B188" s="329" t="str">
        <f>$B$94</f>
        <v>Eletricidade fornecida à carga</v>
      </c>
      <c r="C188" s="29" t="str">
        <f>R14</f>
        <v>MWh</v>
      </c>
      <c r="D188" s="30">
        <f>IF(HideCodeES_PSS=1,$G$1107,IF($C$854=$E$1094,$G$1107,$G$1108))</f>
        <v>0</v>
      </c>
      <c r="E188" s="40" t="str">
        <f>IF($P$867=0,"",D188/$P$867)</f>
        <v/>
      </c>
      <c r="F188" s="1"/>
      <c r="G188" s="1"/>
      <c r="H188" s="1"/>
      <c r="I188" s="1"/>
      <c r="J188" s="1"/>
      <c r="K188" s="9"/>
      <c r="L188" s="1"/>
      <c r="M188" s="319"/>
      <c r="N188" s="319"/>
      <c r="O188" s="319"/>
      <c r="P188" s="319"/>
      <c r="Q188" s="319"/>
      <c r="R188" s="319"/>
      <c r="S188" s="476"/>
      <c r="T188" s="319"/>
      <c r="U188" s="476"/>
      <c r="V188" s="476"/>
      <c r="W188" s="319"/>
      <c r="X188" s="319"/>
      <c r="Y188" s="319"/>
      <c r="Z188" s="319"/>
      <c r="AA188" s="319"/>
      <c r="AB188" s="319"/>
      <c r="AC188" s="319"/>
      <c r="AD188" s="319"/>
      <c r="AE188" s="319"/>
      <c r="AF188" s="319"/>
      <c r="AG188" s="319"/>
      <c r="AH188" s="319"/>
      <c r="AI188" s="319"/>
      <c r="AJ188" s="319"/>
      <c r="AK188" s="319"/>
      <c r="AL188" s="319"/>
      <c r="AM188" s="319"/>
      <c r="AN188" s="319"/>
      <c r="AO188" s="319">
        <v>2050008</v>
      </c>
      <c r="AP188" s="319"/>
      <c r="AQ188" s="319"/>
      <c r="AR188" s="319"/>
      <c r="AS188" s="319"/>
      <c r="AT188" s="319"/>
      <c r="AU188" s="319"/>
      <c r="AV188" s="319"/>
      <c r="AW188" s="319"/>
      <c r="AX188" s="319"/>
      <c r="AY188" s="319"/>
      <c r="AZ188" s="319"/>
      <c r="BA188" s="319"/>
      <c r="BB188" s="319"/>
      <c r="BC188" s="319"/>
      <c r="BD188" s="319"/>
      <c r="BE188" s="319"/>
      <c r="BF188" s="319"/>
      <c r="BG188" s="319"/>
      <c r="BH188" s="319"/>
      <c r="BI188" s="319"/>
      <c r="BJ188" s="319"/>
      <c r="BK188" s="319"/>
      <c r="BL188" s="319"/>
      <c r="BM188" s="319"/>
      <c r="BN188" s="319"/>
      <c r="BO188" s="319"/>
      <c r="BP188" s="319"/>
      <c r="BQ188" s="319"/>
      <c r="BR188" s="319"/>
      <c r="BS188" s="319"/>
      <c r="BT188" s="319"/>
      <c r="BU188" s="319"/>
      <c r="BV188" s="319"/>
      <c r="BW188" s="319"/>
      <c r="BX188" s="319"/>
      <c r="BY188" s="319"/>
      <c r="BZ188" s="319"/>
      <c r="CA188" s="319"/>
      <c r="CB188" s="319"/>
      <c r="CC188" s="319"/>
      <c r="CD188" s="319"/>
      <c r="CE188" s="319"/>
      <c r="CF188" s="319"/>
    </row>
    <row r="189" spans="1:84" ht="12.75" hidden="1" customHeight="1">
      <c r="A189" s="12"/>
      <c r="B189" s="329" t="str">
        <f>$B$95</f>
        <v>Eletricidade exportada p/ rede</v>
      </c>
      <c r="C189" s="29" t="str">
        <f>R14</f>
        <v>MWh</v>
      </c>
      <c r="D189" s="30">
        <f>IF(HideCodeES_PSS=1,$J$1107,IF($C$854=$E$1094,$J$1107,$J$1108))</f>
        <v>5.3903325633948667</v>
      </c>
      <c r="E189" s="1"/>
      <c r="F189" s="1"/>
      <c r="G189" s="1"/>
      <c r="H189" s="1"/>
      <c r="I189" s="1"/>
      <c r="J189" s="1"/>
      <c r="K189" s="9"/>
      <c r="L189" s="1"/>
      <c r="M189" s="319"/>
      <c r="N189" s="319"/>
      <c r="O189" s="319"/>
      <c r="P189" s="319"/>
      <c r="Q189" s="319"/>
      <c r="R189" s="319"/>
      <c r="S189" s="476"/>
      <c r="T189" s="319"/>
      <c r="U189" s="476"/>
      <c r="V189" s="476"/>
      <c r="W189" s="319"/>
      <c r="X189" s="319"/>
      <c r="Y189" s="319"/>
      <c r="Z189" s="319"/>
      <c r="AA189" s="319"/>
      <c r="AB189" s="319"/>
      <c r="AC189" s="319"/>
      <c r="AD189" s="319"/>
      <c r="AE189" s="319"/>
      <c r="AF189" s="319"/>
      <c r="AG189" s="319"/>
      <c r="AH189" s="319"/>
      <c r="AI189" s="319"/>
      <c r="AJ189" s="319"/>
      <c r="AK189" s="319"/>
      <c r="AL189" s="319"/>
      <c r="AM189" s="319"/>
      <c r="AN189" s="319"/>
      <c r="AO189" s="319">
        <v>2050010</v>
      </c>
      <c r="AP189" s="319"/>
      <c r="AQ189" s="319"/>
      <c r="AR189" s="319"/>
      <c r="AS189" s="319"/>
      <c r="AT189" s="319"/>
      <c r="AU189" s="319"/>
      <c r="AV189" s="319"/>
      <c r="AW189" s="319"/>
      <c r="AX189" s="319"/>
      <c r="AY189" s="319"/>
      <c r="AZ189" s="319"/>
      <c r="BA189" s="319"/>
      <c r="BB189" s="319"/>
      <c r="BC189" s="319"/>
      <c r="BD189" s="319"/>
      <c r="BE189" s="319"/>
      <c r="BF189" s="319"/>
      <c r="BG189" s="319"/>
      <c r="BH189" s="319"/>
      <c r="BI189" s="319"/>
      <c r="BJ189" s="319"/>
      <c r="BK189" s="319"/>
      <c r="BL189" s="319"/>
      <c r="BM189" s="319"/>
      <c r="BN189" s="319"/>
      <c r="BO189" s="319"/>
      <c r="BP189" s="319"/>
      <c r="BQ189" s="319"/>
      <c r="BR189" s="319"/>
      <c r="BS189" s="319"/>
      <c r="BT189" s="319"/>
      <c r="BU189" s="319"/>
      <c r="BV189" s="319"/>
      <c r="BW189" s="319"/>
      <c r="BX189" s="319"/>
      <c r="BY189" s="319"/>
      <c r="BZ189" s="319"/>
      <c r="CA189" s="319"/>
      <c r="CB189" s="319"/>
      <c r="CC189" s="319"/>
      <c r="CD189" s="319"/>
      <c r="CE189" s="319"/>
      <c r="CF189" s="319"/>
    </row>
    <row r="190" spans="1:84" ht="12.75" hidden="1" customHeight="1">
      <c r="A190" s="12"/>
      <c r="B190" s="329" t="str">
        <f>B83</f>
        <v>Eficiência Sazonal</v>
      </c>
      <c r="C190" s="29" t="str">
        <f>$T$35</f>
        <v>%</v>
      </c>
      <c r="D190" s="422"/>
      <c r="E190" s="1"/>
      <c r="F190" s="1"/>
      <c r="G190" s="1"/>
      <c r="H190" s="1"/>
      <c r="I190" s="1"/>
      <c r="J190" s="1"/>
      <c r="K190" s="9"/>
      <c r="L190" s="1"/>
      <c r="M190" s="319"/>
      <c r="N190" s="319"/>
      <c r="O190" s="319"/>
      <c r="P190" s="319"/>
      <c r="Q190" s="319"/>
      <c r="R190" s="319"/>
      <c r="S190" s="476"/>
      <c r="T190" s="319"/>
      <c r="U190" s="476"/>
      <c r="V190" s="476"/>
      <c r="W190" s="319"/>
      <c r="X190" s="319"/>
      <c r="Y190" s="319"/>
      <c r="Z190" s="319"/>
      <c r="AA190" s="319"/>
      <c r="AB190" s="319"/>
      <c r="AC190" s="319"/>
      <c r="AD190" s="319"/>
      <c r="AE190" s="319"/>
      <c r="AF190" s="319"/>
      <c r="AG190" s="319"/>
      <c r="AH190" s="319"/>
      <c r="AI190" s="319"/>
      <c r="AJ190" s="319"/>
      <c r="AK190" s="319"/>
      <c r="AL190" s="319"/>
      <c r="AM190" s="319"/>
      <c r="AN190" s="319"/>
      <c r="AO190" s="319">
        <v>2060070</v>
      </c>
      <c r="AP190" s="319"/>
      <c r="AQ190" s="319"/>
      <c r="AR190" s="319"/>
      <c r="AS190" s="319"/>
      <c r="AT190" s="319"/>
      <c r="AU190" s="319"/>
      <c r="AV190" s="319"/>
      <c r="AW190" s="319"/>
      <c r="AX190" s="319"/>
      <c r="AY190" s="319"/>
      <c r="AZ190" s="319"/>
      <c r="BA190" s="319"/>
      <c r="BB190" s="319"/>
      <c r="BC190" s="319"/>
      <c r="BD190" s="319"/>
      <c r="BE190" s="319"/>
      <c r="BF190" s="319"/>
      <c r="BG190" s="319"/>
      <c r="BH190" s="319"/>
      <c r="BI190" s="319"/>
      <c r="BJ190" s="319"/>
      <c r="BK190" s="319"/>
      <c r="BL190" s="319"/>
      <c r="BM190" s="319"/>
      <c r="BN190" s="319"/>
      <c r="BO190" s="319"/>
      <c r="BP190" s="319"/>
      <c r="BQ190" s="319"/>
      <c r="BR190" s="319"/>
      <c r="BS190" s="319"/>
      <c r="BT190" s="319"/>
      <c r="BU190" s="319"/>
      <c r="BV190" s="319"/>
      <c r="BW190" s="319"/>
      <c r="BX190" s="319"/>
      <c r="BY190" s="319"/>
      <c r="BZ190" s="319"/>
      <c r="CA190" s="319"/>
      <c r="CB190" s="319"/>
      <c r="CC190" s="319"/>
      <c r="CD190" s="319"/>
      <c r="CE190" s="319"/>
      <c r="CF190" s="319"/>
    </row>
    <row r="191" spans="1:84" ht="12.75" hidden="1" customHeight="1">
      <c r="A191" s="12"/>
      <c r="B191" s="329" t="str">
        <f>Language!C457</f>
        <v>Temp. de retorno</v>
      </c>
      <c r="C191" s="303" t="s">
        <v>5568</v>
      </c>
      <c r="D191" s="307"/>
      <c r="E191" s="1"/>
      <c r="F191" s="1"/>
      <c r="G191" s="1"/>
      <c r="H191" s="1"/>
      <c r="I191" s="1"/>
      <c r="J191" s="1"/>
      <c r="K191" s="9"/>
      <c r="L191" s="1"/>
      <c r="M191" s="319"/>
      <c r="N191" s="319"/>
      <c r="O191" s="319"/>
      <c r="P191" s="319"/>
      <c r="Q191" s="319"/>
      <c r="R191" s="319" t="str">
        <f>$R$86</f>
        <v>°C</v>
      </c>
      <c r="S191" s="476">
        <f>IF(C191=$Z$1107,D191,(D191-32)/1.8)</f>
        <v>0</v>
      </c>
      <c r="T191" s="319"/>
      <c r="U191" s="476"/>
      <c r="V191" s="476">
        <f>IF(EnthalpyF(V175,S176+$AA$1090)-EnthalpyF(0.1,S191+$AA$1090)&lt;0,0,1)</f>
        <v>1</v>
      </c>
      <c r="W191" s="319" t="s">
        <v>4085</v>
      </c>
      <c r="X191" s="319"/>
      <c r="Y191" s="319"/>
      <c r="Z191" s="319"/>
      <c r="AA191" s="319"/>
      <c r="AB191" s="319"/>
      <c r="AC191" s="319"/>
      <c r="AD191" s="319"/>
      <c r="AE191" s="319"/>
      <c r="AF191" s="319"/>
      <c r="AG191" s="319"/>
      <c r="AH191" s="319"/>
      <c r="AI191" s="319"/>
      <c r="AJ191" s="319"/>
      <c r="AK191" s="319"/>
      <c r="AL191" s="319"/>
      <c r="AM191" s="319"/>
      <c r="AN191" s="319"/>
      <c r="AO191" s="319">
        <v>2060062</v>
      </c>
      <c r="AP191" s="319"/>
      <c r="AQ191" s="319"/>
      <c r="AR191" s="319"/>
      <c r="AS191" s="319"/>
      <c r="AT191" s="319"/>
      <c r="AU191" s="319"/>
      <c r="AV191" s="319"/>
      <c r="AW191" s="319"/>
      <c r="AX191" s="319"/>
      <c r="AY191" s="319"/>
      <c r="AZ191" s="319"/>
      <c r="BA191" s="319"/>
      <c r="BB191" s="319"/>
      <c r="BC191" s="319"/>
      <c r="BD191" s="319"/>
      <c r="BE191" s="319"/>
      <c r="BF191" s="319"/>
      <c r="BG191" s="319"/>
      <c r="BH191" s="319"/>
      <c r="BI191" s="319"/>
      <c r="BJ191" s="319"/>
      <c r="BK191" s="319"/>
      <c r="BL191" s="319"/>
      <c r="BM191" s="319"/>
      <c r="BN191" s="319"/>
      <c r="BO191" s="319"/>
      <c r="BP191" s="319"/>
      <c r="BQ191" s="319"/>
      <c r="BR191" s="319"/>
      <c r="BS191" s="319"/>
      <c r="BT191" s="319"/>
      <c r="BU191" s="319"/>
      <c r="BV191" s="319"/>
      <c r="BW191" s="319"/>
      <c r="BX191" s="319"/>
      <c r="BY191" s="319"/>
      <c r="BZ191" s="319"/>
      <c r="CA191" s="319"/>
      <c r="CB191" s="319"/>
      <c r="CC191" s="319"/>
      <c r="CD191" s="319"/>
      <c r="CE191" s="319"/>
      <c r="CF191" s="319"/>
    </row>
    <row r="192" spans="1:84" ht="12.75" hidden="1" customHeight="1">
      <c r="A192" s="12"/>
      <c r="B192" s="329" t="str">
        <f>B77</f>
        <v>Combustível necessário</v>
      </c>
      <c r="C192" s="29" t="str">
        <f t="shared" ref="C192:D194" si="6">IF(Unit=TRUE,R192,T192)</f>
        <v>GJ/h</v>
      </c>
      <c r="D192" s="236" t="e">
        <f>IF(Unit=TRUE,S192,U192)</f>
        <v>#DIV/0!</v>
      </c>
      <c r="E192" s="1"/>
      <c r="F192" s="29" t="str">
        <f t="shared" ref="F192:G194" si="7">IF($M$3=FALSE,"",IF(Unit=FALSE,R192,T192))</f>
        <v/>
      </c>
      <c r="G192" s="140" t="str">
        <f t="shared" si="7"/>
        <v/>
      </c>
      <c r="H192" s="1"/>
      <c r="I192" s="1"/>
      <c r="J192" s="1"/>
      <c r="K192" s="9"/>
      <c r="L192" s="1"/>
      <c r="M192" s="319"/>
      <c r="N192" s="319"/>
      <c r="O192" s="319"/>
      <c r="P192" s="319"/>
      <c r="Q192" s="319"/>
      <c r="R192" s="319" t="str">
        <f>$R$77</f>
        <v>GJ/h</v>
      </c>
      <c r="S192" s="476" t="e">
        <f>(S165-EnthalpyF(0.1,S191+$AA$1090))*S161/D190/10^6</f>
        <v>#DIV/0!</v>
      </c>
      <c r="T192" s="319" t="str">
        <f>$T$77</f>
        <v>milhão Btu/h</v>
      </c>
      <c r="U192" s="476" t="e">
        <f>S192/$AA$1082</f>
        <v>#DIV/0!</v>
      </c>
      <c r="V192" s="476"/>
      <c r="W192" s="319"/>
      <c r="X192" s="319"/>
      <c r="Y192" s="319"/>
      <c r="Z192" s="319"/>
      <c r="AA192" s="319"/>
      <c r="AB192" s="319"/>
      <c r="AC192" s="319"/>
      <c r="AD192" s="319"/>
      <c r="AE192" s="319"/>
      <c r="AF192" s="319"/>
      <c r="AG192" s="319"/>
      <c r="AH192" s="319"/>
      <c r="AI192" s="319"/>
      <c r="AJ192" s="319"/>
      <c r="AK192" s="319"/>
      <c r="AL192" s="319"/>
      <c r="AM192" s="319"/>
      <c r="AN192" s="319"/>
      <c r="AO192" s="319">
        <v>2060072</v>
      </c>
      <c r="AP192" s="319"/>
      <c r="AQ192" s="319"/>
      <c r="AR192" s="319"/>
      <c r="AS192" s="319"/>
      <c r="AT192" s="319"/>
      <c r="AU192" s="319"/>
      <c r="AV192" s="319"/>
      <c r="AW192" s="319"/>
      <c r="AX192" s="319"/>
      <c r="AY192" s="319"/>
      <c r="AZ192" s="319"/>
      <c r="BA192" s="319"/>
      <c r="BB192" s="319"/>
      <c r="BC192" s="319"/>
      <c r="BD192" s="319"/>
      <c r="BE192" s="319"/>
      <c r="BF192" s="319"/>
      <c r="BG192" s="319"/>
      <c r="BH192" s="319"/>
      <c r="BI192" s="319"/>
      <c r="BJ192" s="319"/>
      <c r="BK192" s="319"/>
      <c r="BL192" s="319"/>
      <c r="BM192" s="319"/>
      <c r="BN192" s="319"/>
      <c r="BO192" s="319"/>
      <c r="BP192" s="319"/>
      <c r="BQ192" s="319"/>
      <c r="BR192" s="319"/>
      <c r="BS192" s="319"/>
      <c r="BT192" s="319"/>
      <c r="BU192" s="319"/>
      <c r="BV192" s="319"/>
      <c r="BW192" s="319"/>
      <c r="BX192" s="319"/>
      <c r="BY192" s="319"/>
      <c r="BZ192" s="319"/>
      <c r="CA192" s="319"/>
      <c r="CB192" s="319"/>
      <c r="CC192" s="319"/>
      <c r="CD192" s="319"/>
      <c r="CE192" s="319"/>
      <c r="CF192" s="319"/>
    </row>
    <row r="193" spans="1:84" ht="12.75" hidden="1" customHeight="1">
      <c r="A193" s="12"/>
      <c r="B193" s="329" t="str">
        <f>B157</f>
        <v>Capacidade térmica - sem extração</v>
      </c>
      <c r="C193" s="29" t="str">
        <f t="shared" si="6"/>
        <v>kW</v>
      </c>
      <c r="D193" s="140">
        <f t="shared" si="6"/>
        <v>0</v>
      </c>
      <c r="E193" s="80" t="str">
        <f>IF(OR(HideCode_projectType3=2,HideCode_projectType3=5),"",S193/$Q$866)</f>
        <v/>
      </c>
      <c r="F193" s="29" t="str">
        <f t="shared" si="7"/>
        <v/>
      </c>
      <c r="G193" s="140" t="str">
        <f t="shared" si="7"/>
        <v/>
      </c>
      <c r="H193" s="1"/>
      <c r="I193" s="1"/>
      <c r="J193" s="1"/>
      <c r="K193" s="9"/>
      <c r="L193" s="1"/>
      <c r="M193" s="319"/>
      <c r="N193" s="319"/>
      <c r="O193" s="319"/>
      <c r="P193" s="319"/>
      <c r="Q193" s="319"/>
      <c r="R193" s="319" t="str">
        <f>$R$20</f>
        <v>kW</v>
      </c>
      <c r="S193" s="476">
        <f>(IF(V175&gt;0.1,EnthalpyV(V175,S176+$AA$1090)-EnthalpyF(0.1,S191+$AA$1090),EnthalpyF(V175,S176+$AA$1090)-EnthalpyF(0.1,S191+$AA$1090))*S161*V191)/3600</f>
        <v>0</v>
      </c>
      <c r="T193" s="319" t="str">
        <f>$T$77</f>
        <v>milhão Btu/h</v>
      </c>
      <c r="U193" s="476">
        <f>S193*$AA$1087</f>
        <v>0</v>
      </c>
      <c r="V193" s="476" t="s">
        <v>1068</v>
      </c>
      <c r="W193" s="319"/>
      <c r="X193" s="319"/>
      <c r="Y193" s="319"/>
      <c r="Z193" s="319"/>
      <c r="AA193" s="319"/>
      <c r="AB193" s="319"/>
      <c r="AC193" s="319"/>
      <c r="AD193" s="319"/>
      <c r="AE193" s="319"/>
      <c r="AF193" s="319"/>
      <c r="AG193" s="319"/>
      <c r="AH193" s="319"/>
      <c r="AI193" s="319"/>
      <c r="AJ193" s="319"/>
      <c r="AK193" s="319"/>
      <c r="AL193" s="319"/>
      <c r="AM193" s="319"/>
      <c r="AN193" s="319"/>
      <c r="AO193" s="319">
        <v>2060064</v>
      </c>
      <c r="AP193" s="319"/>
      <c r="AQ193" s="319"/>
      <c r="AR193" s="319"/>
      <c r="AS193" s="319"/>
      <c r="AT193" s="319"/>
      <c r="AU193" s="319"/>
      <c r="AV193" s="319"/>
      <c r="AW193" s="319"/>
      <c r="AX193" s="319"/>
      <c r="AY193" s="319"/>
      <c r="AZ193" s="319"/>
      <c r="BA193" s="319"/>
      <c r="BB193" s="319"/>
      <c r="BC193" s="319"/>
      <c r="BD193" s="319"/>
      <c r="BE193" s="319"/>
      <c r="BF193" s="319"/>
      <c r="BG193" s="319"/>
      <c r="BH193" s="319"/>
      <c r="BI193" s="319"/>
      <c r="BJ193" s="319"/>
      <c r="BK193" s="319"/>
      <c r="BL193" s="319"/>
      <c r="BM193" s="319"/>
      <c r="BN193" s="319"/>
      <c r="BO193" s="319"/>
      <c r="BP193" s="319"/>
      <c r="BQ193" s="319"/>
      <c r="BR193" s="319"/>
      <c r="BS193" s="319"/>
      <c r="BT193" s="319"/>
      <c r="BU193" s="319"/>
      <c r="BV193" s="319"/>
      <c r="BW193" s="319"/>
      <c r="BX193" s="319"/>
      <c r="BY193" s="319"/>
      <c r="BZ193" s="319"/>
      <c r="CA193" s="319"/>
      <c r="CB193" s="319"/>
      <c r="CC193" s="319"/>
      <c r="CD193" s="319"/>
      <c r="CE193" s="319"/>
      <c r="CF193" s="319"/>
    </row>
    <row r="194" spans="1:84" ht="12.75" hidden="1" customHeight="1">
      <c r="A194" s="14"/>
      <c r="B194" s="380" t="str">
        <f>IF(HideCodeES_Extract_ST1=2,Language!C431,Language!C433)</f>
        <v>Capacidade térmica</v>
      </c>
      <c r="C194" s="33" t="str">
        <f t="shared" si="6"/>
        <v>kW</v>
      </c>
      <c r="D194" s="245">
        <f t="shared" si="6"/>
        <v>0</v>
      </c>
      <c r="E194" s="81" t="str">
        <f>IF(OR(HideCode_projectType3=2,HideCode_projectType3=5),"",S194/$Q$866)</f>
        <v/>
      </c>
      <c r="F194" s="33" t="str">
        <f t="shared" si="7"/>
        <v/>
      </c>
      <c r="G194" s="245" t="str">
        <f t="shared" si="7"/>
        <v/>
      </c>
      <c r="H194" s="15"/>
      <c r="I194" s="15"/>
      <c r="J194" s="15"/>
      <c r="K194" s="11"/>
      <c r="L194" s="1"/>
      <c r="M194" s="319"/>
      <c r="N194" s="319"/>
      <c r="O194" s="319"/>
      <c r="P194" s="319"/>
      <c r="Q194" s="319"/>
      <c r="R194" s="319" t="str">
        <f>$R$20</f>
        <v>kW</v>
      </c>
      <c r="S194" s="476">
        <f>(IF(V175&gt;0.1,EnthalpyV(V175,S176+$AA$1090)-EnthalpyF(0.1,S191+$AA$1090),EnthalpyF(V175,S176+$AA$1090)-EnthalpyF(0.1,S191+$AA$1090))*S161*(1-V168)*V191+IF(S170&gt;0.1,(S173-EnthalpyF(0.1,S191+$AA$1090)),(EnthalpyF(S170,S171+$AA$1090)-EnthalpyF(0.1,S191+$AA$1090)))*V168*S161)/3600</f>
        <v>0</v>
      </c>
      <c r="T194" s="319" t="str">
        <f>$T$77</f>
        <v>milhão Btu/h</v>
      </c>
      <c r="U194" s="476">
        <f>S194*$AA$1087</f>
        <v>0</v>
      </c>
      <c r="V194" s="476"/>
      <c r="W194" s="319"/>
      <c r="X194" s="319"/>
      <c r="Y194" s="319"/>
      <c r="Z194" s="319"/>
      <c r="AA194" s="319"/>
      <c r="AB194" s="319"/>
      <c r="AC194" s="319"/>
      <c r="AD194" s="319"/>
      <c r="AE194" s="319"/>
      <c r="AF194" s="319"/>
      <c r="AG194" s="319"/>
      <c r="AH194" s="319"/>
      <c r="AI194" s="319"/>
      <c r="AJ194" s="319"/>
      <c r="AK194" s="319"/>
      <c r="AL194" s="319"/>
      <c r="AM194" s="319"/>
      <c r="AN194" s="319"/>
      <c r="AO194" s="319">
        <v>2060066</v>
      </c>
      <c r="AP194" s="319"/>
      <c r="AQ194" s="319"/>
      <c r="AR194" s="319"/>
      <c r="AS194" s="319"/>
      <c r="AT194" s="319"/>
      <c r="AU194" s="319"/>
      <c r="AV194" s="319"/>
      <c r="AW194" s="319"/>
      <c r="AX194" s="319"/>
      <c r="AY194" s="319"/>
      <c r="AZ194" s="319"/>
      <c r="BA194" s="319"/>
      <c r="BB194" s="319"/>
      <c r="BC194" s="319"/>
      <c r="BD194" s="319"/>
      <c r="BE194" s="319"/>
      <c r="BF194" s="319"/>
      <c r="BG194" s="319"/>
      <c r="BH194" s="319"/>
      <c r="BI194" s="319"/>
      <c r="BJ194" s="319"/>
      <c r="BK194" s="319"/>
      <c r="BL194" s="319"/>
      <c r="BM194" s="319"/>
      <c r="BN194" s="319"/>
      <c r="BO194" s="319"/>
      <c r="BP194" s="319"/>
      <c r="BQ194" s="319"/>
      <c r="BR194" s="319"/>
      <c r="BS194" s="319"/>
      <c r="BT194" s="319"/>
      <c r="BU194" s="319"/>
      <c r="BV194" s="319"/>
      <c r="BW194" s="319"/>
      <c r="BX194" s="319"/>
      <c r="BY194" s="319"/>
      <c r="BZ194" s="319"/>
      <c r="CA194" s="319"/>
      <c r="CB194" s="319"/>
      <c r="CC194" s="319"/>
      <c r="CD194" s="319"/>
      <c r="CE194" s="319"/>
      <c r="CF194" s="319"/>
    </row>
    <row r="195" spans="1:84" ht="12.75" hidden="1" customHeight="1">
      <c r="A195" s="50"/>
      <c r="B195" s="1"/>
      <c r="C195" s="1"/>
      <c r="D195" s="1"/>
      <c r="E195" s="1"/>
      <c r="F195" s="1"/>
      <c r="G195" s="1"/>
      <c r="H195" s="1"/>
      <c r="I195" s="1"/>
      <c r="J195" s="1"/>
      <c r="K195" s="6"/>
      <c r="L195" s="1"/>
      <c r="M195" s="319"/>
      <c r="N195" s="319"/>
      <c r="O195" s="319"/>
      <c r="P195" s="319"/>
      <c r="Q195" s="319"/>
      <c r="R195" s="319"/>
      <c r="S195" s="476"/>
      <c r="T195" s="319"/>
      <c r="U195" s="476"/>
      <c r="V195" s="476"/>
      <c r="W195" s="319"/>
      <c r="X195" s="319"/>
      <c r="Y195" s="319"/>
      <c r="Z195" s="319"/>
      <c r="AA195" s="319"/>
      <c r="AB195" s="319"/>
      <c r="AC195" s="319"/>
      <c r="AD195" s="319"/>
      <c r="AE195" s="319"/>
      <c r="AF195" s="319"/>
      <c r="AG195" s="319"/>
      <c r="AH195" s="319"/>
      <c r="AI195" s="319"/>
      <c r="AJ195" s="319"/>
      <c r="AK195" s="319"/>
      <c r="AL195" s="319"/>
      <c r="AM195" s="319"/>
      <c r="AN195" s="319"/>
      <c r="AO195" s="319">
        <v>2030000</v>
      </c>
      <c r="AP195" s="319"/>
      <c r="AQ195" s="319"/>
      <c r="AR195" s="319"/>
      <c r="AS195" s="319"/>
      <c r="AT195" s="319"/>
      <c r="AU195" s="319"/>
      <c r="AV195" s="319"/>
      <c r="AW195" s="319"/>
      <c r="AX195" s="319"/>
      <c r="AY195" s="319"/>
      <c r="AZ195" s="319"/>
      <c r="BA195" s="319"/>
      <c r="BB195" s="319"/>
      <c r="BC195" s="319"/>
      <c r="BD195" s="319"/>
      <c r="BE195" s="319"/>
      <c r="BF195" s="319"/>
      <c r="BG195" s="319"/>
      <c r="BH195" s="319"/>
      <c r="BI195" s="319"/>
      <c r="BJ195" s="319"/>
      <c r="BK195" s="319"/>
      <c r="BL195" s="319"/>
      <c r="BM195" s="319"/>
      <c r="BN195" s="319"/>
      <c r="BO195" s="319"/>
      <c r="BP195" s="319"/>
      <c r="BQ195" s="319"/>
      <c r="BR195" s="319"/>
      <c r="BS195" s="319"/>
      <c r="BT195" s="319"/>
      <c r="BU195" s="319"/>
      <c r="BV195" s="319"/>
      <c r="BW195" s="319"/>
      <c r="BX195" s="319"/>
      <c r="BY195" s="319"/>
      <c r="BZ195" s="319"/>
      <c r="CA195" s="319"/>
      <c r="CB195" s="319"/>
      <c r="CC195" s="319"/>
      <c r="CD195" s="319"/>
      <c r="CE195" s="319"/>
      <c r="CF195" s="319"/>
    </row>
    <row r="196" spans="1:84" ht="12.75" hidden="1" customHeight="1">
      <c r="A196" s="12"/>
      <c r="B196" s="1"/>
      <c r="C196" s="1"/>
      <c r="D196" s="1"/>
      <c r="E196" s="1"/>
      <c r="F196" s="1"/>
      <c r="G196" s="1"/>
      <c r="H196" s="1"/>
      <c r="I196" s="1"/>
      <c r="J196" s="1"/>
      <c r="K196" s="9"/>
      <c r="L196" s="1"/>
      <c r="M196" s="319"/>
      <c r="N196" s="319"/>
      <c r="O196" s="319"/>
      <c r="P196" s="319"/>
      <c r="Q196" s="319"/>
      <c r="R196" s="319"/>
      <c r="S196" s="476"/>
      <c r="T196" s="319"/>
      <c r="U196" s="476"/>
      <c r="V196" s="476"/>
      <c r="W196" s="319"/>
      <c r="X196" s="319"/>
      <c r="Y196" s="319"/>
      <c r="Z196" s="319"/>
      <c r="AA196" s="319"/>
      <c r="AB196" s="319"/>
      <c r="AC196" s="319"/>
      <c r="AD196" s="319"/>
      <c r="AE196" s="319"/>
      <c r="AF196" s="319"/>
      <c r="AG196" s="319"/>
      <c r="AH196" s="319"/>
      <c r="AI196" s="319"/>
      <c r="AJ196" s="319"/>
      <c r="AK196" s="319"/>
      <c r="AL196" s="319"/>
      <c r="AM196" s="319"/>
      <c r="AN196" s="319"/>
      <c r="AO196" s="319">
        <v>2000000</v>
      </c>
      <c r="AP196" s="319"/>
      <c r="AQ196" s="319"/>
      <c r="AR196" s="319"/>
      <c r="AS196" s="319"/>
      <c r="AT196" s="319"/>
      <c r="AU196" s="319"/>
      <c r="AV196" s="319"/>
      <c r="AW196" s="319"/>
      <c r="AX196" s="319"/>
      <c r="AY196" s="319"/>
      <c r="AZ196" s="319"/>
      <c r="BA196" s="319"/>
      <c r="BB196" s="319"/>
      <c r="BC196" s="319"/>
      <c r="BD196" s="319"/>
      <c r="BE196" s="319"/>
      <c r="BF196" s="319"/>
      <c r="BG196" s="319"/>
      <c r="BH196" s="319"/>
      <c r="BI196" s="319"/>
      <c r="BJ196" s="319"/>
      <c r="BK196" s="319"/>
      <c r="BL196" s="319"/>
      <c r="BM196" s="319"/>
      <c r="BN196" s="319"/>
      <c r="BO196" s="319"/>
      <c r="BP196" s="319"/>
      <c r="BQ196" s="319"/>
      <c r="BR196" s="319"/>
      <c r="BS196" s="319"/>
      <c r="BT196" s="319"/>
      <c r="BU196" s="319"/>
      <c r="BV196" s="319"/>
      <c r="BW196" s="319"/>
      <c r="BX196" s="319"/>
      <c r="BY196" s="319"/>
      <c r="BZ196" s="319"/>
      <c r="CA196" s="319"/>
      <c r="CB196" s="319"/>
      <c r="CC196" s="319"/>
      <c r="CD196" s="319"/>
      <c r="CE196" s="319"/>
      <c r="CF196" s="319"/>
    </row>
    <row r="197" spans="1:84" ht="12.75" hidden="1" customHeight="1">
      <c r="A197" s="12"/>
      <c r="B197" s="28" t="str">
        <f>IF(HideCodeES_PSS=1,Language!C137,Language!C137&amp;" #1")</f>
        <v>Energia Geotérmica</v>
      </c>
      <c r="C197" s="1"/>
      <c r="D197" s="1"/>
      <c r="E197" s="1"/>
      <c r="F197" s="1"/>
      <c r="G197" s="1"/>
      <c r="H197" s="1"/>
      <c r="I197" s="1"/>
      <c r="J197" s="1"/>
      <c r="K197" s="9"/>
      <c r="L197" s="1"/>
      <c r="M197" s="319"/>
      <c r="N197" s="319"/>
      <c r="O197" s="319"/>
      <c r="P197" s="319"/>
      <c r="Q197" s="319"/>
      <c r="R197" s="319"/>
      <c r="S197" s="476"/>
      <c r="T197" s="319"/>
      <c r="U197" s="476"/>
      <c r="V197" s="476"/>
      <c r="W197" s="319"/>
      <c r="X197" s="319"/>
      <c r="Y197" s="319"/>
      <c r="Z197" s="319"/>
      <c r="AA197" s="319"/>
      <c r="AB197" s="319"/>
      <c r="AC197" s="319"/>
      <c r="AD197" s="319"/>
      <c r="AE197" s="319"/>
      <c r="AF197" s="319"/>
      <c r="AG197" s="319"/>
      <c r="AH197" s="319"/>
      <c r="AI197" s="319"/>
      <c r="AJ197" s="319"/>
      <c r="AK197" s="319"/>
      <c r="AL197" s="319"/>
      <c r="AM197" s="319"/>
      <c r="AN197" s="319"/>
      <c r="AO197" s="319">
        <v>14130</v>
      </c>
      <c r="AP197" s="319"/>
      <c r="AQ197" s="319"/>
      <c r="AR197" s="319"/>
      <c r="AS197" s="319"/>
      <c r="AT197" s="319"/>
      <c r="AU197" s="319"/>
      <c r="AV197" s="319"/>
      <c r="AW197" s="319"/>
      <c r="AX197" s="319"/>
      <c r="AY197" s="319"/>
      <c r="AZ197" s="319"/>
      <c r="BA197" s="319"/>
      <c r="BB197" s="319"/>
      <c r="BC197" s="319"/>
      <c r="BD197" s="319"/>
      <c r="BE197" s="319"/>
      <c r="BF197" s="319"/>
      <c r="BG197" s="319"/>
      <c r="BH197" s="319"/>
      <c r="BI197" s="319"/>
      <c r="BJ197" s="319"/>
      <c r="BK197" s="319"/>
      <c r="BL197" s="319"/>
      <c r="BM197" s="319"/>
      <c r="BN197" s="319"/>
      <c r="BO197" s="319"/>
      <c r="BP197" s="319"/>
      <c r="BQ197" s="319"/>
      <c r="BR197" s="319"/>
      <c r="BS197" s="319"/>
      <c r="BT197" s="319"/>
      <c r="BU197" s="319"/>
      <c r="BV197" s="319"/>
      <c r="BW197" s="319"/>
      <c r="BX197" s="319"/>
      <c r="BY197" s="319"/>
      <c r="BZ197" s="319"/>
      <c r="CA197" s="319"/>
      <c r="CB197" s="319"/>
      <c r="CC197" s="319"/>
      <c r="CD197" s="319"/>
      <c r="CE197" s="319"/>
      <c r="CF197" s="319"/>
    </row>
    <row r="198" spans="1:84" ht="12.75" hidden="1" customHeight="1">
      <c r="A198" s="12"/>
      <c r="B198" s="329" t="str">
        <f>Language!C460</f>
        <v>Fluxo de vapor</v>
      </c>
      <c r="C198" s="459" t="s">
        <v>4448</v>
      </c>
      <c r="D198" s="457"/>
      <c r="E198" s="1"/>
      <c r="F198" s="1"/>
      <c r="G198" s="1"/>
      <c r="H198" s="1346"/>
      <c r="I198" s="1"/>
      <c r="J198" s="1"/>
      <c r="K198" s="9"/>
      <c r="L198" s="1"/>
      <c r="M198" s="319"/>
      <c r="N198" s="319"/>
      <c r="O198" s="319"/>
      <c r="P198" s="319"/>
      <c r="Q198" s="319"/>
      <c r="R198" s="319" t="s">
        <v>4448</v>
      </c>
      <c r="S198" s="476">
        <f>IF(C198=$Z$1084,D198,D198*$AA$1085)</f>
        <v>0</v>
      </c>
      <c r="T198" s="319"/>
      <c r="U198" s="476"/>
      <c r="V198" s="476"/>
      <c r="W198" s="319"/>
      <c r="X198" s="319"/>
      <c r="Y198" s="319"/>
      <c r="Z198" s="319"/>
      <c r="AA198" s="319"/>
      <c r="AB198" s="319"/>
      <c r="AC198" s="319"/>
      <c r="AD198" s="319"/>
      <c r="AE198" s="319"/>
      <c r="AF198" s="319"/>
      <c r="AG198" s="319"/>
      <c r="AH198" s="319"/>
      <c r="AI198" s="319"/>
      <c r="AJ198" s="319"/>
      <c r="AK198" s="319"/>
      <c r="AL198" s="319"/>
      <c r="AM198" s="319"/>
      <c r="AN198" s="319"/>
      <c r="AO198" s="319">
        <v>2060016</v>
      </c>
      <c r="AP198" s="319"/>
      <c r="AQ198" s="319"/>
      <c r="AR198" s="319"/>
      <c r="AS198" s="319"/>
      <c r="AT198" s="319"/>
      <c r="AU198" s="319"/>
      <c r="AV198" s="319"/>
      <c r="AW198" s="319"/>
      <c r="AX198" s="319"/>
      <c r="AY198" s="319"/>
      <c r="AZ198" s="319"/>
      <c r="BA198" s="319"/>
      <c r="BB198" s="319"/>
      <c r="BC198" s="319"/>
      <c r="BD198" s="319"/>
      <c r="BE198" s="319"/>
      <c r="BF198" s="319"/>
      <c r="BG198" s="319"/>
      <c r="BH198" s="319"/>
      <c r="BI198" s="319"/>
      <c r="BJ198" s="319"/>
      <c r="BK198" s="319"/>
      <c r="BL198" s="319"/>
      <c r="BM198" s="319"/>
      <c r="BN198" s="319"/>
      <c r="BO198" s="319"/>
      <c r="BP198" s="319"/>
      <c r="BQ198" s="319"/>
      <c r="BR198" s="319"/>
      <c r="BS198" s="319"/>
      <c r="BT198" s="319"/>
      <c r="BU198" s="319"/>
      <c r="BV198" s="319"/>
      <c r="BW198" s="319"/>
      <c r="BX198" s="319"/>
      <c r="BY198" s="319"/>
      <c r="BZ198" s="319"/>
      <c r="CA198" s="319"/>
      <c r="CB198" s="319"/>
      <c r="CC198" s="319"/>
      <c r="CD198" s="319"/>
      <c r="CE198" s="319"/>
      <c r="CF198" s="319"/>
    </row>
    <row r="199" spans="1:84" ht="12.75" hidden="1" customHeight="1">
      <c r="A199" s="12"/>
      <c r="B199" s="329" t="str">
        <f>B12</f>
        <v>Fabricante</v>
      </c>
      <c r="C199" s="1152"/>
      <c r="D199" s="1153"/>
      <c r="E199" s="1154"/>
      <c r="F199" s="1"/>
      <c r="G199" s="1"/>
      <c r="H199" s="1"/>
      <c r="I199" s="1209" t="str">
        <f>Language!C61</f>
        <v>Ver banco de dados de produtos</v>
      </c>
      <c r="J199" s="1191"/>
      <c r="K199" s="1210"/>
      <c r="L199" s="1"/>
      <c r="M199" s="319"/>
      <c r="N199" s="319"/>
      <c r="O199" s="319"/>
      <c r="P199" s="319"/>
      <c r="Q199" s="319"/>
      <c r="R199" s="319"/>
      <c r="S199" s="476"/>
      <c r="T199" s="319"/>
      <c r="U199" s="476"/>
      <c r="V199" s="476">
        <f>Tsat(V204)</f>
        <v>281.649075836495</v>
      </c>
      <c r="W199" s="319" t="s">
        <v>143</v>
      </c>
      <c r="X199" s="319"/>
      <c r="Y199" s="319"/>
      <c r="Z199" s="319"/>
      <c r="AA199" s="319"/>
      <c r="AB199" s="319"/>
      <c r="AC199" s="319"/>
      <c r="AD199" s="319"/>
      <c r="AE199" s="319"/>
      <c r="AF199" s="319"/>
      <c r="AG199" s="319"/>
      <c r="AH199" s="319"/>
      <c r="AI199" s="319"/>
      <c r="AJ199" s="319"/>
      <c r="AK199" s="319"/>
      <c r="AL199" s="319"/>
      <c r="AM199" s="319"/>
      <c r="AN199" s="319"/>
      <c r="AO199" s="319">
        <v>2050012</v>
      </c>
      <c r="AP199" s="319"/>
      <c r="AQ199" s="319"/>
      <c r="AR199" s="319"/>
      <c r="AS199" s="319"/>
      <c r="AT199" s="319"/>
      <c r="AU199" s="319"/>
      <c r="AV199" s="319"/>
      <c r="AW199" s="319"/>
      <c r="AX199" s="319"/>
      <c r="AY199" s="319"/>
      <c r="AZ199" s="319"/>
      <c r="BA199" s="319"/>
      <c r="BB199" s="319"/>
      <c r="BC199" s="319"/>
      <c r="BD199" s="319"/>
      <c r="BE199" s="319"/>
      <c r="BF199" s="319"/>
      <c r="BG199" s="319"/>
      <c r="BH199" s="319"/>
      <c r="BI199" s="319"/>
      <c r="BJ199" s="319"/>
      <c r="BK199" s="319"/>
      <c r="BL199" s="319"/>
      <c r="BM199" s="319"/>
      <c r="BN199" s="319"/>
      <c r="BO199" s="319"/>
      <c r="BP199" s="319"/>
      <c r="BQ199" s="319"/>
      <c r="BR199" s="319"/>
      <c r="BS199" s="319"/>
      <c r="BT199" s="319"/>
      <c r="BU199" s="319"/>
      <c r="BV199" s="319"/>
      <c r="BW199" s="319"/>
      <c r="BX199" s="319"/>
      <c r="BY199" s="319"/>
      <c r="BZ199" s="319"/>
      <c r="CA199" s="319"/>
      <c r="CB199" s="319"/>
      <c r="CC199" s="319"/>
      <c r="CD199" s="319"/>
      <c r="CE199" s="319"/>
      <c r="CF199" s="319"/>
    </row>
    <row r="200" spans="1:84" ht="12.75" hidden="1" customHeight="1">
      <c r="A200" s="12"/>
      <c r="B200" s="329" t="str">
        <f>B187</f>
        <v>Modelo e capacidade</v>
      </c>
      <c r="C200" s="1152"/>
      <c r="D200" s="1153"/>
      <c r="E200" s="1154"/>
      <c r="F200" s="1"/>
      <c r="G200" s="1"/>
      <c r="H200" s="1"/>
      <c r="I200" s="1"/>
      <c r="J200" s="1"/>
      <c r="K200" s="9"/>
      <c r="L200" s="1"/>
      <c r="M200" s="319"/>
      <c r="N200" s="319"/>
      <c r="O200" s="319"/>
      <c r="P200" s="319"/>
      <c r="Q200" s="319"/>
      <c r="R200" s="319"/>
      <c r="S200" s="476"/>
      <c r="T200" s="319"/>
      <c r="U200" s="476"/>
      <c r="V200" s="476">
        <f>(entropyV(V201,V203)-entropyF(V204,V199))/(entropyV(V204,V199)-entropyF(V204,V199))</f>
        <v>0.9934117547612823</v>
      </c>
      <c r="W200" s="319" t="s">
        <v>3349</v>
      </c>
      <c r="X200" s="319"/>
      <c r="Y200" s="319"/>
      <c r="Z200" s="319"/>
      <c r="AA200" s="319"/>
      <c r="AB200" s="319"/>
      <c r="AC200" s="319"/>
      <c r="AD200" s="319"/>
      <c r="AE200" s="319"/>
      <c r="AF200" s="319"/>
      <c r="AG200" s="319"/>
      <c r="AH200" s="319"/>
      <c r="AI200" s="319"/>
      <c r="AJ200" s="319"/>
      <c r="AK200" s="319"/>
      <c r="AL200" s="319"/>
      <c r="AM200" s="319"/>
      <c r="AN200" s="319"/>
      <c r="AO200" s="319">
        <v>2050016</v>
      </c>
      <c r="AP200" s="319"/>
      <c r="AQ200" s="319"/>
      <c r="AR200" s="319"/>
      <c r="AS200" s="319"/>
      <c r="AT200" s="319"/>
      <c r="AU200" s="319"/>
      <c r="AV200" s="319"/>
      <c r="AW200" s="319"/>
      <c r="AX200" s="319"/>
      <c r="AY200" s="319"/>
      <c r="AZ200" s="319"/>
      <c r="BA200" s="319"/>
      <c r="BB200" s="319"/>
      <c r="BC200" s="319"/>
      <c r="BD200" s="319"/>
      <c r="BE200" s="319"/>
      <c r="BF200" s="319"/>
      <c r="BG200" s="319"/>
      <c r="BH200" s="319"/>
      <c r="BI200" s="319"/>
      <c r="BJ200" s="319"/>
      <c r="BK200" s="319"/>
      <c r="BL200" s="319"/>
      <c r="BM200" s="319"/>
      <c r="BN200" s="319"/>
      <c r="BO200" s="319"/>
      <c r="BP200" s="319"/>
      <c r="BQ200" s="319"/>
      <c r="BR200" s="319"/>
      <c r="BS200" s="319"/>
      <c r="BT200" s="319"/>
      <c r="BU200" s="319"/>
      <c r="BV200" s="319"/>
      <c r="BW200" s="319"/>
      <c r="BX200" s="319"/>
      <c r="BY200" s="319"/>
      <c r="BZ200" s="319"/>
      <c r="CA200" s="319"/>
      <c r="CB200" s="319"/>
      <c r="CC200" s="319"/>
      <c r="CD200" s="319"/>
      <c r="CE200" s="319"/>
      <c r="CF200" s="319"/>
    </row>
    <row r="201" spans="1:84" ht="12.75" hidden="1" customHeight="1">
      <c r="A201" s="12"/>
      <c r="B201" s="329" t="str">
        <f>B162</f>
        <v>Pressão de Operação</v>
      </c>
      <c r="C201" s="303" t="s">
        <v>2791</v>
      </c>
      <c r="D201" s="307"/>
      <c r="E201" s="1"/>
      <c r="F201" s="1"/>
      <c r="G201" s="1"/>
      <c r="H201" s="1"/>
      <c r="I201" s="1"/>
      <c r="J201" s="1"/>
      <c r="K201" s="9"/>
      <c r="L201" s="1"/>
      <c r="M201" s="319"/>
      <c r="N201" s="319"/>
      <c r="O201" s="319"/>
      <c r="P201" s="319"/>
      <c r="Q201" s="319"/>
      <c r="R201" s="319"/>
      <c r="S201" s="476"/>
      <c r="T201" s="319"/>
      <c r="U201" s="476"/>
      <c r="V201" s="476">
        <f>IF(IF(C201=$Z$1067,D201/1000,IF(C201=$Z$1068,D201/10,IF(C201=$Z$1069,(D201+$AA$1069)/$Y$1069/10,IF(C201=$Z$1070,D201/$Y$1069/10))))&lt;SteamP,SteamP,IF(C201=$Z$1067,D201/1000,IF(C201=$Z$1068,D201/10,IF(C201=$Z$1069,(D201+$AA$1069)/$Y$1069/10,IF(C201=$Z$1070,D201/$Y$1069/10)))))</f>
        <v>1.1100000000000001E-3</v>
      </c>
      <c r="W201" s="319" t="s">
        <v>3345</v>
      </c>
      <c r="X201" s="319"/>
      <c r="Y201" s="319"/>
      <c r="Z201" s="319"/>
      <c r="AA201" s="319"/>
      <c r="AB201" s="319"/>
      <c r="AC201" s="319"/>
      <c r="AD201" s="319"/>
      <c r="AE201" s="319"/>
      <c r="AF201" s="319"/>
      <c r="AG201" s="319"/>
      <c r="AH201" s="319"/>
      <c r="AI201" s="319"/>
      <c r="AJ201" s="319"/>
      <c r="AK201" s="319"/>
      <c r="AL201" s="319"/>
      <c r="AM201" s="319"/>
      <c r="AN201" s="319"/>
      <c r="AO201" s="319">
        <v>2060008</v>
      </c>
      <c r="AP201" s="319"/>
      <c r="AQ201" s="319"/>
      <c r="AR201" s="319"/>
      <c r="AS201" s="319"/>
      <c r="AT201" s="319"/>
      <c r="AU201" s="319"/>
      <c r="AV201" s="319"/>
      <c r="AW201" s="319"/>
      <c r="AX201" s="319"/>
      <c r="AY201" s="319"/>
      <c r="AZ201" s="319"/>
      <c r="BA201" s="319"/>
      <c r="BB201" s="319"/>
      <c r="BC201" s="319"/>
      <c r="BD201" s="319"/>
      <c r="BE201" s="319"/>
      <c r="BF201" s="319"/>
      <c r="BG201" s="319"/>
      <c r="BH201" s="319"/>
      <c r="BI201" s="319"/>
      <c r="BJ201" s="319"/>
      <c r="BK201" s="319"/>
      <c r="BL201" s="319"/>
      <c r="BM201" s="319"/>
      <c r="BN201" s="319"/>
      <c r="BO201" s="319"/>
      <c r="BP201" s="319"/>
      <c r="BQ201" s="319"/>
      <c r="BR201" s="319"/>
      <c r="BS201" s="319"/>
      <c r="BT201" s="319"/>
      <c r="BU201" s="319"/>
      <c r="BV201" s="319"/>
      <c r="BW201" s="319"/>
      <c r="BX201" s="319"/>
      <c r="BY201" s="319"/>
      <c r="BZ201" s="319"/>
      <c r="CA201" s="319"/>
      <c r="CB201" s="319"/>
      <c r="CC201" s="319"/>
      <c r="CD201" s="319"/>
      <c r="CE201" s="319"/>
      <c r="CF201" s="319"/>
    </row>
    <row r="202" spans="1:84" ht="12.75" hidden="1" customHeight="1">
      <c r="A202" s="12"/>
      <c r="B202" s="329" t="str">
        <f>B86</f>
        <v>Temperatura de saturação</v>
      </c>
      <c r="C202" s="29" t="str">
        <f>IF(Unit=TRUE,R202,T202)</f>
        <v>°C</v>
      </c>
      <c r="D202" s="30">
        <f>IF(Unit=TRUE,S202,U202)</f>
        <v>8.4990758364950239</v>
      </c>
      <c r="E202" s="1"/>
      <c r="F202" s="29" t="str">
        <f>IF($M$3=FALSE,"",IF(Unit=FALSE,R202,T202))</f>
        <v/>
      </c>
      <c r="G202" s="140" t="str">
        <f>IF($M$3=FALSE,"",IF(Unit=FALSE,S202,U202))</f>
        <v/>
      </c>
      <c r="H202" s="1"/>
      <c r="I202" s="1"/>
      <c r="J202" s="1"/>
      <c r="K202" s="9"/>
      <c r="L202" s="1"/>
      <c r="M202" s="319"/>
      <c r="N202" s="319"/>
      <c r="O202" s="319"/>
      <c r="P202" s="319"/>
      <c r="Q202" s="319"/>
      <c r="R202" s="319" t="str">
        <f>$R$86</f>
        <v>°C</v>
      </c>
      <c r="S202" s="476">
        <f>Tsat(V201)-$AA$1090</f>
        <v>8.4990758364950239</v>
      </c>
      <c r="T202" s="319" t="str">
        <f>$T$86</f>
        <v>°F</v>
      </c>
      <c r="U202" s="476">
        <f>S202*1.8+32</f>
        <v>47.29833650569104</v>
      </c>
      <c r="V202" s="476"/>
      <c r="W202" s="319"/>
      <c r="X202" s="319"/>
      <c r="Y202" s="319"/>
      <c r="Z202" s="319"/>
      <c r="AA202" s="319"/>
      <c r="AB202" s="319"/>
      <c r="AC202" s="319"/>
      <c r="AD202" s="319"/>
      <c r="AE202" s="319"/>
      <c r="AF202" s="319"/>
      <c r="AG202" s="319"/>
      <c r="AH202" s="319"/>
      <c r="AI202" s="319"/>
      <c r="AJ202" s="319"/>
      <c r="AK202" s="319"/>
      <c r="AL202" s="319"/>
      <c r="AM202" s="319"/>
      <c r="AN202" s="319"/>
      <c r="AO202" s="319">
        <v>2060010</v>
      </c>
      <c r="AP202" s="319"/>
      <c r="AQ202" s="319"/>
      <c r="AR202" s="319"/>
      <c r="AS202" s="319"/>
      <c r="AT202" s="319"/>
      <c r="AU202" s="319"/>
      <c r="AV202" s="319"/>
      <c r="AW202" s="319"/>
      <c r="AX202" s="319"/>
      <c r="AY202" s="319"/>
      <c r="AZ202" s="319"/>
      <c r="BA202" s="319"/>
      <c r="BB202" s="319"/>
      <c r="BC202" s="319"/>
      <c r="BD202" s="319"/>
      <c r="BE202" s="319"/>
      <c r="BF202" s="319"/>
      <c r="BG202" s="319"/>
      <c r="BH202" s="319"/>
      <c r="BI202" s="319"/>
      <c r="BJ202" s="319"/>
      <c r="BK202" s="319"/>
      <c r="BL202" s="319"/>
      <c r="BM202" s="319"/>
      <c r="BN202" s="319"/>
      <c r="BO202" s="319"/>
      <c r="BP202" s="319"/>
      <c r="BQ202" s="319"/>
      <c r="BR202" s="319"/>
      <c r="BS202" s="319"/>
      <c r="BT202" s="319"/>
      <c r="BU202" s="319"/>
      <c r="BV202" s="319"/>
      <c r="BW202" s="319"/>
      <c r="BX202" s="319"/>
      <c r="BY202" s="319"/>
      <c r="BZ202" s="319"/>
      <c r="CA202" s="319"/>
      <c r="CB202" s="319"/>
      <c r="CC202" s="319"/>
      <c r="CD202" s="319"/>
      <c r="CE202" s="319"/>
      <c r="CF202" s="319"/>
    </row>
    <row r="203" spans="1:84" ht="12.75" hidden="1" customHeight="1">
      <c r="A203" s="12"/>
      <c r="B203" s="329" t="str">
        <f>Language!C459</f>
        <v>Temperatura do vapor</v>
      </c>
      <c r="C203" s="303" t="s">
        <v>5568</v>
      </c>
      <c r="D203" s="307"/>
      <c r="E203" s="1"/>
      <c r="F203" s="1"/>
      <c r="G203" s="1"/>
      <c r="H203" s="1"/>
      <c r="I203" s="1"/>
      <c r="J203" s="1"/>
      <c r="K203" s="788" t="str">
        <f>IF(S203&lt;Tsat(V201)-$AA$1090,$G$1089,IF(S203&gt;800,$G$1090,""))</f>
        <v>Temp do vapor abaixo do ponto de saturação</v>
      </c>
      <c r="L203" s="1"/>
      <c r="M203" s="319"/>
      <c r="N203" s="319"/>
      <c r="O203" s="319"/>
      <c r="P203" s="319"/>
      <c r="Q203" s="319"/>
      <c r="R203" s="319" t="str">
        <f>$R$86</f>
        <v>°C</v>
      </c>
      <c r="S203" s="476">
        <f>IF(C203=$Z$1107,D203,(D203-32)/1.8)</f>
        <v>0</v>
      </c>
      <c r="T203" s="319"/>
      <c r="U203" s="476"/>
      <c r="V203" s="476">
        <f>S203+$AA$1090</f>
        <v>273.14999999999998</v>
      </c>
      <c r="W203" s="319" t="s">
        <v>143</v>
      </c>
      <c r="X203" s="319"/>
      <c r="Y203" s="319"/>
      <c r="Z203" s="319"/>
      <c r="AA203" s="319"/>
      <c r="AB203" s="319"/>
      <c r="AC203" s="319"/>
      <c r="AD203" s="319"/>
      <c r="AE203" s="319"/>
      <c r="AF203" s="319"/>
      <c r="AG203" s="319"/>
      <c r="AH203" s="319"/>
      <c r="AI203" s="319"/>
      <c r="AJ203" s="319"/>
      <c r="AK203" s="319"/>
      <c r="AL203" s="319"/>
      <c r="AM203" s="319"/>
      <c r="AN203" s="319"/>
      <c r="AO203" s="319">
        <v>2060074</v>
      </c>
      <c r="AP203" s="319"/>
      <c r="AQ203" s="319"/>
      <c r="AR203" s="319"/>
      <c r="AS203" s="319"/>
      <c r="AT203" s="319"/>
      <c r="AU203" s="319"/>
      <c r="AV203" s="319"/>
      <c r="AW203" s="319"/>
      <c r="AX203" s="319"/>
      <c r="AY203" s="319"/>
      <c r="AZ203" s="319"/>
      <c r="BA203" s="319"/>
      <c r="BB203" s="319"/>
      <c r="BC203" s="319"/>
      <c r="BD203" s="319"/>
      <c r="BE203" s="319"/>
      <c r="BF203" s="319"/>
      <c r="BG203" s="319"/>
      <c r="BH203" s="319"/>
      <c r="BI203" s="319"/>
      <c r="BJ203" s="319"/>
      <c r="BK203" s="319"/>
      <c r="BL203" s="319"/>
      <c r="BM203" s="319"/>
      <c r="BN203" s="319"/>
      <c r="BO203" s="319"/>
      <c r="BP203" s="319"/>
      <c r="BQ203" s="319"/>
      <c r="BR203" s="319"/>
      <c r="BS203" s="319"/>
      <c r="BT203" s="319"/>
      <c r="BU203" s="319"/>
      <c r="BV203" s="319"/>
      <c r="BW203" s="319"/>
      <c r="BX203" s="319"/>
      <c r="BY203" s="319"/>
      <c r="BZ203" s="319"/>
      <c r="CA203" s="319"/>
      <c r="CB203" s="319"/>
      <c r="CC203" s="319"/>
      <c r="CD203" s="319"/>
      <c r="CE203" s="319"/>
      <c r="CF203" s="319"/>
    </row>
    <row r="204" spans="1:84" ht="12.75" hidden="1" customHeight="1">
      <c r="A204" s="12"/>
      <c r="B204" s="329" t="str">
        <f>B175</f>
        <v>Saída da turbina - pressão de vapor</v>
      </c>
      <c r="C204" s="303" t="s">
        <v>741</v>
      </c>
      <c r="D204" s="307"/>
      <c r="E204" s="1"/>
      <c r="F204" s="1"/>
      <c r="G204" s="1"/>
      <c r="H204" s="1"/>
      <c r="I204" s="1"/>
      <c r="J204" s="1"/>
      <c r="K204" s="9"/>
      <c r="L204" s="1"/>
      <c r="M204" s="319"/>
      <c r="N204" s="319"/>
      <c r="O204" s="319"/>
      <c r="P204" s="319"/>
      <c r="Q204" s="319"/>
      <c r="R204" s="319"/>
      <c r="S204" s="476"/>
      <c r="T204" s="319"/>
      <c r="U204" s="476"/>
      <c r="V204" s="476">
        <f>IF(IF(C204=$Z$1061,D204/1000,IF(C204=$Z$1062,(D204+$AA$1069)/$Y$1069/10,IF(C204=$Z$1063,D204/$Y$1069/10,IF(C204=$Z$1064,D204/$AA$1064,D204/$AA$1065/10))))&lt;SteamP,SteamP,IF(C204=$Z$1061,D204/1000,IF(C204=$Z$1062,(D204+$AA$1069)/$Y$1069/10,IF(C204=$Z$1063,D204/$Y$1069/10,IF(C204=$Z$1064,D204/$AA$1064,D204/$AA$1065/10)))))</f>
        <v>1.1100000000000001E-3</v>
      </c>
      <c r="W204" s="319" t="s">
        <v>3345</v>
      </c>
      <c r="X204" s="319"/>
      <c r="Y204" s="319"/>
      <c r="Z204" s="319"/>
      <c r="AA204" s="319"/>
      <c r="AB204" s="319"/>
      <c r="AC204" s="319"/>
      <c r="AD204" s="319"/>
      <c r="AE204" s="319"/>
      <c r="AF204" s="319"/>
      <c r="AG204" s="319"/>
      <c r="AH204" s="319"/>
      <c r="AI204" s="319"/>
      <c r="AJ204" s="319"/>
      <c r="AK204" s="319"/>
      <c r="AL204" s="319"/>
      <c r="AM204" s="319"/>
      <c r="AN204" s="319"/>
      <c r="AO204" s="319">
        <v>2060076</v>
      </c>
      <c r="AP204" s="319"/>
      <c r="AQ204" s="319"/>
      <c r="AR204" s="319"/>
      <c r="AS204" s="319"/>
      <c r="AT204" s="319"/>
      <c r="AU204" s="319"/>
      <c r="AV204" s="319"/>
      <c r="AW204" s="319"/>
      <c r="AX204" s="319"/>
      <c r="AY204" s="319"/>
      <c r="AZ204" s="319"/>
      <c r="BA204" s="319"/>
      <c r="BB204" s="319"/>
      <c r="BC204" s="319"/>
      <c r="BD204" s="319"/>
      <c r="BE204" s="319"/>
      <c r="BF204" s="319"/>
      <c r="BG204" s="319"/>
      <c r="BH204" s="319"/>
      <c r="BI204" s="319"/>
      <c r="BJ204" s="319"/>
      <c r="BK204" s="319"/>
      <c r="BL204" s="319"/>
      <c r="BM204" s="319"/>
      <c r="BN204" s="319"/>
      <c r="BO204" s="319"/>
      <c r="BP204" s="319"/>
      <c r="BQ204" s="319"/>
      <c r="BR204" s="319"/>
      <c r="BS204" s="319"/>
      <c r="BT204" s="319"/>
      <c r="BU204" s="319"/>
      <c r="BV204" s="319"/>
      <c r="BW204" s="319"/>
      <c r="BX204" s="319"/>
      <c r="BY204" s="319"/>
      <c r="BZ204" s="319"/>
      <c r="CA204" s="319"/>
      <c r="CB204" s="319"/>
      <c r="CC204" s="319"/>
      <c r="CD204" s="319"/>
      <c r="CE204" s="319"/>
      <c r="CF204" s="319"/>
    </row>
    <row r="205" spans="1:84" ht="12.75" hidden="1" customHeight="1">
      <c r="A205" s="12"/>
      <c r="B205" s="329" t="str">
        <f>B147</f>
        <v>Eficiência da turbina a vapor (TV)</v>
      </c>
      <c r="C205" s="29" t="str">
        <f>$T$35</f>
        <v>%</v>
      </c>
      <c r="D205" s="422"/>
      <c r="E205" s="1"/>
      <c r="F205" s="1"/>
      <c r="G205" s="1"/>
      <c r="H205" s="1"/>
      <c r="I205" s="1"/>
      <c r="J205" s="1"/>
      <c r="K205" s="9"/>
      <c r="L205" s="1"/>
      <c r="M205" s="319"/>
      <c r="N205" s="319"/>
      <c r="O205" s="319"/>
      <c r="P205" s="319"/>
      <c r="Q205" s="319"/>
      <c r="R205" s="319"/>
      <c r="S205" s="476"/>
      <c r="T205" s="319"/>
      <c r="U205" s="476"/>
      <c r="V205" s="476">
        <f>EnthalpyF(V204,V199)+V200*(EnthalpyV(V204,V199)-EnthalpyF(V204,V199))</f>
        <v>2500.1495435522315</v>
      </c>
      <c r="W205" s="319" t="s">
        <v>2922</v>
      </c>
      <c r="X205" s="319"/>
      <c r="Y205" s="319"/>
      <c r="Z205" s="319"/>
      <c r="AA205" s="319"/>
      <c r="AB205" s="319"/>
      <c r="AC205" s="319"/>
      <c r="AD205" s="319"/>
      <c r="AE205" s="319"/>
      <c r="AF205" s="319"/>
      <c r="AG205" s="319"/>
      <c r="AH205" s="319"/>
      <c r="AI205" s="319"/>
      <c r="AJ205" s="319"/>
      <c r="AK205" s="319"/>
      <c r="AL205" s="319"/>
      <c r="AM205" s="319"/>
      <c r="AN205" s="319"/>
      <c r="AO205" s="319">
        <v>2060048</v>
      </c>
      <c r="AP205" s="319"/>
      <c r="AQ205" s="319"/>
      <c r="AR205" s="319"/>
      <c r="AS205" s="319"/>
      <c r="AT205" s="319"/>
      <c r="AU205" s="319"/>
      <c r="AV205" s="319"/>
      <c r="AW205" s="319"/>
      <c r="AX205" s="319"/>
      <c r="AY205" s="319"/>
      <c r="AZ205" s="319"/>
      <c r="BA205" s="319"/>
      <c r="BB205" s="319"/>
      <c r="BC205" s="319"/>
      <c r="BD205" s="319"/>
      <c r="BE205" s="319"/>
      <c r="BF205" s="319"/>
      <c r="BG205" s="319"/>
      <c r="BH205" s="319"/>
      <c r="BI205" s="319"/>
      <c r="BJ205" s="319"/>
      <c r="BK205" s="319"/>
      <c r="BL205" s="319"/>
      <c r="BM205" s="319"/>
      <c r="BN205" s="319"/>
      <c r="BO205" s="319"/>
      <c r="BP205" s="319"/>
      <c r="BQ205" s="319"/>
      <c r="BR205" s="319"/>
      <c r="BS205" s="319"/>
      <c r="BT205" s="319"/>
      <c r="BU205" s="319"/>
      <c r="BV205" s="319"/>
      <c r="BW205" s="319"/>
      <c r="BX205" s="319"/>
      <c r="BY205" s="319"/>
      <c r="BZ205" s="319"/>
      <c r="CA205" s="319"/>
      <c r="CB205" s="319"/>
      <c r="CC205" s="319"/>
      <c r="CD205" s="319"/>
      <c r="CE205" s="319"/>
      <c r="CF205" s="319"/>
    </row>
    <row r="206" spans="1:84" ht="12.75" hidden="1" customHeight="1">
      <c r="A206" s="12"/>
      <c r="B206" s="329" t="str">
        <f>Language!C448</f>
        <v>Taxa real de produção de vapor</v>
      </c>
      <c r="C206" s="29" t="str">
        <f>IF(Unit=TRUE,R206,T206)</f>
        <v>kg/kWh</v>
      </c>
      <c r="D206" s="100" t="e">
        <f>IF(Unit=TRUE,S206,U206)</f>
        <v>#DIV/0!</v>
      </c>
      <c r="E206" s="1"/>
      <c r="F206" s="29" t="str">
        <f>IF($M$3=FALSE,"",IF(Unit=FALSE,R206,T206))</f>
        <v/>
      </c>
      <c r="G206" s="140" t="str">
        <f>IF($M$3=FALSE,"",IF(Unit=FALSE,S206,U206))</f>
        <v/>
      </c>
      <c r="H206" s="1"/>
      <c r="I206" s="1"/>
      <c r="J206" s="1"/>
      <c r="K206" s="9"/>
      <c r="L206" s="1"/>
      <c r="M206" s="319"/>
      <c r="N206" s="319"/>
      <c r="O206" s="319"/>
      <c r="P206" s="319"/>
      <c r="Q206" s="319"/>
      <c r="R206" s="319" t="str">
        <f>$R$141</f>
        <v>kg/kWh</v>
      </c>
      <c r="S206" s="476" t="e">
        <f>V206/D205</f>
        <v>#DIV/0!</v>
      </c>
      <c r="T206" s="319" t="str">
        <f>$T$141</f>
        <v>lb/kWh</v>
      </c>
      <c r="U206" s="476" t="e">
        <f>S206/$AA$1085</f>
        <v>#DIV/0!</v>
      </c>
      <c r="V206" s="476">
        <f>3600/(EnthalpyV(V201,V203)-V205)</f>
        <v>14504.903208786885</v>
      </c>
      <c r="W206" s="319" t="s">
        <v>5699</v>
      </c>
      <c r="X206" s="319"/>
      <c r="Y206" s="319"/>
      <c r="Z206" s="319"/>
      <c r="AA206" s="319"/>
      <c r="AB206" s="319"/>
      <c r="AC206" s="319"/>
      <c r="AD206" s="319"/>
      <c r="AE206" s="319"/>
      <c r="AF206" s="319"/>
      <c r="AG206" s="319"/>
      <c r="AH206" s="319"/>
      <c r="AI206" s="319"/>
      <c r="AJ206" s="319"/>
      <c r="AK206" s="319"/>
      <c r="AL206" s="319"/>
      <c r="AM206" s="319"/>
      <c r="AN206" s="319"/>
      <c r="AO206" s="319">
        <v>2060050</v>
      </c>
      <c r="AP206" s="319"/>
      <c r="AQ206" s="319"/>
      <c r="AR206" s="319"/>
      <c r="AS206" s="319"/>
      <c r="AT206" s="319"/>
      <c r="AU206" s="319"/>
      <c r="AV206" s="319"/>
      <c r="AW206" s="319"/>
      <c r="AX206" s="319"/>
      <c r="AY206" s="319"/>
      <c r="AZ206" s="319"/>
      <c r="BA206" s="319"/>
      <c r="BB206" s="319"/>
      <c r="BC206" s="319"/>
      <c r="BD206" s="319"/>
      <c r="BE206" s="319"/>
      <c r="BF206" s="319"/>
      <c r="BG206" s="319"/>
      <c r="BH206" s="319"/>
      <c r="BI206" s="319"/>
      <c r="BJ206" s="319"/>
      <c r="BK206" s="319"/>
      <c r="BL206" s="319"/>
      <c r="BM206" s="319"/>
      <c r="BN206" s="319"/>
      <c r="BO206" s="319"/>
      <c r="BP206" s="319"/>
      <c r="BQ206" s="319"/>
      <c r="BR206" s="319"/>
      <c r="BS206" s="319"/>
      <c r="BT206" s="319"/>
      <c r="BU206" s="319"/>
      <c r="BV206" s="319"/>
      <c r="BW206" s="319"/>
      <c r="BX206" s="319"/>
      <c r="BY206" s="319"/>
      <c r="BZ206" s="319"/>
      <c r="CA206" s="319"/>
      <c r="CB206" s="319"/>
      <c r="CC206" s="319"/>
      <c r="CD206" s="319"/>
      <c r="CE206" s="319"/>
      <c r="CF206" s="319"/>
    </row>
    <row r="207" spans="1:84" ht="12.75" hidden="1" customHeight="1">
      <c r="A207" s="12"/>
      <c r="B207" s="329" t="str">
        <f>Language!C429</f>
        <v>Capac. Mínima</v>
      </c>
      <c r="C207" s="29" t="str">
        <f>$T$35</f>
        <v>%</v>
      </c>
      <c r="D207" s="422"/>
      <c r="E207" s="1"/>
      <c r="F207" s="1"/>
      <c r="G207" s="1"/>
      <c r="H207" s="1"/>
      <c r="I207" s="1"/>
      <c r="J207" s="1"/>
      <c r="K207" s="788" t="e">
        <f>IF(V207&gt;0,$G$1095&amp;V207&amp;$G$1096,"")</f>
        <v>#DIV/0!</v>
      </c>
      <c r="L207" s="1"/>
      <c r="M207" s="319"/>
      <c r="N207" s="319"/>
      <c r="O207" s="319"/>
      <c r="P207" s="319"/>
      <c r="Q207" s="319"/>
      <c r="R207" s="319"/>
      <c r="S207" s="319"/>
      <c r="T207" s="319"/>
      <c r="U207" s="319"/>
      <c r="V207" s="319" t="e">
        <f t="array" ref="V207">IF(AND(HideCodeES_PSS=2,$C$854=$E$1094),SUM(IF($D$1139:$D$1150&lt;D208*M1118,1,0)),SUM(IF($I$1139:$I$1150&lt;D208*M1118,1,0)))*IF(SUM($D$1139:$D$1150)=0,0,1)</f>
        <v>#DIV/0!</v>
      </c>
      <c r="W207" s="319" t="s">
        <v>4373</v>
      </c>
      <c r="X207" s="319"/>
      <c r="Y207" s="319"/>
      <c r="Z207" s="319"/>
      <c r="AA207" s="319"/>
      <c r="AB207" s="319"/>
      <c r="AC207" s="319"/>
      <c r="AD207" s="319"/>
      <c r="AE207" s="319"/>
      <c r="AF207" s="319"/>
      <c r="AG207" s="319"/>
      <c r="AH207" s="319"/>
      <c r="AI207" s="319"/>
      <c r="AJ207" s="319"/>
      <c r="AK207" s="319"/>
      <c r="AL207" s="319"/>
      <c r="AM207" s="319"/>
      <c r="AN207" s="319"/>
      <c r="AO207" s="319">
        <v>2050006</v>
      </c>
      <c r="AP207" s="319"/>
      <c r="AQ207" s="319"/>
      <c r="AR207" s="319"/>
      <c r="AS207" s="319"/>
      <c r="AT207" s="319"/>
      <c r="AU207" s="319"/>
      <c r="AV207" s="319"/>
      <c r="AW207" s="319"/>
      <c r="AX207" s="319"/>
      <c r="AY207" s="319"/>
      <c r="AZ207" s="319"/>
      <c r="BA207" s="319"/>
      <c r="BB207" s="319"/>
      <c r="BC207" s="319"/>
      <c r="BD207" s="319"/>
      <c r="BE207" s="319"/>
      <c r="BF207" s="319"/>
      <c r="BG207" s="319"/>
      <c r="BH207" s="319"/>
      <c r="BI207" s="319"/>
      <c r="BJ207" s="319"/>
      <c r="BK207" s="319"/>
      <c r="BL207" s="319"/>
      <c r="BM207" s="319"/>
      <c r="BN207" s="319"/>
      <c r="BO207" s="319"/>
      <c r="BP207" s="319"/>
      <c r="BQ207" s="319"/>
      <c r="BR207" s="319"/>
      <c r="BS207" s="319"/>
      <c r="BT207" s="319"/>
      <c r="BU207" s="319"/>
      <c r="BV207" s="319"/>
      <c r="BW207" s="319"/>
      <c r="BX207" s="319"/>
      <c r="BY207" s="319"/>
      <c r="BZ207" s="319"/>
      <c r="CA207" s="319"/>
      <c r="CB207" s="319"/>
      <c r="CC207" s="319"/>
      <c r="CD207" s="319"/>
      <c r="CE207" s="319"/>
      <c r="CF207" s="319"/>
    </row>
    <row r="208" spans="1:84" ht="12.75" hidden="1" customHeight="1">
      <c r="A208" s="12"/>
      <c r="B208" s="329" t="str">
        <f>Language!C427</f>
        <v>Potência elétrica</v>
      </c>
      <c r="C208" s="29" t="str">
        <f>$C$92</f>
        <v>kW</v>
      </c>
      <c r="D208" s="30" t="e">
        <f>S198/S206</f>
        <v>#DIV/0!</v>
      </c>
      <c r="E208" s="80" t="str">
        <f>IF($P$866=0,"",D208/$P$866)</f>
        <v/>
      </c>
      <c r="F208" s="1"/>
      <c r="G208" s="1"/>
      <c r="H208" s="1"/>
      <c r="I208" s="1"/>
      <c r="J208" s="1"/>
      <c r="K208" s="9"/>
      <c r="L208" s="1"/>
      <c r="M208" s="319"/>
      <c r="N208" s="319"/>
      <c r="O208" s="319"/>
      <c r="P208" s="319"/>
      <c r="Q208" s="319"/>
      <c r="R208" s="319"/>
      <c r="S208" s="319"/>
      <c r="T208" s="319"/>
      <c r="U208" s="319"/>
      <c r="V208" s="319"/>
      <c r="W208" s="319"/>
      <c r="X208" s="319"/>
      <c r="Y208" s="319"/>
      <c r="Z208" s="319"/>
      <c r="AA208" s="319"/>
      <c r="AB208" s="319"/>
      <c r="AC208" s="319"/>
      <c r="AD208" s="319"/>
      <c r="AE208" s="319"/>
      <c r="AF208" s="319"/>
      <c r="AG208" s="319"/>
      <c r="AH208" s="319"/>
      <c r="AI208" s="319"/>
      <c r="AJ208" s="319"/>
      <c r="AK208" s="319"/>
      <c r="AL208" s="319"/>
      <c r="AM208" s="319"/>
      <c r="AN208" s="319"/>
      <c r="AO208" s="319">
        <v>2060078</v>
      </c>
      <c r="AP208" s="319"/>
      <c r="AQ208" s="319"/>
      <c r="AR208" s="319"/>
      <c r="AS208" s="319"/>
      <c r="AT208" s="319"/>
      <c r="AU208" s="319"/>
      <c r="AV208" s="319"/>
      <c r="AW208" s="319"/>
      <c r="AX208" s="319"/>
      <c r="AY208" s="319"/>
      <c r="AZ208" s="319"/>
      <c r="BA208" s="319"/>
      <c r="BB208" s="319"/>
      <c r="BC208" s="319"/>
      <c r="BD208" s="319"/>
      <c r="BE208" s="319"/>
      <c r="BF208" s="319"/>
      <c r="BG208" s="319"/>
      <c r="BH208" s="319"/>
      <c r="BI208" s="319"/>
      <c r="BJ208" s="319"/>
      <c r="BK208" s="319"/>
      <c r="BL208" s="319"/>
      <c r="BM208" s="319"/>
      <c r="BN208" s="319"/>
      <c r="BO208" s="319"/>
      <c r="BP208" s="319"/>
      <c r="BQ208" s="319"/>
      <c r="BR208" s="319"/>
      <c r="BS208" s="319"/>
      <c r="BT208" s="319"/>
      <c r="BU208" s="319"/>
      <c r="BV208" s="319"/>
      <c r="BW208" s="319"/>
      <c r="BX208" s="319"/>
      <c r="BY208" s="319"/>
      <c r="BZ208" s="319"/>
      <c r="CA208" s="319"/>
      <c r="CB208" s="319"/>
      <c r="CC208" s="319"/>
      <c r="CD208" s="319"/>
      <c r="CE208" s="319"/>
      <c r="CF208" s="319"/>
    </row>
    <row r="209" spans="1:84" ht="12.75" hidden="1" customHeight="1">
      <c r="A209" s="12"/>
      <c r="B209" s="329" t="str">
        <f>$B$94</f>
        <v>Eletricidade fornecida à carga</v>
      </c>
      <c r="C209" s="29" t="str">
        <f>R14</f>
        <v>MWh</v>
      </c>
      <c r="D209" s="30">
        <f>IF(HideCodeES_PSS=1,$G$1107,IF($C$854=$E$1094,$G$1107,$G$1108))</f>
        <v>0</v>
      </c>
      <c r="E209" s="80" t="str">
        <f>IF($P$867=0,"",D209/$P$867)</f>
        <v/>
      </c>
      <c r="F209" s="1"/>
      <c r="G209" s="1"/>
      <c r="H209" s="1"/>
      <c r="I209" s="1"/>
      <c r="J209" s="1"/>
      <c r="K209" s="9"/>
      <c r="L209" s="1"/>
      <c r="M209" s="319"/>
      <c r="N209" s="319"/>
      <c r="O209" s="319"/>
      <c r="P209" s="319"/>
      <c r="Q209" s="319"/>
      <c r="R209" s="319"/>
      <c r="S209" s="319"/>
      <c r="T209" s="319"/>
      <c r="U209" s="319"/>
      <c r="V209" s="319"/>
      <c r="W209" s="319"/>
      <c r="X209" s="319"/>
      <c r="Y209" s="319"/>
      <c r="Z209" s="319"/>
      <c r="AA209" s="319"/>
      <c r="AB209" s="319"/>
      <c r="AC209" s="319"/>
      <c r="AD209" s="319"/>
      <c r="AE209" s="319"/>
      <c r="AF209" s="319"/>
      <c r="AG209" s="319"/>
      <c r="AH209" s="319"/>
      <c r="AI209" s="319"/>
      <c r="AJ209" s="319"/>
      <c r="AK209" s="319"/>
      <c r="AL209" s="319"/>
      <c r="AM209" s="319"/>
      <c r="AN209" s="319"/>
      <c r="AO209" s="319">
        <v>2050008</v>
      </c>
      <c r="AP209" s="319"/>
      <c r="AQ209" s="319"/>
      <c r="AR209" s="319"/>
      <c r="AS209" s="319"/>
      <c r="AT209" s="319"/>
      <c r="AU209" s="319"/>
      <c r="AV209" s="319"/>
      <c r="AW209" s="319"/>
      <c r="AX209" s="319"/>
      <c r="AY209" s="319"/>
      <c r="AZ209" s="319"/>
      <c r="BA209" s="319"/>
      <c r="BB209" s="319"/>
      <c r="BC209" s="319"/>
      <c r="BD209" s="319"/>
      <c r="BE209" s="319"/>
      <c r="BF209" s="319"/>
      <c r="BG209" s="319"/>
      <c r="BH209" s="319"/>
      <c r="BI209" s="319"/>
      <c r="BJ209" s="319"/>
      <c r="BK209" s="319"/>
      <c r="BL209" s="319"/>
      <c r="BM209" s="319"/>
      <c r="BN209" s="319"/>
      <c r="BO209" s="319"/>
      <c r="BP209" s="319"/>
      <c r="BQ209" s="319"/>
      <c r="BR209" s="319"/>
      <c r="BS209" s="319"/>
      <c r="BT209" s="319"/>
      <c r="BU209" s="319"/>
      <c r="BV209" s="319"/>
      <c r="BW209" s="319"/>
      <c r="BX209" s="319"/>
      <c r="BY209" s="319"/>
      <c r="BZ209" s="319"/>
      <c r="CA209" s="319"/>
      <c r="CB209" s="319"/>
      <c r="CC209" s="319"/>
      <c r="CD209" s="319"/>
      <c r="CE209" s="319"/>
      <c r="CF209" s="319"/>
    </row>
    <row r="210" spans="1:84" ht="12.75" hidden="1" customHeight="1">
      <c r="A210" s="14"/>
      <c r="B210" s="380" t="str">
        <f>$B$95</f>
        <v>Eletricidade exportada p/ rede</v>
      </c>
      <c r="C210" s="33" t="str">
        <f>R14</f>
        <v>MWh</v>
      </c>
      <c r="D210" s="34">
        <f>IF(HideCodeES_PSS=1,$J$1107,IF($C$854=$E$1094,$J$1107,$J$1108))</f>
        <v>5.3903325633948667</v>
      </c>
      <c r="E210" s="15"/>
      <c r="F210" s="15"/>
      <c r="G210" s="15"/>
      <c r="H210" s="15"/>
      <c r="I210" s="15"/>
      <c r="J210" s="15"/>
      <c r="K210" s="11"/>
      <c r="L210" s="1"/>
      <c r="M210" s="319"/>
      <c r="N210" s="319"/>
      <c r="O210" s="319"/>
      <c r="P210" s="319"/>
      <c r="Q210" s="319"/>
      <c r="R210" s="319"/>
      <c r="S210" s="319"/>
      <c r="T210" s="319"/>
      <c r="U210" s="319"/>
      <c r="V210" s="319"/>
      <c r="W210" s="319"/>
      <c r="X210" s="319"/>
      <c r="Y210" s="319"/>
      <c r="Z210" s="319"/>
      <c r="AA210" s="319"/>
      <c r="AB210" s="319"/>
      <c r="AC210" s="319"/>
      <c r="AD210" s="319"/>
      <c r="AE210" s="319"/>
      <c r="AF210" s="319"/>
      <c r="AG210" s="319"/>
      <c r="AH210" s="319"/>
      <c r="AI210" s="319"/>
      <c r="AJ210" s="319"/>
      <c r="AK210" s="319"/>
      <c r="AL210" s="319"/>
      <c r="AM210" s="319"/>
      <c r="AN210" s="319"/>
      <c r="AO210" s="319">
        <v>2050010</v>
      </c>
      <c r="AP210" s="319"/>
      <c r="AQ210" s="319"/>
      <c r="AR210" s="319"/>
      <c r="AS210" s="319"/>
      <c r="AT210" s="319"/>
      <c r="AU210" s="319"/>
      <c r="AV210" s="319"/>
      <c r="AW210" s="319"/>
      <c r="AX210" s="319"/>
      <c r="AY210" s="319"/>
      <c r="AZ210" s="319"/>
      <c r="BA210" s="319"/>
      <c r="BB210" s="319"/>
      <c r="BC210" s="319"/>
      <c r="BD210" s="319"/>
      <c r="BE210" s="319"/>
      <c r="BF210" s="319"/>
      <c r="BG210" s="319"/>
      <c r="BH210" s="319"/>
      <c r="BI210" s="319"/>
      <c r="BJ210" s="319"/>
      <c r="BK210" s="319"/>
      <c r="BL210" s="319"/>
      <c r="BM210" s="319"/>
      <c r="BN210" s="319"/>
      <c r="BO210" s="319"/>
      <c r="BP210" s="319"/>
      <c r="BQ210" s="319"/>
      <c r="BR210" s="319"/>
      <c r="BS210" s="319"/>
      <c r="BT210" s="319"/>
      <c r="BU210" s="319"/>
      <c r="BV210" s="319"/>
      <c r="BW210" s="319"/>
      <c r="BX210" s="319"/>
      <c r="BY210" s="319"/>
      <c r="BZ210" s="319"/>
      <c r="CA210" s="319"/>
      <c r="CB210" s="319"/>
      <c r="CC210" s="319"/>
      <c r="CD210" s="319"/>
      <c r="CE210" s="319"/>
      <c r="CF210" s="319"/>
    </row>
    <row r="211" spans="1:84" ht="12.75" hidden="1" customHeight="1">
      <c r="A211" s="50"/>
      <c r="B211" s="1"/>
      <c r="C211" s="1"/>
      <c r="D211" s="1"/>
      <c r="E211" s="1"/>
      <c r="F211" s="1"/>
      <c r="G211" s="1"/>
      <c r="H211" s="1"/>
      <c r="I211" s="1"/>
      <c r="J211" s="1"/>
      <c r="K211" s="6"/>
      <c r="L211" s="1"/>
      <c r="M211" s="319"/>
      <c r="N211" s="319"/>
      <c r="O211" s="319"/>
      <c r="P211" s="319"/>
      <c r="Q211" s="319"/>
      <c r="R211" s="319"/>
      <c r="S211" s="319"/>
      <c r="T211" s="319"/>
      <c r="U211" s="319"/>
      <c r="V211" s="319"/>
      <c r="W211" s="319"/>
      <c r="X211" s="319"/>
      <c r="Y211" s="319"/>
      <c r="Z211" s="319"/>
      <c r="AA211" s="319"/>
      <c r="AB211" s="319"/>
      <c r="AC211" s="319"/>
      <c r="AD211" s="319"/>
      <c r="AE211" s="319"/>
      <c r="AF211" s="319"/>
      <c r="AG211" s="319"/>
      <c r="AH211" s="319"/>
      <c r="AI211" s="319"/>
      <c r="AJ211" s="319"/>
      <c r="AK211" s="319"/>
      <c r="AL211" s="319"/>
      <c r="AM211" s="319"/>
      <c r="AN211" s="319"/>
      <c r="AO211" s="319">
        <v>2030000</v>
      </c>
      <c r="AP211" s="319"/>
      <c r="AQ211" s="319"/>
      <c r="AR211" s="319"/>
      <c r="AS211" s="319"/>
      <c r="AT211" s="319"/>
      <c r="AU211" s="319"/>
      <c r="AV211" s="319"/>
      <c r="AW211" s="319"/>
      <c r="AX211" s="319"/>
      <c r="AY211" s="319"/>
      <c r="AZ211" s="319"/>
      <c r="BA211" s="319"/>
      <c r="BB211" s="319"/>
      <c r="BC211" s="319"/>
      <c r="BD211" s="319"/>
      <c r="BE211" s="319"/>
      <c r="BF211" s="319"/>
      <c r="BG211" s="319"/>
      <c r="BH211" s="319"/>
      <c r="BI211" s="319"/>
      <c r="BJ211" s="319"/>
      <c r="BK211" s="319"/>
      <c r="BL211" s="319"/>
      <c r="BM211" s="319"/>
      <c r="BN211" s="319"/>
      <c r="BO211" s="319"/>
      <c r="BP211" s="319"/>
      <c r="BQ211" s="319"/>
      <c r="BR211" s="319"/>
      <c r="BS211" s="319"/>
      <c r="BT211" s="319"/>
      <c r="BU211" s="319"/>
      <c r="BV211" s="319"/>
      <c r="BW211" s="319"/>
      <c r="BX211" s="319"/>
      <c r="BY211" s="319"/>
      <c r="BZ211" s="319"/>
      <c r="CA211" s="319"/>
      <c r="CB211" s="319"/>
      <c r="CC211" s="319"/>
      <c r="CD211" s="319"/>
      <c r="CE211" s="319"/>
      <c r="CF211" s="319"/>
    </row>
    <row r="212" spans="1:84" ht="12.75" hidden="1" customHeight="1">
      <c r="A212" s="12"/>
      <c r="B212" s="28" t="str">
        <f>IF(HideCodeES_PSS=1,Language!C138,Language!C138&amp;" #1")</f>
        <v>Célula combustível</v>
      </c>
      <c r="C212" s="1"/>
      <c r="D212" s="1"/>
      <c r="E212" s="1"/>
      <c r="F212" s="1"/>
      <c r="G212" s="1"/>
      <c r="H212" s="1"/>
      <c r="I212" s="1"/>
      <c r="J212" s="1"/>
      <c r="K212" s="9"/>
      <c r="L212" s="1"/>
      <c r="M212" s="319"/>
      <c r="N212" s="319"/>
      <c r="O212" s="319"/>
      <c r="P212" s="319"/>
      <c r="Q212" s="319"/>
      <c r="R212" s="319"/>
      <c r="S212" s="319"/>
      <c r="T212" s="319"/>
      <c r="U212" s="319"/>
      <c r="V212" s="319"/>
      <c r="W212" s="319"/>
      <c r="X212" s="319"/>
      <c r="Y212" s="319"/>
      <c r="Z212" s="319"/>
      <c r="AA212" s="319"/>
      <c r="AB212" s="319"/>
      <c r="AC212" s="319"/>
      <c r="AD212" s="319"/>
      <c r="AE212" s="319"/>
      <c r="AF212" s="319"/>
      <c r="AG212" s="319"/>
      <c r="AH212" s="319"/>
      <c r="AI212" s="319"/>
      <c r="AJ212" s="319"/>
      <c r="AK212" s="319"/>
      <c r="AL212" s="319"/>
      <c r="AM212" s="319"/>
      <c r="AN212" s="319"/>
      <c r="AO212" s="319">
        <v>14100</v>
      </c>
      <c r="AP212" s="319"/>
      <c r="AQ212" s="319"/>
      <c r="AR212" s="319"/>
      <c r="AS212" s="319"/>
      <c r="AT212" s="319"/>
      <c r="AU212" s="319"/>
      <c r="AV212" s="319"/>
      <c r="AW212" s="319"/>
      <c r="AX212" s="319"/>
      <c r="AY212" s="319"/>
      <c r="AZ212" s="319"/>
      <c r="BA212" s="319"/>
      <c r="BB212" s="319"/>
      <c r="BC212" s="319"/>
      <c r="BD212" s="319"/>
      <c r="BE212" s="319"/>
      <c r="BF212" s="319"/>
      <c r="BG212" s="319"/>
      <c r="BH212" s="319"/>
      <c r="BI212" s="319"/>
      <c r="BJ212" s="319"/>
      <c r="BK212" s="319"/>
      <c r="BL212" s="319"/>
      <c r="BM212" s="319"/>
      <c r="BN212" s="319"/>
      <c r="BO212" s="319"/>
      <c r="BP212" s="319"/>
      <c r="BQ212" s="319"/>
      <c r="BR212" s="319"/>
      <c r="BS212" s="319"/>
      <c r="BT212" s="319"/>
      <c r="BU212" s="319"/>
      <c r="BV212" s="319"/>
      <c r="BW212" s="319"/>
      <c r="BX212" s="319"/>
      <c r="BY212" s="319"/>
      <c r="BZ212" s="319"/>
      <c r="CA212" s="319"/>
      <c r="CB212" s="319"/>
      <c r="CC212" s="319"/>
      <c r="CD212" s="319"/>
      <c r="CE212" s="319"/>
      <c r="CF212" s="319"/>
    </row>
    <row r="213" spans="1:84" ht="12.75" hidden="1" customHeight="1">
      <c r="A213" s="12"/>
      <c r="B213" s="329" t="str">
        <f>Language!C427</f>
        <v>Potência elétrica</v>
      </c>
      <c r="C213" s="29" t="str">
        <f>$C$92</f>
        <v>kW</v>
      </c>
      <c r="D213" s="412"/>
      <c r="E213" s="96" t="str">
        <f>IF($P$866=0,"",D213/$P$866)</f>
        <v/>
      </c>
      <c r="F213" s="1"/>
      <c r="G213" s="1"/>
      <c r="H213" s="1346"/>
      <c r="I213" s="1252" t="str">
        <f>Language!C61</f>
        <v>Ver banco de dados de produtos</v>
      </c>
      <c r="J213" s="1191"/>
      <c r="K213" s="1210"/>
      <c r="L213" s="1"/>
      <c r="M213" s="319"/>
      <c r="N213" s="319"/>
      <c r="O213" s="319"/>
      <c r="P213" s="319"/>
      <c r="Q213" s="319"/>
      <c r="R213" s="319"/>
      <c r="S213" s="319"/>
      <c r="T213" s="319"/>
      <c r="U213" s="319"/>
      <c r="V213" s="319"/>
      <c r="W213" s="319"/>
      <c r="X213" s="319"/>
      <c r="Y213" s="319"/>
      <c r="Z213" s="319"/>
      <c r="AA213" s="319"/>
      <c r="AB213" s="319"/>
      <c r="AC213" s="319"/>
      <c r="AD213" s="319"/>
      <c r="AE213" s="319"/>
      <c r="AF213" s="319"/>
      <c r="AG213" s="319"/>
      <c r="AH213" s="319"/>
      <c r="AI213" s="319"/>
      <c r="AJ213" s="319"/>
      <c r="AK213" s="319"/>
      <c r="AL213" s="319"/>
      <c r="AM213" s="319"/>
      <c r="AN213" s="319"/>
      <c r="AO213" s="319">
        <v>2050002</v>
      </c>
      <c r="AP213" s="319"/>
      <c r="AQ213" s="319"/>
      <c r="AR213" s="319"/>
      <c r="AS213" s="319"/>
      <c r="AT213" s="319"/>
      <c r="AU213" s="319"/>
      <c r="AV213" s="319"/>
      <c r="AW213" s="319"/>
      <c r="AX213" s="319"/>
      <c r="AY213" s="319"/>
      <c r="AZ213" s="319"/>
      <c r="BA213" s="319"/>
      <c r="BB213" s="319"/>
      <c r="BC213" s="319"/>
      <c r="BD213" s="319"/>
      <c r="BE213" s="319"/>
      <c r="BF213" s="319"/>
      <c r="BG213" s="319"/>
      <c r="BH213" s="319"/>
      <c r="BI213" s="319"/>
      <c r="BJ213" s="319"/>
      <c r="BK213" s="319"/>
      <c r="BL213" s="319"/>
      <c r="BM213" s="319"/>
      <c r="BN213" s="319"/>
      <c r="BO213" s="319"/>
      <c r="BP213" s="319"/>
      <c r="BQ213" s="319"/>
      <c r="BR213" s="319"/>
      <c r="BS213" s="319"/>
      <c r="BT213" s="319"/>
      <c r="BU213" s="319"/>
      <c r="BV213" s="319"/>
      <c r="BW213" s="319"/>
      <c r="BX213" s="319"/>
      <c r="BY213" s="319"/>
      <c r="BZ213" s="319"/>
      <c r="CA213" s="319"/>
      <c r="CB213" s="319"/>
      <c r="CC213" s="319"/>
      <c r="CD213" s="319"/>
      <c r="CE213" s="319"/>
      <c r="CF213" s="319"/>
    </row>
    <row r="214" spans="1:84" ht="12.75" hidden="1" customHeight="1">
      <c r="A214" s="12"/>
      <c r="B214" s="329" t="str">
        <f>Language!C429</f>
        <v>Capac. Mínima</v>
      </c>
      <c r="C214" s="29" t="str">
        <f>$T$35</f>
        <v>%</v>
      </c>
      <c r="D214" s="422"/>
      <c r="E214" s="1"/>
      <c r="F214" s="1"/>
      <c r="G214" s="1"/>
      <c r="H214" s="1"/>
      <c r="I214" s="1"/>
      <c r="J214" s="1"/>
      <c r="K214" s="788" t="str">
        <f>IF(V214&gt;0,$G$1095&amp;V214&amp;$G$1096,"")</f>
        <v/>
      </c>
      <c r="L214" s="1"/>
      <c r="M214" s="319"/>
      <c r="N214" s="319"/>
      <c r="O214" s="319"/>
      <c r="P214" s="319"/>
      <c r="Q214" s="319"/>
      <c r="R214" s="319"/>
      <c r="S214" s="319"/>
      <c r="T214" s="319"/>
      <c r="U214" s="319"/>
      <c r="V214" s="319">
        <f t="array" ref="V214">IF(AND(HideCodeES_PSS=2,$C$854=$E$1094),SUM(IF($D$1139:$D$1150&lt;D213*M1119,1,0)),SUM(IF($I$1139:$I$1150&lt;D213*M1119,1,0)))*IF(SUM($D$1139:$D$1150)=0,0,1)</f>
        <v>0</v>
      </c>
      <c r="W214" s="319" t="s">
        <v>4373</v>
      </c>
      <c r="X214" s="319"/>
      <c r="Y214" s="319"/>
      <c r="Z214" s="319"/>
      <c r="AA214" s="319"/>
      <c r="AB214" s="319"/>
      <c r="AC214" s="319"/>
      <c r="AD214" s="319"/>
      <c r="AE214" s="319"/>
      <c r="AF214" s="319"/>
      <c r="AG214" s="319"/>
      <c r="AH214" s="319"/>
      <c r="AI214" s="319"/>
      <c r="AJ214" s="319"/>
      <c r="AK214" s="319"/>
      <c r="AL214" s="319"/>
      <c r="AM214" s="319"/>
      <c r="AN214" s="319"/>
      <c r="AO214" s="319">
        <v>2050006</v>
      </c>
      <c r="AP214" s="319"/>
      <c r="AQ214" s="319"/>
      <c r="AR214" s="319"/>
      <c r="AS214" s="319"/>
      <c r="AT214" s="319"/>
      <c r="AU214" s="319"/>
      <c r="AV214" s="319"/>
      <c r="AW214" s="319"/>
      <c r="AX214" s="319"/>
      <c r="AY214" s="319"/>
      <c r="AZ214" s="319"/>
      <c r="BA214" s="319"/>
      <c r="BB214" s="319"/>
      <c r="BC214" s="319"/>
      <c r="BD214" s="319"/>
      <c r="BE214" s="319"/>
      <c r="BF214" s="319"/>
      <c r="BG214" s="319"/>
      <c r="BH214" s="319"/>
      <c r="BI214" s="319"/>
      <c r="BJ214" s="319"/>
      <c r="BK214" s="319"/>
      <c r="BL214" s="319"/>
      <c r="BM214" s="319"/>
      <c r="BN214" s="319"/>
      <c r="BO214" s="319"/>
      <c r="BP214" s="319"/>
      <c r="BQ214" s="319"/>
      <c r="BR214" s="319"/>
      <c r="BS214" s="319"/>
      <c r="BT214" s="319"/>
      <c r="BU214" s="319"/>
      <c r="BV214" s="319"/>
      <c r="BW214" s="319"/>
      <c r="BX214" s="319"/>
      <c r="BY214" s="319"/>
      <c r="BZ214" s="319"/>
      <c r="CA214" s="319"/>
      <c r="CB214" s="319"/>
      <c r="CC214" s="319"/>
      <c r="CD214" s="319"/>
      <c r="CE214" s="319"/>
      <c r="CF214" s="319"/>
    </row>
    <row r="215" spans="1:84" ht="12.75" hidden="1" customHeight="1">
      <c r="A215" s="12"/>
      <c r="B215" s="329" t="str">
        <f>$B$94</f>
        <v>Eletricidade fornecida à carga</v>
      </c>
      <c r="C215" s="29" t="str">
        <f>R14</f>
        <v>MWh</v>
      </c>
      <c r="D215" s="30">
        <f>IF(HideCodeES_PSS=1,$G$1107,IF($C$854=$E$1094,$G$1107,$G$1108))</f>
        <v>0</v>
      </c>
      <c r="E215" s="96" t="str">
        <f>IF($P$867=0,"",D215/$P$867)</f>
        <v/>
      </c>
      <c r="F215" s="1"/>
      <c r="G215" s="1"/>
      <c r="H215" s="1"/>
      <c r="I215" s="1"/>
      <c r="J215" s="1"/>
      <c r="K215" s="9"/>
      <c r="L215" s="1"/>
      <c r="M215" s="319"/>
      <c r="N215" s="319"/>
      <c r="O215" s="319"/>
      <c r="P215" s="319"/>
      <c r="Q215" s="319"/>
      <c r="R215" s="319"/>
      <c r="S215" s="319"/>
      <c r="T215" s="319"/>
      <c r="U215" s="319"/>
      <c r="V215" s="319"/>
      <c r="W215" s="319"/>
      <c r="X215" s="319"/>
      <c r="Y215" s="319"/>
      <c r="Z215" s="319"/>
      <c r="AA215" s="319"/>
      <c r="AB215" s="319"/>
      <c r="AC215" s="319"/>
      <c r="AD215" s="319"/>
      <c r="AE215" s="319"/>
      <c r="AF215" s="319"/>
      <c r="AG215" s="319"/>
      <c r="AH215" s="319"/>
      <c r="AI215" s="319"/>
      <c r="AJ215" s="319"/>
      <c r="AK215" s="319"/>
      <c r="AL215" s="319"/>
      <c r="AM215" s="319"/>
      <c r="AN215" s="319"/>
      <c r="AO215" s="319">
        <v>2050008</v>
      </c>
      <c r="AP215" s="319"/>
      <c r="AQ215" s="319"/>
      <c r="AR215" s="319"/>
      <c r="AS215" s="319"/>
      <c r="AT215" s="319"/>
      <c r="AU215" s="319"/>
      <c r="AV215" s="319"/>
      <c r="AW215" s="319"/>
      <c r="AX215" s="319"/>
      <c r="AY215" s="319"/>
      <c r="AZ215" s="319"/>
      <c r="BA215" s="319"/>
      <c r="BB215" s="319"/>
      <c r="BC215" s="319"/>
      <c r="BD215" s="319"/>
      <c r="BE215" s="319"/>
      <c r="BF215" s="319"/>
      <c r="BG215" s="319"/>
      <c r="BH215" s="319"/>
      <c r="BI215" s="319"/>
      <c r="BJ215" s="319"/>
      <c r="BK215" s="319"/>
      <c r="BL215" s="319"/>
      <c r="BM215" s="319"/>
      <c r="BN215" s="319"/>
      <c r="BO215" s="319"/>
      <c r="BP215" s="319"/>
      <c r="BQ215" s="319"/>
      <c r="BR215" s="319"/>
      <c r="BS215" s="319"/>
      <c r="BT215" s="319"/>
      <c r="BU215" s="319"/>
      <c r="BV215" s="319"/>
      <c r="BW215" s="319"/>
      <c r="BX215" s="319"/>
      <c r="BY215" s="319"/>
      <c r="BZ215" s="319"/>
      <c r="CA215" s="319"/>
      <c r="CB215" s="319"/>
      <c r="CC215" s="319"/>
      <c r="CD215" s="319"/>
      <c r="CE215" s="319"/>
      <c r="CF215" s="319"/>
    </row>
    <row r="216" spans="1:84" ht="12.75" hidden="1" customHeight="1">
      <c r="A216" s="12"/>
      <c r="B216" s="329" t="str">
        <f>$B$95</f>
        <v>Eletricidade exportada p/ rede</v>
      </c>
      <c r="C216" s="29" t="str">
        <f>R14</f>
        <v>MWh</v>
      </c>
      <c r="D216" s="30">
        <f>IF(HideCodeES_PSS=1,$J$1107,IF($C$854=$E$1094,$J$1107,$J$1108))</f>
        <v>5.3903325633948667</v>
      </c>
      <c r="E216" s="1"/>
      <c r="F216" s="1"/>
      <c r="G216" s="1"/>
      <c r="H216" s="1"/>
      <c r="I216" s="1"/>
      <c r="J216" s="1"/>
      <c r="K216" s="9"/>
      <c r="L216" s="1"/>
      <c r="M216" s="319"/>
      <c r="N216" s="319"/>
      <c r="O216" s="319"/>
      <c r="P216" s="319"/>
      <c r="Q216" s="319"/>
      <c r="R216" s="319"/>
      <c r="S216" s="319"/>
      <c r="T216" s="319"/>
      <c r="U216" s="319"/>
      <c r="V216" s="319"/>
      <c r="W216" s="319"/>
      <c r="X216" s="319"/>
      <c r="Y216" s="319"/>
      <c r="Z216" s="319"/>
      <c r="AA216" s="319"/>
      <c r="AB216" s="319"/>
      <c r="AC216" s="319"/>
      <c r="AD216" s="319"/>
      <c r="AE216" s="319"/>
      <c r="AF216" s="319"/>
      <c r="AG216" s="319"/>
      <c r="AH216" s="319"/>
      <c r="AI216" s="319"/>
      <c r="AJ216" s="319"/>
      <c r="AK216" s="319"/>
      <c r="AL216" s="319"/>
      <c r="AM216" s="319"/>
      <c r="AN216" s="319"/>
      <c r="AO216" s="319">
        <v>2050010</v>
      </c>
      <c r="AP216" s="319"/>
      <c r="AQ216" s="319"/>
      <c r="AR216" s="319"/>
      <c r="AS216" s="319"/>
      <c r="AT216" s="319"/>
      <c r="AU216" s="319"/>
      <c r="AV216" s="319"/>
      <c r="AW216" s="319"/>
      <c r="AX216" s="319"/>
      <c r="AY216" s="319"/>
      <c r="AZ216" s="319"/>
      <c r="BA216" s="319"/>
      <c r="BB216" s="319"/>
      <c r="BC216" s="319"/>
      <c r="BD216" s="319"/>
      <c r="BE216" s="319"/>
      <c r="BF216" s="319"/>
      <c r="BG216" s="319"/>
      <c r="BH216" s="319"/>
      <c r="BI216" s="319"/>
      <c r="BJ216" s="319"/>
      <c r="BK216" s="319"/>
      <c r="BL216" s="319"/>
      <c r="BM216" s="319"/>
      <c r="BN216" s="319"/>
      <c r="BO216" s="319"/>
      <c r="BP216" s="319"/>
      <c r="BQ216" s="319"/>
      <c r="BR216" s="319"/>
      <c r="BS216" s="319"/>
      <c r="BT216" s="319"/>
      <c r="BU216" s="319"/>
      <c r="BV216" s="319"/>
      <c r="BW216" s="319"/>
      <c r="BX216" s="319"/>
      <c r="BY216" s="319"/>
      <c r="BZ216" s="319"/>
      <c r="CA216" s="319"/>
      <c r="CB216" s="319"/>
      <c r="CC216" s="319"/>
      <c r="CD216" s="319"/>
      <c r="CE216" s="319"/>
      <c r="CF216" s="319"/>
    </row>
    <row r="217" spans="1:84" ht="12.75" hidden="1" customHeight="1">
      <c r="A217" s="12"/>
      <c r="B217" s="329" t="str">
        <f>B12</f>
        <v>Fabricante</v>
      </c>
      <c r="C217" s="1152"/>
      <c r="D217" s="1153"/>
      <c r="E217" s="1154"/>
      <c r="F217" s="1"/>
      <c r="G217" s="1"/>
      <c r="H217" s="1"/>
      <c r="I217" s="1"/>
      <c r="J217" s="1"/>
      <c r="K217" s="9"/>
      <c r="L217" s="1"/>
      <c r="M217" s="319"/>
      <c r="N217" s="319"/>
      <c r="O217" s="319"/>
      <c r="P217" s="319"/>
      <c r="Q217" s="319"/>
      <c r="R217" s="319"/>
      <c r="S217" s="319"/>
      <c r="T217" s="319"/>
      <c r="U217" s="319"/>
      <c r="V217" s="319"/>
      <c r="W217" s="319"/>
      <c r="X217" s="319"/>
      <c r="Y217" s="319"/>
      <c r="Z217" s="319"/>
      <c r="AA217" s="319"/>
      <c r="AB217" s="319"/>
      <c r="AC217" s="319"/>
      <c r="AD217" s="319"/>
      <c r="AE217" s="319"/>
      <c r="AF217" s="319"/>
      <c r="AG217" s="319"/>
      <c r="AH217" s="319"/>
      <c r="AI217" s="319"/>
      <c r="AJ217" s="319"/>
      <c r="AK217" s="319"/>
      <c r="AL217" s="319"/>
      <c r="AM217" s="319"/>
      <c r="AN217" s="319"/>
      <c r="AO217" s="319">
        <v>2050012</v>
      </c>
      <c r="AP217" s="319"/>
      <c r="AQ217" s="319"/>
      <c r="AR217" s="319"/>
      <c r="AS217" s="319"/>
      <c r="AT217" s="319"/>
      <c r="AU217" s="319"/>
      <c r="AV217" s="319"/>
      <c r="AW217" s="319"/>
      <c r="AX217" s="319"/>
      <c r="AY217" s="319"/>
      <c r="AZ217" s="319"/>
      <c r="BA217" s="319"/>
      <c r="BB217" s="319"/>
      <c r="BC217" s="319"/>
      <c r="BD217" s="319"/>
      <c r="BE217" s="319"/>
      <c r="BF217" s="319"/>
      <c r="BG217" s="319"/>
      <c r="BH217" s="319"/>
      <c r="BI217" s="319"/>
      <c r="BJ217" s="319"/>
      <c r="BK217" s="319"/>
      <c r="BL217" s="319"/>
      <c r="BM217" s="319"/>
      <c r="BN217" s="319"/>
      <c r="BO217" s="319"/>
      <c r="BP217" s="319"/>
      <c r="BQ217" s="319"/>
      <c r="BR217" s="319"/>
      <c r="BS217" s="319"/>
      <c r="BT217" s="319"/>
      <c r="BU217" s="319"/>
      <c r="BV217" s="319"/>
      <c r="BW217" s="319"/>
      <c r="BX217" s="319"/>
      <c r="BY217" s="319"/>
      <c r="BZ217" s="319"/>
      <c r="CA217" s="319"/>
      <c r="CB217" s="319"/>
      <c r="CC217" s="319"/>
      <c r="CD217" s="319"/>
      <c r="CE217" s="319"/>
      <c r="CF217" s="319"/>
    </row>
    <row r="218" spans="1:84" ht="12.75" hidden="1" customHeight="1">
      <c r="A218" s="12"/>
      <c r="B218" s="329" t="str">
        <f>B13</f>
        <v>Modelo</v>
      </c>
      <c r="C218" s="1152"/>
      <c r="D218" s="1153"/>
      <c r="E218" s="1154"/>
      <c r="F218" s="1" t="str">
        <f>$J$1067 &amp; Lang_Unit</f>
        <v>1 unidade(s)</v>
      </c>
      <c r="G218" s="1"/>
      <c r="H218" s="1"/>
      <c r="I218" s="1"/>
      <c r="J218" s="1"/>
      <c r="K218" s="9"/>
      <c r="L218" s="1"/>
      <c r="M218" s="319"/>
      <c r="N218" s="319"/>
      <c r="O218" s="319"/>
      <c r="P218" s="319"/>
      <c r="Q218" s="319"/>
      <c r="R218" s="319"/>
      <c r="S218" s="319"/>
      <c r="T218" s="319"/>
      <c r="U218" s="319"/>
      <c r="V218" s="319"/>
      <c r="W218" s="319"/>
      <c r="X218" s="319"/>
      <c r="Y218" s="319"/>
      <c r="Z218" s="319"/>
      <c r="AA218" s="319"/>
      <c r="AB218" s="319"/>
      <c r="AC218" s="319"/>
      <c r="AD218" s="319"/>
      <c r="AE218" s="319"/>
      <c r="AF218" s="319"/>
      <c r="AG218" s="319"/>
      <c r="AH218" s="319"/>
      <c r="AI218" s="319"/>
      <c r="AJ218" s="319"/>
      <c r="AK218" s="319"/>
      <c r="AL218" s="319"/>
      <c r="AM218" s="319"/>
      <c r="AN218" s="319"/>
      <c r="AO218" s="319">
        <v>2050014</v>
      </c>
      <c r="AP218" s="319"/>
      <c r="AQ218" s="319"/>
      <c r="AR218" s="319"/>
      <c r="AS218" s="319"/>
      <c r="AT218" s="319"/>
      <c r="AU218" s="319"/>
      <c r="AV218" s="319"/>
      <c r="AW218" s="319"/>
      <c r="AX218" s="319"/>
      <c r="AY218" s="319"/>
      <c r="AZ218" s="319"/>
      <c r="BA218" s="319"/>
      <c r="BB218" s="319"/>
      <c r="BC218" s="319"/>
      <c r="BD218" s="319"/>
      <c r="BE218" s="319"/>
      <c r="BF218" s="319"/>
      <c r="BG218" s="319"/>
      <c r="BH218" s="319"/>
      <c r="BI218" s="319"/>
      <c r="BJ218" s="319"/>
      <c r="BK218" s="319"/>
      <c r="BL218" s="319"/>
      <c r="BM218" s="319"/>
      <c r="BN218" s="319"/>
      <c r="BO218" s="319"/>
      <c r="BP218" s="319"/>
      <c r="BQ218" s="319"/>
      <c r="BR218" s="319"/>
      <c r="BS218" s="319"/>
      <c r="BT218" s="319"/>
      <c r="BU218" s="319"/>
      <c r="BV218" s="319"/>
      <c r="BW218" s="319"/>
      <c r="BX218" s="319"/>
      <c r="BY218" s="319"/>
      <c r="BZ218" s="319"/>
      <c r="CA218" s="319"/>
      <c r="CB218" s="319"/>
      <c r="CC218" s="319"/>
      <c r="CD218" s="319"/>
      <c r="CE218" s="319"/>
      <c r="CF218" s="319"/>
    </row>
    <row r="219" spans="1:84" ht="12.75" hidden="1" customHeight="1">
      <c r="A219" s="12"/>
      <c r="B219" s="329" t="str">
        <f>B98</f>
        <v>Preço do calor</v>
      </c>
      <c r="C219" s="303" t="s">
        <v>4213</v>
      </c>
      <c r="D219" s="307"/>
      <c r="E219" s="1"/>
      <c r="F219" s="1"/>
      <c r="G219" s="1"/>
      <c r="H219" s="1"/>
      <c r="I219" s="1"/>
      <c r="J219" s="1"/>
      <c r="K219" s="9"/>
      <c r="L219" s="1"/>
      <c r="M219" s="319"/>
      <c r="N219" s="319"/>
      <c r="O219" s="319"/>
      <c r="P219" s="319"/>
      <c r="Q219" s="319"/>
      <c r="R219" s="319" t="s">
        <v>4213</v>
      </c>
      <c r="S219" s="319">
        <f>IF(C219=$Z$1081,D219,D219*$AA$1082)</f>
        <v>0</v>
      </c>
      <c r="T219" s="319"/>
      <c r="U219" s="319"/>
      <c r="V219" s="319"/>
      <c r="W219" s="319"/>
      <c r="X219" s="319"/>
      <c r="Y219" s="319"/>
      <c r="Z219" s="319"/>
      <c r="AA219" s="319"/>
      <c r="AB219" s="319"/>
      <c r="AC219" s="319"/>
      <c r="AD219" s="319"/>
      <c r="AE219" s="319"/>
      <c r="AF219" s="319"/>
      <c r="AG219" s="319"/>
      <c r="AH219" s="319"/>
      <c r="AI219" s="319"/>
      <c r="AJ219" s="319"/>
      <c r="AK219" s="319"/>
      <c r="AL219" s="319"/>
      <c r="AM219" s="319"/>
      <c r="AN219" s="319"/>
      <c r="AO219" s="319">
        <v>2050018</v>
      </c>
      <c r="AP219" s="319"/>
      <c r="AQ219" s="319"/>
      <c r="AR219" s="319"/>
      <c r="AS219" s="319"/>
      <c r="AT219" s="319"/>
      <c r="AU219" s="319"/>
      <c r="AV219" s="319"/>
      <c r="AW219" s="319"/>
      <c r="AX219" s="319"/>
      <c r="AY219" s="319"/>
      <c r="AZ219" s="319"/>
      <c r="BA219" s="319"/>
      <c r="BB219" s="319"/>
      <c r="BC219" s="319"/>
      <c r="BD219" s="319"/>
      <c r="BE219" s="319"/>
      <c r="BF219" s="319"/>
      <c r="BG219" s="319"/>
      <c r="BH219" s="319"/>
      <c r="BI219" s="319"/>
      <c r="BJ219" s="319"/>
      <c r="BK219" s="319"/>
      <c r="BL219" s="319"/>
      <c r="BM219" s="319"/>
      <c r="BN219" s="319"/>
      <c r="BO219" s="319"/>
      <c r="BP219" s="319"/>
      <c r="BQ219" s="319"/>
      <c r="BR219" s="319"/>
      <c r="BS219" s="319"/>
      <c r="BT219" s="319"/>
      <c r="BU219" s="319"/>
      <c r="BV219" s="319"/>
      <c r="BW219" s="319"/>
      <c r="BX219" s="319"/>
      <c r="BY219" s="319"/>
      <c r="BZ219" s="319"/>
      <c r="CA219" s="319"/>
      <c r="CB219" s="319"/>
      <c r="CC219" s="319"/>
      <c r="CD219" s="319"/>
      <c r="CE219" s="319"/>
      <c r="CF219" s="319"/>
    </row>
    <row r="220" spans="1:84" ht="12.75" hidden="1" customHeight="1">
      <c r="A220" s="12"/>
      <c r="B220" s="329" t="str">
        <f>Language!C430</f>
        <v>Taxa de recuperação de calor</v>
      </c>
      <c r="C220" s="29" t="str">
        <f>$T$35</f>
        <v>%</v>
      </c>
      <c r="D220" s="422"/>
      <c r="E220" s="1"/>
      <c r="F220" s="1"/>
      <c r="G220" s="1"/>
      <c r="H220" s="1"/>
      <c r="I220" s="1"/>
      <c r="J220" s="1"/>
      <c r="K220" s="9"/>
      <c r="L220" s="1"/>
      <c r="M220" s="319"/>
      <c r="N220" s="319"/>
      <c r="O220" s="319"/>
      <c r="P220" s="319"/>
      <c r="Q220" s="319"/>
      <c r="R220" s="319"/>
      <c r="S220" s="319"/>
      <c r="T220" s="319"/>
      <c r="U220" s="319"/>
      <c r="V220" s="319"/>
      <c r="W220" s="319"/>
      <c r="X220" s="319"/>
      <c r="Y220" s="319"/>
      <c r="Z220" s="319"/>
      <c r="AA220" s="319"/>
      <c r="AB220" s="319"/>
      <c r="AC220" s="319"/>
      <c r="AD220" s="319"/>
      <c r="AE220" s="319"/>
      <c r="AF220" s="319"/>
      <c r="AG220" s="319"/>
      <c r="AH220" s="319"/>
      <c r="AI220" s="319"/>
      <c r="AJ220" s="319"/>
      <c r="AK220" s="319"/>
      <c r="AL220" s="319"/>
      <c r="AM220" s="319"/>
      <c r="AN220" s="319"/>
      <c r="AO220" s="319">
        <v>2050030</v>
      </c>
      <c r="AP220" s="319"/>
      <c r="AQ220" s="319"/>
      <c r="AR220" s="319"/>
      <c r="AS220" s="319"/>
      <c r="AT220" s="319"/>
      <c r="AU220" s="319"/>
      <c r="AV220" s="319"/>
      <c r="AW220" s="319"/>
      <c r="AX220" s="319"/>
      <c r="AY220" s="319"/>
      <c r="AZ220" s="319"/>
      <c r="BA220" s="319"/>
      <c r="BB220" s="319"/>
      <c r="BC220" s="319"/>
      <c r="BD220" s="319"/>
      <c r="BE220" s="319"/>
      <c r="BF220" s="319"/>
      <c r="BG220" s="319"/>
      <c r="BH220" s="319"/>
      <c r="BI220" s="319"/>
      <c r="BJ220" s="319"/>
      <c r="BK220" s="319"/>
      <c r="BL220" s="319"/>
      <c r="BM220" s="319"/>
      <c r="BN220" s="319"/>
      <c r="BO220" s="319"/>
      <c r="BP220" s="319"/>
      <c r="BQ220" s="319"/>
      <c r="BR220" s="319"/>
      <c r="BS220" s="319"/>
      <c r="BT220" s="319"/>
      <c r="BU220" s="319"/>
      <c r="BV220" s="319"/>
      <c r="BW220" s="319"/>
      <c r="BX220" s="319"/>
      <c r="BY220" s="319"/>
      <c r="BZ220" s="319"/>
      <c r="CA220" s="319"/>
      <c r="CB220" s="319"/>
      <c r="CC220" s="319"/>
      <c r="CD220" s="319"/>
      <c r="CE220" s="319"/>
      <c r="CF220" s="319"/>
    </row>
    <row r="221" spans="1:84" ht="12.75" hidden="1" customHeight="1">
      <c r="A221" s="12"/>
      <c r="B221" s="329" t="str">
        <f>B77</f>
        <v>Combustível necessário</v>
      </c>
      <c r="C221" s="29" t="str">
        <f>IF(Unit=TRUE,R221,T221)</f>
        <v>GJ/h</v>
      </c>
      <c r="D221" s="140">
        <f>IF(Unit=TRUE,S221,U221)</f>
        <v>0</v>
      </c>
      <c r="E221" s="1"/>
      <c r="F221" s="29" t="str">
        <f>IF($M$3=FALSE,"",IF(Unit=FALSE,R221,T221))</f>
        <v/>
      </c>
      <c r="G221" s="140" t="str">
        <f>IF($M$3=FALSE,"",IF(Unit=FALSE,S221,U221))</f>
        <v/>
      </c>
      <c r="H221" s="1"/>
      <c r="I221" s="1"/>
      <c r="J221" s="1"/>
      <c r="K221" s="9"/>
      <c r="L221" s="1"/>
      <c r="M221" s="319"/>
      <c r="N221" s="319"/>
      <c r="O221" s="319"/>
      <c r="P221" s="319"/>
      <c r="Q221" s="319"/>
      <c r="R221" s="319" t="str">
        <f>$R$77</f>
        <v>GJ/h</v>
      </c>
      <c r="S221" s="319">
        <f>D213*S219/10^6</f>
        <v>0</v>
      </c>
      <c r="T221" s="319" t="str">
        <f>$T$77</f>
        <v>milhão Btu/h</v>
      </c>
      <c r="U221" s="319">
        <f>S221/$AA$1082</f>
        <v>0</v>
      </c>
      <c r="V221" s="319"/>
      <c r="W221" s="319"/>
      <c r="X221" s="319"/>
      <c r="Y221" s="319"/>
      <c r="Z221" s="319"/>
      <c r="AA221" s="319"/>
      <c r="AB221" s="319"/>
      <c r="AC221" s="319"/>
      <c r="AD221" s="319"/>
      <c r="AE221" s="319"/>
      <c r="AF221" s="319"/>
      <c r="AG221" s="319"/>
      <c r="AH221" s="319"/>
      <c r="AI221" s="319"/>
      <c r="AJ221" s="319"/>
      <c r="AK221" s="319"/>
      <c r="AL221" s="319"/>
      <c r="AM221" s="319"/>
      <c r="AN221" s="319"/>
      <c r="AO221" s="319">
        <v>2050032</v>
      </c>
      <c r="AP221" s="319"/>
      <c r="AQ221" s="319"/>
      <c r="AR221" s="319"/>
      <c r="AS221" s="319"/>
      <c r="AT221" s="319"/>
      <c r="AU221" s="319"/>
      <c r="AV221" s="319"/>
      <c r="AW221" s="319"/>
      <c r="AX221" s="319"/>
      <c r="AY221" s="319"/>
      <c r="AZ221" s="319"/>
      <c r="BA221" s="319"/>
      <c r="BB221" s="319"/>
      <c r="BC221" s="319"/>
      <c r="BD221" s="319"/>
      <c r="BE221" s="319"/>
      <c r="BF221" s="319"/>
      <c r="BG221" s="319"/>
      <c r="BH221" s="319"/>
      <c r="BI221" s="319"/>
      <c r="BJ221" s="319"/>
      <c r="BK221" s="319"/>
      <c r="BL221" s="319"/>
      <c r="BM221" s="319"/>
      <c r="BN221" s="319"/>
      <c r="BO221" s="319"/>
      <c r="BP221" s="319"/>
      <c r="BQ221" s="319"/>
      <c r="BR221" s="319"/>
      <c r="BS221" s="319"/>
      <c r="BT221" s="319"/>
      <c r="BU221" s="319"/>
      <c r="BV221" s="319"/>
      <c r="BW221" s="319"/>
      <c r="BX221" s="319"/>
      <c r="BY221" s="319"/>
      <c r="BZ221" s="319"/>
      <c r="CA221" s="319"/>
      <c r="CB221" s="319"/>
      <c r="CC221" s="319"/>
      <c r="CD221" s="319"/>
      <c r="CE221" s="319"/>
      <c r="CF221" s="319"/>
    </row>
    <row r="222" spans="1:84" ht="12.75" hidden="1" customHeight="1">
      <c r="A222" s="14"/>
      <c r="B222" s="380" t="str">
        <f>Language!C431</f>
        <v>Capacidade térmica</v>
      </c>
      <c r="C222" s="33" t="str">
        <f>IF(Unit=TRUE,R222,T222)</f>
        <v>kW</v>
      </c>
      <c r="D222" s="245">
        <f>IF(Unit=TRUE,S222,U222)</f>
        <v>0</v>
      </c>
      <c r="E222" s="104" t="str">
        <f>IF(OR(HideCode_projectType3=2,HideCode_projectType3=5),"",S222/$Q$866)</f>
        <v/>
      </c>
      <c r="F222" s="33" t="str">
        <f>IF($M$3=FALSE,"",IF(Unit=FALSE,R222,T222))</f>
        <v/>
      </c>
      <c r="G222" s="245" t="str">
        <f>IF($M$3=FALSE,"",IF(Unit=FALSE,S222,U222))</f>
        <v/>
      </c>
      <c r="H222" s="15"/>
      <c r="I222" s="15"/>
      <c r="J222" s="15"/>
      <c r="K222" s="11"/>
      <c r="L222" s="1"/>
      <c r="M222" s="319"/>
      <c r="N222" s="319"/>
      <c r="O222" s="319"/>
      <c r="P222" s="319"/>
      <c r="Q222" s="319"/>
      <c r="R222" s="319" t="str">
        <f>$R$20</f>
        <v>kW</v>
      </c>
      <c r="S222" s="319">
        <f>(S221/3.6*1000-D213)*D220</f>
        <v>0</v>
      </c>
      <c r="T222" s="319" t="str">
        <f>$T$77</f>
        <v>milhão Btu/h</v>
      </c>
      <c r="U222" s="319">
        <f>S222*$AA$1087</f>
        <v>0</v>
      </c>
      <c r="V222" s="319"/>
      <c r="W222" s="319"/>
      <c r="X222" s="319"/>
      <c r="Y222" s="319"/>
      <c r="Z222" s="319"/>
      <c r="AA222" s="319"/>
      <c r="AB222" s="319"/>
      <c r="AC222" s="319"/>
      <c r="AD222" s="319"/>
      <c r="AE222" s="319"/>
      <c r="AF222" s="319"/>
      <c r="AG222" s="319"/>
      <c r="AH222" s="319"/>
      <c r="AI222" s="319"/>
      <c r="AJ222" s="319"/>
      <c r="AK222" s="319"/>
      <c r="AL222" s="319"/>
      <c r="AM222" s="319"/>
      <c r="AN222" s="319"/>
      <c r="AO222" s="319">
        <v>2050034</v>
      </c>
      <c r="AP222" s="319"/>
      <c r="AQ222" s="319"/>
      <c r="AR222" s="319"/>
      <c r="AS222" s="319"/>
      <c r="AT222" s="319"/>
      <c r="AU222" s="319"/>
      <c r="AV222" s="319"/>
      <c r="AW222" s="319"/>
      <c r="AX222" s="319"/>
      <c r="AY222" s="319"/>
      <c r="AZ222" s="319"/>
      <c r="BA222" s="319"/>
      <c r="BB222" s="319"/>
      <c r="BC222" s="319"/>
      <c r="BD222" s="319"/>
      <c r="BE222" s="319"/>
      <c r="BF222" s="319"/>
      <c r="BG222" s="319"/>
      <c r="BH222" s="319"/>
      <c r="BI222" s="319"/>
      <c r="BJ222" s="319"/>
      <c r="BK222" s="319"/>
      <c r="BL222" s="319"/>
      <c r="BM222" s="319"/>
      <c r="BN222" s="319"/>
      <c r="BO222" s="319"/>
      <c r="BP222" s="319"/>
      <c r="BQ222" s="319"/>
      <c r="BR222" s="319"/>
      <c r="BS222" s="319"/>
      <c r="BT222" s="319"/>
      <c r="BU222" s="319"/>
      <c r="BV222" s="319"/>
      <c r="BW222" s="319"/>
      <c r="BX222" s="319"/>
      <c r="BY222" s="319"/>
      <c r="BZ222" s="319"/>
      <c r="CA222" s="319"/>
      <c r="CB222" s="319"/>
      <c r="CC222" s="319"/>
      <c r="CD222" s="319"/>
      <c r="CE222" s="319"/>
      <c r="CF222" s="319"/>
    </row>
    <row r="223" spans="1:84" ht="12.75" hidden="1" customHeight="1">
      <c r="A223" s="50"/>
      <c r="B223" s="1"/>
      <c r="C223" s="1"/>
      <c r="D223" s="1"/>
      <c r="E223" s="1"/>
      <c r="F223" s="1"/>
      <c r="G223" s="1"/>
      <c r="H223" s="1"/>
      <c r="I223" s="1"/>
      <c r="J223" s="1"/>
      <c r="K223" s="6"/>
      <c r="L223" s="1"/>
      <c r="M223" s="319"/>
      <c r="N223" s="319"/>
      <c r="O223" s="319"/>
      <c r="P223" s="319"/>
      <c r="Q223" s="319"/>
      <c r="R223" s="319"/>
      <c r="S223" s="319"/>
      <c r="T223" s="319"/>
      <c r="U223" s="319"/>
      <c r="V223" s="319"/>
      <c r="W223" s="319"/>
      <c r="X223" s="319"/>
      <c r="Y223" s="319"/>
      <c r="Z223" s="319"/>
      <c r="AA223" s="319"/>
      <c r="AB223" s="319"/>
      <c r="AC223" s="319"/>
      <c r="AD223" s="319"/>
      <c r="AE223" s="319"/>
      <c r="AF223" s="319"/>
      <c r="AG223" s="319"/>
      <c r="AH223" s="319"/>
      <c r="AI223" s="319"/>
      <c r="AJ223" s="319"/>
      <c r="AK223" s="319"/>
      <c r="AL223" s="319"/>
      <c r="AM223" s="319"/>
      <c r="AN223" s="319"/>
      <c r="AO223" s="319">
        <v>2030000</v>
      </c>
      <c r="AP223" s="319"/>
      <c r="AQ223" s="319"/>
      <c r="AR223" s="319"/>
      <c r="AS223" s="319"/>
      <c r="AT223" s="319"/>
      <c r="AU223" s="319"/>
      <c r="AV223" s="319"/>
      <c r="AW223" s="319"/>
      <c r="AX223" s="319"/>
      <c r="AY223" s="319"/>
      <c r="AZ223" s="319"/>
      <c r="BA223" s="319"/>
      <c r="BB223" s="319"/>
      <c r="BC223" s="319"/>
      <c r="BD223" s="319"/>
      <c r="BE223" s="319"/>
      <c r="BF223" s="319"/>
      <c r="BG223" s="319"/>
      <c r="BH223" s="319"/>
      <c r="BI223" s="319"/>
      <c r="BJ223" s="319"/>
      <c r="BK223" s="319"/>
      <c r="BL223" s="319"/>
      <c r="BM223" s="319"/>
      <c r="BN223" s="319"/>
      <c r="BO223" s="319"/>
      <c r="BP223" s="319"/>
      <c r="BQ223" s="319"/>
      <c r="BR223" s="319"/>
      <c r="BS223" s="319"/>
      <c r="BT223" s="319"/>
      <c r="BU223" s="319"/>
      <c r="BV223" s="319"/>
      <c r="BW223" s="319"/>
      <c r="BX223" s="319"/>
      <c r="BY223" s="319"/>
      <c r="BZ223" s="319"/>
      <c r="CA223" s="319"/>
      <c r="CB223" s="319"/>
      <c r="CC223" s="319"/>
      <c r="CD223" s="319"/>
      <c r="CE223" s="319"/>
      <c r="CF223" s="319"/>
    </row>
    <row r="224" spans="1:84" ht="51.75" hidden="1" customHeight="1">
      <c r="A224" s="12"/>
      <c r="B224" s="1" t="str">
        <f>B313</f>
        <v>Tipo de análise</v>
      </c>
      <c r="C224" s="1028" t="s">
        <v>4395</v>
      </c>
      <c r="D224" s="720" t="str">
        <f>B1085&amp;CHAR(10)&amp;B1086&amp;CHAR(10)&amp;B1087</f>
        <v>Método 1 
Método 2 
Método 3</v>
      </c>
      <c r="E224" s="1011"/>
      <c r="F224" s="265"/>
      <c r="G224" s="1011"/>
      <c r="H224" s="265"/>
      <c r="I224" s="1"/>
      <c r="J224" s="1"/>
      <c r="K224" s="9"/>
      <c r="L224" s="1"/>
      <c r="M224" s="319"/>
      <c r="N224" s="319"/>
      <c r="O224" s="319"/>
      <c r="P224" s="319"/>
      <c r="Q224" s="319"/>
      <c r="R224" s="319"/>
      <c r="S224" s="319"/>
      <c r="T224" s="319"/>
      <c r="U224" s="319"/>
      <c r="V224" s="319"/>
      <c r="W224" s="319"/>
      <c r="X224" s="319"/>
      <c r="Y224" s="319"/>
      <c r="Z224" s="319"/>
      <c r="AA224" s="319"/>
      <c r="AB224" s="319"/>
      <c r="AC224" s="319"/>
      <c r="AD224" s="319"/>
      <c r="AE224" s="319"/>
      <c r="AF224" s="319"/>
      <c r="AG224" s="319"/>
      <c r="AH224" s="319"/>
      <c r="AI224" s="319"/>
      <c r="AJ224" s="319"/>
      <c r="AK224" s="319"/>
      <c r="AL224" s="319"/>
      <c r="AM224" s="319"/>
      <c r="AN224" s="319"/>
      <c r="AO224" s="319">
        <v>2040034</v>
      </c>
      <c r="AP224" s="319"/>
      <c r="AQ224" s="319"/>
      <c r="AR224" s="319"/>
      <c r="AS224" s="319"/>
      <c r="AT224" s="319"/>
      <c r="AU224" s="319"/>
      <c r="AV224" s="319"/>
      <c r="AW224" s="319"/>
      <c r="AX224" s="319"/>
      <c r="AY224" s="319"/>
      <c r="AZ224" s="319"/>
      <c r="BA224" s="319"/>
      <c r="BB224" s="319"/>
      <c r="BC224" s="319"/>
      <c r="BD224" s="319"/>
      <c r="BE224" s="319"/>
      <c r="BF224" s="319"/>
      <c r="BG224" s="319"/>
      <c r="BH224" s="319"/>
      <c r="BI224" s="319"/>
      <c r="BJ224" s="319"/>
      <c r="BK224" s="319"/>
      <c r="BL224" s="319"/>
      <c r="BM224" s="319"/>
      <c r="BN224" s="319"/>
      <c r="BO224" s="319"/>
      <c r="BP224" s="319"/>
      <c r="BQ224" s="319"/>
      <c r="BR224" s="319"/>
      <c r="BS224" s="319"/>
      <c r="BT224" s="319"/>
      <c r="BU224" s="319"/>
      <c r="BV224" s="319"/>
      <c r="BW224" s="319"/>
      <c r="BX224" s="319"/>
      <c r="BY224" s="319"/>
      <c r="BZ224" s="319"/>
      <c r="CA224" s="319"/>
      <c r="CB224" s="319"/>
      <c r="CC224" s="319"/>
      <c r="CD224" s="319"/>
      <c r="CE224" s="319"/>
      <c r="CF224" s="319"/>
    </row>
    <row r="225" spans="1:84" ht="12.75" hidden="1" customHeight="1">
      <c r="A225" s="12"/>
      <c r="B225" s="1"/>
      <c r="C225" s="1012"/>
      <c r="D225" s="720"/>
      <c r="F225" s="1"/>
      <c r="G225" s="1"/>
      <c r="H225" s="1"/>
      <c r="I225" s="1"/>
      <c r="J225" s="1"/>
      <c r="K225" s="9"/>
      <c r="L225" s="1"/>
      <c r="M225" s="319"/>
      <c r="N225" s="319"/>
      <c r="O225" s="319"/>
      <c r="P225" s="319"/>
      <c r="Q225" s="319"/>
      <c r="R225" s="319"/>
      <c r="S225" s="319"/>
      <c r="T225" s="319"/>
      <c r="U225" s="319"/>
      <c r="V225" s="319"/>
      <c r="W225" s="319"/>
      <c r="X225" s="319"/>
      <c r="Y225" s="319"/>
      <c r="Z225" s="319"/>
      <c r="AA225" s="319"/>
      <c r="AB225" s="319"/>
      <c r="AC225" s="319"/>
      <c r="AD225" s="319"/>
      <c r="AE225" s="319"/>
      <c r="AF225" s="319"/>
      <c r="AG225" s="319"/>
      <c r="AH225" s="319"/>
      <c r="AI225" s="319"/>
      <c r="AJ225" s="319"/>
      <c r="AK225" s="319"/>
      <c r="AL225" s="319"/>
      <c r="AM225" s="319"/>
      <c r="AN225" s="319"/>
      <c r="AO225" s="319">
        <v>2040034</v>
      </c>
      <c r="AP225" s="319"/>
      <c r="AQ225" s="319"/>
      <c r="AR225" s="319"/>
      <c r="AS225" s="319"/>
      <c r="AT225" s="319"/>
      <c r="AU225" s="319"/>
      <c r="AV225" s="319"/>
      <c r="AW225" s="319"/>
      <c r="AX225" s="319"/>
      <c r="AY225" s="319"/>
      <c r="AZ225" s="319"/>
      <c r="BA225" s="319"/>
      <c r="BB225" s="319"/>
      <c r="BC225" s="319"/>
      <c r="BD225" s="319"/>
      <c r="BE225" s="319"/>
      <c r="BF225" s="319"/>
      <c r="BG225" s="319"/>
      <c r="BH225" s="319"/>
      <c r="BI225" s="319"/>
      <c r="BJ225" s="319"/>
      <c r="BK225" s="319"/>
      <c r="BL225" s="319"/>
      <c r="BM225" s="319"/>
      <c r="BN225" s="319"/>
      <c r="BO225" s="319"/>
      <c r="BP225" s="319"/>
      <c r="BQ225" s="319"/>
      <c r="BR225" s="319"/>
      <c r="BS225" s="319"/>
      <c r="BT225" s="319"/>
      <c r="BU225" s="319"/>
      <c r="BV225" s="319"/>
      <c r="BW225" s="319"/>
      <c r="BX225" s="319"/>
      <c r="BY225" s="319"/>
      <c r="BZ225" s="319"/>
      <c r="CA225" s="319"/>
      <c r="CB225" s="319"/>
      <c r="CC225" s="319"/>
      <c r="CD225" s="319"/>
      <c r="CE225" s="319"/>
      <c r="CF225" s="319"/>
    </row>
    <row r="226" spans="1:84" ht="12.75" hidden="1" customHeight="1">
      <c r="A226" s="12"/>
      <c r="B226" s="28" t="str">
        <f>IF(HideCodeES_PSS=1,Language!C139,Language!C139&amp;" #1")</f>
        <v>Turbina eólica</v>
      </c>
      <c r="C226" s="1"/>
      <c r="D226" s="265"/>
      <c r="E226" s="1"/>
      <c r="F226" s="1"/>
      <c r="G226" s="1"/>
      <c r="H226" s="1"/>
      <c r="I226" s="1"/>
      <c r="J226" s="1"/>
      <c r="K226" s="9"/>
      <c r="L226" s="1"/>
      <c r="M226" s="319">
        <f>IF(Offgrid=5,2,IF(S226=TRUE,1,IF(U226=TRUE,2,0)))</f>
        <v>1</v>
      </c>
      <c r="N226" s="319"/>
      <c r="O226" s="319" t="s">
        <v>4008</v>
      </c>
      <c r="P226" s="319" t="str">
        <f>C267</f>
        <v>Velocidade do Vento</v>
      </c>
      <c r="Q226" s="319" t="str">
        <f>Language!C117</f>
        <v>Padrão</v>
      </c>
      <c r="R226" s="319"/>
      <c r="S226" s="3" t="b">
        <v>1</v>
      </c>
      <c r="T226" s="3" t="b">
        <v>0</v>
      </c>
      <c r="U226" s="3" t="b">
        <v>0</v>
      </c>
      <c r="V226" s="319"/>
      <c r="W226" s="319"/>
      <c r="X226" s="319"/>
      <c r="Y226" s="319"/>
      <c r="Z226" s="319"/>
      <c r="AA226" s="319"/>
      <c r="AB226" s="319"/>
      <c r="AC226" s="319"/>
      <c r="AD226" s="319"/>
      <c r="AE226" s="319"/>
      <c r="AF226" s="319"/>
      <c r="AG226" s="319"/>
      <c r="AH226" s="319"/>
      <c r="AI226" s="319"/>
      <c r="AJ226" s="319"/>
      <c r="AK226" s="319"/>
      <c r="AL226" s="319"/>
      <c r="AM226" s="319"/>
      <c r="AN226" s="319"/>
      <c r="AO226" s="319">
        <v>2040032</v>
      </c>
      <c r="AP226" s="319"/>
      <c r="AQ226" s="319"/>
      <c r="AR226" s="319"/>
      <c r="AS226" s="319"/>
      <c r="AT226" s="319"/>
      <c r="AU226" s="319"/>
      <c r="AV226" s="319"/>
      <c r="AW226" s="319"/>
      <c r="AX226" s="319"/>
      <c r="AY226" s="319"/>
      <c r="AZ226" s="319"/>
      <c r="BA226" s="319"/>
      <c r="BB226" s="319"/>
      <c r="BC226" s="319"/>
      <c r="BD226" s="319"/>
      <c r="BE226" s="319"/>
      <c r="BF226" s="319"/>
      <c r="BG226" s="319"/>
      <c r="BH226" s="319"/>
      <c r="BI226" s="319"/>
      <c r="BJ226" s="319"/>
      <c r="BK226" s="319"/>
      <c r="BL226" s="319"/>
      <c r="BM226" s="319"/>
      <c r="BN226" s="319"/>
      <c r="BO226" s="319"/>
      <c r="BP226" s="319"/>
      <c r="BQ226" s="319"/>
      <c r="BR226" s="319"/>
      <c r="BS226" s="319"/>
      <c r="BT226" s="319"/>
      <c r="BU226" s="319"/>
      <c r="BV226" s="319"/>
      <c r="BW226" s="319"/>
      <c r="BX226" s="319"/>
      <c r="BY226" s="319"/>
      <c r="BZ226" s="319"/>
      <c r="CA226" s="319"/>
      <c r="CB226" s="319"/>
      <c r="CC226" s="319"/>
      <c r="CD226" s="319"/>
      <c r="CE226" s="319"/>
      <c r="CF226" s="319"/>
    </row>
    <row r="227" spans="1:84" ht="12.75" hidden="1" customHeight="1">
      <c r="A227" s="12"/>
      <c r="B227" s="28" t="str">
        <f>Language!C510</f>
        <v>Avaliação de recursos</v>
      </c>
      <c r="C227" s="1"/>
      <c r="D227" s="1"/>
      <c r="E227" s="1"/>
      <c r="F227" s="1"/>
      <c r="G227" s="1"/>
      <c r="H227" s="1"/>
      <c r="I227" s="1"/>
      <c r="J227" s="1"/>
      <c r="K227" s="9"/>
      <c r="L227" s="1"/>
      <c r="M227" s="319">
        <f>(M226+M27)*11</f>
        <v>33</v>
      </c>
      <c r="N227" s="319"/>
      <c r="O227" s="319"/>
      <c r="P227" s="319" t="str">
        <f>Language!C2083</f>
        <v>Densidade de potência do vento</v>
      </c>
      <c r="Q227" s="319" t="str">
        <f>Language!C163</f>
        <v xml:space="preserve">Padrão </v>
      </c>
      <c r="R227" s="319"/>
      <c r="S227" s="319"/>
      <c r="T227" s="319"/>
      <c r="U227" s="319"/>
      <c r="V227" s="319"/>
      <c r="W227" s="319"/>
      <c r="X227" s="319"/>
      <c r="Y227" s="319"/>
      <c r="Z227" s="319"/>
      <c r="AA227" s="319"/>
      <c r="AB227" s="319"/>
      <c r="AC227" s="319"/>
      <c r="AD227" s="319"/>
      <c r="AE227" s="319"/>
      <c r="AF227" s="319"/>
      <c r="AG227" s="319"/>
      <c r="AH227" s="319"/>
      <c r="AI227" s="319"/>
      <c r="AJ227" s="319"/>
      <c r="AK227" s="319"/>
      <c r="AL227" s="319"/>
      <c r="AM227" s="319"/>
      <c r="AN227" s="319"/>
      <c r="AO227" s="319">
        <v>2101002</v>
      </c>
      <c r="AP227" s="319"/>
      <c r="AQ227" s="319"/>
      <c r="AR227" s="319"/>
      <c r="AS227" s="319"/>
      <c r="AT227" s="319"/>
      <c r="AU227" s="319"/>
      <c r="AV227" s="319"/>
      <c r="AW227" s="319"/>
      <c r="AX227" s="319"/>
      <c r="AY227" s="319"/>
      <c r="AZ227" s="319"/>
      <c r="BA227" s="319"/>
      <c r="BB227" s="319"/>
      <c r="BC227" s="319"/>
      <c r="BD227" s="319"/>
      <c r="BE227" s="319"/>
      <c r="BF227" s="319"/>
      <c r="BG227" s="319"/>
      <c r="BH227" s="319"/>
      <c r="BI227" s="319"/>
      <c r="BJ227" s="319"/>
      <c r="BK227" s="319"/>
      <c r="BL227" s="319"/>
      <c r="BM227" s="319"/>
      <c r="BN227" s="319"/>
      <c r="BO227" s="319"/>
      <c r="BP227" s="319"/>
      <c r="BQ227" s="319"/>
      <c r="BR227" s="319"/>
      <c r="BS227" s="319"/>
      <c r="BT227" s="319"/>
      <c r="BU227" s="319"/>
      <c r="BV227" s="319"/>
      <c r="BW227" s="319"/>
      <c r="BX227" s="319"/>
      <c r="BY227" s="319"/>
      <c r="BZ227" s="319"/>
      <c r="CA227" s="319"/>
      <c r="CB227" s="319"/>
      <c r="CC227" s="319"/>
      <c r="CD227" s="319"/>
      <c r="CE227" s="319"/>
      <c r="CF227" s="319"/>
    </row>
    <row r="228" spans="1:84" ht="13.2" hidden="1">
      <c r="A228" s="12"/>
      <c r="B228" s="329" t="str">
        <f>Language!C1939</f>
        <v>Método de avaliação dos recursos</v>
      </c>
      <c r="C228" s="1"/>
      <c r="D228" s="419" t="s">
        <v>7024</v>
      </c>
      <c r="E228" s="1010" t="s">
        <v>4190</v>
      </c>
      <c r="F228" s="266" t="str">
        <f>C266</f>
        <v>Mostrar dado</v>
      </c>
      <c r="G228" s="1"/>
      <c r="H228" s="1"/>
      <c r="I228" s="1"/>
      <c r="J228" s="1"/>
      <c r="K228" s="784" t="str">
        <f>Language!C1961</f>
        <v>Veja mapas</v>
      </c>
      <c r="L228" s="1"/>
      <c r="M228" s="319">
        <f>IF(Offgrid=5,'Modelo Energético '!M316,IF(AND(HideES_Wind1QF=2,D229=P226),1,IF(D228=P226,1,0)))</f>
        <v>1</v>
      </c>
      <c r="N228" s="319"/>
      <c r="O228" s="319" t="s">
        <v>4007</v>
      </c>
      <c r="P228" s="319"/>
      <c r="Q228" s="319" t="str">
        <f>Q317</f>
        <v>Definido pelo usuário</v>
      </c>
      <c r="R228" s="319"/>
      <c r="S228" s="319" t="s">
        <v>5599</v>
      </c>
      <c r="T228" s="319"/>
      <c r="U228" s="319"/>
      <c r="V228" s="319"/>
      <c r="W228" s="319"/>
      <c r="X228" s="319"/>
      <c r="Y228" s="319"/>
      <c r="Z228" s="319"/>
      <c r="AA228" s="319"/>
      <c r="AB228" s="319"/>
      <c r="AC228" s="319"/>
      <c r="AD228" s="319"/>
      <c r="AE228" s="319"/>
      <c r="AF228" s="319"/>
      <c r="AG228" s="319"/>
      <c r="AH228" s="319"/>
      <c r="AI228" s="319"/>
      <c r="AJ228" s="319"/>
      <c r="AK228" s="319"/>
      <c r="AL228" s="319"/>
      <c r="AM228" s="319"/>
      <c r="AN228" s="319"/>
      <c r="AO228" s="319">
        <v>2101002</v>
      </c>
      <c r="AP228" s="319"/>
      <c r="AQ228" s="319"/>
      <c r="AR228" s="319"/>
      <c r="AS228" s="319"/>
      <c r="AT228" s="319"/>
      <c r="AU228" s="319"/>
      <c r="AV228" s="319"/>
      <c r="AW228" s="319"/>
      <c r="AX228" s="319"/>
      <c r="AY228" s="319"/>
      <c r="AZ228" s="319"/>
      <c r="BA228" s="319"/>
      <c r="BB228" s="319"/>
      <c r="BC228" s="319"/>
      <c r="BD228" s="319"/>
      <c r="BE228" s="319"/>
      <c r="BF228" s="319"/>
      <c r="BG228" s="319"/>
      <c r="BH228" s="319"/>
      <c r="BI228" s="319"/>
      <c r="BJ228" s="319"/>
      <c r="BK228" s="319"/>
      <c r="BL228" s="319"/>
      <c r="BM228" s="319"/>
      <c r="BN228" s="319"/>
      <c r="BO228" s="319"/>
      <c r="BP228" s="319"/>
      <c r="BQ228" s="319"/>
      <c r="BR228" s="319"/>
      <c r="BS228" s="319"/>
      <c r="BT228" s="319"/>
      <c r="BU228" s="319"/>
      <c r="BV228" s="319"/>
      <c r="BW228" s="319"/>
      <c r="BX228" s="319"/>
      <c r="BY228" s="319"/>
      <c r="BZ228" s="319"/>
      <c r="CA228" s="319"/>
      <c r="CB228" s="319"/>
      <c r="CC228" s="319"/>
      <c r="CD228" s="319"/>
      <c r="CE228" s="319"/>
      <c r="CF228" s="319"/>
    </row>
    <row r="229" spans="1:84" ht="38.25" hidden="1" customHeight="1">
      <c r="A229" s="12"/>
      <c r="B229" s="1" t="str">
        <f>B228</f>
        <v>Método de avaliação dos recursos</v>
      </c>
      <c r="C229" s="1"/>
      <c r="D229" s="82" t="str">
        <f>IF(OR(D230=AC1068,D230=AC1069,D230=""),P226,P227)</f>
        <v>Velocidade do Vento</v>
      </c>
      <c r="E229" s="82" t="str">
        <f>Iniciar!D42</f>
        <v>Coimbra</v>
      </c>
      <c r="F229" s="82" t="str">
        <f>IF(U226=TRUE,B814,"")</f>
        <v/>
      </c>
      <c r="G229" s="82" t="str">
        <f>B305</f>
        <v>Eletricidade exportada p/ rede</v>
      </c>
      <c r="H229" s="1"/>
      <c r="I229" s="1"/>
      <c r="J229" s="1"/>
      <c r="K229" s="9"/>
      <c r="L229" s="1"/>
      <c r="M229" s="3" t="b">
        <v>1</v>
      </c>
      <c r="N229" s="319"/>
      <c r="O229" s="319">
        <f>IF(C245="",1,VLOOKUP(C245,AC1068:AD1069,2,FALSE))</f>
        <v>1</v>
      </c>
      <c r="P229" s="476">
        <f>D245*O229</f>
        <v>0</v>
      </c>
      <c r="Q229" s="319"/>
      <c r="R229" s="319"/>
      <c r="S229" s="319" t="s">
        <v>3908</v>
      </c>
      <c r="T229" s="319" t="s">
        <v>2298</v>
      </c>
      <c r="U229" s="319" t="s">
        <v>3084</v>
      </c>
      <c r="V229" s="319" t="s">
        <v>4418</v>
      </c>
      <c r="W229" s="319"/>
      <c r="X229" s="319"/>
      <c r="Y229" s="319"/>
      <c r="Z229" s="319"/>
      <c r="AA229" s="319" t="s">
        <v>1376</v>
      </c>
      <c r="AB229" s="319" t="s">
        <v>1377</v>
      </c>
      <c r="AC229" s="319"/>
      <c r="AD229" s="319"/>
      <c r="AE229" s="319"/>
      <c r="AF229" s="319"/>
      <c r="AG229" s="319"/>
      <c r="AH229" s="319"/>
      <c r="AI229" s="319"/>
      <c r="AJ229" s="319"/>
      <c r="AK229" s="319"/>
      <c r="AL229" s="319"/>
      <c r="AM229" s="319"/>
      <c r="AN229" s="319"/>
      <c r="AO229" s="319">
        <v>2101002</v>
      </c>
      <c r="AP229" s="319"/>
      <c r="AQ229" s="319"/>
      <c r="AR229" s="319"/>
      <c r="AS229" s="319"/>
      <c r="AT229" s="319"/>
      <c r="AU229" s="319"/>
      <c r="AV229" s="319"/>
      <c r="AW229" s="319"/>
      <c r="AX229" s="319"/>
      <c r="AY229" s="319"/>
      <c r="AZ229" s="319"/>
      <c r="BA229" s="319"/>
      <c r="BB229" s="319"/>
      <c r="BC229" s="319"/>
      <c r="BD229" s="319"/>
      <c r="BE229" s="319"/>
      <c r="BF229" s="319"/>
      <c r="BG229" s="319"/>
      <c r="BH229" s="319"/>
      <c r="BI229" s="319"/>
      <c r="BJ229" s="319"/>
      <c r="BK229" s="319"/>
      <c r="BL229" s="319"/>
      <c r="BM229" s="319"/>
      <c r="BN229" s="319"/>
      <c r="BO229" s="319"/>
      <c r="BP229" s="319"/>
      <c r="BQ229" s="319"/>
      <c r="BR229" s="319"/>
      <c r="BS229" s="319"/>
      <c r="BT229" s="319"/>
      <c r="BU229" s="319"/>
      <c r="BV229" s="319"/>
      <c r="BW229" s="319"/>
      <c r="BX229" s="319"/>
      <c r="BY229" s="319"/>
      <c r="BZ229" s="319"/>
      <c r="CA229" s="319"/>
      <c r="CB229" s="319"/>
      <c r="CC229" s="319"/>
      <c r="CD229" s="319"/>
      <c r="CE229" s="319"/>
      <c r="CF229" s="319"/>
    </row>
    <row r="230" spans="1:84" ht="12.75" hidden="1" customHeight="1">
      <c r="A230" s="12"/>
      <c r="B230" s="105" t="str">
        <f>Language!C250</f>
        <v>Mês</v>
      </c>
      <c r="C230" s="1"/>
      <c r="D230" s="308" t="s">
        <v>743</v>
      </c>
      <c r="E230" s="45" t="str">
        <f>D230</f>
        <v>m/s</v>
      </c>
      <c r="F230" s="45" t="str">
        <f>$O$1197</f>
        <v>€/MWh</v>
      </c>
      <c r="G230" s="45" t="str">
        <f>R14</f>
        <v>MWh</v>
      </c>
      <c r="H230" s="1"/>
      <c r="I230" s="1"/>
      <c r="J230" s="1"/>
      <c r="K230" s="9"/>
      <c r="L230" s="1"/>
      <c r="M230" s="319"/>
      <c r="N230" s="319"/>
      <c r="O230" s="319">
        <f>IF(OR(D230="",D230=AC1070),1,VLOOKUP(D230,AC1068:AD1069,2,FALSE))</f>
        <v>1</v>
      </c>
      <c r="P230" s="319"/>
      <c r="Q230" s="319"/>
      <c r="R230" s="319" t="s">
        <v>1546</v>
      </c>
      <c r="S230" s="319">
        <f>'Modelo Energético '!AH212/2/1000</f>
        <v>0</v>
      </c>
      <c r="T230" s="319">
        <f>('Modelo Energético '!AH212/2+'Modelo Energético '!AH211)/1000*(1-BatMismatch)/'Modelo Energético '!$P$260/'Modelo Energético '!$P$262</f>
        <v>0</v>
      </c>
      <c r="U230" s="319">
        <f>'Modelo Energético '!AH213/1000</f>
        <v>0</v>
      </c>
      <c r="V230" s="319"/>
      <c r="W230" t="s">
        <v>1547</v>
      </c>
      <c r="X230" s="319"/>
      <c r="Y230" s="319"/>
      <c r="Z230" s="319"/>
      <c r="AA230" s="319"/>
      <c r="AB230" s="319"/>
      <c r="AC230" s="319"/>
      <c r="AD230" s="319"/>
      <c r="AE230" s="319"/>
      <c r="AF230" s="319"/>
      <c r="AG230" s="319"/>
      <c r="AH230" s="319"/>
      <c r="AI230" s="319"/>
      <c r="AJ230" s="319"/>
      <c r="AK230" s="319"/>
      <c r="AL230" s="319"/>
      <c r="AM230" s="319"/>
      <c r="AN230" s="319"/>
      <c r="AO230" s="319">
        <v>2101002</v>
      </c>
      <c r="AP230" s="319"/>
      <c r="AQ230" s="319"/>
      <c r="AR230" s="319"/>
      <c r="AS230" s="319"/>
      <c r="AT230" s="319"/>
      <c r="AU230" s="319"/>
      <c r="AV230" s="319"/>
      <c r="AW230" s="319"/>
      <c r="AX230" s="319"/>
      <c r="AY230" s="319"/>
      <c r="AZ230" s="319"/>
      <c r="BA230" s="319"/>
      <c r="BB230" s="319"/>
      <c r="BC230" s="319"/>
      <c r="BD230" s="319"/>
      <c r="BE230" s="319"/>
      <c r="BF230" s="319"/>
      <c r="BG230" s="319"/>
      <c r="BH230" s="319"/>
      <c r="BI230" s="319"/>
      <c r="BJ230" s="319"/>
      <c r="BK230" s="319"/>
      <c r="BL230" s="319"/>
      <c r="BM230" s="319"/>
      <c r="BN230" s="319"/>
      <c r="BO230" s="319"/>
      <c r="BP230" s="319"/>
      <c r="BQ230" s="319"/>
      <c r="BR230" s="319"/>
      <c r="BS230" s="319"/>
      <c r="BT230" s="319"/>
      <c r="BU230" s="319"/>
      <c r="BV230" s="319"/>
      <c r="BW230" s="319"/>
      <c r="BX230" s="319"/>
      <c r="BY230" s="319"/>
      <c r="BZ230" s="319"/>
      <c r="CA230" s="319"/>
      <c r="CB230" s="319"/>
      <c r="CC230" s="319"/>
      <c r="CD230" s="319"/>
      <c r="CE230" s="319"/>
      <c r="CF230" s="319"/>
    </row>
    <row r="231" spans="1:84" ht="12.75" hidden="1" customHeight="1">
      <c r="A231" s="12"/>
      <c r="B231" s="79" t="str">
        <f>B49</f>
        <v>Janeiro</v>
      </c>
      <c r="C231" s="1"/>
      <c r="D231" s="395"/>
      <c r="E231" s="140">
        <f>Iniciar!R58/$O$230</f>
        <v>3</v>
      </c>
      <c r="F231" s="395"/>
      <c r="G231" s="30">
        <f>IF($Y$243=0,0,Y231-($Y$243-$G$243)*Y231/$Y$243)</f>
        <v>0</v>
      </c>
      <c r="H231" s="1"/>
      <c r="I231" s="1"/>
      <c r="J231" s="1"/>
      <c r="K231" s="9"/>
      <c r="L231" s="1"/>
      <c r="M231" s="319"/>
      <c r="N231" s="319"/>
      <c r="O231" s="476">
        <f>IF(Offgrid=5,'Modelo Energético '!P319,D231*$O$230)</f>
        <v>0</v>
      </c>
      <c r="P231" s="494">
        <v>31</v>
      </c>
      <c r="Q231" s="476" t="e">
        <f t="shared" ref="Q231:Q242" si="8">IF(HideES_Wind_data=1,O231,HLOOKUP(O231,$Q$262:$AC$263,2)+(O231-HLOOKUP(O231,$Q$262:$AC$262,1))/(HLOOKUP(HLOOKUP(O231,$Q$262:$AC$263,2)+1,$Q$261:$AC$262,2)-HLOOKUP(O231,$Q$262:$AC$262,1)))*($O$258/$O$247)^$O$248</f>
        <v>#DIV/0!</v>
      </c>
      <c r="R231" s="845">
        <f>IF(OR(ISERROR(Q231),O231&lt;3),0,((HLOOKUP(Q231+1,$Q$263:$AC$265,3)-HLOOKUP(Q231,$Q$263:$AC$265,3))*(Q231-TRUNC(Q231))+HLOOKUP(Q231,$Q$263:$AC$265,3)))*P231/365</f>
        <v>0</v>
      </c>
      <c r="S231" s="476">
        <f>MIN(W231,$S$230*P231*IF('Modelo Energético '!EE_13_M,'Modelo Energético '!E231,1))</f>
        <v>0</v>
      </c>
      <c r="T231" s="477">
        <f>MIN(W231-S231,$T$230*P231*IF('Modelo Energético '!EE_13_M,'Modelo Energético '!E231,1))</f>
        <v>0</v>
      </c>
      <c r="U231" s="319">
        <f>MIN(W231-S231-T231,$U$230*P231*IF('Modelo Energético '!EE_13_M,'Modelo Energético '!E231,1))</f>
        <v>0</v>
      </c>
      <c r="V231" s="476">
        <f>S231+T231*'Modelo Energético '!$P$260*'Modelo Energético '!$P$262+U231</f>
        <v>0</v>
      </c>
      <c r="W231" s="494">
        <f>R231*(288/(273+AA231))*AB231/101.3*$K$302*$P$257</f>
        <v>0</v>
      </c>
      <c r="X231" s="494">
        <f>(W231-$Y$244*(D1139*C1139+$C$1151*$D$1151*C1139/8617)/1000)*IF($J$1107=0,0,1)</f>
        <v>0</v>
      </c>
      <c r="Y231" s="494">
        <f>IF(X231&lt;0,0,X231)</f>
        <v>0</v>
      </c>
      <c r="Z231" s="494"/>
      <c r="AA231" s="845">
        <f>(Iniciar!O58+273)*($O$249+273)/(Iniciar!$O$70+273)-273</f>
        <v>-5.4377599168076927</v>
      </c>
      <c r="AB231" s="319">
        <f>Iniciar!Q58*'Modelo Energético'!$O$250/Iniciar!$Q$70</f>
        <v>0</v>
      </c>
      <c r="AC231" s="319"/>
      <c r="AD231" s="319"/>
      <c r="AE231" s="319"/>
      <c r="AF231" s="319"/>
      <c r="AG231" s="319"/>
      <c r="AH231" s="319"/>
      <c r="AI231" s="319"/>
      <c r="AJ231" s="319"/>
      <c r="AK231" s="319"/>
      <c r="AL231" s="319"/>
      <c r="AM231" s="319"/>
      <c r="AN231" s="319"/>
      <c r="AO231" s="319">
        <v>2101002</v>
      </c>
      <c r="AP231" s="319"/>
      <c r="AQ231" s="319"/>
      <c r="AR231" s="319"/>
      <c r="AS231" s="319"/>
      <c r="AT231" s="319"/>
      <c r="AU231" s="319"/>
      <c r="AV231" s="319"/>
      <c r="AW231" s="319"/>
      <c r="AX231" s="319"/>
      <c r="AY231" s="319"/>
      <c r="AZ231" s="319"/>
      <c r="BA231" s="319"/>
      <c r="BB231" s="319"/>
      <c r="BC231" s="319"/>
      <c r="BD231" s="319"/>
      <c r="BE231" s="319"/>
      <c r="BF231" s="319"/>
      <c r="BG231" s="319"/>
      <c r="BH231" s="319"/>
      <c r="BI231" s="319"/>
      <c r="BJ231" s="319"/>
      <c r="BK231" s="319"/>
      <c r="BL231" s="319"/>
      <c r="BM231" s="319"/>
      <c r="BN231" s="319"/>
      <c r="BO231" s="319"/>
      <c r="BP231" s="319"/>
      <c r="BQ231" s="319"/>
      <c r="BR231" s="319"/>
      <c r="BS231" s="319"/>
      <c r="BT231" s="319"/>
      <c r="BU231" s="319"/>
      <c r="BV231" s="319"/>
      <c r="BW231" s="319"/>
      <c r="BX231" s="319"/>
      <c r="BY231" s="319"/>
      <c r="BZ231" s="319"/>
      <c r="CA231" s="319"/>
      <c r="CB231" s="319"/>
      <c r="CC231" s="319"/>
      <c r="CD231" s="319"/>
      <c r="CE231" s="319"/>
      <c r="CF231" s="319"/>
    </row>
    <row r="232" spans="1:84" ht="12.75" hidden="1" customHeight="1">
      <c r="A232" s="12"/>
      <c r="B232" s="79" t="str">
        <f t="shared" ref="B232:B242" si="9">B50</f>
        <v>Fevereiro</v>
      </c>
      <c r="C232" s="1"/>
      <c r="D232" s="395"/>
      <c r="E232" s="140">
        <f>Iniciar!R59/$O$230</f>
        <v>3.1</v>
      </c>
      <c r="F232" s="395"/>
      <c r="G232" s="30">
        <f t="shared" ref="G232:G242" si="10">IF($Y$243=0,0,Y232-($Y$243-$G$243)*Y232/$Y$243)</f>
        <v>0</v>
      </c>
      <c r="H232" s="1"/>
      <c r="I232" s="1"/>
      <c r="J232" s="1"/>
      <c r="K232" s="9"/>
      <c r="L232" s="1"/>
      <c r="M232" s="319"/>
      <c r="N232" s="319"/>
      <c r="O232" s="476">
        <f>IF(Offgrid=5,'Modelo Energético '!P320,D232*$O$230)</f>
        <v>0</v>
      </c>
      <c r="P232" s="494">
        <v>28</v>
      </c>
      <c r="Q232" s="476" t="e">
        <f t="shared" si="8"/>
        <v>#DIV/0!</v>
      </c>
      <c r="R232" s="845">
        <f t="shared" ref="R232:R242" si="11">IF(OR(ISERROR(Q232),O232&lt;3),0,((HLOOKUP(Q232+1,$Q$263:$AC$265,3)-HLOOKUP(Q232,$Q$263:$AC$265,3))*(Q232-TRUNC(Q232))+HLOOKUP(Q232,$Q$263:$AC$265,3)))*P232/365</f>
        <v>0</v>
      </c>
      <c r="S232" s="476">
        <f>MIN(W232,$S$230*P232*IF('Modelo Energético '!EE_13_M,'Modelo Energético '!E232,1))</f>
        <v>0</v>
      </c>
      <c r="T232" s="477">
        <f>MIN(W232-S232,$T$230*P232*IF('Modelo Energético '!EE_13_M,'Modelo Energético '!E232,1))</f>
        <v>0</v>
      </c>
      <c r="U232" s="319">
        <f>MIN(W232-S232-T232,$U$230*P232*IF('Modelo Energético '!EE_13_M,'Modelo Energético '!E232,1))</f>
        <v>0</v>
      </c>
      <c r="V232" s="476">
        <f>S232+T232*'Modelo Energético '!$P$260*'Modelo Energético '!$P$262+U232</f>
        <v>0</v>
      </c>
      <c r="W232" s="494">
        <f t="shared" ref="W232:W242" si="12">R232*(288/(273+AA232))*AB232/101.3*$K$302*$P$257</f>
        <v>0</v>
      </c>
      <c r="X232" s="494">
        <f t="shared" ref="X232:X242" si="13">(W232-$Y$244*(D1140*C1140+$C$1151*$D$1151*C1140/8617)/1000)*IF($J$1107=0,0,1)</f>
        <v>0</v>
      </c>
      <c r="Y232" s="494">
        <f t="shared" ref="Y232:Y242" si="14">IF(X232&lt;0,0,X232)</f>
        <v>0</v>
      </c>
      <c r="Z232" s="494"/>
      <c r="AA232" s="845">
        <f>(Iniciar!O59+273)*($O$249+273)/(Iniciar!$O$70+273)-273</f>
        <v>-4.4923103052062743</v>
      </c>
      <c r="AB232" s="319">
        <f>Iniciar!Q59*'Modelo Energético'!$O$250/Iniciar!$Q$70</f>
        <v>0</v>
      </c>
      <c r="AC232" s="846"/>
      <c r="AD232" s="319"/>
      <c r="AE232" s="319"/>
      <c r="AF232" s="319"/>
      <c r="AG232" s="319"/>
      <c r="AH232" s="319"/>
      <c r="AI232" s="319"/>
      <c r="AJ232" s="319"/>
      <c r="AK232" s="319"/>
      <c r="AL232" s="319"/>
      <c r="AM232" s="319"/>
      <c r="AN232" s="319"/>
      <c r="AO232" s="319">
        <v>2101002</v>
      </c>
      <c r="AP232" s="319"/>
      <c r="AQ232" s="319"/>
      <c r="AR232" s="319"/>
      <c r="AS232" s="319"/>
      <c r="AT232" s="319"/>
      <c r="AU232" s="319"/>
      <c r="AV232" s="319"/>
      <c r="AW232" s="319"/>
      <c r="AX232" s="319"/>
      <c r="AY232" s="319"/>
      <c r="AZ232" s="319"/>
      <c r="BA232" s="319"/>
      <c r="BB232" s="319"/>
      <c r="BC232" s="319"/>
      <c r="BD232" s="319"/>
      <c r="BE232" s="319"/>
      <c r="BF232" s="319"/>
      <c r="BG232" s="319"/>
      <c r="BH232" s="319"/>
      <c r="BI232" s="319"/>
      <c r="BJ232" s="319"/>
      <c r="BK232" s="319"/>
      <c r="BL232" s="319"/>
      <c r="BM232" s="319"/>
      <c r="BN232" s="319"/>
      <c r="BO232" s="319"/>
      <c r="BP232" s="319"/>
      <c r="BQ232" s="319"/>
      <c r="BR232" s="319"/>
      <c r="BS232" s="319"/>
      <c r="BT232" s="319"/>
      <c r="BU232" s="319"/>
      <c r="BV232" s="319"/>
      <c r="BW232" s="319"/>
      <c r="BX232" s="319"/>
      <c r="BY232" s="319"/>
      <c r="BZ232" s="319"/>
      <c r="CA232" s="319"/>
      <c r="CB232" s="319"/>
      <c r="CC232" s="319"/>
      <c r="CD232" s="319"/>
      <c r="CE232" s="319"/>
      <c r="CF232" s="319"/>
    </row>
    <row r="233" spans="1:84" ht="12.75" hidden="1" customHeight="1">
      <c r="A233" s="12"/>
      <c r="B233" s="79" t="str">
        <f t="shared" si="9"/>
        <v>Março</v>
      </c>
      <c r="C233" s="1"/>
      <c r="D233" s="395"/>
      <c r="E233" s="140">
        <f>Iniciar!R60/$O$230</f>
        <v>2.8</v>
      </c>
      <c r="F233" s="395"/>
      <c r="G233" s="30">
        <f t="shared" si="10"/>
        <v>0</v>
      </c>
      <c r="H233" s="1"/>
      <c r="I233" s="1"/>
      <c r="J233" s="1"/>
      <c r="K233" s="9"/>
      <c r="L233" s="1"/>
      <c r="M233" s="319"/>
      <c r="N233" s="319"/>
      <c r="O233" s="476">
        <f>IF(Offgrid=5,'Modelo Energético '!P321,D233*$O$230)</f>
        <v>0</v>
      </c>
      <c r="P233" s="494">
        <v>31</v>
      </c>
      <c r="Q233" s="476" t="e">
        <f t="shared" si="8"/>
        <v>#DIV/0!</v>
      </c>
      <c r="R233" s="845">
        <f t="shared" si="11"/>
        <v>0</v>
      </c>
      <c r="S233" s="476">
        <f>MIN(W233,$S$230*P233*IF('Modelo Energético '!EE_13_M,'Modelo Energético '!E233,1))</f>
        <v>0</v>
      </c>
      <c r="T233" s="477">
        <f>MIN(W233-S233,$T$230*P233*IF('Modelo Energético '!EE_13_M,'Modelo Energético '!E233,1))</f>
        <v>0</v>
      </c>
      <c r="U233" s="319">
        <f>MIN(W233-S233-T233,$U$230*P233*IF('Modelo Energético '!EE_13_M,'Modelo Energético '!E233,1))</f>
        <v>0</v>
      </c>
      <c r="V233" s="476">
        <f>S233+T233*'Modelo Energético '!$P$260*'Modelo Energético '!$P$262+U233</f>
        <v>0</v>
      </c>
      <c r="W233" s="494">
        <f t="shared" si="12"/>
        <v>0</v>
      </c>
      <c r="X233" s="494">
        <f t="shared" si="13"/>
        <v>0</v>
      </c>
      <c r="Y233" s="494">
        <f t="shared" si="14"/>
        <v>0</v>
      </c>
      <c r="Z233" s="494"/>
      <c r="AA233" s="845">
        <f>(Iniciar!O60+273)*($O$249+273)/(Iniciar!$O$70+273)-273</f>
        <v>-3.0741358878041751</v>
      </c>
      <c r="AB233" s="319">
        <f>Iniciar!Q60*'Modelo Energético'!$O$250/Iniciar!$Q$70</f>
        <v>0</v>
      </c>
      <c r="AC233" s="319"/>
      <c r="AD233" s="319"/>
      <c r="AE233" s="319"/>
      <c r="AF233" s="319"/>
      <c r="AG233" s="319"/>
      <c r="AH233" s="319"/>
      <c r="AI233" s="319"/>
      <c r="AJ233" s="319"/>
      <c r="AK233" s="319"/>
      <c r="AL233" s="319"/>
      <c r="AM233" s="319"/>
      <c r="AN233" s="319"/>
      <c r="AO233" s="319">
        <v>2101002</v>
      </c>
      <c r="AP233" s="319"/>
      <c r="AQ233" s="319"/>
      <c r="AR233" s="319"/>
      <c r="AS233" s="319"/>
      <c r="AT233" s="319"/>
      <c r="AU233" s="319"/>
      <c r="AV233" s="319"/>
      <c r="AW233" s="319"/>
      <c r="AX233" s="319"/>
      <c r="AY233" s="319"/>
      <c r="AZ233" s="319"/>
      <c r="BA233" s="319"/>
      <c r="BB233" s="319"/>
      <c r="BC233" s="319"/>
      <c r="BD233" s="319"/>
      <c r="BE233" s="319"/>
      <c r="BF233" s="319"/>
      <c r="BG233" s="319"/>
      <c r="BH233" s="319"/>
      <c r="BI233" s="319"/>
      <c r="BJ233" s="319"/>
      <c r="BK233" s="319"/>
      <c r="BL233" s="319"/>
      <c r="BM233" s="319"/>
      <c r="BN233" s="319"/>
      <c r="BO233" s="319"/>
      <c r="BP233" s="319"/>
      <c r="BQ233" s="319"/>
      <c r="BR233" s="319"/>
      <c r="BS233" s="319"/>
      <c r="BT233" s="319"/>
      <c r="BU233" s="319"/>
      <c r="BV233" s="319"/>
      <c r="BW233" s="319"/>
      <c r="BX233" s="319"/>
      <c r="BY233" s="319"/>
      <c r="BZ233" s="319"/>
      <c r="CA233" s="319"/>
      <c r="CB233" s="319"/>
      <c r="CC233" s="319"/>
      <c r="CD233" s="319"/>
      <c r="CE233" s="319"/>
      <c r="CF233" s="319"/>
    </row>
    <row r="234" spans="1:84" ht="12.75" hidden="1" customHeight="1">
      <c r="A234" s="12"/>
      <c r="B234" s="79" t="str">
        <f t="shared" si="9"/>
        <v>Abril</v>
      </c>
      <c r="C234" s="1"/>
      <c r="D234" s="395"/>
      <c r="E234" s="140">
        <f>Iniciar!R61/$O$230</f>
        <v>2.7</v>
      </c>
      <c r="F234" s="395"/>
      <c r="G234" s="30">
        <f t="shared" si="10"/>
        <v>0</v>
      </c>
      <c r="H234" s="1"/>
      <c r="I234" s="1"/>
      <c r="J234" s="1"/>
      <c r="K234" s="9"/>
      <c r="L234" s="1"/>
      <c r="M234" s="319"/>
      <c r="N234" s="319"/>
      <c r="O234" s="476">
        <f>IF(Offgrid=5,'Modelo Energético '!P322,D234*$O$230)</f>
        <v>0</v>
      </c>
      <c r="P234" s="494">
        <v>30</v>
      </c>
      <c r="Q234" s="476" t="e">
        <f t="shared" si="8"/>
        <v>#DIV/0!</v>
      </c>
      <c r="R234" s="845">
        <f t="shared" si="11"/>
        <v>0</v>
      </c>
      <c r="S234" s="476">
        <f>MIN(W234,$S$230*P234*IF('Modelo Energético '!EE_13_M,'Modelo Energético '!E234,1))</f>
        <v>0</v>
      </c>
      <c r="T234" s="477">
        <f>MIN(W234-S234,$T$230*P234*IF('Modelo Energético '!EE_13_M,'Modelo Energético '!E234,1))</f>
        <v>0</v>
      </c>
      <c r="U234" s="319">
        <f>MIN(W234-S234-T234,$U$230*P234*IF('Modelo Energético '!EE_13_M,'Modelo Energético '!E234,1))</f>
        <v>0</v>
      </c>
      <c r="V234" s="476">
        <f>S234+T234*'Modelo Energético '!$P$260*'Modelo Energético '!$P$262+U234</f>
        <v>0</v>
      </c>
      <c r="W234" s="494">
        <f t="shared" si="12"/>
        <v>0</v>
      </c>
      <c r="X234" s="494">
        <f t="shared" si="13"/>
        <v>0</v>
      </c>
      <c r="Y234" s="494">
        <f t="shared" si="14"/>
        <v>0</v>
      </c>
      <c r="Z234" s="494"/>
      <c r="AA234" s="845">
        <f>(Iniciar!O61+273)*($O$249+273)/(Iniciar!$O$70+273)-273</f>
        <v>-1.6559614704021328</v>
      </c>
      <c r="AB234" s="319">
        <f>Iniciar!Q61*'Modelo Energético'!$O$250/Iniciar!$Q$70</f>
        <v>0</v>
      </c>
      <c r="AC234" s="319"/>
      <c r="AD234" s="319"/>
      <c r="AE234" s="319"/>
      <c r="AF234" s="319"/>
      <c r="AG234" s="319"/>
      <c r="AH234" s="319"/>
      <c r="AI234" s="319"/>
      <c r="AJ234" s="319"/>
      <c r="AK234" s="319"/>
      <c r="AL234" s="319"/>
      <c r="AM234" s="319"/>
      <c r="AN234" s="319"/>
      <c r="AO234" s="319">
        <v>2101002</v>
      </c>
      <c r="AP234" s="319"/>
      <c r="AQ234" s="319"/>
      <c r="AR234" s="319"/>
      <c r="AS234" s="319"/>
      <c r="AT234" s="319"/>
      <c r="AU234" s="319"/>
      <c r="AV234" s="319"/>
      <c r="AW234" s="319"/>
      <c r="AX234" s="319"/>
      <c r="AY234" s="319"/>
      <c r="AZ234" s="319"/>
      <c r="BA234" s="319"/>
      <c r="BB234" s="319"/>
      <c r="BC234" s="319"/>
      <c r="BD234" s="319"/>
      <c r="BE234" s="319"/>
      <c r="BF234" s="319"/>
      <c r="BG234" s="319"/>
      <c r="BH234" s="319"/>
      <c r="BI234" s="319"/>
      <c r="BJ234" s="319"/>
      <c r="BK234" s="319"/>
      <c r="BL234" s="319"/>
      <c r="BM234" s="319"/>
      <c r="BN234" s="319"/>
      <c r="BO234" s="319"/>
      <c r="BP234" s="319"/>
      <c r="BQ234" s="319"/>
      <c r="BR234" s="319"/>
      <c r="BS234" s="319"/>
      <c r="BT234" s="319"/>
      <c r="BU234" s="319"/>
      <c r="BV234" s="319"/>
      <c r="BW234" s="319"/>
      <c r="BX234" s="319"/>
      <c r="BY234" s="319"/>
      <c r="BZ234" s="319"/>
      <c r="CA234" s="319"/>
      <c r="CB234" s="319"/>
      <c r="CC234" s="319"/>
      <c r="CD234" s="319"/>
      <c r="CE234" s="319"/>
      <c r="CF234" s="319"/>
    </row>
    <row r="235" spans="1:84" ht="12.75" hidden="1" customHeight="1">
      <c r="A235" s="12"/>
      <c r="B235" s="79" t="str">
        <f t="shared" si="9"/>
        <v>Maio</v>
      </c>
      <c r="C235" s="1"/>
      <c r="D235" s="395"/>
      <c r="E235" s="140">
        <f>Iniciar!R62/$O$230</f>
        <v>2.5</v>
      </c>
      <c r="F235" s="395"/>
      <c r="G235" s="30">
        <f t="shared" si="10"/>
        <v>0</v>
      </c>
      <c r="H235" s="1"/>
      <c r="I235" s="1"/>
      <c r="J235" s="1"/>
      <c r="K235" s="9"/>
      <c r="L235" s="1"/>
      <c r="M235" s="319"/>
      <c r="N235" s="319"/>
      <c r="O235" s="476">
        <f>IF(Offgrid=5,'Modelo Energético '!P323,D235*$O$230)</f>
        <v>0</v>
      </c>
      <c r="P235" s="494">
        <v>31</v>
      </c>
      <c r="Q235" s="476" t="e">
        <f t="shared" si="8"/>
        <v>#DIV/0!</v>
      </c>
      <c r="R235" s="845">
        <f t="shared" si="11"/>
        <v>0</v>
      </c>
      <c r="S235" s="476">
        <f>MIN(W235,$S$230*P235*IF('Modelo Energético '!EE_13_M,'Modelo Energético '!E235,1))</f>
        <v>0</v>
      </c>
      <c r="T235" s="477">
        <f>MIN(W235-S235,$T$230*P235*IF('Modelo Energético '!EE_13_M,'Modelo Energético '!E235,1))</f>
        <v>0</v>
      </c>
      <c r="U235" s="319">
        <f>MIN(W235-S235-T235,$U$230*P235*IF('Modelo Energético '!EE_13_M,'Modelo Energético '!E235,1))</f>
        <v>0</v>
      </c>
      <c r="V235" s="476">
        <f>S235+T235*'Modelo Energético '!$P$260*'Modelo Energético '!$P$262+U235</f>
        <v>0</v>
      </c>
      <c r="W235" s="494">
        <f t="shared" si="12"/>
        <v>0</v>
      </c>
      <c r="X235" s="494">
        <f t="shared" si="13"/>
        <v>0</v>
      </c>
      <c r="Y235" s="494">
        <f t="shared" si="14"/>
        <v>0</v>
      </c>
      <c r="Z235" s="494"/>
      <c r="AA235" s="845">
        <f>(Iniciar!O62+273)*($O$249+273)/(Iniciar!$O$70+273)-273</f>
        <v>0.61311759744120309</v>
      </c>
      <c r="AB235" s="319">
        <f>Iniciar!Q62*'Modelo Energético'!$O$250/Iniciar!$Q$70</f>
        <v>0</v>
      </c>
      <c r="AC235" s="319"/>
      <c r="AD235" s="319"/>
      <c r="AE235" s="319"/>
      <c r="AF235" s="319"/>
      <c r="AG235" s="319"/>
      <c r="AH235" s="319"/>
      <c r="AI235" s="319"/>
      <c r="AJ235" s="319"/>
      <c r="AK235" s="319"/>
      <c r="AL235" s="319"/>
      <c r="AM235" s="319"/>
      <c r="AN235" s="319"/>
      <c r="AO235" s="319">
        <v>2101002</v>
      </c>
      <c r="AP235" s="319"/>
      <c r="AQ235" s="319"/>
      <c r="AR235" s="319"/>
      <c r="AS235" s="319"/>
      <c r="AT235" s="319"/>
      <c r="AU235" s="319"/>
      <c r="AV235" s="319"/>
      <c r="AW235" s="319"/>
      <c r="AX235" s="319"/>
      <c r="AY235" s="319"/>
      <c r="AZ235" s="319"/>
      <c r="BA235" s="319"/>
      <c r="BB235" s="319"/>
      <c r="BC235" s="319"/>
      <c r="BD235" s="319"/>
      <c r="BE235" s="319"/>
      <c r="BF235" s="319"/>
      <c r="BG235" s="319"/>
      <c r="BH235" s="319"/>
      <c r="BI235" s="319"/>
      <c r="BJ235" s="319"/>
      <c r="BK235" s="319"/>
      <c r="BL235" s="319"/>
      <c r="BM235" s="319"/>
      <c r="BN235" s="319"/>
      <c r="BO235" s="319"/>
      <c r="BP235" s="319"/>
      <c r="BQ235" s="319"/>
      <c r="BR235" s="319"/>
      <c r="BS235" s="319"/>
      <c r="BT235" s="319"/>
      <c r="BU235" s="319"/>
      <c r="BV235" s="319"/>
      <c r="BW235" s="319"/>
      <c r="BX235" s="319"/>
      <c r="BY235" s="319"/>
      <c r="BZ235" s="319"/>
      <c r="CA235" s="319"/>
      <c r="CB235" s="319"/>
      <c r="CC235" s="319"/>
      <c r="CD235" s="319"/>
      <c r="CE235" s="319"/>
      <c r="CF235" s="319"/>
    </row>
    <row r="236" spans="1:84" ht="12.75" hidden="1" customHeight="1">
      <c r="A236" s="12"/>
      <c r="B236" s="79" t="str">
        <f t="shared" si="9"/>
        <v>Junho</v>
      </c>
      <c r="C236" s="1"/>
      <c r="D236" s="395"/>
      <c r="E236" s="140">
        <f>Iniciar!R63/$O$230</f>
        <v>2.4</v>
      </c>
      <c r="F236" s="395"/>
      <c r="G236" s="30">
        <f t="shared" si="10"/>
        <v>0</v>
      </c>
      <c r="H236" s="1"/>
      <c r="I236" s="1"/>
      <c r="J236" s="1"/>
      <c r="K236" s="9"/>
      <c r="L236" s="1"/>
      <c r="M236" s="319"/>
      <c r="N236" s="319"/>
      <c r="O236" s="476">
        <f>IF(Offgrid=5,'Modelo Energético '!P324,D236*$O$230)</f>
        <v>0</v>
      </c>
      <c r="P236" s="494">
        <v>30</v>
      </c>
      <c r="Q236" s="476" t="e">
        <f t="shared" si="8"/>
        <v>#DIV/0!</v>
      </c>
      <c r="R236" s="845">
        <f t="shared" si="11"/>
        <v>0</v>
      </c>
      <c r="S236" s="476">
        <f>MIN(W236,$S$230*P236*IF('Modelo Energético '!EE_13_M,'Modelo Energético '!E236,1))</f>
        <v>0</v>
      </c>
      <c r="T236" s="477">
        <f>MIN(W236-S236,$T$230*P236*IF('Modelo Energético '!EE_13_M,'Modelo Energético '!E236,1))</f>
        <v>0</v>
      </c>
      <c r="U236" s="319">
        <f>MIN(W236-S236-T236,$U$230*P236*IF('Modelo Energético '!EE_13_M,'Modelo Energético '!E236,1))</f>
        <v>0</v>
      </c>
      <c r="V236" s="476">
        <f>S236+T236*'Modelo Energético '!$P$260*'Modelo Energético '!$P$262+U236</f>
        <v>0</v>
      </c>
      <c r="W236" s="494">
        <f t="shared" si="12"/>
        <v>0</v>
      </c>
      <c r="X236" s="494">
        <f t="shared" si="13"/>
        <v>0</v>
      </c>
      <c r="Y236" s="494">
        <f t="shared" si="14"/>
        <v>0</v>
      </c>
      <c r="Z236" s="494"/>
      <c r="AA236" s="845">
        <f>(Iniciar!O63+273)*($O$249+273)/(Iniciar!$O$70+273)-273</f>
        <v>3.638556354565651</v>
      </c>
      <c r="AB236" s="319">
        <f>Iniciar!Q63*'Modelo Energético'!$O$250/Iniciar!$Q$70</f>
        <v>0</v>
      </c>
      <c r="AC236" s="319"/>
      <c r="AD236" s="319"/>
      <c r="AE236" s="319"/>
      <c r="AF236" s="319"/>
      <c r="AG236" s="319"/>
      <c r="AH236" s="319"/>
      <c r="AI236" s="319"/>
      <c r="AJ236" s="319"/>
      <c r="AK236" s="319"/>
      <c r="AL236" s="319"/>
      <c r="AM236" s="319"/>
      <c r="AN236" s="319"/>
      <c r="AO236" s="319">
        <v>2101002</v>
      </c>
      <c r="AP236" s="319"/>
      <c r="AQ236" s="319"/>
      <c r="AR236" s="319"/>
      <c r="AS236" s="319"/>
      <c r="AT236" s="319"/>
      <c r="AU236" s="319"/>
      <c r="AV236" s="319"/>
      <c r="AW236" s="319"/>
      <c r="AX236" s="319"/>
      <c r="AY236" s="319"/>
      <c r="AZ236" s="319"/>
      <c r="BA236" s="319"/>
      <c r="BB236" s="319"/>
      <c r="BC236" s="319"/>
      <c r="BD236" s="319"/>
      <c r="BE236" s="319"/>
      <c r="BF236" s="319"/>
      <c r="BG236" s="319"/>
      <c r="BH236" s="319"/>
      <c r="BI236" s="319"/>
      <c r="BJ236" s="319"/>
      <c r="BK236" s="319"/>
      <c r="BL236" s="319"/>
      <c r="BM236" s="319"/>
      <c r="BN236" s="319"/>
      <c r="BO236" s="319"/>
      <c r="BP236" s="319"/>
      <c r="BQ236" s="319"/>
      <c r="BR236" s="319"/>
      <c r="BS236" s="319"/>
      <c r="BT236" s="319"/>
      <c r="BU236" s="319"/>
      <c r="BV236" s="319"/>
      <c r="BW236" s="319"/>
      <c r="BX236" s="319"/>
      <c r="BY236" s="319"/>
      <c r="BZ236" s="319"/>
      <c r="CA236" s="319"/>
      <c r="CB236" s="319"/>
      <c r="CC236" s="319"/>
      <c r="CD236" s="319"/>
      <c r="CE236" s="319"/>
      <c r="CF236" s="319"/>
    </row>
    <row r="237" spans="1:84" ht="12.75" hidden="1" customHeight="1">
      <c r="A237" s="12"/>
      <c r="B237" s="79" t="str">
        <f t="shared" si="9"/>
        <v>Julho</v>
      </c>
      <c r="C237" s="1"/>
      <c r="D237" s="395"/>
      <c r="E237" s="140">
        <f>Iniciar!R64/$O$230</f>
        <v>2.4</v>
      </c>
      <c r="F237" s="395"/>
      <c r="G237" s="30">
        <f t="shared" si="10"/>
        <v>0</v>
      </c>
      <c r="H237" s="1"/>
      <c r="I237" s="1"/>
      <c r="J237" s="1"/>
      <c r="K237" s="9"/>
      <c r="L237" s="1"/>
      <c r="M237" s="319"/>
      <c r="N237" s="319"/>
      <c r="O237" s="476">
        <f>IF(Offgrid=5,'Modelo Energético '!P325,D237*$O$230)</f>
        <v>0</v>
      </c>
      <c r="P237" s="494">
        <v>31</v>
      </c>
      <c r="Q237" s="476" t="e">
        <f t="shared" si="8"/>
        <v>#DIV/0!</v>
      </c>
      <c r="R237" s="845">
        <f t="shared" si="11"/>
        <v>0</v>
      </c>
      <c r="S237" s="476">
        <f>MIN(W237,$S$230*P237*IF('Modelo Energético '!EE_13_M,'Modelo Energético '!E237,1))</f>
        <v>0</v>
      </c>
      <c r="T237" s="477">
        <f>MIN(W237-S237,$T$230*P237*IF('Modelo Energético '!EE_13_M,'Modelo Energético '!E237,1))</f>
        <v>0</v>
      </c>
      <c r="U237" s="319">
        <f>MIN(W237-S237-T237,$U$230*P237*IF('Modelo Energético '!EE_13_M,'Modelo Energético '!E237,1))</f>
        <v>0</v>
      </c>
      <c r="V237" s="476">
        <f>S237+T237*'Modelo Energético '!$P$260*'Modelo Energético '!$P$262+U237</f>
        <v>0</v>
      </c>
      <c r="W237" s="494">
        <f t="shared" si="12"/>
        <v>0</v>
      </c>
      <c r="X237" s="494">
        <f t="shared" si="13"/>
        <v>0</v>
      </c>
      <c r="Y237" s="494">
        <f t="shared" si="14"/>
        <v>0</v>
      </c>
      <c r="Z237" s="494"/>
      <c r="AA237" s="845">
        <f>(Iniciar!O64+273)*($O$249+273)/(Iniciar!$O$70+273)-273</f>
        <v>5.7185455000887373</v>
      </c>
      <c r="AB237" s="319">
        <f>Iniciar!Q64*'Modelo Energético'!$O$250/Iniciar!$Q$70</f>
        <v>0</v>
      </c>
      <c r="AC237" s="319"/>
      <c r="AD237" s="319"/>
      <c r="AE237" s="319"/>
      <c r="AF237" s="319"/>
      <c r="AG237" s="319"/>
      <c r="AH237" s="319"/>
      <c r="AI237" s="319"/>
      <c r="AJ237" s="319"/>
      <c r="AK237" s="319"/>
      <c r="AL237" s="319"/>
      <c r="AM237" s="319"/>
      <c r="AN237" s="319"/>
      <c r="AO237" s="319">
        <v>2101002</v>
      </c>
      <c r="AP237" s="319"/>
      <c r="AQ237" s="319"/>
      <c r="AR237" s="319"/>
      <c r="AS237" s="319"/>
      <c r="AT237" s="319"/>
      <c r="AU237" s="319"/>
      <c r="AV237" s="319"/>
      <c r="AW237" s="319"/>
      <c r="AX237" s="319"/>
      <c r="AY237" s="319"/>
      <c r="AZ237" s="319"/>
      <c r="BA237" s="319"/>
      <c r="BB237" s="319"/>
      <c r="BC237" s="319"/>
      <c r="BD237" s="319"/>
      <c r="BE237" s="319"/>
      <c r="BF237" s="319"/>
      <c r="BG237" s="319"/>
      <c r="BH237" s="319"/>
      <c r="BI237" s="319"/>
      <c r="BJ237" s="319"/>
      <c r="BK237" s="319"/>
      <c r="BL237" s="319"/>
      <c r="BM237" s="319"/>
      <c r="BN237" s="319"/>
      <c r="BO237" s="319"/>
      <c r="BP237" s="319"/>
      <c r="BQ237" s="319"/>
      <c r="BR237" s="319"/>
      <c r="BS237" s="319"/>
      <c r="BT237" s="319"/>
      <c r="BU237" s="319"/>
      <c r="BV237" s="319"/>
      <c r="BW237" s="319"/>
      <c r="BX237" s="319"/>
      <c r="BY237" s="319"/>
      <c r="BZ237" s="319"/>
      <c r="CA237" s="319"/>
      <c r="CB237" s="319"/>
      <c r="CC237" s="319"/>
      <c r="CD237" s="319"/>
      <c r="CE237" s="319"/>
      <c r="CF237" s="319"/>
    </row>
    <row r="238" spans="1:84" ht="12.75" hidden="1" customHeight="1">
      <c r="A238" s="12"/>
      <c r="B238" s="79" t="str">
        <f t="shared" si="9"/>
        <v>Agosto</v>
      </c>
      <c r="C238" s="1"/>
      <c r="D238" s="395"/>
      <c r="E238" s="140">
        <f>Iniciar!R65/$O$230</f>
        <v>2.4</v>
      </c>
      <c r="F238" s="395"/>
      <c r="G238" s="30">
        <f t="shared" si="10"/>
        <v>0</v>
      </c>
      <c r="H238" s="1"/>
      <c r="I238" s="1"/>
      <c r="J238" s="1"/>
      <c r="K238" s="9"/>
      <c r="L238" s="1"/>
      <c r="M238" s="319"/>
      <c r="N238" s="319"/>
      <c r="O238" s="476">
        <f>IF(Offgrid=5,'Modelo Energético '!P326,D238*$O$230)</f>
        <v>0</v>
      </c>
      <c r="P238" s="494">
        <v>31</v>
      </c>
      <c r="Q238" s="476" t="e">
        <f t="shared" si="8"/>
        <v>#DIV/0!</v>
      </c>
      <c r="R238" s="845">
        <f t="shared" si="11"/>
        <v>0</v>
      </c>
      <c r="S238" s="476">
        <f>MIN(W238,$S$230*P238*IF('Modelo Energético '!EE_13_M,'Modelo Energético '!E238,1))</f>
        <v>0</v>
      </c>
      <c r="T238" s="477">
        <f>MIN(W238-S238,$T$230*P238*IF('Modelo Energético '!EE_13_M,'Modelo Energético '!E238,1))</f>
        <v>0</v>
      </c>
      <c r="U238" s="319">
        <f>MIN(W238-S238-T238,$U$230*P238*IF('Modelo Energético '!EE_13_M,'Modelo Energético '!E238,1))</f>
        <v>0</v>
      </c>
      <c r="V238" s="476">
        <f>S238+T238*'Modelo Energético '!$P$260*'Modelo Energético '!$P$262+U238</f>
        <v>0</v>
      </c>
      <c r="W238" s="494">
        <f t="shared" si="12"/>
        <v>0</v>
      </c>
      <c r="X238" s="494">
        <f t="shared" si="13"/>
        <v>0</v>
      </c>
      <c r="Y238" s="494">
        <f t="shared" si="14"/>
        <v>0</v>
      </c>
      <c r="Z238" s="494"/>
      <c r="AA238" s="845">
        <f>(Iniciar!O65+273)*($O$249+273)/(Iniciar!$O$70+273)-273</f>
        <v>5.7185455000887373</v>
      </c>
      <c r="AB238" s="319">
        <f>Iniciar!Q65*'Modelo Energético'!$O$250/Iniciar!$Q$70</f>
        <v>0</v>
      </c>
      <c r="AC238" s="319"/>
      <c r="AD238" s="319"/>
      <c r="AE238" s="319"/>
      <c r="AF238" s="319"/>
      <c r="AG238" s="319"/>
      <c r="AH238" s="319"/>
      <c r="AI238" s="319"/>
      <c r="AJ238" s="319"/>
      <c r="AK238" s="319"/>
      <c r="AL238" s="319"/>
      <c r="AM238" s="319"/>
      <c r="AN238" s="319"/>
      <c r="AO238" s="319">
        <v>2101002</v>
      </c>
      <c r="AP238" s="319"/>
      <c r="AQ238" s="319"/>
      <c r="AR238" s="319"/>
      <c r="AS238" s="319"/>
      <c r="AT238" s="319"/>
      <c r="AU238" s="319"/>
      <c r="AV238" s="319"/>
      <c r="AW238" s="319"/>
      <c r="AX238" s="319"/>
      <c r="AY238" s="319"/>
      <c r="AZ238" s="319"/>
      <c r="BA238" s="319"/>
      <c r="BB238" s="319"/>
      <c r="BC238" s="319"/>
      <c r="BD238" s="319"/>
      <c r="BE238" s="319"/>
      <c r="BF238" s="319"/>
      <c r="BG238" s="319"/>
      <c r="BH238" s="319"/>
      <c r="BI238" s="319"/>
      <c r="BJ238" s="319"/>
      <c r="BK238" s="319"/>
      <c r="BL238" s="319"/>
      <c r="BM238" s="319"/>
      <c r="BN238" s="319"/>
      <c r="BO238" s="319"/>
      <c r="BP238" s="319"/>
      <c r="BQ238" s="319"/>
      <c r="BR238" s="319"/>
      <c r="BS238" s="319"/>
      <c r="BT238" s="319"/>
      <c r="BU238" s="319"/>
      <c r="BV238" s="319"/>
      <c r="BW238" s="319"/>
      <c r="BX238" s="319"/>
      <c r="BY238" s="319"/>
      <c r="BZ238" s="319"/>
      <c r="CA238" s="319"/>
      <c r="CB238" s="319"/>
      <c r="CC238" s="319"/>
      <c r="CD238" s="319"/>
      <c r="CE238" s="319"/>
      <c r="CF238" s="319"/>
    </row>
    <row r="239" spans="1:84" ht="12.75" hidden="1" customHeight="1">
      <c r="A239" s="12"/>
      <c r="B239" s="79" t="str">
        <f t="shared" si="9"/>
        <v>Setembro</v>
      </c>
      <c r="C239" s="1"/>
      <c r="D239" s="395"/>
      <c r="E239" s="140">
        <f>Iniciar!R66/$O$230</f>
        <v>2.2000000000000002</v>
      </c>
      <c r="F239" s="395"/>
      <c r="G239" s="30">
        <f t="shared" si="10"/>
        <v>0</v>
      </c>
      <c r="H239" s="1"/>
      <c r="I239" s="1"/>
      <c r="J239" s="1"/>
      <c r="K239" s="9"/>
      <c r="L239" s="1"/>
      <c r="M239" s="319"/>
      <c r="N239" s="319"/>
      <c r="O239" s="476">
        <f>IF(Offgrid=5,'Modelo Energético '!P327,D239*$O$230)</f>
        <v>0</v>
      </c>
      <c r="P239" s="494">
        <v>30</v>
      </c>
      <c r="Q239" s="476" t="e">
        <f t="shared" si="8"/>
        <v>#DIV/0!</v>
      </c>
      <c r="R239" s="845">
        <f t="shared" si="11"/>
        <v>0</v>
      </c>
      <c r="S239" s="476">
        <f>MIN(W239,$S$230*P239*IF('Modelo Energético '!EE_13_M,'Modelo Energético '!E239,1))</f>
        <v>0</v>
      </c>
      <c r="T239" s="477">
        <f>MIN(W239-S239,$T$230*P239*IF('Modelo Energético '!EE_13_M,'Modelo Energético '!E239,1))</f>
        <v>0</v>
      </c>
      <c r="U239" s="319">
        <f>MIN(W239-S239-T239,$U$230*P239*IF('Modelo Energético '!EE_13_M,'Modelo Energético '!E239,1))</f>
        <v>0</v>
      </c>
      <c r="V239" s="476">
        <f>S239+T239*'Modelo Energético '!$P$260*'Modelo Energético '!$P$262+U239</f>
        <v>0</v>
      </c>
      <c r="W239" s="494">
        <f t="shared" si="12"/>
        <v>0</v>
      </c>
      <c r="X239" s="494">
        <f t="shared" si="13"/>
        <v>0</v>
      </c>
      <c r="Y239" s="494">
        <f t="shared" si="14"/>
        <v>0</v>
      </c>
      <c r="Z239" s="494"/>
      <c r="AA239" s="845">
        <f>(Iniciar!O66+273)*($O$249+273)/(Iniciar!$O$70+273)-273</f>
        <v>4.7730958884873189</v>
      </c>
      <c r="AB239" s="319">
        <f>Iniciar!Q66*'Modelo Energético'!$O$250/Iniciar!$Q$70</f>
        <v>0</v>
      </c>
      <c r="AC239" s="319"/>
      <c r="AD239" s="319"/>
      <c r="AE239" s="319"/>
      <c r="AF239" s="319"/>
      <c r="AG239" s="319"/>
      <c r="AH239" s="319"/>
      <c r="AI239" s="319"/>
      <c r="AJ239" s="319"/>
      <c r="AK239" s="319"/>
      <c r="AL239" s="319"/>
      <c r="AM239" s="319"/>
      <c r="AN239" s="319"/>
      <c r="AO239" s="319">
        <v>2101002</v>
      </c>
      <c r="AP239" s="319"/>
      <c r="AQ239" s="319"/>
      <c r="AR239" s="319"/>
      <c r="AS239" s="319"/>
      <c r="AT239" s="319"/>
      <c r="AU239" s="319"/>
      <c r="AV239" s="319"/>
      <c r="AW239" s="319"/>
      <c r="AX239" s="319"/>
      <c r="AY239" s="319"/>
      <c r="AZ239" s="319"/>
      <c r="BA239" s="319"/>
      <c r="BB239" s="319"/>
      <c r="BC239" s="319"/>
      <c r="BD239" s="319"/>
      <c r="BE239" s="319"/>
      <c r="BF239" s="319"/>
      <c r="BG239" s="319"/>
      <c r="BH239" s="319"/>
      <c r="BI239" s="319"/>
      <c r="BJ239" s="319"/>
      <c r="BK239" s="319"/>
      <c r="BL239" s="319"/>
      <c r="BM239" s="319"/>
      <c r="BN239" s="319"/>
      <c r="BO239" s="319"/>
      <c r="BP239" s="319"/>
      <c r="BQ239" s="319"/>
      <c r="BR239" s="319"/>
      <c r="BS239" s="319"/>
      <c r="BT239" s="319"/>
      <c r="BU239" s="319"/>
      <c r="BV239" s="319"/>
      <c r="BW239" s="319"/>
      <c r="BX239" s="319"/>
      <c r="BY239" s="319"/>
      <c r="BZ239" s="319"/>
      <c r="CA239" s="319"/>
      <c r="CB239" s="319"/>
      <c r="CC239" s="319"/>
      <c r="CD239" s="319"/>
      <c r="CE239" s="319"/>
      <c r="CF239" s="319"/>
    </row>
    <row r="240" spans="1:84" ht="13.2" hidden="1">
      <c r="A240" s="12"/>
      <c r="B240" s="79" t="str">
        <f t="shared" si="9"/>
        <v>Outubro</v>
      </c>
      <c r="C240" s="1"/>
      <c r="D240" s="395"/>
      <c r="E240" s="140">
        <f>Iniciar!R67/$O$230</f>
        <v>2.4</v>
      </c>
      <c r="F240" s="395"/>
      <c r="G240" s="30">
        <f t="shared" si="10"/>
        <v>0</v>
      </c>
      <c r="H240" s="1"/>
      <c r="I240" s="1"/>
      <c r="J240" s="1"/>
      <c r="K240" s="9"/>
      <c r="L240" s="1"/>
      <c r="M240" s="319"/>
      <c r="N240" s="319"/>
      <c r="O240" s="476">
        <f>IF(Offgrid=5,'Modelo Energético '!P328,D240*$O$230)</f>
        <v>0</v>
      </c>
      <c r="P240" s="494">
        <v>31</v>
      </c>
      <c r="Q240" s="476" t="e">
        <f t="shared" si="8"/>
        <v>#DIV/0!</v>
      </c>
      <c r="R240" s="845">
        <f t="shared" si="11"/>
        <v>0</v>
      </c>
      <c r="S240" s="476">
        <f>MIN(W240,$S$230*P240*IF('Modelo Energético '!EE_13_M,'Modelo Energético '!E240,1))</f>
        <v>0</v>
      </c>
      <c r="T240" s="477">
        <f>MIN(W240-S240,$T$230*P240*IF('Modelo Energético '!EE_13_M,'Modelo Energético '!E240,1))</f>
        <v>0</v>
      </c>
      <c r="U240" s="319">
        <f>MIN(W240-S240-T240,$U$230*P240*IF('Modelo Energético '!EE_13_M,'Modelo Energético '!E240,1))</f>
        <v>0</v>
      </c>
      <c r="V240" s="476">
        <f>S240+T240*'Modelo Energético '!$P$260*'Modelo Energético '!$P$262+U240</f>
        <v>0</v>
      </c>
      <c r="W240" s="494">
        <f t="shared" si="12"/>
        <v>0</v>
      </c>
      <c r="X240" s="494">
        <f t="shared" si="13"/>
        <v>0</v>
      </c>
      <c r="Y240" s="494">
        <f t="shared" si="14"/>
        <v>0</v>
      </c>
      <c r="Z240" s="494"/>
      <c r="AA240" s="845">
        <f>(Iniciar!O67+273)*($O$249+273)/(Iniciar!$O$70+273)-273</f>
        <v>1.5585672090425646</v>
      </c>
      <c r="AB240" s="319">
        <f>Iniciar!Q67*'Modelo Energético'!$O$250/Iniciar!$Q$70</f>
        <v>0</v>
      </c>
      <c r="AC240" s="319"/>
      <c r="AD240" s="319"/>
      <c r="AE240" s="319"/>
      <c r="AF240" s="319"/>
      <c r="AG240" s="319"/>
      <c r="AH240" s="319"/>
      <c r="AI240" s="319"/>
      <c r="AJ240" s="319"/>
      <c r="AK240" s="319"/>
      <c r="AL240" s="319"/>
      <c r="AM240" s="319"/>
      <c r="AN240" s="319"/>
      <c r="AO240" s="319">
        <v>2101002</v>
      </c>
      <c r="AP240" s="319"/>
      <c r="AQ240" s="319"/>
      <c r="AR240" s="319"/>
      <c r="AS240" s="319"/>
      <c r="AT240" s="319"/>
      <c r="AU240" s="319"/>
      <c r="AV240" s="319"/>
      <c r="AW240" s="319"/>
      <c r="AX240" s="319"/>
      <c r="AY240" s="319"/>
      <c r="AZ240" s="319"/>
      <c r="BA240" s="319"/>
      <c r="BB240" s="319"/>
      <c r="BC240" s="319"/>
      <c r="BD240" s="319"/>
      <c r="BE240" s="319"/>
      <c r="BF240" s="319"/>
      <c r="BG240" s="319"/>
      <c r="BH240" s="319"/>
      <c r="BI240" s="319"/>
      <c r="BJ240" s="319"/>
      <c r="BK240" s="319"/>
      <c r="BL240" s="319"/>
      <c r="BM240" s="319"/>
      <c r="BN240" s="319"/>
      <c r="BO240" s="319"/>
      <c r="BP240" s="319"/>
      <c r="BQ240" s="319"/>
      <c r="BR240" s="319"/>
      <c r="BS240" s="319"/>
      <c r="BT240" s="319"/>
      <c r="BU240" s="319"/>
      <c r="BV240" s="319"/>
      <c r="BW240" s="319"/>
      <c r="BX240" s="319"/>
      <c r="BY240" s="319"/>
      <c r="BZ240" s="319"/>
      <c r="CA240" s="319"/>
      <c r="CB240" s="319"/>
      <c r="CC240" s="319"/>
      <c r="CD240" s="319"/>
      <c r="CE240" s="319"/>
      <c r="CF240" s="319"/>
    </row>
    <row r="241" spans="1:84" ht="12.75" hidden="1" customHeight="1">
      <c r="A241" s="12"/>
      <c r="B241" s="79" t="str">
        <f t="shared" si="9"/>
        <v>Novembro</v>
      </c>
      <c r="C241" s="1"/>
      <c r="D241" s="395"/>
      <c r="E241" s="140">
        <f>Iniciar!R68/$O$230</f>
        <v>2.6</v>
      </c>
      <c r="F241" s="395"/>
      <c r="G241" s="30">
        <f t="shared" si="10"/>
        <v>0</v>
      </c>
      <c r="H241" s="1"/>
      <c r="I241" s="1"/>
      <c r="J241" s="1"/>
      <c r="K241" s="9"/>
      <c r="L241" s="1"/>
      <c r="M241" s="319"/>
      <c r="N241" s="319"/>
      <c r="O241" s="476">
        <f>IF(Offgrid=5,'Modelo Energético '!P329,D241*$O$230)</f>
        <v>0</v>
      </c>
      <c r="P241" s="494">
        <v>30</v>
      </c>
      <c r="Q241" s="476" t="e">
        <f t="shared" si="8"/>
        <v>#DIV/0!</v>
      </c>
      <c r="R241" s="845">
        <f t="shared" si="11"/>
        <v>0</v>
      </c>
      <c r="S241" s="476">
        <f>MIN(W241,$S$230*P241*IF('Modelo Energético '!EE_13_M,'Modelo Energético '!E241,1))</f>
        <v>0</v>
      </c>
      <c r="T241" s="477">
        <f>MIN(W241-S241,$T$230*P241*IF('Modelo Energético '!EE_13_M,'Modelo Energético '!E241,1))</f>
        <v>0</v>
      </c>
      <c r="U241" s="319">
        <f>MIN(W241-S241-T241,$U$230*P241*IF('Modelo Energético '!EE_13_M,'Modelo Energético '!E241,1))</f>
        <v>0</v>
      </c>
      <c r="V241" s="476">
        <f>S241+T241*'Modelo Energético '!$P$260*'Modelo Energético '!$P$262+U241</f>
        <v>0</v>
      </c>
      <c r="W241" s="494">
        <f t="shared" si="12"/>
        <v>0</v>
      </c>
      <c r="X241" s="494">
        <f t="shared" si="13"/>
        <v>0</v>
      </c>
      <c r="Y241" s="494">
        <f t="shared" si="14"/>
        <v>0</v>
      </c>
      <c r="Z241" s="494"/>
      <c r="AA241" s="845">
        <f>(Iniciar!O68+273)*($O$249+273)/(Iniciar!$O$70+273)-273</f>
        <v>-2.6014110820034944</v>
      </c>
      <c r="AB241" s="319">
        <f>Iniciar!Q68*'Modelo Energético'!$O$250/Iniciar!$Q$70</f>
        <v>0</v>
      </c>
      <c r="AC241" s="319"/>
      <c r="AD241" s="319"/>
      <c r="AE241" s="319"/>
      <c r="AF241" s="319"/>
      <c r="AG241" s="319"/>
      <c r="AH241" s="319"/>
      <c r="AI241" s="319"/>
      <c r="AJ241" s="319"/>
      <c r="AK241" s="319"/>
      <c r="AL241" s="319"/>
      <c r="AM241" s="319"/>
      <c r="AN241" s="319"/>
      <c r="AO241" s="319">
        <v>2101002</v>
      </c>
      <c r="AP241" s="319"/>
      <c r="AQ241" s="319"/>
      <c r="AR241" s="319"/>
      <c r="AS241" s="319"/>
      <c r="AT241" s="319"/>
      <c r="AU241" s="319"/>
      <c r="AV241" s="319"/>
      <c r="AW241" s="319"/>
      <c r="AX241" s="319"/>
      <c r="AY241" s="319"/>
      <c r="AZ241" s="319"/>
      <c r="BA241" s="319"/>
      <c r="BB241" s="319"/>
      <c r="BC241" s="319"/>
      <c r="BD241" s="319"/>
      <c r="BE241" s="319"/>
      <c r="BF241" s="319"/>
      <c r="BG241" s="319"/>
      <c r="BH241" s="319"/>
      <c r="BI241" s="319"/>
      <c r="BJ241" s="319"/>
      <c r="BK241" s="319"/>
      <c r="BL241" s="319"/>
      <c r="BM241" s="319"/>
      <c r="BN241" s="319"/>
      <c r="BO241" s="319"/>
      <c r="BP241" s="319"/>
      <c r="BQ241" s="319"/>
      <c r="BR241" s="319"/>
      <c r="BS241" s="319"/>
      <c r="BT241" s="319"/>
      <c r="BU241" s="319"/>
      <c r="BV241" s="319"/>
      <c r="BW241" s="319"/>
      <c r="BX241" s="319"/>
      <c r="BY241" s="319"/>
      <c r="BZ241" s="319"/>
      <c r="CA241" s="319"/>
      <c r="CB241" s="319"/>
      <c r="CC241" s="319"/>
      <c r="CD241" s="319"/>
      <c r="CE241" s="319"/>
      <c r="CF241" s="319"/>
    </row>
    <row r="242" spans="1:84" ht="12.75" hidden="1" customHeight="1">
      <c r="A242" s="12"/>
      <c r="B242" s="79" t="str">
        <f t="shared" si="9"/>
        <v>Dezembro</v>
      </c>
      <c r="C242" s="1"/>
      <c r="D242" s="395"/>
      <c r="E242" s="140">
        <f>Iniciar!R69/$O$230</f>
        <v>3</v>
      </c>
      <c r="F242" s="395"/>
      <c r="G242" s="30">
        <f t="shared" si="10"/>
        <v>0</v>
      </c>
      <c r="H242" s="1"/>
      <c r="I242" s="1"/>
      <c r="J242" s="1"/>
      <c r="K242" s="9"/>
      <c r="L242" s="1"/>
      <c r="M242" s="319"/>
      <c r="N242" s="319"/>
      <c r="O242" s="476">
        <f>IF(Offgrid=5,'Modelo Energético '!P330,D242*$O$230)</f>
        <v>0</v>
      </c>
      <c r="P242" s="494">
        <v>31</v>
      </c>
      <c r="Q242" s="476" t="e">
        <f t="shared" si="8"/>
        <v>#DIV/0!</v>
      </c>
      <c r="R242" s="845">
        <f t="shared" si="11"/>
        <v>0</v>
      </c>
      <c r="S242" s="476">
        <f>MIN(W242,$S$230*P242*IF('Modelo Energético '!EE_13_M,'Modelo Energético '!E242,1))</f>
        <v>0</v>
      </c>
      <c r="T242" s="477">
        <f>MIN(W242-S242,$T$230*P242*IF('Modelo Energético '!EE_13_M,'Modelo Energético '!E242,1))</f>
        <v>0</v>
      </c>
      <c r="U242" s="319">
        <f>MIN(W242-S242-T242,$U$230*P242*IF('Modelo Energético '!EE_13_M,'Modelo Energético '!E242,1))</f>
        <v>0</v>
      </c>
      <c r="V242" s="476">
        <f>S242+T242*'Modelo Energético '!$P$260*'Modelo Energético '!$P$262+U242</f>
        <v>0</v>
      </c>
      <c r="W242" s="494">
        <f t="shared" si="12"/>
        <v>0</v>
      </c>
      <c r="X242" s="494">
        <f t="shared" si="13"/>
        <v>0</v>
      </c>
      <c r="Y242" s="494">
        <f t="shared" si="14"/>
        <v>0</v>
      </c>
      <c r="Z242" s="494"/>
      <c r="AA242" s="845">
        <f>(Iniciar!O69+273)*($O$249+273)/(Iniciar!$O$70+273)-273</f>
        <v>-5.0595800721671367</v>
      </c>
      <c r="AB242" s="319">
        <f>Iniciar!Q69*'Modelo Energético'!$O$250/Iniciar!$Q$70</f>
        <v>0</v>
      </c>
      <c r="AC242" s="319"/>
      <c r="AD242" s="319"/>
      <c r="AE242" s="319"/>
      <c r="AF242" s="319"/>
      <c r="AG242" s="319"/>
      <c r="AH242" s="319"/>
      <c r="AI242" s="319"/>
      <c r="AJ242" s="319"/>
      <c r="AK242" s="319"/>
      <c r="AL242" s="319"/>
      <c r="AM242" s="319"/>
      <c r="AN242" s="319"/>
      <c r="AO242" s="319">
        <v>2101002</v>
      </c>
      <c r="AP242" s="319"/>
      <c r="AQ242" s="319"/>
      <c r="AR242" s="319"/>
      <c r="AS242" s="319"/>
      <c r="AT242" s="319"/>
      <c r="AU242" s="319"/>
      <c r="AV242" s="319"/>
      <c r="AW242" s="319"/>
      <c r="AX242" s="319"/>
      <c r="AY242" s="319"/>
      <c r="AZ242" s="319"/>
      <c r="BA242" s="319"/>
      <c r="BB242" s="319"/>
      <c r="BC242" s="319"/>
      <c r="BD242" s="319"/>
      <c r="BE242" s="319"/>
      <c r="BF242" s="319"/>
      <c r="BG242" s="319"/>
      <c r="BH242" s="319"/>
      <c r="BI242" s="319"/>
      <c r="BJ242" s="319"/>
      <c r="BK242" s="319"/>
      <c r="BL242" s="319"/>
      <c r="BM242" s="319"/>
      <c r="BN242" s="319"/>
      <c r="BO242" s="319"/>
      <c r="BP242" s="319"/>
      <c r="BQ242" s="319"/>
      <c r="BR242" s="319"/>
      <c r="BS242" s="319"/>
      <c r="BT242" s="319"/>
      <c r="BU242" s="319"/>
      <c r="BV242" s="319"/>
      <c r="BW242" s="319"/>
      <c r="BX242" s="319"/>
      <c r="BY242" s="319"/>
      <c r="BZ242" s="319"/>
      <c r="CA242" s="319"/>
      <c r="CB242" s="319"/>
      <c r="CC242" s="319"/>
      <c r="CD242" s="319"/>
      <c r="CE242" s="319"/>
      <c r="CF242" s="319"/>
    </row>
    <row r="243" spans="1:84" ht="12.75" hidden="1" customHeight="1">
      <c r="A243" s="12"/>
      <c r="B243" s="105" t="str">
        <f>Language!C1152</f>
        <v>Anual</v>
      </c>
      <c r="C243" s="329"/>
      <c r="D243" s="807">
        <f>SUMPRODUCT(D231:D242,P231:P242)/365</f>
        <v>0</v>
      </c>
      <c r="E243" s="807">
        <f>SUMPRODUCT(E231:E242,P231:P242)/365</f>
        <v>2.622739726027397</v>
      </c>
      <c r="F243" s="807">
        <f>W243</f>
        <v>0</v>
      </c>
      <c r="G243" s="54">
        <f>SUM(X231:X242)</f>
        <v>0</v>
      </c>
      <c r="H243" s="1"/>
      <c r="I243" s="1"/>
      <c r="J243" s="1"/>
      <c r="K243" s="9"/>
      <c r="L243" s="1"/>
      <c r="M243" s="319"/>
      <c r="N243" s="319"/>
      <c r="O243" s="319"/>
      <c r="P243" s="319"/>
      <c r="Q243" s="319"/>
      <c r="R243" s="494">
        <f>SUM(R231:R242)</f>
        <v>0</v>
      </c>
      <c r="S243" s="319" t="s">
        <v>2745</v>
      </c>
      <c r="T243" s="494" t="e">
        <f>IF(Offgrid=5,0,SUMPRODUCT(F231:F242,R231:R242)/R243)</f>
        <v>#DIV/0!</v>
      </c>
      <c r="U243" s="319" t="s">
        <v>5915</v>
      </c>
      <c r="V243" s="476">
        <f>SUM(V231:V242)</f>
        <v>0</v>
      </c>
      <c r="W243" s="319">
        <f>IF(G243=0,0,SUMPRODUCT(F231:F242,G231:G242)/SUM(G231:G242))</f>
        <v>0</v>
      </c>
      <c r="X243" s="319"/>
      <c r="Y243" s="494">
        <f>SUM(Y231:Y242)</f>
        <v>0</v>
      </c>
      <c r="Z243" s="319"/>
      <c r="AA243" s="319"/>
      <c r="AB243" s="319"/>
      <c r="AC243" s="319"/>
      <c r="AD243" s="319"/>
      <c r="AE243" s="319"/>
      <c r="AF243" s="319"/>
      <c r="AG243" s="319"/>
      <c r="AH243" s="319"/>
      <c r="AI243" s="319"/>
      <c r="AJ243" s="319"/>
      <c r="AK243" s="319"/>
      <c r="AL243" s="319"/>
      <c r="AM243" s="319"/>
      <c r="AN243" s="319"/>
      <c r="AO243" s="319">
        <v>2101002</v>
      </c>
      <c r="AP243" s="319"/>
      <c r="AQ243" s="319"/>
      <c r="AR243" s="319"/>
      <c r="AS243" s="319"/>
      <c r="AT243" s="319"/>
      <c r="AU243" s="319"/>
      <c r="AV243" s="319"/>
      <c r="AW243" s="319"/>
      <c r="AX243" s="319"/>
      <c r="AY243" s="319"/>
      <c r="AZ243" s="319"/>
      <c r="BA243" s="319"/>
      <c r="BB243" s="319"/>
      <c r="BC243" s="319"/>
      <c r="BD243" s="319"/>
      <c r="BE243" s="319"/>
      <c r="BF243" s="319"/>
      <c r="BG243" s="319"/>
      <c r="BH243" s="319"/>
      <c r="BI243" s="319"/>
      <c r="BJ243" s="319"/>
      <c r="BK243" s="319"/>
      <c r="BL243" s="319"/>
      <c r="BM243" s="319"/>
      <c r="BN243" s="319"/>
      <c r="BO243" s="319"/>
      <c r="BP243" s="319"/>
      <c r="BQ243" s="319"/>
      <c r="BR243" s="319"/>
      <c r="BS243" s="319"/>
      <c r="BT243" s="319"/>
      <c r="BU243" s="319"/>
      <c r="BV243" s="319"/>
      <c r="BW243" s="319"/>
      <c r="BX243" s="319"/>
      <c r="BY243" s="319"/>
      <c r="BZ243" s="319"/>
      <c r="CA243" s="319"/>
      <c r="CB243" s="319"/>
      <c r="CC243" s="319"/>
      <c r="CD243" s="319"/>
      <c r="CE243" s="319"/>
      <c r="CF243" s="319"/>
    </row>
    <row r="244" spans="1:84" ht="12.75" hidden="1" customHeight="1">
      <c r="A244" s="12"/>
      <c r="B244" s="799"/>
      <c r="C244" s="721"/>
      <c r="D244" s="800"/>
      <c r="E244" s="800"/>
      <c r="F244" s="800"/>
      <c r="G244" s="801"/>
      <c r="H244" s="1"/>
      <c r="I244" s="1"/>
      <c r="J244" s="1"/>
      <c r="K244" s="9"/>
      <c r="L244" s="1"/>
      <c r="M244" s="319"/>
      <c r="N244" s="319"/>
      <c r="O244" s="319"/>
      <c r="P244" s="319"/>
      <c r="Q244" s="319"/>
      <c r="R244" s="494"/>
      <c r="S244" s="319"/>
      <c r="T244" s="494"/>
      <c r="U244" s="319"/>
      <c r="V244" s="476"/>
      <c r="W244" s="319"/>
      <c r="X244" s="319" t="s">
        <v>4439</v>
      </c>
      <c r="Y244" s="494">
        <f>IF(Gridtype=5,0,1)</f>
        <v>1</v>
      </c>
      <c r="Z244" s="319"/>
      <c r="AA244" s="319"/>
      <c r="AB244" s="319"/>
      <c r="AC244" s="319"/>
      <c r="AD244" s="319"/>
      <c r="AE244" s="319"/>
      <c r="AF244" s="319"/>
      <c r="AG244" s="319"/>
      <c r="AH244" s="319"/>
      <c r="AI244" s="319"/>
      <c r="AJ244" s="319"/>
      <c r="AK244" s="319"/>
      <c r="AL244" s="319"/>
      <c r="AM244" s="319"/>
      <c r="AN244" s="319"/>
      <c r="AO244" s="319">
        <v>2101002</v>
      </c>
      <c r="AP244" s="319"/>
      <c r="AQ244" s="319"/>
      <c r="AR244" s="319"/>
      <c r="AS244" s="319"/>
      <c r="AT244" s="319"/>
      <c r="AU244" s="319"/>
      <c r="AV244" s="319"/>
      <c r="AW244" s="319"/>
      <c r="AX244" s="319"/>
      <c r="AY244" s="319"/>
      <c r="AZ244" s="319"/>
      <c r="BA244" s="319"/>
      <c r="BB244" s="319"/>
      <c r="BC244" s="319"/>
      <c r="BD244" s="319"/>
      <c r="BE244" s="319"/>
      <c r="BF244" s="319"/>
      <c r="BG244" s="319"/>
      <c r="BH244" s="319"/>
      <c r="BI244" s="319"/>
      <c r="BJ244" s="319"/>
      <c r="BK244" s="319"/>
      <c r="BL244" s="319"/>
      <c r="BM244" s="319"/>
      <c r="BN244" s="319"/>
      <c r="BO244" s="319"/>
      <c r="BP244" s="319"/>
      <c r="BQ244" s="319"/>
      <c r="BR244" s="319"/>
      <c r="BS244" s="319"/>
      <c r="BT244" s="319"/>
      <c r="BU244" s="319"/>
      <c r="BV244" s="319"/>
      <c r="BW244" s="319"/>
      <c r="BX244" s="319"/>
      <c r="BY244" s="319"/>
      <c r="BZ244" s="319"/>
      <c r="CA244" s="319"/>
      <c r="CB244" s="319"/>
      <c r="CC244" s="319"/>
      <c r="CD244" s="319"/>
      <c r="CE244" s="319"/>
      <c r="CF244" s="319"/>
    </row>
    <row r="245" spans="1:84" ht="12.75" hidden="1" customHeight="1">
      <c r="A245" s="12"/>
      <c r="B245" s="329" t="str">
        <f>Language!C2087</f>
        <v>Velocidade do vento - anual</v>
      </c>
      <c r="C245" s="303" t="s">
        <v>743</v>
      </c>
      <c r="D245" s="382"/>
      <c r="E245" s="236">
        <f>Iniciar!R70/O229</f>
        <v>2.622739726027397</v>
      </c>
      <c r="F245" s="1"/>
      <c r="G245" s="1"/>
      <c r="H245" s="1"/>
      <c r="I245" s="1"/>
      <c r="J245" s="1"/>
      <c r="K245" s="788" t="str">
        <f>IF(P229&lt;3,Language!C394,"")</f>
        <v>Verificar o valor</v>
      </c>
      <c r="L245" s="1"/>
      <c r="M245" s="319"/>
      <c r="N245" s="319"/>
      <c r="O245" s="319" t="s">
        <v>2342</v>
      </c>
      <c r="P245" s="476" t="e">
        <f>IF(HideES_Wind_data=1,P229,HLOOKUP(D246,$Q$262:$AC$263,2)+(D246-HLOOKUP(D246,$Q$262:$AC$262,1))/(HLOOKUP(HLOOKUP(D246,$Q$262:$AC$263,2)+1,$Q$261:$AC$262,2)-HLOOKUP(D246,$Q$262:$AC$262,1)))*($O$258/$O$247)^$O$248</f>
        <v>#DIV/0!</v>
      </c>
      <c r="Q245" s="319"/>
      <c r="R245" s="494">
        <f>IF(ISERROR(P245),0,((HLOOKUP(P245+1,$Q$263:$AC$265,3)-HLOOKUP(P245,$Q$263:$AC$265,3))*(P245-TRUNC(P245))+HLOOKUP(P245,$Q$263:$AC$265,3)))</f>
        <v>0</v>
      </c>
      <c r="S245" s="319" t="s">
        <v>2745</v>
      </c>
      <c r="T245" s="319"/>
      <c r="U245" s="319"/>
      <c r="V245" s="319"/>
      <c r="W245" s="319"/>
      <c r="X245" s="319"/>
      <c r="Y245" s="319"/>
      <c r="Z245" s="319"/>
      <c r="AA245" s="319"/>
      <c r="AB245" s="319"/>
      <c r="AC245" s="319"/>
      <c r="AD245" s="319"/>
      <c r="AE245" s="319"/>
      <c r="AF245" s="319"/>
      <c r="AG245" s="319"/>
      <c r="AH245" s="319"/>
      <c r="AI245" s="319"/>
      <c r="AJ245" s="319"/>
      <c r="AK245" s="319"/>
      <c r="AL245" s="319"/>
      <c r="AM245" s="319"/>
      <c r="AN245" s="319"/>
      <c r="AO245" s="319">
        <v>2101006</v>
      </c>
      <c r="AP245" s="319"/>
      <c r="AQ245" s="319"/>
      <c r="AR245" s="319"/>
      <c r="AS245" s="319"/>
      <c r="AT245" s="319"/>
      <c r="AU245" s="319"/>
      <c r="AV245" s="319"/>
      <c r="AW245" s="319"/>
      <c r="AX245" s="319"/>
      <c r="AY245" s="319"/>
      <c r="AZ245" s="319"/>
      <c r="BA245" s="319"/>
      <c r="BB245" s="319"/>
      <c r="BC245" s="319"/>
      <c r="BD245" s="319"/>
      <c r="BE245" s="319"/>
      <c r="BF245" s="319"/>
      <c r="BG245" s="319"/>
      <c r="BH245" s="319"/>
      <c r="BI245" s="319"/>
      <c r="BJ245" s="319"/>
      <c r="BK245" s="319"/>
      <c r="BL245" s="319"/>
      <c r="BM245" s="319"/>
      <c r="BN245" s="319"/>
      <c r="BO245" s="319"/>
      <c r="BP245" s="319"/>
      <c r="BQ245" s="319"/>
      <c r="BR245" s="319"/>
      <c r="BS245" s="319"/>
      <c r="BT245" s="319"/>
      <c r="BU245" s="319"/>
      <c r="BV245" s="319"/>
      <c r="BW245" s="319"/>
      <c r="BX245" s="319"/>
      <c r="BY245" s="319"/>
      <c r="BZ245" s="319"/>
      <c r="CA245" s="319"/>
      <c r="CB245" s="319"/>
      <c r="CC245" s="319"/>
      <c r="CD245" s="319"/>
      <c r="CE245" s="319"/>
      <c r="CF245" s="319"/>
    </row>
    <row r="246" spans="1:84" ht="12.75" hidden="1" customHeight="1">
      <c r="A246" s="12"/>
      <c r="B246" s="329" t="str">
        <f>Language!C2084</f>
        <v>Densidade de potência do vento - anual</v>
      </c>
      <c r="C246" s="29" t="str">
        <f>Language!C1416</f>
        <v>W/m²</v>
      </c>
      <c r="D246" s="395"/>
      <c r="E246" s="1"/>
      <c r="F246" s="1"/>
      <c r="G246" s="1"/>
      <c r="H246" s="1"/>
      <c r="I246" s="1"/>
      <c r="J246" s="1"/>
      <c r="K246" s="9"/>
      <c r="L246" s="1"/>
      <c r="M246" s="319"/>
      <c r="N246" s="319"/>
      <c r="O246" s="319"/>
      <c r="P246" s="319"/>
      <c r="Q246" s="319" t="s">
        <v>3899</v>
      </c>
      <c r="R246" s="319"/>
      <c r="S246" s="319"/>
      <c r="T246" s="319"/>
      <c r="U246" s="319"/>
      <c r="V246" s="319"/>
      <c r="W246" s="319"/>
      <c r="X246" s="319"/>
      <c r="Y246" s="319"/>
      <c r="Z246" s="319"/>
      <c r="AA246" s="319"/>
      <c r="AB246" s="319"/>
      <c r="AC246" s="319"/>
      <c r="AD246" s="319"/>
      <c r="AE246" s="319"/>
      <c r="AF246" s="319"/>
      <c r="AG246" s="319"/>
      <c r="AH246" s="319"/>
      <c r="AI246" s="319"/>
      <c r="AJ246" s="319"/>
      <c r="AK246" s="319"/>
      <c r="AL246" s="319"/>
      <c r="AM246" s="319"/>
      <c r="AN246" s="319"/>
      <c r="AO246" s="319">
        <v>2101008</v>
      </c>
      <c r="AP246" s="319"/>
      <c r="AQ246" s="319"/>
      <c r="AR246" s="319"/>
      <c r="AS246" s="319"/>
      <c r="AT246" s="319"/>
      <c r="AU246" s="319"/>
      <c r="AV246" s="319"/>
      <c r="AW246" s="319"/>
      <c r="AX246" s="319"/>
      <c r="AY246" s="319"/>
      <c r="AZ246" s="319"/>
      <c r="BA246" s="319"/>
      <c r="BB246" s="319"/>
      <c r="BC246" s="319"/>
      <c r="BD246" s="319"/>
      <c r="BE246" s="319"/>
      <c r="BF246" s="319"/>
      <c r="BG246" s="319"/>
      <c r="BH246" s="319"/>
      <c r="BI246" s="319"/>
      <c r="BJ246" s="319"/>
      <c r="BK246" s="319"/>
      <c r="BL246" s="319"/>
      <c r="BM246" s="319"/>
      <c r="BN246" s="319"/>
      <c r="BO246" s="319"/>
      <c r="BP246" s="319"/>
      <c r="BQ246" s="319"/>
      <c r="BR246" s="319"/>
      <c r="BS246" s="319"/>
      <c r="BT246" s="319"/>
      <c r="BU246" s="319"/>
      <c r="BV246" s="319"/>
      <c r="BW246" s="319"/>
      <c r="BX246" s="319"/>
      <c r="BY246" s="319"/>
      <c r="BZ246" s="319"/>
      <c r="CA246" s="319"/>
      <c r="CB246" s="319"/>
      <c r="CC246" s="319"/>
      <c r="CD246" s="319"/>
      <c r="CE246" s="319"/>
      <c r="CF246" s="319"/>
    </row>
    <row r="247" spans="1:84" ht="12.75" hidden="1" customHeight="1">
      <c r="A247" s="12"/>
      <c r="B247" s="329" t="str">
        <f>Language!C1804</f>
        <v>Medido a</v>
      </c>
      <c r="C247" s="303" t="s">
        <v>5569</v>
      </c>
      <c r="D247" s="382"/>
      <c r="E247" s="140">
        <f>IF(C247=AC1065,1,1/AD1066)*Iniciar!P71</f>
        <v>10</v>
      </c>
      <c r="F247" s="29" t="str">
        <f>IF($M$3=FALSE,"",IF(C247=$AC$1065,$AC$1066,$AC$1065))</f>
        <v/>
      </c>
      <c r="G247" s="140" t="str">
        <f>IF($M$3=FALSE,"",IF(C247=$AC$1065,1/$AA$1077,$AA$1077)*D247)</f>
        <v/>
      </c>
      <c r="H247" s="1"/>
      <c r="I247" s="1"/>
      <c r="J247" s="1"/>
      <c r="K247" s="9"/>
      <c r="L247" s="1"/>
      <c r="M247" s="319"/>
      <c r="N247" s="319"/>
      <c r="O247" s="476">
        <f>IF(Offgrid=5,'Modelo Energético '!P334,IF(C247=AC1065,1,AD1066)*D247)</f>
        <v>0</v>
      </c>
      <c r="P247" s="319" t="s">
        <v>148</v>
      </c>
      <c r="Q247" s="319">
        <v>0</v>
      </c>
      <c r="R247" s="319">
        <v>0.1</v>
      </c>
      <c r="S247" s="319">
        <v>0.2</v>
      </c>
      <c r="T247" s="319">
        <v>0.3</v>
      </c>
      <c r="U247" s="319"/>
      <c r="V247" s="319"/>
      <c r="W247" s="319"/>
      <c r="X247" s="319"/>
      <c r="Y247" s="319"/>
      <c r="Z247" s="319"/>
      <c r="AA247" s="319"/>
      <c r="AB247" s="319"/>
      <c r="AC247" s="319"/>
      <c r="AD247" s="319"/>
      <c r="AE247" s="319"/>
      <c r="AF247" s="319"/>
      <c r="AG247" s="319"/>
      <c r="AH247" s="319"/>
      <c r="AI247" s="319"/>
      <c r="AJ247" s="319"/>
      <c r="AK247" s="319"/>
      <c r="AL247" s="319"/>
      <c r="AM247" s="319"/>
      <c r="AN247" s="319"/>
      <c r="AO247" s="319">
        <v>2101028</v>
      </c>
      <c r="AP247" s="319"/>
      <c r="AQ247" s="319"/>
      <c r="AR247" s="319"/>
      <c r="AS247" s="319"/>
      <c r="AT247" s="319"/>
      <c r="AU247" s="319"/>
      <c r="AV247" s="319"/>
      <c r="AW247" s="319"/>
      <c r="AX247" s="319"/>
      <c r="AY247" s="319"/>
      <c r="AZ247" s="319"/>
      <c r="BA247" s="319"/>
      <c r="BB247" s="319"/>
      <c r="BC247" s="319"/>
      <c r="BD247" s="319"/>
      <c r="BE247" s="319"/>
      <c r="BF247" s="319"/>
      <c r="BG247" s="319"/>
      <c r="BH247" s="319"/>
      <c r="BI247" s="319"/>
      <c r="BJ247" s="319"/>
      <c r="BK247" s="319"/>
      <c r="BL247" s="319"/>
      <c r="BM247" s="319"/>
      <c r="BN247" s="319"/>
      <c r="BO247" s="319"/>
      <c r="BP247" s="319"/>
      <c r="BQ247" s="319"/>
      <c r="BR247" s="319"/>
      <c r="BS247" s="319"/>
      <c r="BT247" s="319"/>
      <c r="BU247" s="319"/>
      <c r="BV247" s="319"/>
      <c r="BW247" s="319"/>
      <c r="BX247" s="319"/>
      <c r="BY247" s="319"/>
      <c r="BZ247" s="319"/>
      <c r="CA247" s="319"/>
      <c r="CB247" s="319"/>
      <c r="CC247" s="319"/>
      <c r="CD247" s="319"/>
      <c r="CE247" s="319"/>
      <c r="CF247" s="319"/>
    </row>
    <row r="248" spans="1:84" ht="12.75" hidden="1" customHeight="1">
      <c r="A248" s="12"/>
      <c r="B248" s="329" t="str">
        <f>Language!C2085</f>
        <v>Coeficiente de cisalhamento do vento</v>
      </c>
      <c r="C248" s="29"/>
      <c r="D248" s="303"/>
      <c r="E248" s="1"/>
      <c r="F248" s="106"/>
      <c r="G248" s="1"/>
      <c r="H248" s="1"/>
      <c r="I248" s="1"/>
      <c r="J248" s="1"/>
      <c r="K248" s="9"/>
      <c r="L248" s="1"/>
      <c r="M248" s="319"/>
      <c r="N248" s="319"/>
      <c r="O248" s="476">
        <f>IF(Offgrid=5,'Modelo Energético '!D336,D248)</f>
        <v>0</v>
      </c>
      <c r="P248" s="319">
        <v>0</v>
      </c>
      <c r="Q248" s="319">
        <v>1</v>
      </c>
      <c r="R248" s="319">
        <v>1</v>
      </c>
      <c r="S248" s="319">
        <v>1</v>
      </c>
      <c r="T248" s="319">
        <v>1</v>
      </c>
      <c r="U248" s="319"/>
      <c r="V248" s="319"/>
      <c r="W248" s="319"/>
      <c r="X248" s="319"/>
      <c r="Y248" s="319"/>
      <c r="Z248" s="319"/>
      <c r="AA248" s="319"/>
      <c r="AB248" s="319"/>
      <c r="AC248" s="319"/>
      <c r="AD248" s="319"/>
      <c r="AE248" s="319"/>
      <c r="AF248" s="319"/>
      <c r="AG248" s="319"/>
      <c r="AH248" s="319"/>
      <c r="AI248" s="319"/>
      <c r="AJ248" s="319"/>
      <c r="AK248" s="319"/>
      <c r="AL248" s="319"/>
      <c r="AM248" s="319"/>
      <c r="AN248" s="319"/>
      <c r="AO248" s="319">
        <v>2101030</v>
      </c>
      <c r="AP248" s="319"/>
      <c r="AQ248" s="319"/>
      <c r="AR248" s="319"/>
      <c r="AS248" s="319"/>
      <c r="AT248" s="319"/>
      <c r="AU248" s="319"/>
      <c r="AV248" s="319"/>
      <c r="AW248" s="319"/>
      <c r="AX248" s="319"/>
      <c r="AY248" s="319"/>
      <c r="AZ248" s="319"/>
      <c r="BA248" s="319"/>
      <c r="BB248" s="319"/>
      <c r="BC248" s="319"/>
      <c r="BD248" s="319"/>
      <c r="BE248" s="319"/>
      <c r="BF248" s="319"/>
      <c r="BG248" s="319"/>
      <c r="BH248" s="319"/>
      <c r="BI248" s="319"/>
      <c r="BJ248" s="319"/>
      <c r="BK248" s="319"/>
      <c r="BL248" s="319"/>
      <c r="BM248" s="319"/>
      <c r="BN248" s="319"/>
      <c r="BO248" s="319"/>
      <c r="BP248" s="319"/>
      <c r="BQ248" s="319"/>
      <c r="BR248" s="319"/>
      <c r="BS248" s="319"/>
      <c r="BT248" s="319"/>
      <c r="BU248" s="319"/>
      <c r="BV248" s="319"/>
      <c r="BW248" s="319"/>
      <c r="BX248" s="319"/>
      <c r="BY248" s="319"/>
      <c r="BZ248" s="319"/>
      <c r="CA248" s="319"/>
      <c r="CB248" s="319"/>
      <c r="CC248" s="319"/>
      <c r="CD248" s="319"/>
      <c r="CE248" s="319"/>
      <c r="CF248" s="319"/>
    </row>
    <row r="249" spans="1:84" ht="12.75" hidden="1" customHeight="1">
      <c r="A249" s="12"/>
      <c r="B249" s="329" t="str">
        <f>Language!C1466</f>
        <v>Temperatura do ar - anual</v>
      </c>
      <c r="C249" s="303" t="s">
        <v>5568</v>
      </c>
      <c r="D249" s="382"/>
      <c r="E249" s="140">
        <f>IF(C249=Z1107,Iniciar!O70,(Iniciar!O70*1.8+32))</f>
        <v>15.751506849315067</v>
      </c>
      <c r="F249" s="1"/>
      <c r="G249" s="1"/>
      <c r="H249" s="1"/>
      <c r="I249" s="1"/>
      <c r="J249" s="1"/>
      <c r="K249" s="9"/>
      <c r="L249" s="1"/>
      <c r="M249" s="319"/>
      <c r="N249" s="319"/>
      <c r="O249" s="476">
        <f>IF(OR(HideES_Wind1QF=2,Offgrid=5),Iniciar!O70,IF(C249=Z1107,D249,(D249-32)/1.8))</f>
        <v>0</v>
      </c>
      <c r="P249" s="319">
        <v>4.9000000000000004</v>
      </c>
      <c r="Q249" s="319">
        <v>1</v>
      </c>
      <c r="R249" s="319">
        <v>0.98</v>
      </c>
      <c r="S249" s="319">
        <v>0.96</v>
      </c>
      <c r="T249" s="319">
        <v>0.93</v>
      </c>
      <c r="U249" s="319"/>
      <c r="V249" s="319"/>
      <c r="W249" s="319"/>
      <c r="X249" s="319"/>
      <c r="Y249" s="319"/>
      <c r="Z249" s="319"/>
      <c r="AA249" s="319"/>
      <c r="AB249" s="319"/>
      <c r="AC249" s="319"/>
      <c r="AD249" s="319"/>
      <c r="AE249" s="319"/>
      <c r="AF249" s="319"/>
      <c r="AG249" s="319"/>
      <c r="AH249" s="319"/>
      <c r="AI249" s="319"/>
      <c r="AJ249" s="319"/>
      <c r="AK249" s="319"/>
      <c r="AL249" s="319"/>
      <c r="AM249" s="319"/>
      <c r="AN249" s="319"/>
      <c r="AO249" s="319">
        <v>2101032</v>
      </c>
      <c r="AP249" s="319"/>
      <c r="AQ249" s="319"/>
      <c r="AR249" s="319"/>
      <c r="AS249" s="319"/>
      <c r="AT249" s="319"/>
      <c r="AU249" s="319"/>
      <c r="AV249" s="319"/>
      <c r="AW249" s="319"/>
      <c r="AX249" s="319"/>
      <c r="AY249" s="319"/>
      <c r="AZ249" s="319"/>
      <c r="BA249" s="319"/>
      <c r="BB249" s="319"/>
      <c r="BC249" s="319"/>
      <c r="BD249" s="319"/>
      <c r="BE249" s="319"/>
      <c r="BF249" s="319"/>
      <c r="BG249" s="319"/>
      <c r="BH249" s="319"/>
      <c r="BI249" s="319"/>
      <c r="BJ249" s="319"/>
      <c r="BK249" s="319"/>
      <c r="BL249" s="319"/>
      <c r="BM249" s="319"/>
      <c r="BN249" s="319"/>
      <c r="BO249" s="319"/>
      <c r="BP249" s="319"/>
      <c r="BQ249" s="319"/>
      <c r="BR249" s="319"/>
      <c r="BS249" s="319"/>
      <c r="BT249" s="319"/>
      <c r="BU249" s="319"/>
      <c r="BV249" s="319"/>
      <c r="BW249" s="319"/>
      <c r="BX249" s="319"/>
      <c r="BY249" s="319"/>
      <c r="BZ249" s="319"/>
      <c r="CA249" s="319"/>
      <c r="CB249" s="319"/>
      <c r="CC249" s="319"/>
      <c r="CD249" s="319"/>
      <c r="CE249" s="319"/>
      <c r="CF249" s="319"/>
    </row>
    <row r="250" spans="1:84" ht="12.75" hidden="1" customHeight="1">
      <c r="A250" s="12"/>
      <c r="B250" s="329" t="str">
        <f>Language!C1489</f>
        <v>Pressão Atmosférica - anual</v>
      </c>
      <c r="C250" s="303" t="s">
        <v>741</v>
      </c>
      <c r="D250" s="395"/>
      <c r="E250" s="140">
        <f>Iniciar!Q70/VLOOKUP(C250,AC1061:AD1063,2,FALSE)</f>
        <v>100.09964383561642</v>
      </c>
      <c r="F250" s="1"/>
      <c r="G250" s="1"/>
      <c r="H250" s="1"/>
      <c r="I250" s="1"/>
      <c r="J250" s="1"/>
      <c r="K250" s="9"/>
      <c r="L250" s="1"/>
      <c r="M250" s="319"/>
      <c r="N250" s="319"/>
      <c r="O250" s="476">
        <f>IF(OR(HideES_Wind1QF=2,Offgrid=5),Iniciar!Q70,D250*VLOOKUP(C250,AC1061:AD1063,2,FALSE))</f>
        <v>0</v>
      </c>
      <c r="P250" s="319">
        <v>5.6</v>
      </c>
      <c r="Q250" s="319">
        <v>1</v>
      </c>
      <c r="R250" s="319">
        <v>0.98</v>
      </c>
      <c r="S250" s="319">
        <v>0.94</v>
      </c>
      <c r="T250" s="319">
        <v>0.9</v>
      </c>
      <c r="U250" s="319"/>
      <c r="V250" s="319"/>
      <c r="W250" s="319"/>
      <c r="X250" s="319"/>
      <c r="Y250" s="319"/>
      <c r="Z250" s="319"/>
      <c r="AA250" s="319"/>
      <c r="AB250" s="319"/>
      <c r="AC250" s="319"/>
      <c r="AD250" s="319"/>
      <c r="AE250" s="319"/>
      <c r="AF250" s="319"/>
      <c r="AG250" s="319"/>
      <c r="AH250" s="319"/>
      <c r="AI250" s="319"/>
      <c r="AJ250" s="319"/>
      <c r="AK250" s="319"/>
      <c r="AL250" s="319"/>
      <c r="AM250" s="319"/>
      <c r="AN250" s="319"/>
      <c r="AO250" s="319">
        <v>2101034</v>
      </c>
      <c r="AP250" s="319"/>
      <c r="AQ250" s="319"/>
      <c r="AR250" s="319"/>
      <c r="AS250" s="319"/>
      <c r="AT250" s="319"/>
      <c r="AU250" s="319"/>
      <c r="AV250" s="319"/>
      <c r="AW250" s="319"/>
      <c r="AX250" s="319"/>
      <c r="AY250" s="319"/>
      <c r="AZ250" s="319"/>
      <c r="BA250" s="319"/>
      <c r="BB250" s="319"/>
      <c r="BC250" s="319"/>
      <c r="BD250" s="319"/>
      <c r="BE250" s="319"/>
      <c r="BF250" s="319"/>
      <c r="BG250" s="319"/>
      <c r="BH250" s="319"/>
      <c r="BI250" s="319"/>
      <c r="BJ250" s="319"/>
      <c r="BK250" s="319"/>
      <c r="BL250" s="319"/>
      <c r="BM250" s="319"/>
      <c r="BN250" s="319"/>
      <c r="BO250" s="319"/>
      <c r="BP250" s="319"/>
      <c r="BQ250" s="319"/>
      <c r="BR250" s="319"/>
      <c r="BS250" s="319"/>
      <c r="BT250" s="319"/>
      <c r="BU250" s="319"/>
      <c r="BV250" s="319"/>
      <c r="BW250" s="319"/>
      <c r="BX250" s="319"/>
      <c r="BY250" s="319"/>
      <c r="BZ250" s="319"/>
      <c r="CA250" s="319"/>
      <c r="CB250" s="319"/>
      <c r="CC250" s="319"/>
      <c r="CD250" s="319"/>
      <c r="CE250" s="319"/>
      <c r="CF250" s="319"/>
    </row>
    <row r="251" spans="1:84" ht="12.75" hidden="1" customHeight="1">
      <c r="A251" s="12"/>
      <c r="B251" s="1"/>
      <c r="C251" s="1"/>
      <c r="D251" s="1"/>
      <c r="E251" s="1"/>
      <c r="F251" s="1"/>
      <c r="G251" s="1"/>
      <c r="H251" s="1"/>
      <c r="I251" s="1"/>
      <c r="J251" s="1"/>
      <c r="K251" s="9"/>
      <c r="L251" s="1"/>
      <c r="M251" s="319"/>
      <c r="N251" s="319"/>
      <c r="O251" s="319"/>
      <c r="P251" s="319">
        <v>6.3</v>
      </c>
      <c r="Q251" s="319">
        <v>1</v>
      </c>
      <c r="R251" s="319">
        <v>0.98</v>
      </c>
      <c r="S251" s="319">
        <v>0.93</v>
      </c>
      <c r="T251" s="319">
        <v>0.87</v>
      </c>
      <c r="U251" s="319"/>
      <c r="V251" s="319"/>
      <c r="W251" s="319"/>
      <c r="X251" s="319"/>
      <c r="Y251" s="319"/>
      <c r="Z251" s="319"/>
      <c r="AA251" s="319"/>
      <c r="AB251" s="319"/>
      <c r="AC251" s="319"/>
      <c r="AD251" s="319"/>
      <c r="AE251" s="319"/>
      <c r="AF251" s="319"/>
      <c r="AG251" s="319"/>
      <c r="AH251" s="319"/>
      <c r="AI251" s="319"/>
      <c r="AJ251" s="319"/>
      <c r="AK251" s="319"/>
      <c r="AL251" s="319"/>
      <c r="AM251" s="319"/>
      <c r="AN251" s="319"/>
      <c r="AO251" s="319">
        <v>2102000</v>
      </c>
      <c r="AP251" s="319"/>
      <c r="AQ251" s="319"/>
      <c r="AR251" s="319"/>
      <c r="AS251" s="319"/>
      <c r="AT251" s="319"/>
      <c r="AU251" s="319"/>
      <c r="AV251" s="319"/>
      <c r="AW251" s="319"/>
      <c r="AX251" s="319"/>
      <c r="AY251" s="319"/>
      <c r="AZ251" s="319"/>
      <c r="BA251" s="319"/>
      <c r="BB251" s="319"/>
      <c r="BC251" s="319"/>
      <c r="BD251" s="319"/>
      <c r="BE251" s="319"/>
      <c r="BF251" s="319"/>
      <c r="BG251" s="319"/>
      <c r="BH251" s="319"/>
      <c r="BI251" s="319"/>
      <c r="BJ251" s="319"/>
      <c r="BK251" s="319"/>
      <c r="BL251" s="319"/>
      <c r="BM251" s="319"/>
      <c r="BN251" s="319"/>
      <c r="BO251" s="319"/>
      <c r="BP251" s="319"/>
      <c r="BQ251" s="319"/>
      <c r="BR251" s="319"/>
      <c r="BS251" s="319"/>
      <c r="BT251" s="319"/>
      <c r="BU251" s="319"/>
      <c r="BV251" s="319"/>
      <c r="BW251" s="319"/>
      <c r="BX251" s="319"/>
      <c r="BY251" s="319"/>
      <c r="BZ251" s="319"/>
      <c r="CA251" s="319"/>
      <c r="CB251" s="319"/>
      <c r="CC251" s="319"/>
      <c r="CD251" s="319"/>
      <c r="CE251" s="319"/>
      <c r="CF251" s="319"/>
    </row>
    <row r="252" spans="1:84" ht="12.75" hidden="1" customHeight="1">
      <c r="A252" s="12"/>
      <c r="B252" s="28" t="str">
        <f>Language!C139</f>
        <v>Turbina eólica</v>
      </c>
      <c r="C252" s="1"/>
      <c r="D252" s="1"/>
      <c r="E252" s="1"/>
      <c r="F252" s="1"/>
      <c r="G252" s="1"/>
      <c r="H252" s="1"/>
      <c r="I252" s="1"/>
      <c r="J252" s="1"/>
      <c r="K252" s="9"/>
      <c r="L252" s="1"/>
      <c r="M252" s="319"/>
      <c r="N252" s="319"/>
      <c r="O252" s="319"/>
      <c r="P252" s="319">
        <v>6.9</v>
      </c>
      <c r="Q252" s="319">
        <v>1</v>
      </c>
      <c r="R252" s="319">
        <v>0.97</v>
      </c>
      <c r="S252" s="319">
        <v>0.92</v>
      </c>
      <c r="T252" s="319">
        <v>0.84</v>
      </c>
      <c r="U252" s="319"/>
      <c r="V252" s="319"/>
      <c r="W252" s="319"/>
      <c r="X252" s="319"/>
      <c r="Y252" s="319"/>
      <c r="Z252" s="319"/>
      <c r="AA252" s="319"/>
      <c r="AB252" s="319"/>
      <c r="AC252" s="319"/>
      <c r="AD252" s="319"/>
      <c r="AE252" s="319"/>
      <c r="AF252" s="319"/>
      <c r="AG252" s="319"/>
      <c r="AH252" s="319"/>
      <c r="AI252" s="319"/>
      <c r="AJ252" s="319"/>
      <c r="AK252" s="319"/>
      <c r="AL252" s="319"/>
      <c r="AM252" s="319"/>
      <c r="AN252" s="319"/>
      <c r="AO252" s="319">
        <v>2102000</v>
      </c>
      <c r="AP252" s="319"/>
      <c r="AQ252" s="319"/>
      <c r="AR252" s="319"/>
      <c r="AS252" s="319"/>
      <c r="AT252" s="319"/>
      <c r="AU252" s="319"/>
      <c r="AV252" s="319"/>
      <c r="AW252" s="319"/>
      <c r="AX252" s="319"/>
      <c r="AY252" s="319"/>
      <c r="AZ252" s="319"/>
      <c r="BA252" s="319"/>
      <c r="BB252" s="319"/>
      <c r="BC252" s="319"/>
      <c r="BD252" s="319"/>
      <c r="BE252" s="319"/>
      <c r="BF252" s="319"/>
      <c r="BG252" s="319"/>
      <c r="BH252" s="319"/>
      <c r="BI252" s="319"/>
      <c r="BJ252" s="319"/>
      <c r="BK252" s="319"/>
      <c r="BL252" s="319"/>
      <c r="BM252" s="319"/>
      <c r="BN252" s="319"/>
      <c r="BO252" s="319"/>
      <c r="BP252" s="319"/>
      <c r="BQ252" s="319"/>
      <c r="BR252" s="319"/>
      <c r="BS252" s="319"/>
      <c r="BT252" s="319"/>
      <c r="BU252" s="319"/>
      <c r="BV252" s="319"/>
      <c r="BW252" s="319"/>
      <c r="BX252" s="319"/>
      <c r="BY252" s="319"/>
      <c r="BZ252" s="319"/>
      <c r="CA252" s="319"/>
      <c r="CB252" s="319"/>
      <c r="CC252" s="319"/>
      <c r="CD252" s="319"/>
      <c r="CE252" s="319"/>
      <c r="CF252" s="319"/>
    </row>
    <row r="253" spans="1:84" ht="12.75" hidden="1" customHeight="1">
      <c r="A253" s="12"/>
      <c r="B253" s="329" t="str">
        <f>Language!C1898</f>
        <v>Capacidade de potência por turbina</v>
      </c>
      <c r="C253" s="29" t="str">
        <f>$C$92</f>
        <v>kW</v>
      </c>
      <c r="D253" s="427"/>
      <c r="E253" s="1"/>
      <c r="F253" s="1"/>
      <c r="G253" s="1"/>
      <c r="H253" s="1"/>
      <c r="I253" s="1209" t="str">
        <f>Language!C61</f>
        <v>Ver banco de dados de produtos</v>
      </c>
      <c r="J253" s="1191"/>
      <c r="K253" s="1210"/>
      <c r="L253" s="1"/>
      <c r="M253" s="319"/>
      <c r="N253" s="319"/>
      <c r="O253" s="494"/>
      <c r="P253" s="319">
        <v>8.3000000000000007</v>
      </c>
      <c r="Q253" s="319">
        <v>1</v>
      </c>
      <c r="R253" s="319">
        <v>0.96</v>
      </c>
      <c r="S253" s="319">
        <v>0.9</v>
      </c>
      <c r="T253" s="319">
        <v>0.82</v>
      </c>
      <c r="U253" s="319"/>
      <c r="V253" s="319"/>
      <c r="W253" s="319"/>
      <c r="X253" s="319"/>
      <c r="Y253" s="319"/>
      <c r="Z253" s="319"/>
      <c r="AA253" s="319"/>
      <c r="AB253" s="319"/>
      <c r="AC253" s="319"/>
      <c r="AD253" s="319"/>
      <c r="AE253" s="319"/>
      <c r="AF253" s="319"/>
      <c r="AG253" s="319"/>
      <c r="AH253" s="319"/>
      <c r="AI253" s="319"/>
      <c r="AJ253" s="319"/>
      <c r="AK253" s="319"/>
      <c r="AL253" s="319"/>
      <c r="AM253" s="319"/>
      <c r="AN253" s="319"/>
      <c r="AO253" s="319">
        <v>2102002</v>
      </c>
      <c r="AP253" s="319"/>
      <c r="AQ253" s="319"/>
      <c r="AR253" s="319"/>
      <c r="AS253" s="319"/>
      <c r="AT253" s="319"/>
      <c r="AU253" s="319"/>
      <c r="AV253" s="319"/>
      <c r="AW253" s="319"/>
      <c r="AX253" s="319"/>
      <c r="AY253" s="319"/>
      <c r="AZ253" s="319"/>
      <c r="BA253" s="319"/>
      <c r="BB253" s="319"/>
      <c r="BC253" s="319"/>
      <c r="BD253" s="319"/>
      <c r="BE253" s="319"/>
      <c r="BF253" s="319"/>
      <c r="BG253" s="319"/>
      <c r="BH253" s="319"/>
      <c r="BI253" s="319"/>
      <c r="BJ253" s="319"/>
      <c r="BK253" s="319"/>
      <c r="BL253" s="319"/>
      <c r="BM253" s="319"/>
      <c r="BN253" s="319"/>
      <c r="BO253" s="319"/>
      <c r="BP253" s="319"/>
      <c r="BQ253" s="319"/>
      <c r="BR253" s="319"/>
      <c r="BS253" s="319"/>
      <c r="BT253" s="319"/>
      <c r="BU253" s="319"/>
      <c r="BV253" s="319"/>
      <c r="BW253" s="319"/>
      <c r="BX253" s="319"/>
      <c r="BY253" s="319"/>
      <c r="BZ253" s="319"/>
      <c r="CA253" s="319"/>
      <c r="CB253" s="319"/>
      <c r="CC253" s="319"/>
      <c r="CD253" s="319"/>
      <c r="CE253" s="319"/>
      <c r="CF253" s="319"/>
    </row>
    <row r="254" spans="1:84" ht="12.75" hidden="1" customHeight="1">
      <c r="A254" s="12"/>
      <c r="B254" s="329" t="str">
        <f>$B$12</f>
        <v>Fabricante</v>
      </c>
      <c r="C254" s="1266"/>
      <c r="D254" s="1153"/>
      <c r="E254" s="1154"/>
      <c r="F254" s="1"/>
      <c r="G254" s="1"/>
      <c r="H254" s="1"/>
      <c r="I254" s="1"/>
      <c r="J254" s="1"/>
      <c r="K254" s="9"/>
      <c r="L254" s="1"/>
      <c r="M254" s="319"/>
      <c r="N254" s="319"/>
      <c r="O254" s="494">
        <f>IF(Gridtype=5,'Modelo Energético '!F341,D257)</f>
        <v>0</v>
      </c>
      <c r="P254" s="319">
        <f>IF(Gridtype=5,'Modelo Energético '!D345,D257)</f>
        <v>0</v>
      </c>
      <c r="Q254" s="319"/>
      <c r="R254" s="319"/>
      <c r="S254" s="319"/>
      <c r="T254" s="319"/>
      <c r="U254" s="319"/>
      <c r="V254" s="319"/>
      <c r="W254" s="319"/>
      <c r="X254" s="319"/>
      <c r="Y254" s="319"/>
      <c r="Z254" s="319"/>
      <c r="AA254" s="319"/>
      <c r="AB254" s="319"/>
      <c r="AC254" s="319"/>
      <c r="AD254" s="319"/>
      <c r="AE254" s="319"/>
      <c r="AF254" s="319"/>
      <c r="AG254" s="319"/>
      <c r="AH254" s="319"/>
      <c r="AI254" s="319"/>
      <c r="AJ254" s="319"/>
      <c r="AK254" s="319"/>
      <c r="AL254" s="319"/>
      <c r="AM254" s="319"/>
      <c r="AN254" s="319"/>
      <c r="AO254" s="319">
        <v>2050012</v>
      </c>
      <c r="AP254" s="319"/>
      <c r="AQ254" s="319"/>
      <c r="AR254" s="319"/>
      <c r="AS254" s="319"/>
      <c r="AT254" s="319"/>
      <c r="AU254" s="319"/>
      <c r="AV254" s="319"/>
      <c r="AW254" s="319"/>
      <c r="AX254" s="319"/>
      <c r="AY254" s="319"/>
      <c r="AZ254" s="319"/>
      <c r="BA254" s="319"/>
      <c r="BB254" s="319"/>
      <c r="BC254" s="319"/>
      <c r="BD254" s="319"/>
      <c r="BE254" s="319"/>
      <c r="BF254" s="319"/>
      <c r="BG254" s="319"/>
      <c r="BH254" s="319"/>
      <c r="BI254" s="319"/>
      <c r="BJ254" s="319"/>
      <c r="BK254" s="319"/>
      <c r="BL254" s="319"/>
      <c r="BM254" s="319"/>
      <c r="BN254" s="319"/>
      <c r="BO254" s="319"/>
      <c r="BP254" s="319"/>
      <c r="BQ254" s="319"/>
      <c r="BR254" s="319"/>
      <c r="BS254" s="319"/>
      <c r="BT254" s="319"/>
      <c r="BU254" s="319"/>
      <c r="BV254" s="319"/>
      <c r="BW254" s="319"/>
      <c r="BX254" s="319"/>
      <c r="BY254" s="319"/>
      <c r="BZ254" s="319"/>
      <c r="CA254" s="319"/>
      <c r="CB254" s="319"/>
      <c r="CC254" s="319"/>
      <c r="CD254" s="319"/>
      <c r="CE254" s="319"/>
      <c r="CF254" s="319"/>
    </row>
    <row r="255" spans="1:84" ht="12.75" hidden="1" customHeight="1">
      <c r="A255" s="12"/>
      <c r="B255" s="329" t="str">
        <f>$B$13</f>
        <v>Modelo</v>
      </c>
      <c r="C255" s="1152"/>
      <c r="D255" s="1153"/>
      <c r="E255" s="1154"/>
      <c r="F255" s="1"/>
      <c r="G255" s="1"/>
      <c r="H255" s="1"/>
      <c r="I255" s="1"/>
      <c r="J255" s="1"/>
      <c r="K255" s="9"/>
      <c r="L255" s="1"/>
      <c r="M255" s="319"/>
      <c r="N255" s="319"/>
      <c r="O255" s="494" t="e">
        <f>IF(HideES_Wind1QF=2,D243*($O$258/$O$247)^$O$248/O230,P229*($O$258/$O$247)^$O$248/O229)</f>
        <v>#DIV/0!</v>
      </c>
      <c r="P255" s="319" t="e">
        <f>IF(HideES_Wind1QF=2,D243*($O$258/$O$247)^$O$248,P229*($O$258/$O$247)^$O$248/O229)</f>
        <v>#DIV/0!</v>
      </c>
      <c r="Q255" s="319"/>
      <c r="R255" s="319"/>
      <c r="S255" s="319"/>
      <c r="T255" s="319"/>
      <c r="U255" s="319"/>
      <c r="V255" s="319"/>
      <c r="W255" s="319"/>
      <c r="X255" s="319"/>
      <c r="Y255" s="319"/>
      <c r="Z255" s="319"/>
      <c r="AA255" s="319"/>
      <c r="AB255" s="319"/>
      <c r="AC255" s="319"/>
      <c r="AD255" s="319"/>
      <c r="AE255" s="319"/>
      <c r="AF255" s="319"/>
      <c r="AG255" s="319"/>
      <c r="AH255" s="319"/>
      <c r="AI255" s="319"/>
      <c r="AJ255" s="319"/>
      <c r="AK255" s="319"/>
      <c r="AL255" s="319"/>
      <c r="AM255" s="319"/>
      <c r="AN255" s="319"/>
      <c r="AO255" s="319">
        <v>2050014</v>
      </c>
      <c r="AP255" s="319"/>
      <c r="AQ255" s="319"/>
      <c r="AR255" s="319"/>
      <c r="AS255" s="319"/>
      <c r="AT255" s="319"/>
      <c r="AU255" s="319"/>
      <c r="AV255" s="319"/>
      <c r="AW255" s="319"/>
      <c r="AX255" s="319"/>
      <c r="AY255" s="319"/>
      <c r="AZ255" s="319"/>
      <c r="BA255" s="319"/>
      <c r="BB255" s="319"/>
      <c r="BC255" s="319"/>
      <c r="BD255" s="319"/>
      <c r="BE255" s="319"/>
      <c r="BF255" s="319"/>
      <c r="BG255" s="319"/>
      <c r="BH255" s="319"/>
      <c r="BI255" s="319"/>
      <c r="BJ255" s="319"/>
      <c r="BK255" s="319"/>
      <c r="BL255" s="319"/>
      <c r="BM255" s="319"/>
      <c r="BN255" s="319"/>
      <c r="BO255" s="319"/>
      <c r="BP255" s="319"/>
      <c r="BQ255" s="319"/>
      <c r="BR255" s="319"/>
      <c r="BS255" s="319"/>
      <c r="BT255" s="319"/>
      <c r="BU255" s="319"/>
      <c r="BV255" s="319"/>
      <c r="BW255" s="319"/>
      <c r="BX255" s="319"/>
      <c r="BY255" s="319"/>
      <c r="BZ255" s="319"/>
      <c r="CA255" s="319"/>
      <c r="CB255" s="319"/>
      <c r="CC255" s="319"/>
      <c r="CD255" s="319"/>
      <c r="CE255" s="319"/>
      <c r="CF255" s="319"/>
    </row>
    <row r="256" spans="1:84" ht="12.75" hidden="1" customHeight="1">
      <c r="A256" s="12"/>
      <c r="B256" s="329" t="str">
        <f>Language!C1843</f>
        <v>Número de turbinas</v>
      </c>
      <c r="C256" s="21"/>
      <c r="D256" s="413"/>
      <c r="E256" s="21"/>
      <c r="F256" s="1"/>
      <c r="G256" s="1"/>
      <c r="H256" s="1"/>
      <c r="I256" s="1"/>
      <c r="J256" s="1"/>
      <c r="K256" s="9"/>
      <c r="L256" s="1"/>
      <c r="M256" s="319"/>
      <c r="N256" s="319"/>
      <c r="O256" s="319"/>
      <c r="P256" s="319" t="e">
        <f>'Modelo Energético '!D331*($O$258/$O$247)^$O$248/O229</f>
        <v>#DIV/0!</v>
      </c>
      <c r="Q256" s="319"/>
      <c r="R256" s="319"/>
      <c r="S256" s="319"/>
      <c r="T256" s="319"/>
      <c r="U256" s="319"/>
      <c r="V256" s="319"/>
      <c r="W256" s="319"/>
      <c r="X256" s="319"/>
      <c r="Y256" s="319"/>
      <c r="Z256" s="319"/>
      <c r="AA256" s="319"/>
      <c r="AB256" s="319"/>
      <c r="AC256" s="319"/>
      <c r="AD256" s="319"/>
      <c r="AE256" s="319"/>
      <c r="AF256" s="319"/>
      <c r="AG256" s="319"/>
      <c r="AH256" s="319"/>
      <c r="AI256" s="319"/>
      <c r="AJ256" s="319"/>
      <c r="AK256" s="319"/>
      <c r="AL256" s="319"/>
      <c r="AM256" s="319"/>
      <c r="AN256" s="319"/>
      <c r="AO256" s="319">
        <v>2102008</v>
      </c>
      <c r="AP256" s="319"/>
      <c r="AQ256" s="319"/>
      <c r="AR256" s="319"/>
      <c r="AS256" s="319"/>
      <c r="AT256" s="319"/>
      <c r="AU256" s="319"/>
      <c r="AV256" s="319"/>
      <c r="AW256" s="319"/>
      <c r="AX256" s="319"/>
      <c r="AY256" s="319"/>
      <c r="AZ256" s="319"/>
      <c r="BA256" s="319"/>
      <c r="BB256" s="319"/>
      <c r="BC256" s="319"/>
      <c r="BD256" s="319"/>
      <c r="BE256" s="319"/>
      <c r="BF256" s="319"/>
      <c r="BG256" s="319"/>
      <c r="BH256" s="319"/>
      <c r="BI256" s="319"/>
      <c r="BJ256" s="319"/>
      <c r="BK256" s="319"/>
      <c r="BL256" s="319"/>
      <c r="BM256" s="319"/>
      <c r="BN256" s="319"/>
      <c r="BO256" s="319"/>
      <c r="BP256" s="319"/>
      <c r="BQ256" s="319"/>
      <c r="BR256" s="319"/>
      <c r="BS256" s="319"/>
      <c r="BT256" s="319"/>
      <c r="BU256" s="319"/>
      <c r="BV256" s="319"/>
      <c r="BW256" s="319"/>
      <c r="BX256" s="319"/>
      <c r="BY256" s="319"/>
      <c r="BZ256" s="319"/>
      <c r="CA256" s="319"/>
      <c r="CB256" s="319"/>
      <c r="CC256" s="319"/>
      <c r="CD256" s="319"/>
      <c r="CE256" s="319"/>
      <c r="CF256" s="319"/>
    </row>
    <row r="257" spans="1:84" ht="12.75" hidden="1" customHeight="1">
      <c r="A257" s="12"/>
      <c r="B257" s="329" t="str">
        <f>B92</f>
        <v>Potência elétrica</v>
      </c>
      <c r="C257" s="21" t="str">
        <f>$C$92</f>
        <v>kW</v>
      </c>
      <c r="D257" s="236">
        <f>D256*D253</f>
        <v>0</v>
      </c>
      <c r="E257" s="80" t="str">
        <f>IF($P$866=0,"",P254/$P$866)</f>
        <v/>
      </c>
      <c r="F257" s="1"/>
      <c r="G257" s="1"/>
      <c r="H257" s="1346"/>
      <c r="I257" s="1"/>
      <c r="J257" s="1"/>
      <c r="K257" s="9"/>
      <c r="L257" s="1"/>
      <c r="M257" s="319"/>
      <c r="N257" s="319"/>
      <c r="O257" s="494">
        <f>IF(Offgrid=5,'Modelo Energético '!D344,D256)</f>
        <v>0</v>
      </c>
      <c r="P257" s="319">
        <f>IF(Offgrid=5,'Modelo Energético '!D344,D256)</f>
        <v>0</v>
      </c>
      <c r="Q257" s="319"/>
      <c r="R257" s="319"/>
      <c r="S257" s="319"/>
      <c r="T257" s="319"/>
      <c r="U257" s="319"/>
      <c r="V257" s="319"/>
      <c r="W257" s="319"/>
      <c r="X257" s="319"/>
      <c r="Y257" s="319"/>
      <c r="Z257" s="319"/>
      <c r="AA257" s="319"/>
      <c r="AB257" s="319"/>
      <c r="AC257" s="319"/>
      <c r="AD257" s="319"/>
      <c r="AE257" s="319"/>
      <c r="AF257" s="319"/>
      <c r="AG257" s="319"/>
      <c r="AH257" s="319"/>
      <c r="AI257" s="319"/>
      <c r="AJ257" s="319"/>
      <c r="AK257" s="319"/>
      <c r="AL257" s="319"/>
      <c r="AM257" s="319"/>
      <c r="AN257" s="319"/>
      <c r="AO257" s="319">
        <v>2102010</v>
      </c>
      <c r="AP257" s="319"/>
      <c r="AQ257" s="319"/>
      <c r="AR257" s="319"/>
      <c r="AS257" s="319"/>
      <c r="AT257" s="319"/>
      <c r="AU257" s="319"/>
      <c r="AV257" s="319"/>
      <c r="AW257" s="319"/>
      <c r="AX257" s="319"/>
      <c r="AY257" s="319"/>
      <c r="AZ257" s="319"/>
      <c r="BA257" s="319"/>
      <c r="BB257" s="319"/>
      <c r="BC257" s="319"/>
      <c r="BD257" s="319"/>
      <c r="BE257" s="319"/>
      <c r="BF257" s="319"/>
      <c r="BG257" s="319"/>
      <c r="BH257" s="319"/>
      <c r="BI257" s="319"/>
      <c r="BJ257" s="319"/>
      <c r="BK257" s="319"/>
      <c r="BL257" s="319"/>
      <c r="BM257" s="319"/>
      <c r="BN257" s="319"/>
      <c r="BO257" s="319"/>
      <c r="BP257" s="319"/>
      <c r="BQ257" s="319"/>
      <c r="BR257" s="319"/>
      <c r="BS257" s="319"/>
      <c r="BT257" s="319"/>
      <c r="BU257" s="319"/>
      <c r="BV257" s="319"/>
      <c r="BW257" s="319"/>
      <c r="BX257" s="319"/>
      <c r="BY257" s="319"/>
      <c r="BZ257" s="319"/>
      <c r="CA257" s="319"/>
      <c r="CB257" s="319"/>
      <c r="CC257" s="319"/>
      <c r="CD257" s="319"/>
      <c r="CE257" s="319"/>
      <c r="CF257" s="319"/>
    </row>
    <row r="258" spans="1:84" ht="12.75" hidden="1" customHeight="1">
      <c r="A258" s="12"/>
      <c r="B258" s="329" t="str">
        <f>Language!C1738</f>
        <v>Altura do centro</v>
      </c>
      <c r="C258" s="29" t="str">
        <f>IF(C247=$AC$1066,$AC$1066,$AC$1065)</f>
        <v>m</v>
      </c>
      <c r="D258" s="427"/>
      <c r="E258" s="29" t="e">
        <f>IF(AND(HideES_Wind1QF=2,D230=AC1070),"",IF(M226+M228=0,"",FIXED(P255,1)&amp;" "&amp;IF(HideES_Wind1QF=2,D230,C245)))</f>
        <v>#DIV/0!</v>
      </c>
      <c r="F258" s="29" t="str">
        <f>IF($M$3=FALSE,"",IF(C258=$AC$1065,$AC$1066,$AC$1065))</f>
        <v/>
      </c>
      <c r="G258" s="140" t="str">
        <f>IF($M$3=FALSE,"",IF(C258=$AC$1065,1/$AA$1077,$AA$1077)*D258)</f>
        <v/>
      </c>
      <c r="H258" s="1"/>
      <c r="I258" s="1"/>
      <c r="J258" s="1"/>
      <c r="K258" s="9"/>
      <c r="L258" s="1"/>
      <c r="M258" s="319"/>
      <c r="N258" s="319"/>
      <c r="O258" s="319">
        <f>IF(Offgrid=5,'Modelo Energético '!P346,IF(C258=$AC$1065,1,$AD$1066)*HubHeightWind1)</f>
        <v>0</v>
      </c>
      <c r="P258" s="319" t="s">
        <v>5316</v>
      </c>
      <c r="Q258" s="319">
        <f>IF(M263=1,D262,O263)</f>
        <v>2</v>
      </c>
      <c r="R258" s="319"/>
      <c r="S258" s="319"/>
      <c r="T258" s="319"/>
      <c r="U258" s="319"/>
      <c r="V258" s="319"/>
      <c r="W258" s="319"/>
      <c r="X258" s="319"/>
      <c r="Y258" s="319"/>
      <c r="Z258" s="319"/>
      <c r="AA258" s="319"/>
      <c r="AB258" s="319"/>
      <c r="AC258" s="319"/>
      <c r="AD258" s="319"/>
      <c r="AE258" s="319"/>
      <c r="AF258" s="319"/>
      <c r="AG258" s="319"/>
      <c r="AH258" s="319"/>
      <c r="AI258" s="319"/>
      <c r="AJ258" s="319"/>
      <c r="AK258" s="319"/>
      <c r="AL258" s="319"/>
      <c r="AM258" s="319"/>
      <c r="AN258" s="319"/>
      <c r="AO258" s="319">
        <v>2102012</v>
      </c>
      <c r="AP258" s="319"/>
      <c r="AQ258" s="319"/>
      <c r="AR258" s="319"/>
      <c r="AS258" s="319"/>
      <c r="AT258" s="319"/>
      <c r="AU258" s="319"/>
      <c r="AV258" s="319"/>
      <c r="AW258" s="319"/>
      <c r="AX258" s="319"/>
      <c r="AY258" s="319"/>
      <c r="AZ258" s="319"/>
      <c r="BA258" s="319"/>
      <c r="BB258" s="319"/>
      <c r="BC258" s="319"/>
      <c r="BD258" s="319"/>
      <c r="BE258" s="319"/>
      <c r="BF258" s="319"/>
      <c r="BG258" s="319"/>
      <c r="BH258" s="319"/>
      <c r="BI258" s="319"/>
      <c r="BJ258" s="319"/>
      <c r="BK258" s="319"/>
      <c r="BL258" s="319"/>
      <c r="BM258" s="319"/>
      <c r="BN258" s="319"/>
      <c r="BO258" s="319"/>
      <c r="BP258" s="319"/>
      <c r="BQ258" s="319"/>
      <c r="BR258" s="319"/>
      <c r="BS258" s="319"/>
      <c r="BT258" s="319"/>
      <c r="BU258" s="319"/>
      <c r="BV258" s="319"/>
      <c r="BW258" s="319"/>
      <c r="BX258" s="319"/>
      <c r="BY258" s="319"/>
      <c r="BZ258" s="319"/>
      <c r="CA258" s="319"/>
      <c r="CB258" s="319"/>
      <c r="CC258" s="319"/>
      <c r="CD258" s="319"/>
      <c r="CE258" s="319"/>
      <c r="CF258" s="319"/>
    </row>
    <row r="259" spans="1:84" ht="12.75" hidden="1" customHeight="1">
      <c r="A259" s="12"/>
      <c r="B259" s="329" t="str">
        <f>Language!C1947</f>
        <v>Diâmetro do rotor por turbina</v>
      </c>
      <c r="C259" s="29" t="str">
        <f>C258</f>
        <v>m</v>
      </c>
      <c r="D259" s="314"/>
      <c r="E259" s="1"/>
      <c r="F259" s="29" t="str">
        <f>IF($M$3=FALSE,"",IF(C259=$AC$1065,$AC$1066,$AC$1065))</f>
        <v/>
      </c>
      <c r="G259" s="140" t="str">
        <f>IF($M$3=FALSE,"",IF(C259=$AC$1065,1/$AA$1077,$AA$1077)*D259)</f>
        <v/>
      </c>
      <c r="H259" s="1"/>
      <c r="I259" s="1"/>
      <c r="J259" s="1"/>
      <c r="K259" s="9"/>
      <c r="L259" s="1"/>
      <c r="M259" s="319"/>
      <c r="N259" s="319"/>
      <c r="O259" s="319"/>
      <c r="P259" s="319" t="s">
        <v>5869</v>
      </c>
      <c r="Q259" s="319">
        <f>1+1/Q258</f>
        <v>1.5</v>
      </c>
      <c r="R259" s="319"/>
      <c r="S259" s="319"/>
      <c r="T259" s="319"/>
      <c r="U259" s="319"/>
      <c r="V259" s="319"/>
      <c r="W259" s="319"/>
      <c r="X259" s="319"/>
      <c r="Y259" s="319"/>
      <c r="Z259" s="319"/>
      <c r="AA259" s="319"/>
      <c r="AB259" s="319"/>
      <c r="AC259" s="319"/>
      <c r="AD259" s="319"/>
      <c r="AE259" s="319"/>
      <c r="AF259" s="319"/>
      <c r="AG259" s="319"/>
      <c r="AH259" s="319"/>
      <c r="AI259" s="319"/>
      <c r="AJ259" s="319"/>
      <c r="AK259" s="319"/>
      <c r="AL259" s="319"/>
      <c r="AM259" s="319"/>
      <c r="AN259" s="319"/>
      <c r="AO259" s="319">
        <v>2102014</v>
      </c>
      <c r="AP259" s="319"/>
      <c r="AQ259" s="319"/>
      <c r="AR259" s="319"/>
      <c r="AS259" s="319"/>
      <c r="AT259" s="319"/>
      <c r="AU259" s="319"/>
      <c r="AV259" s="319"/>
      <c r="AW259" s="319"/>
      <c r="AX259" s="319"/>
      <c r="AY259" s="319"/>
      <c r="AZ259" s="319"/>
      <c r="BA259" s="319"/>
      <c r="BB259" s="319"/>
      <c r="BC259" s="319"/>
      <c r="BD259" s="319"/>
      <c r="BE259" s="319"/>
      <c r="BF259" s="319"/>
      <c r="BG259" s="319"/>
      <c r="BH259" s="319"/>
      <c r="BI259" s="319"/>
      <c r="BJ259" s="319"/>
      <c r="BK259" s="319"/>
      <c r="BL259" s="319"/>
      <c r="BM259" s="319"/>
      <c r="BN259" s="319"/>
      <c r="BO259" s="319"/>
      <c r="BP259" s="319"/>
      <c r="BQ259" s="319"/>
      <c r="BR259" s="319"/>
      <c r="BS259" s="319"/>
      <c r="BT259" s="319"/>
      <c r="BU259" s="319"/>
      <c r="BV259" s="319"/>
      <c r="BW259" s="319"/>
      <c r="BX259" s="319"/>
      <c r="BY259" s="319"/>
      <c r="BZ259" s="319"/>
      <c r="CA259" s="319"/>
      <c r="CB259" s="319"/>
      <c r="CC259" s="319"/>
      <c r="CD259" s="319"/>
      <c r="CE259" s="319"/>
      <c r="CF259" s="319"/>
    </row>
    <row r="260" spans="1:84" ht="12.75" hidden="1" customHeight="1">
      <c r="A260" s="12"/>
      <c r="B260" s="329" t="str">
        <f>Language!C2012</f>
        <v>Área de varredura por turbina</v>
      </c>
      <c r="C260" s="29" t="str">
        <f>IF(C247=$AC$1066,$AC$1081,$AC$1080)</f>
        <v>m²</v>
      </c>
      <c r="D260" s="412"/>
      <c r="E260" s="1"/>
      <c r="F260" s="29" t="str">
        <f>IF($M$3=FALSE,"",IF(C260=$AC$1080,$AC$1081,$AC$1080))</f>
        <v/>
      </c>
      <c r="G260" s="30" t="str">
        <f>IF($M$3=FALSE,"",IF(C260=$AC$1081,1/$AD$1081,$AD$1081)*D260)</f>
        <v/>
      </c>
      <c r="H260" s="1"/>
      <c r="I260" s="1"/>
      <c r="J260" s="1"/>
      <c r="K260" s="9"/>
      <c r="L260" s="1"/>
      <c r="M260" s="319"/>
      <c r="N260" s="319"/>
      <c r="O260" s="319">
        <f>IF(Offgrid=5,'Modelo Energético '!P348,SwpetAreaWind1/IF(C260=$AC$1080,1,$AD$1081))</f>
        <v>0</v>
      </c>
      <c r="P260" s="319" t="s">
        <v>3376</v>
      </c>
      <c r="Q260" s="319">
        <f>POWER(3,Q259-1)*EXP(-3)/GAMMADIST(3,Q259,1,FALSE)</f>
        <v>0.88622692545275783</v>
      </c>
      <c r="R260" s="319"/>
      <c r="S260" s="319"/>
      <c r="T260" s="319"/>
      <c r="U260" s="319"/>
      <c r="V260" s="319"/>
      <c r="W260" s="319"/>
      <c r="X260" s="319"/>
      <c r="Y260" s="319"/>
      <c r="Z260" s="319"/>
      <c r="AA260" s="319"/>
      <c r="AB260" s="319" t="s">
        <v>471</v>
      </c>
      <c r="AC260" s="319" t="s">
        <v>472</v>
      </c>
      <c r="AD260" s="319">
        <v>1.2250000000000001</v>
      </c>
      <c r="AE260" s="319" t="s">
        <v>3609</v>
      </c>
      <c r="AF260" s="319"/>
      <c r="AG260" s="319"/>
      <c r="AH260" s="319"/>
      <c r="AI260" s="319"/>
      <c r="AJ260" s="319"/>
      <c r="AK260" s="319"/>
      <c r="AL260" s="319"/>
      <c r="AM260" s="319"/>
      <c r="AN260" s="319"/>
      <c r="AO260" s="319">
        <v>2102016</v>
      </c>
      <c r="AP260" s="319"/>
      <c r="AQ260" s="319"/>
      <c r="AR260" s="319"/>
      <c r="AS260" s="319"/>
      <c r="AT260" s="319"/>
      <c r="AU260" s="319"/>
      <c r="AV260" s="319"/>
      <c r="AW260" s="319"/>
      <c r="AX260" s="319"/>
      <c r="AY260" s="319"/>
      <c r="AZ260" s="319"/>
      <c r="BA260" s="319"/>
      <c r="BB260" s="319"/>
      <c r="BC260" s="319"/>
      <c r="BD260" s="319"/>
      <c r="BE260" s="319"/>
      <c r="BF260" s="319"/>
      <c r="BG260" s="319"/>
      <c r="BH260" s="319"/>
      <c r="BI260" s="319"/>
      <c r="BJ260" s="319"/>
      <c r="BK260" s="319"/>
      <c r="BL260" s="319"/>
      <c r="BM260" s="319"/>
      <c r="BN260" s="319"/>
      <c r="BO260" s="319"/>
      <c r="BP260" s="319"/>
      <c r="BQ260" s="319"/>
      <c r="BR260" s="319"/>
      <c r="BS260" s="319"/>
      <c r="BT260" s="319"/>
      <c r="BU260" s="319"/>
      <c r="BV260" s="319"/>
      <c r="BW260" s="319"/>
      <c r="BX260" s="319"/>
      <c r="BY260" s="319"/>
      <c r="BZ260" s="319"/>
      <c r="CA260" s="319"/>
      <c r="CB260" s="319"/>
      <c r="CC260" s="319"/>
      <c r="CD260" s="319"/>
      <c r="CE260" s="319"/>
      <c r="CF260" s="319"/>
    </row>
    <row r="261" spans="1:84" ht="12.75" hidden="1" customHeight="1">
      <c r="A261" s="12"/>
      <c r="B261" s="329" t="str">
        <f>Language!C1632</f>
        <v>Dado da curva de energia</v>
      </c>
      <c r="C261" s="1"/>
      <c r="D261" s="303" t="s">
        <v>6129</v>
      </c>
      <c r="E261" s="1"/>
      <c r="F261" s="1"/>
      <c r="G261" s="1"/>
      <c r="H261" s="1"/>
      <c r="I261" s="1"/>
      <c r="J261" s="1"/>
      <c r="K261" s="9"/>
      <c r="L261" s="1"/>
      <c r="M261" s="319"/>
      <c r="N261" s="319"/>
      <c r="O261" s="319"/>
      <c r="P261" s="319"/>
      <c r="Q261" s="494">
        <v>3</v>
      </c>
      <c r="R261" s="494">
        <v>4</v>
      </c>
      <c r="S261" s="494">
        <v>5</v>
      </c>
      <c r="T261" s="494">
        <v>6</v>
      </c>
      <c r="U261" s="494">
        <v>7</v>
      </c>
      <c r="V261" s="494">
        <v>8</v>
      </c>
      <c r="W261" s="494">
        <v>9</v>
      </c>
      <c r="X261" s="494">
        <v>10</v>
      </c>
      <c r="Y261" s="494">
        <v>11</v>
      </c>
      <c r="Z261" s="494">
        <v>12</v>
      </c>
      <c r="AA261" s="494">
        <v>13</v>
      </c>
      <c r="AB261" s="494">
        <v>14</v>
      </c>
      <c r="AC261" s="494">
        <v>15</v>
      </c>
      <c r="AD261" s="494"/>
      <c r="AE261" s="319"/>
      <c r="AF261" s="319"/>
      <c r="AG261" s="319"/>
      <c r="AH261" s="319"/>
      <c r="AI261" s="319"/>
      <c r="AJ261" s="319"/>
      <c r="AK261" s="319"/>
      <c r="AL261" s="319"/>
      <c r="AM261" s="319"/>
      <c r="AN261" s="319"/>
      <c r="AO261" s="319">
        <v>2102018</v>
      </c>
      <c r="AP261" s="319"/>
      <c r="AQ261" s="319"/>
      <c r="AR261" s="319"/>
      <c r="AS261" s="319"/>
      <c r="AT261" s="319"/>
      <c r="AU261" s="319"/>
      <c r="AV261" s="319"/>
      <c r="AW261" s="319"/>
      <c r="AX261" s="319"/>
      <c r="AY261" s="319"/>
      <c r="AZ261" s="319"/>
      <c r="BA261" s="319"/>
      <c r="BB261" s="319"/>
      <c r="BC261" s="319"/>
      <c r="BD261" s="319"/>
      <c r="BE261" s="319"/>
      <c r="BF261" s="319"/>
      <c r="BG261" s="319"/>
      <c r="BH261" s="319"/>
      <c r="BI261" s="319"/>
      <c r="BJ261" s="319"/>
      <c r="BK261" s="319"/>
      <c r="BL261" s="319"/>
      <c r="BM261" s="319"/>
      <c r="BN261" s="319"/>
      <c r="BO261" s="319"/>
      <c r="BP261" s="319"/>
      <c r="BQ261" s="319"/>
      <c r="BR261" s="319"/>
      <c r="BS261" s="319"/>
      <c r="BT261" s="319"/>
      <c r="BU261" s="319"/>
      <c r="BV261" s="319"/>
      <c r="BW261" s="319"/>
      <c r="BX261" s="319"/>
      <c r="BY261" s="319"/>
      <c r="BZ261" s="319"/>
      <c r="CA261" s="319"/>
      <c r="CB261" s="319"/>
      <c r="CC261" s="319"/>
      <c r="CD261" s="319"/>
      <c r="CE261" s="319"/>
      <c r="CF261" s="319"/>
    </row>
    <row r="262" spans="1:84" ht="14.25" hidden="1" customHeight="1">
      <c r="A262" s="12"/>
      <c r="B262" s="329" t="str">
        <f>Language!C1965</f>
        <v>Fator de forma</v>
      </c>
      <c r="C262" s="1"/>
      <c r="D262" s="36">
        <v>2</v>
      </c>
      <c r="E262" s="1"/>
      <c r="F262" s="1"/>
      <c r="G262" s="1"/>
      <c r="H262" s="1"/>
      <c r="I262" s="1"/>
      <c r="J262" s="1"/>
      <c r="K262" s="9"/>
      <c r="L262" s="1"/>
      <c r="M262" s="319"/>
      <c r="N262" s="319"/>
      <c r="O262" s="319"/>
      <c r="P262" s="319" t="s">
        <v>1753</v>
      </c>
      <c r="Q262" s="494">
        <f t="shared" ref="Q262:AD262" si="15">0.5*$AD$260*SUMPRODUCT($O$269:$O$299^3,Q269:Q299)</f>
        <v>32.043673456586042</v>
      </c>
      <c r="R262" s="494">
        <f t="shared" si="15"/>
        <v>75.478985230426318</v>
      </c>
      <c r="S262" s="494">
        <f t="shared" si="15"/>
        <v>146.98922896191021</v>
      </c>
      <c r="T262" s="494">
        <f t="shared" si="15"/>
        <v>253.59310867121297</v>
      </c>
      <c r="U262" s="494">
        <f t="shared" si="15"/>
        <v>402.30297922977883</v>
      </c>
      <c r="V262" s="494">
        <f t="shared" si="15"/>
        <v>599.93794815873241</v>
      </c>
      <c r="W262" s="494">
        <f t="shared" si="15"/>
        <v>851.67311326405934</v>
      </c>
      <c r="X262" s="494">
        <f t="shared" si="15"/>
        <v>1157.0536215781028</v>
      </c>
      <c r="Y262" s="494">
        <f t="shared" si="15"/>
        <v>1505.9675510678921</v>
      </c>
      <c r="Z262" s="494">
        <f t="shared" si="15"/>
        <v>1879.0548015083568</v>
      </c>
      <c r="AA262" s="494">
        <f t="shared" si="15"/>
        <v>2252.6550439013945</v>
      </c>
      <c r="AB262" s="494">
        <f t="shared" si="15"/>
        <v>2604.6591461942517</v>
      </c>
      <c r="AC262" s="494">
        <f t="shared" si="15"/>
        <v>2918.352981212774</v>
      </c>
      <c r="AD262" s="476" t="e">
        <f t="shared" si="15"/>
        <v>#DIV/0!</v>
      </c>
      <c r="AE262" s="319"/>
      <c r="AF262" s="319"/>
      <c r="AG262" s="319"/>
      <c r="AH262" s="319"/>
      <c r="AI262" s="319"/>
      <c r="AJ262" s="319"/>
      <c r="AK262" s="319"/>
      <c r="AL262" s="319"/>
      <c r="AM262" s="319"/>
      <c r="AN262" s="319"/>
      <c r="AO262" s="319">
        <v>2102020</v>
      </c>
      <c r="AP262" s="319"/>
      <c r="AQ262" s="319"/>
      <c r="AR262" s="319"/>
      <c r="AS262" s="319"/>
      <c r="AT262" s="319"/>
      <c r="AU262" s="319"/>
      <c r="AV262" s="319"/>
      <c r="AW262" s="319"/>
      <c r="AX262" s="319"/>
      <c r="AY262" s="319"/>
      <c r="AZ262" s="319"/>
      <c r="BA262" s="319"/>
      <c r="BB262" s="319"/>
      <c r="BC262" s="319"/>
      <c r="BD262" s="319"/>
      <c r="BE262" s="319"/>
      <c r="BF262" s="319"/>
      <c r="BG262" s="319"/>
      <c r="BH262" s="319"/>
      <c r="BI262" s="319"/>
      <c r="BJ262" s="319"/>
      <c r="BK262" s="319"/>
      <c r="BL262" s="319"/>
      <c r="BM262" s="319"/>
      <c r="BN262" s="319"/>
      <c r="BO262" s="319"/>
      <c r="BP262" s="319"/>
      <c r="BQ262" s="319"/>
      <c r="BR262" s="319"/>
      <c r="BS262" s="319"/>
      <c r="BT262" s="319"/>
      <c r="BU262" s="319"/>
      <c r="BV262" s="319"/>
      <c r="BW262" s="319"/>
      <c r="BX262" s="319"/>
      <c r="BY262" s="319"/>
      <c r="BZ262" s="319"/>
      <c r="CA262" s="319"/>
      <c r="CB262" s="319"/>
      <c r="CC262" s="319"/>
      <c r="CD262" s="319"/>
      <c r="CE262" s="319"/>
      <c r="CF262" s="319"/>
    </row>
    <row r="263" spans="1:84" ht="12.75" hidden="1" customHeight="1">
      <c r="A263" s="12"/>
      <c r="B263" s="329" t="str">
        <f>B262</f>
        <v>Fator de forma</v>
      </c>
      <c r="C263" s="1"/>
      <c r="D263" s="382"/>
      <c r="E263" s="1"/>
      <c r="F263" s="1"/>
      <c r="G263" s="1"/>
      <c r="H263" s="1"/>
      <c r="I263" s="1"/>
      <c r="J263" s="1"/>
      <c r="K263" s="9"/>
      <c r="L263" s="1"/>
      <c r="M263" s="319">
        <f>IF(Offgrid=5,'Modelo Energético '!M349,IF(D261=Q226,1,IF(D261=Q227,0,2)))</f>
        <v>1</v>
      </c>
      <c r="N263" s="319"/>
      <c r="O263" s="845">
        <f>IF(Offgrid=5,'Modelo Energético '!D351,D263)</f>
        <v>0</v>
      </c>
      <c r="P263" s="319" t="s">
        <v>3864</v>
      </c>
      <c r="Q263" s="494">
        <v>3</v>
      </c>
      <c r="R263" s="494">
        <v>4</v>
      </c>
      <c r="S263" s="476">
        <v>5</v>
      </c>
      <c r="T263" s="476">
        <v>6</v>
      </c>
      <c r="U263" s="494">
        <v>7</v>
      </c>
      <c r="V263" s="494">
        <v>8</v>
      </c>
      <c r="W263" s="494">
        <v>9</v>
      </c>
      <c r="X263" s="494">
        <v>10</v>
      </c>
      <c r="Y263" s="494">
        <v>11</v>
      </c>
      <c r="Z263" s="494">
        <v>12</v>
      </c>
      <c r="AA263" s="494">
        <v>13</v>
      </c>
      <c r="AB263" s="494">
        <v>14</v>
      </c>
      <c r="AC263" s="494">
        <v>15</v>
      </c>
      <c r="AD263" s="847" t="e">
        <f>P245</f>
        <v>#DIV/0!</v>
      </c>
      <c r="AE263" s="319"/>
      <c r="AF263" s="319"/>
      <c r="AG263" s="319"/>
      <c r="AH263" s="319"/>
      <c r="AI263" s="319"/>
      <c r="AJ263" s="319"/>
      <c r="AK263" s="319"/>
      <c r="AL263" s="319"/>
      <c r="AM263" s="319"/>
      <c r="AN263" s="319"/>
      <c r="AO263" s="319">
        <v>2102020</v>
      </c>
      <c r="AP263" s="319"/>
      <c r="AQ263" s="319"/>
      <c r="AR263" s="319"/>
      <c r="AS263" s="319"/>
      <c r="AT263" s="319"/>
      <c r="AU263" s="319"/>
      <c r="AV263" s="319"/>
      <c r="AW263" s="319"/>
      <c r="AX263" s="319"/>
      <c r="AY263" s="319"/>
      <c r="AZ263" s="319"/>
      <c r="BA263" s="319"/>
      <c r="BB263" s="319"/>
      <c r="BC263" s="319"/>
      <c r="BD263" s="319"/>
      <c r="BE263" s="319"/>
      <c r="BF263" s="319"/>
      <c r="BG263" s="319"/>
      <c r="BH263" s="319"/>
      <c r="BI263" s="319"/>
      <c r="BJ263" s="319"/>
      <c r="BK263" s="319"/>
      <c r="BL263" s="319"/>
      <c r="BM263" s="319"/>
      <c r="BN263" s="319"/>
      <c r="BO263" s="319"/>
      <c r="BP263" s="319"/>
      <c r="BQ263" s="319"/>
      <c r="BR263" s="319"/>
      <c r="BS263" s="319"/>
      <c r="BT263" s="319"/>
      <c r="BU263" s="319"/>
      <c r="BV263" s="319"/>
      <c r="BW263" s="319"/>
      <c r="BX263" s="319"/>
      <c r="BY263" s="319"/>
      <c r="BZ263" s="319"/>
      <c r="CA263" s="319"/>
      <c r="CB263" s="319"/>
      <c r="CC263" s="319"/>
      <c r="CD263" s="319"/>
      <c r="CE263" s="319"/>
      <c r="CF263" s="319"/>
    </row>
    <row r="264" spans="1:84" ht="12.75" hidden="1" customHeight="1">
      <c r="A264" s="12"/>
      <c r="B264" s="1"/>
      <c r="C264" s="1"/>
      <c r="D264" s="1"/>
      <c r="E264" s="1"/>
      <c r="F264" s="1"/>
      <c r="G264" s="1"/>
      <c r="H264" s="1"/>
      <c r="I264" s="1"/>
      <c r="J264" s="1"/>
      <c r="K264" s="9"/>
      <c r="L264" s="1"/>
      <c r="M264" s="319"/>
      <c r="N264" s="319"/>
      <c r="O264" s="319"/>
      <c r="P264" s="319" t="s">
        <v>3865</v>
      </c>
      <c r="Q264" s="476">
        <f t="shared" ref="Q264:AD264" si="16">Q263/$Q$260</f>
        <v>3.3851375012865383</v>
      </c>
      <c r="R264" s="494">
        <f t="shared" si="16"/>
        <v>4.5135166683820511</v>
      </c>
      <c r="S264" s="476">
        <f t="shared" si="16"/>
        <v>5.6418958354775643</v>
      </c>
      <c r="T264" s="476">
        <f t="shared" si="16"/>
        <v>6.7702750025730767</v>
      </c>
      <c r="U264" s="476">
        <f t="shared" si="16"/>
        <v>7.8986541696685899</v>
      </c>
      <c r="V264" s="494">
        <f t="shared" si="16"/>
        <v>9.0270333367641022</v>
      </c>
      <c r="W264" s="494">
        <f t="shared" si="16"/>
        <v>10.155412503859615</v>
      </c>
      <c r="X264" s="494">
        <f t="shared" si="16"/>
        <v>11.283791670955129</v>
      </c>
      <c r="Y264" s="494">
        <f t="shared" si="16"/>
        <v>12.41217083805064</v>
      </c>
      <c r="Z264" s="494">
        <f t="shared" si="16"/>
        <v>13.540550005146153</v>
      </c>
      <c r="AA264" s="494">
        <f t="shared" si="16"/>
        <v>14.668929172241667</v>
      </c>
      <c r="AB264" s="494">
        <f t="shared" si="16"/>
        <v>15.79730833933718</v>
      </c>
      <c r="AC264" s="494">
        <f t="shared" si="16"/>
        <v>16.925687506432691</v>
      </c>
      <c r="AD264" s="476" t="e">
        <f t="shared" si="16"/>
        <v>#DIV/0!</v>
      </c>
      <c r="AE264" s="319"/>
      <c r="AF264" s="319"/>
      <c r="AG264" s="319"/>
      <c r="AH264" s="319"/>
      <c r="AI264" s="319"/>
      <c r="AJ264" s="319"/>
      <c r="AK264" s="319"/>
      <c r="AL264" s="319"/>
      <c r="AM264" s="319"/>
      <c r="AN264" s="319"/>
      <c r="AO264" s="319">
        <v>2102000</v>
      </c>
      <c r="AP264" s="319"/>
      <c r="AQ264" s="319"/>
      <c r="AR264" s="319"/>
      <c r="AS264" s="319"/>
      <c r="AT264" s="319"/>
      <c r="AU264" s="319"/>
      <c r="AV264" s="319"/>
      <c r="AW264" s="319"/>
      <c r="AX264" s="319"/>
      <c r="AY264" s="319"/>
      <c r="AZ264" s="319"/>
      <c r="BA264" s="319"/>
      <c r="BB264" s="319"/>
      <c r="BC264" s="319"/>
      <c r="BD264" s="319"/>
      <c r="BE264" s="319"/>
      <c r="BF264" s="319"/>
      <c r="BG264" s="319"/>
      <c r="BH264" s="319"/>
      <c r="BI264" s="319"/>
      <c r="BJ264" s="319"/>
      <c r="BK264" s="319"/>
      <c r="BL264" s="319"/>
      <c r="BM264" s="319"/>
      <c r="BN264" s="319"/>
      <c r="BO264" s="319"/>
      <c r="BP264" s="319"/>
      <c r="BQ264" s="319"/>
      <c r="BR264" s="319"/>
      <c r="BS264" s="319"/>
      <c r="BT264" s="319"/>
      <c r="BU264" s="319"/>
      <c r="BV264" s="319"/>
      <c r="BW264" s="319"/>
      <c r="BX264" s="319"/>
      <c r="BY264" s="319"/>
      <c r="BZ264" s="319"/>
      <c r="CA264" s="319"/>
      <c r="CB264" s="319"/>
      <c r="CC264" s="319"/>
      <c r="CD264" s="319"/>
      <c r="CE264" s="319"/>
      <c r="CF264" s="319"/>
    </row>
    <row r="265" spans="1:84" ht="12.75" hidden="1" customHeight="1">
      <c r="A265" s="12"/>
      <c r="B265" s="1"/>
      <c r="C265" s="1"/>
      <c r="D265" s="1"/>
      <c r="E265" s="1"/>
      <c r="F265" s="1"/>
      <c r="G265" s="1"/>
      <c r="H265" s="1"/>
      <c r="I265" s="1"/>
      <c r="J265" s="1"/>
      <c r="K265" s="9"/>
      <c r="L265" s="1"/>
      <c r="M265" s="319"/>
      <c r="N265" s="319"/>
      <c r="O265" s="319"/>
      <c r="P265" s="319" t="s">
        <v>5766</v>
      </c>
      <c r="Q265" s="494">
        <f t="shared" ref="Q265:AC265" si="17">SUMPRODUCT($P$269:$P$299,Q269:Q299)*8760/1000</f>
        <v>0</v>
      </c>
      <c r="R265" s="494">
        <f t="shared" si="17"/>
        <v>0</v>
      </c>
      <c r="S265" s="494">
        <f t="shared" si="17"/>
        <v>0</v>
      </c>
      <c r="T265" s="494">
        <f t="shared" si="17"/>
        <v>0</v>
      </c>
      <c r="U265" s="494">
        <f t="shared" si="17"/>
        <v>0</v>
      </c>
      <c r="V265" s="494">
        <f t="shared" si="17"/>
        <v>0</v>
      </c>
      <c r="W265" s="494">
        <f t="shared" si="17"/>
        <v>0</v>
      </c>
      <c r="X265" s="494">
        <f t="shared" si="17"/>
        <v>0</v>
      </c>
      <c r="Y265" s="494">
        <f t="shared" si="17"/>
        <v>0</v>
      </c>
      <c r="Z265" s="494">
        <f t="shared" si="17"/>
        <v>0</v>
      </c>
      <c r="AA265" s="494">
        <f t="shared" si="17"/>
        <v>0</v>
      </c>
      <c r="AB265" s="494">
        <f t="shared" si="17"/>
        <v>0</v>
      </c>
      <c r="AC265" s="494">
        <f t="shared" si="17"/>
        <v>0</v>
      </c>
      <c r="AD265" s="476"/>
      <c r="AE265" s="319"/>
      <c r="AF265" s="319"/>
      <c r="AG265" s="319"/>
      <c r="AH265" s="319"/>
      <c r="AI265" s="319"/>
      <c r="AJ265" s="319"/>
      <c r="AK265" s="319"/>
      <c r="AL265" s="319"/>
      <c r="AM265" s="319"/>
      <c r="AN265" s="319"/>
      <c r="AO265" s="319">
        <v>2102000</v>
      </c>
      <c r="AP265" s="319"/>
      <c r="AQ265" s="319"/>
      <c r="AR265" s="319"/>
      <c r="AS265" s="319"/>
      <c r="AT265" s="319"/>
      <c r="AU265" s="319"/>
      <c r="AV265" s="319"/>
      <c r="AW265" s="319"/>
      <c r="AX265" s="319"/>
      <c r="AY265" s="319"/>
      <c r="AZ265" s="319"/>
      <c r="BA265" s="319"/>
      <c r="BB265" s="319"/>
      <c r="BC265" s="319"/>
      <c r="BD265" s="319"/>
      <c r="BE265" s="319"/>
      <c r="BF265" s="319"/>
      <c r="BG265" s="319"/>
      <c r="BH265" s="319"/>
      <c r="BI265" s="319"/>
      <c r="BJ265" s="319"/>
      <c r="BK265" s="319"/>
      <c r="BL265" s="319"/>
      <c r="BM265" s="319"/>
      <c r="BN265" s="319"/>
      <c r="BO265" s="319"/>
      <c r="BP265" s="319"/>
      <c r="BQ265" s="319"/>
      <c r="BR265" s="319"/>
      <c r="BS265" s="319"/>
      <c r="BT265" s="319"/>
      <c r="BU265" s="319"/>
      <c r="BV265" s="319"/>
      <c r="BW265" s="319"/>
      <c r="BX265" s="319"/>
      <c r="BY265" s="319"/>
      <c r="BZ265" s="319"/>
      <c r="CA265" s="319"/>
      <c r="CB265" s="319"/>
      <c r="CC265" s="319"/>
      <c r="CD265" s="319"/>
      <c r="CE265" s="319"/>
      <c r="CF265" s="319"/>
    </row>
    <row r="266" spans="1:84" ht="13.2" hidden="1">
      <c r="A266" s="12"/>
      <c r="B266" s="1011" t="s">
        <v>4190</v>
      </c>
      <c r="C266" s="134" t="str">
        <f>Language!C1970</f>
        <v>Mostrar dado</v>
      </c>
      <c r="D266" s="1"/>
      <c r="E266" s="1"/>
      <c r="F266" s="1"/>
      <c r="G266" s="1"/>
      <c r="H266" s="1"/>
      <c r="I266" s="1"/>
      <c r="J266" s="1"/>
      <c r="K266" s="9"/>
      <c r="L266" s="1"/>
      <c r="M266" s="3" t="b">
        <v>1</v>
      </c>
      <c r="N266" s="319" t="s">
        <v>3745</v>
      </c>
      <c r="O266" s="319"/>
      <c r="P266" s="319"/>
      <c r="Q266" s="494">
        <v>3</v>
      </c>
      <c r="R266" s="494">
        <v>4</v>
      </c>
      <c r="S266" s="494">
        <v>5</v>
      </c>
      <c r="T266" s="494">
        <v>6</v>
      </c>
      <c r="U266" s="494">
        <v>7</v>
      </c>
      <c r="V266" s="494">
        <v>8</v>
      </c>
      <c r="W266" s="494">
        <v>9</v>
      </c>
      <c r="X266" s="494">
        <v>10</v>
      </c>
      <c r="Y266" s="494">
        <v>11</v>
      </c>
      <c r="Z266" s="494">
        <v>12</v>
      </c>
      <c r="AA266" s="494">
        <v>13</v>
      </c>
      <c r="AB266" s="494">
        <v>14</v>
      </c>
      <c r="AC266" s="494">
        <v>15</v>
      </c>
      <c r="AD266" s="319"/>
      <c r="AE266" s="319"/>
      <c r="AF266" s="319"/>
      <c r="AG266" s="319"/>
      <c r="AH266" s="319"/>
      <c r="AI266" s="319"/>
      <c r="AJ266" s="319"/>
      <c r="AK266" s="319"/>
      <c r="AL266" s="319"/>
      <c r="AM266" s="319"/>
      <c r="AN266" s="319"/>
      <c r="AO266" s="319">
        <v>2103000</v>
      </c>
      <c r="AP266" s="319"/>
      <c r="AQ266" s="319"/>
      <c r="AR266" s="319"/>
      <c r="AS266" s="319"/>
      <c r="AT266" s="319"/>
      <c r="AU266" s="319"/>
      <c r="AV266" s="319"/>
      <c r="AW266" s="319"/>
      <c r="AX266" s="319"/>
      <c r="AY266" s="319"/>
      <c r="AZ266" s="319"/>
      <c r="BA266" s="319"/>
      <c r="BB266" s="319"/>
      <c r="BC266" s="319"/>
      <c r="BD266" s="319"/>
      <c r="BE266" s="319"/>
      <c r="BF266" s="319"/>
      <c r="BG266" s="319"/>
      <c r="BH266" s="319"/>
      <c r="BI266" s="319"/>
      <c r="BJ266" s="319"/>
      <c r="BK266" s="319"/>
      <c r="BL266" s="319"/>
      <c r="BM266" s="319"/>
      <c r="BN266" s="319"/>
      <c r="BO266" s="319"/>
      <c r="BP266" s="319"/>
      <c r="BQ266" s="319"/>
      <c r="BR266" s="319"/>
      <c r="BS266" s="319"/>
      <c r="BT266" s="319"/>
      <c r="BU266" s="319"/>
      <c r="BV266" s="319"/>
      <c r="BW266" s="319"/>
      <c r="BX266" s="319"/>
      <c r="BY266" s="319"/>
      <c r="BZ266" s="319"/>
      <c r="CA266" s="319"/>
      <c r="CB266" s="319"/>
      <c r="CC266" s="319"/>
      <c r="CD266" s="319"/>
      <c r="CE266" s="319"/>
      <c r="CF266" s="319"/>
    </row>
    <row r="267" spans="1:84" ht="25.5" hidden="1" customHeight="1">
      <c r="A267" s="12"/>
      <c r="B267" s="1"/>
      <c r="C267" s="82" t="str">
        <f>Language!C1148</f>
        <v>Velocidade do Vento</v>
      </c>
      <c r="D267" s="82" t="str">
        <f>Language!C1900</f>
        <v>Curva de potência</v>
      </c>
      <c r="E267" s="82" t="str">
        <f>Language!C1632</f>
        <v>Dado da curva de energia</v>
      </c>
      <c r="F267" s="1"/>
      <c r="G267" s="1"/>
      <c r="H267" s="1"/>
      <c r="I267" s="1"/>
      <c r="J267" s="1"/>
      <c r="K267" s="9"/>
      <c r="L267" s="1"/>
      <c r="M267" s="3" t="b">
        <v>1</v>
      </c>
      <c r="N267" s="319"/>
      <c r="O267" s="319" t="s">
        <v>2342</v>
      </c>
      <c r="P267" s="319" t="s">
        <v>5204</v>
      </c>
      <c r="Q267" s="319"/>
      <c r="R267" s="319"/>
      <c r="S267" s="319"/>
      <c r="T267" s="319"/>
      <c r="U267" s="319"/>
      <c r="V267" s="319"/>
      <c r="W267" s="319"/>
      <c r="X267" s="319"/>
      <c r="Y267" s="319"/>
      <c r="Z267" s="319"/>
      <c r="AA267" s="319"/>
      <c r="AB267" s="319"/>
      <c r="AC267" s="319"/>
      <c r="AD267" s="319"/>
      <c r="AE267" s="319"/>
      <c r="AF267" s="319"/>
      <c r="AG267" s="319"/>
      <c r="AH267" s="319"/>
      <c r="AI267" s="319"/>
      <c r="AJ267" s="319"/>
      <c r="AK267" s="319"/>
      <c r="AL267" s="319"/>
      <c r="AM267" s="319"/>
      <c r="AN267" s="319"/>
      <c r="AO267" s="319">
        <v>2103000</v>
      </c>
      <c r="AP267" s="319"/>
      <c r="AQ267" s="319"/>
      <c r="AR267" s="319"/>
      <c r="AS267" s="319"/>
      <c r="AT267" s="319"/>
      <c r="AU267" s="319"/>
      <c r="AV267" s="319"/>
      <c r="AW267" s="319"/>
      <c r="AX267" s="319"/>
      <c r="AY267" s="319"/>
      <c r="AZ267" s="319"/>
      <c r="BA267" s="319"/>
      <c r="BB267" s="319"/>
      <c r="BC267" s="319"/>
      <c r="BD267" s="319"/>
      <c r="BE267" s="319"/>
      <c r="BF267" s="319"/>
      <c r="BG267" s="319"/>
      <c r="BH267" s="319"/>
      <c r="BI267" s="319"/>
      <c r="BJ267" s="319"/>
      <c r="BK267" s="319"/>
      <c r="BL267" s="319"/>
      <c r="BM267" s="319"/>
      <c r="BN267" s="319"/>
      <c r="BO267" s="319"/>
      <c r="BP267" s="319"/>
      <c r="BQ267" s="319"/>
      <c r="BR267" s="319"/>
      <c r="BS267" s="319"/>
      <c r="BT267" s="319"/>
      <c r="BU267" s="319"/>
      <c r="BV267" s="319"/>
      <c r="BW267" s="319"/>
      <c r="BX267" s="319"/>
      <c r="BY267" s="319"/>
      <c r="BZ267" s="319"/>
      <c r="CA267" s="319"/>
      <c r="CB267" s="319"/>
      <c r="CC267" s="319"/>
      <c r="CD267" s="319"/>
      <c r="CE267" s="319"/>
      <c r="CF267" s="319"/>
    </row>
    <row r="268" spans="1:84" ht="12.75" hidden="1" customHeight="1">
      <c r="A268" s="12"/>
      <c r="B268" s="1"/>
      <c r="C268" s="45" t="str">
        <f>AC1068</f>
        <v>m/s</v>
      </c>
      <c r="D268" s="45" t="str">
        <f>$C$92</f>
        <v>kW</v>
      </c>
      <c r="E268" s="45" t="str">
        <f>R14</f>
        <v>MWh</v>
      </c>
      <c r="F268" s="1"/>
      <c r="G268" s="1"/>
      <c r="H268" s="362"/>
      <c r="I268" s="1"/>
      <c r="J268" s="1"/>
      <c r="K268" s="784" t="str">
        <f>Language!C1971</f>
        <v>Mostrar figura</v>
      </c>
      <c r="L268" s="1"/>
      <c r="M268" s="319"/>
      <c r="N268" s="319"/>
      <c r="O268" s="319"/>
      <c r="P268" s="319"/>
      <c r="Q268" s="319"/>
      <c r="R268" s="319"/>
      <c r="S268" s="319"/>
      <c r="T268" s="319"/>
      <c r="U268" s="319"/>
      <c r="V268" s="319"/>
      <c r="W268" s="319"/>
      <c r="X268" s="319"/>
      <c r="Y268" s="319"/>
      <c r="Z268" s="319"/>
      <c r="AA268" s="319"/>
      <c r="AB268" s="319"/>
      <c r="AC268" s="319"/>
      <c r="AD268" s="319"/>
      <c r="AE268" s="319"/>
      <c r="AF268" s="319"/>
      <c r="AG268" s="319"/>
      <c r="AH268" s="319"/>
      <c r="AI268" s="319"/>
      <c r="AJ268" s="319"/>
      <c r="AK268" s="319"/>
      <c r="AL268" s="319"/>
      <c r="AM268" s="319"/>
      <c r="AN268" s="319"/>
      <c r="AO268" s="319">
        <v>2103000</v>
      </c>
      <c r="AP268" s="319"/>
      <c r="AQ268" s="319"/>
      <c r="AR268" s="319"/>
      <c r="AS268" s="319"/>
      <c r="AT268" s="319"/>
      <c r="AU268" s="319"/>
      <c r="AV268" s="319"/>
      <c r="AW268" s="319"/>
      <c r="AX268" s="319"/>
      <c r="AY268" s="319"/>
      <c r="AZ268" s="319"/>
      <c r="BA268" s="319"/>
      <c r="BB268" s="319"/>
      <c r="BC268" s="319"/>
      <c r="BD268" s="319"/>
      <c r="BE268" s="319"/>
      <c r="BF268" s="319"/>
      <c r="BG268" s="319"/>
      <c r="BH268" s="319"/>
      <c r="BI268" s="319"/>
      <c r="BJ268" s="319"/>
      <c r="BK268" s="319"/>
      <c r="BL268" s="319"/>
      <c r="BM268" s="319"/>
      <c r="BN268" s="319"/>
      <c r="BO268" s="319"/>
      <c r="BP268" s="319"/>
      <c r="BQ268" s="319"/>
      <c r="BR268" s="319"/>
      <c r="BS268" s="319"/>
      <c r="BT268" s="319"/>
      <c r="BU268" s="319"/>
      <c r="BV268" s="319"/>
      <c r="BW268" s="319"/>
      <c r="BX268" s="319"/>
      <c r="BY268" s="319"/>
      <c r="BZ268" s="319"/>
      <c r="CA268" s="319"/>
      <c r="CB268" s="319"/>
      <c r="CC268" s="319"/>
      <c r="CD268" s="319"/>
      <c r="CE268" s="319"/>
      <c r="CF268" s="319"/>
    </row>
    <row r="269" spans="1:84" ht="12.75" hidden="1" customHeight="1">
      <c r="A269" s="12"/>
      <c r="B269" s="1"/>
      <c r="C269" s="91">
        <v>0</v>
      </c>
      <c r="D269" s="968"/>
      <c r="E269" s="90"/>
      <c r="F269" s="1"/>
      <c r="G269" s="1"/>
      <c r="H269" s="1"/>
      <c r="I269" s="1"/>
      <c r="J269" s="1"/>
      <c r="K269" s="9"/>
      <c r="L269" s="1"/>
      <c r="M269" s="319"/>
      <c r="N269" s="319"/>
      <c r="O269" s="319">
        <v>0</v>
      </c>
      <c r="P269" s="319">
        <f>IF(Offgrid=5,'Modelo Energético '!D357,D269)</f>
        <v>0</v>
      </c>
      <c r="Q269" s="476">
        <f t="shared" ref="Q269:AD269" si="18">WEIBULL($O269+0.5,$Q$258,Q$264,TRUE)</f>
        <v>2.1580354549044913E-2</v>
      </c>
      <c r="R269" s="476">
        <f t="shared" si="18"/>
        <v>1.2196854274248482E-2</v>
      </c>
      <c r="S269" s="476">
        <f t="shared" si="18"/>
        <v>7.8232197074385324E-3</v>
      </c>
      <c r="T269" s="476">
        <f t="shared" si="18"/>
        <v>5.4393070197084597E-3</v>
      </c>
      <c r="U269" s="476">
        <f t="shared" si="18"/>
        <v>3.9991156404335084E-3</v>
      </c>
      <c r="V269" s="476">
        <f t="shared" si="18"/>
        <v>3.063260190774535E-3</v>
      </c>
      <c r="W269" s="476">
        <f t="shared" si="18"/>
        <v>2.4211327243067737E-3</v>
      </c>
      <c r="X269" s="476">
        <f t="shared" si="18"/>
        <v>1.9615690124135917E-3</v>
      </c>
      <c r="Y269" s="476">
        <f t="shared" si="18"/>
        <v>1.6214075742296617E-3</v>
      </c>
      <c r="Z269" s="476">
        <f t="shared" si="18"/>
        <v>1.3626092819094917E-3</v>
      </c>
      <c r="AA269" s="476">
        <f t="shared" si="18"/>
        <v>1.1611569376301571E-3</v>
      </c>
      <c r="AB269" s="476">
        <f t="shared" si="18"/>
        <v>1.0012817542365184E-3</v>
      </c>
      <c r="AC269" s="476">
        <f t="shared" si="18"/>
        <v>8.7228396496029001E-4</v>
      </c>
      <c r="AD269" s="476" t="e">
        <f t="shared" si="18"/>
        <v>#DIV/0!</v>
      </c>
      <c r="AE269" s="319"/>
      <c r="AF269" s="319"/>
      <c r="AG269" s="319"/>
      <c r="AH269" s="319"/>
      <c r="AI269" s="319"/>
      <c r="AJ269" s="319"/>
      <c r="AK269" s="319"/>
      <c r="AL269" s="319"/>
      <c r="AM269" s="319"/>
      <c r="AN269" s="319"/>
      <c r="AO269" s="319">
        <v>2103000</v>
      </c>
      <c r="AP269" s="319"/>
      <c r="AQ269" s="319"/>
      <c r="AR269" s="319"/>
      <c r="AS269" s="319"/>
      <c r="AT269" s="319"/>
      <c r="AU269" s="319"/>
      <c r="AV269" s="319"/>
      <c r="AW269" s="319"/>
      <c r="AX269" s="319"/>
      <c r="AY269" s="319"/>
      <c r="AZ269" s="319"/>
      <c r="BA269" s="319"/>
      <c r="BB269" s="319"/>
      <c r="BC269" s="319"/>
      <c r="BD269" s="319"/>
      <c r="BE269" s="319"/>
      <c r="BF269" s="319"/>
      <c r="BG269" s="319"/>
      <c r="BH269" s="319"/>
      <c r="BI269" s="319"/>
      <c r="BJ269" s="319"/>
      <c r="BK269" s="319"/>
      <c r="BL269" s="319"/>
      <c r="BM269" s="319"/>
      <c r="BN269" s="319"/>
      <c r="BO269" s="319"/>
      <c r="BP269" s="319"/>
      <c r="BQ269" s="319"/>
      <c r="BR269" s="319"/>
      <c r="BS269" s="319"/>
      <c r="BT269" s="319"/>
      <c r="BU269" s="319"/>
      <c r="BV269" s="319"/>
      <c r="BW269" s="319"/>
      <c r="BX269" s="319"/>
      <c r="BY269" s="319"/>
      <c r="BZ269" s="319"/>
      <c r="CA269" s="319"/>
      <c r="CB269" s="319"/>
      <c r="CC269" s="319"/>
      <c r="CD269" s="319"/>
      <c r="CE269" s="319"/>
      <c r="CF269" s="319"/>
    </row>
    <row r="270" spans="1:84" ht="12.75" hidden="1" customHeight="1">
      <c r="A270" s="12"/>
      <c r="B270" s="1"/>
      <c r="C270" s="93">
        <v>1</v>
      </c>
      <c r="D270" s="968"/>
      <c r="E270" s="37"/>
      <c r="F270" s="1"/>
      <c r="G270" s="1"/>
      <c r="H270" s="1"/>
      <c r="I270" s="1"/>
      <c r="J270" s="1"/>
      <c r="K270" s="9"/>
      <c r="L270" s="1"/>
      <c r="M270" s="319"/>
      <c r="N270" s="319"/>
      <c r="O270" s="319">
        <v>1</v>
      </c>
      <c r="P270" s="319">
        <f>IF(Offgrid=5,'Modelo Energético '!D358,D270)</f>
        <v>0</v>
      </c>
      <c r="Q270" s="476">
        <f t="shared" ref="Q270:AD285" si="19">WEIBULL($O270+0.5,$Q$258,Q$264,TRUE)-WEIBULL($O270-0.5,$Q$258,Q$264,TRUE)</f>
        <v>0.15669468741707784</v>
      </c>
      <c r="R270" s="476">
        <f t="shared" si="19"/>
        <v>9.2369015608199573E-2</v>
      </c>
      <c r="S270" s="476">
        <f t="shared" si="19"/>
        <v>6.0422209193184986E-2</v>
      </c>
      <c r="T270" s="476">
        <f t="shared" si="19"/>
        <v>4.2462766196586871E-2</v>
      </c>
      <c r="U270" s="476">
        <f t="shared" si="19"/>
        <v>3.1422520126973268E-2</v>
      </c>
      <c r="V270" s="476">
        <f t="shared" si="19"/>
        <v>2.4170676718562135E-2</v>
      </c>
      <c r="W270" s="476">
        <f t="shared" si="19"/>
        <v>1.9159221824738139E-2</v>
      </c>
      <c r="X270" s="476">
        <f t="shared" si="19"/>
        <v>1.5554665131025807E-2</v>
      </c>
      <c r="Y270" s="476">
        <f t="shared" si="19"/>
        <v>1.287697513368073E-2</v>
      </c>
      <c r="Z270" s="476">
        <f t="shared" si="19"/>
        <v>1.083424499233899E-2</v>
      </c>
      <c r="AA270" s="476">
        <f t="shared" si="19"/>
        <v>9.2408485046006784E-3</v>
      </c>
      <c r="AB270" s="476">
        <f t="shared" si="19"/>
        <v>7.9742458853386648E-3</v>
      </c>
      <c r="AC270" s="476">
        <f t="shared" si="19"/>
        <v>6.9509357424782491E-3</v>
      </c>
      <c r="AD270" s="476" t="e">
        <f t="shared" si="19"/>
        <v>#DIV/0!</v>
      </c>
      <c r="AE270" s="319"/>
      <c r="AF270" s="319"/>
      <c r="AG270" s="319"/>
      <c r="AH270" s="319"/>
      <c r="AI270" s="319"/>
      <c r="AJ270" s="319"/>
      <c r="AK270" s="319"/>
      <c r="AL270" s="319"/>
      <c r="AM270" s="319"/>
      <c r="AN270" s="319"/>
      <c r="AO270" s="319">
        <v>2103000</v>
      </c>
      <c r="AP270" s="319"/>
      <c r="AQ270" s="319"/>
      <c r="AR270" s="319"/>
      <c r="AS270" s="319"/>
      <c r="AT270" s="319"/>
      <c r="AU270" s="319"/>
      <c r="AV270" s="319"/>
      <c r="AW270" s="319"/>
      <c r="AX270" s="319"/>
      <c r="AY270" s="319"/>
      <c r="AZ270" s="319"/>
      <c r="BA270" s="319"/>
      <c r="BB270" s="319"/>
      <c r="BC270" s="319"/>
      <c r="BD270" s="319"/>
      <c r="BE270" s="319"/>
      <c r="BF270" s="319"/>
      <c r="BG270" s="319"/>
      <c r="BH270" s="319"/>
      <c r="BI270" s="319"/>
      <c r="BJ270" s="319"/>
      <c r="BK270" s="319"/>
      <c r="BL270" s="319"/>
      <c r="BM270" s="319"/>
      <c r="BN270" s="319"/>
      <c r="BO270" s="319"/>
      <c r="BP270" s="319"/>
      <c r="BQ270" s="319"/>
      <c r="BR270" s="319"/>
      <c r="BS270" s="319"/>
      <c r="BT270" s="319"/>
      <c r="BU270" s="319"/>
      <c r="BV270" s="319"/>
      <c r="BW270" s="319"/>
      <c r="BX270" s="319"/>
      <c r="BY270" s="319"/>
      <c r="BZ270" s="319"/>
      <c r="CA270" s="319"/>
      <c r="CB270" s="319"/>
      <c r="CC270" s="319"/>
      <c r="CD270" s="319"/>
      <c r="CE270" s="319"/>
      <c r="CF270" s="319"/>
    </row>
    <row r="271" spans="1:84" ht="12.75" hidden="1" customHeight="1">
      <c r="A271" s="12"/>
      <c r="B271" s="1"/>
      <c r="C271" s="107">
        <v>2</v>
      </c>
      <c r="D271" s="968"/>
      <c r="E271" s="108"/>
      <c r="F271" s="1"/>
      <c r="G271" s="1"/>
      <c r="H271" s="1"/>
      <c r="I271" s="1"/>
      <c r="J271" s="1"/>
      <c r="K271" s="9"/>
      <c r="L271" s="1"/>
      <c r="M271" s="319"/>
      <c r="N271" s="319"/>
      <c r="O271" s="319">
        <v>2</v>
      </c>
      <c r="P271" s="319">
        <f>IF(Offgrid=5,'Modelo Energético '!D359,D271)</f>
        <v>0</v>
      </c>
      <c r="Q271" s="476">
        <f t="shared" si="19"/>
        <v>0.24212398587729544</v>
      </c>
      <c r="R271" s="476">
        <f t="shared" si="19"/>
        <v>0.15963355712460525</v>
      </c>
      <c r="S271" s="476">
        <f t="shared" si="19"/>
        <v>0.11002961306549924</v>
      </c>
      <c r="T271" s="476">
        <f t="shared" si="19"/>
        <v>7.9564093113646289E-2</v>
      </c>
      <c r="U271" s="476">
        <f t="shared" si="19"/>
        <v>5.9902297951369303E-2</v>
      </c>
      <c r="V271" s="476">
        <f t="shared" si="19"/>
        <v>4.6597511176496333E-2</v>
      </c>
      <c r="W271" s="476">
        <f t="shared" si="19"/>
        <v>3.7221610683691703E-2</v>
      </c>
      <c r="X271" s="476">
        <f t="shared" si="19"/>
        <v>3.0385839072855934E-2</v>
      </c>
      <c r="Y271" s="476">
        <f t="shared" si="19"/>
        <v>2.5257835079133602E-2</v>
      </c>
      <c r="Z271" s="476">
        <f t="shared" si="19"/>
        <v>2.1317142109423596E-2</v>
      </c>
      <c r="AA271" s="476">
        <f t="shared" si="19"/>
        <v>1.8226010297262313E-2</v>
      </c>
      <c r="AB271" s="476">
        <f t="shared" si="19"/>
        <v>1.5758042864684546E-2</v>
      </c>
      <c r="AC271" s="476">
        <f t="shared" si="19"/>
        <v>1.3757134841606374E-2</v>
      </c>
      <c r="AD271" s="476" t="e">
        <f t="shared" si="19"/>
        <v>#DIV/0!</v>
      </c>
      <c r="AE271" s="319"/>
      <c r="AF271" s="319"/>
      <c r="AG271" s="319"/>
      <c r="AH271" s="319"/>
      <c r="AI271" s="319"/>
      <c r="AJ271" s="319"/>
      <c r="AK271" s="319"/>
      <c r="AL271" s="319"/>
      <c r="AM271" s="319"/>
      <c r="AN271" s="319"/>
      <c r="AO271" s="319">
        <v>2103000</v>
      </c>
      <c r="AP271" s="319"/>
      <c r="AQ271" s="319"/>
      <c r="AR271" s="319"/>
      <c r="AS271" s="319"/>
      <c r="AT271" s="319"/>
      <c r="AU271" s="319"/>
      <c r="AV271" s="319"/>
      <c r="AW271" s="319"/>
      <c r="AX271" s="319"/>
      <c r="AY271" s="319"/>
      <c r="AZ271" s="319"/>
      <c r="BA271" s="319"/>
      <c r="BB271" s="319"/>
      <c r="BC271" s="319"/>
      <c r="BD271" s="319"/>
      <c r="BE271" s="319"/>
      <c r="BF271" s="319"/>
      <c r="BG271" s="319"/>
      <c r="BH271" s="319"/>
      <c r="BI271" s="319"/>
      <c r="BJ271" s="319"/>
      <c r="BK271" s="319"/>
      <c r="BL271" s="319"/>
      <c r="BM271" s="319"/>
      <c r="BN271" s="319"/>
      <c r="BO271" s="319"/>
      <c r="BP271" s="319"/>
      <c r="BQ271" s="319"/>
      <c r="BR271" s="319"/>
      <c r="BS271" s="319"/>
      <c r="BT271" s="319"/>
      <c r="BU271" s="319"/>
      <c r="BV271" s="319"/>
      <c r="BW271" s="319"/>
      <c r="BX271" s="319"/>
      <c r="BY271" s="319"/>
      <c r="BZ271" s="319"/>
      <c r="CA271" s="319"/>
      <c r="CB271" s="319"/>
      <c r="CC271" s="319"/>
      <c r="CD271" s="319"/>
      <c r="CE271" s="319"/>
      <c r="CF271" s="319"/>
    </row>
    <row r="272" spans="1:84" ht="12.75" hidden="1" customHeight="1">
      <c r="A272" s="12"/>
      <c r="B272" s="1"/>
      <c r="C272" s="93">
        <v>3</v>
      </c>
      <c r="D272" s="968"/>
      <c r="E272" s="260">
        <f>Q$265</f>
        <v>0</v>
      </c>
      <c r="F272" s="1"/>
      <c r="G272" s="1"/>
      <c r="H272" s="1"/>
      <c r="I272" s="1"/>
      <c r="J272" s="1"/>
      <c r="K272" s="9"/>
      <c r="L272" s="1"/>
      <c r="M272" s="319"/>
      <c r="N272" s="319"/>
      <c r="O272" s="319">
        <v>3</v>
      </c>
      <c r="P272" s="319">
        <f>IF(Offgrid=5,'Modelo Energético '!D360,D272)</f>
        <v>0</v>
      </c>
      <c r="Q272" s="476">
        <f t="shared" si="19"/>
        <v>0.23625413883536339</v>
      </c>
      <c r="R272" s="476">
        <f t="shared" si="19"/>
        <v>0.18771314731566413</v>
      </c>
      <c r="S272" s="476">
        <f t="shared" si="19"/>
        <v>0.14116891190601594</v>
      </c>
      <c r="T272" s="476">
        <f t="shared" si="19"/>
        <v>0.10705486765781982</v>
      </c>
      <c r="U272" s="476">
        <f t="shared" si="19"/>
        <v>8.295110824734668E-2</v>
      </c>
      <c r="V272" s="476">
        <f t="shared" si="19"/>
        <v>6.5744663113627838E-2</v>
      </c>
      <c r="W272" s="476">
        <f t="shared" si="19"/>
        <v>5.319431926259028E-2</v>
      </c>
      <c r="X272" s="476">
        <f t="shared" si="19"/>
        <v>4.3825826190512576E-2</v>
      </c>
      <c r="Y272" s="476">
        <f t="shared" si="19"/>
        <v>3.66781846791739E-2</v>
      </c>
      <c r="Z272" s="476">
        <f t="shared" si="19"/>
        <v>3.1116264942132578E-2</v>
      </c>
      <c r="AA272" s="476">
        <f t="shared" si="19"/>
        <v>2.6711553441362144E-2</v>
      </c>
      <c r="AB272" s="476">
        <f t="shared" si="19"/>
        <v>2.3168502712035601E-2</v>
      </c>
      <c r="AC272" s="476">
        <f t="shared" si="19"/>
        <v>2.0278872013738503E-2</v>
      </c>
      <c r="AD272" s="476" t="e">
        <f t="shared" si="19"/>
        <v>#DIV/0!</v>
      </c>
      <c r="AE272" s="319"/>
      <c r="AF272" s="319"/>
      <c r="AG272" s="319"/>
      <c r="AH272" s="319"/>
      <c r="AI272" s="319"/>
      <c r="AJ272" s="319"/>
      <c r="AK272" s="319"/>
      <c r="AL272" s="319"/>
      <c r="AM272" s="319"/>
      <c r="AN272" s="319"/>
      <c r="AO272" s="319">
        <v>2103000</v>
      </c>
      <c r="AP272" s="319"/>
      <c r="AQ272" s="319"/>
      <c r="AR272" s="319"/>
      <c r="AS272" s="319"/>
      <c r="AT272" s="319"/>
      <c r="AU272" s="319"/>
      <c r="AV272" s="319"/>
      <c r="AW272" s="319"/>
      <c r="AX272" s="319"/>
      <c r="AY272" s="319"/>
      <c r="AZ272" s="319"/>
      <c r="BA272" s="319"/>
      <c r="BB272" s="319"/>
      <c r="BC272" s="319"/>
      <c r="BD272" s="319"/>
      <c r="BE272" s="319"/>
      <c r="BF272" s="319"/>
      <c r="BG272" s="319"/>
      <c r="BH272" s="319"/>
      <c r="BI272" s="319"/>
      <c r="BJ272" s="319"/>
      <c r="BK272" s="319"/>
      <c r="BL272" s="319"/>
      <c r="BM272" s="319"/>
      <c r="BN272" s="319"/>
      <c r="BO272" s="319"/>
      <c r="BP272" s="319"/>
      <c r="BQ272" s="319"/>
      <c r="BR272" s="319"/>
      <c r="BS272" s="319"/>
      <c r="BT272" s="319"/>
      <c r="BU272" s="319"/>
      <c r="BV272" s="319"/>
      <c r="BW272" s="319"/>
      <c r="BX272" s="319"/>
      <c r="BY272" s="319"/>
      <c r="BZ272" s="319"/>
      <c r="CA272" s="319"/>
      <c r="CB272" s="319"/>
      <c r="CC272" s="319"/>
      <c r="CD272" s="319"/>
      <c r="CE272" s="319"/>
      <c r="CF272" s="319"/>
    </row>
    <row r="273" spans="1:84" ht="12.75" hidden="1" customHeight="1">
      <c r="A273" s="12"/>
      <c r="B273" s="1"/>
      <c r="C273" s="93">
        <v>4</v>
      </c>
      <c r="D273" s="968"/>
      <c r="E273" s="260">
        <f>R$265</f>
        <v>0</v>
      </c>
      <c r="F273" s="1"/>
      <c r="G273" s="1"/>
      <c r="H273" s="1"/>
      <c r="I273" s="1"/>
      <c r="J273" s="1"/>
      <c r="K273" s="9"/>
      <c r="L273" s="1"/>
      <c r="M273" s="319"/>
      <c r="N273" s="319"/>
      <c r="O273" s="319">
        <v>4</v>
      </c>
      <c r="P273" s="319">
        <f>IF(Offgrid=5,'Modelo Energético '!D361,D273)</f>
        <v>0</v>
      </c>
      <c r="Q273" s="476">
        <f t="shared" si="19"/>
        <v>0.17252699716828834</v>
      </c>
      <c r="R273" s="476">
        <f t="shared" si="19"/>
        <v>0.17800130822315446</v>
      </c>
      <c r="S273" s="476">
        <f t="shared" si="19"/>
        <v>0.15124154958466562</v>
      </c>
      <c r="T273" s="476">
        <f t="shared" si="19"/>
        <v>0.12259206758706495</v>
      </c>
      <c r="U273" s="476">
        <f t="shared" si="19"/>
        <v>9.8892497918557143E-2</v>
      </c>
      <c r="V273" s="476">
        <f t="shared" si="19"/>
        <v>8.0457840166010319E-2</v>
      </c>
      <c r="W273" s="476">
        <f t="shared" si="19"/>
        <v>6.6278757470795868E-2</v>
      </c>
      <c r="X273" s="476">
        <f t="shared" si="19"/>
        <v>5.5312528932790719E-2</v>
      </c>
      <c r="Y273" s="476">
        <f t="shared" si="19"/>
        <v>4.6734241673280483E-2</v>
      </c>
      <c r="Z273" s="476">
        <f t="shared" si="19"/>
        <v>3.9935608556643395E-2</v>
      </c>
      <c r="AA273" s="476">
        <f t="shared" si="19"/>
        <v>3.4476301306424331E-2</v>
      </c>
      <c r="AB273" s="476">
        <f t="shared" si="19"/>
        <v>3.0037439461158194E-2</v>
      </c>
      <c r="AC273" s="476">
        <f t="shared" si="19"/>
        <v>2.6386202337840128E-2</v>
      </c>
      <c r="AD273" s="476" t="e">
        <f t="shared" si="19"/>
        <v>#DIV/0!</v>
      </c>
      <c r="AE273" s="319"/>
      <c r="AF273" s="319"/>
      <c r="AG273" s="319"/>
      <c r="AH273" s="319"/>
      <c r="AI273" s="319"/>
      <c r="AJ273" s="319"/>
      <c r="AK273" s="319"/>
      <c r="AL273" s="319"/>
      <c r="AM273" s="319"/>
      <c r="AN273" s="319"/>
      <c r="AO273" s="319">
        <v>2103000</v>
      </c>
      <c r="AP273" s="319"/>
      <c r="AQ273" s="319"/>
      <c r="AR273" s="319"/>
      <c r="AS273" s="319"/>
      <c r="AT273" s="319"/>
      <c r="AU273" s="319"/>
      <c r="AV273" s="319"/>
      <c r="AW273" s="319"/>
      <c r="AX273" s="319"/>
      <c r="AY273" s="319"/>
      <c r="AZ273" s="319"/>
      <c r="BA273" s="319"/>
      <c r="BB273" s="319"/>
      <c r="BC273" s="319"/>
      <c r="BD273" s="319"/>
      <c r="BE273" s="319"/>
      <c r="BF273" s="319"/>
      <c r="BG273" s="319"/>
      <c r="BH273" s="319"/>
      <c r="BI273" s="319"/>
      <c r="BJ273" s="319"/>
      <c r="BK273" s="319"/>
      <c r="BL273" s="319"/>
      <c r="BM273" s="319"/>
      <c r="BN273" s="319"/>
      <c r="BO273" s="319"/>
      <c r="BP273" s="319"/>
      <c r="BQ273" s="319"/>
      <c r="BR273" s="319"/>
      <c r="BS273" s="319"/>
      <c r="BT273" s="319"/>
      <c r="BU273" s="319"/>
      <c r="BV273" s="319"/>
      <c r="BW273" s="319"/>
      <c r="BX273" s="319"/>
      <c r="BY273" s="319"/>
      <c r="BZ273" s="319"/>
      <c r="CA273" s="319"/>
      <c r="CB273" s="319"/>
      <c r="CC273" s="319"/>
      <c r="CD273" s="319"/>
      <c r="CE273" s="319"/>
      <c r="CF273" s="319"/>
    </row>
    <row r="274" spans="1:84" ht="12.75" hidden="1" customHeight="1">
      <c r="A274" s="12"/>
      <c r="B274" s="1"/>
      <c r="C274" s="93">
        <v>5</v>
      </c>
      <c r="D274" s="968"/>
      <c r="E274" s="260">
        <f>S$265</f>
        <v>0</v>
      </c>
      <c r="F274" s="1"/>
      <c r="G274" s="1"/>
      <c r="H274" s="1"/>
      <c r="I274" s="1"/>
      <c r="J274" s="1"/>
      <c r="K274" s="9"/>
      <c r="L274" s="1"/>
      <c r="M274" s="319"/>
      <c r="N274" s="319"/>
      <c r="O274" s="319">
        <v>5</v>
      </c>
      <c r="P274" s="319">
        <f>IF(Offgrid=5,'Modelo Energético '!D362,D274)</f>
        <v>0</v>
      </c>
      <c r="Q274" s="476">
        <f t="shared" si="19"/>
        <v>9.9445041900739439E-2</v>
      </c>
      <c r="R274" s="476">
        <f t="shared" si="19"/>
        <v>0.1435596309467343</v>
      </c>
      <c r="S274" s="476">
        <f t="shared" si="19"/>
        <v>0.14270176385698646</v>
      </c>
      <c r="T274" s="476">
        <f t="shared" si="19"/>
        <v>0.12601107669983685</v>
      </c>
      <c r="U274" s="476">
        <f t="shared" si="19"/>
        <v>0.10705100058990291</v>
      </c>
      <c r="V274" s="476">
        <f t="shared" si="19"/>
        <v>9.0076211640941151E-2</v>
      </c>
      <c r="W274" s="476">
        <f t="shared" si="19"/>
        <v>7.5935746574731733E-2</v>
      </c>
      <c r="X274" s="476">
        <f t="shared" si="19"/>
        <v>6.4428087684544444E-2</v>
      </c>
      <c r="Y274" s="476">
        <f t="shared" si="19"/>
        <v>5.5106397826624381E-2</v>
      </c>
      <c r="Z274" s="476">
        <f t="shared" si="19"/>
        <v>4.7530383392142841E-2</v>
      </c>
      <c r="AA274" s="476">
        <f t="shared" si="19"/>
        <v>4.1331386642654122E-2</v>
      </c>
      <c r="AB274" s="476">
        <f t="shared" si="19"/>
        <v>3.6217702574755525E-2</v>
      </c>
      <c r="AC274" s="476">
        <f t="shared" si="19"/>
        <v>3.1963260579516969E-2</v>
      </c>
      <c r="AD274" s="476" t="e">
        <f t="shared" si="19"/>
        <v>#DIV/0!</v>
      </c>
      <c r="AE274" s="319"/>
      <c r="AF274" s="319"/>
      <c r="AG274" s="319"/>
      <c r="AH274" s="319"/>
      <c r="AI274" s="319"/>
      <c r="AJ274" s="319"/>
      <c r="AK274" s="319"/>
      <c r="AL274" s="319"/>
      <c r="AM274" s="319"/>
      <c r="AN274" s="319"/>
      <c r="AO274" s="319">
        <v>2103000</v>
      </c>
      <c r="AP274" s="319"/>
      <c r="AQ274" s="319"/>
      <c r="AR274" s="319"/>
      <c r="AS274" s="319"/>
      <c r="AT274" s="319"/>
      <c r="AU274" s="319"/>
      <c r="AV274" s="319"/>
      <c r="AW274" s="319"/>
      <c r="AX274" s="319"/>
      <c r="AY274" s="319"/>
      <c r="AZ274" s="319"/>
      <c r="BA274" s="319"/>
      <c r="BB274" s="319"/>
      <c r="BC274" s="319"/>
      <c r="BD274" s="319"/>
      <c r="BE274" s="319"/>
      <c r="BF274" s="319"/>
      <c r="BG274" s="319"/>
      <c r="BH274" s="319"/>
      <c r="BI274" s="319"/>
      <c r="BJ274" s="319"/>
      <c r="BK274" s="319"/>
      <c r="BL274" s="319"/>
      <c r="BM274" s="319"/>
      <c r="BN274" s="319"/>
      <c r="BO274" s="319"/>
      <c r="BP274" s="319"/>
      <c r="BQ274" s="319"/>
      <c r="BR274" s="319"/>
      <c r="BS274" s="319"/>
      <c r="BT274" s="319"/>
      <c r="BU274" s="319"/>
      <c r="BV274" s="319"/>
      <c r="BW274" s="319"/>
      <c r="BX274" s="319"/>
      <c r="BY274" s="319"/>
      <c r="BZ274" s="319"/>
      <c r="CA274" s="319"/>
      <c r="CB274" s="319"/>
      <c r="CC274" s="319"/>
      <c r="CD274" s="319"/>
      <c r="CE274" s="319"/>
      <c r="CF274" s="319"/>
    </row>
    <row r="275" spans="1:84" ht="12.75" hidden="1" customHeight="1">
      <c r="A275" s="12"/>
      <c r="B275" s="1"/>
      <c r="C275" s="107">
        <v>6</v>
      </c>
      <c r="D275" s="968"/>
      <c r="E275" s="261">
        <f>T265</f>
        <v>0</v>
      </c>
      <c r="F275" s="1"/>
      <c r="G275" s="1"/>
      <c r="H275" s="1"/>
      <c r="I275" s="1"/>
      <c r="J275" s="1"/>
      <c r="K275" s="9"/>
      <c r="L275" s="1"/>
      <c r="M275" s="319"/>
      <c r="N275" s="319"/>
      <c r="O275" s="319">
        <v>6</v>
      </c>
      <c r="P275" s="319">
        <f>IF(Offgrid=5,'Modelo Energético '!D363,D275)</f>
        <v>0</v>
      </c>
      <c r="Q275" s="476">
        <f t="shared" si="19"/>
        <v>4.6327965215813061E-2</v>
      </c>
      <c r="R275" s="476">
        <f t="shared" si="19"/>
        <v>0.10083715318750652</v>
      </c>
      <c r="S275" s="476">
        <f t="shared" si="19"/>
        <v>0.12142648970435754</v>
      </c>
      <c r="T275" s="476">
        <f t="shared" si="19"/>
        <v>0.11905437918932305</v>
      </c>
      <c r="U275" s="476">
        <f t="shared" si="19"/>
        <v>0.10774677609044658</v>
      </c>
      <c r="V275" s="476">
        <f t="shared" si="19"/>
        <v>9.4468209234554401E-2</v>
      </c>
      <c r="W275" s="476">
        <f t="shared" si="19"/>
        <v>8.1918301114372927E-2</v>
      </c>
      <c r="X275" s="476">
        <f t="shared" si="19"/>
        <v>7.0922697482617481E-2</v>
      </c>
      <c r="Y275" s="476">
        <f t="shared" si="19"/>
        <v>6.1575544141666411E-2</v>
      </c>
      <c r="Z275" s="476">
        <f t="shared" si="19"/>
        <v>5.3718075963452294E-2</v>
      </c>
      <c r="AA275" s="476">
        <f t="shared" si="19"/>
        <v>4.7127784836189013E-2</v>
      </c>
      <c r="AB275" s="476">
        <f t="shared" si="19"/>
        <v>4.1588369391085331E-2</v>
      </c>
      <c r="AC275" s="476">
        <f t="shared" si="19"/>
        <v>3.691189244619468E-2</v>
      </c>
      <c r="AD275" s="476" t="e">
        <f t="shared" si="19"/>
        <v>#DIV/0!</v>
      </c>
      <c r="AE275" s="319"/>
      <c r="AF275" s="319"/>
      <c r="AG275" s="319"/>
      <c r="AH275" s="319"/>
      <c r="AI275" s="319"/>
      <c r="AJ275" s="319"/>
      <c r="AK275" s="319"/>
      <c r="AL275" s="319"/>
      <c r="AM275" s="319"/>
      <c r="AN275" s="319"/>
      <c r="AO275" s="319">
        <v>2103000</v>
      </c>
      <c r="AP275" s="319"/>
      <c r="AQ275" s="319"/>
      <c r="AR275" s="319"/>
      <c r="AS275" s="319"/>
      <c r="AT275" s="319"/>
      <c r="AU275" s="319"/>
      <c r="AV275" s="319"/>
      <c r="AW275" s="319"/>
      <c r="AX275" s="319"/>
      <c r="AY275" s="319"/>
      <c r="AZ275" s="319"/>
      <c r="BA275" s="319"/>
      <c r="BB275" s="319"/>
      <c r="BC275" s="319"/>
      <c r="BD275" s="319"/>
      <c r="BE275" s="319"/>
      <c r="BF275" s="319"/>
      <c r="BG275" s="319"/>
      <c r="BH275" s="319"/>
      <c r="BI275" s="319"/>
      <c r="BJ275" s="319"/>
      <c r="BK275" s="319"/>
      <c r="BL275" s="319"/>
      <c r="BM275" s="319"/>
      <c r="BN275" s="319"/>
      <c r="BO275" s="319"/>
      <c r="BP275" s="319"/>
      <c r="BQ275" s="319"/>
      <c r="BR275" s="319"/>
      <c r="BS275" s="319"/>
      <c r="BT275" s="319"/>
      <c r="BU275" s="319"/>
      <c r="BV275" s="319"/>
      <c r="BW275" s="319"/>
      <c r="BX275" s="319"/>
      <c r="BY275" s="319"/>
      <c r="BZ275" s="319"/>
      <c r="CA275" s="319"/>
      <c r="CB275" s="319"/>
      <c r="CC275" s="319"/>
      <c r="CD275" s="319"/>
      <c r="CE275" s="319"/>
      <c r="CF275" s="319"/>
    </row>
    <row r="276" spans="1:84" ht="12.75" hidden="1" customHeight="1">
      <c r="A276" s="12"/>
      <c r="B276" s="1"/>
      <c r="C276" s="93">
        <v>7</v>
      </c>
      <c r="D276" s="968"/>
      <c r="E276" s="260">
        <f>U265</f>
        <v>0</v>
      </c>
      <c r="F276" s="1"/>
      <c r="G276" s="1"/>
      <c r="H276" s="1"/>
      <c r="I276" s="1"/>
      <c r="J276" s="1"/>
      <c r="K276" s="9"/>
      <c r="L276" s="1"/>
      <c r="M276" s="319"/>
      <c r="N276" s="319"/>
      <c r="O276" s="319">
        <v>7</v>
      </c>
      <c r="P276" s="319">
        <f>IF(Offgrid=5,'Modelo Energético '!D364,D276)</f>
        <v>0</v>
      </c>
      <c r="Q276" s="476">
        <f t="shared" si="19"/>
        <v>1.7665034599033902E-2</v>
      </c>
      <c r="R276" s="476">
        <f t="shared" si="19"/>
        <v>6.2471283373899067E-2</v>
      </c>
      <c r="S276" s="476">
        <f t="shared" si="19"/>
        <v>9.4366406828921501E-2</v>
      </c>
      <c r="T276" s="476">
        <f t="shared" si="19"/>
        <v>0.10470479370275187</v>
      </c>
      <c r="U276" s="476">
        <f t="shared" si="19"/>
        <v>0.10211705862068277</v>
      </c>
      <c r="V276" s="476">
        <f t="shared" si="19"/>
        <v>9.3991673875443049E-2</v>
      </c>
      <c r="W276" s="476">
        <f t="shared" si="19"/>
        <v>8.4269938188190785E-2</v>
      </c>
      <c r="X276" s="476">
        <f t="shared" si="19"/>
        <v>7.4721888068065789E-2</v>
      </c>
      <c r="Y276" s="476">
        <f t="shared" si="19"/>
        <v>6.6031051882493391E-2</v>
      </c>
      <c r="Z276" s="476">
        <f t="shared" si="19"/>
        <v>5.8385097769010103E-2</v>
      </c>
      <c r="AA276" s="476">
        <f t="shared" si="19"/>
        <v>5.1761413948009871E-2</v>
      </c>
      <c r="AB276" s="476">
        <f t="shared" si="19"/>
        <v>4.6058543844432226E-2</v>
      </c>
      <c r="AC276" s="476">
        <f t="shared" si="19"/>
        <v>4.1154460039787566E-2</v>
      </c>
      <c r="AD276" s="476" t="e">
        <f t="shared" si="19"/>
        <v>#DIV/0!</v>
      </c>
      <c r="AE276" s="319"/>
      <c r="AF276" s="319"/>
      <c r="AG276" s="319"/>
      <c r="AH276" s="319"/>
      <c r="AI276" s="319"/>
      <c r="AJ276" s="319"/>
      <c r="AK276" s="319"/>
      <c r="AL276" s="319"/>
      <c r="AM276" s="319"/>
      <c r="AN276" s="319"/>
      <c r="AO276" s="319">
        <v>2103000</v>
      </c>
      <c r="AP276" s="319"/>
      <c r="AQ276" s="319"/>
      <c r="AR276" s="319"/>
      <c r="AS276" s="319"/>
      <c r="AT276" s="319"/>
      <c r="AU276" s="319"/>
      <c r="AV276" s="319"/>
      <c r="AW276" s="319"/>
      <c r="AX276" s="319"/>
      <c r="AY276" s="319"/>
      <c r="AZ276" s="319"/>
      <c r="BA276" s="319"/>
      <c r="BB276" s="319"/>
      <c r="BC276" s="319"/>
      <c r="BD276" s="319"/>
      <c r="BE276" s="319"/>
      <c r="BF276" s="319"/>
      <c r="BG276" s="319"/>
      <c r="BH276" s="319"/>
      <c r="BI276" s="319"/>
      <c r="BJ276" s="319"/>
      <c r="BK276" s="319"/>
      <c r="BL276" s="319"/>
      <c r="BM276" s="319"/>
      <c r="BN276" s="319"/>
      <c r="BO276" s="319"/>
      <c r="BP276" s="319"/>
      <c r="BQ276" s="319"/>
      <c r="BR276" s="319"/>
      <c r="BS276" s="319"/>
      <c r="BT276" s="319"/>
      <c r="BU276" s="319"/>
      <c r="BV276" s="319"/>
      <c r="BW276" s="319"/>
      <c r="BX276" s="319"/>
      <c r="BY276" s="319"/>
      <c r="BZ276" s="319"/>
      <c r="CA276" s="319"/>
      <c r="CB276" s="319"/>
      <c r="CC276" s="319"/>
      <c r="CD276" s="319"/>
      <c r="CE276" s="319"/>
      <c r="CF276" s="319"/>
    </row>
    <row r="277" spans="1:84" ht="12.75" hidden="1" customHeight="1">
      <c r="A277" s="12"/>
      <c r="B277" s="1"/>
      <c r="C277" s="93">
        <v>8</v>
      </c>
      <c r="D277" s="968"/>
      <c r="E277" s="260">
        <f>V$265</f>
        <v>0</v>
      </c>
      <c r="F277" s="1"/>
      <c r="G277" s="1"/>
      <c r="H277" s="1"/>
      <c r="I277" s="1"/>
      <c r="J277" s="1"/>
      <c r="K277" s="9"/>
      <c r="L277" s="1"/>
      <c r="M277" s="319"/>
      <c r="N277" s="319"/>
      <c r="O277" s="319">
        <v>8</v>
      </c>
      <c r="P277" s="319">
        <f>IF(Offgrid=5,'Modelo Energético '!D365,D277)</f>
        <v>0</v>
      </c>
      <c r="Q277" s="476">
        <f t="shared" si="19"/>
        <v>5.5546517818859664E-3</v>
      </c>
      <c r="R277" s="476">
        <f t="shared" si="19"/>
        <v>3.4394530612597118E-2</v>
      </c>
      <c r="S277" s="476">
        <f t="shared" si="19"/>
        <v>6.7487063096326794E-2</v>
      </c>
      <c r="T277" s="476">
        <f t="shared" si="19"/>
        <v>8.6367793321398545E-2</v>
      </c>
      <c r="U277" s="476">
        <f t="shared" si="19"/>
        <v>9.1823185976237953E-2</v>
      </c>
      <c r="V277" s="476">
        <f t="shared" si="19"/>
        <v>8.9392446071667964E-2</v>
      </c>
      <c r="W277" s="476">
        <f t="shared" si="19"/>
        <v>8.3291578505539254E-2</v>
      </c>
      <c r="X277" s="476">
        <f t="shared" si="19"/>
        <v>7.5917627745189065E-2</v>
      </c>
      <c r="Y277" s="476">
        <f t="shared" si="19"/>
        <v>6.8470186088422313E-2</v>
      </c>
      <c r="Z277" s="476">
        <f t="shared" si="19"/>
        <v>6.1488743600620011E-2</v>
      </c>
      <c r="AA277" s="476">
        <f t="shared" si="19"/>
        <v>5.517557940922424E-2</v>
      </c>
      <c r="AB277" s="476">
        <f t="shared" si="19"/>
        <v>4.9569603354022052E-2</v>
      </c>
      <c r="AC277" s="476">
        <f t="shared" si="19"/>
        <v>4.463571313709408E-2</v>
      </c>
      <c r="AD277" s="476" t="e">
        <f t="shared" si="19"/>
        <v>#DIV/0!</v>
      </c>
      <c r="AE277" s="319"/>
      <c r="AF277" s="319"/>
      <c r="AG277" s="319"/>
      <c r="AH277" s="319"/>
      <c r="AI277" s="319"/>
      <c r="AJ277" s="319"/>
      <c r="AK277" s="319"/>
      <c r="AL277" s="319"/>
      <c r="AM277" s="319"/>
      <c r="AN277" s="319"/>
      <c r="AO277" s="319">
        <v>2103000</v>
      </c>
      <c r="AP277" s="319"/>
      <c r="AQ277" s="319"/>
      <c r="AR277" s="319"/>
      <c r="AS277" s="319"/>
      <c r="AT277" s="319"/>
      <c r="AU277" s="319"/>
      <c r="AV277" s="319"/>
      <c r="AW277" s="319"/>
      <c r="AX277" s="319"/>
      <c r="AY277" s="319"/>
      <c r="AZ277" s="319"/>
      <c r="BA277" s="319"/>
      <c r="BB277" s="319"/>
      <c r="BC277" s="319"/>
      <c r="BD277" s="319"/>
      <c r="BE277" s="319"/>
      <c r="BF277" s="319"/>
      <c r="BG277" s="319"/>
      <c r="BH277" s="319"/>
      <c r="BI277" s="319"/>
      <c r="BJ277" s="319"/>
      <c r="BK277" s="319"/>
      <c r="BL277" s="319"/>
      <c r="BM277" s="319"/>
      <c r="BN277" s="319"/>
      <c r="BO277" s="319"/>
      <c r="BP277" s="319"/>
      <c r="BQ277" s="319"/>
      <c r="BR277" s="319"/>
      <c r="BS277" s="319"/>
      <c r="BT277" s="319"/>
      <c r="BU277" s="319"/>
      <c r="BV277" s="319"/>
      <c r="BW277" s="319"/>
      <c r="BX277" s="319"/>
      <c r="BY277" s="319"/>
      <c r="BZ277" s="319"/>
      <c r="CA277" s="319"/>
      <c r="CB277" s="319"/>
      <c r="CC277" s="319"/>
      <c r="CD277" s="319"/>
      <c r="CE277" s="319"/>
      <c r="CF277" s="319"/>
    </row>
    <row r="278" spans="1:84" ht="12.75" hidden="1" customHeight="1">
      <c r="A278" s="12"/>
      <c r="B278" s="1"/>
      <c r="C278" s="93">
        <v>9</v>
      </c>
      <c r="D278" s="968"/>
      <c r="E278" s="260">
        <f>W$265</f>
        <v>0</v>
      </c>
      <c r="F278" s="1"/>
      <c r="G278" s="1"/>
      <c r="H278" s="1"/>
      <c r="I278" s="1"/>
      <c r="J278" s="1"/>
      <c r="K278" s="9"/>
      <c r="L278" s="1"/>
      <c r="M278" s="319"/>
      <c r="N278" s="319"/>
      <c r="O278" s="319">
        <v>9</v>
      </c>
      <c r="P278" s="319">
        <f>IF(Offgrid=5,'Modelo Energético '!D366,D278)</f>
        <v>0</v>
      </c>
      <c r="Q278" s="476">
        <f t="shared" si="19"/>
        <v>1.4473170143087799E-3</v>
      </c>
      <c r="R278" s="476">
        <f t="shared" si="19"/>
        <v>1.6910656061071672E-2</v>
      </c>
      <c r="S278" s="476">
        <f t="shared" si="19"/>
        <v>4.4631118733262531E-2</v>
      </c>
      <c r="T278" s="476">
        <f t="shared" si="19"/>
        <v>6.7145431605687977E-2</v>
      </c>
      <c r="U278" s="476">
        <f t="shared" si="19"/>
        <v>7.871941452421205E-2</v>
      </c>
      <c r="V278" s="476">
        <f t="shared" si="19"/>
        <v>8.1664894034450097E-2</v>
      </c>
      <c r="W278" s="476">
        <f t="shared" si="19"/>
        <v>7.9484345660767675E-2</v>
      </c>
      <c r="X278" s="476">
        <f t="shared" si="19"/>
        <v>7.4745497555153029E-2</v>
      </c>
      <c r="Y278" s="476">
        <f t="shared" si="19"/>
        <v>6.8989588295533144E-2</v>
      </c>
      <c r="Z278" s="476">
        <f t="shared" si="19"/>
        <v>6.3054587509104809E-2</v>
      </c>
      <c r="AA278" s="476">
        <f t="shared" si="19"/>
        <v>5.7360741710094809E-2</v>
      </c>
      <c r="AB278" s="476">
        <f t="shared" si="19"/>
        <v>5.2095838393637295E-2</v>
      </c>
      <c r="AC278" s="476">
        <f t="shared" si="19"/>
        <v>4.7323672403503048E-2</v>
      </c>
      <c r="AD278" s="476" t="e">
        <f t="shared" si="19"/>
        <v>#DIV/0!</v>
      </c>
      <c r="AE278" s="319"/>
      <c r="AF278" s="319"/>
      <c r="AG278" s="319"/>
      <c r="AH278" s="319"/>
      <c r="AI278" s="319"/>
      <c r="AJ278" s="319"/>
      <c r="AK278" s="319"/>
      <c r="AL278" s="319"/>
      <c r="AM278" s="319"/>
      <c r="AN278" s="319"/>
      <c r="AO278" s="319">
        <v>2103000</v>
      </c>
      <c r="AP278" s="319"/>
      <c r="AQ278" s="319"/>
      <c r="AR278" s="319"/>
      <c r="AS278" s="319"/>
      <c r="AT278" s="319"/>
      <c r="AU278" s="319"/>
      <c r="AV278" s="319"/>
      <c r="AW278" s="319"/>
      <c r="AX278" s="319"/>
      <c r="AY278" s="319"/>
      <c r="AZ278" s="319"/>
      <c r="BA278" s="319"/>
      <c r="BB278" s="319"/>
      <c r="BC278" s="319"/>
      <c r="BD278" s="319"/>
      <c r="BE278" s="319"/>
      <c r="BF278" s="319"/>
      <c r="BG278" s="319"/>
      <c r="BH278" s="319"/>
      <c r="BI278" s="319"/>
      <c r="BJ278" s="319"/>
      <c r="BK278" s="319"/>
      <c r="BL278" s="319"/>
      <c r="BM278" s="319"/>
      <c r="BN278" s="319"/>
      <c r="BO278" s="319"/>
      <c r="BP278" s="319"/>
      <c r="BQ278" s="319"/>
      <c r="BR278" s="319"/>
      <c r="BS278" s="319"/>
      <c r="BT278" s="319"/>
      <c r="BU278" s="319"/>
      <c r="BV278" s="319"/>
      <c r="BW278" s="319"/>
      <c r="BX278" s="319"/>
      <c r="BY278" s="319"/>
      <c r="BZ278" s="319"/>
      <c r="CA278" s="319"/>
      <c r="CB278" s="319"/>
      <c r="CC278" s="319"/>
      <c r="CD278" s="319"/>
      <c r="CE278" s="319"/>
      <c r="CF278" s="319"/>
    </row>
    <row r="279" spans="1:84" ht="12.75" hidden="1" customHeight="1">
      <c r="A279" s="12"/>
      <c r="B279" s="1"/>
      <c r="C279" s="107">
        <v>10</v>
      </c>
      <c r="D279" s="968"/>
      <c r="E279" s="261">
        <f>X265</f>
        <v>0</v>
      </c>
      <c r="F279" s="1"/>
      <c r="G279" s="1"/>
      <c r="H279" s="1"/>
      <c r="I279" s="1"/>
      <c r="J279" s="1"/>
      <c r="K279" s="9"/>
      <c r="L279" s="1"/>
      <c r="M279" s="319"/>
      <c r="N279" s="319"/>
      <c r="O279" s="319">
        <v>10</v>
      </c>
      <c r="P279" s="319">
        <f>IF(Offgrid=5,'Modelo Energético '!D367,D279)</f>
        <v>0</v>
      </c>
      <c r="Q279" s="476">
        <f t="shared" si="19"/>
        <v>3.1351283346015002E-4</v>
      </c>
      <c r="R279" s="476">
        <f t="shared" si="19"/>
        <v>7.4496406805596438E-3</v>
      </c>
      <c r="S279" s="476">
        <f t="shared" si="19"/>
        <v>2.7385020814491901E-2</v>
      </c>
      <c r="T279" s="476">
        <f t="shared" si="19"/>
        <v>4.9363368333866231E-2</v>
      </c>
      <c r="U279" s="476">
        <f t="shared" si="19"/>
        <v>6.4555188160907773E-2</v>
      </c>
      <c r="V279" s="476">
        <f t="shared" si="19"/>
        <v>7.1901427135894536E-2</v>
      </c>
      <c r="W279" s="476">
        <f t="shared" si="19"/>
        <v>7.3478214669056241E-2</v>
      </c>
      <c r="X279" s="476">
        <f t="shared" si="19"/>
        <v>7.1551616973316579E-2</v>
      </c>
      <c r="Y279" s="476">
        <f t="shared" si="19"/>
        <v>6.777019614557428E-2</v>
      </c>
      <c r="Z279" s="476">
        <f t="shared" si="19"/>
        <v>6.3169816205939311E-2</v>
      </c>
      <c r="AA279" s="476">
        <f t="shared" si="19"/>
        <v>5.8351777703344154E-2</v>
      </c>
      <c r="AB279" s="476">
        <f t="shared" si="19"/>
        <v>5.3643531339440442E-2</v>
      </c>
      <c r="AC279" s="476">
        <f t="shared" si="19"/>
        <v>4.9209526365418865E-2</v>
      </c>
      <c r="AD279" s="476" t="e">
        <f t="shared" si="19"/>
        <v>#DIV/0!</v>
      </c>
      <c r="AE279" s="319"/>
      <c r="AF279" s="319"/>
      <c r="AG279" s="319"/>
      <c r="AH279" s="319"/>
      <c r="AI279" s="319"/>
      <c r="AJ279" s="319"/>
      <c r="AK279" s="319"/>
      <c r="AL279" s="319"/>
      <c r="AM279" s="319"/>
      <c r="AN279" s="319"/>
      <c r="AO279" s="319">
        <v>2103000</v>
      </c>
      <c r="AP279" s="319"/>
      <c r="AQ279" s="319"/>
      <c r="AR279" s="319"/>
      <c r="AS279" s="319"/>
      <c r="AT279" s="319"/>
      <c r="AU279" s="319"/>
      <c r="AV279" s="319"/>
      <c r="AW279" s="319"/>
      <c r="AX279" s="319"/>
      <c r="AY279" s="319"/>
      <c r="AZ279" s="319"/>
      <c r="BA279" s="319"/>
      <c r="BB279" s="319"/>
      <c r="BC279" s="319"/>
      <c r="BD279" s="319"/>
      <c r="BE279" s="319"/>
      <c r="BF279" s="319"/>
      <c r="BG279" s="319"/>
      <c r="BH279" s="319"/>
      <c r="BI279" s="319"/>
      <c r="BJ279" s="319"/>
      <c r="BK279" s="319"/>
      <c r="BL279" s="319"/>
      <c r="BM279" s="319"/>
      <c r="BN279" s="319"/>
      <c r="BO279" s="319"/>
      <c r="BP279" s="319"/>
      <c r="BQ279" s="319"/>
      <c r="BR279" s="319"/>
      <c r="BS279" s="319"/>
      <c r="BT279" s="319"/>
      <c r="BU279" s="319"/>
      <c r="BV279" s="319"/>
      <c r="BW279" s="319"/>
      <c r="BX279" s="319"/>
      <c r="BY279" s="319"/>
      <c r="BZ279" s="319"/>
      <c r="CA279" s="319"/>
      <c r="CB279" s="319"/>
      <c r="CC279" s="319"/>
      <c r="CD279" s="319"/>
      <c r="CE279" s="319"/>
      <c r="CF279" s="319"/>
    </row>
    <row r="280" spans="1:84" ht="12.75" hidden="1" customHeight="1">
      <c r="A280" s="12"/>
      <c r="B280" s="1"/>
      <c r="C280" s="93">
        <v>11</v>
      </c>
      <c r="D280" s="968"/>
      <c r="E280" s="260">
        <f>Y265</f>
        <v>0</v>
      </c>
      <c r="F280" s="1"/>
      <c r="G280" s="1"/>
      <c r="H280" s="1"/>
      <c r="I280" s="1"/>
      <c r="J280" s="1"/>
      <c r="K280" s="9"/>
      <c r="L280" s="1"/>
      <c r="M280" s="319"/>
      <c r="N280" s="319"/>
      <c r="O280" s="319">
        <v>11</v>
      </c>
      <c r="P280" s="319">
        <f>IF(Offgrid=5,'Modelo Energético '!D368,D280)</f>
        <v>0</v>
      </c>
      <c r="Q280" s="476">
        <f t="shared" si="19"/>
        <v>5.6589548408592094E-5</v>
      </c>
      <c r="R280" s="476">
        <f t="shared" si="19"/>
        <v>2.9474146606879303E-3</v>
      </c>
      <c r="S280" s="476">
        <f t="shared" si="19"/>
        <v>1.5627019040915124E-2</v>
      </c>
      <c r="T280" s="476">
        <f t="shared" si="19"/>
        <v>3.4399083901793026E-2</v>
      </c>
      <c r="U280" s="476">
        <f t="shared" si="19"/>
        <v>5.0761031142261048E-2</v>
      </c>
      <c r="V280" s="476">
        <f t="shared" si="19"/>
        <v>6.1155758683699823E-2</v>
      </c>
      <c r="W280" s="476">
        <f t="shared" si="19"/>
        <v>6.5957212168254897E-2</v>
      </c>
      <c r="X280" s="476">
        <f t="shared" si="19"/>
        <v>6.6753816388076093E-2</v>
      </c>
      <c r="Y280" s="476">
        <f t="shared" si="19"/>
        <v>6.505748972409886E-2</v>
      </c>
      <c r="Z280" s="476">
        <f t="shared" si="19"/>
        <v>6.1973299403624449E-2</v>
      </c>
      <c r="AA280" s="476">
        <f t="shared" si="19"/>
        <v>5.8223073577071627E-2</v>
      </c>
      <c r="AB280" s="476">
        <f t="shared" si="19"/>
        <v>5.4248614892948577E-2</v>
      </c>
      <c r="AC280" s="476">
        <f t="shared" si="19"/>
        <v>5.0306597116367036E-2</v>
      </c>
      <c r="AD280" s="476" t="e">
        <f t="shared" si="19"/>
        <v>#DIV/0!</v>
      </c>
      <c r="AE280" s="319"/>
      <c r="AF280" s="319"/>
      <c r="AG280" s="319"/>
      <c r="AH280" s="319"/>
      <c r="AI280" s="319"/>
      <c r="AJ280" s="319"/>
      <c r="AK280" s="319"/>
      <c r="AL280" s="319"/>
      <c r="AM280" s="319"/>
      <c r="AN280" s="319"/>
      <c r="AO280" s="319">
        <v>2103000</v>
      </c>
      <c r="AP280" s="319"/>
      <c r="AQ280" s="319"/>
      <c r="AR280" s="319"/>
      <c r="AS280" s="319"/>
      <c r="AT280" s="319"/>
      <c r="AU280" s="319"/>
      <c r="AV280" s="319"/>
      <c r="AW280" s="319"/>
      <c r="AX280" s="319"/>
      <c r="AY280" s="319"/>
      <c r="AZ280" s="319"/>
      <c r="BA280" s="319"/>
      <c r="BB280" s="319"/>
      <c r="BC280" s="319"/>
      <c r="BD280" s="319"/>
      <c r="BE280" s="319"/>
      <c r="BF280" s="319"/>
      <c r="BG280" s="319"/>
      <c r="BH280" s="319"/>
      <c r="BI280" s="319"/>
      <c r="BJ280" s="319"/>
      <c r="BK280" s="319"/>
      <c r="BL280" s="319"/>
      <c r="BM280" s="319"/>
      <c r="BN280" s="319"/>
      <c r="BO280" s="319"/>
      <c r="BP280" s="319"/>
      <c r="BQ280" s="319"/>
      <c r="BR280" s="319"/>
      <c r="BS280" s="319"/>
      <c r="BT280" s="319"/>
      <c r="BU280" s="319"/>
      <c r="BV280" s="319"/>
      <c r="BW280" s="319"/>
      <c r="BX280" s="319"/>
      <c r="BY280" s="319"/>
      <c r="BZ280" s="319"/>
      <c r="CA280" s="319"/>
      <c r="CB280" s="319"/>
      <c r="CC280" s="319"/>
      <c r="CD280" s="319"/>
      <c r="CE280" s="319"/>
      <c r="CF280" s="319"/>
    </row>
    <row r="281" spans="1:84" ht="12.75" hidden="1" customHeight="1">
      <c r="A281" s="12"/>
      <c r="B281" s="1"/>
      <c r="C281" s="93">
        <v>12</v>
      </c>
      <c r="D281" s="968"/>
      <c r="E281" s="260">
        <f>Z$265</f>
        <v>0</v>
      </c>
      <c r="F281" s="1"/>
      <c r="G281" s="1"/>
      <c r="H281" s="1"/>
      <c r="I281" s="1"/>
      <c r="J281" s="1"/>
      <c r="K281" s="9"/>
      <c r="L281" s="1"/>
      <c r="M281" s="319"/>
      <c r="N281" s="319"/>
      <c r="O281" s="319">
        <v>12</v>
      </c>
      <c r="P281" s="319">
        <f>IF(Offgrid=5,'Modelo Energético '!D369,D281)</f>
        <v>0</v>
      </c>
      <c r="Q281" s="476">
        <f t="shared" si="19"/>
        <v>8.525891325494861E-6</v>
      </c>
      <c r="R281" s="476">
        <f t="shared" si="19"/>
        <v>1.0491452816409064E-3</v>
      </c>
      <c r="S281" s="476">
        <f t="shared" si="19"/>
        <v>8.3078200305901628E-3</v>
      </c>
      <c r="T281" s="476">
        <f t="shared" si="19"/>
        <v>2.2761626200626273E-2</v>
      </c>
      <c r="U281" s="476">
        <f t="shared" si="19"/>
        <v>3.8338961926674298E-2</v>
      </c>
      <c r="V281" s="476">
        <f t="shared" si="19"/>
        <v>5.0337960250902758E-2</v>
      </c>
      <c r="W281" s="476">
        <f t="shared" si="19"/>
        <v>5.7590833666358754E-2</v>
      </c>
      <c r="X281" s="476">
        <f t="shared" si="19"/>
        <v>6.0801690930176844E-2</v>
      </c>
      <c r="Y281" s="476">
        <f t="shared" si="19"/>
        <v>6.1139222403204352E-2</v>
      </c>
      <c r="Z281" s="476">
        <f t="shared" si="19"/>
        <v>5.9643398853576168E-2</v>
      </c>
      <c r="AA281" s="476">
        <f t="shared" si="19"/>
        <v>5.7081916863903293E-2</v>
      </c>
      <c r="AB281" s="476">
        <f t="shared" si="19"/>
        <v>5.3973128941641968E-2</v>
      </c>
      <c r="AC281" s="476">
        <f t="shared" si="19"/>
        <v>5.0648476854912416E-2</v>
      </c>
      <c r="AD281" s="476" t="e">
        <f t="shared" si="19"/>
        <v>#DIV/0!</v>
      </c>
      <c r="AE281" s="319"/>
      <c r="AF281" s="319"/>
      <c r="AG281" s="319"/>
      <c r="AH281" s="319"/>
      <c r="AI281" s="319"/>
      <c r="AJ281" s="319"/>
      <c r="AK281" s="319"/>
      <c r="AL281" s="319"/>
      <c r="AM281" s="319"/>
      <c r="AN281" s="319"/>
      <c r="AO281" s="319">
        <v>2103000</v>
      </c>
      <c r="AP281" s="319"/>
      <c r="AQ281" s="319"/>
      <c r="AR281" s="319"/>
      <c r="AS281" s="319"/>
      <c r="AT281" s="319"/>
      <c r="AU281" s="319"/>
      <c r="AV281" s="319"/>
      <c r="AW281" s="319"/>
      <c r="AX281" s="319"/>
      <c r="AY281" s="319"/>
      <c r="AZ281" s="319"/>
      <c r="BA281" s="319"/>
      <c r="BB281" s="319"/>
      <c r="BC281" s="319"/>
      <c r="BD281" s="319"/>
      <c r="BE281" s="319"/>
      <c r="BF281" s="319"/>
      <c r="BG281" s="319"/>
      <c r="BH281" s="319"/>
      <c r="BI281" s="319"/>
      <c r="BJ281" s="319"/>
      <c r="BK281" s="319"/>
      <c r="BL281" s="319"/>
      <c r="BM281" s="319"/>
      <c r="BN281" s="319"/>
      <c r="BO281" s="319"/>
      <c r="BP281" s="319"/>
      <c r="BQ281" s="319"/>
      <c r="BR281" s="319"/>
      <c r="BS281" s="319"/>
      <c r="BT281" s="319"/>
      <c r="BU281" s="319"/>
      <c r="BV281" s="319"/>
      <c r="BW281" s="319"/>
      <c r="BX281" s="319"/>
      <c r="BY281" s="319"/>
      <c r="BZ281" s="319"/>
      <c r="CA281" s="319"/>
      <c r="CB281" s="319"/>
      <c r="CC281" s="319"/>
      <c r="CD281" s="319"/>
      <c r="CE281" s="319"/>
      <c r="CF281" s="319"/>
    </row>
    <row r="282" spans="1:84" ht="12.75" hidden="1" customHeight="1">
      <c r="A282" s="12"/>
      <c r="B282" s="1"/>
      <c r="C282" s="93">
        <v>13</v>
      </c>
      <c r="D282" s="968"/>
      <c r="E282" s="260">
        <f>AA265</f>
        <v>0</v>
      </c>
      <c r="F282" s="1"/>
      <c r="G282" s="1"/>
      <c r="H282" s="1"/>
      <c r="I282" s="1"/>
      <c r="J282" s="1"/>
      <c r="K282" s="9"/>
      <c r="L282" s="1"/>
      <c r="M282" s="319"/>
      <c r="N282" s="319"/>
      <c r="O282" s="319">
        <v>13</v>
      </c>
      <c r="P282" s="319">
        <f>IF(Offgrid=5,'Modelo Energético '!D370,D282)</f>
        <v>0</v>
      </c>
      <c r="Q282" s="476">
        <f t="shared" si="19"/>
        <v>1.073532583939496E-6</v>
      </c>
      <c r="R282" s="476">
        <f t="shared" si="19"/>
        <v>3.3642841883607666E-4</v>
      </c>
      <c r="S282" s="476">
        <f t="shared" si="19"/>
        <v>4.12024402864275E-3</v>
      </c>
      <c r="T282" s="476">
        <f t="shared" si="19"/>
        <v>1.4320280947648922E-2</v>
      </c>
      <c r="U282" s="476">
        <f t="shared" si="19"/>
        <v>2.7850854189108598E-2</v>
      </c>
      <c r="V282" s="476">
        <f t="shared" si="19"/>
        <v>4.0150405033604564E-2</v>
      </c>
      <c r="W282" s="476">
        <f t="shared" si="19"/>
        <v>4.8978951333674914E-2</v>
      </c>
      <c r="X282" s="476">
        <f t="shared" si="19"/>
        <v>5.4139693474347994E-2</v>
      </c>
      <c r="Y282" s="476">
        <f t="shared" si="19"/>
        <v>5.6322800172998511E-2</v>
      </c>
      <c r="Z282" s="476">
        <f t="shared" si="19"/>
        <v>5.6384609965953847E-2</v>
      </c>
      <c r="AA282" s="476">
        <f t="shared" si="19"/>
        <v>5.5060737352119915E-2</v>
      </c>
      <c r="AB282" s="476">
        <f t="shared" si="19"/>
        <v>5.2900753069628936E-2</v>
      </c>
      <c r="AC282" s="476">
        <f t="shared" si="19"/>
        <v>5.0286475613386117E-2</v>
      </c>
      <c r="AD282" s="476" t="e">
        <f t="shared" si="19"/>
        <v>#DIV/0!</v>
      </c>
      <c r="AE282" s="319"/>
      <c r="AF282" s="319"/>
      <c r="AG282" s="319"/>
      <c r="AH282" s="319"/>
      <c r="AI282" s="319"/>
      <c r="AJ282" s="319"/>
      <c r="AK282" s="319"/>
      <c r="AL282" s="319"/>
      <c r="AM282" s="319"/>
      <c r="AN282" s="319"/>
      <c r="AO282" s="319">
        <v>2103000</v>
      </c>
      <c r="AP282" s="319"/>
      <c r="AQ282" s="319"/>
      <c r="AR282" s="319"/>
      <c r="AS282" s="319"/>
      <c r="AT282" s="319"/>
      <c r="AU282" s="319"/>
      <c r="AV282" s="319"/>
      <c r="AW282" s="319"/>
      <c r="AX282" s="319"/>
      <c r="AY282" s="319"/>
      <c r="AZ282" s="319"/>
      <c r="BA282" s="319"/>
      <c r="BB282" s="319"/>
      <c r="BC282" s="319"/>
      <c r="BD282" s="319"/>
      <c r="BE282" s="319"/>
      <c r="BF282" s="319"/>
      <c r="BG282" s="319"/>
      <c r="BH282" s="319"/>
      <c r="BI282" s="319"/>
      <c r="BJ282" s="319"/>
      <c r="BK282" s="319"/>
      <c r="BL282" s="319"/>
      <c r="BM282" s="319"/>
      <c r="BN282" s="319"/>
      <c r="BO282" s="319"/>
      <c r="BP282" s="319"/>
      <c r="BQ282" s="319"/>
      <c r="BR282" s="319"/>
      <c r="BS282" s="319"/>
      <c r="BT282" s="319"/>
      <c r="BU282" s="319"/>
      <c r="BV282" s="319"/>
      <c r="BW282" s="319"/>
      <c r="BX282" s="319"/>
      <c r="BY282" s="319"/>
      <c r="BZ282" s="319"/>
      <c r="CA282" s="319"/>
      <c r="CB282" s="319"/>
      <c r="CC282" s="319"/>
      <c r="CD282" s="319"/>
      <c r="CE282" s="319"/>
      <c r="CF282" s="319"/>
    </row>
    <row r="283" spans="1:84" ht="12.75" hidden="1" customHeight="1">
      <c r="A283" s="12"/>
      <c r="B283" s="1"/>
      <c r="C283" s="107">
        <v>14</v>
      </c>
      <c r="D283" s="968"/>
      <c r="E283" s="261">
        <f>AB265</f>
        <v>0</v>
      </c>
      <c r="F283" s="1"/>
      <c r="G283" s="1"/>
      <c r="H283" s="1"/>
      <c r="I283" s="1"/>
      <c r="J283" s="1"/>
      <c r="K283" s="9"/>
      <c r="L283" s="1"/>
      <c r="M283" s="319"/>
      <c r="N283" s="319"/>
      <c r="O283" s="319">
        <v>14</v>
      </c>
      <c r="P283" s="319">
        <f>IF(Offgrid=5,'Modelo Energético '!D371,D283)</f>
        <v>0</v>
      </c>
      <c r="Q283" s="476">
        <f t="shared" si="19"/>
        <v>1.1307906588875483E-7</v>
      </c>
      <c r="R283" s="476">
        <f t="shared" si="19"/>
        <v>9.7287638894383299E-5</v>
      </c>
      <c r="S283" s="476">
        <f t="shared" si="19"/>
        <v>1.9082359679529759E-3</v>
      </c>
      <c r="T283" s="476">
        <f t="shared" si="19"/>
        <v>8.5751258569332078E-3</v>
      </c>
      <c r="U283" s="476">
        <f t="shared" si="19"/>
        <v>1.9479326183300949E-2</v>
      </c>
      <c r="V283" s="476">
        <f t="shared" si="19"/>
        <v>3.1064854625034721E-2</v>
      </c>
      <c r="W283" s="476">
        <f t="shared" si="19"/>
        <v>4.0614365015484322E-2</v>
      </c>
      <c r="X283" s="476">
        <f t="shared" si="19"/>
        <v>4.7176480079907379E-2</v>
      </c>
      <c r="Y283" s="476">
        <f t="shared" si="19"/>
        <v>5.0914245752975873E-2</v>
      </c>
      <c r="Z283" s="476">
        <f t="shared" si="19"/>
        <v>5.2414112704776805E-2</v>
      </c>
      <c r="AA283" s="476">
        <f t="shared" si="19"/>
        <v>5.2308778940103773E-2</v>
      </c>
      <c r="AB283" s="476">
        <f t="shared" si="19"/>
        <v>5.1131727012726502E-2</v>
      </c>
      <c r="AC283" s="476">
        <f t="shared" si="19"/>
        <v>4.9286547913593604E-2</v>
      </c>
      <c r="AD283" s="476" t="e">
        <f t="shared" si="19"/>
        <v>#DIV/0!</v>
      </c>
      <c r="AE283" s="319"/>
      <c r="AF283" s="319"/>
      <c r="AG283" s="319"/>
      <c r="AH283" s="319"/>
      <c r="AI283" s="319"/>
      <c r="AJ283" s="319"/>
      <c r="AK283" s="319"/>
      <c r="AL283" s="319"/>
      <c r="AM283" s="319"/>
      <c r="AN283" s="319"/>
      <c r="AO283" s="319">
        <v>2103000</v>
      </c>
      <c r="AP283" s="319"/>
      <c r="AQ283" s="319"/>
      <c r="AR283" s="319"/>
      <c r="AS283" s="319"/>
      <c r="AT283" s="319"/>
      <c r="AU283" s="319"/>
      <c r="AV283" s="319"/>
      <c r="AW283" s="319"/>
      <c r="AX283" s="319"/>
      <c r="AY283" s="319"/>
      <c r="AZ283" s="319"/>
      <c r="BA283" s="319"/>
      <c r="BB283" s="319"/>
      <c r="BC283" s="319"/>
      <c r="BD283" s="319"/>
      <c r="BE283" s="319"/>
      <c r="BF283" s="319"/>
      <c r="BG283" s="319"/>
      <c r="BH283" s="319"/>
      <c r="BI283" s="319"/>
      <c r="BJ283" s="319"/>
      <c r="BK283" s="319"/>
      <c r="BL283" s="319"/>
      <c r="BM283" s="319"/>
      <c r="BN283" s="319"/>
      <c r="BO283" s="319"/>
      <c r="BP283" s="319"/>
      <c r="BQ283" s="319"/>
      <c r="BR283" s="319"/>
      <c r="BS283" s="319"/>
      <c r="BT283" s="319"/>
      <c r="BU283" s="319"/>
      <c r="BV283" s="319"/>
      <c r="BW283" s="319"/>
      <c r="BX283" s="319"/>
      <c r="BY283" s="319"/>
      <c r="BZ283" s="319"/>
      <c r="CA283" s="319"/>
      <c r="CB283" s="319"/>
      <c r="CC283" s="319"/>
      <c r="CD283" s="319"/>
      <c r="CE283" s="319"/>
      <c r="CF283" s="319"/>
    </row>
    <row r="284" spans="1:84" ht="12.75" hidden="1" customHeight="1">
      <c r="A284" s="12"/>
      <c r="B284" s="1"/>
      <c r="C284" s="93">
        <v>15</v>
      </c>
      <c r="D284" s="968"/>
      <c r="E284" s="260">
        <f>AC265</f>
        <v>0</v>
      </c>
      <c r="F284" s="1"/>
      <c r="G284" s="1"/>
      <c r="H284" s="1"/>
      <c r="I284" s="1"/>
      <c r="J284" s="1"/>
      <c r="K284" s="9"/>
      <c r="L284" s="1"/>
      <c r="M284" s="319"/>
      <c r="N284" s="319"/>
      <c r="O284" s="319">
        <v>15</v>
      </c>
      <c r="P284" s="319">
        <f>IF(Offgrid=5,'Modelo Energético '!D372,D284)</f>
        <v>0</v>
      </c>
      <c r="Q284" s="476">
        <f t="shared" si="19"/>
        <v>9.9716425117080121E-9</v>
      </c>
      <c r="R284" s="476">
        <f t="shared" si="19"/>
        <v>2.5391163584465026E-5</v>
      </c>
      <c r="S284" s="476">
        <f t="shared" si="19"/>
        <v>8.2598039653958288E-4</v>
      </c>
      <c r="T284" s="476">
        <f t="shared" si="19"/>
        <v>4.8913188149717346E-3</v>
      </c>
      <c r="U284" s="476">
        <f t="shared" si="19"/>
        <v>1.3128118641026143E-2</v>
      </c>
      <c r="V284" s="476">
        <f t="shared" si="19"/>
        <v>2.3334029535481804E-2</v>
      </c>
      <c r="W284" s="476">
        <f t="shared" si="19"/>
        <v>3.2863958769155155E-2</v>
      </c>
      <c r="X284" s="476">
        <f t="shared" si="19"/>
        <v>4.0262509702497895E-2</v>
      </c>
      <c r="Y284" s="476">
        <f t="shared" si="19"/>
        <v>4.520027748939115E-2</v>
      </c>
      <c r="Z284" s="476">
        <f t="shared" si="19"/>
        <v>4.7949194888345037E-2</v>
      </c>
      <c r="AA284" s="476">
        <f t="shared" si="19"/>
        <v>4.8983767950225188E-2</v>
      </c>
      <c r="AB284" s="476">
        <f t="shared" si="19"/>
        <v>4.8777482281733286E-2</v>
      </c>
      <c r="AC284" s="476">
        <f t="shared" si="19"/>
        <v>4.7725881484823041E-2</v>
      </c>
      <c r="AD284" s="476" t="e">
        <f t="shared" si="19"/>
        <v>#DIV/0!</v>
      </c>
      <c r="AE284" s="319"/>
      <c r="AF284" s="319"/>
      <c r="AG284" s="319"/>
      <c r="AH284" s="319"/>
      <c r="AI284" s="319"/>
      <c r="AJ284" s="319"/>
      <c r="AK284" s="319"/>
      <c r="AL284" s="319"/>
      <c r="AM284" s="319"/>
      <c r="AN284" s="319"/>
      <c r="AO284" s="319">
        <v>2103000</v>
      </c>
      <c r="AP284" s="319"/>
      <c r="AQ284" s="319"/>
      <c r="AR284" s="319"/>
      <c r="AS284" s="319"/>
      <c r="AT284" s="319"/>
      <c r="AU284" s="319"/>
      <c r="AV284" s="319"/>
      <c r="AW284" s="319"/>
      <c r="AX284" s="319"/>
      <c r="AY284" s="319"/>
      <c r="AZ284" s="319"/>
      <c r="BA284" s="319"/>
      <c r="BB284" s="319"/>
      <c r="BC284" s="319"/>
      <c r="BD284" s="319"/>
      <c r="BE284" s="319"/>
      <c r="BF284" s="319"/>
      <c r="BG284" s="319"/>
      <c r="BH284" s="319"/>
      <c r="BI284" s="319"/>
      <c r="BJ284" s="319"/>
      <c r="BK284" s="319"/>
      <c r="BL284" s="319"/>
      <c r="BM284" s="319"/>
      <c r="BN284" s="319"/>
      <c r="BO284" s="319"/>
      <c r="BP284" s="319"/>
      <c r="BQ284" s="319"/>
      <c r="BR284" s="319"/>
      <c r="BS284" s="319"/>
      <c r="BT284" s="319"/>
      <c r="BU284" s="319"/>
      <c r="BV284" s="319"/>
      <c r="BW284" s="319"/>
      <c r="BX284" s="319"/>
      <c r="BY284" s="319"/>
      <c r="BZ284" s="319"/>
      <c r="CA284" s="319"/>
      <c r="CB284" s="319"/>
      <c r="CC284" s="319"/>
      <c r="CD284" s="319"/>
      <c r="CE284" s="319"/>
      <c r="CF284" s="319"/>
    </row>
    <row r="285" spans="1:84" ht="12.75" hidden="1" customHeight="1">
      <c r="A285" s="12"/>
      <c r="B285" s="1"/>
      <c r="C285" s="93">
        <v>16</v>
      </c>
      <c r="D285" s="968"/>
      <c r="E285" s="37"/>
      <c r="F285" s="1"/>
      <c r="G285" s="1"/>
      <c r="H285" s="1"/>
      <c r="I285" s="1"/>
      <c r="J285" s="1"/>
      <c r="K285" s="9"/>
      <c r="L285" s="1"/>
      <c r="M285" s="319"/>
      <c r="N285" s="319"/>
      <c r="O285" s="319">
        <v>16</v>
      </c>
      <c r="P285" s="319">
        <f>IF(Offgrid=5,'Modelo Energético '!D373,D285)</f>
        <v>0</v>
      </c>
      <c r="Q285" s="476">
        <f t="shared" si="19"/>
        <v>7.3658901200701621E-10</v>
      </c>
      <c r="R285" s="476">
        <f t="shared" si="19"/>
        <v>5.9848089201119947E-6</v>
      </c>
      <c r="S285" s="476">
        <f t="shared" si="19"/>
        <v>3.3436600821656892E-4</v>
      </c>
      <c r="T285" s="476">
        <f t="shared" si="19"/>
        <v>2.6594676907285564E-3</v>
      </c>
      <c r="U285" s="476">
        <f t="shared" si="19"/>
        <v>8.5312194594030499E-3</v>
      </c>
      <c r="V285" s="476">
        <f t="shared" si="19"/>
        <v>1.7026999573130142E-2</v>
      </c>
      <c r="W285" s="476">
        <f t="shared" si="19"/>
        <v>2.5966718116099963E-2</v>
      </c>
      <c r="X285" s="476">
        <f t="shared" si="19"/>
        <v>3.3676633783653043E-2</v>
      </c>
      <c r="Y285" s="476">
        <f t="shared" si="19"/>
        <v>3.9434519784588895E-2</v>
      </c>
      <c r="Z285" s="476">
        <f t="shared" si="19"/>
        <v>4.3196323353612454E-2</v>
      </c>
      <c r="AA285" s="476">
        <f t="shared" si="19"/>
        <v>4.5244084327919043E-2</v>
      </c>
      <c r="AB285" s="476">
        <f t="shared" si="19"/>
        <v>4.5955296152623393E-2</v>
      </c>
      <c r="AC285" s="476">
        <f t="shared" si="19"/>
        <v>4.5689334458569819E-2</v>
      </c>
      <c r="AD285" s="476" t="e">
        <f t="shared" si="19"/>
        <v>#DIV/0!</v>
      </c>
      <c r="AE285" s="319"/>
      <c r="AF285" s="319"/>
      <c r="AG285" s="319"/>
      <c r="AH285" s="319"/>
      <c r="AI285" s="319"/>
      <c r="AJ285" s="319"/>
      <c r="AK285" s="319"/>
      <c r="AL285" s="319"/>
      <c r="AM285" s="319"/>
      <c r="AN285" s="319"/>
      <c r="AO285" s="319">
        <v>2103000</v>
      </c>
      <c r="AP285" s="319"/>
      <c r="AQ285" s="319"/>
      <c r="AR285" s="319"/>
      <c r="AS285" s="319"/>
      <c r="AT285" s="319"/>
      <c r="AU285" s="319"/>
      <c r="AV285" s="319"/>
      <c r="AW285" s="319"/>
      <c r="AX285" s="319"/>
      <c r="AY285" s="319"/>
      <c r="AZ285" s="319"/>
      <c r="BA285" s="319"/>
      <c r="BB285" s="319"/>
      <c r="BC285" s="319"/>
      <c r="BD285" s="319"/>
      <c r="BE285" s="319"/>
      <c r="BF285" s="319"/>
      <c r="BG285" s="319"/>
      <c r="BH285" s="319"/>
      <c r="BI285" s="319"/>
      <c r="BJ285" s="319"/>
      <c r="BK285" s="319"/>
      <c r="BL285" s="319"/>
      <c r="BM285" s="319"/>
      <c r="BN285" s="319"/>
      <c r="BO285" s="319"/>
      <c r="BP285" s="319"/>
      <c r="BQ285" s="319"/>
      <c r="BR285" s="319"/>
      <c r="BS285" s="319"/>
      <c r="BT285" s="319"/>
      <c r="BU285" s="319"/>
      <c r="BV285" s="319"/>
      <c r="BW285" s="319"/>
      <c r="BX285" s="319"/>
      <c r="BY285" s="319"/>
      <c r="BZ285" s="319"/>
      <c r="CA285" s="319"/>
      <c r="CB285" s="319"/>
      <c r="CC285" s="319"/>
      <c r="CD285" s="319"/>
      <c r="CE285" s="319"/>
      <c r="CF285" s="319"/>
    </row>
    <row r="286" spans="1:84" ht="12.75" hidden="1" customHeight="1">
      <c r="A286" s="12"/>
      <c r="B286" s="1"/>
      <c r="C286" s="93">
        <v>17</v>
      </c>
      <c r="D286" s="968"/>
      <c r="E286" s="37"/>
      <c r="F286" s="1"/>
      <c r="G286" s="1"/>
      <c r="H286" s="1"/>
      <c r="I286" s="1"/>
      <c r="J286" s="1"/>
      <c r="K286" s="9"/>
      <c r="L286" s="1"/>
      <c r="M286" s="319"/>
      <c r="N286" s="319"/>
      <c r="O286" s="319">
        <v>17</v>
      </c>
      <c r="P286" s="319">
        <f>IF(Offgrid=5,'Modelo Energético '!D374,D286)</f>
        <v>0</v>
      </c>
      <c r="Q286" s="476">
        <f t="shared" ref="Q286:AD299" si="20">WEIBULL($O286+0.5,$Q$258,Q$264,TRUE)-WEIBULL($O286-0.5,$Q$258,Q$264,TRUE)</f>
        <v>4.5599746201219205E-11</v>
      </c>
      <c r="R286" s="476">
        <f t="shared" si="20"/>
        <v>1.2746503744720528E-6</v>
      </c>
      <c r="S286" s="476">
        <f t="shared" si="20"/>
        <v>1.2665522830301867E-4</v>
      </c>
      <c r="T286" s="476">
        <f t="shared" si="20"/>
        <v>1.3790539751120656E-3</v>
      </c>
      <c r="U286" s="476">
        <f t="shared" si="20"/>
        <v>5.3485301738123159E-3</v>
      </c>
      <c r="V286" s="476">
        <f t="shared" si="20"/>
        <v>1.2076724693347196E-2</v>
      </c>
      <c r="W286" s="476">
        <f t="shared" si="20"/>
        <v>2.0044994150633877E-2</v>
      </c>
      <c r="X286" s="476">
        <f t="shared" si="20"/>
        <v>2.7621276220546553E-2</v>
      </c>
      <c r="Y286" s="476">
        <f t="shared" si="20"/>
        <v>3.3828317219415815E-2</v>
      </c>
      <c r="Z286" s="476">
        <f t="shared" si="20"/>
        <v>3.8342404517920148E-2</v>
      </c>
      <c r="AA286" s="476">
        <f t="shared" si="20"/>
        <v>4.1241850071446318E-2</v>
      </c>
      <c r="AB286" s="476">
        <f t="shared" si="20"/>
        <v>4.278324724060889E-2</v>
      </c>
      <c r="AC286" s="476">
        <f t="shared" si="20"/>
        <v>4.3265899364990812E-2</v>
      </c>
      <c r="AD286" s="476" t="e">
        <f t="shared" si="20"/>
        <v>#DIV/0!</v>
      </c>
      <c r="AE286" s="319"/>
      <c r="AF286" s="319"/>
      <c r="AG286" s="319"/>
      <c r="AH286" s="319"/>
      <c r="AI286" s="319"/>
      <c r="AJ286" s="319"/>
      <c r="AK286" s="319"/>
      <c r="AL286" s="319"/>
      <c r="AM286" s="319"/>
      <c r="AN286" s="319"/>
      <c r="AO286" s="319">
        <v>2103000</v>
      </c>
      <c r="AP286" s="319"/>
      <c r="AQ286" s="319"/>
      <c r="AR286" s="319"/>
      <c r="AS286" s="319"/>
      <c r="AT286" s="319"/>
      <c r="AU286" s="319"/>
      <c r="AV286" s="319"/>
      <c r="AW286" s="319"/>
      <c r="AX286" s="319"/>
      <c r="AY286" s="319"/>
      <c r="AZ286" s="319"/>
      <c r="BA286" s="319"/>
      <c r="BB286" s="319"/>
      <c r="BC286" s="319"/>
      <c r="BD286" s="319"/>
      <c r="BE286" s="319"/>
      <c r="BF286" s="319"/>
      <c r="BG286" s="319"/>
      <c r="BH286" s="319"/>
      <c r="BI286" s="319"/>
      <c r="BJ286" s="319"/>
      <c r="BK286" s="319"/>
      <c r="BL286" s="319"/>
      <c r="BM286" s="319"/>
      <c r="BN286" s="319"/>
      <c r="BO286" s="319"/>
      <c r="BP286" s="319"/>
      <c r="BQ286" s="319"/>
      <c r="BR286" s="319"/>
      <c r="BS286" s="319"/>
      <c r="BT286" s="319"/>
      <c r="BU286" s="319"/>
      <c r="BV286" s="319"/>
      <c r="BW286" s="319"/>
      <c r="BX286" s="319"/>
      <c r="BY286" s="319"/>
      <c r="BZ286" s="319"/>
      <c r="CA286" s="319"/>
      <c r="CB286" s="319"/>
      <c r="CC286" s="319"/>
      <c r="CD286" s="319"/>
      <c r="CE286" s="319"/>
      <c r="CF286" s="319"/>
    </row>
    <row r="287" spans="1:84" ht="12.75" hidden="1" customHeight="1">
      <c r="A287" s="12"/>
      <c r="B287" s="1"/>
      <c r="C287" s="107">
        <v>18</v>
      </c>
      <c r="D287" s="968"/>
      <c r="E287" s="108"/>
      <c r="F287" s="1"/>
      <c r="G287" s="1"/>
      <c r="H287" s="1"/>
      <c r="I287" s="1"/>
      <c r="J287" s="1"/>
      <c r="K287" s="9"/>
      <c r="L287" s="1"/>
      <c r="M287" s="319"/>
      <c r="N287" s="319"/>
      <c r="O287" s="319">
        <v>18</v>
      </c>
      <c r="P287" s="319">
        <f>IF(Offgrid=5,'Modelo Energético '!D375,D287)</f>
        <v>0</v>
      </c>
      <c r="Q287" s="476">
        <f t="shared" si="20"/>
        <v>2.3666624215934462E-12</v>
      </c>
      <c r="R287" s="476">
        <f t="shared" si="20"/>
        <v>2.4541147591872203E-7</v>
      </c>
      <c r="S287" s="476">
        <f t="shared" si="20"/>
        <v>4.4912405813835043E-5</v>
      </c>
      <c r="T287" s="476">
        <f t="shared" si="20"/>
        <v>6.8230700622173845E-4</v>
      </c>
      <c r="U287" s="476">
        <f t="shared" si="20"/>
        <v>3.2364348551303657E-3</v>
      </c>
      <c r="V287" s="476">
        <f t="shared" si="20"/>
        <v>8.3294681984636965E-3</v>
      </c>
      <c r="W287" s="476">
        <f t="shared" si="20"/>
        <v>1.5124495944008221E-2</v>
      </c>
      <c r="X287" s="476">
        <f t="shared" si="20"/>
        <v>2.2224933439774053E-2</v>
      </c>
      <c r="Y287" s="476">
        <f t="shared" si="20"/>
        <v>2.8546117094483625E-2</v>
      </c>
      <c r="Z287" s="476">
        <f t="shared" si="20"/>
        <v>3.3548525114029615E-2</v>
      </c>
      <c r="AA287" s="476">
        <f t="shared" si="20"/>
        <v>3.7117235831083617E-2</v>
      </c>
      <c r="AB287" s="476">
        <f t="shared" si="20"/>
        <v>3.9375704299783432E-2</v>
      </c>
      <c r="AC287" s="476">
        <f t="shared" si="20"/>
        <v>4.0545354312588433E-2</v>
      </c>
      <c r="AD287" s="476" t="e">
        <f t="shared" si="20"/>
        <v>#DIV/0!</v>
      </c>
      <c r="AE287" s="319"/>
      <c r="AF287" s="319"/>
      <c r="AG287" s="319"/>
      <c r="AH287" s="319"/>
      <c r="AI287" s="319"/>
      <c r="AJ287" s="319"/>
      <c r="AK287" s="319"/>
      <c r="AL287" s="319"/>
      <c r="AM287" s="319"/>
      <c r="AN287" s="319"/>
      <c r="AO287" s="319">
        <v>2103000</v>
      </c>
      <c r="AP287" s="319"/>
      <c r="AQ287" s="319"/>
      <c r="AR287" s="319"/>
      <c r="AS287" s="319"/>
      <c r="AT287" s="319"/>
      <c r="AU287" s="319"/>
      <c r="AV287" s="319"/>
      <c r="AW287" s="319"/>
      <c r="AX287" s="319"/>
      <c r="AY287" s="319"/>
      <c r="AZ287" s="319"/>
      <c r="BA287" s="319"/>
      <c r="BB287" s="319"/>
      <c r="BC287" s="319"/>
      <c r="BD287" s="319"/>
      <c r="BE287" s="319"/>
      <c r="BF287" s="319"/>
      <c r="BG287" s="319"/>
      <c r="BH287" s="319"/>
      <c r="BI287" s="319"/>
      <c r="BJ287" s="319"/>
      <c r="BK287" s="319"/>
      <c r="BL287" s="319"/>
      <c r="BM287" s="319"/>
      <c r="BN287" s="319"/>
      <c r="BO287" s="319"/>
      <c r="BP287" s="319"/>
      <c r="BQ287" s="319"/>
      <c r="BR287" s="319"/>
      <c r="BS287" s="319"/>
      <c r="BT287" s="319"/>
      <c r="BU287" s="319"/>
      <c r="BV287" s="319"/>
      <c r="BW287" s="319"/>
      <c r="BX287" s="319"/>
      <c r="BY287" s="319"/>
      <c r="BZ287" s="319"/>
      <c r="CA287" s="319"/>
      <c r="CB287" s="319"/>
      <c r="CC287" s="319"/>
      <c r="CD287" s="319"/>
      <c r="CE287" s="319"/>
      <c r="CF287" s="319"/>
    </row>
    <row r="288" spans="1:84" ht="12.75" hidden="1" customHeight="1">
      <c r="A288" s="12"/>
      <c r="B288" s="1"/>
      <c r="C288" s="93">
        <v>19</v>
      </c>
      <c r="D288" s="968"/>
      <c r="E288" s="37"/>
      <c r="F288" s="1"/>
      <c r="G288" s="1"/>
      <c r="H288" s="1"/>
      <c r="I288" s="1"/>
      <c r="J288" s="1"/>
      <c r="K288" s="9"/>
      <c r="L288" s="1"/>
      <c r="M288" s="319"/>
      <c r="N288" s="319"/>
      <c r="O288" s="319">
        <v>19</v>
      </c>
      <c r="P288" s="319">
        <f>IF(Offgrid=5,'Modelo Energético '!D376,D288)</f>
        <v>0</v>
      </c>
      <c r="Q288" s="476">
        <f t="shared" si="20"/>
        <v>1.0302869668521453E-13</v>
      </c>
      <c r="R288" s="476">
        <f t="shared" si="20"/>
        <v>4.272871489963137E-8</v>
      </c>
      <c r="S288" s="476">
        <f t="shared" si="20"/>
        <v>1.4914671136900814E-5</v>
      </c>
      <c r="T288" s="476">
        <f t="shared" si="20"/>
        <v>3.2222042454232991E-4</v>
      </c>
      <c r="U288" s="476">
        <f t="shared" si="20"/>
        <v>1.8909113746989892E-3</v>
      </c>
      <c r="V288" s="476">
        <f t="shared" si="20"/>
        <v>5.5886291896264373E-3</v>
      </c>
      <c r="W288" s="476">
        <f t="shared" si="20"/>
        <v>1.1158475121170963E-2</v>
      </c>
      <c r="X288" s="476">
        <f t="shared" si="20"/>
        <v>1.7550185921641703E-2</v>
      </c>
      <c r="Y288" s="476">
        <f t="shared" si="20"/>
        <v>2.3704967663808585E-2</v>
      </c>
      <c r="Z288" s="476">
        <f t="shared" si="20"/>
        <v>2.894622355555676E-2</v>
      </c>
      <c r="AA288" s="476">
        <f t="shared" si="20"/>
        <v>3.2994164196401332E-2</v>
      </c>
      <c r="AB288" s="476">
        <f t="shared" si="20"/>
        <v>3.5839521923874407E-2</v>
      </c>
      <c r="AC288" s="476">
        <f t="shared" si="20"/>
        <v>3.761523602677852E-2</v>
      </c>
      <c r="AD288" s="476" t="e">
        <f t="shared" si="20"/>
        <v>#DIV/0!</v>
      </c>
      <c r="AE288" s="319"/>
      <c r="AF288" s="319"/>
      <c r="AG288" s="319"/>
      <c r="AH288" s="319"/>
      <c r="AI288" s="319"/>
      <c r="AJ288" s="319"/>
      <c r="AK288" s="319"/>
      <c r="AL288" s="319"/>
      <c r="AM288" s="319"/>
      <c r="AN288" s="319"/>
      <c r="AO288" s="319">
        <v>2103000</v>
      </c>
      <c r="AP288" s="319"/>
      <c r="AQ288" s="319"/>
      <c r="AR288" s="319"/>
      <c r="AS288" s="319"/>
      <c r="AT288" s="319"/>
      <c r="AU288" s="319"/>
      <c r="AV288" s="319"/>
      <c r="AW288" s="319"/>
      <c r="AX288" s="319"/>
      <c r="AY288" s="319"/>
      <c r="AZ288" s="319"/>
      <c r="BA288" s="319"/>
      <c r="BB288" s="319"/>
      <c r="BC288" s="319"/>
      <c r="BD288" s="319"/>
      <c r="BE288" s="319"/>
      <c r="BF288" s="319"/>
      <c r="BG288" s="319"/>
      <c r="BH288" s="319"/>
      <c r="BI288" s="319"/>
      <c r="BJ288" s="319"/>
      <c r="BK288" s="319"/>
      <c r="BL288" s="319"/>
      <c r="BM288" s="319"/>
      <c r="BN288" s="319"/>
      <c r="BO288" s="319"/>
      <c r="BP288" s="319"/>
      <c r="BQ288" s="319"/>
      <c r="BR288" s="319"/>
      <c r="BS288" s="319"/>
      <c r="BT288" s="319"/>
      <c r="BU288" s="319"/>
      <c r="BV288" s="319"/>
      <c r="BW288" s="319"/>
      <c r="BX288" s="319"/>
      <c r="BY288" s="319"/>
      <c r="BZ288" s="319"/>
      <c r="CA288" s="319"/>
      <c r="CB288" s="319"/>
      <c r="CC288" s="319"/>
      <c r="CD288" s="319"/>
      <c r="CE288" s="319"/>
      <c r="CF288" s="319"/>
    </row>
    <row r="289" spans="1:84" ht="12.75" hidden="1" customHeight="1">
      <c r="A289" s="12"/>
      <c r="B289" s="1"/>
      <c r="C289" s="93">
        <v>20</v>
      </c>
      <c r="D289" s="968"/>
      <c r="E289" s="37"/>
      <c r="F289" s="1"/>
      <c r="G289" s="1"/>
      <c r="H289" s="1"/>
      <c r="I289" s="1"/>
      <c r="J289" s="1"/>
      <c r="K289" s="9"/>
      <c r="L289" s="1"/>
      <c r="M289" s="319"/>
      <c r="N289" s="319"/>
      <c r="O289" s="319">
        <v>20</v>
      </c>
      <c r="P289" s="319">
        <f>IF(Offgrid=5,'Modelo Energético '!D377,D289)</f>
        <v>0</v>
      </c>
      <c r="Q289" s="476">
        <f t="shared" si="20"/>
        <v>3.7747582837255322E-15</v>
      </c>
      <c r="R289" s="476">
        <f t="shared" si="20"/>
        <v>6.7297498684837365E-9</v>
      </c>
      <c r="S289" s="476">
        <f t="shared" si="20"/>
        <v>4.6398298745309319E-6</v>
      </c>
      <c r="T289" s="476">
        <f t="shared" si="20"/>
        <v>1.4529093705362151E-4</v>
      </c>
      <c r="U289" s="476">
        <f t="shared" si="20"/>
        <v>1.0670507664196638E-3</v>
      </c>
      <c r="V289" s="476">
        <f t="shared" si="20"/>
        <v>3.6488078191592166E-3</v>
      </c>
      <c r="W289" s="476">
        <f t="shared" si="20"/>
        <v>8.0522181136113424E-3</v>
      </c>
      <c r="X289" s="476">
        <f t="shared" si="20"/>
        <v>1.3605210998858586E-2</v>
      </c>
      <c r="Y289" s="476">
        <f t="shared" si="20"/>
        <v>1.9377384291789257E-2</v>
      </c>
      <c r="Z289" s="476">
        <f t="shared" si="20"/>
        <v>2.4636134691998435E-2</v>
      </c>
      <c r="AA289" s="476">
        <f t="shared" si="20"/>
        <v>2.8977468377268445E-2</v>
      </c>
      <c r="AB289" s="476">
        <f t="shared" si="20"/>
        <v>3.2271053954328277E-2</v>
      </c>
      <c r="AC289" s="476">
        <f t="shared" si="20"/>
        <v>3.4558238406045327E-2</v>
      </c>
      <c r="AD289" s="476" t="e">
        <f t="shared" si="20"/>
        <v>#DIV/0!</v>
      </c>
      <c r="AE289" s="319"/>
      <c r="AF289" s="319"/>
      <c r="AG289" s="319"/>
      <c r="AH289" s="319"/>
      <c r="AI289" s="319"/>
      <c r="AJ289" s="319"/>
      <c r="AK289" s="319"/>
      <c r="AL289" s="319"/>
      <c r="AM289" s="319"/>
      <c r="AN289" s="319"/>
      <c r="AO289" s="319">
        <v>2103000</v>
      </c>
      <c r="AP289" s="319"/>
      <c r="AQ289" s="319"/>
      <c r="AR289" s="319"/>
      <c r="AS289" s="319"/>
      <c r="AT289" s="319"/>
      <c r="AU289" s="319"/>
      <c r="AV289" s="319"/>
      <c r="AW289" s="319"/>
      <c r="AX289" s="319"/>
      <c r="AY289" s="319"/>
      <c r="AZ289" s="319"/>
      <c r="BA289" s="319"/>
      <c r="BB289" s="319"/>
      <c r="BC289" s="319"/>
      <c r="BD289" s="319"/>
      <c r="BE289" s="319"/>
      <c r="BF289" s="319"/>
      <c r="BG289" s="319"/>
      <c r="BH289" s="319"/>
      <c r="BI289" s="319"/>
      <c r="BJ289" s="319"/>
      <c r="BK289" s="319"/>
      <c r="BL289" s="319"/>
      <c r="BM289" s="319"/>
      <c r="BN289" s="319"/>
      <c r="BO289" s="319"/>
      <c r="BP289" s="319"/>
      <c r="BQ289" s="319"/>
      <c r="BR289" s="319"/>
      <c r="BS289" s="319"/>
      <c r="BT289" s="319"/>
      <c r="BU289" s="319"/>
      <c r="BV289" s="319"/>
      <c r="BW289" s="319"/>
      <c r="BX289" s="319"/>
      <c r="BY289" s="319"/>
      <c r="BZ289" s="319"/>
      <c r="CA289" s="319"/>
      <c r="CB289" s="319"/>
      <c r="CC289" s="319"/>
      <c r="CD289" s="319"/>
      <c r="CE289" s="319"/>
      <c r="CF289" s="319"/>
    </row>
    <row r="290" spans="1:84" ht="12.75" hidden="1" customHeight="1">
      <c r="A290" s="12"/>
      <c r="B290" s="1"/>
      <c r="C290" s="93">
        <v>21</v>
      </c>
      <c r="D290" s="968"/>
      <c r="E290" s="37"/>
      <c r="F290" s="1"/>
      <c r="G290" s="1"/>
      <c r="H290" s="1"/>
      <c r="I290" s="1"/>
      <c r="J290" s="1"/>
      <c r="K290" s="9"/>
      <c r="L290" s="1"/>
      <c r="M290" s="319"/>
      <c r="N290" s="319"/>
      <c r="O290" s="319">
        <v>21</v>
      </c>
      <c r="P290" s="319">
        <f>IF(Offgrid=5,'Modelo Energético '!D378,D290)</f>
        <v>0</v>
      </c>
      <c r="Q290" s="476">
        <f t="shared" si="20"/>
        <v>0</v>
      </c>
      <c r="R290" s="476">
        <f t="shared" si="20"/>
        <v>9.5905772212745433E-10</v>
      </c>
      <c r="S290" s="476">
        <f t="shared" si="20"/>
        <v>1.3525336283182199E-6</v>
      </c>
      <c r="T290" s="476">
        <f t="shared" si="20"/>
        <v>6.256818722061297E-5</v>
      </c>
      <c r="U290" s="476">
        <f t="shared" si="20"/>
        <v>5.8173624884994002E-4</v>
      </c>
      <c r="V290" s="476">
        <f t="shared" si="20"/>
        <v>2.3188461767614799E-3</v>
      </c>
      <c r="W290" s="476">
        <f t="shared" si="20"/>
        <v>5.6850010319083877E-3</v>
      </c>
      <c r="X290" s="476">
        <f t="shared" si="20"/>
        <v>1.0356875363147999E-2</v>
      </c>
      <c r="Y290" s="476">
        <f t="shared" si="20"/>
        <v>1.5596674245933473E-2</v>
      </c>
      <c r="Z290" s="476">
        <f t="shared" si="20"/>
        <v>2.0688690868749027E-2</v>
      </c>
      <c r="AA290" s="476">
        <f t="shared" si="20"/>
        <v>2.5151457607880623E-2</v>
      </c>
      <c r="AB290" s="476">
        <f t="shared" si="20"/>
        <v>2.8754032881084135E-2</v>
      </c>
      <c r="AC290" s="476">
        <f t="shared" si="20"/>
        <v>3.1450106509286146E-2</v>
      </c>
      <c r="AD290" s="476" t="e">
        <f t="shared" si="20"/>
        <v>#DIV/0!</v>
      </c>
      <c r="AE290" s="319"/>
      <c r="AF290" s="319"/>
      <c r="AG290" s="319"/>
      <c r="AH290" s="319"/>
      <c r="AI290" s="319"/>
      <c r="AJ290" s="319"/>
      <c r="AK290" s="319"/>
      <c r="AL290" s="319"/>
      <c r="AM290" s="319"/>
      <c r="AN290" s="319"/>
      <c r="AO290" s="319">
        <v>2103000</v>
      </c>
      <c r="AP290" s="319"/>
      <c r="AQ290" s="319"/>
      <c r="AR290" s="319"/>
      <c r="AS290" s="319"/>
      <c r="AT290" s="319"/>
      <c r="AU290" s="319"/>
      <c r="AV290" s="319"/>
      <c r="AW290" s="319"/>
      <c r="AX290" s="319"/>
      <c r="AY290" s="319"/>
      <c r="AZ290" s="319"/>
      <c r="BA290" s="319"/>
      <c r="BB290" s="319"/>
      <c r="BC290" s="319"/>
      <c r="BD290" s="319"/>
      <c r="BE290" s="319"/>
      <c r="BF290" s="319"/>
      <c r="BG290" s="319"/>
      <c r="BH290" s="319"/>
      <c r="BI290" s="319"/>
      <c r="BJ290" s="319"/>
      <c r="BK290" s="319"/>
      <c r="BL290" s="319"/>
      <c r="BM290" s="319"/>
      <c r="BN290" s="319"/>
      <c r="BO290" s="319"/>
      <c r="BP290" s="319"/>
      <c r="BQ290" s="319"/>
      <c r="BR290" s="319"/>
      <c r="BS290" s="319"/>
      <c r="BT290" s="319"/>
      <c r="BU290" s="319"/>
      <c r="BV290" s="319"/>
      <c r="BW290" s="319"/>
      <c r="BX290" s="319"/>
      <c r="BY290" s="319"/>
      <c r="BZ290" s="319"/>
      <c r="CA290" s="319"/>
      <c r="CB290" s="319"/>
      <c r="CC290" s="319"/>
      <c r="CD290" s="319"/>
      <c r="CE290" s="319"/>
      <c r="CF290" s="319"/>
    </row>
    <row r="291" spans="1:84" ht="12.75" hidden="1" customHeight="1">
      <c r="A291" s="12"/>
      <c r="B291" s="1"/>
      <c r="C291" s="107">
        <v>22</v>
      </c>
      <c r="D291" s="968"/>
      <c r="E291" s="108"/>
      <c r="F291" s="1"/>
      <c r="G291" s="1"/>
      <c r="H291" s="1"/>
      <c r="I291" s="1"/>
      <c r="J291" s="1"/>
      <c r="K291" s="9"/>
      <c r="L291" s="1"/>
      <c r="M291" s="319"/>
      <c r="N291" s="319"/>
      <c r="O291" s="319">
        <v>22</v>
      </c>
      <c r="P291" s="319">
        <f>IF(Offgrid=5,'Modelo Energético '!D379,D291)</f>
        <v>0</v>
      </c>
      <c r="Q291" s="476">
        <f t="shared" si="20"/>
        <v>0</v>
      </c>
      <c r="R291" s="476">
        <f t="shared" si="20"/>
        <v>1.2369538726630935E-10</v>
      </c>
      <c r="S291" s="476">
        <f t="shared" si="20"/>
        <v>3.6953186444144137E-7</v>
      </c>
      <c r="T291" s="476">
        <f t="shared" si="20"/>
        <v>2.5739442647609856E-5</v>
      </c>
      <c r="U291" s="476">
        <f t="shared" si="20"/>
        <v>3.064752539394533E-4</v>
      </c>
      <c r="V291" s="476">
        <f t="shared" si="20"/>
        <v>1.4347271009546025E-3</v>
      </c>
      <c r="W291" s="476">
        <f t="shared" si="20"/>
        <v>3.9278154535141718E-3</v>
      </c>
      <c r="X291" s="476">
        <f t="shared" si="20"/>
        <v>7.7437853266459911E-3</v>
      </c>
      <c r="Y291" s="476">
        <f t="shared" si="20"/>
        <v>1.2363775071925653E-2</v>
      </c>
      <c r="Z291" s="476">
        <f t="shared" si="20"/>
        <v>1.7146457813151605E-2</v>
      </c>
      <c r="AA291" s="476">
        <f t="shared" si="20"/>
        <v>2.1579752947529451E-2</v>
      </c>
      <c r="AB291" s="476">
        <f t="shared" si="20"/>
        <v>2.5358305926218128E-2</v>
      </c>
      <c r="AC291" s="476">
        <f t="shared" si="20"/>
        <v>2.8358061913589916E-2</v>
      </c>
      <c r="AD291" s="476" t="e">
        <f t="shared" si="20"/>
        <v>#DIV/0!</v>
      </c>
      <c r="AE291" s="319"/>
      <c r="AF291" s="319"/>
      <c r="AG291" s="319"/>
      <c r="AH291" s="319"/>
      <c r="AI291" s="319"/>
      <c r="AJ291" s="319"/>
      <c r="AK291" s="319"/>
      <c r="AL291" s="319"/>
      <c r="AM291" s="319"/>
      <c r="AN291" s="319"/>
      <c r="AO291" s="319">
        <v>2103000</v>
      </c>
      <c r="AP291" s="319"/>
      <c r="AQ291" s="319"/>
      <c r="AR291" s="319"/>
      <c r="AS291" s="319"/>
      <c r="AT291" s="319"/>
      <c r="AU291" s="319"/>
      <c r="AV291" s="319"/>
      <c r="AW291" s="319"/>
      <c r="AX291" s="319"/>
      <c r="AY291" s="319"/>
      <c r="AZ291" s="319"/>
      <c r="BA291" s="319"/>
      <c r="BB291" s="319"/>
      <c r="BC291" s="319"/>
      <c r="BD291" s="319"/>
      <c r="BE291" s="319"/>
      <c r="BF291" s="319"/>
      <c r="BG291" s="319"/>
      <c r="BH291" s="319"/>
      <c r="BI291" s="319"/>
      <c r="BJ291" s="319"/>
      <c r="BK291" s="319"/>
      <c r="BL291" s="319"/>
      <c r="BM291" s="319"/>
      <c r="BN291" s="319"/>
      <c r="BO291" s="319"/>
      <c r="BP291" s="319"/>
      <c r="BQ291" s="319"/>
      <c r="BR291" s="319"/>
      <c r="BS291" s="319"/>
      <c r="BT291" s="319"/>
      <c r="BU291" s="319"/>
      <c r="BV291" s="319"/>
      <c r="BW291" s="319"/>
      <c r="BX291" s="319"/>
      <c r="BY291" s="319"/>
      <c r="BZ291" s="319"/>
      <c r="CA291" s="319"/>
      <c r="CB291" s="319"/>
      <c r="CC291" s="319"/>
      <c r="CD291" s="319"/>
      <c r="CE291" s="319"/>
      <c r="CF291" s="319"/>
    </row>
    <row r="292" spans="1:84" ht="12.75" hidden="1" customHeight="1">
      <c r="A292" s="12"/>
      <c r="B292" s="1"/>
      <c r="C292" s="93">
        <v>23</v>
      </c>
      <c r="D292" s="968"/>
      <c r="E292" s="37"/>
      <c r="F292" s="1"/>
      <c r="G292" s="1"/>
      <c r="H292" s="1"/>
      <c r="I292" s="1"/>
      <c r="J292" s="1"/>
      <c r="K292" s="9"/>
      <c r="L292" s="1"/>
      <c r="M292" s="319"/>
      <c r="N292" s="319"/>
      <c r="O292" s="319">
        <v>23</v>
      </c>
      <c r="P292" s="319">
        <f>IF(Offgrid=5,'Modelo Energético '!D380,D292)</f>
        <v>0</v>
      </c>
      <c r="Q292" s="476">
        <f t="shared" si="20"/>
        <v>0</v>
      </c>
      <c r="R292" s="476">
        <f t="shared" si="20"/>
        <v>1.4441448037416649E-11</v>
      </c>
      <c r="S292" s="476">
        <f t="shared" si="20"/>
        <v>9.4645539405746604E-8</v>
      </c>
      <c r="T292" s="476">
        <f t="shared" si="20"/>
        <v>1.011725374189254E-5</v>
      </c>
      <c r="U292" s="476">
        <f t="shared" si="20"/>
        <v>1.5605602738932856E-4</v>
      </c>
      <c r="V292" s="476">
        <f t="shared" si="20"/>
        <v>8.6443178908124363E-4</v>
      </c>
      <c r="W292" s="476">
        <f t="shared" si="20"/>
        <v>2.6562245198673562E-3</v>
      </c>
      <c r="X292" s="476">
        <f t="shared" si="20"/>
        <v>5.6880921567066256E-3</v>
      </c>
      <c r="Y292" s="476">
        <f t="shared" si="20"/>
        <v>9.6547295837714486E-3</v>
      </c>
      <c r="Z292" s="476">
        <f t="shared" si="20"/>
        <v>1.4027635272218175E-2</v>
      </c>
      <c r="AA292" s="476">
        <f t="shared" si="20"/>
        <v>1.8306193586840935E-2</v>
      </c>
      <c r="AB292" s="476">
        <f t="shared" si="20"/>
        <v>2.213936941428285E-2</v>
      </c>
      <c r="AC292" s="476">
        <f t="shared" si="20"/>
        <v>2.5339763407731031E-2</v>
      </c>
      <c r="AD292" s="476" t="e">
        <f t="shared" si="20"/>
        <v>#DIV/0!</v>
      </c>
      <c r="AE292" s="319"/>
      <c r="AF292" s="319"/>
      <c r="AG292" s="319"/>
      <c r="AH292" s="319"/>
      <c r="AI292" s="319"/>
      <c r="AJ292" s="319"/>
      <c r="AK292" s="319"/>
      <c r="AL292" s="319"/>
      <c r="AM292" s="319"/>
      <c r="AN292" s="319"/>
      <c r="AO292" s="319">
        <v>2103000</v>
      </c>
      <c r="AP292" s="319"/>
      <c r="AQ292" s="319"/>
      <c r="AR292" s="319"/>
      <c r="AS292" s="319"/>
      <c r="AT292" s="319"/>
      <c r="AU292" s="319"/>
      <c r="AV292" s="319"/>
      <c r="AW292" s="319"/>
      <c r="AX292" s="319"/>
      <c r="AY292" s="319"/>
      <c r="AZ292" s="319"/>
      <c r="BA292" s="319"/>
      <c r="BB292" s="319"/>
      <c r="BC292" s="319"/>
      <c r="BD292" s="319"/>
      <c r="BE292" s="319"/>
      <c r="BF292" s="319"/>
      <c r="BG292" s="319"/>
      <c r="BH292" s="319"/>
      <c r="BI292" s="319"/>
      <c r="BJ292" s="319"/>
      <c r="BK292" s="319"/>
      <c r="BL292" s="319"/>
      <c r="BM292" s="319"/>
      <c r="BN292" s="319"/>
      <c r="BO292" s="319"/>
      <c r="BP292" s="319"/>
      <c r="BQ292" s="319"/>
      <c r="BR292" s="319"/>
      <c r="BS292" s="319"/>
      <c r="BT292" s="319"/>
      <c r="BU292" s="319"/>
      <c r="BV292" s="319"/>
      <c r="BW292" s="319"/>
      <c r="BX292" s="319"/>
      <c r="BY292" s="319"/>
      <c r="BZ292" s="319"/>
      <c r="CA292" s="319"/>
      <c r="CB292" s="319"/>
      <c r="CC292" s="319"/>
      <c r="CD292" s="319"/>
      <c r="CE292" s="319"/>
      <c r="CF292" s="319"/>
    </row>
    <row r="293" spans="1:84" ht="12.75" hidden="1" customHeight="1">
      <c r="A293" s="12"/>
      <c r="B293" s="1"/>
      <c r="C293" s="93">
        <v>24</v>
      </c>
      <c r="D293" s="968"/>
      <c r="E293" s="37"/>
      <c r="F293" s="1"/>
      <c r="G293" s="1"/>
      <c r="H293" s="1"/>
      <c r="I293" s="1"/>
      <c r="J293" s="1"/>
      <c r="K293" s="9"/>
      <c r="L293" s="1"/>
      <c r="M293" s="319"/>
      <c r="N293" s="319"/>
      <c r="O293" s="319">
        <v>24</v>
      </c>
      <c r="P293" s="319">
        <f>IF(Offgrid=5,'Modelo Energético '!D381,D293)</f>
        <v>0</v>
      </c>
      <c r="Q293" s="476">
        <f t="shared" si="20"/>
        <v>0</v>
      </c>
      <c r="R293" s="476">
        <f t="shared" si="20"/>
        <v>1.5263346142546652E-12</v>
      </c>
      <c r="S293" s="476">
        <f t="shared" si="20"/>
        <v>2.2728367188307175E-8</v>
      </c>
      <c r="T293" s="476">
        <f t="shared" si="20"/>
        <v>3.8003210843795543E-6</v>
      </c>
      <c r="U293" s="476">
        <f t="shared" si="20"/>
        <v>7.6817103227155847E-5</v>
      </c>
      <c r="V293" s="476">
        <f t="shared" si="20"/>
        <v>5.0726240393961231E-4</v>
      </c>
      <c r="W293" s="476">
        <f t="shared" si="20"/>
        <v>1.7585233472168227E-3</v>
      </c>
      <c r="X293" s="476">
        <f t="shared" si="20"/>
        <v>4.1053026897013289E-3</v>
      </c>
      <c r="Y293" s="476">
        <f t="shared" si="20"/>
        <v>7.4280622862157308E-3</v>
      </c>
      <c r="Z293" s="476">
        <f t="shared" si="20"/>
        <v>1.1330253873169327E-2</v>
      </c>
      <c r="AA293" s="476">
        <f t="shared" si="20"/>
        <v>1.5356575753876167E-2</v>
      </c>
      <c r="AB293" s="476">
        <f t="shared" si="20"/>
        <v>1.9138604861381747E-2</v>
      </c>
      <c r="AC293" s="476">
        <f t="shared" si="20"/>
        <v>2.2442778831901933E-2</v>
      </c>
      <c r="AD293" s="476" t="e">
        <f t="shared" si="20"/>
        <v>#DIV/0!</v>
      </c>
      <c r="AE293" s="319"/>
      <c r="AF293" s="319"/>
      <c r="AG293" s="319"/>
      <c r="AH293" s="319"/>
      <c r="AI293" s="319"/>
      <c r="AJ293" s="319"/>
      <c r="AK293" s="319"/>
      <c r="AL293" s="319"/>
      <c r="AM293" s="319"/>
      <c r="AN293" s="319"/>
      <c r="AO293" s="319">
        <v>2103000</v>
      </c>
      <c r="AP293" s="319"/>
      <c r="AQ293" s="319"/>
      <c r="AR293" s="319"/>
      <c r="AS293" s="319"/>
      <c r="AT293" s="319"/>
      <c r="AU293" s="319"/>
      <c r="AV293" s="319"/>
      <c r="AW293" s="319"/>
      <c r="AX293" s="319"/>
      <c r="AY293" s="319"/>
      <c r="AZ293" s="319"/>
      <c r="BA293" s="319"/>
      <c r="BB293" s="319"/>
      <c r="BC293" s="319"/>
      <c r="BD293" s="319"/>
      <c r="BE293" s="319"/>
      <c r="BF293" s="319"/>
      <c r="BG293" s="319"/>
      <c r="BH293" s="319"/>
      <c r="BI293" s="319"/>
      <c r="BJ293" s="319"/>
      <c r="BK293" s="319"/>
      <c r="BL293" s="319"/>
      <c r="BM293" s="319"/>
      <c r="BN293" s="319"/>
      <c r="BO293" s="319"/>
      <c r="BP293" s="319"/>
      <c r="BQ293" s="319"/>
      <c r="BR293" s="319"/>
      <c r="BS293" s="319"/>
      <c r="BT293" s="319"/>
      <c r="BU293" s="319"/>
      <c r="BV293" s="319"/>
      <c r="BW293" s="319"/>
      <c r="BX293" s="319"/>
      <c r="BY293" s="319"/>
      <c r="BZ293" s="319"/>
      <c r="CA293" s="319"/>
      <c r="CB293" s="319"/>
      <c r="CC293" s="319"/>
      <c r="CD293" s="319"/>
      <c r="CE293" s="319"/>
      <c r="CF293" s="319"/>
    </row>
    <row r="294" spans="1:84" ht="12.75" hidden="1" customHeight="1">
      <c r="A294" s="12"/>
      <c r="B294" s="1"/>
      <c r="C294" s="94" t="s">
        <v>3706</v>
      </c>
      <c r="D294" s="968"/>
      <c r="E294" s="42"/>
      <c r="F294" s="1"/>
      <c r="G294" s="1"/>
      <c r="H294" s="1"/>
      <c r="I294" s="1"/>
      <c r="J294" s="1"/>
      <c r="K294" s="9"/>
      <c r="L294" s="1"/>
      <c r="M294" s="319"/>
      <c r="N294" s="319"/>
      <c r="O294" s="319">
        <v>25</v>
      </c>
      <c r="P294" s="319">
        <f>IF(Offgrid=5,'Modelo Energético '!D382,D294)</f>
        <v>0</v>
      </c>
      <c r="Q294" s="476">
        <f t="shared" si="20"/>
        <v>0</v>
      </c>
      <c r="R294" s="476">
        <f t="shared" si="20"/>
        <v>1.461053500406706E-13</v>
      </c>
      <c r="S294" s="476">
        <f t="shared" si="20"/>
        <v>5.1182577065489454E-9</v>
      </c>
      <c r="T294" s="476">
        <f t="shared" si="20"/>
        <v>1.3643912077920817E-6</v>
      </c>
      <c r="U294" s="476">
        <f t="shared" si="20"/>
        <v>3.6559022444482281E-5</v>
      </c>
      <c r="V294" s="476">
        <f t="shared" si="20"/>
        <v>2.8996275717163567E-4</v>
      </c>
      <c r="W294" s="476">
        <f t="shared" si="20"/>
        <v>1.1399039148017875E-3</v>
      </c>
      <c r="X294" s="476">
        <f t="shared" si="20"/>
        <v>2.9117634461743869E-3</v>
      </c>
      <c r="Y294" s="476">
        <f t="shared" si="20"/>
        <v>5.631504965437184E-3</v>
      </c>
      <c r="Z294" s="476">
        <f t="shared" si="20"/>
        <v>9.0366414672096163E-3</v>
      </c>
      <c r="AA294" s="476">
        <f t="shared" si="20"/>
        <v>1.2740972721675847E-2</v>
      </c>
      <c r="AB294" s="476">
        <f t="shared" si="20"/>
        <v>1.6384094140213135E-2</v>
      </c>
      <c r="AC294" s="476">
        <f t="shared" si="20"/>
        <v>1.9704520856693719E-2</v>
      </c>
      <c r="AD294" s="476" t="e">
        <f t="shared" si="20"/>
        <v>#DIV/0!</v>
      </c>
      <c r="AE294" s="319"/>
      <c r="AF294" s="319"/>
      <c r="AG294" s="319"/>
      <c r="AH294" s="319"/>
      <c r="AI294" s="319"/>
      <c r="AJ294" s="319"/>
      <c r="AK294" s="319"/>
      <c r="AL294" s="319"/>
      <c r="AM294" s="319"/>
      <c r="AN294" s="319"/>
      <c r="AO294" s="319">
        <v>2103000</v>
      </c>
      <c r="AP294" s="319"/>
      <c r="AQ294" s="319"/>
      <c r="AR294" s="319"/>
      <c r="AS294" s="319"/>
      <c r="AT294" s="319"/>
      <c r="AU294" s="319"/>
      <c r="AV294" s="319"/>
      <c r="AW294" s="319"/>
      <c r="AX294" s="319"/>
      <c r="AY294" s="319"/>
      <c r="AZ294" s="319"/>
      <c r="BA294" s="319"/>
      <c r="BB294" s="319"/>
      <c r="BC294" s="319"/>
      <c r="BD294" s="319"/>
      <c r="BE294" s="319"/>
      <c r="BF294" s="319"/>
      <c r="BG294" s="319"/>
      <c r="BH294" s="319"/>
      <c r="BI294" s="319"/>
      <c r="BJ294" s="319"/>
      <c r="BK294" s="319"/>
      <c r="BL294" s="319"/>
      <c r="BM294" s="319"/>
      <c r="BN294" s="319"/>
      <c r="BO294" s="319"/>
      <c r="BP294" s="319"/>
      <c r="BQ294" s="319"/>
      <c r="BR294" s="319"/>
      <c r="BS294" s="319"/>
      <c r="BT294" s="319"/>
      <c r="BU294" s="319"/>
      <c r="BV294" s="319"/>
      <c r="BW294" s="319"/>
      <c r="BX294" s="319"/>
      <c r="BY294" s="319"/>
      <c r="BZ294" s="319"/>
      <c r="CA294" s="319"/>
      <c r="CB294" s="319"/>
      <c r="CC294" s="319"/>
      <c r="CD294" s="319"/>
      <c r="CE294" s="319"/>
      <c r="CF294" s="319"/>
    </row>
    <row r="295" spans="1:84" ht="12.75" hidden="1" customHeight="1">
      <c r="A295" s="12"/>
      <c r="B295" s="1"/>
      <c r="C295" s="1"/>
      <c r="D295" s="1"/>
      <c r="E295" s="1"/>
      <c r="F295" s="1"/>
      <c r="G295" s="1"/>
      <c r="H295" s="1"/>
      <c r="I295" s="1"/>
      <c r="J295" s="1"/>
      <c r="K295" s="9"/>
      <c r="L295" s="1"/>
      <c r="M295" s="319"/>
      <c r="N295" s="319"/>
      <c r="O295" s="319">
        <v>26</v>
      </c>
      <c r="P295" s="319">
        <f>$P$294</f>
        <v>0</v>
      </c>
      <c r="Q295" s="476">
        <f t="shared" si="20"/>
        <v>0</v>
      </c>
      <c r="R295" s="476">
        <f t="shared" si="20"/>
        <v>1.2656542480726785E-14</v>
      </c>
      <c r="S295" s="476">
        <f t="shared" si="20"/>
        <v>1.0809856343385604E-9</v>
      </c>
      <c r="T295" s="476">
        <f t="shared" si="20"/>
        <v>4.6824960797664517E-7</v>
      </c>
      <c r="U295" s="476">
        <f t="shared" si="20"/>
        <v>1.6824788560687587E-5</v>
      </c>
      <c r="V295" s="476">
        <f t="shared" si="20"/>
        <v>1.6147992714343751E-4</v>
      </c>
      <c r="W295" s="476">
        <f t="shared" si="20"/>
        <v>7.2357624363306172E-4</v>
      </c>
      <c r="X295" s="476">
        <f t="shared" si="20"/>
        <v>2.0298247680801129E-3</v>
      </c>
      <c r="Y295" s="476">
        <f t="shared" si="20"/>
        <v>4.207713164216198E-3</v>
      </c>
      <c r="Z295" s="476">
        <f t="shared" si="20"/>
        <v>7.1178020756934579E-3</v>
      </c>
      <c r="AA295" s="476">
        <f t="shared" si="20"/>
        <v>1.0456392077523247E-2</v>
      </c>
      <c r="AB295" s="476">
        <f t="shared" si="20"/>
        <v>1.3891877135738473E-2</v>
      </c>
      <c r="AC295" s="476">
        <f t="shared" si="20"/>
        <v>1.7152582394482918E-2</v>
      </c>
      <c r="AD295" s="476" t="e">
        <f t="shared" si="20"/>
        <v>#DIV/0!</v>
      </c>
      <c r="AE295" s="319"/>
      <c r="AF295" s="319"/>
      <c r="AG295" s="319"/>
      <c r="AH295" s="319"/>
      <c r="AI295" s="319"/>
      <c r="AJ295" s="319"/>
      <c r="AK295" s="319"/>
      <c r="AL295" s="319"/>
      <c r="AM295" s="319"/>
      <c r="AN295" s="319"/>
      <c r="AO295" s="319">
        <v>2102000</v>
      </c>
      <c r="AP295" s="319"/>
      <c r="AQ295" s="319"/>
      <c r="AR295" s="319"/>
      <c r="AS295" s="319"/>
      <c r="AT295" s="319"/>
      <c r="AU295" s="319"/>
      <c r="AV295" s="319"/>
      <c r="AW295" s="319"/>
      <c r="AX295" s="319"/>
      <c r="AY295" s="319"/>
      <c r="AZ295" s="319"/>
      <c r="BA295" s="319"/>
      <c r="BB295" s="319"/>
      <c r="BC295" s="319"/>
      <c r="BD295" s="319"/>
      <c r="BE295" s="319"/>
      <c r="BF295" s="319"/>
      <c r="BG295" s="319"/>
      <c r="BH295" s="319"/>
      <c r="BI295" s="319"/>
      <c r="BJ295" s="319"/>
      <c r="BK295" s="319"/>
      <c r="BL295" s="319"/>
      <c r="BM295" s="319"/>
      <c r="BN295" s="319"/>
      <c r="BO295" s="319"/>
      <c r="BP295" s="319"/>
      <c r="BQ295" s="319"/>
      <c r="BR295" s="319"/>
      <c r="BS295" s="319"/>
      <c r="BT295" s="319"/>
      <c r="BU295" s="319"/>
      <c r="BV295" s="319"/>
      <c r="BW295" s="319"/>
      <c r="BX295" s="319"/>
      <c r="BY295" s="319"/>
      <c r="BZ295" s="319"/>
      <c r="CA295" s="319"/>
      <c r="CB295" s="319"/>
      <c r="CC295" s="319"/>
      <c r="CD295" s="319"/>
      <c r="CE295" s="319"/>
      <c r="CF295" s="319"/>
    </row>
    <row r="296" spans="1:84" ht="12.75" hidden="1" customHeight="1">
      <c r="A296" s="12"/>
      <c r="B296" s="1"/>
      <c r="C296" s="29"/>
      <c r="D296" s="227"/>
      <c r="E296" s="1"/>
      <c r="F296" s="1011" t="s">
        <v>4189</v>
      </c>
      <c r="G296" s="134" t="str">
        <f>C266</f>
        <v>Mostrar dado</v>
      </c>
      <c r="H296" s="1"/>
      <c r="I296" s="1"/>
      <c r="J296" s="1"/>
      <c r="K296" s="9"/>
      <c r="L296" s="1"/>
      <c r="M296" s="3" t="b">
        <v>0</v>
      </c>
      <c r="N296" s="319"/>
      <c r="O296" s="319">
        <v>27</v>
      </c>
      <c r="P296" s="319">
        <f>$P$294</f>
        <v>0</v>
      </c>
      <c r="Q296" s="476">
        <f t="shared" si="20"/>
        <v>0</v>
      </c>
      <c r="R296" s="476">
        <f t="shared" si="20"/>
        <v>9.9920072216264089E-16</v>
      </c>
      <c r="S296" s="476">
        <f t="shared" si="20"/>
        <v>2.1414747752857011E-10</v>
      </c>
      <c r="T296" s="476">
        <f t="shared" si="20"/>
        <v>1.5363424221703781E-7</v>
      </c>
      <c r="U296" s="476">
        <f t="shared" si="20"/>
        <v>7.4881659334335993E-6</v>
      </c>
      <c r="V296" s="476">
        <f t="shared" si="20"/>
        <v>8.7622193297498541E-5</v>
      </c>
      <c r="W296" s="476">
        <f t="shared" si="20"/>
        <v>4.4983039159363081E-4</v>
      </c>
      <c r="X296" s="476">
        <f t="shared" si="20"/>
        <v>1.3909293019710445E-3</v>
      </c>
      <c r="Y296" s="476">
        <f t="shared" si="20"/>
        <v>3.0987961285894317E-3</v>
      </c>
      <c r="Z296" s="476">
        <f t="shared" si="20"/>
        <v>5.5374358905607712E-3</v>
      </c>
      <c r="AA296" s="476">
        <f t="shared" si="20"/>
        <v>8.4895507877335019E-3</v>
      </c>
      <c r="AB296" s="476">
        <f t="shared" si="20"/>
        <v>1.1667512557451687E-2</v>
      </c>
      <c r="AC296" s="476">
        <f t="shared" si="20"/>
        <v>1.4805396409929839E-2</v>
      </c>
      <c r="AD296" s="476" t="e">
        <f t="shared" si="20"/>
        <v>#DIV/0!</v>
      </c>
      <c r="AE296" s="319"/>
      <c r="AF296" s="319"/>
      <c r="AG296" s="319"/>
      <c r="AH296" s="319"/>
      <c r="AI296" s="319"/>
      <c r="AJ296" s="319"/>
      <c r="AK296" s="319"/>
      <c r="AL296" s="319"/>
      <c r="AM296" s="319"/>
      <c r="AN296" s="319"/>
      <c r="AO296" s="319">
        <v>2102000</v>
      </c>
      <c r="AP296" s="319">
        <v>2104000</v>
      </c>
      <c r="AQ296" s="319"/>
      <c r="AR296" s="319"/>
      <c r="AS296" s="319"/>
      <c r="AT296" s="319"/>
      <c r="AU296" s="319"/>
      <c r="AV296" s="319"/>
      <c r="AW296" s="319"/>
      <c r="AX296" s="319"/>
      <c r="AY296" s="319"/>
      <c r="AZ296" s="319"/>
      <c r="BA296" s="319"/>
      <c r="BB296" s="319"/>
      <c r="BC296" s="319"/>
      <c r="BD296" s="319"/>
      <c r="BE296" s="319"/>
      <c r="BF296" s="319"/>
      <c r="BG296" s="319"/>
      <c r="BH296" s="319"/>
      <c r="BI296" s="319"/>
      <c r="BJ296" s="319"/>
      <c r="BK296" s="319"/>
      <c r="BL296" s="319"/>
      <c r="BM296" s="319"/>
      <c r="BN296" s="319"/>
      <c r="BO296" s="319"/>
      <c r="BP296" s="319"/>
      <c r="BQ296" s="319"/>
      <c r="BR296" s="319"/>
      <c r="BS296" s="319"/>
      <c r="BT296" s="319"/>
      <c r="BU296" s="319"/>
      <c r="BV296" s="319"/>
      <c r="BW296" s="319"/>
      <c r="BX296" s="319"/>
      <c r="BY296" s="319"/>
      <c r="BZ296" s="319"/>
      <c r="CA296" s="319"/>
      <c r="CB296" s="319"/>
      <c r="CC296" s="319"/>
      <c r="CD296" s="319"/>
      <c r="CE296" s="319"/>
      <c r="CF296" s="319"/>
    </row>
    <row r="297" spans="1:84" ht="12.75" hidden="1" customHeight="1">
      <c r="A297" s="12"/>
      <c r="B297" s="1" t="str">
        <f>Language!C1488</f>
        <v>Perdas do painel</v>
      </c>
      <c r="C297" s="29" t="str">
        <f>$T$35</f>
        <v>%</v>
      </c>
      <c r="D297" s="422"/>
      <c r="E297" s="1"/>
      <c r="F297" s="1"/>
      <c r="G297" s="8"/>
      <c r="H297" s="8"/>
      <c r="I297" s="8"/>
      <c r="J297" s="1238" t="str">
        <f>Language!C1874</f>
        <v>Por turbina</v>
      </c>
      <c r="K297" s="1259"/>
      <c r="L297" s="1"/>
      <c r="M297" s="319"/>
      <c r="N297" s="319"/>
      <c r="O297" s="319">
        <v>28</v>
      </c>
      <c r="P297" s="319">
        <f>$P$294</f>
        <v>0</v>
      </c>
      <c r="Q297" s="476">
        <f t="shared" si="20"/>
        <v>0</v>
      </c>
      <c r="R297" s="476">
        <f t="shared" si="20"/>
        <v>0</v>
      </c>
      <c r="S297" s="476">
        <f t="shared" si="20"/>
        <v>3.9796721473805974E-11</v>
      </c>
      <c r="T297" s="476">
        <f t="shared" si="20"/>
        <v>4.819668564248758E-8</v>
      </c>
      <c r="U297" s="476">
        <f t="shared" si="20"/>
        <v>3.2234340291426022E-6</v>
      </c>
      <c r="V297" s="476">
        <f t="shared" si="20"/>
        <v>4.6331428061097135E-5</v>
      </c>
      <c r="W297" s="476">
        <f t="shared" si="20"/>
        <v>2.7391037908208737E-4</v>
      </c>
      <c r="X297" s="476">
        <f t="shared" si="20"/>
        <v>9.3700602694146706E-4</v>
      </c>
      <c r="Y297" s="476">
        <f t="shared" si="20"/>
        <v>2.2496340500781642E-3</v>
      </c>
      <c r="Z297" s="476">
        <f t="shared" si="20"/>
        <v>4.2554180948174425E-3</v>
      </c>
      <c r="AA297" s="476">
        <f t="shared" si="20"/>
        <v>6.8195844767771074E-3</v>
      </c>
      <c r="AB297" s="476">
        <f t="shared" si="20"/>
        <v>9.7078093450112535E-3</v>
      </c>
      <c r="AC297" s="476">
        <f t="shared" si="20"/>
        <v>1.2673139928849775E-2</v>
      </c>
      <c r="AD297" s="476" t="e">
        <f t="shared" si="20"/>
        <v>#DIV/0!</v>
      </c>
      <c r="AE297" s="319"/>
      <c r="AF297" s="319"/>
      <c r="AG297" s="319"/>
      <c r="AH297" s="319"/>
      <c r="AI297" s="319"/>
      <c r="AJ297" s="319"/>
      <c r="AK297" s="319"/>
      <c r="AL297" s="319"/>
      <c r="AM297" s="319"/>
      <c r="AN297" s="319"/>
      <c r="AO297" s="319">
        <v>2103014</v>
      </c>
      <c r="AP297" s="319">
        <v>2104000</v>
      </c>
      <c r="AQ297" s="319"/>
      <c r="AR297" s="319"/>
      <c r="AS297" s="319"/>
      <c r="AT297" s="319"/>
      <c r="AU297" s="319"/>
      <c r="AV297" s="319"/>
      <c r="AW297" s="319"/>
      <c r="AX297" s="319"/>
      <c r="AY297" s="319"/>
      <c r="AZ297" s="319"/>
      <c r="BA297" s="319"/>
      <c r="BB297" s="319"/>
      <c r="BC297" s="319"/>
      <c r="BD297" s="319"/>
      <c r="BE297" s="319"/>
      <c r="BF297" s="319"/>
      <c r="BG297" s="319"/>
      <c r="BH297" s="319"/>
      <c r="BI297" s="319"/>
      <c r="BJ297" s="319"/>
      <c r="BK297" s="319"/>
      <c r="BL297" s="319"/>
      <c r="BM297" s="319"/>
      <c r="BN297" s="319"/>
      <c r="BO297" s="319"/>
      <c r="BP297" s="319"/>
      <c r="BQ297" s="319"/>
      <c r="BR297" s="319"/>
      <c r="BS297" s="319"/>
      <c r="BT297" s="319"/>
      <c r="BU297" s="319"/>
      <c r="BV297" s="319"/>
      <c r="BW297" s="319"/>
      <c r="BX297" s="319"/>
      <c r="BY297" s="319"/>
      <c r="BZ297" s="319"/>
      <c r="CA297" s="319"/>
      <c r="CB297" s="319"/>
      <c r="CC297" s="319"/>
      <c r="CD297" s="319"/>
      <c r="CE297" s="319"/>
      <c r="CF297" s="319"/>
    </row>
    <row r="298" spans="1:84" ht="12.75" hidden="1" customHeight="1">
      <c r="A298" s="12"/>
      <c r="B298" s="1" t="str">
        <f>Language!C1470</f>
        <v>Perdas no aerofólio</v>
      </c>
      <c r="C298" s="29" t="str">
        <f>$T$35</f>
        <v>%</v>
      </c>
      <c r="D298" s="422"/>
      <c r="E298" s="1"/>
      <c r="F298" s="1"/>
      <c r="G298" s="1" t="str">
        <f>Language!C2057</f>
        <v>Produção de energia não ajustada</v>
      </c>
      <c r="H298" s="1"/>
      <c r="I298" s="1"/>
      <c r="J298" s="29" t="str">
        <f>R14</f>
        <v>MWh</v>
      </c>
      <c r="K298" s="37">
        <f>IF(HideES_Wind1QF=0,R245,R243)</f>
        <v>0</v>
      </c>
      <c r="L298" s="1"/>
      <c r="M298" s="319"/>
      <c r="N298" s="319"/>
      <c r="O298" s="319">
        <v>29</v>
      </c>
      <c r="P298" s="319">
        <f>$P$294</f>
        <v>0</v>
      </c>
      <c r="Q298" s="476">
        <f t="shared" si="20"/>
        <v>0</v>
      </c>
      <c r="R298" s="476">
        <f t="shared" si="20"/>
        <v>0</v>
      </c>
      <c r="S298" s="476">
        <f t="shared" si="20"/>
        <v>6.9384498146973783E-12</v>
      </c>
      <c r="T298" s="476">
        <f t="shared" si="20"/>
        <v>1.4457939512269036E-8</v>
      </c>
      <c r="U298" s="476">
        <f t="shared" si="20"/>
        <v>1.3422127037587828E-6</v>
      </c>
      <c r="V298" s="476">
        <f t="shared" si="20"/>
        <v>2.3875092242886531E-5</v>
      </c>
      <c r="W298" s="476">
        <f t="shared" si="20"/>
        <v>1.6338238035218389E-4</v>
      </c>
      <c r="X298" s="476">
        <f t="shared" si="20"/>
        <v>6.2060086145498961E-4</v>
      </c>
      <c r="Y298" s="476">
        <f t="shared" si="20"/>
        <v>1.6100693717515657E-3</v>
      </c>
      <c r="Z298" s="476">
        <f t="shared" si="20"/>
        <v>3.2306382339856166E-3</v>
      </c>
      <c r="AA298" s="476">
        <f t="shared" si="20"/>
        <v>5.4205495062031872E-3</v>
      </c>
      <c r="AB298" s="476">
        <f t="shared" si="20"/>
        <v>8.0026102515133868E-3</v>
      </c>
      <c r="AC298" s="476">
        <f t="shared" si="20"/>
        <v>1.0758802437500603E-2</v>
      </c>
      <c r="AD298" s="476" t="e">
        <f t="shared" si="20"/>
        <v>#DIV/0!</v>
      </c>
      <c r="AE298" s="319"/>
      <c r="AF298" s="319"/>
      <c r="AG298" s="319"/>
      <c r="AH298" s="319"/>
      <c r="AI298" s="319"/>
      <c r="AJ298" s="319"/>
      <c r="AK298" s="319"/>
      <c r="AL298" s="319"/>
      <c r="AM298" s="319"/>
      <c r="AN298" s="319"/>
      <c r="AO298" s="319">
        <v>2103016</v>
      </c>
      <c r="AP298" s="319">
        <v>2104002</v>
      </c>
      <c r="AQ298" s="319"/>
      <c r="AR298" s="319"/>
      <c r="AS298" s="319"/>
      <c r="AT298" s="319"/>
      <c r="AU298" s="319"/>
      <c r="AV298" s="319"/>
      <c r="AW298" s="319"/>
      <c r="AX298" s="319"/>
      <c r="AY298" s="319"/>
      <c r="AZ298" s="319"/>
      <c r="BA298" s="319"/>
      <c r="BB298" s="319"/>
      <c r="BC298" s="319"/>
      <c r="BD298" s="319"/>
      <c r="BE298" s="319"/>
      <c r="BF298" s="319"/>
      <c r="BG298" s="319"/>
      <c r="BH298" s="319"/>
      <c r="BI298" s="319"/>
      <c r="BJ298" s="319"/>
      <c r="BK298" s="319"/>
      <c r="BL298" s="319"/>
      <c r="BM298" s="319"/>
      <c r="BN298" s="319"/>
      <c r="BO298" s="319"/>
      <c r="BP298" s="319"/>
      <c r="BQ298" s="319"/>
      <c r="BR298" s="319"/>
      <c r="BS298" s="319"/>
      <c r="BT298" s="319"/>
      <c r="BU298" s="319"/>
      <c r="BV298" s="319"/>
      <c r="BW298" s="319"/>
      <c r="BX298" s="319"/>
      <c r="BY298" s="319"/>
      <c r="BZ298" s="319"/>
      <c r="CA298" s="319"/>
      <c r="CB298" s="319"/>
      <c r="CC298" s="319"/>
      <c r="CD298" s="319"/>
      <c r="CE298" s="319"/>
      <c r="CF298" s="319"/>
    </row>
    <row r="299" spans="1:84" ht="12.75" hidden="1" customHeight="1">
      <c r="A299" s="12"/>
      <c r="B299" s="1" t="str">
        <f>Language!C1820</f>
        <v>Perdas diversas</v>
      </c>
      <c r="C299" s="29" t="str">
        <f>$T$35</f>
        <v>%</v>
      </c>
      <c r="D299" s="422"/>
      <c r="E299" s="1"/>
      <c r="F299" s="1"/>
      <c r="G299" s="1" t="str">
        <f>Language!C1905</f>
        <v>Coeficiente de pressão</v>
      </c>
      <c r="H299" s="1"/>
      <c r="I299" s="1"/>
      <c r="J299" s="29"/>
      <c r="K299" s="733">
        <f>O250/101.3</f>
        <v>0</v>
      </c>
      <c r="L299" s="1"/>
      <c r="M299" s="319"/>
      <c r="N299" s="319"/>
      <c r="O299" s="319">
        <v>30</v>
      </c>
      <c r="P299" s="319">
        <f>$P$294</f>
        <v>0</v>
      </c>
      <c r="Q299" s="476">
        <f t="shared" si="20"/>
        <v>0</v>
      </c>
      <c r="R299" s="476">
        <f t="shared" si="20"/>
        <v>0</v>
      </c>
      <c r="S299" s="476">
        <f t="shared" si="20"/>
        <v>1.1349809980742975E-12</v>
      </c>
      <c r="T299" s="476">
        <f t="shared" si="20"/>
        <v>4.1475628487219751E-9</v>
      </c>
      <c r="U299" s="476">
        <f t="shared" si="20"/>
        <v>5.4065549881521235E-7</v>
      </c>
      <c r="V299" s="476">
        <f t="shared" si="20"/>
        <v>1.1991121119381276E-5</v>
      </c>
      <c r="W299" s="476">
        <f t="shared" si="20"/>
        <v>9.5472118840644882E-5</v>
      </c>
      <c r="X299" s="476">
        <f t="shared" si="20"/>
        <v>4.0415933124482439E-4</v>
      </c>
      <c r="Y299" s="476">
        <f t="shared" si="20"/>
        <v>1.136131831705689E-3</v>
      </c>
      <c r="Z299" s="476">
        <f t="shared" si="20"/>
        <v>2.4231738773533573E-3</v>
      </c>
      <c r="AA299" s="476">
        <f t="shared" si="20"/>
        <v>4.2636201495782622E-3</v>
      </c>
      <c r="AB299" s="476">
        <f t="shared" si="20"/>
        <v>6.5365283678372466E-3</v>
      </c>
      <c r="AC299" s="476">
        <f t="shared" si="20"/>
        <v>9.0593437385824149E-3</v>
      </c>
      <c r="AD299" s="476" t="e">
        <f t="shared" si="20"/>
        <v>#DIV/0!</v>
      </c>
      <c r="AE299" s="319"/>
      <c r="AF299" s="319"/>
      <c r="AG299" s="319"/>
      <c r="AH299" s="319"/>
      <c r="AI299" s="319"/>
      <c r="AJ299" s="319"/>
      <c r="AK299" s="319"/>
      <c r="AL299" s="319"/>
      <c r="AM299" s="319"/>
      <c r="AN299" s="319"/>
      <c r="AO299" s="319">
        <v>2103018</v>
      </c>
      <c r="AP299" s="319">
        <v>2104004</v>
      </c>
      <c r="AQ299" s="319"/>
      <c r="AR299" s="319"/>
      <c r="AS299" s="319"/>
      <c r="AT299" s="319"/>
      <c r="AU299" s="319"/>
      <c r="AV299" s="319"/>
      <c r="AW299" s="319"/>
      <c r="AX299" s="319"/>
      <c r="AY299" s="319"/>
      <c r="AZ299" s="319"/>
      <c r="BA299" s="319"/>
      <c r="BB299" s="319"/>
      <c r="BC299" s="319"/>
      <c r="BD299" s="319"/>
      <c r="BE299" s="319"/>
      <c r="BF299" s="319"/>
      <c r="BG299" s="319"/>
      <c r="BH299" s="319"/>
      <c r="BI299" s="319"/>
      <c r="BJ299" s="319"/>
      <c r="BK299" s="319"/>
      <c r="BL299" s="319"/>
      <c r="BM299" s="319"/>
      <c r="BN299" s="319"/>
      <c r="BO299" s="319"/>
      <c r="BP299" s="319"/>
      <c r="BQ299" s="319"/>
      <c r="BR299" s="319"/>
      <c r="BS299" s="319"/>
      <c r="BT299" s="319"/>
      <c r="BU299" s="319"/>
      <c r="BV299" s="319"/>
      <c r="BW299" s="319"/>
      <c r="BX299" s="319"/>
      <c r="BY299" s="319"/>
      <c r="BZ299" s="319"/>
      <c r="CA299" s="319"/>
      <c r="CB299" s="319"/>
      <c r="CC299" s="319"/>
      <c r="CD299" s="319"/>
      <c r="CE299" s="319"/>
      <c r="CF299" s="319"/>
    </row>
    <row r="300" spans="1:84" ht="12.75" hidden="1" customHeight="1">
      <c r="A300" s="12"/>
      <c r="B300" s="1" t="str">
        <f>B35</f>
        <v>Disponibilidade</v>
      </c>
      <c r="C300" s="29" t="str">
        <f>$T$35</f>
        <v>%</v>
      </c>
      <c r="D300" s="422"/>
      <c r="E300" s="1"/>
      <c r="F300" s="1"/>
      <c r="G300" s="1" t="str">
        <f>Language!C2016</f>
        <v>Coeficiente de Temperatura</v>
      </c>
      <c r="H300" s="1"/>
      <c r="I300" s="1"/>
      <c r="J300" s="29"/>
      <c r="K300" s="733">
        <f>288/(273+O249)</f>
        <v>1.054945054945055</v>
      </c>
      <c r="L300" s="1"/>
      <c r="M300" s="319"/>
      <c r="N300" s="319"/>
      <c r="O300" s="319" t="s">
        <v>3303</v>
      </c>
      <c r="P300" s="319"/>
      <c r="Q300" s="319"/>
      <c r="R300" s="319"/>
      <c r="S300" s="319"/>
      <c r="T300" s="319"/>
      <c r="U300" s="319"/>
      <c r="V300" s="319"/>
      <c r="W300" s="319"/>
      <c r="X300" s="319"/>
      <c r="Y300" s="319"/>
      <c r="Z300" s="319"/>
      <c r="AA300" s="319"/>
      <c r="AB300" s="319"/>
      <c r="AC300" s="319"/>
      <c r="AD300" s="319"/>
      <c r="AE300" s="319"/>
      <c r="AF300" s="319"/>
      <c r="AG300" s="319"/>
      <c r="AH300" s="319"/>
      <c r="AI300" s="319"/>
      <c r="AJ300" s="319"/>
      <c r="AK300" s="319"/>
      <c r="AL300" s="319"/>
      <c r="AM300" s="319"/>
      <c r="AN300" s="319"/>
      <c r="AO300" s="319">
        <v>2103020</v>
      </c>
      <c r="AP300" s="319">
        <v>2104006</v>
      </c>
      <c r="AQ300" s="319"/>
      <c r="AR300" s="319"/>
      <c r="AS300" s="319"/>
      <c r="AT300" s="319"/>
      <c r="AU300" s="319"/>
      <c r="AV300" s="319"/>
      <c r="AW300" s="319"/>
      <c r="AX300" s="319"/>
      <c r="AY300" s="319"/>
      <c r="AZ300" s="319"/>
      <c r="BA300" s="319"/>
      <c r="BB300" s="319"/>
      <c r="BC300" s="319"/>
      <c r="BD300" s="319"/>
      <c r="BE300" s="319"/>
      <c r="BF300" s="319"/>
      <c r="BG300" s="319"/>
      <c r="BH300" s="319"/>
      <c r="BI300" s="319"/>
      <c r="BJ300" s="319"/>
      <c r="BK300" s="319"/>
      <c r="BL300" s="319"/>
      <c r="BM300" s="319"/>
      <c r="BN300" s="319"/>
      <c r="BO300" s="319"/>
      <c r="BP300" s="319"/>
      <c r="BQ300" s="319"/>
      <c r="BR300" s="319"/>
      <c r="BS300" s="319"/>
      <c r="BT300" s="319"/>
      <c r="BU300" s="319"/>
      <c r="BV300" s="319"/>
      <c r="BW300" s="319"/>
      <c r="BX300" s="319"/>
      <c r="BY300" s="319"/>
      <c r="BZ300" s="319"/>
      <c r="CA300" s="319"/>
      <c r="CB300" s="319"/>
      <c r="CC300" s="319"/>
      <c r="CD300" s="319"/>
      <c r="CE300" s="319"/>
      <c r="CF300" s="319"/>
    </row>
    <row r="301" spans="1:84" ht="12.75" hidden="1" customHeight="1">
      <c r="A301" s="12"/>
      <c r="B301" s="1"/>
      <c r="C301" s="1"/>
      <c r="D301" s="1"/>
      <c r="E301" s="1"/>
      <c r="F301" s="1"/>
      <c r="G301" s="1" t="str">
        <f>Language!C1711</f>
        <v>Produção de energia bruta</v>
      </c>
      <c r="H301" s="1"/>
      <c r="I301" s="1"/>
      <c r="J301" s="29" t="str">
        <f>R14</f>
        <v>MWh</v>
      </c>
      <c r="K301" s="37">
        <f>IF(HideES_Wind1QF=2,SUM(W231:W242)/O257/K302,K298*K299*K300)</f>
        <v>0</v>
      </c>
      <c r="L301" s="1"/>
      <c r="M301" s="319"/>
      <c r="N301" s="319"/>
      <c r="O301" s="319"/>
      <c r="P301" s="722">
        <f>IF(HideES_Wind1QF=2,SUM(W231:W242)/O257,K298*K299*K300)</f>
        <v>0</v>
      </c>
      <c r="Q301" s="477" t="s">
        <v>1078</v>
      </c>
      <c r="R301" s="319"/>
      <c r="S301" s="319"/>
      <c r="T301" s="319"/>
      <c r="U301" s="319"/>
      <c r="V301" s="319"/>
      <c r="W301" s="319"/>
      <c r="X301" s="319"/>
      <c r="Y301" s="319"/>
      <c r="Z301" s="319"/>
      <c r="AA301" s="319"/>
      <c r="AB301" s="319"/>
      <c r="AC301" s="319"/>
      <c r="AD301" s="319"/>
      <c r="AE301" s="319"/>
      <c r="AF301" s="319"/>
      <c r="AG301" s="319"/>
      <c r="AH301" s="319"/>
      <c r="AI301" s="319"/>
      <c r="AJ301" s="319"/>
      <c r="AK301" s="319"/>
      <c r="AL301" s="319"/>
      <c r="AM301" s="319"/>
      <c r="AN301" s="319"/>
      <c r="AO301" s="319">
        <v>2102000</v>
      </c>
      <c r="AP301" s="319">
        <v>2104008</v>
      </c>
      <c r="AQ301" s="319"/>
      <c r="AR301" s="319"/>
      <c r="AS301" s="319"/>
      <c r="AT301" s="319"/>
      <c r="AU301" s="319"/>
      <c r="AV301" s="319"/>
      <c r="AW301" s="319"/>
      <c r="AX301" s="319"/>
      <c r="AY301" s="319"/>
      <c r="AZ301" s="319"/>
      <c r="BA301" s="319"/>
      <c r="BB301" s="319"/>
      <c r="BC301" s="319"/>
      <c r="BD301" s="319"/>
      <c r="BE301" s="319"/>
      <c r="BF301" s="319"/>
      <c r="BG301" s="319"/>
      <c r="BH301" s="319"/>
      <c r="BI301" s="319"/>
      <c r="BJ301" s="319"/>
      <c r="BK301" s="319"/>
      <c r="BL301" s="319"/>
      <c r="BM301" s="319"/>
      <c r="BN301" s="319"/>
      <c r="BO301" s="319"/>
      <c r="BP301" s="319"/>
      <c r="BQ301" s="319"/>
      <c r="BR301" s="319"/>
      <c r="BS301" s="319"/>
      <c r="BT301" s="319"/>
      <c r="BU301" s="319"/>
      <c r="BV301" s="319"/>
      <c r="BW301" s="319"/>
      <c r="BX301" s="319"/>
      <c r="BY301" s="319"/>
      <c r="BZ301" s="319"/>
      <c r="CA301" s="319"/>
      <c r="CB301" s="319"/>
      <c r="CC301" s="319"/>
      <c r="CD301" s="319"/>
      <c r="CE301" s="319"/>
      <c r="CF301" s="319"/>
    </row>
    <row r="302" spans="1:84" ht="12.75" hidden="1" customHeight="1">
      <c r="A302" s="12"/>
      <c r="B302" s="28" t="str">
        <f>Language!C396</f>
        <v>Resumo</v>
      </c>
      <c r="C302" s="29"/>
      <c r="D302" s="1"/>
      <c r="E302" s="1"/>
      <c r="F302" s="1"/>
      <c r="G302" s="1" t="str">
        <f>Language!C1793</f>
        <v>Coeficiente de perdas</v>
      </c>
      <c r="H302" s="1"/>
      <c r="I302" s="1"/>
      <c r="J302" s="29"/>
      <c r="K302" s="262">
        <f>IF(Offgrid=5,'Modelo Energético '!K389,(1-D297)*(1-D298)*D300*(1-D299))</f>
        <v>0</v>
      </c>
      <c r="L302" s="1"/>
      <c r="M302" s="319"/>
      <c r="N302" s="319"/>
      <c r="O302" s="319"/>
      <c r="P302" s="481" t="s">
        <v>5839</v>
      </c>
      <c r="Q302" s="481" t="s">
        <v>3655</v>
      </c>
      <c r="R302" s="722">
        <f>IF(Offgrid=5,SUM('Modelo Energético '!F319:F330),IF(HideES_Wind1QF=2,P301*O257,P301*K302*O257))</f>
        <v>0</v>
      </c>
      <c r="S302" s="319"/>
      <c r="T302" s="319"/>
      <c r="U302" s="319"/>
      <c r="V302" s="319"/>
      <c r="W302" s="319"/>
      <c r="X302" s="319"/>
      <c r="Y302" s="319"/>
      <c r="Z302" s="319"/>
      <c r="AA302" s="319"/>
      <c r="AB302" s="319"/>
      <c r="AC302" s="319"/>
      <c r="AD302" s="319"/>
      <c r="AE302" s="319"/>
      <c r="AF302" s="319"/>
      <c r="AG302" s="319"/>
      <c r="AH302" s="319"/>
      <c r="AI302" s="319"/>
      <c r="AJ302" s="319"/>
      <c r="AK302" s="319"/>
      <c r="AL302" s="319"/>
      <c r="AM302" s="319"/>
      <c r="AN302" s="319"/>
      <c r="AO302" s="319">
        <v>2105000</v>
      </c>
      <c r="AP302" s="319">
        <v>2104010</v>
      </c>
      <c r="AQ302" s="319"/>
      <c r="AR302" s="319"/>
      <c r="AS302" s="319"/>
      <c r="AT302" s="319"/>
      <c r="AU302" s="319"/>
      <c r="AV302" s="319"/>
      <c r="AW302" s="319"/>
      <c r="AX302" s="319"/>
      <c r="AY302" s="319"/>
      <c r="AZ302" s="319"/>
      <c r="BA302" s="319"/>
      <c r="BB302" s="319"/>
      <c r="BC302" s="319"/>
      <c r="BD302" s="319"/>
      <c r="BE302" s="319"/>
      <c r="BF302" s="319"/>
      <c r="BG302" s="319"/>
      <c r="BH302" s="319"/>
      <c r="BI302" s="319"/>
      <c r="BJ302" s="319"/>
      <c r="BK302" s="319"/>
      <c r="BL302" s="319"/>
      <c r="BM302" s="319"/>
      <c r="BN302" s="319"/>
      <c r="BO302" s="319"/>
      <c r="BP302" s="319"/>
      <c r="BQ302" s="319"/>
      <c r="BR302" s="319"/>
      <c r="BS302" s="319"/>
      <c r="BT302" s="319"/>
      <c r="BU302" s="319"/>
      <c r="BV302" s="319"/>
      <c r="BW302" s="319"/>
      <c r="BX302" s="319"/>
      <c r="BY302" s="319"/>
      <c r="BZ302" s="319"/>
      <c r="CA302" s="319"/>
      <c r="CB302" s="319"/>
      <c r="CC302" s="319"/>
      <c r="CD302" s="319"/>
      <c r="CE302" s="319"/>
      <c r="CF302" s="319"/>
    </row>
    <row r="303" spans="1:84" ht="12.75" hidden="1" customHeight="1">
      <c r="A303" s="12"/>
      <c r="B303" s="1" t="str">
        <f>B309</f>
        <v>Fator de Utilização</v>
      </c>
      <c r="C303" s="29" t="s">
        <v>739</v>
      </c>
      <c r="D303" s="233" t="e">
        <f>R302/(P307*8.76)</f>
        <v>#DIV/0!</v>
      </c>
      <c r="E303" s="8"/>
      <c r="F303" s="8"/>
      <c r="G303" s="1" t="str">
        <f>Language!C1995</f>
        <v>Rendimento específico</v>
      </c>
      <c r="H303" s="1"/>
      <c r="I303" s="1"/>
      <c r="J303" s="29" t="str">
        <f>Language!C2219</f>
        <v>kWh/m²</v>
      </c>
      <c r="K303" s="37" t="e">
        <f>P301*1000/O260*IF(HideES_Wind1QF=0,K302,1)</f>
        <v>#DIV/0!</v>
      </c>
      <c r="L303" s="1"/>
      <c r="M303" s="319"/>
      <c r="N303" s="319"/>
      <c r="O303" s="319"/>
      <c r="P303" s="319"/>
      <c r="Q303" s="319"/>
      <c r="R303" s="319"/>
      <c r="S303" s="319"/>
      <c r="T303" s="319"/>
      <c r="U303" s="319"/>
      <c r="V303" s="319"/>
      <c r="W303" s="319"/>
      <c r="X303" s="319"/>
      <c r="Y303" s="319"/>
      <c r="Z303" s="319"/>
      <c r="AA303" s="319"/>
      <c r="AB303" s="319"/>
      <c r="AC303" s="319"/>
      <c r="AD303" s="319"/>
      <c r="AE303" s="319"/>
      <c r="AF303" s="319"/>
      <c r="AG303" s="319"/>
      <c r="AH303" s="319"/>
      <c r="AI303" s="319"/>
      <c r="AJ303" s="319"/>
      <c r="AK303" s="319"/>
      <c r="AL303" s="319"/>
      <c r="AM303" s="319"/>
      <c r="AN303" s="319"/>
      <c r="AO303" s="319">
        <v>2105002</v>
      </c>
      <c r="AP303" s="319">
        <v>2104012</v>
      </c>
      <c r="AQ303" s="319"/>
      <c r="AR303" s="319"/>
      <c r="AS303" s="319"/>
      <c r="AT303" s="319"/>
      <c r="AU303" s="319"/>
      <c r="AV303" s="319"/>
      <c r="AW303" s="319"/>
      <c r="AX303" s="319"/>
      <c r="AY303" s="319"/>
      <c r="AZ303" s="319"/>
      <c r="BA303" s="319"/>
      <c r="BB303" s="319"/>
      <c r="BC303" s="319"/>
      <c r="BD303" s="319"/>
      <c r="BE303" s="319"/>
      <c r="BF303" s="319"/>
      <c r="BG303" s="319"/>
      <c r="BH303" s="319"/>
      <c r="BI303" s="319"/>
      <c r="BJ303" s="319"/>
      <c r="BK303" s="319"/>
      <c r="BL303" s="319"/>
      <c r="BM303" s="319"/>
      <c r="BN303" s="319"/>
      <c r="BO303" s="319"/>
      <c r="BP303" s="319"/>
      <c r="BQ303" s="319"/>
      <c r="BR303" s="319"/>
      <c r="BS303" s="319"/>
      <c r="BT303" s="319"/>
      <c r="BU303" s="319"/>
      <c r="BV303" s="319"/>
      <c r="BW303" s="319"/>
      <c r="BX303" s="319"/>
      <c r="BY303" s="319"/>
      <c r="BZ303" s="319"/>
      <c r="CA303" s="319"/>
      <c r="CB303" s="319"/>
      <c r="CC303" s="319"/>
      <c r="CD303" s="319"/>
      <c r="CE303" s="319"/>
      <c r="CF303" s="319"/>
    </row>
    <row r="304" spans="1:84" ht="12.75" hidden="1" customHeight="1">
      <c r="A304" s="12"/>
      <c r="B304" s="1" t="str">
        <f>$B$94</f>
        <v>Eletricidade fornecida à carga</v>
      </c>
      <c r="C304" s="29" t="str">
        <f>R14</f>
        <v>MWh</v>
      </c>
      <c r="D304" s="30">
        <f>D310</f>
        <v>0</v>
      </c>
      <c r="E304" s="1"/>
      <c r="F304" s="1"/>
      <c r="G304" s="8"/>
      <c r="H304" s="8"/>
      <c r="I304" s="8"/>
      <c r="J304" s="8"/>
      <c r="K304" s="9"/>
      <c r="L304" s="1"/>
      <c r="M304" s="319"/>
      <c r="N304" s="319"/>
      <c r="O304" s="319">
        <f>P301*K302</f>
        <v>0</v>
      </c>
      <c r="P304" s="319"/>
      <c r="Q304" s="319"/>
      <c r="R304" s="319"/>
      <c r="S304" s="319"/>
      <c r="T304" s="319"/>
      <c r="U304" s="319"/>
      <c r="V304" s="319"/>
      <c r="W304" s="319"/>
      <c r="X304" s="319"/>
      <c r="Y304" s="319"/>
      <c r="Z304" s="319"/>
      <c r="AA304" s="319"/>
      <c r="AB304" s="319"/>
      <c r="AC304" s="319"/>
      <c r="AD304" s="319"/>
      <c r="AE304" s="319"/>
      <c r="AF304" s="319"/>
      <c r="AG304" s="319"/>
      <c r="AH304" s="319"/>
      <c r="AI304" s="319"/>
      <c r="AJ304" s="319"/>
      <c r="AK304" s="319"/>
      <c r="AL304" s="319"/>
      <c r="AM304" s="319"/>
      <c r="AN304" s="319"/>
      <c r="AO304" s="319">
        <v>2050008</v>
      </c>
      <c r="AP304" s="319"/>
      <c r="AQ304" s="319"/>
      <c r="AR304" s="319"/>
      <c r="AS304" s="319"/>
      <c r="AT304" s="319"/>
      <c r="AU304" s="319"/>
      <c r="AV304" s="319"/>
      <c r="AW304" s="319"/>
      <c r="AX304" s="319"/>
      <c r="AY304" s="319"/>
      <c r="AZ304" s="319"/>
      <c r="BA304" s="319"/>
      <c r="BB304" s="319"/>
      <c r="BC304" s="319"/>
      <c r="BD304" s="319"/>
      <c r="BE304" s="319"/>
      <c r="BF304" s="319"/>
      <c r="BG304" s="319"/>
      <c r="BH304" s="319"/>
      <c r="BI304" s="319"/>
      <c r="BJ304" s="319"/>
      <c r="BK304" s="319"/>
      <c r="BL304" s="319"/>
      <c r="BM304" s="319"/>
      <c r="BN304" s="319"/>
      <c r="BO304" s="319"/>
      <c r="BP304" s="319"/>
      <c r="BQ304" s="319"/>
      <c r="BR304" s="319"/>
      <c r="BS304" s="319"/>
      <c r="BT304" s="319"/>
      <c r="BU304" s="319"/>
      <c r="BV304" s="319"/>
      <c r="BW304" s="319"/>
      <c r="BX304" s="319"/>
      <c r="BY304" s="319"/>
      <c r="BZ304" s="319"/>
      <c r="CA304" s="319"/>
      <c r="CB304" s="319"/>
      <c r="CC304" s="319"/>
      <c r="CD304" s="319"/>
      <c r="CE304" s="319"/>
      <c r="CF304" s="319"/>
    </row>
    <row r="305" spans="1:84" ht="12.75" hidden="1" customHeight="1">
      <c r="A305" s="12"/>
      <c r="B305" s="8" t="str">
        <f>$B$95</f>
        <v>Eletricidade exportada p/ rede</v>
      </c>
      <c r="C305" s="29" t="str">
        <f>R14</f>
        <v>MWh</v>
      </c>
      <c r="D305" s="757">
        <f>D311</f>
        <v>5.3903325633948667</v>
      </c>
      <c r="E305" s="1"/>
      <c r="F305" s="1"/>
      <c r="G305" s="1"/>
      <c r="H305" s="1"/>
      <c r="I305" s="1"/>
      <c r="J305" s="1"/>
      <c r="K305" s="9"/>
      <c r="L305" s="1"/>
      <c r="M305" s="319"/>
      <c r="N305" s="319"/>
      <c r="O305" s="319"/>
      <c r="P305" s="319"/>
      <c r="Q305" s="319"/>
      <c r="R305" s="319"/>
      <c r="S305" s="319"/>
      <c r="T305" s="319"/>
      <c r="U305" s="319"/>
      <c r="V305" s="319"/>
      <c r="W305" s="319"/>
      <c r="X305" s="319"/>
      <c r="Y305" s="319"/>
      <c r="Z305" s="319"/>
      <c r="AA305" s="319"/>
      <c r="AB305" s="319"/>
      <c r="AC305" s="319"/>
      <c r="AD305" s="319"/>
      <c r="AE305" s="319"/>
      <c r="AF305" s="319"/>
      <c r="AG305" s="319"/>
      <c r="AH305" s="319"/>
      <c r="AI305" s="319"/>
      <c r="AJ305" s="319"/>
      <c r="AK305" s="319"/>
      <c r="AL305" s="319"/>
      <c r="AM305" s="319"/>
      <c r="AN305" s="319"/>
      <c r="AO305" s="319">
        <v>2050010</v>
      </c>
      <c r="AP305" s="319"/>
      <c r="AQ305" s="319"/>
      <c r="AR305" s="319"/>
      <c r="AS305" s="319"/>
      <c r="AT305" s="319"/>
      <c r="AU305" s="319"/>
      <c r="AV305" s="319"/>
      <c r="AW305" s="319"/>
      <c r="AX305" s="319"/>
      <c r="AY305" s="319"/>
      <c r="AZ305" s="319"/>
      <c r="BA305" s="319"/>
      <c r="BB305" s="319"/>
      <c r="BC305" s="319"/>
      <c r="BD305" s="319"/>
      <c r="BE305" s="319"/>
      <c r="BF305" s="319"/>
      <c r="BG305" s="319"/>
      <c r="BH305" s="319"/>
      <c r="BI305" s="319"/>
      <c r="BJ305" s="319"/>
      <c r="BK305" s="319"/>
      <c r="BL305" s="319"/>
      <c r="BM305" s="319"/>
      <c r="BN305" s="319"/>
      <c r="BO305" s="319"/>
      <c r="BP305" s="319"/>
      <c r="BQ305" s="319"/>
      <c r="BR305" s="319"/>
      <c r="BS305" s="319"/>
      <c r="BT305" s="319"/>
      <c r="BU305" s="319"/>
      <c r="BV305" s="319"/>
      <c r="BW305" s="319"/>
      <c r="BX305" s="319"/>
      <c r="BY305" s="319"/>
      <c r="BZ305" s="319"/>
      <c r="CA305" s="319"/>
      <c r="CB305" s="319"/>
      <c r="CC305" s="319"/>
      <c r="CD305" s="319"/>
      <c r="CE305" s="319"/>
      <c r="CF305" s="319"/>
    </row>
    <row r="306" spans="1:84" ht="12.75" hidden="1" customHeight="1">
      <c r="A306" s="12"/>
      <c r="B306" s="1" t="str">
        <f>B92</f>
        <v>Potência elétrica</v>
      </c>
      <c r="C306" s="372" t="str">
        <f>$C$92</f>
        <v>kW</v>
      </c>
      <c r="D306" s="969"/>
      <c r="E306" s="80" t="str">
        <f>IF($P$866=0,"",P307/$P$866)</f>
        <v/>
      </c>
      <c r="F306" s="1"/>
      <c r="G306" s="1"/>
      <c r="H306" s="1346"/>
      <c r="I306" s="1252" t="str">
        <f>Language!C61</f>
        <v>Ver banco de dados de produtos</v>
      </c>
      <c r="J306" s="1191"/>
      <c r="K306" s="1210"/>
      <c r="L306" s="1"/>
      <c r="M306" s="319"/>
      <c r="N306" s="319"/>
      <c r="O306" s="319"/>
      <c r="P306" s="319"/>
      <c r="Q306" s="319"/>
      <c r="R306" s="319"/>
      <c r="S306" s="319"/>
      <c r="T306" s="319"/>
      <c r="U306" s="319"/>
      <c r="V306" s="319"/>
      <c r="W306" s="319"/>
      <c r="X306" s="319"/>
      <c r="Y306" s="319"/>
      <c r="Z306" s="319"/>
      <c r="AA306" s="319"/>
      <c r="AB306" s="319"/>
      <c r="AC306" s="319"/>
      <c r="AD306" s="319"/>
      <c r="AE306" s="319"/>
      <c r="AF306" s="319"/>
      <c r="AG306" s="319"/>
      <c r="AH306" s="319"/>
      <c r="AI306" s="319"/>
      <c r="AJ306" s="319"/>
      <c r="AK306" s="319"/>
      <c r="AL306" s="319"/>
      <c r="AM306" s="319"/>
      <c r="AN306" s="319"/>
      <c r="AO306" s="319">
        <v>2050002</v>
      </c>
      <c r="AP306" s="319"/>
      <c r="AQ306" s="319"/>
      <c r="AR306" s="319"/>
      <c r="AS306" s="319"/>
      <c r="AT306" s="319"/>
      <c r="AU306" s="319"/>
      <c r="AV306" s="319"/>
      <c r="AW306" s="319"/>
      <c r="AX306" s="319"/>
      <c r="AY306" s="319"/>
      <c r="AZ306" s="319"/>
      <c r="BA306" s="319"/>
      <c r="BB306" s="319"/>
      <c r="BC306" s="319"/>
      <c r="BD306" s="319"/>
      <c r="BE306" s="319"/>
      <c r="BF306" s="319"/>
      <c r="BG306" s="319"/>
      <c r="BH306" s="319"/>
      <c r="BI306" s="319"/>
      <c r="BJ306" s="319"/>
      <c r="BK306" s="319"/>
      <c r="BL306" s="319"/>
      <c r="BM306" s="319"/>
      <c r="BN306" s="319"/>
      <c r="BO306" s="319"/>
      <c r="BP306" s="319"/>
      <c r="BQ306" s="319"/>
      <c r="BR306" s="319"/>
      <c r="BS306" s="319"/>
      <c r="BT306" s="319"/>
      <c r="BU306" s="319"/>
      <c r="BV306" s="319"/>
      <c r="BW306" s="319"/>
      <c r="BX306" s="319"/>
      <c r="BY306" s="319"/>
      <c r="BZ306" s="319"/>
      <c r="CA306" s="319"/>
      <c r="CB306" s="319"/>
      <c r="CC306" s="319"/>
      <c r="CD306" s="319"/>
      <c r="CE306" s="319"/>
      <c r="CF306" s="319"/>
    </row>
    <row r="307" spans="1:84" ht="12.75" hidden="1" customHeight="1">
      <c r="A307" s="12"/>
      <c r="B307" s="1" t="str">
        <f>$B$12</f>
        <v>Fabricante</v>
      </c>
      <c r="C307" s="1152"/>
      <c r="D307" s="1153"/>
      <c r="E307" s="1154"/>
      <c r="F307" s="1"/>
      <c r="G307" s="1"/>
      <c r="H307" s="1"/>
      <c r="I307" s="1"/>
      <c r="J307" s="1"/>
      <c r="K307" s="9"/>
      <c r="L307" s="1"/>
      <c r="M307" s="319"/>
      <c r="N307" s="319"/>
      <c r="O307" s="319" t="s">
        <v>5700</v>
      </c>
      <c r="P307" s="319">
        <f>IF(HideES_Wind1QF=1,Capa_Power17,P254)</f>
        <v>0</v>
      </c>
      <c r="Q307" s="319"/>
      <c r="R307" s="319"/>
      <c r="S307" s="319"/>
      <c r="T307" s="319"/>
      <c r="U307" s="319"/>
      <c r="V307" s="319"/>
      <c r="W307" s="319"/>
      <c r="X307" s="319"/>
      <c r="Y307" s="319"/>
      <c r="Z307" s="319"/>
      <c r="AA307" s="319"/>
      <c r="AB307" s="319"/>
      <c r="AC307" s="319"/>
      <c r="AD307" s="319"/>
      <c r="AE307" s="319"/>
      <c r="AF307" s="319"/>
      <c r="AG307" s="319"/>
      <c r="AH307" s="319"/>
      <c r="AI307" s="319"/>
      <c r="AJ307" s="319"/>
      <c r="AK307" s="319"/>
      <c r="AL307" s="319"/>
      <c r="AM307" s="319"/>
      <c r="AN307" s="319"/>
      <c r="AO307" s="319">
        <v>2050012</v>
      </c>
      <c r="AP307" s="319"/>
      <c r="AQ307" s="319"/>
      <c r="AR307" s="319"/>
      <c r="AS307" s="319"/>
      <c r="AT307" s="319"/>
      <c r="AU307" s="319"/>
      <c r="AV307" s="319"/>
      <c r="AW307" s="319"/>
      <c r="AX307" s="319"/>
      <c r="AY307" s="319"/>
      <c r="AZ307" s="319"/>
      <c r="BA307" s="319"/>
      <c r="BB307" s="319"/>
      <c r="BC307" s="319"/>
      <c r="BD307" s="319"/>
      <c r="BE307" s="319"/>
      <c r="BF307" s="319"/>
      <c r="BG307" s="319"/>
      <c r="BH307" s="319"/>
      <c r="BI307" s="319"/>
      <c r="BJ307" s="319"/>
      <c r="BK307" s="319"/>
      <c r="BL307" s="319"/>
      <c r="BM307" s="319"/>
      <c r="BN307" s="319"/>
      <c r="BO307" s="319"/>
      <c r="BP307" s="319"/>
      <c r="BQ307" s="319"/>
      <c r="BR307" s="319"/>
      <c r="BS307" s="319"/>
      <c r="BT307" s="319"/>
      <c r="BU307" s="319"/>
      <c r="BV307" s="319"/>
      <c r="BW307" s="319"/>
      <c r="BX307" s="319"/>
      <c r="BY307" s="319"/>
      <c r="BZ307" s="319"/>
      <c r="CA307" s="319"/>
      <c r="CB307" s="319"/>
      <c r="CC307" s="319"/>
      <c r="CD307" s="319"/>
      <c r="CE307" s="319"/>
      <c r="CF307" s="319"/>
    </row>
    <row r="308" spans="1:84" ht="12.75" hidden="1" customHeight="1">
      <c r="A308" s="12"/>
      <c r="B308" s="1" t="str">
        <f>$B$13</f>
        <v>Modelo</v>
      </c>
      <c r="C308" s="1152"/>
      <c r="D308" s="1153"/>
      <c r="E308" s="1154"/>
      <c r="F308" s="1" t="str">
        <f>$J$1073 &amp; Lang_Unit</f>
        <v>1 unidade(s)</v>
      </c>
      <c r="G308" s="1"/>
      <c r="H308" s="1"/>
      <c r="I308" s="1"/>
      <c r="J308" s="1"/>
      <c r="K308" s="9"/>
      <c r="L308" s="1"/>
      <c r="M308" s="319"/>
      <c r="N308" s="319"/>
      <c r="O308" s="319" t="s">
        <v>739</v>
      </c>
      <c r="P308" s="319">
        <f>IF(HideES_Wind1QF=1,D309,D303)</f>
        <v>0</v>
      </c>
      <c r="Q308" s="319"/>
      <c r="R308" s="319"/>
      <c r="S308" s="319"/>
      <c r="T308" s="319"/>
      <c r="U308" s="319"/>
      <c r="V308" s="319"/>
      <c r="W308" s="319"/>
      <c r="X308" s="319"/>
      <c r="Y308" s="319"/>
      <c r="Z308" s="319"/>
      <c r="AA308" s="319"/>
      <c r="AB308" s="319"/>
      <c r="AC308" s="319"/>
      <c r="AD308" s="319"/>
      <c r="AE308" s="319"/>
      <c r="AF308" s="319"/>
      <c r="AG308" s="319"/>
      <c r="AH308" s="319"/>
      <c r="AI308" s="319"/>
      <c r="AJ308" s="319"/>
      <c r="AK308" s="319"/>
      <c r="AL308" s="319"/>
      <c r="AM308" s="319"/>
      <c r="AN308" s="319"/>
      <c r="AO308" s="319">
        <v>2050014</v>
      </c>
      <c r="AP308" s="319"/>
      <c r="AQ308" s="319"/>
      <c r="AR308" s="319"/>
      <c r="AS308" s="319"/>
      <c r="AT308" s="319"/>
      <c r="AU308" s="319"/>
      <c r="AV308" s="319"/>
      <c r="AW308" s="319"/>
      <c r="AX308" s="319"/>
      <c r="AY308" s="319"/>
      <c r="AZ308" s="319"/>
      <c r="BA308" s="319"/>
      <c r="BB308" s="319"/>
      <c r="BC308" s="319"/>
      <c r="BD308" s="319"/>
      <c r="BE308" s="319"/>
      <c r="BF308" s="319"/>
      <c r="BG308" s="319"/>
      <c r="BH308" s="319"/>
      <c r="BI308" s="319"/>
      <c r="BJ308" s="319"/>
      <c r="BK308" s="319"/>
      <c r="BL308" s="319"/>
      <c r="BM308" s="319"/>
      <c r="BN308" s="319"/>
      <c r="BO308" s="319"/>
      <c r="BP308" s="319"/>
      <c r="BQ308" s="319"/>
      <c r="BR308" s="319"/>
      <c r="BS308" s="319"/>
      <c r="BT308" s="319"/>
      <c r="BU308" s="319"/>
      <c r="BV308" s="319"/>
      <c r="BW308" s="319"/>
      <c r="BX308" s="319"/>
      <c r="BY308" s="319"/>
      <c r="BZ308" s="319"/>
      <c r="CA308" s="319"/>
      <c r="CB308" s="319"/>
      <c r="CC308" s="319"/>
      <c r="CD308" s="319"/>
      <c r="CE308" s="319"/>
      <c r="CF308" s="319"/>
    </row>
    <row r="309" spans="1:84" ht="12.75" hidden="1" customHeight="1">
      <c r="A309" s="12"/>
      <c r="B309" s="1" t="str">
        <f>Language!C462</f>
        <v>Fator de Utilização</v>
      </c>
      <c r="C309" s="29" t="str">
        <f>$T$35</f>
        <v>%</v>
      </c>
      <c r="D309" s="402"/>
      <c r="E309" s="1"/>
      <c r="F309" s="1"/>
      <c r="G309" s="1"/>
      <c r="H309" s="1"/>
      <c r="I309" s="1"/>
      <c r="J309" s="1"/>
      <c r="K309" s="9"/>
      <c r="L309" s="1"/>
      <c r="M309" s="319"/>
      <c r="N309" s="319"/>
      <c r="O309" s="319" t="str">
        <f>$C$92</f>
        <v>kW</v>
      </c>
      <c r="P309" s="319">
        <f>P307*P308</f>
        <v>0</v>
      </c>
      <c r="Q309" s="319"/>
      <c r="R309" s="319"/>
      <c r="S309" s="319"/>
      <c r="T309" s="319"/>
      <c r="U309" s="319"/>
      <c r="V309" s="319"/>
      <c r="W309" s="319"/>
      <c r="X309" s="319"/>
      <c r="Y309" s="319"/>
      <c r="Z309" s="319"/>
      <c r="AA309" s="319"/>
      <c r="AB309" s="319"/>
      <c r="AC309" s="319"/>
      <c r="AD309" s="319"/>
      <c r="AE309" s="319"/>
      <c r="AF309" s="319"/>
      <c r="AG309" s="319"/>
      <c r="AH309" s="319"/>
      <c r="AI309" s="319"/>
      <c r="AJ309" s="319"/>
      <c r="AK309" s="319"/>
      <c r="AL309" s="319"/>
      <c r="AM309" s="319"/>
      <c r="AN309" s="319"/>
      <c r="AO309" s="319">
        <v>2070000</v>
      </c>
      <c r="AP309" s="319"/>
      <c r="AQ309" s="319"/>
      <c r="AR309" s="319"/>
      <c r="AS309" s="319"/>
      <c r="AT309" s="319"/>
      <c r="AU309" s="319"/>
      <c r="AV309" s="319"/>
      <c r="AW309" s="319"/>
      <c r="AX309" s="319"/>
      <c r="AY309" s="319"/>
      <c r="AZ309" s="319"/>
      <c r="BA309" s="319"/>
      <c r="BB309" s="319"/>
      <c r="BC309" s="319"/>
      <c r="BD309" s="319"/>
      <c r="BE309" s="319"/>
      <c r="BF309" s="319"/>
      <c r="BG309" s="319"/>
      <c r="BH309" s="319"/>
      <c r="BI309" s="319"/>
      <c r="BJ309" s="319"/>
      <c r="BK309" s="319"/>
      <c r="BL309" s="319"/>
      <c r="BM309" s="319"/>
      <c r="BN309" s="319"/>
      <c r="BO309" s="319"/>
      <c r="BP309" s="319"/>
      <c r="BQ309" s="319"/>
      <c r="BR309" s="319"/>
      <c r="BS309" s="319"/>
      <c r="BT309" s="319"/>
      <c r="BU309" s="319"/>
      <c r="BV309" s="319"/>
      <c r="BW309" s="319"/>
      <c r="BX309" s="319"/>
      <c r="BY309" s="319"/>
      <c r="BZ309" s="319"/>
      <c r="CA309" s="319"/>
      <c r="CB309" s="319"/>
      <c r="CC309" s="319"/>
      <c r="CD309" s="319"/>
      <c r="CE309" s="319"/>
      <c r="CF309" s="319"/>
    </row>
    <row r="310" spans="1:84" ht="12.75" hidden="1" customHeight="1">
      <c r="A310" s="12"/>
      <c r="B310" s="1" t="str">
        <f>$B$94</f>
        <v>Eletricidade fornecida à carga</v>
      </c>
      <c r="C310" s="29" t="str">
        <f>R14</f>
        <v>MWh</v>
      </c>
      <c r="D310" s="30">
        <f>IF(HideCodeES_PSS=1,$G$1107,IF($C$854=$E$1094,$G$1107,$G$1108))</f>
        <v>0</v>
      </c>
      <c r="E310" s="80" t="str">
        <f>IF($P$867=0,"",D310/$P$867)</f>
        <v/>
      </c>
      <c r="F310" s="1"/>
      <c r="G310" s="1"/>
      <c r="H310" s="1"/>
      <c r="I310" s="1"/>
      <c r="J310" s="1"/>
      <c r="K310" s="9"/>
      <c r="L310" s="1"/>
      <c r="M310" s="319"/>
      <c r="N310" s="319"/>
      <c r="O310" s="319"/>
      <c r="P310" s="319"/>
      <c r="Q310" s="319"/>
      <c r="R310" s="319"/>
      <c r="S310" s="319"/>
      <c r="T310" s="319"/>
      <c r="U310" s="319"/>
      <c r="V310" s="319"/>
      <c r="W310" s="319"/>
      <c r="X310" s="319"/>
      <c r="Y310" s="319"/>
      <c r="Z310" s="319"/>
      <c r="AA310" s="319"/>
      <c r="AB310" s="319"/>
      <c r="AC310" s="319"/>
      <c r="AD310" s="319"/>
      <c r="AE310" s="319"/>
      <c r="AF310" s="319"/>
      <c r="AG310" s="319"/>
      <c r="AH310" s="319"/>
      <c r="AI310" s="319"/>
      <c r="AJ310" s="319"/>
      <c r="AK310" s="319"/>
      <c r="AL310" s="319"/>
      <c r="AM310" s="319"/>
      <c r="AN310" s="319"/>
      <c r="AO310" s="319">
        <v>2050008</v>
      </c>
      <c r="AP310" s="319"/>
      <c r="AQ310" s="319"/>
      <c r="AR310" s="319"/>
      <c r="AS310" s="319"/>
      <c r="AT310" s="319"/>
      <c r="AU310" s="319"/>
      <c r="AV310" s="319"/>
      <c r="AW310" s="319"/>
      <c r="AX310" s="319"/>
      <c r="AY310" s="319"/>
      <c r="AZ310" s="319"/>
      <c r="BA310" s="319"/>
      <c r="BB310" s="319"/>
      <c r="BC310" s="319"/>
      <c r="BD310" s="319"/>
      <c r="BE310" s="319"/>
      <c r="BF310" s="319"/>
      <c r="BG310" s="319"/>
      <c r="BH310" s="319"/>
      <c r="BI310" s="319"/>
      <c r="BJ310" s="319"/>
      <c r="BK310" s="319"/>
      <c r="BL310" s="319"/>
      <c r="BM310" s="319"/>
      <c r="BN310" s="319"/>
      <c r="BO310" s="319"/>
      <c r="BP310" s="319"/>
      <c r="BQ310" s="319"/>
      <c r="BR310" s="319"/>
      <c r="BS310" s="319"/>
      <c r="BT310" s="319"/>
      <c r="BU310" s="319"/>
      <c r="BV310" s="319"/>
      <c r="BW310" s="319"/>
      <c r="BX310" s="319"/>
      <c r="BY310" s="319"/>
      <c r="BZ310" s="319"/>
      <c r="CA310" s="319"/>
      <c r="CB310" s="319"/>
      <c r="CC310" s="319"/>
      <c r="CD310" s="319"/>
      <c r="CE310" s="319"/>
      <c r="CF310" s="319"/>
    </row>
    <row r="311" spans="1:84" ht="12.75" hidden="1" customHeight="1">
      <c r="A311" s="14"/>
      <c r="B311" s="15" t="str">
        <f>$B$95</f>
        <v>Eletricidade exportada p/ rede</v>
      </c>
      <c r="C311" s="33" t="str">
        <f>R14</f>
        <v>MWh</v>
      </c>
      <c r="D311" s="34">
        <f>IF(HideCodeES_PSS=1,$J$1107,IF($C$854=$E$1094,$J$1107,$J$1108))</f>
        <v>5.3903325633948667</v>
      </c>
      <c r="E311" s="15"/>
      <c r="F311" s="15"/>
      <c r="G311" s="15"/>
      <c r="H311" s="15"/>
      <c r="I311" s="15"/>
      <c r="J311" s="15"/>
      <c r="K311" s="11"/>
      <c r="L311" s="1"/>
      <c r="M311" s="319"/>
      <c r="N311" s="319"/>
      <c r="O311" s="319"/>
      <c r="P311" s="319"/>
      <c r="Q311" s="319"/>
      <c r="R311" s="319"/>
      <c r="S311" s="319"/>
      <c r="T311" s="319"/>
      <c r="U311" s="319"/>
      <c r="V311" s="319"/>
      <c r="W311" s="319"/>
      <c r="X311" s="319"/>
      <c r="Y311" s="319"/>
      <c r="Z311" s="319"/>
      <c r="AA311" s="319"/>
      <c r="AB311" s="319"/>
      <c r="AC311" s="319"/>
      <c r="AD311" s="319"/>
      <c r="AE311" s="319"/>
      <c r="AF311" s="319"/>
      <c r="AG311" s="319"/>
      <c r="AH311" s="319"/>
      <c r="AI311" s="319"/>
      <c r="AJ311" s="319"/>
      <c r="AK311" s="319"/>
      <c r="AL311" s="319"/>
      <c r="AM311" s="319"/>
      <c r="AN311" s="319"/>
      <c r="AO311" s="319">
        <v>2050010</v>
      </c>
      <c r="AP311" s="319"/>
      <c r="AQ311" s="319"/>
      <c r="AR311" s="319"/>
      <c r="AS311" s="319"/>
      <c r="AT311" s="319"/>
      <c r="AU311" s="319"/>
      <c r="AV311" s="319"/>
      <c r="AW311" s="319"/>
      <c r="AX311" s="319"/>
      <c r="AY311" s="319"/>
      <c r="AZ311" s="319"/>
      <c r="BA311" s="319"/>
      <c r="BB311" s="319"/>
      <c r="BC311" s="319"/>
      <c r="BD311" s="319"/>
      <c r="BE311" s="319"/>
      <c r="BF311" s="319"/>
      <c r="BG311" s="319"/>
      <c r="BH311" s="319"/>
      <c r="BI311" s="319"/>
      <c r="BJ311" s="319"/>
      <c r="BK311" s="319"/>
      <c r="BL311" s="319"/>
      <c r="BM311" s="319"/>
      <c r="BN311" s="319"/>
      <c r="BO311" s="319"/>
      <c r="BP311" s="319"/>
      <c r="BQ311" s="319"/>
      <c r="BR311" s="319"/>
      <c r="BS311" s="319"/>
      <c r="BT311" s="319"/>
      <c r="BU311" s="319"/>
      <c r="BV311" s="319"/>
      <c r="BW311" s="319"/>
      <c r="BX311" s="319"/>
      <c r="BY311" s="319"/>
      <c r="BZ311" s="319"/>
      <c r="CA311" s="319"/>
      <c r="CB311" s="319"/>
      <c r="CC311" s="319"/>
      <c r="CD311" s="319"/>
      <c r="CE311" s="319"/>
      <c r="CF311" s="319"/>
    </row>
    <row r="312" spans="1:84" ht="12.75" hidden="1" customHeight="1">
      <c r="A312" s="12"/>
      <c r="B312" s="1"/>
      <c r="C312" s="1"/>
      <c r="D312" s="1"/>
      <c r="E312" s="1"/>
      <c r="F312" s="1"/>
      <c r="G312" s="1"/>
      <c r="H312" s="1"/>
      <c r="I312" s="1"/>
      <c r="J312" s="1"/>
      <c r="K312" s="9"/>
      <c r="L312" s="1"/>
      <c r="M312" s="3" t="b">
        <v>1</v>
      </c>
      <c r="N312" s="319"/>
      <c r="O312" s="319"/>
      <c r="P312" s="319"/>
      <c r="Q312" s="319"/>
      <c r="R312" s="319"/>
      <c r="S312" s="319"/>
      <c r="T312" s="319"/>
      <c r="U312" s="319"/>
      <c r="V312" s="319"/>
      <c r="W312" s="319"/>
      <c r="X312" s="319"/>
      <c r="Y312" s="319"/>
      <c r="Z312" s="319"/>
      <c r="AA312" s="319"/>
      <c r="AB312" s="319"/>
      <c r="AC312" s="319"/>
      <c r="AD312" s="319"/>
      <c r="AE312" s="319"/>
      <c r="AF312" s="319"/>
      <c r="AG312" s="319"/>
      <c r="AH312" s="319"/>
      <c r="AI312" s="319"/>
      <c r="AJ312" s="319"/>
      <c r="AK312" s="319"/>
      <c r="AL312" s="319"/>
      <c r="AM312" s="319"/>
      <c r="AN312" s="319"/>
      <c r="AO312" s="319">
        <v>2030000</v>
      </c>
      <c r="AP312" s="319"/>
      <c r="AQ312" s="319"/>
      <c r="AR312" s="319"/>
      <c r="AS312" s="319"/>
      <c r="AT312" s="319"/>
      <c r="AU312" s="319"/>
      <c r="AV312" s="319"/>
      <c r="AW312" s="319"/>
      <c r="AX312" s="319"/>
      <c r="AY312" s="319"/>
      <c r="AZ312" s="319"/>
      <c r="BA312" s="319"/>
      <c r="BB312" s="319"/>
      <c r="BC312" s="319"/>
      <c r="BD312" s="319"/>
      <c r="BE312" s="319"/>
      <c r="BF312" s="319"/>
      <c r="BG312" s="319"/>
      <c r="BH312" s="319"/>
      <c r="BI312" s="319"/>
      <c r="BJ312" s="319"/>
      <c r="BK312" s="319"/>
      <c r="BL312" s="319"/>
      <c r="BM312" s="319"/>
      <c r="BN312" s="319"/>
      <c r="BO312" s="319"/>
      <c r="BP312" s="319"/>
      <c r="BQ312" s="319"/>
      <c r="BR312" s="319"/>
      <c r="BS312" s="319"/>
      <c r="BT312" s="319"/>
      <c r="BU312" s="319"/>
      <c r="BV312" s="319"/>
      <c r="BW312" s="319"/>
      <c r="BX312" s="319"/>
      <c r="BY312" s="319"/>
      <c r="BZ312" s="319"/>
      <c r="CA312" s="319"/>
      <c r="CB312" s="319"/>
      <c r="CC312" s="319"/>
      <c r="CD312" s="319"/>
      <c r="CE312" s="319"/>
      <c r="CF312" s="319"/>
    </row>
    <row r="313" spans="1:84" ht="31.5" hidden="1" customHeight="1">
      <c r="A313" s="12"/>
      <c r="B313" s="721" t="str">
        <f>Language!C1476</f>
        <v>Tipo de análise</v>
      </c>
      <c r="C313" s="1028" t="s">
        <v>2057</v>
      </c>
      <c r="D313" s="720" t="str">
        <f>B1085&amp;CHAR(10)&amp;B1086</f>
        <v xml:space="preserve">Método 1 
Método 2 </v>
      </c>
      <c r="E313" s="1011"/>
      <c r="F313" s="265"/>
      <c r="G313" s="1"/>
      <c r="H313" s="1"/>
      <c r="I313" s="1"/>
      <c r="J313" s="1"/>
      <c r="K313" s="9"/>
      <c r="L313" s="1"/>
      <c r="M313" s="3" t="b">
        <v>0</v>
      </c>
      <c r="N313" s="319"/>
      <c r="O313" s="319"/>
      <c r="P313" s="319"/>
      <c r="Q313" s="319" t="str">
        <f>Language!C1951</f>
        <v>Fio d' água</v>
      </c>
      <c r="R313" s="319"/>
      <c r="S313" s="319"/>
      <c r="T313" s="319"/>
      <c r="U313" s="319"/>
      <c r="V313" s="319"/>
      <c r="W313" s="319"/>
      <c r="X313" s="319"/>
      <c r="Y313" s="319"/>
      <c r="Z313" s="319"/>
      <c r="AA313" s="319"/>
      <c r="AB313" s="319"/>
      <c r="AC313" s="319"/>
      <c r="AD313" s="319"/>
      <c r="AE313" s="319"/>
      <c r="AF313" s="319"/>
      <c r="AG313" s="319"/>
      <c r="AH313" s="319"/>
      <c r="AI313" s="319"/>
      <c r="AJ313" s="319"/>
      <c r="AK313" s="319"/>
      <c r="AL313" s="319"/>
      <c r="AM313" s="319"/>
      <c r="AN313" s="319"/>
      <c r="AO313" s="319">
        <v>2040010</v>
      </c>
      <c r="AP313" s="319"/>
      <c r="AQ313" s="319"/>
      <c r="AR313" s="319"/>
      <c r="AS313" s="319"/>
      <c r="AT313" s="319"/>
      <c r="AU313" s="319"/>
      <c r="AV313" s="319"/>
      <c r="AW313" s="319"/>
      <c r="AX313" s="319"/>
      <c r="AY313" s="319"/>
      <c r="AZ313" s="319"/>
      <c r="BA313" s="319"/>
      <c r="BB313" s="319"/>
      <c r="BC313" s="319"/>
      <c r="BD313" s="319"/>
      <c r="BE313" s="319"/>
      <c r="BF313" s="319"/>
      <c r="BG313" s="319"/>
      <c r="BH313" s="319"/>
      <c r="BI313" s="319"/>
      <c r="BJ313" s="319"/>
      <c r="BK313" s="319"/>
      <c r="BL313" s="319"/>
      <c r="BM313" s="319"/>
      <c r="BN313" s="319"/>
      <c r="BO313" s="319"/>
      <c r="BP313" s="319"/>
      <c r="BQ313" s="319"/>
      <c r="BR313" s="319"/>
      <c r="BS313" s="319"/>
      <c r="BT313" s="319"/>
      <c r="BU313" s="319"/>
      <c r="BV313" s="319"/>
      <c r="BW313" s="319"/>
      <c r="BX313" s="319"/>
      <c r="BY313" s="319"/>
      <c r="BZ313" s="319"/>
      <c r="CA313" s="319"/>
      <c r="CB313" s="319"/>
      <c r="CC313" s="319"/>
      <c r="CD313" s="319"/>
      <c r="CE313" s="319"/>
      <c r="CF313" s="319"/>
    </row>
    <row r="314" spans="1:84" ht="13.2" hidden="1">
      <c r="A314" s="12"/>
      <c r="B314" s="28" t="str">
        <f>IF(HideCodeES_PSS=1,Language!C140,Language!C140&amp;" #1")</f>
        <v>Turbina hidráulica</v>
      </c>
      <c r="C314" s="1"/>
      <c r="D314" s="1"/>
      <c r="E314" s="1"/>
      <c r="F314" s="1"/>
      <c r="G314" s="1"/>
      <c r="H314" s="1"/>
      <c r="I314" s="1"/>
      <c r="J314" s="1"/>
      <c r="K314" s="9"/>
      <c r="L314" s="1"/>
      <c r="M314" s="319">
        <f>IF(M312=TRUE,200,0)</f>
        <v>200</v>
      </c>
      <c r="N314" s="319"/>
      <c r="O314" s="319"/>
      <c r="P314" s="319"/>
      <c r="Q314" s="319" t="str">
        <f>Language!C1936</f>
        <v>Reservatório</v>
      </c>
      <c r="R314" s="319"/>
      <c r="S314" s="319"/>
      <c r="T314" s="319"/>
      <c r="U314" s="319"/>
      <c r="V314" s="319"/>
      <c r="W314" s="319"/>
      <c r="X314" s="319"/>
      <c r="Y314" s="319"/>
      <c r="Z314" s="319"/>
      <c r="AA314" s="319"/>
      <c r="AB314" s="319"/>
      <c r="AC314" s="319"/>
      <c r="AD314" s="319"/>
      <c r="AE314" s="319"/>
      <c r="AF314" s="319"/>
      <c r="AG314" s="319"/>
      <c r="AH314" s="319"/>
      <c r="AI314" s="319"/>
      <c r="AJ314" s="319"/>
      <c r="AK314" s="319"/>
      <c r="AL314" s="319"/>
      <c r="AM314" s="319"/>
      <c r="AN314" s="319"/>
      <c r="AO314" s="319">
        <v>2040008</v>
      </c>
      <c r="AP314" s="319"/>
      <c r="AQ314" s="319"/>
      <c r="AR314" s="319"/>
      <c r="AS314" s="319"/>
      <c r="AT314" s="319"/>
      <c r="AU314" s="319"/>
      <c r="AV314" s="319"/>
      <c r="AW314" s="319"/>
      <c r="AX314" s="319"/>
      <c r="AY314" s="319"/>
      <c r="AZ314" s="319"/>
      <c r="BA314" s="319"/>
      <c r="BB314" s="319"/>
      <c r="BC314" s="319"/>
      <c r="BD314" s="319"/>
      <c r="BE314" s="319"/>
      <c r="BF314" s="319"/>
      <c r="BG314" s="319"/>
      <c r="BH314" s="319"/>
      <c r="BI314" s="319"/>
      <c r="BJ314" s="319"/>
      <c r="BK314" s="319"/>
      <c r="BL314" s="319"/>
      <c r="BM314" s="319"/>
      <c r="BN314" s="319"/>
      <c r="BO314" s="319"/>
      <c r="BP314" s="319"/>
      <c r="BQ314" s="319"/>
      <c r="BR314" s="319"/>
      <c r="BS314" s="319"/>
      <c r="BT314" s="319"/>
      <c r="BU314" s="319"/>
      <c r="BV314" s="319"/>
      <c r="BW314" s="319"/>
      <c r="BX314" s="319"/>
      <c r="BY314" s="319"/>
      <c r="BZ314" s="319"/>
      <c r="CA314" s="319"/>
      <c r="CB314" s="319"/>
      <c r="CC314" s="319"/>
      <c r="CD314" s="319"/>
      <c r="CE314" s="319"/>
      <c r="CF314" s="319"/>
    </row>
    <row r="315" spans="1:84" ht="13.2" hidden="1">
      <c r="A315" s="12"/>
      <c r="B315" s="28" t="str">
        <f>B227</f>
        <v>Avaliação de recursos</v>
      </c>
      <c r="C315" s="1"/>
      <c r="D315" s="1"/>
      <c r="E315" s="1"/>
      <c r="F315" s="1"/>
      <c r="G315" s="1"/>
      <c r="H315" s="1"/>
      <c r="I315" s="1"/>
      <c r="J315" s="1"/>
      <c r="K315" s="9"/>
      <c r="L315" s="1"/>
      <c r="M315" s="319"/>
      <c r="N315" s="319"/>
      <c r="O315" s="319"/>
      <c r="P315" s="319"/>
      <c r="Q315" s="319"/>
      <c r="R315" s="319"/>
      <c r="S315" s="319"/>
      <c r="T315" s="319"/>
      <c r="U315" s="319"/>
      <c r="V315" s="319"/>
      <c r="W315" s="319"/>
      <c r="X315" s="319"/>
      <c r="Y315" s="319"/>
      <c r="Z315" s="319"/>
      <c r="AA315" s="319"/>
      <c r="AB315" s="319"/>
      <c r="AC315" s="319"/>
      <c r="AD315" s="319"/>
      <c r="AE315" s="319"/>
      <c r="AF315" s="319"/>
      <c r="AG315" s="319"/>
      <c r="AH315" s="319"/>
      <c r="AI315" s="319"/>
      <c r="AJ315" s="319"/>
      <c r="AK315" s="319"/>
      <c r="AL315" s="319"/>
      <c r="AM315" s="319"/>
      <c r="AN315" s="319"/>
      <c r="AO315" s="319">
        <v>2111001</v>
      </c>
      <c r="AP315" s="319"/>
      <c r="AQ315" s="319"/>
      <c r="AR315" s="319"/>
      <c r="AS315" s="319"/>
      <c r="AT315" s="319"/>
      <c r="AU315" s="319"/>
      <c r="AV315" s="319"/>
      <c r="AW315" s="319"/>
      <c r="AX315" s="319"/>
      <c r="AY315" s="319"/>
      <c r="AZ315" s="319"/>
      <c r="BA315" s="319"/>
      <c r="BB315" s="319"/>
      <c r="BC315" s="319"/>
      <c r="BD315" s="319"/>
      <c r="BE315" s="319"/>
      <c r="BF315" s="319"/>
      <c r="BG315" s="319"/>
      <c r="BH315" s="319"/>
      <c r="BI315" s="319"/>
      <c r="BJ315" s="319"/>
      <c r="BK315" s="319"/>
      <c r="BL315" s="319"/>
      <c r="BM315" s="319"/>
      <c r="BN315" s="319"/>
      <c r="BO315" s="319"/>
      <c r="BP315" s="319"/>
      <c r="BQ315" s="319"/>
      <c r="BR315" s="319"/>
      <c r="BS315" s="319"/>
      <c r="BT315" s="319"/>
      <c r="BU315" s="319"/>
      <c r="BV315" s="319"/>
      <c r="BW315" s="319"/>
      <c r="BX315" s="319"/>
      <c r="BY315" s="319"/>
      <c r="BZ315" s="319"/>
      <c r="CA315" s="319"/>
      <c r="CB315" s="319"/>
      <c r="CC315" s="319"/>
      <c r="CD315" s="319"/>
      <c r="CE315" s="319"/>
      <c r="CF315" s="319"/>
    </row>
    <row r="316" spans="1:84" ht="13.2" hidden="1">
      <c r="A316" s="12"/>
      <c r="B316" s="329" t="str">
        <f>Language!C186</f>
        <v>Projeto Proposto</v>
      </c>
      <c r="C316" s="1"/>
      <c r="D316" s="303" t="s">
        <v>7712</v>
      </c>
      <c r="E316" s="1"/>
      <c r="F316" s="1"/>
      <c r="G316" s="1"/>
      <c r="H316" s="1"/>
      <c r="I316" s="1"/>
      <c r="J316" s="1"/>
      <c r="K316" s="9"/>
      <c r="L316" s="1"/>
      <c r="M316" s="319">
        <f>IF(Offgrid=5,IF('Modelo Energético '!D396=Q313,222,0),IF(D316=Q313,222,0))</f>
        <v>222</v>
      </c>
      <c r="N316" s="319"/>
      <c r="O316" s="319" t="s">
        <v>1706</v>
      </c>
      <c r="P316" s="319"/>
      <c r="Q316" s="319" t="str">
        <f>Language!C1994</f>
        <v>Escoamento específico</v>
      </c>
      <c r="R316" s="319" t="str">
        <f>Language!C1513</f>
        <v>Calculado</v>
      </c>
      <c r="S316" s="319" t="str">
        <f>Language!C1766</f>
        <v>Kaplan</v>
      </c>
      <c r="T316" s="319">
        <f>O320</f>
        <v>0</v>
      </c>
      <c r="U316" s="319" t="s">
        <v>396</v>
      </c>
      <c r="V316" s="319"/>
      <c r="W316" s="319"/>
      <c r="X316" s="319"/>
      <c r="Y316" s="319"/>
      <c r="Z316" s="319"/>
      <c r="AA316" s="319"/>
      <c r="AB316" s="319"/>
      <c r="AC316" s="319"/>
      <c r="AD316" s="319"/>
      <c r="AE316" s="319"/>
      <c r="AF316" s="319"/>
      <c r="AG316" s="319"/>
      <c r="AH316" s="319"/>
      <c r="AI316" s="319"/>
      <c r="AJ316" s="319"/>
      <c r="AK316" s="319"/>
      <c r="AL316" s="319"/>
      <c r="AM316" s="319"/>
      <c r="AN316" s="319"/>
      <c r="AO316" s="319">
        <v>2111002</v>
      </c>
      <c r="AP316" s="319"/>
      <c r="AQ316" s="319"/>
      <c r="AR316" s="319"/>
      <c r="AS316" s="319"/>
      <c r="AT316" s="319"/>
      <c r="AU316" s="319"/>
      <c r="AV316" s="319"/>
      <c r="AW316" s="319"/>
      <c r="AX316" s="319"/>
      <c r="AY316" s="319"/>
      <c r="AZ316" s="319"/>
      <c r="BA316" s="319"/>
      <c r="BB316" s="319"/>
      <c r="BC316" s="319"/>
      <c r="BD316" s="319"/>
      <c r="BE316" s="319"/>
      <c r="BF316" s="319"/>
      <c r="BG316" s="319"/>
      <c r="BH316" s="319"/>
      <c r="BI316" s="319"/>
      <c r="BJ316" s="319"/>
      <c r="BK316" s="319"/>
      <c r="BL316" s="319"/>
      <c r="BM316" s="319"/>
      <c r="BN316" s="319"/>
      <c r="BO316" s="319"/>
      <c r="BP316" s="319"/>
      <c r="BQ316" s="319"/>
      <c r="BR316" s="319"/>
      <c r="BS316" s="319"/>
      <c r="BT316" s="319"/>
      <c r="BU316" s="319"/>
      <c r="BV316" s="319"/>
      <c r="BW316" s="319"/>
      <c r="BX316" s="319"/>
      <c r="BY316" s="319"/>
      <c r="BZ316" s="319"/>
      <c r="CA316" s="319"/>
      <c r="CB316" s="319"/>
      <c r="CC316" s="319"/>
      <c r="CD316" s="319"/>
      <c r="CE316" s="319"/>
      <c r="CF316" s="319"/>
    </row>
    <row r="317" spans="1:84" ht="13.2" hidden="1">
      <c r="A317" s="12"/>
      <c r="B317" s="329" t="str">
        <f>Language!C1743</f>
        <v>Método de análise hidrológico</v>
      </c>
      <c r="C317" s="1"/>
      <c r="D317" s="303" t="s">
        <v>7755</v>
      </c>
      <c r="E317" s="1"/>
      <c r="F317" s="1"/>
      <c r="G317" s="1"/>
      <c r="H317" s="1"/>
      <c r="I317" s="1"/>
      <c r="J317" s="1"/>
      <c r="K317" s="9"/>
      <c r="L317" s="1"/>
      <c r="M317" s="319">
        <f>IF(Offgrid=5,IF('Modelo Energético '!D397=Q316,100,0),IF(D317=Q316,100,0))</f>
        <v>100</v>
      </c>
      <c r="N317" s="319"/>
      <c r="O317" s="319" t="s">
        <v>181</v>
      </c>
      <c r="P317" s="319"/>
      <c r="Q317" s="319" t="str">
        <f>Language!C880</f>
        <v>Definido pelo usuário</v>
      </c>
      <c r="R317" s="319" t="str">
        <f>Q317</f>
        <v>Definido pelo usuário</v>
      </c>
      <c r="S317" s="319" t="str">
        <f>Language!C1678</f>
        <v>Francis</v>
      </c>
      <c r="T317" s="319">
        <f>1-O428</f>
        <v>1</v>
      </c>
      <c r="U317" s="319" t="s">
        <v>4159</v>
      </c>
      <c r="V317" s="319"/>
      <c r="W317" s="319"/>
      <c r="X317" s="319"/>
      <c r="Y317" s="319"/>
      <c r="Z317" s="319"/>
      <c r="AA317" s="319"/>
      <c r="AB317" s="319"/>
      <c r="AC317" s="319"/>
      <c r="AD317" s="319"/>
      <c r="AE317" s="319"/>
      <c r="AF317" s="319"/>
      <c r="AG317" s="319"/>
      <c r="AH317" s="319"/>
      <c r="AI317" s="319"/>
      <c r="AJ317" s="319"/>
      <c r="AK317" s="319"/>
      <c r="AL317" s="319"/>
      <c r="AM317" s="319"/>
      <c r="AN317" s="319"/>
      <c r="AO317" s="319">
        <v>2111004</v>
      </c>
      <c r="AP317" s="319"/>
      <c r="AQ317" s="319"/>
      <c r="AR317" s="319"/>
      <c r="AS317" s="319"/>
      <c r="AT317" s="319"/>
      <c r="AU317" s="319"/>
      <c r="AV317" s="319"/>
      <c r="AW317" s="319"/>
      <c r="AX317" s="319"/>
      <c r="AY317" s="319"/>
      <c r="AZ317" s="319"/>
      <c r="BA317" s="319"/>
      <c r="BB317" s="319"/>
      <c r="BC317" s="319"/>
      <c r="BD317" s="319"/>
      <c r="BE317" s="319"/>
      <c r="BF317" s="319"/>
      <c r="BG317" s="319"/>
      <c r="BH317" s="319"/>
      <c r="BI317" s="319"/>
      <c r="BJ317" s="319"/>
      <c r="BK317" s="319"/>
      <c r="BL317" s="319"/>
      <c r="BM317" s="319"/>
      <c r="BN317" s="319"/>
      <c r="BO317" s="319"/>
      <c r="BP317" s="319"/>
      <c r="BQ317" s="319"/>
      <c r="BR317" s="319"/>
      <c r="BS317" s="319"/>
      <c r="BT317" s="319"/>
      <c r="BU317" s="319"/>
      <c r="BV317" s="319"/>
      <c r="BW317" s="319"/>
      <c r="BX317" s="319"/>
      <c r="BY317" s="319"/>
      <c r="BZ317" s="319"/>
      <c r="CA317" s="319"/>
      <c r="CB317" s="319"/>
      <c r="CC317" s="319"/>
      <c r="CD317" s="319"/>
      <c r="CE317" s="319"/>
      <c r="CF317" s="319"/>
    </row>
    <row r="318" spans="1:84" ht="13.2" hidden="1">
      <c r="A318" s="12"/>
      <c r="B318" s="1"/>
      <c r="C318" s="1"/>
      <c r="D318" s="1"/>
      <c r="E318" s="1"/>
      <c r="F318" s="1"/>
      <c r="G318" s="1"/>
      <c r="H318" s="1"/>
      <c r="I318" s="1"/>
      <c r="J318" s="1"/>
      <c r="K318" s="9"/>
      <c r="L318" s="1"/>
      <c r="M318" s="319"/>
      <c r="N318" s="319"/>
      <c r="O318" s="319"/>
      <c r="P318" s="319"/>
      <c r="Q318" s="319"/>
      <c r="R318" s="319" t="str">
        <f>Q226</f>
        <v>Padrão</v>
      </c>
      <c r="S318" s="319" t="str">
        <f>Language!C1915</f>
        <v>Hélice</v>
      </c>
      <c r="T318" s="319">
        <f>T316*T317</f>
        <v>0</v>
      </c>
      <c r="U318" s="319" t="s">
        <v>5906</v>
      </c>
      <c r="V318" s="319"/>
      <c r="W318" s="319"/>
      <c r="X318" s="319"/>
      <c r="Y318" s="319"/>
      <c r="Z318" s="319"/>
      <c r="AA318" s="319"/>
      <c r="AB318" s="319"/>
      <c r="AC318" s="319"/>
      <c r="AD318" s="319"/>
      <c r="AE318" s="319"/>
      <c r="AF318" s="319"/>
      <c r="AG318" s="319"/>
      <c r="AH318" s="319"/>
      <c r="AI318" s="319"/>
      <c r="AJ318" s="319"/>
      <c r="AK318" s="319"/>
      <c r="AL318" s="319"/>
      <c r="AM318" s="319"/>
      <c r="AN318" s="319"/>
      <c r="AO318" s="319">
        <v>2111001</v>
      </c>
      <c r="AP318" s="319"/>
      <c r="AQ318" s="319"/>
      <c r="AR318" s="319"/>
      <c r="AS318" s="319"/>
      <c r="AT318" s="319"/>
      <c r="AU318" s="319"/>
      <c r="AV318" s="319"/>
      <c r="AW318" s="319"/>
      <c r="AX318" s="319"/>
      <c r="AY318" s="319"/>
      <c r="AZ318" s="319"/>
      <c r="BA318" s="319"/>
      <c r="BB318" s="319"/>
      <c r="BC318" s="319"/>
      <c r="BD318" s="319"/>
      <c r="BE318" s="319"/>
      <c r="BF318" s="319"/>
      <c r="BG318" s="319"/>
      <c r="BH318" s="319"/>
      <c r="BI318" s="319"/>
      <c r="BJ318" s="319"/>
      <c r="BK318" s="319"/>
      <c r="BL318" s="319"/>
      <c r="BM318" s="319"/>
      <c r="BN318" s="319"/>
      <c r="BO318" s="319"/>
      <c r="BP318" s="319"/>
      <c r="BQ318" s="319"/>
      <c r="BR318" s="319"/>
      <c r="BS318" s="319"/>
      <c r="BT318" s="319"/>
      <c r="BU318" s="319"/>
      <c r="BV318" s="319"/>
      <c r="BW318" s="319"/>
      <c r="BX318" s="319"/>
      <c r="BY318" s="319"/>
      <c r="BZ318" s="319"/>
      <c r="CA318" s="319"/>
      <c r="CB318" s="319"/>
      <c r="CC318" s="319"/>
      <c r="CD318" s="319"/>
      <c r="CE318" s="319"/>
      <c r="CF318" s="319"/>
    </row>
    <row r="319" spans="1:84" ht="13.2" hidden="1">
      <c r="A319" s="12"/>
      <c r="B319" s="28"/>
      <c r="C319" s="1"/>
      <c r="D319" s="1"/>
      <c r="E319" s="1"/>
      <c r="F319" s="1"/>
      <c r="G319" s="1"/>
      <c r="H319" s="1"/>
      <c r="I319" s="1"/>
      <c r="J319" s="1"/>
      <c r="K319" s="9"/>
      <c r="L319" s="1"/>
      <c r="M319" s="319"/>
      <c r="N319" s="319"/>
      <c r="O319" s="848">
        <f>IF(Offgrid=5,'Modelo Energético '!P400,IF(C320="",1,VLOOKUP(C320,AC1065:AD1066,2,FALSE)))</f>
        <v>1</v>
      </c>
      <c r="P319" s="319"/>
      <c r="Q319" s="319" t="str">
        <f>Language!C2054</f>
        <v>Típico</v>
      </c>
      <c r="R319" s="319" t="str">
        <f>Q317</f>
        <v>Definido pelo usuário</v>
      </c>
      <c r="S319" s="319" t="str">
        <f>Language!C1871</f>
        <v>Pelton</v>
      </c>
      <c r="T319" s="319">
        <f>O367</f>
        <v>0</v>
      </c>
      <c r="U319" s="319" t="s">
        <v>5963</v>
      </c>
      <c r="V319" s="319"/>
      <c r="W319" s="319"/>
      <c r="X319" s="319"/>
      <c r="Y319" s="319"/>
      <c r="Z319" s="319"/>
      <c r="AA319" s="319"/>
      <c r="AB319" s="319"/>
      <c r="AC319" s="319"/>
      <c r="AD319" s="319"/>
      <c r="AE319" s="319"/>
      <c r="AF319" s="319"/>
      <c r="AG319" s="319"/>
      <c r="AH319" s="319"/>
      <c r="AI319" s="319"/>
      <c r="AJ319" s="319"/>
      <c r="AK319" s="319"/>
      <c r="AL319" s="319"/>
      <c r="AM319" s="319"/>
      <c r="AN319" s="319"/>
      <c r="AO319" s="319">
        <v>2111001</v>
      </c>
      <c r="AP319" s="319"/>
      <c r="AQ319" s="319"/>
      <c r="AR319" s="319"/>
      <c r="AS319" s="319"/>
      <c r="AT319" s="319"/>
      <c r="AU319" s="319"/>
      <c r="AV319" s="319"/>
      <c r="AW319" s="319"/>
      <c r="AX319" s="319"/>
      <c r="AY319" s="319"/>
      <c r="AZ319" s="319"/>
      <c r="BA319" s="319"/>
      <c r="BB319" s="319"/>
      <c r="BC319" s="319"/>
      <c r="BD319" s="319"/>
      <c r="BE319" s="319"/>
      <c r="BF319" s="319"/>
      <c r="BG319" s="319"/>
      <c r="BH319" s="319"/>
      <c r="BI319" s="319"/>
      <c r="BJ319" s="319"/>
      <c r="BK319" s="319"/>
      <c r="BL319" s="319"/>
      <c r="BM319" s="319"/>
      <c r="BN319" s="319"/>
      <c r="BO319" s="319"/>
      <c r="BP319" s="319"/>
      <c r="BQ319" s="319"/>
      <c r="BR319" s="319"/>
      <c r="BS319" s="319"/>
      <c r="BT319" s="319"/>
      <c r="BU319" s="319"/>
      <c r="BV319" s="319"/>
      <c r="BW319" s="319"/>
      <c r="BX319" s="319"/>
      <c r="BY319" s="319"/>
      <c r="BZ319" s="319"/>
      <c r="CA319" s="319"/>
      <c r="CB319" s="319"/>
      <c r="CC319" s="319"/>
      <c r="CD319" s="319"/>
      <c r="CE319" s="319"/>
      <c r="CF319" s="319"/>
    </row>
    <row r="320" spans="1:84" ht="13.2" hidden="1">
      <c r="A320" s="12"/>
      <c r="B320" s="329" t="str">
        <f>Language!C1712</f>
        <v>Altura bruta</v>
      </c>
      <c r="C320" s="303" t="s">
        <v>5569</v>
      </c>
      <c r="D320" s="395"/>
      <c r="E320" s="1"/>
      <c r="F320" s="29" t="str">
        <f>IF($M$3=FALSE,"",IF(O319=1,$AC$1066,$AC$1065))</f>
        <v/>
      </c>
      <c r="G320" s="140" t="str">
        <f>IF($M$3=FALSE,"",IF($O$319=1,1/$AA$1077,$AA$1077)*D320)</f>
        <v/>
      </c>
      <c r="H320" s="1"/>
      <c r="I320" s="1"/>
      <c r="J320" s="1"/>
      <c r="K320" s="9"/>
      <c r="L320" s="1"/>
      <c r="M320" s="319"/>
      <c r="N320" s="319"/>
      <c r="O320" s="494">
        <f>IF(Offgrid=5,'Modelo Energético '!D400,D320)*O319</f>
        <v>0</v>
      </c>
      <c r="P320" s="319"/>
      <c r="Q320" s="319" t="str">
        <f>Q317</f>
        <v>Definido pelo usuário</v>
      </c>
      <c r="R320" s="319"/>
      <c r="S320" s="319" t="str">
        <f>Language!C2050</f>
        <v>Turgo</v>
      </c>
      <c r="T320" s="319" t="str">
        <f>IF(OR(TurbType=4,TurbType=5),31*(T318/(T319/O370))^0.5,"")</f>
        <v/>
      </c>
      <c r="U320" s="319" t="s">
        <v>2910</v>
      </c>
      <c r="V320" s="319"/>
      <c r="W320" s="319"/>
      <c r="X320" s="319"/>
      <c r="Y320" s="319"/>
      <c r="Z320" s="319"/>
      <c r="AA320" s="319"/>
      <c r="AB320" s="319"/>
      <c r="AC320" s="319"/>
      <c r="AD320" s="319"/>
      <c r="AE320" s="319"/>
      <c r="AF320" s="319"/>
      <c r="AG320" s="319"/>
      <c r="AH320" s="319"/>
      <c r="AI320" s="319"/>
      <c r="AJ320" s="319"/>
      <c r="AK320" s="319"/>
      <c r="AL320" s="319"/>
      <c r="AM320" s="319"/>
      <c r="AN320" s="319"/>
      <c r="AO320" s="319">
        <v>2111006</v>
      </c>
      <c r="AP320" s="319"/>
      <c r="AQ320" s="319"/>
      <c r="AR320" s="319"/>
      <c r="AS320" s="319"/>
      <c r="AT320" s="319"/>
      <c r="AU320" s="319"/>
      <c r="AV320" s="319"/>
      <c r="AW320" s="319"/>
      <c r="AX320" s="319"/>
      <c r="AY320" s="319"/>
      <c r="AZ320" s="319"/>
      <c r="BA320" s="319"/>
      <c r="BB320" s="319"/>
      <c r="BC320" s="319"/>
      <c r="BD320" s="319"/>
      <c r="BE320" s="319"/>
      <c r="BF320" s="319"/>
      <c r="BG320" s="319"/>
      <c r="BH320" s="319"/>
      <c r="BI320" s="319"/>
      <c r="BJ320" s="319"/>
      <c r="BK320" s="319"/>
      <c r="BL320" s="319"/>
      <c r="BM320" s="319"/>
      <c r="BN320" s="319"/>
      <c r="BO320" s="319"/>
      <c r="BP320" s="319"/>
      <c r="BQ320" s="319"/>
      <c r="BR320" s="319"/>
      <c r="BS320" s="319"/>
      <c r="BT320" s="319"/>
      <c r="BU320" s="319"/>
      <c r="BV320" s="319"/>
      <c r="BW320" s="319"/>
      <c r="BX320" s="319"/>
      <c r="BY320" s="319"/>
      <c r="BZ320" s="319"/>
      <c r="CA320" s="319"/>
      <c r="CB320" s="319"/>
      <c r="CC320" s="319"/>
      <c r="CD320" s="319"/>
      <c r="CE320" s="319"/>
      <c r="CF320" s="319"/>
    </row>
    <row r="321" spans="1:84" ht="13.2" hidden="1">
      <c r="A321" s="12"/>
      <c r="B321" s="329" t="str">
        <f>Language!C1800</f>
        <v>Efeito máximo de extravazamento</v>
      </c>
      <c r="C321" s="29" t="str">
        <f>C320</f>
        <v>m</v>
      </c>
      <c r="D321" s="310"/>
      <c r="E321" s="1"/>
      <c r="F321" s="29" t="str">
        <f>F320</f>
        <v/>
      </c>
      <c r="G321" s="140" t="str">
        <f>IF($M$3=FALSE,"",IF($O$319=1,1/$AA$1077,$AA$1077)*D321)</f>
        <v/>
      </c>
      <c r="H321" s="1"/>
      <c r="I321" s="1"/>
      <c r="J321" s="1"/>
      <c r="K321" s="9"/>
      <c r="L321" s="1"/>
      <c r="M321" s="319"/>
      <c r="N321" s="319"/>
      <c r="O321" s="494">
        <f>IF(Offgrid=5,'Modelo Energético '!D401,D321)*O319</f>
        <v>0</v>
      </c>
      <c r="P321" s="319"/>
      <c r="Q321" s="319"/>
      <c r="R321" s="319"/>
      <c r="S321" s="319" t="str">
        <f>Language!C1573</f>
        <v>Fluxo transversal</v>
      </c>
      <c r="T321" s="319">
        <v>0.46</v>
      </c>
      <c r="U321" s="319" t="s">
        <v>1939</v>
      </c>
      <c r="V321" s="319"/>
      <c r="W321" s="319"/>
      <c r="X321" s="319"/>
      <c r="Y321" s="319"/>
      <c r="Z321" s="319"/>
      <c r="AA321" s="319"/>
      <c r="AB321" s="319"/>
      <c r="AC321" s="319"/>
      <c r="AD321" s="319"/>
      <c r="AE321" s="319"/>
      <c r="AF321" s="319"/>
      <c r="AG321" s="319"/>
      <c r="AH321" s="319"/>
      <c r="AI321" s="319"/>
      <c r="AJ321" s="319"/>
      <c r="AK321" s="319"/>
      <c r="AL321" s="319"/>
      <c r="AM321" s="319"/>
      <c r="AN321" s="319"/>
      <c r="AO321" s="319">
        <v>2111008</v>
      </c>
      <c r="AP321" s="319"/>
      <c r="AQ321" s="319"/>
      <c r="AR321" s="319"/>
      <c r="AS321" s="319"/>
      <c r="AT321" s="319"/>
      <c r="AU321" s="319"/>
      <c r="AV321" s="319"/>
      <c r="AW321" s="319"/>
      <c r="AX321" s="319"/>
      <c r="AY321" s="319"/>
      <c r="AZ321" s="319"/>
      <c r="BA321" s="319"/>
      <c r="BB321" s="319"/>
      <c r="BC321" s="319"/>
      <c r="BD321" s="319"/>
      <c r="BE321" s="319"/>
      <c r="BF321" s="319"/>
      <c r="BG321" s="319"/>
      <c r="BH321" s="319"/>
      <c r="BI321" s="319"/>
      <c r="BJ321" s="319"/>
      <c r="BK321" s="319"/>
      <c r="BL321" s="319"/>
      <c r="BM321" s="319"/>
      <c r="BN321" s="319"/>
      <c r="BO321" s="319"/>
      <c r="BP321" s="319"/>
      <c r="BQ321" s="319"/>
      <c r="BR321" s="319"/>
      <c r="BS321" s="319"/>
      <c r="BT321" s="319"/>
      <c r="BU321" s="319"/>
      <c r="BV321" s="319"/>
      <c r="BW321" s="319"/>
      <c r="BX321" s="319"/>
      <c r="BY321" s="319"/>
      <c r="BZ321" s="319"/>
      <c r="CA321" s="319"/>
      <c r="CB321" s="319"/>
      <c r="CC321" s="319"/>
      <c r="CD321" s="319"/>
      <c r="CE321" s="319"/>
      <c r="CF321" s="319"/>
    </row>
    <row r="322" spans="1:84" ht="13.2" hidden="1">
      <c r="A322" s="12"/>
      <c r="B322" s="329" t="str">
        <f>Language!C1803</f>
        <v>Método de fluxo eficaz</v>
      </c>
      <c r="C322" s="29"/>
      <c r="D322" s="303" t="s">
        <v>7289</v>
      </c>
      <c r="E322" s="1"/>
      <c r="F322" s="1"/>
      <c r="G322" s="1"/>
      <c r="H322" s="1"/>
      <c r="I322" s="1"/>
      <c r="J322" s="1"/>
      <c r="K322" s="9"/>
      <c r="L322" s="1"/>
      <c r="M322" s="319">
        <f>IF(Offgrid=5,IF('Modelo Energético '!D402=R316,200,0),IF(D322=R316,200,0))</f>
        <v>200</v>
      </c>
      <c r="N322" s="319"/>
      <c r="O322" s="319" t="s">
        <v>141</v>
      </c>
      <c r="P322" s="319"/>
      <c r="Q322" s="319"/>
      <c r="R322" s="319"/>
      <c r="S322" s="319" t="str">
        <f>E1091</f>
        <v>Outro</v>
      </c>
      <c r="T322" s="319">
        <f>IF(TurbType=4,49.4*T318^0.5*O370^0.02/T320,T321*T319^0.473)</f>
        <v>0</v>
      </c>
      <c r="U322" s="319" t="s">
        <v>634</v>
      </c>
      <c r="V322" s="319"/>
      <c r="W322" s="319"/>
      <c r="X322" s="319"/>
      <c r="Y322" s="319"/>
      <c r="Z322" s="319"/>
      <c r="AA322" s="319"/>
      <c r="AB322" s="319"/>
      <c r="AC322" s="319"/>
      <c r="AD322" s="319"/>
      <c r="AE322" s="319"/>
      <c r="AF322" s="319"/>
      <c r="AG322" s="319"/>
      <c r="AH322" s="319"/>
      <c r="AI322" s="319"/>
      <c r="AJ322" s="319"/>
      <c r="AK322" s="319"/>
      <c r="AL322" s="319"/>
      <c r="AM322" s="319"/>
      <c r="AN322" s="319"/>
      <c r="AO322" s="319">
        <v>2111010</v>
      </c>
      <c r="AP322" s="319"/>
      <c r="AQ322" s="319"/>
      <c r="AR322" s="319"/>
      <c r="AS322" s="319"/>
      <c r="AT322" s="319"/>
      <c r="AU322" s="319"/>
      <c r="AV322" s="319"/>
      <c r="AW322" s="319"/>
      <c r="AX322" s="319"/>
      <c r="AY322" s="319"/>
      <c r="AZ322" s="319"/>
      <c r="BA322" s="319"/>
      <c r="BB322" s="319"/>
      <c r="BC322" s="319"/>
      <c r="BD322" s="319"/>
      <c r="BE322" s="319"/>
      <c r="BF322" s="319"/>
      <c r="BG322" s="319"/>
      <c r="BH322" s="319"/>
      <c r="BI322" s="319"/>
      <c r="BJ322" s="319"/>
      <c r="BK322" s="319"/>
      <c r="BL322" s="319"/>
      <c r="BM322" s="319"/>
      <c r="BN322" s="319"/>
      <c r="BO322" s="319"/>
      <c r="BP322" s="319"/>
      <c r="BQ322" s="319"/>
      <c r="BR322" s="319"/>
      <c r="BS322" s="319"/>
      <c r="BT322" s="319"/>
      <c r="BU322" s="319"/>
      <c r="BV322" s="319"/>
      <c r="BW322" s="319"/>
      <c r="BX322" s="319"/>
      <c r="BY322" s="319"/>
      <c r="BZ322" s="319"/>
      <c r="CA322" s="319"/>
      <c r="CB322" s="319"/>
      <c r="CC322" s="319"/>
      <c r="CD322" s="319"/>
      <c r="CE322" s="319"/>
      <c r="CF322" s="319"/>
    </row>
    <row r="323" spans="1:84" ht="12.75" hidden="1" customHeight="1">
      <c r="A323" s="12"/>
      <c r="B323" s="329" t="str">
        <f>Language!C1608</f>
        <v>Área de drenagem</v>
      </c>
      <c r="C323" s="29" t="str">
        <f>IF(O319=1,AC1072,AC1073)</f>
        <v>km²</v>
      </c>
      <c r="D323" s="303"/>
      <c r="E323" s="1"/>
      <c r="F323" s="29" t="str">
        <f>IF($M$3=FALSE,"",IF(O319=1,AC1073,AC1072))</f>
        <v/>
      </c>
      <c r="G323" s="30" t="str">
        <f>IF($M$3=FALSE,"",IF($O$319=1,$AD$1073,1/$AD$1073)*D323)</f>
        <v/>
      </c>
      <c r="H323" s="1"/>
      <c r="I323" s="1"/>
      <c r="J323" s="1"/>
      <c r="K323" s="9"/>
      <c r="L323" s="1"/>
      <c r="M323" s="319"/>
      <c r="N323" s="319"/>
      <c r="O323" s="319">
        <f>IF(Offgrid=5,'Modelo Energético '!P401,IF(C323="",1,VLOOKUP(C323,AC1072:AD1073,2,FALSE)))</f>
        <v>1</v>
      </c>
      <c r="P323" s="319"/>
      <c r="Q323" s="319"/>
      <c r="R323" s="319"/>
      <c r="S323" s="319"/>
      <c r="T323" s="319">
        <f>IF(T322&lt;1.8,0.46,0.41)</f>
        <v>0.46</v>
      </c>
      <c r="U323" s="319" t="s">
        <v>1167</v>
      </c>
      <c r="V323" s="319"/>
      <c r="W323" s="319"/>
      <c r="X323" s="319"/>
      <c r="Y323" s="319"/>
      <c r="Z323" s="319"/>
      <c r="AA323" s="319"/>
      <c r="AB323" s="319"/>
      <c r="AC323" s="319"/>
      <c r="AD323" s="319"/>
      <c r="AE323" s="319"/>
      <c r="AF323" s="319"/>
      <c r="AG323" s="319"/>
      <c r="AH323" s="319"/>
      <c r="AI323" s="319"/>
      <c r="AJ323" s="319"/>
      <c r="AK323" s="319"/>
      <c r="AL323" s="319"/>
      <c r="AM323" s="319"/>
      <c r="AN323" s="319"/>
      <c r="AO323" s="319">
        <v>2111012</v>
      </c>
      <c r="AP323" s="319"/>
      <c r="AQ323" s="319"/>
      <c r="AR323" s="319"/>
      <c r="AS323" s="319"/>
      <c r="AT323" s="319"/>
      <c r="AU323" s="319"/>
      <c r="AV323" s="319"/>
      <c r="AW323" s="319"/>
      <c r="AX323" s="319"/>
      <c r="AY323" s="319"/>
      <c r="AZ323" s="319"/>
      <c r="BA323" s="319"/>
      <c r="BB323" s="319"/>
      <c r="BC323" s="319"/>
      <c r="BD323" s="319"/>
      <c r="BE323" s="319"/>
      <c r="BF323" s="319"/>
      <c r="BG323" s="319"/>
      <c r="BH323" s="319"/>
      <c r="BI323" s="319"/>
      <c r="BJ323" s="319"/>
      <c r="BK323" s="319"/>
      <c r="BL323" s="319"/>
      <c r="BM323" s="319"/>
      <c r="BN323" s="319"/>
      <c r="BO323" s="319"/>
      <c r="BP323" s="319"/>
      <c r="BQ323" s="319"/>
      <c r="BR323" s="319"/>
      <c r="BS323" s="319"/>
      <c r="BT323" s="319"/>
      <c r="BU323" s="319"/>
      <c r="BV323" s="319"/>
      <c r="BW323" s="319"/>
      <c r="BX323" s="319"/>
      <c r="BY323" s="319"/>
      <c r="BZ323" s="319"/>
      <c r="CA323" s="319"/>
      <c r="CB323" s="319"/>
      <c r="CC323" s="319"/>
      <c r="CD323" s="319"/>
      <c r="CE323" s="319"/>
      <c r="CF323" s="319"/>
    </row>
    <row r="324" spans="1:84" ht="12.75" hidden="1" customHeight="1">
      <c r="A324" s="447"/>
      <c r="B324" s="329" t="str">
        <f>Language!C1994</f>
        <v>Escoamento específico</v>
      </c>
      <c r="C324" s="29" t="str">
        <f>IF(O323=1,AC1075,AC1076)</f>
        <v>m³/s/km²</v>
      </c>
      <c r="D324" s="456"/>
      <c r="E324" s="329"/>
      <c r="F324" s="29" t="str">
        <f>IF($M$3=FALSE,"",IF(O323=1,AC1076,AC1075))</f>
        <v/>
      </c>
      <c r="G324" s="794" t="str">
        <f>IF($M$3=FALSE,"",IF($O$319=1,$AD$1076,1/$AD$1076)*D324)</f>
        <v/>
      </c>
      <c r="H324" s="329"/>
      <c r="I324" s="1"/>
      <c r="J324" s="329"/>
      <c r="K324" s="784" t="str">
        <f>K228</f>
        <v>Veja mapas</v>
      </c>
      <c r="L324" s="329"/>
      <c r="M324" s="556"/>
      <c r="N324" s="556"/>
      <c r="O324" s="556">
        <f>IF(Offgrid=5,'Modelo Energético '!P402,IF(O323=1,1,AD1076))</f>
        <v>1</v>
      </c>
      <c r="P324" s="556"/>
      <c r="Q324" s="556"/>
      <c r="R324" s="556"/>
      <c r="S324" s="556"/>
      <c r="T324" s="319">
        <f>IF(OR(TurbType=4,TurbType=5),49.4*T318^0.5*O370^0.02/T320,T323*T319^0.473)</f>
        <v>0</v>
      </c>
      <c r="U324" s="319" t="s">
        <v>1465</v>
      </c>
      <c r="V324" s="556"/>
      <c r="W324" s="556"/>
      <c r="X324" s="556"/>
      <c r="Y324" s="556"/>
      <c r="Z324" s="556"/>
      <c r="AA324" s="556"/>
      <c r="AB324" s="556"/>
      <c r="AC324" s="556"/>
      <c r="AD324" s="556"/>
      <c r="AE324" s="556"/>
      <c r="AF324" s="556"/>
      <c r="AG324" s="556"/>
      <c r="AH324" s="556"/>
      <c r="AI324" s="556"/>
      <c r="AJ324" s="556"/>
      <c r="AK324" s="556"/>
      <c r="AL324" s="556"/>
      <c r="AM324" s="556"/>
      <c r="AN324" s="556"/>
      <c r="AO324" s="319">
        <v>2111014</v>
      </c>
      <c r="AP324" s="319"/>
      <c r="AQ324" s="556"/>
      <c r="AR324" s="556"/>
      <c r="AS324" s="556"/>
      <c r="AT324" s="556"/>
      <c r="AU324" s="556"/>
      <c r="AV324" s="556"/>
      <c r="AW324" s="556"/>
      <c r="AX324" s="556"/>
      <c r="AY324" s="556"/>
      <c r="AZ324" s="556"/>
      <c r="BA324" s="556"/>
      <c r="BB324" s="556"/>
      <c r="BC324" s="556"/>
      <c r="BD324" s="556"/>
      <c r="BE324" s="556"/>
      <c r="BF324" s="556"/>
      <c r="BG324" s="556"/>
      <c r="BH324" s="556"/>
      <c r="BI324" s="556"/>
      <c r="BJ324" s="556"/>
      <c r="BK324" s="556"/>
      <c r="BL324" s="556"/>
      <c r="BM324" s="556"/>
      <c r="BN324" s="556"/>
      <c r="BO324" s="556"/>
      <c r="BP324" s="556"/>
      <c r="BQ324" s="556"/>
      <c r="BR324" s="556"/>
      <c r="BS324" s="556"/>
      <c r="BT324" s="556"/>
      <c r="BU324" s="556"/>
      <c r="BV324" s="556"/>
      <c r="BW324" s="556"/>
      <c r="BX324" s="556"/>
      <c r="BY324" s="556"/>
      <c r="BZ324" s="556"/>
      <c r="CA324" s="556"/>
      <c r="CB324" s="556"/>
      <c r="CC324" s="556"/>
      <c r="CD324" s="556"/>
      <c r="CE324" s="556"/>
      <c r="CF324" s="556"/>
    </row>
    <row r="325" spans="1:84" ht="13.2" hidden="1">
      <c r="A325" s="12"/>
      <c r="B325" s="329" t="str">
        <f>Language!C1802</f>
        <v>Fluxo eficaz</v>
      </c>
      <c r="C325" s="29" t="str">
        <f>IF(O323=1,AC1078,AC1079)</f>
        <v>m³/s</v>
      </c>
      <c r="D325" s="417"/>
      <c r="E325" s="1"/>
      <c r="F325" s="29" t="str">
        <f>IF($M$3=FALSE,"",IF(O323=1,AC1079,AC1078))</f>
        <v/>
      </c>
      <c r="G325" s="140" t="str">
        <f>IF($M$3=FALSE,"",IF($O$319=1,$AD$1079,1/$AD$1079)*D325)</f>
        <v/>
      </c>
      <c r="H325" s="1"/>
      <c r="I325" s="1"/>
      <c r="J325" s="1"/>
      <c r="K325" s="9"/>
      <c r="L325" s="1"/>
      <c r="M325" s="319"/>
      <c r="N325" s="319"/>
      <c r="O325" s="319">
        <f>IF(O323=1,1,AD1079)</f>
        <v>1</v>
      </c>
      <c r="P325" s="319"/>
      <c r="Q325" s="319"/>
      <c r="R325" s="319"/>
      <c r="S325" s="319"/>
      <c r="T325" s="556" t="e">
        <f>IF(OR(TurbType=1,TurbType=3),800*T318^-0.5,IF(TurbType=2,650*T318^-0.5,""))</f>
        <v>#DIV/0!</v>
      </c>
      <c r="U325" s="556" t="s">
        <v>3187</v>
      </c>
      <c r="V325" s="319"/>
      <c r="W325" s="319"/>
      <c r="X325" s="319"/>
      <c r="Y325" s="319"/>
      <c r="Z325" s="319"/>
      <c r="AA325" s="319"/>
      <c r="AB325" s="319"/>
      <c r="AC325" s="319"/>
      <c r="AD325" s="319"/>
      <c r="AE325" s="319"/>
      <c r="AF325" s="319"/>
      <c r="AG325" s="319"/>
      <c r="AH325" s="319"/>
      <c r="AI325" s="319"/>
      <c r="AJ325" s="319"/>
      <c r="AK325" s="319"/>
      <c r="AL325" s="319"/>
      <c r="AM325" s="319"/>
      <c r="AN325" s="319"/>
      <c r="AO325" s="319">
        <v>2111018</v>
      </c>
      <c r="AP325" s="319"/>
      <c r="AQ325" s="319"/>
      <c r="AR325" s="319"/>
      <c r="AS325" s="319"/>
      <c r="AT325" s="319"/>
      <c r="AU325" s="319"/>
      <c r="AV325" s="319"/>
      <c r="AW325" s="319"/>
      <c r="AX325" s="319"/>
      <c r="AY325" s="319"/>
      <c r="AZ325" s="319"/>
      <c r="BA325" s="319"/>
      <c r="BB325" s="319"/>
      <c r="BC325" s="319"/>
      <c r="BD325" s="319"/>
      <c r="BE325" s="319"/>
      <c r="BF325" s="319"/>
      <c r="BG325" s="319"/>
      <c r="BH325" s="319"/>
      <c r="BI325" s="319"/>
      <c r="BJ325" s="319"/>
      <c r="BK325" s="319"/>
      <c r="BL325" s="319"/>
      <c r="BM325" s="319"/>
      <c r="BN325" s="319"/>
      <c r="BO325" s="319"/>
      <c r="BP325" s="319"/>
      <c r="BQ325" s="319"/>
      <c r="BR325" s="319"/>
      <c r="BS325" s="319"/>
      <c r="BT325" s="319"/>
      <c r="BU325" s="319"/>
      <c r="BV325" s="319"/>
      <c r="BW325" s="319"/>
      <c r="BX325" s="319"/>
      <c r="BY325" s="319"/>
      <c r="BZ325" s="319"/>
      <c r="CA325" s="319"/>
      <c r="CB325" s="319"/>
      <c r="CC325" s="319"/>
      <c r="CD325" s="319"/>
      <c r="CE325" s="319"/>
      <c r="CF325" s="319"/>
    </row>
    <row r="326" spans="1:84" ht="13.2" hidden="1">
      <c r="A326" s="12"/>
      <c r="B326" s="329" t="str">
        <f>B325</f>
        <v>Fluxo eficaz</v>
      </c>
      <c r="C326" s="29" t="str">
        <f>C325</f>
        <v>m³/s</v>
      </c>
      <c r="D326" s="36">
        <f>IF(Offgrid=5,'Modelo Energético '!D406,IF(ES_Hydro_MFM=0,D325,D323*D324))</f>
        <v>0</v>
      </c>
      <c r="E326" s="36"/>
      <c r="F326" s="29"/>
      <c r="G326" s="140"/>
      <c r="H326" s="1"/>
      <c r="I326" s="1"/>
      <c r="J326" s="1"/>
      <c r="K326" s="9"/>
      <c r="L326" s="1"/>
      <c r="M326" s="319"/>
      <c r="N326" s="319"/>
      <c r="O326" s="319"/>
      <c r="P326" s="319"/>
      <c r="Q326" s="319"/>
      <c r="R326" s="319"/>
      <c r="S326" s="319"/>
      <c r="T326" s="556"/>
      <c r="U326" s="556"/>
      <c r="V326" s="319"/>
      <c r="W326" s="319"/>
      <c r="X326" s="319"/>
      <c r="Y326" s="319"/>
      <c r="Z326" s="319"/>
      <c r="AA326" s="319"/>
      <c r="AB326" s="319"/>
      <c r="AC326" s="319"/>
      <c r="AD326" s="319"/>
      <c r="AE326" s="319"/>
      <c r="AF326" s="319"/>
      <c r="AG326" s="319"/>
      <c r="AH326" s="319"/>
      <c r="AI326" s="319"/>
      <c r="AJ326" s="319"/>
      <c r="AK326" s="319"/>
      <c r="AL326" s="319"/>
      <c r="AM326" s="319"/>
      <c r="AN326" s="319"/>
      <c r="AO326" s="319">
        <v>2111018</v>
      </c>
      <c r="AP326" s="319"/>
      <c r="AQ326" s="319"/>
      <c r="AR326" s="319"/>
      <c r="AS326" s="319"/>
      <c r="AT326" s="319"/>
      <c r="AU326" s="319"/>
      <c r="AV326" s="319"/>
      <c r="AW326" s="319"/>
      <c r="AX326" s="319"/>
      <c r="AY326" s="319"/>
      <c r="AZ326" s="319"/>
      <c r="BA326" s="319"/>
      <c r="BB326" s="319"/>
      <c r="BC326" s="319"/>
      <c r="BD326" s="319"/>
      <c r="BE326" s="319"/>
      <c r="BF326" s="319"/>
      <c r="BG326" s="319"/>
      <c r="BH326" s="319"/>
      <c r="BI326" s="319"/>
      <c r="BJ326" s="319"/>
      <c r="BK326" s="319"/>
      <c r="BL326" s="319"/>
      <c r="BM326" s="319"/>
      <c r="BN326" s="319"/>
      <c r="BO326" s="319"/>
      <c r="BP326" s="319"/>
      <c r="BQ326" s="319"/>
      <c r="BR326" s="319"/>
      <c r="BS326" s="319"/>
      <c r="BT326" s="319"/>
      <c r="BU326" s="319"/>
      <c r="BV326" s="319"/>
      <c r="BW326" s="319"/>
      <c r="BX326" s="319"/>
      <c r="BY326" s="319"/>
      <c r="BZ326" s="319"/>
      <c r="CA326" s="319"/>
      <c r="CB326" s="319"/>
      <c r="CC326" s="319"/>
      <c r="CD326" s="319"/>
      <c r="CE326" s="319"/>
      <c r="CF326" s="319"/>
    </row>
    <row r="327" spans="1:84" ht="13.2" hidden="1">
      <c r="A327" s="12"/>
      <c r="B327" s="329" t="str">
        <f>Language!C1938</f>
        <v>Fluxo residual</v>
      </c>
      <c r="C327" s="29" t="str">
        <f>C325</f>
        <v>m³/s</v>
      </c>
      <c r="D327" s="399"/>
      <c r="E327" s="1"/>
      <c r="F327" s="29" t="str">
        <f>F325</f>
        <v/>
      </c>
      <c r="G327" s="97" t="str">
        <f>IF($M$3=FALSE,"",IF($O$319=1,$AD$1079,1/$AD$1079)*D327)</f>
        <v/>
      </c>
      <c r="H327" s="1"/>
      <c r="I327" s="1"/>
      <c r="J327" s="1"/>
      <c r="K327" s="9"/>
      <c r="L327" s="1"/>
      <c r="M327" s="319"/>
      <c r="N327" s="319"/>
      <c r="O327" s="476">
        <f>IF(Offgrid=5,'Modelo Energético '!D407,D327)*O319^3</f>
        <v>0</v>
      </c>
      <c r="P327" s="319"/>
      <c r="Q327" s="319"/>
      <c r="R327" s="319"/>
      <c r="S327" s="319"/>
      <c r="T327" s="319"/>
      <c r="U327" s="319"/>
      <c r="V327" s="319"/>
      <c r="W327" s="319"/>
      <c r="X327" s="319"/>
      <c r="Y327" s="319"/>
      <c r="Z327" s="319"/>
      <c r="AA327" s="319"/>
      <c r="AB327" s="319"/>
      <c r="AC327" s="319"/>
      <c r="AD327" s="319"/>
      <c r="AE327" s="319"/>
      <c r="AF327" s="319"/>
      <c r="AG327" s="319"/>
      <c r="AH327" s="319"/>
      <c r="AI327" s="319"/>
      <c r="AJ327" s="319"/>
      <c r="AK327" s="319"/>
      <c r="AL327" s="319"/>
      <c r="AM327" s="319"/>
      <c r="AN327" s="319"/>
      <c r="AO327" s="319">
        <v>2111020</v>
      </c>
      <c r="AP327" s="319"/>
      <c r="AQ327" s="319"/>
      <c r="AR327" s="319"/>
      <c r="AS327" s="319"/>
      <c r="AT327" s="319"/>
      <c r="AU327" s="319"/>
      <c r="AV327" s="319"/>
      <c r="AW327" s="319"/>
      <c r="AX327" s="319"/>
      <c r="AY327" s="319"/>
      <c r="AZ327" s="319"/>
      <c r="BA327" s="319"/>
      <c r="BB327" s="319"/>
      <c r="BC327" s="319"/>
      <c r="BD327" s="319"/>
      <c r="BE327" s="319"/>
      <c r="BF327" s="319"/>
      <c r="BG327" s="319"/>
      <c r="BH327" s="319"/>
      <c r="BI327" s="319"/>
      <c r="BJ327" s="319"/>
      <c r="BK327" s="319"/>
      <c r="BL327" s="319"/>
      <c r="BM327" s="319"/>
      <c r="BN327" s="319"/>
      <c r="BO327" s="319"/>
      <c r="BP327" s="319"/>
      <c r="BQ327" s="319"/>
      <c r="BR327" s="319"/>
      <c r="BS327" s="319"/>
      <c r="BT327" s="319"/>
      <c r="BU327" s="319"/>
      <c r="BV327" s="319"/>
      <c r="BW327" s="319"/>
      <c r="BX327" s="319"/>
      <c r="BY327" s="319"/>
      <c r="BZ327" s="319"/>
      <c r="CA327" s="319"/>
      <c r="CB327" s="319"/>
      <c r="CC327" s="319"/>
      <c r="CD327" s="319"/>
      <c r="CE327" s="319"/>
      <c r="CF327" s="319"/>
    </row>
    <row r="328" spans="1:84" ht="13.2" hidden="1">
      <c r="A328" s="12"/>
      <c r="B328" s="329" t="str">
        <f>Language!C1654</f>
        <v xml:space="preserve">Tipo CDC / # bitola </v>
      </c>
      <c r="C328" s="1"/>
      <c r="D328" s="313"/>
      <c r="E328" s="1"/>
      <c r="F328" s="1"/>
      <c r="G328" s="1"/>
      <c r="H328" s="1"/>
      <c r="I328" s="1209" t="str">
        <f>Language!C1960</f>
        <v>Veja banco de dados hidrológicos</v>
      </c>
      <c r="J328" s="1191"/>
      <c r="K328" s="1210"/>
      <c r="L328" s="1"/>
      <c r="M328" s="319"/>
      <c r="N328" s="319"/>
      <c r="O328" s="319"/>
      <c r="P328" s="319"/>
      <c r="Q328" s="319"/>
      <c r="R328" s="319"/>
      <c r="S328" s="319"/>
      <c r="T328" s="319"/>
      <c r="U328" s="319"/>
      <c r="V328" s="319"/>
      <c r="W328" s="319"/>
      <c r="X328" s="319"/>
      <c r="Y328" s="319"/>
      <c r="Z328" s="319"/>
      <c r="AA328" s="319"/>
      <c r="AB328" s="319"/>
      <c r="AC328" s="319"/>
      <c r="AD328" s="319"/>
      <c r="AE328" s="319"/>
      <c r="AF328" s="319"/>
      <c r="AG328" s="319"/>
      <c r="AH328" s="319"/>
      <c r="AI328" s="319"/>
      <c r="AJ328" s="319"/>
      <c r="AK328" s="319"/>
      <c r="AL328" s="319"/>
      <c r="AM328" s="319"/>
      <c r="AN328" s="319"/>
      <c r="AO328" s="319">
        <v>2111022</v>
      </c>
      <c r="AP328" s="319"/>
      <c r="AQ328" s="319"/>
      <c r="AR328" s="319"/>
      <c r="AS328" s="319"/>
      <c r="AT328" s="319"/>
      <c r="AU328" s="319"/>
      <c r="AV328" s="319"/>
      <c r="AW328" s="319"/>
      <c r="AX328" s="319"/>
      <c r="AY328" s="319"/>
      <c r="AZ328" s="319"/>
      <c r="BA328" s="319"/>
      <c r="BB328" s="319"/>
      <c r="BC328" s="319"/>
      <c r="BD328" s="319"/>
      <c r="BE328" s="319"/>
      <c r="BF328" s="319"/>
      <c r="BG328" s="319"/>
      <c r="BH328" s="319"/>
      <c r="BI328" s="319"/>
      <c r="BJ328" s="319"/>
      <c r="BK328" s="319"/>
      <c r="BL328" s="319"/>
      <c r="BM328" s="319"/>
      <c r="BN328" s="319"/>
      <c r="BO328" s="319"/>
      <c r="BP328" s="319"/>
      <c r="BQ328" s="319"/>
      <c r="BR328" s="319"/>
      <c r="BS328" s="319"/>
      <c r="BT328" s="319"/>
      <c r="BU328" s="319"/>
      <c r="BV328" s="319"/>
      <c r="BW328" s="319"/>
      <c r="BX328" s="319"/>
      <c r="BY328" s="319"/>
      <c r="BZ328" s="319"/>
      <c r="CA328" s="319"/>
      <c r="CB328" s="319"/>
      <c r="CC328" s="319"/>
      <c r="CD328" s="319"/>
      <c r="CE328" s="319"/>
      <c r="CF328" s="319"/>
    </row>
    <row r="329" spans="1:84" ht="13.2" hidden="1">
      <c r="A329" s="12"/>
      <c r="B329" s="329" t="str">
        <f>Language!C1878</f>
        <v>Percentual de tempo de fluxo firme disponível</v>
      </c>
      <c r="C329" s="29" t="str">
        <f>$T$35</f>
        <v>%</v>
      </c>
      <c r="D329" s="422"/>
      <c r="E329" s="1"/>
      <c r="F329" s="1"/>
      <c r="G329" s="1"/>
      <c r="H329" s="1"/>
      <c r="I329" s="1"/>
      <c r="J329" s="1"/>
      <c r="K329" s="9"/>
      <c r="L329" s="1"/>
      <c r="M329" s="319"/>
      <c r="N329" s="319"/>
      <c r="O329" s="742">
        <f>IF(Offgrid=5,'Modelo Energético '!D409,D329)</f>
        <v>0</v>
      </c>
      <c r="P329" s="319"/>
      <c r="Q329" s="319"/>
      <c r="R329" s="319"/>
      <c r="S329" s="319"/>
      <c r="T329" s="319"/>
      <c r="U329" s="319"/>
      <c r="V329" s="319"/>
      <c r="W329" s="319"/>
      <c r="X329" s="319"/>
      <c r="Y329" s="319"/>
      <c r="Z329" s="319"/>
      <c r="AA329" s="319"/>
      <c r="AB329" s="319"/>
      <c r="AC329" s="319"/>
      <c r="AD329" s="319"/>
      <c r="AE329" s="319"/>
      <c r="AF329" s="319"/>
      <c r="AG329" s="319"/>
      <c r="AH329" s="319"/>
      <c r="AI329" s="319"/>
      <c r="AJ329" s="319"/>
      <c r="AK329" s="319"/>
      <c r="AL329" s="319"/>
      <c r="AM329" s="319"/>
      <c r="AN329" s="319"/>
      <c r="AO329" s="319">
        <v>2111026</v>
      </c>
      <c r="AP329" s="319"/>
      <c r="AQ329" s="319"/>
      <c r="AR329" s="319"/>
      <c r="AS329" s="319"/>
      <c r="AT329" s="319"/>
      <c r="AU329" s="319"/>
      <c r="AV329" s="319"/>
      <c r="AW329" s="319"/>
      <c r="AX329" s="319"/>
      <c r="AY329" s="319"/>
      <c r="AZ329" s="319"/>
      <c r="BA329" s="319"/>
      <c r="BB329" s="319"/>
      <c r="BC329" s="319"/>
      <c r="BD329" s="319"/>
      <c r="BE329" s="319"/>
      <c r="BF329" s="319"/>
      <c r="BG329" s="319"/>
      <c r="BH329" s="319"/>
      <c r="BI329" s="319"/>
      <c r="BJ329" s="319"/>
      <c r="BK329" s="319"/>
      <c r="BL329" s="319"/>
      <c r="BM329" s="319"/>
      <c r="BN329" s="319"/>
      <c r="BO329" s="319"/>
      <c r="BP329" s="319"/>
      <c r="BQ329" s="319"/>
      <c r="BR329" s="319"/>
      <c r="BS329" s="319"/>
      <c r="BT329" s="319"/>
      <c r="BU329" s="319"/>
      <c r="BV329" s="319"/>
      <c r="BW329" s="319"/>
      <c r="BX329" s="319"/>
      <c r="BY329" s="319"/>
      <c r="BZ329" s="319"/>
      <c r="CA329" s="319"/>
      <c r="CB329" s="319"/>
      <c r="CC329" s="319"/>
      <c r="CD329" s="319"/>
      <c r="CE329" s="319"/>
      <c r="CF329" s="319"/>
    </row>
    <row r="330" spans="1:84" ht="13.2" hidden="1">
      <c r="A330" s="12"/>
      <c r="B330" s="329" t="str">
        <f>Language!C1660</f>
        <v>Fluxo garantido</v>
      </c>
      <c r="C330" s="29" t="str">
        <f>C325</f>
        <v>m³/s</v>
      </c>
      <c r="D330" s="100">
        <f>O330</f>
        <v>0</v>
      </c>
      <c r="E330" s="1"/>
      <c r="F330" s="29" t="str">
        <f>F325</f>
        <v/>
      </c>
      <c r="G330" s="284" t="str">
        <f>IF($M$3=FALSE,"",IF($O$319=1,$AD$1079,1/$AD$1079)*D330)</f>
        <v/>
      </c>
      <c r="H330" s="1"/>
      <c r="I330" s="1"/>
      <c r="J330" s="1"/>
      <c r="K330" s="9"/>
      <c r="L330" s="1"/>
      <c r="M330" s="319"/>
      <c r="N330" s="319"/>
      <c r="O330" s="476">
        <f>IF((IF(O329&lt;1,(LOOKUP(O329,C382:C402,X382:X402)-(LOOKUP(O329,C382:C402,X382:X402)-LOOKUP(O329+0.05,C382:C402,X382:X402))*(O329-(ROUNDDOWN(O329*100/5,0))*5/100)),X402)-residual_flow)&lt;0,0,IF(O329&lt;1,(LOOKUP(O329,C382:C402,X382:X402)-(LOOKUP(O329,C382:C402,X382:X402)-LOOKUP(O329+0.05,C382:C402,X382:X402))*(O329-(ROUNDDOWN(O329*100/5,0))*5/100)),X402)-residual_flow)</f>
        <v>0</v>
      </c>
      <c r="P330" s="319"/>
      <c r="Q330" s="319"/>
      <c r="R330" s="319"/>
      <c r="S330" s="319"/>
      <c r="T330" s="319"/>
      <c r="U330" s="319"/>
      <c r="V330" s="319"/>
      <c r="W330" s="319"/>
      <c r="X330" s="319"/>
      <c r="Y330" s="319"/>
      <c r="Z330" s="319"/>
      <c r="AA330" s="319"/>
      <c r="AB330" s="319"/>
      <c r="AC330" s="319"/>
      <c r="AD330" s="319"/>
      <c r="AE330" s="319"/>
      <c r="AF330" s="319"/>
      <c r="AG330" s="319"/>
      <c r="AH330" s="319"/>
      <c r="AI330" s="319"/>
      <c r="AJ330" s="319"/>
      <c r="AK330" s="319"/>
      <c r="AL330" s="319"/>
      <c r="AM330" s="319"/>
      <c r="AN330" s="319"/>
      <c r="AO330" s="319">
        <v>2111028</v>
      </c>
      <c r="AP330" s="319"/>
      <c r="AQ330" s="319"/>
      <c r="AR330" s="319"/>
      <c r="AS330" s="319"/>
      <c r="AT330" s="319"/>
      <c r="AU330" s="319"/>
      <c r="AV330" s="319"/>
      <c r="AW330" s="319"/>
      <c r="AX330" s="319"/>
      <c r="AY330" s="319"/>
      <c r="AZ330" s="319"/>
      <c r="BA330" s="319"/>
      <c r="BB330" s="319"/>
      <c r="BC330" s="319"/>
      <c r="BD330" s="319"/>
      <c r="BE330" s="319"/>
      <c r="BF330" s="319"/>
      <c r="BG330" s="319"/>
      <c r="BH330" s="319"/>
      <c r="BI330" s="319"/>
      <c r="BJ330" s="319"/>
      <c r="BK330" s="319"/>
      <c r="BL330" s="319"/>
      <c r="BM330" s="319"/>
      <c r="BN330" s="319"/>
      <c r="BO330" s="319"/>
      <c r="BP330" s="319"/>
      <c r="BQ330" s="319"/>
      <c r="BR330" s="319"/>
      <c r="BS330" s="319"/>
      <c r="BT330" s="319"/>
      <c r="BU330" s="319"/>
      <c r="BV330" s="319"/>
      <c r="BW330" s="319"/>
      <c r="BX330" s="319"/>
      <c r="BY330" s="319"/>
      <c r="BZ330" s="319"/>
      <c r="CA330" s="319"/>
      <c r="CB330" s="319"/>
      <c r="CC330" s="319"/>
      <c r="CD330" s="319"/>
      <c r="CE330" s="319"/>
      <c r="CF330" s="319"/>
    </row>
    <row r="331" spans="1:84" ht="13.2" hidden="1">
      <c r="A331" s="12"/>
      <c r="B331" s="1"/>
      <c r="C331" s="1"/>
      <c r="D331" s="1"/>
      <c r="E331" s="1"/>
      <c r="F331" s="1"/>
      <c r="G331" s="1"/>
      <c r="H331" s="1"/>
      <c r="I331" s="1"/>
      <c r="J331" s="1"/>
      <c r="K331" s="9"/>
      <c r="L331" s="1"/>
      <c r="M331" s="319"/>
      <c r="N331" s="319"/>
      <c r="O331" s="319"/>
      <c r="P331" s="319"/>
      <c r="Q331" s="319"/>
      <c r="R331" s="319"/>
      <c r="S331" s="319"/>
      <c r="T331" s="319"/>
      <c r="U331" s="319"/>
      <c r="V331" s="319"/>
      <c r="W331" s="319"/>
      <c r="X331" s="319"/>
      <c r="Y331" s="319"/>
      <c r="Z331" s="319"/>
      <c r="AA331" s="319"/>
      <c r="AB331" s="319"/>
      <c r="AC331" s="319"/>
      <c r="AD331" s="319"/>
      <c r="AE331" s="319"/>
      <c r="AF331" s="319"/>
      <c r="AG331" s="319"/>
      <c r="AH331" s="319"/>
      <c r="AI331" s="319"/>
      <c r="AJ331" s="319"/>
      <c r="AK331" s="319"/>
      <c r="AL331" s="319"/>
      <c r="AM331" s="319"/>
      <c r="AN331" s="319"/>
      <c r="AO331" s="319">
        <v>2040008</v>
      </c>
      <c r="AP331" s="319"/>
      <c r="AQ331" s="319"/>
      <c r="AR331" s="319"/>
      <c r="AS331" s="319"/>
      <c r="AT331" s="319"/>
      <c r="AU331" s="319"/>
      <c r="AV331" s="319"/>
      <c r="AW331" s="319"/>
      <c r="AX331" s="319"/>
      <c r="AY331" s="319"/>
      <c r="AZ331" s="319"/>
      <c r="BA331" s="319"/>
      <c r="BB331" s="319"/>
      <c r="BC331" s="319"/>
      <c r="BD331" s="319"/>
      <c r="BE331" s="319"/>
      <c r="BF331" s="319"/>
      <c r="BG331" s="319"/>
      <c r="BH331" s="319"/>
      <c r="BI331" s="319"/>
      <c r="BJ331" s="319"/>
      <c r="BK331" s="319"/>
      <c r="BL331" s="319"/>
      <c r="BM331" s="319"/>
      <c r="BN331" s="319"/>
      <c r="BO331" s="319"/>
      <c r="BP331" s="319"/>
      <c r="BQ331" s="319"/>
      <c r="BR331" s="319"/>
      <c r="BS331" s="319"/>
      <c r="BT331" s="319"/>
      <c r="BU331" s="319"/>
      <c r="BV331" s="319"/>
      <c r="BW331" s="319"/>
      <c r="BX331" s="319"/>
      <c r="BY331" s="319"/>
      <c r="BZ331" s="319"/>
      <c r="CA331" s="319"/>
      <c r="CB331" s="319"/>
      <c r="CC331" s="319"/>
      <c r="CD331" s="319"/>
      <c r="CE331" s="319"/>
      <c r="CF331" s="319"/>
    </row>
    <row r="332" spans="1:84" ht="12.75" hidden="1" customHeight="1">
      <c r="A332" s="12"/>
      <c r="B332" s="1"/>
      <c r="C332" s="1"/>
      <c r="D332" s="1"/>
      <c r="E332" s="1"/>
      <c r="F332" s="1"/>
      <c r="G332" s="1"/>
      <c r="H332" s="1"/>
      <c r="I332" s="1"/>
      <c r="J332" s="1"/>
      <c r="K332" s="9"/>
      <c r="L332" s="1"/>
      <c r="M332" s="319"/>
      <c r="N332" s="319"/>
      <c r="O332" s="319"/>
      <c r="P332" s="319"/>
      <c r="Q332" s="319"/>
      <c r="R332" s="319"/>
      <c r="S332" s="319"/>
      <c r="T332" s="319"/>
      <c r="U332" s="319"/>
      <c r="V332" s="319"/>
      <c r="W332" s="319"/>
      <c r="X332" s="319"/>
      <c r="Y332" s="319"/>
      <c r="Z332" s="319"/>
      <c r="AA332" s="319"/>
      <c r="AB332" s="319"/>
      <c r="AC332" s="319"/>
      <c r="AD332" s="319"/>
      <c r="AE332" s="319"/>
      <c r="AF332" s="319"/>
      <c r="AG332" s="319"/>
      <c r="AH332" s="319"/>
      <c r="AI332" s="319"/>
      <c r="AJ332" s="319"/>
      <c r="AK332" s="319"/>
      <c r="AL332" s="319"/>
      <c r="AM332" s="319"/>
      <c r="AN332" s="319"/>
      <c r="AO332" s="319">
        <v>2040008</v>
      </c>
      <c r="AP332" s="319"/>
      <c r="AQ332" s="319"/>
      <c r="AR332" s="319"/>
      <c r="AS332" s="319"/>
      <c r="AT332" s="319"/>
      <c r="AU332" s="319"/>
      <c r="AV332" s="319"/>
      <c r="AW332" s="319"/>
      <c r="AX332" s="319"/>
      <c r="AY332" s="319"/>
      <c r="AZ332" s="319"/>
      <c r="BA332" s="319"/>
      <c r="BB332" s="319"/>
      <c r="BC332" s="319"/>
      <c r="BD332" s="319"/>
      <c r="BE332" s="319"/>
      <c r="BF332" s="319"/>
      <c r="BG332" s="319"/>
      <c r="BH332" s="319"/>
      <c r="BI332" s="319"/>
      <c r="BJ332" s="319"/>
      <c r="BK332" s="319"/>
      <c r="BL332" s="319"/>
      <c r="BM332" s="319"/>
      <c r="BN332" s="319"/>
      <c r="BO332" s="319"/>
      <c r="BP332" s="319"/>
      <c r="BQ332" s="319"/>
      <c r="BR332" s="319"/>
      <c r="BS332" s="319"/>
      <c r="BT332" s="319"/>
      <c r="BU332" s="319"/>
      <c r="BV332" s="319"/>
      <c r="BW332" s="319"/>
      <c r="BX332" s="319"/>
      <c r="BY332" s="319"/>
      <c r="BZ332" s="319"/>
      <c r="CA332" s="319"/>
      <c r="CB332" s="319"/>
      <c r="CC332" s="319"/>
      <c r="CD332" s="319"/>
      <c r="CE332" s="319"/>
      <c r="CF332" s="319"/>
    </row>
    <row r="333" spans="1:84" ht="12.75" hidden="1" customHeight="1">
      <c r="A333" s="12"/>
      <c r="B333" s="1"/>
      <c r="C333" s="1"/>
      <c r="D333" s="1"/>
      <c r="E333" s="1"/>
      <c r="F333" s="1"/>
      <c r="G333" s="1"/>
      <c r="H333" s="1"/>
      <c r="I333" s="1"/>
      <c r="J333" s="1"/>
      <c r="K333" s="9"/>
      <c r="L333" s="1"/>
      <c r="M333" s="319"/>
      <c r="N333" s="319"/>
      <c r="O333" s="319"/>
      <c r="P333" s="319"/>
      <c r="Q333" s="319"/>
      <c r="R333" s="319"/>
      <c r="S333" s="319"/>
      <c r="T333" s="319"/>
      <c r="U333" s="319"/>
      <c r="V333" s="319"/>
      <c r="W333" s="319"/>
      <c r="X333" s="319"/>
      <c r="Y333" s="319"/>
      <c r="Z333" s="319"/>
      <c r="AA333" s="319"/>
      <c r="AB333" s="319"/>
      <c r="AC333" s="319"/>
      <c r="AD333" s="319"/>
      <c r="AE333" s="319"/>
      <c r="AF333" s="319"/>
      <c r="AG333" s="319"/>
      <c r="AH333" s="319"/>
      <c r="AI333" s="319"/>
      <c r="AJ333" s="319"/>
      <c r="AK333" s="319"/>
      <c r="AL333" s="319"/>
      <c r="AM333" s="319"/>
      <c r="AN333" s="319"/>
      <c r="AO333" s="319">
        <v>2040008</v>
      </c>
      <c r="AP333" s="319"/>
      <c r="AQ333" s="319"/>
      <c r="AR333" s="319"/>
      <c r="AS333" s="319"/>
      <c r="AT333" s="319"/>
      <c r="AU333" s="319"/>
      <c r="AV333" s="319"/>
      <c r="AW333" s="319"/>
      <c r="AX333" s="319"/>
      <c r="AY333" s="319"/>
      <c r="AZ333" s="319"/>
      <c r="BA333" s="319"/>
      <c r="BB333" s="319"/>
      <c r="BC333" s="319"/>
      <c r="BD333" s="319"/>
      <c r="BE333" s="319"/>
      <c r="BF333" s="319"/>
      <c r="BG333" s="319"/>
      <c r="BH333" s="319"/>
      <c r="BI333" s="319"/>
      <c r="BJ333" s="319"/>
      <c r="BK333" s="319"/>
      <c r="BL333" s="319"/>
      <c r="BM333" s="319"/>
      <c r="BN333" s="319"/>
      <c r="BO333" s="319"/>
      <c r="BP333" s="319"/>
      <c r="BQ333" s="319"/>
      <c r="BR333" s="319"/>
      <c r="BS333" s="319"/>
      <c r="BT333" s="319"/>
      <c r="BU333" s="319"/>
      <c r="BV333" s="319"/>
      <c r="BW333" s="319"/>
      <c r="BX333" s="319"/>
      <c r="BY333" s="319"/>
      <c r="BZ333" s="319"/>
      <c r="CA333" s="319"/>
      <c r="CB333" s="319"/>
      <c r="CC333" s="319"/>
      <c r="CD333" s="319"/>
      <c r="CE333" s="319"/>
      <c r="CF333" s="319"/>
    </row>
    <row r="334" spans="1:84" ht="12.75" hidden="1" customHeight="1">
      <c r="A334" s="12"/>
      <c r="B334" s="1"/>
      <c r="C334" s="1"/>
      <c r="D334" s="1"/>
      <c r="E334" s="1"/>
      <c r="F334" s="1"/>
      <c r="G334" s="1"/>
      <c r="H334" s="1"/>
      <c r="I334" s="1"/>
      <c r="J334" s="1"/>
      <c r="K334" s="9"/>
      <c r="L334" s="1"/>
      <c r="M334" s="319"/>
      <c r="N334" s="319"/>
      <c r="O334" s="319"/>
      <c r="P334" s="319"/>
      <c r="Q334" s="319"/>
      <c r="R334" s="319"/>
      <c r="S334" s="319"/>
      <c r="T334" s="319"/>
      <c r="U334" s="319"/>
      <c r="V334" s="319"/>
      <c r="W334" s="319"/>
      <c r="X334" s="319"/>
      <c r="Y334" s="319"/>
      <c r="Z334" s="319"/>
      <c r="AA334" s="319"/>
      <c r="AB334" s="319"/>
      <c r="AC334" s="319"/>
      <c r="AD334" s="319"/>
      <c r="AE334" s="319"/>
      <c r="AF334" s="319"/>
      <c r="AG334" s="319"/>
      <c r="AH334" s="319"/>
      <c r="AI334" s="319"/>
      <c r="AJ334" s="319"/>
      <c r="AK334" s="319"/>
      <c r="AL334" s="319"/>
      <c r="AM334" s="319"/>
      <c r="AN334" s="319"/>
      <c r="AO334" s="319">
        <v>2040008</v>
      </c>
      <c r="AP334" s="319"/>
      <c r="AQ334" s="319"/>
      <c r="AR334" s="319"/>
      <c r="AS334" s="319"/>
      <c r="AT334" s="319"/>
      <c r="AU334" s="319"/>
      <c r="AV334" s="319"/>
      <c r="AW334" s="319"/>
      <c r="AX334" s="319"/>
      <c r="AY334" s="319"/>
      <c r="AZ334" s="319"/>
      <c r="BA334" s="319"/>
      <c r="BB334" s="319"/>
      <c r="BC334" s="319"/>
      <c r="BD334" s="319"/>
      <c r="BE334" s="319"/>
      <c r="BF334" s="319"/>
      <c r="BG334" s="319"/>
      <c r="BH334" s="319"/>
      <c r="BI334" s="319"/>
      <c r="BJ334" s="319"/>
      <c r="BK334" s="319"/>
      <c r="BL334" s="319"/>
      <c r="BM334" s="319"/>
      <c r="BN334" s="319"/>
      <c r="BO334" s="319"/>
      <c r="BP334" s="319"/>
      <c r="BQ334" s="319"/>
      <c r="BR334" s="319"/>
      <c r="BS334" s="319"/>
      <c r="BT334" s="319"/>
      <c r="BU334" s="319"/>
      <c r="BV334" s="319"/>
      <c r="BW334" s="319"/>
      <c r="BX334" s="319"/>
      <c r="BY334" s="319"/>
      <c r="BZ334" s="319"/>
      <c r="CA334" s="319"/>
      <c r="CB334" s="319"/>
      <c r="CC334" s="319"/>
      <c r="CD334" s="319"/>
      <c r="CE334" s="319"/>
      <c r="CF334" s="319"/>
    </row>
    <row r="335" spans="1:84" ht="12.75" hidden="1" customHeight="1">
      <c r="A335" s="12"/>
      <c r="B335" s="1"/>
      <c r="C335" s="1"/>
      <c r="D335" s="1"/>
      <c r="E335" s="1"/>
      <c r="F335" s="1"/>
      <c r="G335" s="1"/>
      <c r="H335" s="1"/>
      <c r="I335" s="1"/>
      <c r="J335" s="1"/>
      <c r="K335" s="9"/>
      <c r="L335" s="1"/>
      <c r="M335" s="319"/>
      <c r="N335" s="319"/>
      <c r="O335" s="319"/>
      <c r="P335" s="319"/>
      <c r="Q335" s="319"/>
      <c r="R335" s="319"/>
      <c r="S335" s="319"/>
      <c r="T335" s="319"/>
      <c r="U335" s="319"/>
      <c r="V335" s="319"/>
      <c r="W335" s="319"/>
      <c r="X335" s="319"/>
      <c r="Y335" s="319"/>
      <c r="Z335" s="319"/>
      <c r="AA335" s="319"/>
      <c r="AB335" s="319"/>
      <c r="AC335" s="319"/>
      <c r="AD335" s="319"/>
      <c r="AE335" s="319"/>
      <c r="AF335" s="319"/>
      <c r="AG335" s="319"/>
      <c r="AH335" s="319"/>
      <c r="AI335" s="319"/>
      <c r="AJ335" s="319"/>
      <c r="AK335" s="319"/>
      <c r="AL335" s="319"/>
      <c r="AM335" s="319"/>
      <c r="AN335" s="319"/>
      <c r="AO335" s="319">
        <v>2040008</v>
      </c>
      <c r="AP335" s="319"/>
      <c r="AQ335" s="319"/>
      <c r="AR335" s="319"/>
      <c r="AS335" s="319"/>
      <c r="AT335" s="319"/>
      <c r="AU335" s="319"/>
      <c r="AV335" s="319"/>
      <c r="AW335" s="319"/>
      <c r="AX335" s="319"/>
      <c r="AY335" s="319"/>
      <c r="AZ335" s="319"/>
      <c r="BA335" s="319"/>
      <c r="BB335" s="319"/>
      <c r="BC335" s="319"/>
      <c r="BD335" s="319"/>
      <c r="BE335" s="319"/>
      <c r="BF335" s="319"/>
      <c r="BG335" s="319"/>
      <c r="BH335" s="319"/>
      <c r="BI335" s="319"/>
      <c r="BJ335" s="319"/>
      <c r="BK335" s="319"/>
      <c r="BL335" s="319"/>
      <c r="BM335" s="319"/>
      <c r="BN335" s="319"/>
      <c r="BO335" s="319"/>
      <c r="BP335" s="319"/>
      <c r="BQ335" s="319"/>
      <c r="BR335" s="319"/>
      <c r="BS335" s="319"/>
      <c r="BT335" s="319"/>
      <c r="BU335" s="319"/>
      <c r="BV335" s="319"/>
      <c r="BW335" s="319"/>
      <c r="BX335" s="319"/>
      <c r="BY335" s="319"/>
      <c r="BZ335" s="319"/>
      <c r="CA335" s="319"/>
      <c r="CB335" s="319"/>
      <c r="CC335" s="319"/>
      <c r="CD335" s="319"/>
      <c r="CE335" s="319"/>
      <c r="CF335" s="319"/>
    </row>
    <row r="336" spans="1:84" ht="12.75" hidden="1" customHeight="1">
      <c r="A336" s="12"/>
      <c r="B336" s="1"/>
      <c r="C336" s="1"/>
      <c r="D336" s="1"/>
      <c r="E336" s="1"/>
      <c r="F336" s="1"/>
      <c r="G336" s="1"/>
      <c r="H336" s="1"/>
      <c r="I336" s="1"/>
      <c r="J336" s="1"/>
      <c r="K336" s="9"/>
      <c r="L336" s="1"/>
      <c r="M336" s="319"/>
      <c r="N336" s="319"/>
      <c r="O336" s="319"/>
      <c r="P336" s="319"/>
      <c r="Q336" s="319"/>
      <c r="R336" s="319"/>
      <c r="S336" s="319"/>
      <c r="T336" s="319"/>
      <c r="U336" s="319"/>
      <c r="V336" s="319"/>
      <c r="W336" s="319"/>
      <c r="X336" s="319"/>
      <c r="Y336" s="319"/>
      <c r="Z336" s="319"/>
      <c r="AA336" s="319"/>
      <c r="AB336" s="319"/>
      <c r="AC336" s="319"/>
      <c r="AD336" s="319"/>
      <c r="AE336" s="319"/>
      <c r="AF336" s="319"/>
      <c r="AG336" s="319"/>
      <c r="AH336" s="319"/>
      <c r="AI336" s="319"/>
      <c r="AJ336" s="319"/>
      <c r="AK336" s="319"/>
      <c r="AL336" s="319"/>
      <c r="AM336" s="319"/>
      <c r="AN336" s="319"/>
      <c r="AO336" s="319">
        <v>2040008</v>
      </c>
      <c r="AP336" s="319"/>
      <c r="AQ336" s="319"/>
      <c r="AR336" s="319"/>
      <c r="AS336" s="319"/>
      <c r="AT336" s="319"/>
      <c r="AU336" s="319"/>
      <c r="AV336" s="319"/>
      <c r="AW336" s="319"/>
      <c r="AX336" s="319"/>
      <c r="AY336" s="319"/>
      <c r="AZ336" s="319"/>
      <c r="BA336" s="319"/>
      <c r="BB336" s="319"/>
      <c r="BC336" s="319"/>
      <c r="BD336" s="319"/>
      <c r="BE336" s="319"/>
      <c r="BF336" s="319"/>
      <c r="BG336" s="319"/>
      <c r="BH336" s="319"/>
      <c r="BI336" s="319"/>
      <c r="BJ336" s="319"/>
      <c r="BK336" s="319"/>
      <c r="BL336" s="319"/>
      <c r="BM336" s="319"/>
      <c r="BN336" s="319"/>
      <c r="BO336" s="319"/>
      <c r="BP336" s="319"/>
      <c r="BQ336" s="319"/>
      <c r="BR336" s="319"/>
      <c r="BS336" s="319"/>
      <c r="BT336" s="319"/>
      <c r="BU336" s="319"/>
      <c r="BV336" s="319"/>
      <c r="BW336" s="319"/>
      <c r="BX336" s="319"/>
      <c r="BY336" s="319"/>
      <c r="BZ336" s="319"/>
      <c r="CA336" s="319"/>
      <c r="CB336" s="319"/>
      <c r="CC336" s="319"/>
      <c r="CD336" s="319"/>
      <c r="CE336" s="319"/>
      <c r="CF336" s="319"/>
    </row>
    <row r="337" spans="1:84" ht="12.75" hidden="1" customHeight="1">
      <c r="A337" s="12"/>
      <c r="B337" s="1"/>
      <c r="C337" s="1"/>
      <c r="D337" s="1"/>
      <c r="E337" s="1"/>
      <c r="F337" s="1"/>
      <c r="G337" s="1"/>
      <c r="H337" s="1"/>
      <c r="I337" s="1"/>
      <c r="J337" s="1"/>
      <c r="K337" s="9"/>
      <c r="L337" s="1"/>
      <c r="M337" s="319"/>
      <c r="N337" s="319"/>
      <c r="O337" s="319"/>
      <c r="P337" s="319"/>
      <c r="Q337" s="319"/>
      <c r="R337" s="319"/>
      <c r="S337" s="319"/>
      <c r="T337" s="319"/>
      <c r="U337" s="319"/>
      <c r="V337" s="319"/>
      <c r="W337" s="319"/>
      <c r="X337" s="319"/>
      <c r="Y337" s="319"/>
      <c r="Z337" s="319"/>
      <c r="AA337" s="319"/>
      <c r="AB337" s="319"/>
      <c r="AC337" s="319"/>
      <c r="AD337" s="319"/>
      <c r="AE337" s="319"/>
      <c r="AF337" s="319"/>
      <c r="AG337" s="319"/>
      <c r="AH337" s="319"/>
      <c r="AI337" s="319"/>
      <c r="AJ337" s="319"/>
      <c r="AK337" s="319"/>
      <c r="AL337" s="319"/>
      <c r="AM337" s="319"/>
      <c r="AN337" s="319"/>
      <c r="AO337" s="319">
        <v>2040008</v>
      </c>
      <c r="AP337" s="319"/>
      <c r="AQ337" s="319"/>
      <c r="AR337" s="319"/>
      <c r="AS337" s="319"/>
      <c r="AT337" s="319"/>
      <c r="AU337" s="319"/>
      <c r="AV337" s="319"/>
      <c r="AW337" s="319"/>
      <c r="AX337" s="319"/>
      <c r="AY337" s="319"/>
      <c r="AZ337" s="319"/>
      <c r="BA337" s="319"/>
      <c r="BB337" s="319"/>
      <c r="BC337" s="319"/>
      <c r="BD337" s="319"/>
      <c r="BE337" s="319"/>
      <c r="BF337" s="319"/>
      <c r="BG337" s="319"/>
      <c r="BH337" s="319"/>
      <c r="BI337" s="319"/>
      <c r="BJ337" s="319"/>
      <c r="BK337" s="319"/>
      <c r="BL337" s="319"/>
      <c r="BM337" s="319"/>
      <c r="BN337" s="319"/>
      <c r="BO337" s="319"/>
      <c r="BP337" s="319"/>
      <c r="BQ337" s="319"/>
      <c r="BR337" s="319"/>
      <c r="BS337" s="319"/>
      <c r="BT337" s="319"/>
      <c r="BU337" s="319"/>
      <c r="BV337" s="319"/>
      <c r="BW337" s="319"/>
      <c r="BX337" s="319"/>
      <c r="BY337" s="319"/>
      <c r="BZ337" s="319"/>
      <c r="CA337" s="319"/>
      <c r="CB337" s="319"/>
      <c r="CC337" s="319"/>
      <c r="CD337" s="319"/>
      <c r="CE337" s="319"/>
      <c r="CF337" s="319"/>
    </row>
    <row r="338" spans="1:84" ht="12.75" hidden="1" customHeight="1">
      <c r="A338" s="12"/>
      <c r="B338" s="1"/>
      <c r="C338" s="1"/>
      <c r="D338" s="1"/>
      <c r="E338" s="1"/>
      <c r="F338" s="1"/>
      <c r="G338" s="1"/>
      <c r="H338" s="1"/>
      <c r="I338" s="1"/>
      <c r="J338" s="1"/>
      <c r="K338" s="9"/>
      <c r="L338" s="1"/>
      <c r="M338" s="319"/>
      <c r="N338" s="319"/>
      <c r="O338" s="319"/>
      <c r="P338" s="319"/>
      <c r="Q338" s="319"/>
      <c r="R338" s="319"/>
      <c r="S338" s="319"/>
      <c r="T338" s="319"/>
      <c r="U338" s="319"/>
      <c r="V338" s="319"/>
      <c r="W338" s="319"/>
      <c r="X338" s="319"/>
      <c r="Y338" s="319"/>
      <c r="Z338" s="319"/>
      <c r="AA338" s="319"/>
      <c r="AB338" s="319"/>
      <c r="AC338" s="319"/>
      <c r="AD338" s="319"/>
      <c r="AE338" s="319"/>
      <c r="AF338" s="319"/>
      <c r="AG338" s="319"/>
      <c r="AH338" s="319"/>
      <c r="AI338" s="319"/>
      <c r="AJ338" s="319"/>
      <c r="AK338" s="319"/>
      <c r="AL338" s="319"/>
      <c r="AM338" s="319"/>
      <c r="AN338" s="319"/>
      <c r="AO338" s="319">
        <v>2040008</v>
      </c>
      <c r="AP338" s="319"/>
      <c r="AQ338" s="319"/>
      <c r="AR338" s="319"/>
      <c r="AS338" s="319"/>
      <c r="AT338" s="319"/>
      <c r="AU338" s="319"/>
      <c r="AV338" s="319"/>
      <c r="AW338" s="319"/>
      <c r="AX338" s="319"/>
      <c r="AY338" s="319"/>
      <c r="AZ338" s="319"/>
      <c r="BA338" s="319"/>
      <c r="BB338" s="319"/>
      <c r="BC338" s="319"/>
      <c r="BD338" s="319"/>
      <c r="BE338" s="319"/>
      <c r="BF338" s="319"/>
      <c r="BG338" s="319"/>
      <c r="BH338" s="319"/>
      <c r="BI338" s="319"/>
      <c r="BJ338" s="319"/>
      <c r="BK338" s="319"/>
      <c r="BL338" s="319"/>
      <c r="BM338" s="319"/>
      <c r="BN338" s="319"/>
      <c r="BO338" s="319"/>
      <c r="BP338" s="319"/>
      <c r="BQ338" s="319"/>
      <c r="BR338" s="319"/>
      <c r="BS338" s="319"/>
      <c r="BT338" s="319"/>
      <c r="BU338" s="319"/>
      <c r="BV338" s="319"/>
      <c r="BW338" s="319"/>
      <c r="BX338" s="319"/>
      <c r="BY338" s="319"/>
      <c r="BZ338" s="319"/>
      <c r="CA338" s="319"/>
      <c r="CB338" s="319"/>
      <c r="CC338" s="319"/>
      <c r="CD338" s="319"/>
      <c r="CE338" s="319"/>
      <c r="CF338" s="319"/>
    </row>
    <row r="339" spans="1:84" ht="12.75" hidden="1" customHeight="1">
      <c r="A339" s="12"/>
      <c r="B339" s="1"/>
      <c r="C339" s="1"/>
      <c r="D339" s="1"/>
      <c r="E339" s="1"/>
      <c r="F339" s="1"/>
      <c r="G339" s="1"/>
      <c r="H339" s="1"/>
      <c r="I339" s="1"/>
      <c r="J339" s="1"/>
      <c r="K339" s="9"/>
      <c r="L339" s="1"/>
      <c r="M339" s="319"/>
      <c r="N339" s="319"/>
      <c r="O339" s="319"/>
      <c r="P339" s="319"/>
      <c r="Q339" s="319"/>
      <c r="R339" s="319"/>
      <c r="S339" s="319"/>
      <c r="T339" s="319"/>
      <c r="U339" s="319"/>
      <c r="V339" s="319"/>
      <c r="W339" s="319"/>
      <c r="X339" s="319"/>
      <c r="Y339" s="319"/>
      <c r="Z339" s="319"/>
      <c r="AA339" s="319"/>
      <c r="AB339" s="319"/>
      <c r="AC339" s="319"/>
      <c r="AD339" s="319"/>
      <c r="AE339" s="319"/>
      <c r="AF339" s="319"/>
      <c r="AG339" s="319"/>
      <c r="AH339" s="319"/>
      <c r="AI339" s="319"/>
      <c r="AJ339" s="319"/>
      <c r="AK339" s="319"/>
      <c r="AL339" s="319"/>
      <c r="AM339" s="319"/>
      <c r="AN339" s="319"/>
      <c r="AO339" s="319">
        <v>2040008</v>
      </c>
      <c r="AP339" s="319"/>
      <c r="AQ339" s="319"/>
      <c r="AR339" s="319"/>
      <c r="AS339" s="319"/>
      <c r="AT339" s="319"/>
      <c r="AU339" s="319"/>
      <c r="AV339" s="319"/>
      <c r="AW339" s="319"/>
      <c r="AX339" s="319"/>
      <c r="AY339" s="319"/>
      <c r="AZ339" s="319"/>
      <c r="BA339" s="319"/>
      <c r="BB339" s="319"/>
      <c r="BC339" s="319"/>
      <c r="BD339" s="319"/>
      <c r="BE339" s="319"/>
      <c r="BF339" s="319"/>
      <c r="BG339" s="319"/>
      <c r="BH339" s="319"/>
      <c r="BI339" s="319"/>
      <c r="BJ339" s="319"/>
      <c r="BK339" s="319"/>
      <c r="BL339" s="319"/>
      <c r="BM339" s="319"/>
      <c r="BN339" s="319"/>
      <c r="BO339" s="319"/>
      <c r="BP339" s="319"/>
      <c r="BQ339" s="319"/>
      <c r="BR339" s="319"/>
      <c r="BS339" s="319"/>
      <c r="BT339" s="319"/>
      <c r="BU339" s="319"/>
      <c r="BV339" s="319"/>
      <c r="BW339" s="319"/>
      <c r="BX339" s="319"/>
      <c r="BY339" s="319"/>
      <c r="BZ339" s="319"/>
      <c r="CA339" s="319"/>
      <c r="CB339" s="319"/>
      <c r="CC339" s="319"/>
      <c r="CD339" s="319"/>
      <c r="CE339" s="319"/>
      <c r="CF339" s="319"/>
    </row>
    <row r="340" spans="1:84" ht="12.75" hidden="1" customHeight="1">
      <c r="A340" s="12"/>
      <c r="B340" s="1"/>
      <c r="C340" s="1"/>
      <c r="D340" s="1"/>
      <c r="E340" s="1"/>
      <c r="F340" s="1"/>
      <c r="G340" s="1"/>
      <c r="H340" s="1"/>
      <c r="I340" s="1"/>
      <c r="J340" s="1"/>
      <c r="K340" s="9"/>
      <c r="L340" s="1"/>
      <c r="M340" s="319"/>
      <c r="N340" s="319"/>
      <c r="O340" s="319"/>
      <c r="P340" s="319"/>
      <c r="Q340" s="319"/>
      <c r="R340" s="319"/>
      <c r="S340" s="319"/>
      <c r="T340" s="319"/>
      <c r="U340" s="319"/>
      <c r="V340" s="319"/>
      <c r="W340" s="319"/>
      <c r="X340" s="319"/>
      <c r="Y340" s="319"/>
      <c r="Z340" s="319"/>
      <c r="AA340" s="319"/>
      <c r="AB340" s="319"/>
      <c r="AC340" s="319"/>
      <c r="AD340" s="319"/>
      <c r="AE340" s="319"/>
      <c r="AF340" s="319"/>
      <c r="AG340" s="319"/>
      <c r="AH340" s="319"/>
      <c r="AI340" s="319"/>
      <c r="AJ340" s="319"/>
      <c r="AK340" s="319"/>
      <c r="AL340" s="319"/>
      <c r="AM340" s="319"/>
      <c r="AN340" s="319"/>
      <c r="AO340" s="319">
        <v>2040008</v>
      </c>
      <c r="AP340" s="319"/>
      <c r="AQ340" s="319"/>
      <c r="AR340" s="319"/>
      <c r="AS340" s="319"/>
      <c r="AT340" s="319"/>
      <c r="AU340" s="319"/>
      <c r="AV340" s="319"/>
      <c r="AW340" s="319"/>
      <c r="AX340" s="319"/>
      <c r="AY340" s="319"/>
      <c r="AZ340" s="319"/>
      <c r="BA340" s="319"/>
      <c r="BB340" s="319"/>
      <c r="BC340" s="319"/>
      <c r="BD340" s="319"/>
      <c r="BE340" s="319"/>
      <c r="BF340" s="319"/>
      <c r="BG340" s="319"/>
      <c r="BH340" s="319"/>
      <c r="BI340" s="319"/>
      <c r="BJ340" s="319"/>
      <c r="BK340" s="319"/>
      <c r="BL340" s="319"/>
      <c r="BM340" s="319"/>
      <c r="BN340" s="319"/>
      <c r="BO340" s="319"/>
      <c r="BP340" s="319"/>
      <c r="BQ340" s="319"/>
      <c r="BR340" s="319"/>
      <c r="BS340" s="319"/>
      <c r="BT340" s="319"/>
      <c r="BU340" s="319"/>
      <c r="BV340" s="319"/>
      <c r="BW340" s="319"/>
      <c r="BX340" s="319"/>
      <c r="BY340" s="319"/>
      <c r="BZ340" s="319"/>
      <c r="CA340" s="319"/>
      <c r="CB340" s="319"/>
      <c r="CC340" s="319"/>
      <c r="CD340" s="319"/>
      <c r="CE340" s="319"/>
      <c r="CF340" s="319"/>
    </row>
    <row r="341" spans="1:84" ht="12.75" hidden="1" customHeight="1">
      <c r="A341" s="12"/>
      <c r="B341" s="1"/>
      <c r="C341" s="1"/>
      <c r="D341" s="1"/>
      <c r="E341" s="1"/>
      <c r="F341" s="1"/>
      <c r="G341" s="1"/>
      <c r="H341" s="1"/>
      <c r="I341" s="1"/>
      <c r="J341" s="1"/>
      <c r="K341" s="9"/>
      <c r="L341" s="1"/>
      <c r="M341" s="319"/>
      <c r="N341" s="319"/>
      <c r="O341" s="319"/>
      <c r="P341" s="319"/>
      <c r="Q341" s="319"/>
      <c r="R341" s="319"/>
      <c r="S341" s="319"/>
      <c r="T341" s="319"/>
      <c r="U341" s="319"/>
      <c r="V341" s="319"/>
      <c r="W341" s="319"/>
      <c r="X341" s="319"/>
      <c r="Y341" s="319"/>
      <c r="Z341" s="319"/>
      <c r="AA341" s="319"/>
      <c r="AB341" s="319"/>
      <c r="AC341" s="319"/>
      <c r="AD341" s="319"/>
      <c r="AE341" s="319"/>
      <c r="AF341" s="319"/>
      <c r="AG341" s="319"/>
      <c r="AH341" s="319"/>
      <c r="AI341" s="319"/>
      <c r="AJ341" s="319"/>
      <c r="AK341" s="319"/>
      <c r="AL341" s="319"/>
      <c r="AM341" s="319"/>
      <c r="AN341" s="319"/>
      <c r="AO341" s="319">
        <v>2040008</v>
      </c>
      <c r="AP341" s="319"/>
      <c r="AQ341" s="319"/>
      <c r="AR341" s="319"/>
      <c r="AS341" s="319"/>
      <c r="AT341" s="319"/>
      <c r="AU341" s="319"/>
      <c r="AV341" s="319"/>
      <c r="AW341" s="319"/>
      <c r="AX341" s="319"/>
      <c r="AY341" s="319"/>
      <c r="AZ341" s="319"/>
      <c r="BA341" s="319"/>
      <c r="BB341" s="319"/>
      <c r="BC341" s="319"/>
      <c r="BD341" s="319"/>
      <c r="BE341" s="319"/>
      <c r="BF341" s="319"/>
      <c r="BG341" s="319"/>
      <c r="BH341" s="319"/>
      <c r="BI341" s="319"/>
      <c r="BJ341" s="319"/>
      <c r="BK341" s="319"/>
      <c r="BL341" s="319"/>
      <c r="BM341" s="319"/>
      <c r="BN341" s="319"/>
      <c r="BO341" s="319"/>
      <c r="BP341" s="319"/>
      <c r="BQ341" s="319"/>
      <c r="BR341" s="319"/>
      <c r="BS341" s="319"/>
      <c r="BT341" s="319"/>
      <c r="BU341" s="319"/>
      <c r="BV341" s="319"/>
      <c r="BW341" s="319"/>
      <c r="BX341" s="319"/>
      <c r="BY341" s="319"/>
      <c r="BZ341" s="319"/>
      <c r="CA341" s="319"/>
      <c r="CB341" s="319"/>
      <c r="CC341" s="319"/>
      <c r="CD341" s="319"/>
      <c r="CE341" s="319"/>
      <c r="CF341" s="319"/>
    </row>
    <row r="342" spans="1:84" ht="12.75" hidden="1" customHeight="1">
      <c r="A342" s="12"/>
      <c r="B342" s="1"/>
      <c r="C342" s="1"/>
      <c r="D342" s="1"/>
      <c r="E342" s="1"/>
      <c r="F342" s="1"/>
      <c r="G342" s="1"/>
      <c r="H342" s="1"/>
      <c r="I342" s="1"/>
      <c r="J342" s="1"/>
      <c r="K342" s="9"/>
      <c r="L342" s="1"/>
      <c r="M342" s="319"/>
      <c r="N342" s="319"/>
      <c r="O342" s="319"/>
      <c r="P342" s="319"/>
      <c r="Q342" s="319"/>
      <c r="R342" s="319"/>
      <c r="S342" s="319"/>
      <c r="T342" s="319"/>
      <c r="U342" s="319"/>
      <c r="V342" s="319"/>
      <c r="W342" s="319"/>
      <c r="X342" s="319"/>
      <c r="Y342" s="319"/>
      <c r="Z342" s="319"/>
      <c r="AA342" s="319"/>
      <c r="AB342" s="319"/>
      <c r="AC342" s="319"/>
      <c r="AD342" s="319"/>
      <c r="AE342" s="319"/>
      <c r="AF342" s="319"/>
      <c r="AG342" s="319"/>
      <c r="AH342" s="319"/>
      <c r="AI342" s="319"/>
      <c r="AJ342" s="319"/>
      <c r="AK342" s="319"/>
      <c r="AL342" s="319"/>
      <c r="AM342" s="319"/>
      <c r="AN342" s="319"/>
      <c r="AO342" s="319">
        <v>2040008</v>
      </c>
      <c r="AP342" s="319"/>
      <c r="AQ342" s="319"/>
      <c r="AR342" s="319"/>
      <c r="AS342" s="319"/>
      <c r="AT342" s="319"/>
      <c r="AU342" s="319"/>
      <c r="AV342" s="319"/>
      <c r="AW342" s="319"/>
      <c r="AX342" s="319"/>
      <c r="AY342" s="319"/>
      <c r="AZ342" s="319"/>
      <c r="BA342" s="319"/>
      <c r="BB342" s="319"/>
      <c r="BC342" s="319"/>
      <c r="BD342" s="319"/>
      <c r="BE342" s="319"/>
      <c r="BF342" s="319"/>
      <c r="BG342" s="319"/>
      <c r="BH342" s="319"/>
      <c r="BI342" s="319"/>
      <c r="BJ342" s="319"/>
      <c r="BK342" s="319"/>
      <c r="BL342" s="319"/>
      <c r="BM342" s="319"/>
      <c r="BN342" s="319"/>
      <c r="BO342" s="319"/>
      <c r="BP342" s="319"/>
      <c r="BQ342" s="319"/>
      <c r="BR342" s="319"/>
      <c r="BS342" s="319"/>
      <c r="BT342" s="319"/>
      <c r="BU342" s="319"/>
      <c r="BV342" s="319"/>
      <c r="BW342" s="319"/>
      <c r="BX342" s="319"/>
      <c r="BY342" s="319"/>
      <c r="BZ342" s="319"/>
      <c r="CA342" s="319"/>
      <c r="CB342" s="319"/>
      <c r="CC342" s="319"/>
      <c r="CD342" s="319"/>
      <c r="CE342" s="319"/>
      <c r="CF342" s="319"/>
    </row>
    <row r="343" spans="1:84" ht="12.75" hidden="1" customHeight="1">
      <c r="A343" s="12"/>
      <c r="B343" s="1"/>
      <c r="C343" s="1"/>
      <c r="D343" s="1"/>
      <c r="E343" s="1"/>
      <c r="F343" s="1"/>
      <c r="G343" s="1"/>
      <c r="H343" s="1"/>
      <c r="I343" s="1"/>
      <c r="J343" s="1"/>
      <c r="K343" s="9"/>
      <c r="L343" s="1"/>
      <c r="M343" s="319"/>
      <c r="N343" s="319"/>
      <c r="O343" s="319"/>
      <c r="P343" s="319"/>
      <c r="Q343" s="319"/>
      <c r="R343" s="319"/>
      <c r="S343" s="319"/>
      <c r="T343" s="319"/>
      <c r="U343" s="319"/>
      <c r="V343" s="319"/>
      <c r="W343" s="319"/>
      <c r="X343" s="319"/>
      <c r="Y343" s="319"/>
      <c r="Z343" s="319"/>
      <c r="AA343" s="319"/>
      <c r="AB343" s="319"/>
      <c r="AC343" s="319"/>
      <c r="AD343" s="319"/>
      <c r="AE343" s="319"/>
      <c r="AF343" s="319"/>
      <c r="AG343" s="319"/>
      <c r="AH343" s="319"/>
      <c r="AI343" s="319"/>
      <c r="AJ343" s="319"/>
      <c r="AK343" s="319"/>
      <c r="AL343" s="319"/>
      <c r="AM343" s="319"/>
      <c r="AN343" s="319"/>
      <c r="AO343" s="319">
        <v>2040008</v>
      </c>
      <c r="AP343" s="319"/>
      <c r="AQ343" s="319"/>
      <c r="AR343" s="319"/>
      <c r="AS343" s="319"/>
      <c r="AT343" s="319"/>
      <c r="AU343" s="319"/>
      <c r="AV343" s="319"/>
      <c r="AW343" s="319"/>
      <c r="AX343" s="319"/>
      <c r="AY343" s="319"/>
      <c r="AZ343" s="319"/>
      <c r="BA343" s="319"/>
      <c r="BB343" s="319"/>
      <c r="BC343" s="319"/>
      <c r="BD343" s="319"/>
      <c r="BE343" s="319"/>
      <c r="BF343" s="319"/>
      <c r="BG343" s="319"/>
      <c r="BH343" s="319"/>
      <c r="BI343" s="319"/>
      <c r="BJ343" s="319"/>
      <c r="BK343" s="319"/>
      <c r="BL343" s="319"/>
      <c r="BM343" s="319"/>
      <c r="BN343" s="319"/>
      <c r="BO343" s="319"/>
      <c r="BP343" s="319"/>
      <c r="BQ343" s="319"/>
      <c r="BR343" s="319"/>
      <c r="BS343" s="319"/>
      <c r="BT343" s="319"/>
      <c r="BU343" s="319"/>
      <c r="BV343" s="319"/>
      <c r="BW343" s="319"/>
      <c r="BX343" s="319"/>
      <c r="BY343" s="319"/>
      <c r="BZ343" s="319"/>
      <c r="CA343" s="319"/>
      <c r="CB343" s="319"/>
      <c r="CC343" s="319"/>
      <c r="CD343" s="319"/>
      <c r="CE343" s="319"/>
      <c r="CF343" s="319"/>
    </row>
    <row r="344" spans="1:84" ht="12.75" hidden="1" customHeight="1">
      <c r="A344" s="12"/>
      <c r="B344" s="1"/>
      <c r="C344" s="1"/>
      <c r="D344" s="1"/>
      <c r="E344" s="1"/>
      <c r="F344" s="1"/>
      <c r="G344" s="1"/>
      <c r="H344" s="1"/>
      <c r="I344" s="1"/>
      <c r="J344" s="1"/>
      <c r="K344" s="9"/>
      <c r="L344" s="1"/>
      <c r="M344" s="319"/>
      <c r="N344" s="319"/>
      <c r="O344" s="319"/>
      <c r="P344" s="319"/>
      <c r="Q344" s="319"/>
      <c r="R344" s="319"/>
      <c r="S344" s="319"/>
      <c r="T344" s="319"/>
      <c r="U344" s="319"/>
      <c r="V344" s="319"/>
      <c r="W344" s="319"/>
      <c r="X344" s="319"/>
      <c r="Y344" s="319"/>
      <c r="Z344" s="319"/>
      <c r="AA344" s="319"/>
      <c r="AB344" s="319"/>
      <c r="AC344" s="319"/>
      <c r="AD344" s="319"/>
      <c r="AE344" s="319"/>
      <c r="AF344" s="319"/>
      <c r="AG344" s="319"/>
      <c r="AH344" s="319"/>
      <c r="AI344" s="319"/>
      <c r="AJ344" s="319"/>
      <c r="AK344" s="319"/>
      <c r="AL344" s="319"/>
      <c r="AM344" s="319"/>
      <c r="AN344" s="319"/>
      <c r="AO344" s="319">
        <v>2040008</v>
      </c>
      <c r="AP344" s="319"/>
      <c r="AQ344" s="319"/>
      <c r="AR344" s="319"/>
      <c r="AS344" s="319"/>
      <c r="AT344" s="319"/>
      <c r="AU344" s="319"/>
      <c r="AV344" s="319"/>
      <c r="AW344" s="319"/>
      <c r="AX344" s="319"/>
      <c r="AY344" s="319"/>
      <c r="AZ344" s="319"/>
      <c r="BA344" s="319"/>
      <c r="BB344" s="319"/>
      <c r="BC344" s="319"/>
      <c r="BD344" s="319"/>
      <c r="BE344" s="319"/>
      <c r="BF344" s="319"/>
      <c r="BG344" s="319"/>
      <c r="BH344" s="319"/>
      <c r="BI344" s="319"/>
      <c r="BJ344" s="319"/>
      <c r="BK344" s="319"/>
      <c r="BL344" s="319"/>
      <c r="BM344" s="319"/>
      <c r="BN344" s="319"/>
      <c r="BO344" s="319"/>
      <c r="BP344" s="319"/>
      <c r="BQ344" s="319"/>
      <c r="BR344" s="319"/>
      <c r="BS344" s="319"/>
      <c r="BT344" s="319"/>
      <c r="BU344" s="319"/>
      <c r="BV344" s="319"/>
      <c r="BW344" s="319"/>
      <c r="BX344" s="319"/>
      <c r="BY344" s="319"/>
      <c r="BZ344" s="319"/>
      <c r="CA344" s="319"/>
      <c r="CB344" s="319"/>
      <c r="CC344" s="319"/>
      <c r="CD344" s="319"/>
      <c r="CE344" s="319"/>
      <c r="CF344" s="319"/>
    </row>
    <row r="345" spans="1:84" ht="12.75" hidden="1" customHeight="1">
      <c r="A345" s="12"/>
      <c r="B345" s="1"/>
      <c r="C345" s="1"/>
      <c r="D345" s="1"/>
      <c r="E345" s="1"/>
      <c r="F345" s="1"/>
      <c r="G345" s="1"/>
      <c r="H345" s="1"/>
      <c r="I345" s="1"/>
      <c r="J345" s="1"/>
      <c r="K345" s="9"/>
      <c r="L345" s="1"/>
      <c r="M345" s="319"/>
      <c r="N345" s="319"/>
      <c r="O345" s="319"/>
      <c r="P345" s="319"/>
      <c r="Q345" s="319"/>
      <c r="R345" s="319"/>
      <c r="S345" s="319"/>
      <c r="T345" s="319"/>
      <c r="U345" s="319"/>
      <c r="V345" s="319"/>
      <c r="W345" s="319"/>
      <c r="X345" s="319"/>
      <c r="Y345" s="319"/>
      <c r="Z345" s="319"/>
      <c r="AA345" s="319"/>
      <c r="AB345" s="319"/>
      <c r="AC345" s="319"/>
      <c r="AD345" s="319"/>
      <c r="AE345" s="319"/>
      <c r="AF345" s="319"/>
      <c r="AG345" s="319"/>
      <c r="AH345" s="319"/>
      <c r="AI345" s="319"/>
      <c r="AJ345" s="319"/>
      <c r="AK345" s="319"/>
      <c r="AL345" s="319"/>
      <c r="AM345" s="319"/>
      <c r="AN345" s="319"/>
      <c r="AO345" s="319">
        <v>2040008</v>
      </c>
      <c r="AP345" s="319"/>
      <c r="AQ345" s="319"/>
      <c r="AR345" s="319"/>
      <c r="AS345" s="319"/>
      <c r="AT345" s="319"/>
      <c r="AU345" s="319"/>
      <c r="AV345" s="319"/>
      <c r="AW345" s="319"/>
      <c r="AX345" s="319"/>
      <c r="AY345" s="319"/>
      <c r="AZ345" s="319"/>
      <c r="BA345" s="319"/>
      <c r="BB345" s="319"/>
      <c r="BC345" s="319"/>
      <c r="BD345" s="319"/>
      <c r="BE345" s="319"/>
      <c r="BF345" s="319"/>
      <c r="BG345" s="319"/>
      <c r="BH345" s="319"/>
      <c r="BI345" s="319"/>
      <c r="BJ345" s="319"/>
      <c r="BK345" s="319"/>
      <c r="BL345" s="319"/>
      <c r="BM345" s="319"/>
      <c r="BN345" s="319"/>
      <c r="BO345" s="319"/>
      <c r="BP345" s="319"/>
      <c r="BQ345" s="319"/>
      <c r="BR345" s="319"/>
      <c r="BS345" s="319"/>
      <c r="BT345" s="319"/>
      <c r="BU345" s="319"/>
      <c r="BV345" s="319"/>
      <c r="BW345" s="319"/>
      <c r="BX345" s="319"/>
      <c r="BY345" s="319"/>
      <c r="BZ345" s="319"/>
      <c r="CA345" s="319"/>
      <c r="CB345" s="319"/>
      <c r="CC345" s="319"/>
      <c r="CD345" s="319"/>
      <c r="CE345" s="319"/>
      <c r="CF345" s="319"/>
    </row>
    <row r="346" spans="1:84" ht="12.75" hidden="1" customHeight="1">
      <c r="A346" s="12"/>
      <c r="B346" s="1"/>
      <c r="C346" s="1"/>
      <c r="D346" s="1"/>
      <c r="E346" s="1"/>
      <c r="F346" s="1"/>
      <c r="G346" s="1"/>
      <c r="H346" s="1"/>
      <c r="I346" s="1"/>
      <c r="J346" s="1"/>
      <c r="K346" s="9"/>
      <c r="L346" s="1"/>
      <c r="M346" s="319"/>
      <c r="N346" s="319"/>
      <c r="O346" s="319"/>
      <c r="P346" s="319"/>
      <c r="Q346" s="319"/>
      <c r="R346" s="319"/>
      <c r="S346" s="319"/>
      <c r="T346" s="319"/>
      <c r="U346" s="319"/>
      <c r="V346" s="319"/>
      <c r="W346" s="319"/>
      <c r="X346" s="319"/>
      <c r="Y346" s="319"/>
      <c r="Z346" s="319"/>
      <c r="AA346" s="319"/>
      <c r="AB346" s="319"/>
      <c r="AC346" s="319"/>
      <c r="AD346" s="319"/>
      <c r="AE346" s="319"/>
      <c r="AF346" s="319"/>
      <c r="AG346" s="319"/>
      <c r="AH346" s="319"/>
      <c r="AI346" s="319"/>
      <c r="AJ346" s="319"/>
      <c r="AK346" s="319"/>
      <c r="AL346" s="319"/>
      <c r="AM346" s="319"/>
      <c r="AN346" s="319"/>
      <c r="AO346" s="319">
        <v>2040008</v>
      </c>
      <c r="AP346" s="319"/>
      <c r="AQ346" s="319"/>
      <c r="AR346" s="319"/>
      <c r="AS346" s="319"/>
      <c r="AT346" s="319"/>
      <c r="AU346" s="319"/>
      <c r="AV346" s="319"/>
      <c r="AW346" s="319"/>
      <c r="AX346" s="319"/>
      <c r="AY346" s="319"/>
      <c r="AZ346" s="319"/>
      <c r="BA346" s="319"/>
      <c r="BB346" s="319"/>
      <c r="BC346" s="319"/>
      <c r="BD346" s="319"/>
      <c r="BE346" s="319"/>
      <c r="BF346" s="319"/>
      <c r="BG346" s="319"/>
      <c r="BH346" s="319"/>
      <c r="BI346" s="319"/>
      <c r="BJ346" s="319"/>
      <c r="BK346" s="319"/>
      <c r="BL346" s="319"/>
      <c r="BM346" s="319"/>
      <c r="BN346" s="319"/>
      <c r="BO346" s="319"/>
      <c r="BP346" s="319"/>
      <c r="BQ346" s="319"/>
      <c r="BR346" s="319"/>
      <c r="BS346" s="319"/>
      <c r="BT346" s="319"/>
      <c r="BU346" s="319"/>
      <c r="BV346" s="319"/>
      <c r="BW346" s="319"/>
      <c r="BX346" s="319"/>
      <c r="BY346" s="319"/>
      <c r="BZ346" s="319"/>
      <c r="CA346" s="319"/>
      <c r="CB346" s="319"/>
      <c r="CC346" s="319"/>
      <c r="CD346" s="319"/>
      <c r="CE346" s="319"/>
      <c r="CF346" s="319"/>
    </row>
    <row r="347" spans="1:84" ht="12.75" hidden="1" customHeight="1">
      <c r="A347" s="12"/>
      <c r="B347" s="1"/>
      <c r="C347" s="1"/>
      <c r="D347" s="1"/>
      <c r="E347" s="1"/>
      <c r="F347" s="1"/>
      <c r="G347" s="1"/>
      <c r="H347" s="1"/>
      <c r="I347" s="1"/>
      <c r="J347" s="1"/>
      <c r="K347" s="9"/>
      <c r="L347" s="1"/>
      <c r="M347" s="319"/>
      <c r="N347" s="319"/>
      <c r="O347" s="319"/>
      <c r="P347" s="319"/>
      <c r="Q347" s="319"/>
      <c r="R347" s="319"/>
      <c r="S347" s="319"/>
      <c r="T347" s="319"/>
      <c r="U347" s="319"/>
      <c r="V347" s="319"/>
      <c r="W347" s="319"/>
      <c r="X347" s="319"/>
      <c r="Y347" s="319"/>
      <c r="Z347" s="319"/>
      <c r="AA347" s="319"/>
      <c r="AB347" s="319"/>
      <c r="AC347" s="319"/>
      <c r="AD347" s="319"/>
      <c r="AE347" s="319"/>
      <c r="AF347" s="319"/>
      <c r="AG347" s="319"/>
      <c r="AH347" s="319"/>
      <c r="AI347" s="319"/>
      <c r="AJ347" s="319"/>
      <c r="AK347" s="319"/>
      <c r="AL347" s="319"/>
      <c r="AM347" s="319"/>
      <c r="AN347" s="319"/>
      <c r="AO347" s="319">
        <v>2040008</v>
      </c>
      <c r="AP347" s="319"/>
      <c r="AQ347" s="319"/>
      <c r="AR347" s="319"/>
      <c r="AS347" s="319"/>
      <c r="AT347" s="319"/>
      <c r="AU347" s="319"/>
      <c r="AV347" s="319"/>
      <c r="AW347" s="319"/>
      <c r="AX347" s="319"/>
      <c r="AY347" s="319"/>
      <c r="AZ347" s="319"/>
      <c r="BA347" s="319"/>
      <c r="BB347" s="319"/>
      <c r="BC347" s="319"/>
      <c r="BD347" s="319"/>
      <c r="BE347" s="319"/>
      <c r="BF347" s="319"/>
      <c r="BG347" s="319"/>
      <c r="BH347" s="319"/>
      <c r="BI347" s="319"/>
      <c r="BJ347" s="319"/>
      <c r="BK347" s="319"/>
      <c r="BL347" s="319"/>
      <c r="BM347" s="319"/>
      <c r="BN347" s="319"/>
      <c r="BO347" s="319"/>
      <c r="BP347" s="319"/>
      <c r="BQ347" s="319"/>
      <c r="BR347" s="319"/>
      <c r="BS347" s="319"/>
      <c r="BT347" s="319"/>
      <c r="BU347" s="319"/>
      <c r="BV347" s="319"/>
      <c r="BW347" s="319"/>
      <c r="BX347" s="319"/>
      <c r="BY347" s="319"/>
      <c r="BZ347" s="319"/>
      <c r="CA347" s="319"/>
      <c r="CB347" s="319"/>
      <c r="CC347" s="319"/>
      <c r="CD347" s="319"/>
      <c r="CE347" s="319"/>
      <c r="CF347" s="319"/>
    </row>
    <row r="348" spans="1:84" ht="12.75" hidden="1" customHeight="1">
      <c r="A348" s="12"/>
      <c r="B348" s="1"/>
      <c r="C348" s="1"/>
      <c r="D348" s="1"/>
      <c r="E348" s="1"/>
      <c r="F348" s="1"/>
      <c r="G348" s="1"/>
      <c r="H348" s="1"/>
      <c r="I348" s="1"/>
      <c r="J348" s="1"/>
      <c r="K348" s="9"/>
      <c r="L348" s="1"/>
      <c r="M348" s="319"/>
      <c r="N348" s="319"/>
      <c r="O348" s="319"/>
      <c r="P348" s="319"/>
      <c r="Q348" s="319"/>
      <c r="R348" s="319"/>
      <c r="S348" s="319"/>
      <c r="T348" s="319"/>
      <c r="U348" s="319"/>
      <c r="V348" s="319"/>
      <c r="W348" s="319"/>
      <c r="X348" s="319"/>
      <c r="Y348" s="319"/>
      <c r="Z348" s="319"/>
      <c r="AA348" s="319"/>
      <c r="AB348" s="319"/>
      <c r="AC348" s="319"/>
      <c r="AD348" s="319"/>
      <c r="AE348" s="319"/>
      <c r="AF348" s="319"/>
      <c r="AG348" s="319"/>
      <c r="AH348" s="319"/>
      <c r="AI348" s="319"/>
      <c r="AJ348" s="319"/>
      <c r="AK348" s="319"/>
      <c r="AL348" s="319"/>
      <c r="AM348" s="319"/>
      <c r="AN348" s="319"/>
      <c r="AO348" s="319">
        <v>2040008</v>
      </c>
      <c r="AP348" s="319"/>
      <c r="AQ348" s="319"/>
      <c r="AR348" s="319"/>
      <c r="AS348" s="319"/>
      <c r="AT348" s="319"/>
      <c r="AU348" s="319"/>
      <c r="AV348" s="319"/>
      <c r="AW348" s="319"/>
      <c r="AX348" s="319"/>
      <c r="AY348" s="319"/>
      <c r="AZ348" s="319"/>
      <c r="BA348" s="319"/>
      <c r="BB348" s="319"/>
      <c r="BC348" s="319"/>
      <c r="BD348" s="319"/>
      <c r="BE348" s="319"/>
      <c r="BF348" s="319"/>
      <c r="BG348" s="319"/>
      <c r="BH348" s="319"/>
      <c r="BI348" s="319"/>
      <c r="BJ348" s="319"/>
      <c r="BK348" s="319"/>
      <c r="BL348" s="319"/>
      <c r="BM348" s="319"/>
      <c r="BN348" s="319"/>
      <c r="BO348" s="319"/>
      <c r="BP348" s="319"/>
      <c r="BQ348" s="319"/>
      <c r="BR348" s="319"/>
      <c r="BS348" s="319"/>
      <c r="BT348" s="319"/>
      <c r="BU348" s="319"/>
      <c r="BV348" s="319"/>
      <c r="BW348" s="319"/>
      <c r="BX348" s="319"/>
      <c r="BY348" s="319"/>
      <c r="BZ348" s="319"/>
      <c r="CA348" s="319"/>
      <c r="CB348" s="319"/>
      <c r="CC348" s="319"/>
      <c r="CD348" s="319"/>
      <c r="CE348" s="319"/>
      <c r="CF348" s="319"/>
    </row>
    <row r="349" spans="1:84" ht="12.75" hidden="1" customHeight="1">
      <c r="A349" s="12"/>
      <c r="B349" s="1"/>
      <c r="C349" s="1"/>
      <c r="D349" s="1"/>
      <c r="E349" s="1"/>
      <c r="F349" s="1"/>
      <c r="G349" s="1"/>
      <c r="H349" s="1"/>
      <c r="I349" s="1"/>
      <c r="J349" s="1"/>
      <c r="K349" s="9"/>
      <c r="L349" s="1"/>
      <c r="M349" s="319"/>
      <c r="N349" s="319"/>
      <c r="O349" s="319"/>
      <c r="P349" s="319"/>
      <c r="Q349" s="319"/>
      <c r="R349" s="319"/>
      <c r="S349" s="319"/>
      <c r="T349" s="319"/>
      <c r="U349" s="319"/>
      <c r="V349" s="319"/>
      <c r="W349" s="319"/>
      <c r="X349" s="319"/>
      <c r="Y349" s="319"/>
      <c r="Z349" s="319"/>
      <c r="AA349" s="319"/>
      <c r="AB349" s="319"/>
      <c r="AC349" s="319"/>
      <c r="AD349" s="319"/>
      <c r="AE349" s="319"/>
      <c r="AF349" s="319"/>
      <c r="AG349" s="319"/>
      <c r="AH349" s="319"/>
      <c r="AI349" s="319"/>
      <c r="AJ349" s="319"/>
      <c r="AK349" s="319"/>
      <c r="AL349" s="319"/>
      <c r="AM349" s="319"/>
      <c r="AN349" s="319"/>
      <c r="AO349" s="319">
        <v>2040008</v>
      </c>
      <c r="AP349" s="319"/>
      <c r="AQ349" s="319"/>
      <c r="AR349" s="319"/>
      <c r="AS349" s="319"/>
      <c r="AT349" s="319"/>
      <c r="AU349" s="319"/>
      <c r="AV349" s="319"/>
      <c r="AW349" s="319"/>
      <c r="AX349" s="319"/>
      <c r="AY349" s="319"/>
      <c r="AZ349" s="319"/>
      <c r="BA349" s="319"/>
      <c r="BB349" s="319"/>
      <c r="BC349" s="319"/>
      <c r="BD349" s="319"/>
      <c r="BE349" s="319"/>
      <c r="BF349" s="319"/>
      <c r="BG349" s="319"/>
      <c r="BH349" s="319"/>
      <c r="BI349" s="319"/>
      <c r="BJ349" s="319"/>
      <c r="BK349" s="319"/>
      <c r="BL349" s="319"/>
      <c r="BM349" s="319"/>
      <c r="BN349" s="319"/>
      <c r="BO349" s="319"/>
      <c r="BP349" s="319"/>
      <c r="BQ349" s="319"/>
      <c r="BR349" s="319"/>
      <c r="BS349" s="319"/>
      <c r="BT349" s="319"/>
      <c r="BU349" s="319"/>
      <c r="BV349" s="319"/>
      <c r="BW349" s="319"/>
      <c r="BX349" s="319"/>
      <c r="BY349" s="319"/>
      <c r="BZ349" s="319"/>
      <c r="CA349" s="319"/>
      <c r="CB349" s="319"/>
      <c r="CC349" s="319"/>
      <c r="CD349" s="319"/>
      <c r="CE349" s="319"/>
      <c r="CF349" s="319"/>
    </row>
    <row r="350" spans="1:84" ht="12.75" hidden="1" customHeight="1">
      <c r="A350" s="12"/>
      <c r="B350" s="1"/>
      <c r="C350" s="1"/>
      <c r="D350" s="1"/>
      <c r="E350" s="1"/>
      <c r="F350" s="1"/>
      <c r="G350" s="1"/>
      <c r="H350" s="1"/>
      <c r="I350" s="1"/>
      <c r="J350" s="1"/>
      <c r="K350" s="9"/>
      <c r="L350" s="1"/>
      <c r="M350" s="319"/>
      <c r="N350" s="319"/>
      <c r="O350" s="319"/>
      <c r="P350" s="319"/>
      <c r="Q350" s="319"/>
      <c r="R350" s="319"/>
      <c r="S350" s="319"/>
      <c r="T350" s="319"/>
      <c r="U350" s="319"/>
      <c r="V350" s="319"/>
      <c r="W350" s="319"/>
      <c r="X350" s="319"/>
      <c r="Y350" s="319"/>
      <c r="Z350" s="319"/>
      <c r="AA350" s="319"/>
      <c r="AB350" s="319"/>
      <c r="AC350" s="319"/>
      <c r="AD350" s="319"/>
      <c r="AE350" s="319"/>
      <c r="AF350" s="319"/>
      <c r="AG350" s="319"/>
      <c r="AH350" s="319"/>
      <c r="AI350" s="319"/>
      <c r="AJ350" s="319"/>
      <c r="AK350" s="319"/>
      <c r="AL350" s="319"/>
      <c r="AM350" s="319"/>
      <c r="AN350" s="319"/>
      <c r="AO350" s="319">
        <v>2040008</v>
      </c>
      <c r="AP350" s="319"/>
      <c r="AQ350" s="319"/>
      <c r="AR350" s="319"/>
      <c r="AS350" s="319"/>
      <c r="AT350" s="319"/>
      <c r="AU350" s="319"/>
      <c r="AV350" s="319"/>
      <c r="AW350" s="319"/>
      <c r="AX350" s="319"/>
      <c r="AY350" s="319"/>
      <c r="AZ350" s="319"/>
      <c r="BA350" s="319"/>
      <c r="BB350" s="319"/>
      <c r="BC350" s="319"/>
      <c r="BD350" s="319"/>
      <c r="BE350" s="319"/>
      <c r="BF350" s="319"/>
      <c r="BG350" s="319"/>
      <c r="BH350" s="319"/>
      <c r="BI350" s="319"/>
      <c r="BJ350" s="319"/>
      <c r="BK350" s="319"/>
      <c r="BL350" s="319"/>
      <c r="BM350" s="319"/>
      <c r="BN350" s="319"/>
      <c r="BO350" s="319"/>
      <c r="BP350" s="319"/>
      <c r="BQ350" s="319"/>
      <c r="BR350" s="319"/>
      <c r="BS350" s="319"/>
      <c r="BT350" s="319"/>
      <c r="BU350" s="319"/>
      <c r="BV350" s="319"/>
      <c r="BW350" s="319"/>
      <c r="BX350" s="319"/>
      <c r="BY350" s="319"/>
      <c r="BZ350" s="319"/>
      <c r="CA350" s="319"/>
      <c r="CB350" s="319"/>
      <c r="CC350" s="319"/>
      <c r="CD350" s="319"/>
      <c r="CE350" s="319"/>
      <c r="CF350" s="319"/>
    </row>
    <row r="351" spans="1:84" ht="12.75" hidden="1" customHeight="1">
      <c r="A351" s="12"/>
      <c r="B351" s="1"/>
      <c r="C351" s="1"/>
      <c r="D351" s="1"/>
      <c r="E351" s="1"/>
      <c r="F351" s="1"/>
      <c r="G351" s="1"/>
      <c r="H351" s="1"/>
      <c r="I351" s="1"/>
      <c r="J351" s="1"/>
      <c r="K351" s="9"/>
      <c r="L351" s="1"/>
      <c r="M351" s="319"/>
      <c r="N351" s="319"/>
      <c r="O351" s="319"/>
      <c r="P351" s="319"/>
      <c r="Q351" s="319"/>
      <c r="R351" s="319"/>
      <c r="S351" s="319"/>
      <c r="T351" s="319"/>
      <c r="U351" s="319"/>
      <c r="V351" s="319"/>
      <c r="W351" s="319"/>
      <c r="X351" s="319"/>
      <c r="Y351" s="319"/>
      <c r="Z351" s="319"/>
      <c r="AA351" s="319"/>
      <c r="AB351" s="319"/>
      <c r="AC351" s="319"/>
      <c r="AD351" s="319"/>
      <c r="AE351" s="319"/>
      <c r="AF351" s="319"/>
      <c r="AG351" s="319"/>
      <c r="AH351" s="319"/>
      <c r="AI351" s="319"/>
      <c r="AJ351" s="319"/>
      <c r="AK351" s="319"/>
      <c r="AL351" s="319"/>
      <c r="AM351" s="319"/>
      <c r="AN351" s="319"/>
      <c r="AO351" s="319">
        <v>2040008</v>
      </c>
      <c r="AP351" s="319"/>
      <c r="AQ351" s="319"/>
      <c r="AR351" s="319"/>
      <c r="AS351" s="319"/>
      <c r="AT351" s="319"/>
      <c r="AU351" s="319"/>
      <c r="AV351" s="319"/>
      <c r="AW351" s="319"/>
      <c r="AX351" s="319"/>
      <c r="AY351" s="319"/>
      <c r="AZ351" s="319"/>
      <c r="BA351" s="319"/>
      <c r="BB351" s="319"/>
      <c r="BC351" s="319"/>
      <c r="BD351" s="319"/>
      <c r="BE351" s="319"/>
      <c r="BF351" s="319"/>
      <c r="BG351" s="319"/>
      <c r="BH351" s="319"/>
      <c r="BI351" s="319"/>
      <c r="BJ351" s="319"/>
      <c r="BK351" s="319"/>
      <c r="BL351" s="319"/>
      <c r="BM351" s="319"/>
      <c r="BN351" s="319"/>
      <c r="BO351" s="319"/>
      <c r="BP351" s="319"/>
      <c r="BQ351" s="319"/>
      <c r="BR351" s="319"/>
      <c r="BS351" s="319"/>
      <c r="BT351" s="319"/>
      <c r="BU351" s="319"/>
      <c r="BV351" s="319"/>
      <c r="BW351" s="319"/>
      <c r="BX351" s="319"/>
      <c r="BY351" s="319"/>
      <c r="BZ351" s="319"/>
      <c r="CA351" s="319"/>
      <c r="CB351" s="319"/>
      <c r="CC351" s="319"/>
      <c r="CD351" s="319"/>
      <c r="CE351" s="319"/>
      <c r="CF351" s="319"/>
    </row>
    <row r="352" spans="1:84" ht="12.75" hidden="1" customHeight="1">
      <c r="A352" s="12"/>
      <c r="B352" s="1"/>
      <c r="C352" s="1"/>
      <c r="D352" s="1"/>
      <c r="E352" s="1"/>
      <c r="F352" s="1"/>
      <c r="G352" s="1"/>
      <c r="H352" s="1"/>
      <c r="I352" s="1"/>
      <c r="J352" s="1"/>
      <c r="K352" s="9"/>
      <c r="L352" s="1"/>
      <c r="M352" s="319"/>
      <c r="N352" s="319"/>
      <c r="O352" s="319"/>
      <c r="P352" s="319"/>
      <c r="Q352" s="319"/>
      <c r="R352" s="319"/>
      <c r="S352" s="319"/>
      <c r="T352" s="319"/>
      <c r="U352" s="319"/>
      <c r="V352" s="319"/>
      <c r="W352" s="319"/>
      <c r="X352" s="319"/>
      <c r="Y352" s="319"/>
      <c r="Z352" s="319"/>
      <c r="AA352" s="319"/>
      <c r="AB352" s="319"/>
      <c r="AC352" s="319"/>
      <c r="AD352" s="319"/>
      <c r="AE352" s="319"/>
      <c r="AF352" s="319"/>
      <c r="AG352" s="319"/>
      <c r="AH352" s="319"/>
      <c r="AI352" s="319"/>
      <c r="AJ352" s="319"/>
      <c r="AK352" s="319"/>
      <c r="AL352" s="319"/>
      <c r="AM352" s="319"/>
      <c r="AN352" s="319"/>
      <c r="AO352" s="319">
        <v>2040008</v>
      </c>
      <c r="AP352" s="319"/>
      <c r="AQ352" s="319"/>
      <c r="AR352" s="319"/>
      <c r="AS352" s="319"/>
      <c r="AT352" s="319"/>
      <c r="AU352" s="319"/>
      <c r="AV352" s="319"/>
      <c r="AW352" s="319"/>
      <c r="AX352" s="319"/>
      <c r="AY352" s="319"/>
      <c r="AZ352" s="319"/>
      <c r="BA352" s="319"/>
      <c r="BB352" s="319"/>
      <c r="BC352" s="319"/>
      <c r="BD352" s="319"/>
      <c r="BE352" s="319"/>
      <c r="BF352" s="319"/>
      <c r="BG352" s="319"/>
      <c r="BH352" s="319"/>
      <c r="BI352" s="319"/>
      <c r="BJ352" s="319"/>
      <c r="BK352" s="319"/>
      <c r="BL352" s="319"/>
      <c r="BM352" s="319"/>
      <c r="BN352" s="319"/>
      <c r="BO352" s="319"/>
      <c r="BP352" s="319"/>
      <c r="BQ352" s="319"/>
      <c r="BR352" s="319"/>
      <c r="BS352" s="319"/>
      <c r="BT352" s="319"/>
      <c r="BU352" s="319"/>
      <c r="BV352" s="319"/>
      <c r="BW352" s="319"/>
      <c r="BX352" s="319"/>
      <c r="BY352" s="319"/>
      <c r="BZ352" s="319"/>
      <c r="CA352" s="319"/>
      <c r="CB352" s="319"/>
      <c r="CC352" s="319"/>
      <c r="CD352" s="319"/>
      <c r="CE352" s="319"/>
      <c r="CF352" s="319"/>
    </row>
    <row r="353" spans="1:84" ht="12.75" hidden="1" customHeight="1">
      <c r="A353" s="12"/>
      <c r="B353" s="1"/>
      <c r="C353" s="1"/>
      <c r="D353" s="1"/>
      <c r="E353" s="1"/>
      <c r="F353" s="1"/>
      <c r="G353" s="1"/>
      <c r="H353" s="1"/>
      <c r="I353" s="1"/>
      <c r="J353" s="1"/>
      <c r="K353" s="9"/>
      <c r="L353" s="1"/>
      <c r="M353" s="319"/>
      <c r="N353" s="319"/>
      <c r="O353" s="319"/>
      <c r="P353" s="319"/>
      <c r="Q353" s="319"/>
      <c r="R353" s="319"/>
      <c r="S353" s="319"/>
      <c r="T353" s="319"/>
      <c r="U353" s="319"/>
      <c r="V353" s="319"/>
      <c r="W353" s="319"/>
      <c r="X353" s="319"/>
      <c r="Y353" s="319"/>
      <c r="Z353" s="319"/>
      <c r="AA353" s="319"/>
      <c r="AB353" s="319"/>
      <c r="AC353" s="319"/>
      <c r="AD353" s="319"/>
      <c r="AE353" s="319"/>
      <c r="AF353" s="319"/>
      <c r="AG353" s="319"/>
      <c r="AH353" s="319"/>
      <c r="AI353" s="319"/>
      <c r="AJ353" s="319"/>
      <c r="AK353" s="319"/>
      <c r="AL353" s="319"/>
      <c r="AM353" s="319"/>
      <c r="AN353" s="319"/>
      <c r="AO353" s="319">
        <v>2040008</v>
      </c>
      <c r="AP353" s="319"/>
      <c r="AQ353" s="319"/>
      <c r="AR353" s="319"/>
      <c r="AS353" s="319"/>
      <c r="AT353" s="319"/>
      <c r="AU353" s="319"/>
      <c r="AV353" s="319"/>
      <c r="AW353" s="319"/>
      <c r="AX353" s="319"/>
      <c r="AY353" s="319"/>
      <c r="AZ353" s="319"/>
      <c r="BA353" s="319"/>
      <c r="BB353" s="319"/>
      <c r="BC353" s="319"/>
      <c r="BD353" s="319"/>
      <c r="BE353" s="319"/>
      <c r="BF353" s="319"/>
      <c r="BG353" s="319"/>
      <c r="BH353" s="319"/>
      <c r="BI353" s="319"/>
      <c r="BJ353" s="319"/>
      <c r="BK353" s="319"/>
      <c r="BL353" s="319"/>
      <c r="BM353" s="319"/>
      <c r="BN353" s="319"/>
      <c r="BO353" s="319"/>
      <c r="BP353" s="319"/>
      <c r="BQ353" s="319"/>
      <c r="BR353" s="319"/>
      <c r="BS353" s="319"/>
      <c r="BT353" s="319"/>
      <c r="BU353" s="319"/>
      <c r="BV353" s="319"/>
      <c r="BW353" s="319"/>
      <c r="BX353" s="319"/>
      <c r="BY353" s="319"/>
      <c r="BZ353" s="319"/>
      <c r="CA353" s="319"/>
      <c r="CB353" s="319"/>
      <c r="CC353" s="319"/>
      <c r="CD353" s="319"/>
      <c r="CE353" s="319"/>
      <c r="CF353" s="319"/>
    </row>
    <row r="354" spans="1:84" ht="12.75" hidden="1" customHeight="1">
      <c r="A354" s="12"/>
      <c r="B354" s="1"/>
      <c r="C354" s="1"/>
      <c r="D354" s="1"/>
      <c r="E354" s="1"/>
      <c r="F354" s="1"/>
      <c r="G354" s="1"/>
      <c r="H354" s="1"/>
      <c r="I354" s="1"/>
      <c r="J354" s="1"/>
      <c r="K354" s="9"/>
      <c r="L354" s="1"/>
      <c r="M354" s="319"/>
      <c r="N354" s="319"/>
      <c r="O354" s="319"/>
      <c r="P354" s="319"/>
      <c r="Q354" s="319"/>
      <c r="R354" s="319"/>
      <c r="S354" s="319"/>
      <c r="T354" s="319"/>
      <c r="U354" s="319"/>
      <c r="V354" s="319"/>
      <c r="W354" s="319"/>
      <c r="X354" s="319"/>
      <c r="Y354" s="319"/>
      <c r="Z354" s="319"/>
      <c r="AA354" s="319"/>
      <c r="AB354" s="319"/>
      <c r="AC354" s="319"/>
      <c r="AD354" s="319"/>
      <c r="AE354" s="319"/>
      <c r="AF354" s="319"/>
      <c r="AG354" s="319"/>
      <c r="AH354" s="319"/>
      <c r="AI354" s="319"/>
      <c r="AJ354" s="319"/>
      <c r="AK354" s="319"/>
      <c r="AL354" s="319"/>
      <c r="AM354" s="319"/>
      <c r="AN354" s="319"/>
      <c r="AO354" s="319">
        <v>2040008</v>
      </c>
      <c r="AP354" s="319"/>
      <c r="AQ354" s="319"/>
      <c r="AR354" s="319"/>
      <c r="AS354" s="319"/>
      <c r="AT354" s="319"/>
      <c r="AU354" s="319"/>
      <c r="AV354" s="319"/>
      <c r="AW354" s="319"/>
      <c r="AX354" s="319"/>
      <c r="AY354" s="319"/>
      <c r="AZ354" s="319"/>
      <c r="BA354" s="319"/>
      <c r="BB354" s="319"/>
      <c r="BC354" s="319"/>
      <c r="BD354" s="319"/>
      <c r="BE354" s="319"/>
      <c r="BF354" s="319"/>
      <c r="BG354" s="319"/>
      <c r="BH354" s="319"/>
      <c r="BI354" s="319"/>
      <c r="BJ354" s="319"/>
      <c r="BK354" s="319"/>
      <c r="BL354" s="319"/>
      <c r="BM354" s="319"/>
      <c r="BN354" s="319"/>
      <c r="BO354" s="319"/>
      <c r="BP354" s="319"/>
      <c r="BQ354" s="319"/>
      <c r="BR354" s="319"/>
      <c r="BS354" s="319"/>
      <c r="BT354" s="319"/>
      <c r="BU354" s="319"/>
      <c r="BV354" s="319"/>
      <c r="BW354" s="319"/>
      <c r="BX354" s="319"/>
      <c r="BY354" s="319"/>
      <c r="BZ354" s="319"/>
      <c r="CA354" s="319"/>
      <c r="CB354" s="319"/>
      <c r="CC354" s="319"/>
      <c r="CD354" s="319"/>
      <c r="CE354" s="319"/>
      <c r="CF354" s="319"/>
    </row>
    <row r="355" spans="1:84" ht="12.75" hidden="1" customHeight="1">
      <c r="A355" s="12"/>
      <c r="B355" s="1"/>
      <c r="C355" s="1"/>
      <c r="D355" s="1"/>
      <c r="E355" s="1"/>
      <c r="F355" s="1"/>
      <c r="G355" s="1"/>
      <c r="H355" s="1"/>
      <c r="I355" s="1"/>
      <c r="J355" s="1"/>
      <c r="K355" s="9"/>
      <c r="L355" s="1"/>
      <c r="M355" s="319"/>
      <c r="N355" s="319"/>
      <c r="O355" s="319"/>
      <c r="P355" s="319"/>
      <c r="Q355" s="319"/>
      <c r="R355" s="319"/>
      <c r="S355" s="319"/>
      <c r="T355" s="319"/>
      <c r="U355" s="319"/>
      <c r="V355" s="319"/>
      <c r="W355" s="319"/>
      <c r="X355" s="319"/>
      <c r="Y355" s="319"/>
      <c r="Z355" s="319"/>
      <c r="AA355" s="319"/>
      <c r="AB355" s="319"/>
      <c r="AC355" s="319"/>
      <c r="AD355" s="319"/>
      <c r="AE355" s="319"/>
      <c r="AF355" s="319"/>
      <c r="AG355" s="319"/>
      <c r="AH355" s="319"/>
      <c r="AI355" s="319"/>
      <c r="AJ355" s="319"/>
      <c r="AK355" s="319"/>
      <c r="AL355" s="319"/>
      <c r="AM355" s="319"/>
      <c r="AN355" s="319"/>
      <c r="AO355" s="319">
        <v>2040008</v>
      </c>
      <c r="AP355" s="319"/>
      <c r="AQ355" s="319"/>
      <c r="AR355" s="319"/>
      <c r="AS355" s="319"/>
      <c r="AT355" s="319"/>
      <c r="AU355" s="319"/>
      <c r="AV355" s="319"/>
      <c r="AW355" s="319"/>
      <c r="AX355" s="319"/>
      <c r="AY355" s="319"/>
      <c r="AZ355" s="319"/>
      <c r="BA355" s="319"/>
      <c r="BB355" s="319"/>
      <c r="BC355" s="319"/>
      <c r="BD355" s="319"/>
      <c r="BE355" s="319"/>
      <c r="BF355" s="319"/>
      <c r="BG355" s="319"/>
      <c r="BH355" s="319"/>
      <c r="BI355" s="319"/>
      <c r="BJ355" s="319"/>
      <c r="BK355" s="319"/>
      <c r="BL355" s="319"/>
      <c r="BM355" s="319"/>
      <c r="BN355" s="319"/>
      <c r="BO355" s="319"/>
      <c r="BP355" s="319"/>
      <c r="BQ355" s="319"/>
      <c r="BR355" s="319"/>
      <c r="BS355" s="319"/>
      <c r="BT355" s="319"/>
      <c r="BU355" s="319"/>
      <c r="BV355" s="319"/>
      <c r="BW355" s="319"/>
      <c r="BX355" s="319"/>
      <c r="BY355" s="319"/>
      <c r="BZ355" s="319"/>
      <c r="CA355" s="319"/>
      <c r="CB355" s="319"/>
      <c r="CC355" s="319"/>
      <c r="CD355" s="319"/>
      <c r="CE355" s="319"/>
      <c r="CF355" s="319"/>
    </row>
    <row r="356" spans="1:84" ht="12.75" hidden="1" customHeight="1">
      <c r="A356" s="12"/>
      <c r="B356" s="1"/>
      <c r="C356" s="1"/>
      <c r="D356" s="1"/>
      <c r="E356" s="1"/>
      <c r="F356" s="1"/>
      <c r="G356" s="1"/>
      <c r="H356" s="1"/>
      <c r="I356" s="1"/>
      <c r="J356" s="1"/>
      <c r="K356" s="9"/>
      <c r="L356" s="1"/>
      <c r="M356" s="319"/>
      <c r="N356" s="319"/>
      <c r="O356" s="319"/>
      <c r="P356" s="319"/>
      <c r="Q356" s="319"/>
      <c r="R356" s="319"/>
      <c r="S356" s="319"/>
      <c r="T356" s="319"/>
      <c r="U356" s="319"/>
      <c r="V356" s="319"/>
      <c r="W356" s="319"/>
      <c r="X356" s="319"/>
      <c r="Y356" s="319"/>
      <c r="Z356" s="319"/>
      <c r="AA356" s="319"/>
      <c r="AB356" s="319"/>
      <c r="AC356" s="319"/>
      <c r="AD356" s="319"/>
      <c r="AE356" s="319"/>
      <c r="AF356" s="319"/>
      <c r="AG356" s="319"/>
      <c r="AH356" s="319"/>
      <c r="AI356" s="319"/>
      <c r="AJ356" s="319"/>
      <c r="AK356" s="319"/>
      <c r="AL356" s="319"/>
      <c r="AM356" s="319"/>
      <c r="AN356" s="319"/>
      <c r="AO356" s="319">
        <v>2040008</v>
      </c>
      <c r="AP356" s="319"/>
      <c r="AQ356" s="319"/>
      <c r="AR356" s="319"/>
      <c r="AS356" s="319"/>
      <c r="AT356" s="319"/>
      <c r="AU356" s="319"/>
      <c r="AV356" s="319"/>
      <c r="AW356" s="319"/>
      <c r="AX356" s="319"/>
      <c r="AY356" s="319"/>
      <c r="AZ356" s="319"/>
      <c r="BA356" s="319"/>
      <c r="BB356" s="319"/>
      <c r="BC356" s="319"/>
      <c r="BD356" s="319"/>
      <c r="BE356" s="319"/>
      <c r="BF356" s="319"/>
      <c r="BG356" s="319"/>
      <c r="BH356" s="319"/>
      <c r="BI356" s="319"/>
      <c r="BJ356" s="319"/>
      <c r="BK356" s="319"/>
      <c r="BL356" s="319"/>
      <c r="BM356" s="319"/>
      <c r="BN356" s="319"/>
      <c r="BO356" s="319"/>
      <c r="BP356" s="319"/>
      <c r="BQ356" s="319"/>
      <c r="BR356" s="319"/>
      <c r="BS356" s="319"/>
      <c r="BT356" s="319"/>
      <c r="BU356" s="319"/>
      <c r="BV356" s="319"/>
      <c r="BW356" s="319"/>
      <c r="BX356" s="319"/>
      <c r="BY356" s="319"/>
      <c r="BZ356" s="319"/>
      <c r="CA356" s="319"/>
      <c r="CB356" s="319"/>
      <c r="CC356" s="319"/>
      <c r="CD356" s="319"/>
      <c r="CE356" s="319"/>
      <c r="CF356" s="319"/>
    </row>
    <row r="357" spans="1:84" ht="12.75" hidden="1" customHeight="1">
      <c r="A357" s="12"/>
      <c r="B357" s="1"/>
      <c r="C357" s="1"/>
      <c r="D357" s="1"/>
      <c r="E357" s="1"/>
      <c r="F357" s="1"/>
      <c r="G357" s="1"/>
      <c r="H357" s="1"/>
      <c r="I357" s="1"/>
      <c r="J357" s="1"/>
      <c r="K357" s="9"/>
      <c r="L357" s="1"/>
      <c r="M357" s="319"/>
      <c r="N357" s="319"/>
      <c r="O357" s="319"/>
      <c r="P357" s="319"/>
      <c r="Q357" s="319"/>
      <c r="R357" s="319"/>
      <c r="S357" s="319"/>
      <c r="T357" s="319"/>
      <c r="U357" s="319"/>
      <c r="V357" s="319"/>
      <c r="W357" s="319"/>
      <c r="X357" s="319"/>
      <c r="Y357" s="319"/>
      <c r="Z357" s="319"/>
      <c r="AA357" s="319"/>
      <c r="AB357" s="319"/>
      <c r="AC357" s="319"/>
      <c r="AD357" s="319"/>
      <c r="AE357" s="319"/>
      <c r="AF357" s="319"/>
      <c r="AG357" s="319"/>
      <c r="AH357" s="319"/>
      <c r="AI357" s="319"/>
      <c r="AJ357" s="319"/>
      <c r="AK357" s="319"/>
      <c r="AL357" s="319"/>
      <c r="AM357" s="319"/>
      <c r="AN357" s="319"/>
      <c r="AO357" s="319">
        <v>2040008</v>
      </c>
      <c r="AP357" s="319"/>
      <c r="AQ357" s="319"/>
      <c r="AR357" s="319"/>
      <c r="AS357" s="319"/>
      <c r="AT357" s="319"/>
      <c r="AU357" s="319"/>
      <c r="AV357" s="319"/>
      <c r="AW357" s="319"/>
      <c r="AX357" s="319"/>
      <c r="AY357" s="319"/>
      <c r="AZ357" s="319"/>
      <c r="BA357" s="319"/>
      <c r="BB357" s="319"/>
      <c r="BC357" s="319"/>
      <c r="BD357" s="319"/>
      <c r="BE357" s="319"/>
      <c r="BF357" s="319"/>
      <c r="BG357" s="319"/>
      <c r="BH357" s="319"/>
      <c r="BI357" s="319"/>
      <c r="BJ357" s="319"/>
      <c r="BK357" s="319"/>
      <c r="BL357" s="319"/>
      <c r="BM357" s="319"/>
      <c r="BN357" s="319"/>
      <c r="BO357" s="319"/>
      <c r="BP357" s="319"/>
      <c r="BQ357" s="319"/>
      <c r="BR357" s="319"/>
      <c r="BS357" s="319"/>
      <c r="BT357" s="319"/>
      <c r="BU357" s="319"/>
      <c r="BV357" s="319"/>
      <c r="BW357" s="319"/>
      <c r="BX357" s="319"/>
      <c r="BY357" s="319"/>
      <c r="BZ357" s="319"/>
      <c r="CA357" s="319"/>
      <c r="CB357" s="319"/>
      <c r="CC357" s="319"/>
      <c r="CD357" s="319"/>
      <c r="CE357" s="319"/>
      <c r="CF357" s="319"/>
    </row>
    <row r="358" spans="1:84" ht="12.75" hidden="1" customHeight="1">
      <c r="A358" s="12"/>
      <c r="B358" s="1"/>
      <c r="C358" s="1"/>
      <c r="D358" s="1"/>
      <c r="E358" s="1"/>
      <c r="F358" s="1"/>
      <c r="G358" s="1"/>
      <c r="H358" s="1"/>
      <c r="I358" s="1"/>
      <c r="J358" s="1"/>
      <c r="K358" s="9"/>
      <c r="L358" s="1"/>
      <c r="M358" s="319"/>
      <c r="N358" s="319"/>
      <c r="O358" s="319"/>
      <c r="P358" s="319"/>
      <c r="Q358" s="319"/>
      <c r="R358" s="319"/>
      <c r="S358" s="319"/>
      <c r="T358" s="319"/>
      <c r="U358" s="319"/>
      <c r="V358" s="319"/>
      <c r="W358" s="319"/>
      <c r="X358" s="319"/>
      <c r="Y358" s="319"/>
      <c r="Z358" s="319"/>
      <c r="AA358" s="319"/>
      <c r="AB358" s="319"/>
      <c r="AC358" s="319"/>
      <c r="AD358" s="319"/>
      <c r="AE358" s="319"/>
      <c r="AF358" s="319"/>
      <c r="AG358" s="319"/>
      <c r="AH358" s="319"/>
      <c r="AI358" s="319"/>
      <c r="AJ358" s="319"/>
      <c r="AK358" s="319"/>
      <c r="AL358" s="319"/>
      <c r="AM358" s="319"/>
      <c r="AN358" s="319"/>
      <c r="AO358" s="319">
        <v>2040008</v>
      </c>
      <c r="AP358" s="319"/>
      <c r="AQ358" s="319"/>
      <c r="AR358" s="319"/>
      <c r="AS358" s="319"/>
      <c r="AT358" s="319"/>
      <c r="AU358" s="319"/>
      <c r="AV358" s="319"/>
      <c r="AW358" s="319"/>
      <c r="AX358" s="319"/>
      <c r="AY358" s="319"/>
      <c r="AZ358" s="319"/>
      <c r="BA358" s="319"/>
      <c r="BB358" s="319"/>
      <c r="BC358" s="319"/>
      <c r="BD358" s="319"/>
      <c r="BE358" s="319"/>
      <c r="BF358" s="319"/>
      <c r="BG358" s="319"/>
      <c r="BH358" s="319"/>
      <c r="BI358" s="319"/>
      <c r="BJ358" s="319"/>
      <c r="BK358" s="319"/>
      <c r="BL358" s="319"/>
      <c r="BM358" s="319"/>
      <c r="BN358" s="319"/>
      <c r="BO358" s="319"/>
      <c r="BP358" s="319"/>
      <c r="BQ358" s="319"/>
      <c r="BR358" s="319"/>
      <c r="BS358" s="319"/>
      <c r="BT358" s="319"/>
      <c r="BU358" s="319"/>
      <c r="BV358" s="319"/>
      <c r="BW358" s="319"/>
      <c r="BX358" s="319"/>
      <c r="BY358" s="319"/>
      <c r="BZ358" s="319"/>
      <c r="CA358" s="319"/>
      <c r="CB358" s="319"/>
      <c r="CC358" s="319"/>
      <c r="CD358" s="319"/>
      <c r="CE358" s="319"/>
      <c r="CF358" s="319"/>
    </row>
    <row r="359" spans="1:84" ht="12.75" hidden="1" customHeight="1">
      <c r="A359" s="12"/>
      <c r="B359" s="1"/>
      <c r="C359" s="1"/>
      <c r="D359" s="1"/>
      <c r="E359" s="1"/>
      <c r="F359" s="1"/>
      <c r="G359" s="1"/>
      <c r="H359" s="1"/>
      <c r="I359" s="1"/>
      <c r="J359" s="1"/>
      <c r="K359" s="9"/>
      <c r="L359" s="1"/>
      <c r="M359" s="319"/>
      <c r="N359" s="319"/>
      <c r="O359" s="319"/>
      <c r="P359" s="319"/>
      <c r="Q359" s="319"/>
      <c r="R359" s="319"/>
      <c r="S359" s="319"/>
      <c r="T359" s="319"/>
      <c r="U359" s="319"/>
      <c r="V359" s="319"/>
      <c r="W359" s="319"/>
      <c r="X359" s="319"/>
      <c r="Y359" s="319"/>
      <c r="Z359" s="319"/>
      <c r="AA359" s="319"/>
      <c r="AB359" s="319"/>
      <c r="AC359" s="319"/>
      <c r="AD359" s="319"/>
      <c r="AE359" s="319"/>
      <c r="AF359" s="319"/>
      <c r="AG359" s="319"/>
      <c r="AH359" s="319"/>
      <c r="AI359" s="319"/>
      <c r="AJ359" s="319"/>
      <c r="AK359" s="319"/>
      <c r="AL359" s="319"/>
      <c r="AM359" s="319"/>
      <c r="AN359" s="319"/>
      <c r="AO359" s="319">
        <v>2040008</v>
      </c>
      <c r="AP359" s="319"/>
      <c r="AQ359" s="319"/>
      <c r="AR359" s="319"/>
      <c r="AS359" s="319"/>
      <c r="AT359" s="319"/>
      <c r="AU359" s="319"/>
      <c r="AV359" s="319"/>
      <c r="AW359" s="319"/>
      <c r="AX359" s="319"/>
      <c r="AY359" s="319"/>
      <c r="AZ359" s="319"/>
      <c r="BA359" s="319"/>
      <c r="BB359" s="319"/>
      <c r="BC359" s="319"/>
      <c r="BD359" s="319"/>
      <c r="BE359" s="319"/>
      <c r="BF359" s="319"/>
      <c r="BG359" s="319"/>
      <c r="BH359" s="319"/>
      <c r="BI359" s="319"/>
      <c r="BJ359" s="319"/>
      <c r="BK359" s="319"/>
      <c r="BL359" s="319"/>
      <c r="BM359" s="319"/>
      <c r="BN359" s="319"/>
      <c r="BO359" s="319"/>
      <c r="BP359" s="319"/>
      <c r="BQ359" s="319"/>
      <c r="BR359" s="319"/>
      <c r="BS359" s="319"/>
      <c r="BT359" s="319"/>
      <c r="BU359" s="319"/>
      <c r="BV359" s="319"/>
      <c r="BW359" s="319"/>
      <c r="BX359" s="319"/>
      <c r="BY359" s="319"/>
      <c r="BZ359" s="319"/>
      <c r="CA359" s="319"/>
      <c r="CB359" s="319"/>
      <c r="CC359" s="319"/>
      <c r="CD359" s="319"/>
      <c r="CE359" s="319"/>
      <c r="CF359" s="319"/>
    </row>
    <row r="360" spans="1:84" ht="12.75" hidden="1" customHeight="1">
      <c r="A360" s="12"/>
      <c r="B360" s="1"/>
      <c r="C360" s="1"/>
      <c r="D360" s="1"/>
      <c r="E360" s="1"/>
      <c r="F360" s="1"/>
      <c r="G360" s="1"/>
      <c r="H360" s="1"/>
      <c r="I360" s="1"/>
      <c r="J360" s="1"/>
      <c r="K360" s="9"/>
      <c r="L360" s="1"/>
      <c r="M360" s="319"/>
      <c r="N360" s="319"/>
      <c r="O360" s="319"/>
      <c r="P360" s="319"/>
      <c r="Q360" s="319"/>
      <c r="R360" s="319"/>
      <c r="S360" s="319"/>
      <c r="T360" s="319"/>
      <c r="U360" s="319"/>
      <c r="V360" s="319"/>
      <c r="W360" s="319"/>
      <c r="X360" s="319"/>
      <c r="Y360" s="319"/>
      <c r="Z360" s="319"/>
      <c r="AA360" s="319"/>
      <c r="AB360" s="319"/>
      <c r="AC360" s="319"/>
      <c r="AD360" s="319"/>
      <c r="AE360" s="319"/>
      <c r="AF360" s="319"/>
      <c r="AG360" s="319"/>
      <c r="AH360" s="319"/>
      <c r="AI360" s="319"/>
      <c r="AJ360" s="319"/>
      <c r="AK360" s="319"/>
      <c r="AL360" s="319"/>
      <c r="AM360" s="319"/>
      <c r="AN360" s="319"/>
      <c r="AO360" s="319">
        <v>2040008</v>
      </c>
      <c r="AP360" s="319"/>
      <c r="AQ360" s="319"/>
      <c r="AR360" s="319"/>
      <c r="AS360" s="319"/>
      <c r="AT360" s="319"/>
      <c r="AU360" s="319"/>
      <c r="AV360" s="319"/>
      <c r="AW360" s="319"/>
      <c r="AX360" s="319"/>
      <c r="AY360" s="319"/>
      <c r="AZ360" s="319"/>
      <c r="BA360" s="319"/>
      <c r="BB360" s="319"/>
      <c r="BC360" s="319"/>
      <c r="BD360" s="319"/>
      <c r="BE360" s="319"/>
      <c r="BF360" s="319"/>
      <c r="BG360" s="319"/>
      <c r="BH360" s="319"/>
      <c r="BI360" s="319"/>
      <c r="BJ360" s="319"/>
      <c r="BK360" s="319"/>
      <c r="BL360" s="319"/>
      <c r="BM360" s="319"/>
      <c r="BN360" s="319"/>
      <c r="BO360" s="319"/>
      <c r="BP360" s="319"/>
      <c r="BQ360" s="319"/>
      <c r="BR360" s="319"/>
      <c r="BS360" s="319"/>
      <c r="BT360" s="319"/>
      <c r="BU360" s="319"/>
      <c r="BV360" s="319"/>
      <c r="BW360" s="319"/>
      <c r="BX360" s="319"/>
      <c r="BY360" s="319"/>
      <c r="BZ360" s="319"/>
      <c r="CA360" s="319"/>
      <c r="CB360" s="319"/>
      <c r="CC360" s="319"/>
      <c r="CD360" s="319"/>
      <c r="CE360" s="319"/>
      <c r="CF360" s="319"/>
    </row>
    <row r="361" spans="1:84" ht="12.75" hidden="1" customHeight="1">
      <c r="A361" s="12"/>
      <c r="B361" s="1"/>
      <c r="C361" s="1"/>
      <c r="D361" s="1"/>
      <c r="E361" s="1"/>
      <c r="F361" s="1"/>
      <c r="G361" s="1"/>
      <c r="H361" s="1"/>
      <c r="I361" s="1"/>
      <c r="J361" s="1"/>
      <c r="K361" s="9"/>
      <c r="L361" s="1"/>
      <c r="M361" s="319"/>
      <c r="N361" s="319"/>
      <c r="O361" s="319"/>
      <c r="P361" s="319"/>
      <c r="Q361" s="319"/>
      <c r="R361" s="319"/>
      <c r="S361" s="319"/>
      <c r="T361" s="319"/>
      <c r="U361" s="319"/>
      <c r="V361" s="319"/>
      <c r="W361" s="319"/>
      <c r="X361" s="319"/>
      <c r="Y361" s="319"/>
      <c r="Z361" s="319"/>
      <c r="AA361" s="319"/>
      <c r="AB361" s="319"/>
      <c r="AC361" s="319"/>
      <c r="AD361" s="319"/>
      <c r="AE361" s="319"/>
      <c r="AF361" s="319"/>
      <c r="AG361" s="319"/>
      <c r="AH361" s="319"/>
      <c r="AI361" s="319"/>
      <c r="AJ361" s="319"/>
      <c r="AK361" s="319"/>
      <c r="AL361" s="319"/>
      <c r="AM361" s="319"/>
      <c r="AN361" s="319"/>
      <c r="AO361" s="319">
        <v>2040008</v>
      </c>
      <c r="AP361" s="319"/>
      <c r="AQ361" s="319"/>
      <c r="AR361" s="319"/>
      <c r="AS361" s="319"/>
      <c r="AT361" s="319"/>
      <c r="AU361" s="319"/>
      <c r="AV361" s="319"/>
      <c r="AW361" s="319"/>
      <c r="AX361" s="319"/>
      <c r="AY361" s="319"/>
      <c r="AZ361" s="319"/>
      <c r="BA361" s="319"/>
      <c r="BB361" s="319"/>
      <c r="BC361" s="319"/>
      <c r="BD361" s="319"/>
      <c r="BE361" s="319"/>
      <c r="BF361" s="319"/>
      <c r="BG361" s="319"/>
      <c r="BH361" s="319"/>
      <c r="BI361" s="319"/>
      <c r="BJ361" s="319"/>
      <c r="BK361" s="319"/>
      <c r="BL361" s="319"/>
      <c r="BM361" s="319"/>
      <c r="BN361" s="319"/>
      <c r="BO361" s="319"/>
      <c r="BP361" s="319"/>
      <c r="BQ361" s="319"/>
      <c r="BR361" s="319"/>
      <c r="BS361" s="319"/>
      <c r="BT361" s="319"/>
      <c r="BU361" s="319"/>
      <c r="BV361" s="319"/>
      <c r="BW361" s="319"/>
      <c r="BX361" s="319"/>
      <c r="BY361" s="319"/>
      <c r="BZ361" s="319"/>
      <c r="CA361" s="319"/>
      <c r="CB361" s="319"/>
      <c r="CC361" s="319"/>
      <c r="CD361" s="319"/>
      <c r="CE361" s="319"/>
      <c r="CF361" s="319"/>
    </row>
    <row r="362" spans="1:84" ht="12.75" hidden="1" customHeight="1">
      <c r="A362" s="12"/>
      <c r="B362" s="1"/>
      <c r="C362" s="1"/>
      <c r="D362" s="1"/>
      <c r="E362" s="1"/>
      <c r="F362" s="1"/>
      <c r="G362" s="1"/>
      <c r="H362" s="1"/>
      <c r="I362" s="1"/>
      <c r="J362" s="1"/>
      <c r="K362" s="9"/>
      <c r="L362" s="1"/>
      <c r="M362" s="319"/>
      <c r="N362" s="319"/>
      <c r="O362" s="319"/>
      <c r="P362" s="319"/>
      <c r="Q362" s="319"/>
      <c r="R362" s="319"/>
      <c r="S362" s="319"/>
      <c r="T362" s="319"/>
      <c r="U362" s="319"/>
      <c r="V362" s="319"/>
      <c r="W362" s="319"/>
      <c r="X362" s="319"/>
      <c r="Y362" s="319"/>
      <c r="Z362" s="319"/>
      <c r="AA362" s="319"/>
      <c r="AB362" s="319"/>
      <c r="AC362" s="319"/>
      <c r="AD362" s="319"/>
      <c r="AE362" s="319"/>
      <c r="AF362" s="319"/>
      <c r="AG362" s="319"/>
      <c r="AH362" s="319"/>
      <c r="AI362" s="319"/>
      <c r="AJ362" s="319"/>
      <c r="AK362" s="319"/>
      <c r="AL362" s="319"/>
      <c r="AM362" s="319"/>
      <c r="AN362" s="319"/>
      <c r="AO362" s="319">
        <v>2040008</v>
      </c>
      <c r="AP362" s="319"/>
      <c r="AQ362" s="319"/>
      <c r="AR362" s="319"/>
      <c r="AS362" s="319"/>
      <c r="AT362" s="319"/>
      <c r="AU362" s="319"/>
      <c r="AV362" s="319"/>
      <c r="AW362" s="319"/>
      <c r="AX362" s="319"/>
      <c r="AY362" s="319"/>
      <c r="AZ362" s="319"/>
      <c r="BA362" s="319"/>
      <c r="BB362" s="319"/>
      <c r="BC362" s="319"/>
      <c r="BD362" s="319"/>
      <c r="BE362" s="319"/>
      <c r="BF362" s="319"/>
      <c r="BG362" s="319"/>
      <c r="BH362" s="319"/>
      <c r="BI362" s="319"/>
      <c r="BJ362" s="319"/>
      <c r="BK362" s="319"/>
      <c r="BL362" s="319"/>
      <c r="BM362" s="319"/>
      <c r="BN362" s="319"/>
      <c r="BO362" s="319"/>
      <c r="BP362" s="319"/>
      <c r="BQ362" s="319"/>
      <c r="BR362" s="319"/>
      <c r="BS362" s="319"/>
      <c r="BT362" s="319"/>
      <c r="BU362" s="319"/>
      <c r="BV362" s="319"/>
      <c r="BW362" s="319"/>
      <c r="BX362" s="319"/>
      <c r="BY362" s="319"/>
      <c r="BZ362" s="319"/>
      <c r="CA362" s="319"/>
      <c r="CB362" s="319"/>
      <c r="CC362" s="319"/>
      <c r="CD362" s="319"/>
      <c r="CE362" s="319"/>
      <c r="CF362" s="319"/>
    </row>
    <row r="363" spans="1:84" ht="12.75" hidden="1" customHeight="1">
      <c r="A363" s="12"/>
      <c r="B363" s="1"/>
      <c r="C363" s="1"/>
      <c r="D363" s="1"/>
      <c r="E363" s="1"/>
      <c r="F363" s="1"/>
      <c r="G363" s="1"/>
      <c r="H363" s="1"/>
      <c r="I363" s="1"/>
      <c r="J363" s="1"/>
      <c r="K363" s="9"/>
      <c r="L363" s="1"/>
      <c r="M363" s="319"/>
      <c r="N363" s="319"/>
      <c r="O363" s="319"/>
      <c r="P363" s="319"/>
      <c r="Q363" s="319"/>
      <c r="R363" s="319"/>
      <c r="S363" s="319"/>
      <c r="T363" s="319"/>
      <c r="U363" s="319"/>
      <c r="V363" s="319"/>
      <c r="W363" s="319"/>
      <c r="X363" s="319"/>
      <c r="Y363" s="319"/>
      <c r="Z363" s="319"/>
      <c r="AA363" s="319"/>
      <c r="AB363" s="319"/>
      <c r="AC363" s="319"/>
      <c r="AD363" s="319"/>
      <c r="AE363" s="319"/>
      <c r="AF363" s="319"/>
      <c r="AG363" s="319"/>
      <c r="AH363" s="319"/>
      <c r="AI363" s="319"/>
      <c r="AJ363" s="319"/>
      <c r="AK363" s="319"/>
      <c r="AL363" s="319"/>
      <c r="AM363" s="319"/>
      <c r="AN363" s="319"/>
      <c r="AO363" s="319">
        <v>2040008</v>
      </c>
      <c r="AP363" s="319"/>
      <c r="AQ363" s="319"/>
      <c r="AR363" s="319"/>
      <c r="AS363" s="319"/>
      <c r="AT363" s="319"/>
      <c r="AU363" s="319"/>
      <c r="AV363" s="319"/>
      <c r="AW363" s="319"/>
      <c r="AX363" s="319"/>
      <c r="AY363" s="319"/>
      <c r="AZ363" s="319"/>
      <c r="BA363" s="319"/>
      <c r="BB363" s="319"/>
      <c r="BC363" s="319"/>
      <c r="BD363" s="319"/>
      <c r="BE363" s="319"/>
      <c r="BF363" s="319"/>
      <c r="BG363" s="319"/>
      <c r="BH363" s="319"/>
      <c r="BI363" s="319"/>
      <c r="BJ363" s="319"/>
      <c r="BK363" s="319"/>
      <c r="BL363" s="319"/>
      <c r="BM363" s="319"/>
      <c r="BN363" s="319"/>
      <c r="BO363" s="319"/>
      <c r="BP363" s="319"/>
      <c r="BQ363" s="319"/>
      <c r="BR363" s="319"/>
      <c r="BS363" s="319"/>
      <c r="BT363" s="319"/>
      <c r="BU363" s="319"/>
      <c r="BV363" s="319"/>
      <c r="BW363" s="319"/>
      <c r="BX363" s="319"/>
      <c r="BY363" s="319"/>
      <c r="BZ363" s="319"/>
      <c r="CA363" s="319"/>
      <c r="CB363" s="319"/>
      <c r="CC363" s="319"/>
      <c r="CD363" s="319"/>
      <c r="CE363" s="319"/>
      <c r="CF363" s="319"/>
    </row>
    <row r="364" spans="1:84" ht="12.75" hidden="1" customHeight="1">
      <c r="A364" s="12"/>
      <c r="B364" s="1"/>
      <c r="C364" s="1"/>
      <c r="D364" s="1"/>
      <c r="E364" s="1"/>
      <c r="F364" s="1"/>
      <c r="G364" s="1"/>
      <c r="H364" s="1"/>
      <c r="I364" s="1"/>
      <c r="J364" s="1"/>
      <c r="K364" s="9"/>
      <c r="L364" s="1"/>
      <c r="M364" s="319"/>
      <c r="N364" s="319"/>
      <c r="O364" s="319"/>
      <c r="P364" s="319"/>
      <c r="Q364" s="319"/>
      <c r="R364" s="319"/>
      <c r="S364" s="319"/>
      <c r="T364" s="319"/>
      <c r="U364" s="319"/>
      <c r="V364" s="319"/>
      <c r="W364" s="319"/>
      <c r="X364" s="319"/>
      <c r="Y364" s="319"/>
      <c r="Z364" s="319"/>
      <c r="AA364" s="319"/>
      <c r="AB364" s="319"/>
      <c r="AC364" s="319"/>
      <c r="AD364" s="319"/>
      <c r="AE364" s="319"/>
      <c r="AF364" s="319"/>
      <c r="AG364" s="319"/>
      <c r="AH364" s="319"/>
      <c r="AI364" s="319"/>
      <c r="AJ364" s="319"/>
      <c r="AK364" s="319"/>
      <c r="AL364" s="319"/>
      <c r="AM364" s="319"/>
      <c r="AN364" s="319"/>
      <c r="AO364" s="319">
        <v>2040008</v>
      </c>
      <c r="AP364" s="319"/>
      <c r="AQ364" s="319"/>
      <c r="AR364" s="319"/>
      <c r="AS364" s="319"/>
      <c r="AT364" s="319"/>
      <c r="AU364" s="319"/>
      <c r="AV364" s="319"/>
      <c r="AW364" s="319"/>
      <c r="AX364" s="319"/>
      <c r="AY364" s="319"/>
      <c r="AZ364" s="319"/>
      <c r="BA364" s="319"/>
      <c r="BB364" s="319"/>
      <c r="BC364" s="319"/>
      <c r="BD364" s="319"/>
      <c r="BE364" s="319"/>
      <c r="BF364" s="319"/>
      <c r="BG364" s="319"/>
      <c r="BH364" s="319"/>
      <c r="BI364" s="319"/>
      <c r="BJ364" s="319"/>
      <c r="BK364" s="319"/>
      <c r="BL364" s="319"/>
      <c r="BM364" s="319"/>
      <c r="BN364" s="319"/>
      <c r="BO364" s="319"/>
      <c r="BP364" s="319"/>
      <c r="BQ364" s="319"/>
      <c r="BR364" s="319"/>
      <c r="BS364" s="319"/>
      <c r="BT364" s="319"/>
      <c r="BU364" s="319"/>
      <c r="BV364" s="319"/>
      <c r="BW364" s="319"/>
      <c r="BX364" s="319"/>
      <c r="BY364" s="319"/>
      <c r="BZ364" s="319"/>
      <c r="CA364" s="319"/>
      <c r="CB364" s="319"/>
      <c r="CC364" s="319"/>
      <c r="CD364" s="319"/>
      <c r="CE364" s="319"/>
      <c r="CF364" s="319"/>
    </row>
    <row r="365" spans="1:84" ht="12.75" hidden="1" customHeight="1">
      <c r="A365" s="12"/>
      <c r="B365" s="1"/>
      <c r="C365" s="1"/>
      <c r="D365" s="1"/>
      <c r="E365" s="1"/>
      <c r="F365" s="1"/>
      <c r="G365" s="1"/>
      <c r="H365" s="1"/>
      <c r="I365" s="1"/>
      <c r="J365" s="1"/>
      <c r="K365" s="9"/>
      <c r="L365" s="1"/>
      <c r="M365" s="319"/>
      <c r="N365" s="319"/>
      <c r="O365" s="319"/>
      <c r="P365" s="319"/>
      <c r="Q365" s="319"/>
      <c r="R365" s="319"/>
      <c r="S365" s="319"/>
      <c r="T365" s="319"/>
      <c r="U365" s="319"/>
      <c r="V365" s="319"/>
      <c r="W365" s="319"/>
      <c r="X365" s="319"/>
      <c r="Y365" s="319"/>
      <c r="Z365" s="319"/>
      <c r="AA365" s="319"/>
      <c r="AB365" s="319"/>
      <c r="AC365" s="319"/>
      <c r="AD365" s="319"/>
      <c r="AE365" s="319"/>
      <c r="AF365" s="319"/>
      <c r="AG365" s="319"/>
      <c r="AH365" s="319"/>
      <c r="AI365" s="319"/>
      <c r="AJ365" s="319"/>
      <c r="AK365" s="319"/>
      <c r="AL365" s="319"/>
      <c r="AM365" s="319"/>
      <c r="AN365" s="319"/>
      <c r="AO365" s="319">
        <v>2040008</v>
      </c>
      <c r="AP365" s="319"/>
      <c r="AQ365" s="319"/>
      <c r="AR365" s="319"/>
      <c r="AS365" s="319"/>
      <c r="AT365" s="319"/>
      <c r="AU365" s="319"/>
      <c r="AV365" s="319"/>
      <c r="AW365" s="319"/>
      <c r="AX365" s="319"/>
      <c r="AY365" s="319"/>
      <c r="AZ365" s="319"/>
      <c r="BA365" s="319"/>
      <c r="BB365" s="319"/>
      <c r="BC365" s="319"/>
      <c r="BD365" s="319"/>
      <c r="BE365" s="319"/>
      <c r="BF365" s="319"/>
      <c r="BG365" s="319"/>
      <c r="BH365" s="319"/>
      <c r="BI365" s="319"/>
      <c r="BJ365" s="319"/>
      <c r="BK365" s="319"/>
      <c r="BL365" s="319"/>
      <c r="BM365" s="319"/>
      <c r="BN365" s="319"/>
      <c r="BO365" s="319"/>
      <c r="BP365" s="319"/>
      <c r="BQ365" s="319"/>
      <c r="BR365" s="319"/>
      <c r="BS365" s="319"/>
      <c r="BT365" s="319"/>
      <c r="BU365" s="319"/>
      <c r="BV365" s="319"/>
      <c r="BW365" s="319"/>
      <c r="BX365" s="319"/>
      <c r="BY365" s="319"/>
      <c r="BZ365" s="319"/>
      <c r="CA365" s="319"/>
      <c r="CB365" s="319"/>
      <c r="CC365" s="319"/>
      <c r="CD365" s="319"/>
      <c r="CE365" s="319"/>
      <c r="CF365" s="319"/>
    </row>
    <row r="366" spans="1:84" ht="13.2" hidden="1">
      <c r="A366" s="12"/>
      <c r="B366" s="28" t="str">
        <f>Language!C140</f>
        <v>Turbina hidráulica</v>
      </c>
      <c r="C366" s="1"/>
      <c r="D366" s="1"/>
      <c r="E366" s="1"/>
      <c r="F366" s="1"/>
      <c r="G366" s="1"/>
      <c r="H366" s="1"/>
      <c r="I366" s="1"/>
      <c r="J366" s="1"/>
      <c r="K366" s="9"/>
      <c r="L366" s="1"/>
      <c r="M366" s="319"/>
      <c r="N366" s="319"/>
      <c r="O366" s="319">
        <f>IF(Offgrid=5,'Modelo Energético '!P403,IF(C367="",1,VLOOKUP(C367,AC1078:AD1079,2,FALSE)))</f>
        <v>1</v>
      </c>
      <c r="P366" s="319"/>
      <c r="Q366" s="319"/>
      <c r="R366" s="319"/>
      <c r="S366" s="319"/>
      <c r="T366" s="319"/>
      <c r="U366" s="319"/>
      <c r="V366" s="319"/>
      <c r="W366" s="319"/>
      <c r="X366" s="319"/>
      <c r="Y366" s="319"/>
      <c r="Z366" s="319"/>
      <c r="AA366" s="319"/>
      <c r="AB366" s="319"/>
      <c r="AC366" s="319"/>
      <c r="AD366" s="319"/>
      <c r="AE366" s="319"/>
      <c r="AF366" s="319"/>
      <c r="AG366" s="319"/>
      <c r="AH366" s="319"/>
      <c r="AI366" s="319"/>
      <c r="AJ366" s="319"/>
      <c r="AK366" s="319"/>
      <c r="AL366" s="319"/>
      <c r="AM366" s="319"/>
      <c r="AN366" s="319"/>
      <c r="AO366" s="319">
        <v>2113000</v>
      </c>
      <c r="AP366" s="319"/>
      <c r="AQ366" s="319"/>
      <c r="AR366" s="319"/>
      <c r="AS366" s="319"/>
      <c r="AT366" s="319"/>
      <c r="AU366" s="319"/>
      <c r="AV366" s="319"/>
      <c r="AW366" s="319"/>
      <c r="AX366" s="319"/>
      <c r="AY366" s="319"/>
      <c r="AZ366" s="319"/>
      <c r="BA366" s="319"/>
      <c r="BB366" s="319"/>
      <c r="BC366" s="319"/>
      <c r="BD366" s="319"/>
      <c r="BE366" s="319"/>
      <c r="BF366" s="319"/>
      <c r="BG366" s="319"/>
      <c r="BH366" s="319"/>
      <c r="BI366" s="319"/>
      <c r="BJ366" s="319"/>
      <c r="BK366" s="319"/>
      <c r="BL366" s="319"/>
      <c r="BM366" s="319"/>
      <c r="BN366" s="319"/>
      <c r="BO366" s="319"/>
      <c r="BP366" s="319"/>
      <c r="BQ366" s="319"/>
      <c r="BR366" s="319"/>
      <c r="BS366" s="319"/>
      <c r="BT366" s="319"/>
      <c r="BU366" s="319"/>
      <c r="BV366" s="319"/>
      <c r="BW366" s="319"/>
      <c r="BX366" s="319"/>
      <c r="BY366" s="319"/>
      <c r="BZ366" s="319"/>
      <c r="CA366" s="319"/>
      <c r="CB366" s="319"/>
      <c r="CC366" s="319"/>
      <c r="CD366" s="319"/>
      <c r="CE366" s="319"/>
      <c r="CF366" s="319"/>
    </row>
    <row r="367" spans="1:84" ht="13.2" hidden="1">
      <c r="A367" s="12"/>
      <c r="B367" s="329" t="str">
        <f>Language!C1592</f>
        <v>Fluxo de projeto</v>
      </c>
      <c r="C367" s="29" t="str">
        <f>C327</f>
        <v>m³/s</v>
      </c>
      <c r="D367" s="399"/>
      <c r="E367" s="1"/>
      <c r="F367" s="29" t="str">
        <f>F325</f>
        <v/>
      </c>
      <c r="G367" s="97" t="str">
        <f>IF($M$3=FALSE,"",IF($O$319=1,$AD$1079,1/$AD$1079)*D367)</f>
        <v/>
      </c>
      <c r="H367" s="1346"/>
      <c r="I367" s="1"/>
      <c r="J367" s="1"/>
      <c r="K367" s="9"/>
      <c r="L367" s="1"/>
      <c r="M367" s="319"/>
      <c r="N367" s="319"/>
      <c r="O367" s="476">
        <f>IF(Offgrid=5,'Modelo Energético '!D413,D367)/O366</f>
        <v>0</v>
      </c>
      <c r="P367" s="319" t="str">
        <f>IF(Offgrid=5,'Modelo Energético '!D414,D368)</f>
        <v>Kaplan</v>
      </c>
      <c r="Q367" s="319"/>
      <c r="R367" s="319"/>
      <c r="S367" s="319"/>
      <c r="T367" s="319"/>
      <c r="U367" s="319"/>
      <c r="V367" s="319"/>
      <c r="W367" s="319"/>
      <c r="X367" s="319"/>
      <c r="Y367" s="319"/>
      <c r="Z367" s="319"/>
      <c r="AA367" s="319"/>
      <c r="AB367" s="319"/>
      <c r="AC367" s="319"/>
      <c r="AD367" s="319"/>
      <c r="AE367" s="319"/>
      <c r="AF367" s="319"/>
      <c r="AG367" s="319"/>
      <c r="AH367" s="319"/>
      <c r="AI367" s="319"/>
      <c r="AJ367" s="319"/>
      <c r="AK367" s="319"/>
      <c r="AL367" s="319"/>
      <c r="AM367" s="319"/>
      <c r="AN367" s="319"/>
      <c r="AO367" s="319">
        <v>2113002</v>
      </c>
      <c r="AP367" s="319"/>
      <c r="AQ367" s="319"/>
      <c r="AR367" s="319"/>
      <c r="AS367" s="319"/>
      <c r="AT367" s="319"/>
      <c r="AU367" s="319"/>
      <c r="AV367" s="319"/>
      <c r="AW367" s="319"/>
      <c r="AX367" s="319"/>
      <c r="AY367" s="319"/>
      <c r="AZ367" s="319"/>
      <c r="BA367" s="319"/>
      <c r="BB367" s="319"/>
      <c r="BC367" s="319"/>
      <c r="BD367" s="319"/>
      <c r="BE367" s="319"/>
      <c r="BF367" s="319"/>
      <c r="BG367" s="319"/>
      <c r="BH367" s="319"/>
      <c r="BI367" s="319"/>
      <c r="BJ367" s="319"/>
      <c r="BK367" s="319"/>
      <c r="BL367" s="319"/>
      <c r="BM367" s="319"/>
      <c r="BN367" s="319"/>
      <c r="BO367" s="319"/>
      <c r="BP367" s="319"/>
      <c r="BQ367" s="319"/>
      <c r="BR367" s="319"/>
      <c r="BS367" s="319"/>
      <c r="BT367" s="319"/>
      <c r="BU367" s="319"/>
      <c r="BV367" s="319"/>
      <c r="BW367" s="319"/>
      <c r="BX367" s="319"/>
      <c r="BY367" s="319"/>
      <c r="BZ367" s="319"/>
      <c r="CA367" s="319"/>
      <c r="CB367" s="319"/>
      <c r="CC367" s="319"/>
      <c r="CD367" s="319"/>
      <c r="CE367" s="319"/>
      <c r="CF367" s="319"/>
    </row>
    <row r="368" spans="1:84" ht="13.2" hidden="1">
      <c r="A368" s="12"/>
      <c r="B368" s="329" t="str">
        <f>Type</f>
        <v>Tipo</v>
      </c>
      <c r="C368" s="29"/>
      <c r="D368" s="413" t="s">
        <v>5654</v>
      </c>
      <c r="E368" s="1"/>
      <c r="F368" s="1"/>
      <c r="G368" s="1"/>
      <c r="H368" s="1"/>
      <c r="I368" s="1209" t="str">
        <f>Language!C61</f>
        <v>Ver banco de dados de produtos</v>
      </c>
      <c r="J368" s="1191"/>
      <c r="K368" s="1210"/>
      <c r="L368" s="1"/>
      <c r="M368" s="319">
        <f>IF(Offgrid=5,IF(ISERROR(MATCH('Modelo Energético '!D414,S316:S322,0)),1,MATCH('Modelo Energético '!D414,S316:S322,0)),IF(ISERROR(MATCH(P367,S316:S322,0)),1,MATCH(P367,S316:S322,0)))</f>
        <v>1</v>
      </c>
      <c r="N368" s="319"/>
      <c r="O368" s="319"/>
      <c r="P368" s="319" t="s">
        <v>2726</v>
      </c>
      <c r="Q368" s="319"/>
      <c r="R368" s="319"/>
      <c r="S368" s="319"/>
      <c r="T368" s="319"/>
      <c r="U368" s="319">
        <v>0.03</v>
      </c>
      <c r="V368" s="319" t="s">
        <v>4751</v>
      </c>
      <c r="W368" s="319"/>
      <c r="X368" s="319"/>
      <c r="Y368" s="319"/>
      <c r="Z368" s="319"/>
      <c r="AA368" s="319"/>
      <c r="AB368" s="319"/>
      <c r="AC368" s="319"/>
      <c r="AD368" s="319"/>
      <c r="AE368" s="319"/>
      <c r="AF368" s="319"/>
      <c r="AG368" s="319"/>
      <c r="AH368" s="319"/>
      <c r="AI368" s="319"/>
      <c r="AJ368" s="319"/>
      <c r="AK368" s="319"/>
      <c r="AL368" s="319"/>
      <c r="AM368" s="319"/>
      <c r="AN368" s="319"/>
      <c r="AO368" s="319">
        <v>2113004</v>
      </c>
      <c r="AP368" s="319"/>
      <c r="AQ368" s="319"/>
      <c r="AR368" s="319"/>
      <c r="AS368" s="319"/>
      <c r="AT368" s="319"/>
      <c r="AU368" s="319"/>
      <c r="AV368" s="319"/>
      <c r="AW368" s="319"/>
      <c r="AX368" s="319"/>
      <c r="AY368" s="319"/>
      <c r="AZ368" s="319"/>
      <c r="BA368" s="319"/>
      <c r="BB368" s="319"/>
      <c r="BC368" s="319"/>
      <c r="BD368" s="319"/>
      <c r="BE368" s="319"/>
      <c r="BF368" s="319"/>
      <c r="BG368" s="319"/>
      <c r="BH368" s="319"/>
      <c r="BI368" s="319"/>
      <c r="BJ368" s="319"/>
      <c r="BK368" s="319"/>
      <c r="BL368" s="319"/>
      <c r="BM368" s="319"/>
      <c r="BN368" s="319"/>
      <c r="BO368" s="319"/>
      <c r="BP368" s="319"/>
      <c r="BQ368" s="319"/>
      <c r="BR368" s="319"/>
      <c r="BS368" s="319"/>
      <c r="BT368" s="319"/>
      <c r="BU368" s="319"/>
      <c r="BV368" s="319"/>
      <c r="BW368" s="319"/>
      <c r="BX368" s="319"/>
      <c r="BY368" s="319"/>
      <c r="BZ368" s="319"/>
      <c r="CA368" s="319"/>
      <c r="CB368" s="319"/>
      <c r="CC368" s="319"/>
      <c r="CD368" s="319"/>
      <c r="CE368" s="319"/>
      <c r="CF368" s="319"/>
    </row>
    <row r="369" spans="1:84" ht="13.2" hidden="1">
      <c r="A369" s="12"/>
      <c r="B369" s="329" t="str">
        <f>Language!C2045</f>
        <v>Eficiência da turbina</v>
      </c>
      <c r="C369" s="29"/>
      <c r="D369" s="303" t="s">
        <v>6129</v>
      </c>
      <c r="E369" s="1"/>
      <c r="F369" s="1"/>
      <c r="G369" s="1"/>
      <c r="H369" s="1"/>
      <c r="I369" s="1"/>
      <c r="J369" s="1"/>
      <c r="K369" s="9"/>
      <c r="L369" s="1"/>
      <c r="M369" s="319">
        <f>IF(Offgrid=5,IF('Modelo Energético '!D415=R318,IF(TurbType=7,0,300),0),IF(D369=R318,IF(TurbType=7,0,300),0))</f>
        <v>300</v>
      </c>
      <c r="N369" s="319"/>
      <c r="O369" s="319"/>
      <c r="P369" s="319" t="s">
        <v>3614</v>
      </c>
      <c r="Q369" s="319" t="str">
        <f>S316</f>
        <v>Kaplan</v>
      </c>
      <c r="R369" s="319" t="str">
        <f>S317</f>
        <v>Francis</v>
      </c>
      <c r="S369" s="319" t="str">
        <f>S318</f>
        <v>Hélice</v>
      </c>
      <c r="T369" s="319" t="str">
        <f>S319</f>
        <v>Pelton</v>
      </c>
      <c r="U369" s="319" t="str">
        <f>S320</f>
        <v>Turgo</v>
      </c>
      <c r="V369" s="319" t="str">
        <f>S321</f>
        <v>Fluxo transversal</v>
      </c>
      <c r="W369" s="319" t="str">
        <f>S322</f>
        <v>Outro</v>
      </c>
      <c r="X369" s="319"/>
      <c r="Y369" s="319"/>
      <c r="Z369" s="319"/>
      <c r="AA369" s="319"/>
      <c r="AB369" s="319"/>
      <c r="AC369" s="319"/>
      <c r="AD369" s="319"/>
      <c r="AE369" s="319"/>
      <c r="AF369" s="319"/>
      <c r="AG369" s="319"/>
      <c r="AH369" s="319"/>
      <c r="AI369" s="319"/>
      <c r="AJ369" s="319"/>
      <c r="AK369" s="319"/>
      <c r="AL369" s="319"/>
      <c r="AM369" s="319"/>
      <c r="AN369" s="319"/>
      <c r="AO369" s="319">
        <v>2113006</v>
      </c>
      <c r="AP369" s="319"/>
      <c r="AQ369" s="319"/>
      <c r="AR369" s="319"/>
      <c r="AS369" s="319"/>
      <c r="AT369" s="319"/>
      <c r="AU369" s="319"/>
      <c r="AV369" s="319"/>
      <c r="AW369" s="319"/>
      <c r="AX369" s="319"/>
      <c r="AY369" s="319"/>
      <c r="AZ369" s="319"/>
      <c r="BA369" s="319"/>
      <c r="BB369" s="319"/>
      <c r="BC369" s="319"/>
      <c r="BD369" s="319"/>
      <c r="BE369" s="319"/>
      <c r="BF369" s="319"/>
      <c r="BG369" s="319"/>
      <c r="BH369" s="319"/>
      <c r="BI369" s="319"/>
      <c r="BJ369" s="319"/>
      <c r="BK369" s="319"/>
      <c r="BL369" s="319"/>
      <c r="BM369" s="319"/>
      <c r="BN369" s="319"/>
      <c r="BO369" s="319"/>
      <c r="BP369" s="319"/>
      <c r="BQ369" s="319"/>
      <c r="BR369" s="319"/>
      <c r="BS369" s="319"/>
      <c r="BT369" s="319"/>
      <c r="BU369" s="319"/>
      <c r="BV369" s="319"/>
      <c r="BW369" s="319"/>
      <c r="BX369" s="319"/>
      <c r="BY369" s="319"/>
      <c r="BZ369" s="319"/>
      <c r="CA369" s="319"/>
      <c r="CB369" s="319"/>
      <c r="CC369" s="319"/>
      <c r="CD369" s="319"/>
      <c r="CE369" s="319"/>
      <c r="CF369" s="319"/>
    </row>
    <row r="370" spans="1:84" ht="13.2" hidden="1">
      <c r="A370" s="12"/>
      <c r="B370" s="1" t="str">
        <f>Language!C1841</f>
        <v>Número de jatos para turbina de impulso</v>
      </c>
      <c r="C370" s="29" t="str">
        <f>Language!C1765</f>
        <v>jato</v>
      </c>
      <c r="D370" s="303"/>
      <c r="E370" s="1"/>
      <c r="F370" s="1"/>
      <c r="G370" s="1"/>
      <c r="H370" s="1"/>
      <c r="I370" s="1"/>
      <c r="J370" s="1"/>
      <c r="K370" s="9"/>
      <c r="L370" s="1"/>
      <c r="M370" s="319"/>
      <c r="N370" s="319"/>
      <c r="O370" s="319">
        <f>IF(Offgrid=5,'Modelo Energético '!D416,D370)</f>
        <v>0</v>
      </c>
      <c r="P370" s="319" t="s">
        <v>854</v>
      </c>
      <c r="Q370" s="319" t="e">
        <f>((T325-170)/700)^2</f>
        <v>#DIV/0!</v>
      </c>
      <c r="R370" s="319" t="e">
        <f>((T325-56)/256)^2</f>
        <v>#DIV/0!</v>
      </c>
      <c r="S370" s="319" t="e">
        <f>Q370</f>
        <v>#DIV/0!</v>
      </c>
      <c r="T370" s="319"/>
      <c r="U370" s="319"/>
      <c r="V370" s="319"/>
      <c r="W370" s="319"/>
      <c r="X370" s="319"/>
      <c r="Y370" s="319"/>
      <c r="Z370" s="319"/>
      <c r="AA370" s="319"/>
      <c r="AB370" s="319"/>
      <c r="AC370" s="319"/>
      <c r="AD370" s="319"/>
      <c r="AE370" s="319"/>
      <c r="AF370" s="319"/>
      <c r="AG370" s="319"/>
      <c r="AH370" s="319"/>
      <c r="AI370" s="319"/>
      <c r="AJ370" s="319"/>
      <c r="AK370" s="319"/>
      <c r="AL370" s="319"/>
      <c r="AM370" s="319"/>
      <c r="AN370" s="319"/>
      <c r="AO370" s="319">
        <v>2113008</v>
      </c>
      <c r="AP370" s="319"/>
      <c r="AQ370" s="319"/>
      <c r="AR370" s="319"/>
      <c r="AS370" s="319"/>
      <c r="AT370" s="319"/>
      <c r="AU370" s="319"/>
      <c r="AV370" s="319"/>
      <c r="AW370" s="319"/>
      <c r="AX370" s="319"/>
      <c r="AY370" s="319"/>
      <c r="AZ370" s="319"/>
      <c r="BA370" s="319"/>
      <c r="BB370" s="319"/>
      <c r="BC370" s="319"/>
      <c r="BD370" s="319"/>
      <c r="BE370" s="319"/>
      <c r="BF370" s="319"/>
      <c r="BG370" s="319"/>
      <c r="BH370" s="319"/>
      <c r="BI370" s="319"/>
      <c r="BJ370" s="319"/>
      <c r="BK370" s="319"/>
      <c r="BL370" s="319"/>
      <c r="BM370" s="319"/>
      <c r="BN370" s="319"/>
      <c r="BO370" s="319"/>
      <c r="BP370" s="319"/>
      <c r="BQ370" s="319"/>
      <c r="BR370" s="319"/>
      <c r="BS370" s="319"/>
      <c r="BT370" s="319"/>
      <c r="BU370" s="319"/>
      <c r="BV370" s="319"/>
      <c r="BW370" s="319"/>
      <c r="BX370" s="319"/>
      <c r="BY370" s="319"/>
      <c r="BZ370" s="319"/>
      <c r="CA370" s="319"/>
      <c r="CB370" s="319"/>
      <c r="CC370" s="319"/>
      <c r="CD370" s="319"/>
      <c r="CE370" s="319"/>
      <c r="CF370" s="319"/>
    </row>
    <row r="371" spans="1:84" ht="13.2" hidden="1">
      <c r="A371" s="12"/>
      <c r="B371" s="329" t="str">
        <f>Language!C1843</f>
        <v>Número de turbinas</v>
      </c>
      <c r="C371" s="29"/>
      <c r="D371" s="303"/>
      <c r="E371" s="1"/>
      <c r="F371" s="1"/>
      <c r="G371" s="1"/>
      <c r="H371" s="1"/>
      <c r="I371" s="1"/>
      <c r="J371" s="1"/>
      <c r="K371" s="9"/>
      <c r="L371" s="1"/>
      <c r="M371" s="319"/>
      <c r="N371" s="319"/>
      <c r="O371" s="319">
        <f>IF(Offgrid=5,'Modelo Energético '!D417,D371)</f>
        <v>0</v>
      </c>
      <c r="P371" s="319" t="s">
        <v>3188</v>
      </c>
      <c r="Q371" s="319" t="e">
        <f>(0.095+Q370)*(1-0.789*T324^-0.2)</f>
        <v>#DIV/0!</v>
      </c>
      <c r="R371" s="319" t="e">
        <f>(0.081+R370)*(1-0.789*T324^-0.2)</f>
        <v>#DIV/0!</v>
      </c>
      <c r="S371" s="319" t="e">
        <f>Q371</f>
        <v>#DIV/0!</v>
      </c>
      <c r="T371" s="319"/>
      <c r="U371" s="319"/>
      <c r="V371" s="319"/>
      <c r="W371" s="319"/>
      <c r="X371" s="319"/>
      <c r="Y371" s="319"/>
      <c r="Z371" s="319"/>
      <c r="AA371" s="319"/>
      <c r="AB371" s="319"/>
      <c r="AC371" s="319"/>
      <c r="AD371" s="319"/>
      <c r="AE371" s="319"/>
      <c r="AF371" s="319"/>
      <c r="AG371" s="319"/>
      <c r="AH371" s="319"/>
      <c r="AI371" s="319"/>
      <c r="AJ371" s="319"/>
      <c r="AK371" s="319"/>
      <c r="AL371" s="319"/>
      <c r="AM371" s="319"/>
      <c r="AN371" s="319"/>
      <c r="AO371" s="319">
        <v>2113010</v>
      </c>
      <c r="AP371" s="319"/>
      <c r="AQ371" s="319"/>
      <c r="AR371" s="319"/>
      <c r="AS371" s="319"/>
      <c r="AT371" s="319"/>
      <c r="AU371" s="319"/>
      <c r="AV371" s="319"/>
      <c r="AW371" s="319"/>
      <c r="AX371" s="319"/>
      <c r="AY371" s="319"/>
      <c r="AZ371" s="319"/>
      <c r="BA371" s="319"/>
      <c r="BB371" s="319"/>
      <c r="BC371" s="319"/>
      <c r="BD371" s="319"/>
      <c r="BE371" s="319"/>
      <c r="BF371" s="319"/>
      <c r="BG371" s="319"/>
      <c r="BH371" s="319"/>
      <c r="BI371" s="319"/>
      <c r="BJ371" s="319"/>
      <c r="BK371" s="319"/>
      <c r="BL371" s="319"/>
      <c r="BM371" s="319"/>
      <c r="BN371" s="319"/>
      <c r="BO371" s="319"/>
      <c r="BP371" s="319"/>
      <c r="BQ371" s="319"/>
      <c r="BR371" s="319"/>
      <c r="BS371" s="319"/>
      <c r="BT371" s="319"/>
      <c r="BU371" s="319"/>
      <c r="BV371" s="319"/>
      <c r="BW371" s="319"/>
      <c r="BX371" s="319"/>
      <c r="BY371" s="319"/>
      <c r="BZ371" s="319"/>
      <c r="CA371" s="319"/>
      <c r="CB371" s="319"/>
      <c r="CC371" s="319"/>
      <c r="CD371" s="319"/>
      <c r="CE371" s="319"/>
      <c r="CF371" s="319"/>
    </row>
    <row r="372" spans="1:84" ht="13.2" hidden="1">
      <c r="A372" s="12"/>
      <c r="B372" s="329" t="str">
        <f>$B$12</f>
        <v>Fabricante</v>
      </c>
      <c r="C372" s="1152"/>
      <c r="D372" s="1153"/>
      <c r="E372" s="1154"/>
      <c r="F372" s="1"/>
      <c r="G372" s="1"/>
      <c r="H372" s="1"/>
      <c r="I372" s="1"/>
      <c r="J372" s="1"/>
      <c r="K372" s="9"/>
      <c r="L372" s="1"/>
      <c r="M372" s="319"/>
      <c r="N372" s="319"/>
      <c r="O372" s="319"/>
      <c r="P372" s="319" t="s">
        <v>5382</v>
      </c>
      <c r="Q372" s="319" t="e">
        <f>(0.905-Q370+Q371)-0.0305+0.005*O374</f>
        <v>#DIV/0!</v>
      </c>
      <c r="R372" s="319" t="e">
        <f>(0.919-R370+R371)-0.0305+0.005*O374</f>
        <v>#DIV/0!</v>
      </c>
      <c r="S372" s="319" t="e">
        <f>Q372</f>
        <v>#DIV/0!</v>
      </c>
      <c r="T372" s="319">
        <f>(0.864*T324^0.04)</f>
        <v>0</v>
      </c>
      <c r="U372" s="319">
        <f>(0.864*T324^0.04)-U368</f>
        <v>-0.03</v>
      </c>
      <c r="V372" s="319"/>
      <c r="W372" s="319"/>
      <c r="X372" s="319"/>
      <c r="Y372" s="319"/>
      <c r="Z372" s="319"/>
      <c r="AA372" s="319"/>
      <c r="AB372" s="319"/>
      <c r="AC372" s="319"/>
      <c r="AD372" s="319"/>
      <c r="AE372" s="319"/>
      <c r="AF372" s="319"/>
      <c r="AG372" s="319"/>
      <c r="AH372" s="319"/>
      <c r="AI372" s="319"/>
      <c r="AJ372" s="319"/>
      <c r="AK372" s="319"/>
      <c r="AL372" s="319"/>
      <c r="AM372" s="319"/>
      <c r="AN372" s="319"/>
      <c r="AO372" s="319">
        <v>2050012</v>
      </c>
      <c r="AP372" s="319"/>
      <c r="AQ372" s="319"/>
      <c r="AR372" s="319"/>
      <c r="AS372" s="319"/>
      <c r="AT372" s="319"/>
      <c r="AU372" s="319"/>
      <c r="AV372" s="319"/>
      <c r="AW372" s="319"/>
      <c r="AX372" s="319"/>
      <c r="AY372" s="319"/>
      <c r="AZ372" s="319"/>
      <c r="BA372" s="319"/>
      <c r="BB372" s="319"/>
      <c r="BC372" s="319"/>
      <c r="BD372" s="319"/>
      <c r="BE372" s="319"/>
      <c r="BF372" s="319"/>
      <c r="BG372" s="319"/>
      <c r="BH372" s="319"/>
      <c r="BI372" s="319"/>
      <c r="BJ372" s="319"/>
      <c r="BK372" s="319"/>
      <c r="BL372" s="319"/>
      <c r="BM372" s="319"/>
      <c r="BN372" s="319"/>
      <c r="BO372" s="319"/>
      <c r="BP372" s="319"/>
      <c r="BQ372" s="319"/>
      <c r="BR372" s="319"/>
      <c r="BS372" s="319"/>
      <c r="BT372" s="319"/>
      <c r="BU372" s="319"/>
      <c r="BV372" s="319"/>
      <c r="BW372" s="319"/>
      <c r="BX372" s="319"/>
      <c r="BY372" s="319"/>
      <c r="BZ372" s="319"/>
      <c r="CA372" s="319"/>
      <c r="CB372" s="319"/>
      <c r="CC372" s="319"/>
      <c r="CD372" s="319"/>
      <c r="CE372" s="319"/>
      <c r="CF372" s="319"/>
    </row>
    <row r="373" spans="1:84" ht="13.2" hidden="1">
      <c r="A373" s="12"/>
      <c r="B373" s="329" t="str">
        <f>$B$13</f>
        <v>Modelo</v>
      </c>
      <c r="C373" s="1152"/>
      <c r="D373" s="1153"/>
      <c r="E373" s="1154"/>
      <c r="F373" s="1"/>
      <c r="G373" s="1"/>
      <c r="H373" s="1"/>
      <c r="I373" s="1"/>
      <c r="J373" s="1"/>
      <c r="K373" s="9"/>
      <c r="L373" s="1"/>
      <c r="M373" s="319"/>
      <c r="N373" s="319"/>
      <c r="O373" s="319"/>
      <c r="P373" s="319" t="s">
        <v>3589</v>
      </c>
      <c r="Q373" s="319">
        <f>0.75*T319</f>
        <v>0</v>
      </c>
      <c r="R373" s="319" t="e">
        <f>0.65*T325^0.05*T319</f>
        <v>#DIV/0!</v>
      </c>
      <c r="S373" s="319">
        <f>T319</f>
        <v>0</v>
      </c>
      <c r="T373" s="319">
        <f>(0.662+0.001*O370)*T319</f>
        <v>0</v>
      </c>
      <c r="U373" s="319">
        <f>(0.662+0.001*O370)*T319</f>
        <v>0</v>
      </c>
      <c r="V373" s="319"/>
      <c r="W373" s="319"/>
      <c r="X373" s="319"/>
      <c r="Y373" s="319"/>
      <c r="Z373" s="319"/>
      <c r="AA373" s="319"/>
      <c r="AB373" s="319"/>
      <c r="AC373" s="319"/>
      <c r="AD373" s="319"/>
      <c r="AE373" s="319"/>
      <c r="AF373" s="319"/>
      <c r="AG373" s="319"/>
      <c r="AH373" s="319"/>
      <c r="AI373" s="319"/>
      <c r="AJ373" s="319"/>
      <c r="AK373" s="319"/>
      <c r="AL373" s="319"/>
      <c r="AM373" s="319"/>
      <c r="AN373" s="319"/>
      <c r="AO373" s="319">
        <v>2050014</v>
      </c>
      <c r="AP373" s="319"/>
      <c r="AQ373" s="319"/>
      <c r="AR373" s="319"/>
      <c r="AS373" s="319"/>
      <c r="AT373" s="319"/>
      <c r="AU373" s="319"/>
      <c r="AV373" s="319"/>
      <c r="AW373" s="319"/>
      <c r="AX373" s="319"/>
      <c r="AY373" s="319"/>
      <c r="AZ373" s="319"/>
      <c r="BA373" s="319"/>
      <c r="BB373" s="319"/>
      <c r="BC373" s="319"/>
      <c r="BD373" s="319"/>
      <c r="BE373" s="319"/>
      <c r="BF373" s="319"/>
      <c r="BG373" s="319"/>
      <c r="BH373" s="319"/>
      <c r="BI373" s="319"/>
      <c r="BJ373" s="319"/>
      <c r="BK373" s="319"/>
      <c r="BL373" s="319"/>
      <c r="BM373" s="319"/>
      <c r="BN373" s="319"/>
      <c r="BO373" s="319"/>
      <c r="BP373" s="319"/>
      <c r="BQ373" s="319"/>
      <c r="BR373" s="319"/>
      <c r="BS373" s="319"/>
      <c r="BT373" s="319"/>
      <c r="BU373" s="319"/>
      <c r="BV373" s="319"/>
      <c r="BW373" s="319"/>
      <c r="BX373" s="319"/>
      <c r="BY373" s="319"/>
      <c r="BZ373" s="319"/>
      <c r="CA373" s="319"/>
      <c r="CB373" s="319"/>
      <c r="CC373" s="319"/>
      <c r="CD373" s="319"/>
      <c r="CE373" s="319"/>
      <c r="CF373" s="319"/>
    </row>
    <row r="374" spans="1:84" ht="12.75" hidden="1" customHeight="1">
      <c r="A374" s="12"/>
      <c r="B374" s="329" t="str">
        <f>Language!C1590</f>
        <v>Coeficiente de Projeto</v>
      </c>
      <c r="C374" s="29"/>
      <c r="D374" s="303"/>
      <c r="E374" s="1"/>
      <c r="F374" s="1"/>
      <c r="G374" s="1"/>
      <c r="H374" s="1"/>
      <c r="I374" s="1"/>
      <c r="J374" s="1"/>
      <c r="K374" s="9"/>
      <c r="L374" s="1"/>
      <c r="M374" s="319"/>
      <c r="N374" s="319"/>
      <c r="O374" s="319">
        <f>IF(Offgrid=5,'Modelo Energético '!D420,D374)</f>
        <v>0</v>
      </c>
      <c r="P374" s="319" t="s">
        <v>1847</v>
      </c>
      <c r="Q374" s="319"/>
      <c r="R374" s="319" t="e">
        <f>0.0072*T325^0.4</f>
        <v>#DIV/0!</v>
      </c>
      <c r="S374" s="319"/>
      <c r="T374" s="319"/>
      <c r="U374" s="319"/>
      <c r="V374" s="319"/>
      <c r="W374" s="319"/>
      <c r="X374" s="319"/>
      <c r="Y374" s="319"/>
      <c r="Z374" s="319"/>
      <c r="AA374" s="319"/>
      <c r="AB374" s="319"/>
      <c r="AC374" s="319"/>
      <c r="AD374" s="319"/>
      <c r="AE374" s="319"/>
      <c r="AF374" s="319"/>
      <c r="AG374" s="319"/>
      <c r="AH374" s="319"/>
      <c r="AI374" s="319"/>
      <c r="AJ374" s="319"/>
      <c r="AK374" s="319"/>
      <c r="AL374" s="319"/>
      <c r="AM374" s="319"/>
      <c r="AN374" s="319"/>
      <c r="AO374" s="319">
        <v>2113016</v>
      </c>
      <c r="AP374" s="319"/>
      <c r="AQ374" s="319"/>
      <c r="AR374" s="319"/>
      <c r="AS374" s="319"/>
      <c r="AT374" s="319"/>
      <c r="AU374" s="319"/>
      <c r="AV374" s="319"/>
      <c r="AW374" s="319"/>
      <c r="AX374" s="319"/>
      <c r="AY374" s="319"/>
      <c r="AZ374" s="319"/>
      <c r="BA374" s="319"/>
      <c r="BB374" s="319"/>
      <c r="BC374" s="319"/>
      <c r="BD374" s="319"/>
      <c r="BE374" s="319"/>
      <c r="BF374" s="319"/>
      <c r="BG374" s="319"/>
      <c r="BH374" s="319"/>
      <c r="BI374" s="319"/>
      <c r="BJ374" s="319"/>
      <c r="BK374" s="319"/>
      <c r="BL374" s="319"/>
      <c r="BM374" s="319"/>
      <c r="BN374" s="319"/>
      <c r="BO374" s="319"/>
      <c r="BP374" s="319"/>
      <c r="BQ374" s="319"/>
      <c r="BR374" s="319"/>
      <c r="BS374" s="319"/>
      <c r="BT374" s="319"/>
      <c r="BU374" s="319"/>
      <c r="BV374" s="319"/>
      <c r="BW374" s="319"/>
      <c r="BX374" s="319"/>
      <c r="BY374" s="319"/>
      <c r="BZ374" s="319"/>
      <c r="CA374" s="319"/>
      <c r="CB374" s="319"/>
      <c r="CC374" s="319"/>
      <c r="CD374" s="319"/>
      <c r="CE374" s="319"/>
      <c r="CF374" s="319"/>
    </row>
    <row r="375" spans="1:84" ht="13.2" hidden="1">
      <c r="A375" s="12"/>
      <c r="B375" s="329" t="str">
        <f>Language!C1619</f>
        <v>Ajuste da eficiência</v>
      </c>
      <c r="C375" s="29" t="str">
        <f>$T$35</f>
        <v>%</v>
      </c>
      <c r="D375" s="422"/>
      <c r="E375" s="1"/>
      <c r="F375" s="1"/>
      <c r="G375" s="1"/>
      <c r="H375" s="1"/>
      <c r="I375" s="1"/>
      <c r="J375" s="1"/>
      <c r="K375" s="9"/>
      <c r="L375" s="1"/>
      <c r="M375" s="319"/>
      <c r="N375" s="319"/>
      <c r="O375" s="742">
        <f>IF(Offgrid=5,'Modelo Energético '!D421,D375)</f>
        <v>0</v>
      </c>
      <c r="P375" s="319" t="s">
        <v>5907</v>
      </c>
      <c r="Q375" s="319"/>
      <c r="R375" s="319" t="e">
        <f>(1-R374)*R372</f>
        <v>#DIV/0!</v>
      </c>
      <c r="S375" s="319"/>
      <c r="T375" s="319"/>
      <c r="U375" s="319"/>
      <c r="V375" s="319"/>
      <c r="W375" s="319"/>
      <c r="X375" s="319"/>
      <c r="Y375" s="319"/>
      <c r="Z375" s="319"/>
      <c r="AA375" s="319"/>
      <c r="AB375" s="319"/>
      <c r="AC375" s="319"/>
      <c r="AD375" s="319"/>
      <c r="AE375" s="319"/>
      <c r="AF375" s="319"/>
      <c r="AG375" s="319"/>
      <c r="AH375" s="319"/>
      <c r="AI375" s="319"/>
      <c r="AJ375" s="319"/>
      <c r="AK375" s="319"/>
      <c r="AL375" s="319"/>
      <c r="AM375" s="319"/>
      <c r="AN375" s="319"/>
      <c r="AO375" s="319">
        <v>2113018</v>
      </c>
      <c r="AP375" s="319"/>
      <c r="AQ375" s="319"/>
      <c r="AR375" s="319"/>
      <c r="AS375" s="319"/>
      <c r="AT375" s="319"/>
      <c r="AU375" s="319"/>
      <c r="AV375" s="319"/>
      <c r="AW375" s="319"/>
      <c r="AX375" s="319"/>
      <c r="AY375" s="319"/>
      <c r="AZ375" s="319"/>
      <c r="BA375" s="319"/>
      <c r="BB375" s="319"/>
      <c r="BC375" s="319"/>
      <c r="BD375" s="319"/>
      <c r="BE375" s="319"/>
      <c r="BF375" s="319"/>
      <c r="BG375" s="319"/>
      <c r="BH375" s="319"/>
      <c r="BI375" s="319"/>
      <c r="BJ375" s="319"/>
      <c r="BK375" s="319"/>
      <c r="BL375" s="319"/>
      <c r="BM375" s="319"/>
      <c r="BN375" s="319"/>
      <c r="BO375" s="319"/>
      <c r="BP375" s="319"/>
      <c r="BQ375" s="319"/>
      <c r="BR375" s="319"/>
      <c r="BS375" s="319"/>
      <c r="BT375" s="319"/>
      <c r="BU375" s="319"/>
      <c r="BV375" s="319"/>
      <c r="BW375" s="319"/>
      <c r="BX375" s="319"/>
      <c r="BY375" s="319"/>
      <c r="BZ375" s="319"/>
      <c r="CA375" s="319"/>
      <c r="CB375" s="319"/>
      <c r="CC375" s="319"/>
      <c r="CD375" s="319"/>
      <c r="CE375" s="319"/>
      <c r="CF375" s="319"/>
    </row>
    <row r="376" spans="1:84" ht="13.2" hidden="1">
      <c r="A376" s="12"/>
      <c r="B376" s="329" t="str">
        <f>Language!C2048</f>
        <v>Eficiência de ponta da turbina</v>
      </c>
      <c r="C376" s="29" t="str">
        <f>$T$35</f>
        <v>%</v>
      </c>
      <c r="D376" s="80" t="e">
        <f>HLOOKUP($P$367,$P$369:$V$402,4,FALSE)+O375</f>
        <v>#DIV/0!</v>
      </c>
      <c r="E376" s="1"/>
      <c r="F376" s="1"/>
      <c r="G376" s="1"/>
      <c r="H376" s="1"/>
      <c r="I376" s="1"/>
      <c r="J376" s="1"/>
      <c r="K376" s="9"/>
      <c r="L376" s="1"/>
      <c r="M376" s="319"/>
      <c r="N376" s="319"/>
      <c r="O376" s="319"/>
      <c r="P376" s="319"/>
      <c r="Q376" s="319"/>
      <c r="R376" s="319"/>
      <c r="S376" s="319"/>
      <c r="T376" s="319"/>
      <c r="U376" s="319"/>
      <c r="V376" s="319"/>
      <c r="W376" s="319"/>
      <c r="X376" s="319"/>
      <c r="Y376" s="319"/>
      <c r="Z376" s="319"/>
      <c r="AA376" s="319"/>
      <c r="AB376" s="319"/>
      <c r="AC376" s="319"/>
      <c r="AD376" s="319"/>
      <c r="AE376" s="319"/>
      <c r="AF376" s="319"/>
      <c r="AG376" s="319"/>
      <c r="AH376" s="319"/>
      <c r="AI376" s="319"/>
      <c r="AJ376" s="319"/>
      <c r="AK376" s="319"/>
      <c r="AL376" s="319"/>
      <c r="AM376" s="319"/>
      <c r="AN376" s="319"/>
      <c r="AO376" s="319">
        <v>2113020</v>
      </c>
      <c r="AP376" s="319"/>
      <c r="AQ376" s="319"/>
      <c r="AR376" s="319"/>
      <c r="AS376" s="319"/>
      <c r="AT376" s="319"/>
      <c r="AU376" s="319"/>
      <c r="AV376" s="319"/>
      <c r="AW376" s="319"/>
      <c r="AX376" s="319"/>
      <c r="AY376" s="319"/>
      <c r="AZ376" s="319"/>
      <c r="BA376" s="319"/>
      <c r="BB376" s="319"/>
      <c r="BC376" s="319"/>
      <c r="BD376" s="319"/>
      <c r="BE376" s="319"/>
      <c r="BF376" s="319"/>
      <c r="BG376" s="319"/>
      <c r="BH376" s="319"/>
      <c r="BI376" s="319"/>
      <c r="BJ376" s="319"/>
      <c r="BK376" s="319"/>
      <c r="BL376" s="319"/>
      <c r="BM376" s="319"/>
      <c r="BN376" s="319"/>
      <c r="BO376" s="319"/>
      <c r="BP376" s="319"/>
      <c r="BQ376" s="319"/>
      <c r="BR376" s="319"/>
      <c r="BS376" s="319"/>
      <c r="BT376" s="319"/>
      <c r="BU376" s="319"/>
      <c r="BV376" s="319"/>
      <c r="BW376" s="319"/>
      <c r="BX376" s="319"/>
      <c r="BY376" s="319"/>
      <c r="BZ376" s="319"/>
      <c r="CA376" s="319"/>
      <c r="CB376" s="319"/>
      <c r="CC376" s="319"/>
      <c r="CD376" s="319"/>
      <c r="CE376" s="319"/>
      <c r="CF376" s="319"/>
    </row>
    <row r="377" spans="1:84" ht="13.2" hidden="1">
      <c r="A377" s="12"/>
      <c r="B377" s="329" t="str">
        <f>Language!C1666</f>
        <v>Fluxo no pico de eficiência</v>
      </c>
      <c r="C377" s="29" t="str">
        <f>C367</f>
        <v>m³/s</v>
      </c>
      <c r="D377" s="36">
        <f>HLOOKUP($P$367,$P$369:$V$402,5,FALSE)*O366</f>
        <v>0</v>
      </c>
      <c r="E377" s="1"/>
      <c r="F377" s="29" t="str">
        <f>F325</f>
        <v/>
      </c>
      <c r="G377" s="140" t="str">
        <f>IF($M$3=FALSE,"",IF($O$319=1,$AD$1079,1/$AD$1079)*D377)</f>
        <v/>
      </c>
      <c r="H377" s="1"/>
      <c r="I377" s="1"/>
      <c r="J377" s="1"/>
      <c r="K377" s="9"/>
      <c r="L377" s="1"/>
      <c r="M377" s="319"/>
      <c r="N377" s="319"/>
      <c r="O377" s="319"/>
      <c r="P377" s="319"/>
      <c r="Q377" s="319"/>
      <c r="R377" s="319"/>
      <c r="S377" s="319"/>
      <c r="T377" s="319"/>
      <c r="U377" s="319"/>
      <c r="V377" s="319"/>
      <c r="W377" s="319"/>
      <c r="X377" s="319"/>
      <c r="Y377" s="319"/>
      <c r="Z377" s="319"/>
      <c r="AA377" s="319"/>
      <c r="AB377" s="319"/>
      <c r="AC377" s="319"/>
      <c r="AD377" s="319"/>
      <c r="AE377" s="319"/>
      <c r="AF377" s="319"/>
      <c r="AG377" s="319"/>
      <c r="AH377" s="319"/>
      <c r="AI377" s="319"/>
      <c r="AJ377" s="319"/>
      <c r="AK377" s="319"/>
      <c r="AL377" s="319"/>
      <c r="AM377" s="319"/>
      <c r="AN377" s="319"/>
      <c r="AO377" s="319">
        <v>2113022</v>
      </c>
      <c r="AP377" s="319"/>
      <c r="AQ377" s="319"/>
      <c r="AR377" s="319"/>
      <c r="AS377" s="319"/>
      <c r="AT377" s="319"/>
      <c r="AU377" s="319"/>
      <c r="AV377" s="319"/>
      <c r="AW377" s="319"/>
      <c r="AX377" s="319"/>
      <c r="AY377" s="319"/>
      <c r="AZ377" s="319"/>
      <c r="BA377" s="319"/>
      <c r="BB377" s="319"/>
      <c r="BC377" s="319"/>
      <c r="BD377" s="319"/>
      <c r="BE377" s="319"/>
      <c r="BF377" s="319"/>
      <c r="BG377" s="319"/>
      <c r="BH377" s="319"/>
      <c r="BI377" s="319"/>
      <c r="BJ377" s="319"/>
      <c r="BK377" s="319"/>
      <c r="BL377" s="319"/>
      <c r="BM377" s="319"/>
      <c r="BN377" s="319"/>
      <c r="BO377" s="319"/>
      <c r="BP377" s="319"/>
      <c r="BQ377" s="319"/>
      <c r="BR377" s="319"/>
      <c r="BS377" s="319"/>
      <c r="BT377" s="319"/>
      <c r="BU377" s="319"/>
      <c r="BV377" s="319"/>
      <c r="BW377" s="319"/>
      <c r="BX377" s="319"/>
      <c r="BY377" s="319"/>
      <c r="BZ377" s="319"/>
      <c r="CA377" s="319"/>
      <c r="CB377" s="319"/>
      <c r="CC377" s="319"/>
      <c r="CD377" s="319"/>
      <c r="CE377" s="319"/>
      <c r="CF377" s="319"/>
    </row>
    <row r="378" spans="1:84" ht="13.2" hidden="1">
      <c r="A378" s="12"/>
      <c r="B378" s="329" t="str">
        <f>Language!C2046</f>
        <v>Eficiência da turbina à vazão nominal</v>
      </c>
      <c r="C378" s="29" t="str">
        <f>$T$35</f>
        <v>%</v>
      </c>
      <c r="D378" s="80">
        <f>IF(ISERROR(HLOOKUP($P$367,$P$381:$V$402,22,FALSE)),0,HLOOKUP($P$367,$P$381:$V$402,22,FALSE))+O375</f>
        <v>0</v>
      </c>
      <c r="E378" s="1"/>
      <c r="F378" s="1"/>
      <c r="G378" s="1"/>
      <c r="H378" s="1"/>
      <c r="I378" s="1"/>
      <c r="J378" s="1"/>
      <c r="K378" s="784" t="str">
        <f>$K$268</f>
        <v>Mostrar figura</v>
      </c>
      <c r="L378" s="1"/>
      <c r="M378" s="319"/>
      <c r="N378" s="319"/>
      <c r="O378" s="319"/>
      <c r="P378" s="319"/>
      <c r="Q378" s="319"/>
      <c r="R378" s="319"/>
      <c r="S378" s="319"/>
      <c r="T378" s="319"/>
      <c r="U378" s="319"/>
      <c r="V378" s="319"/>
      <c r="W378" s="319"/>
      <c r="X378" s="319"/>
      <c r="Y378" s="319"/>
      <c r="Z378" s="319"/>
      <c r="AA378" s="319"/>
      <c r="AB378" s="319"/>
      <c r="AC378" s="319"/>
      <c r="AD378" s="319"/>
      <c r="AE378" s="319"/>
      <c r="AF378" s="319"/>
      <c r="AG378" s="319"/>
      <c r="AH378" s="319"/>
      <c r="AI378" s="319"/>
      <c r="AJ378" s="319"/>
      <c r="AK378" s="319"/>
      <c r="AL378" s="319"/>
      <c r="AM378" s="319"/>
      <c r="AN378" s="319"/>
      <c r="AO378" s="319">
        <v>2113024</v>
      </c>
      <c r="AP378" s="319"/>
      <c r="AQ378" s="319"/>
      <c r="AR378" s="319"/>
      <c r="AS378" s="319"/>
      <c r="AT378" s="319"/>
      <c r="AU378" s="319"/>
      <c r="AV378" s="319"/>
      <c r="AW378" s="319"/>
      <c r="AX378" s="319"/>
      <c r="AY378" s="319"/>
      <c r="AZ378" s="319"/>
      <c r="BA378" s="319"/>
      <c r="BB378" s="319"/>
      <c r="BC378" s="319"/>
      <c r="BD378" s="319"/>
      <c r="BE378" s="319"/>
      <c r="BF378" s="319"/>
      <c r="BG378" s="319"/>
      <c r="BH378" s="319"/>
      <c r="BI378" s="319"/>
      <c r="BJ378" s="319"/>
      <c r="BK378" s="319"/>
      <c r="BL378" s="319"/>
      <c r="BM378" s="319"/>
      <c r="BN378" s="319"/>
      <c r="BO378" s="319"/>
      <c r="BP378" s="319"/>
      <c r="BQ378" s="319"/>
      <c r="BR378" s="319"/>
      <c r="BS378" s="319"/>
      <c r="BT378" s="319"/>
      <c r="BU378" s="319"/>
      <c r="BV378" s="319"/>
      <c r="BW378" s="319"/>
      <c r="BX378" s="319"/>
      <c r="BY378" s="319"/>
      <c r="BZ378" s="319"/>
      <c r="CA378" s="319"/>
      <c r="CB378" s="319"/>
      <c r="CC378" s="319"/>
      <c r="CD378" s="319"/>
      <c r="CE378" s="319"/>
      <c r="CF378" s="319"/>
    </row>
    <row r="379" spans="1:84" ht="13.2" hidden="1">
      <c r="A379" s="12"/>
      <c r="B379" s="1"/>
      <c r="C379" s="1216"/>
      <c r="D379" s="1216"/>
      <c r="E379" s="1216"/>
      <c r="F379" s="1216"/>
      <c r="G379" s="1216"/>
      <c r="H379" s="1"/>
      <c r="I379" s="1"/>
      <c r="J379" s="1"/>
      <c r="K379" s="9"/>
      <c r="L379" s="1"/>
      <c r="M379" s="319"/>
      <c r="N379" s="319"/>
      <c r="O379" s="319">
        <f>IF(D381="",1,VLOOKUP(D381,AC1078:AD1079,2,FALSE))</f>
        <v>1</v>
      </c>
      <c r="P379" s="319"/>
      <c r="Q379" s="319"/>
      <c r="R379" s="319"/>
      <c r="S379" s="319"/>
      <c r="T379" s="319"/>
      <c r="U379" s="319"/>
      <c r="V379" s="319"/>
      <c r="W379" s="319"/>
      <c r="X379" s="319"/>
      <c r="Y379" s="319"/>
      <c r="Z379" s="319"/>
      <c r="AA379" s="319"/>
      <c r="AB379" s="319"/>
      <c r="AC379" s="319"/>
      <c r="AD379" s="319"/>
      <c r="AE379" s="319"/>
      <c r="AF379" s="319"/>
      <c r="AG379" s="319"/>
      <c r="AH379" s="319"/>
      <c r="AI379" s="319"/>
      <c r="AJ379" s="319"/>
      <c r="AK379" s="319"/>
      <c r="AL379" s="319"/>
      <c r="AM379" s="319"/>
      <c r="AN379" s="319"/>
      <c r="AO379" s="319">
        <v>2113025</v>
      </c>
      <c r="AP379" s="319"/>
      <c r="AQ379" s="319"/>
      <c r="AR379" s="319"/>
      <c r="AS379" s="319"/>
      <c r="AT379" s="319"/>
      <c r="AU379" s="319"/>
      <c r="AV379" s="319"/>
      <c r="AW379" s="319"/>
      <c r="AX379" s="319"/>
      <c r="AY379" s="319"/>
      <c r="AZ379" s="319"/>
      <c r="BA379" s="319"/>
      <c r="BB379" s="319"/>
      <c r="BC379" s="319"/>
      <c r="BD379" s="319"/>
      <c r="BE379" s="319"/>
      <c r="BF379" s="319"/>
      <c r="BG379" s="319"/>
      <c r="BH379" s="319"/>
      <c r="BI379" s="319"/>
      <c r="BJ379" s="319"/>
      <c r="BK379" s="319"/>
      <c r="BL379" s="319"/>
      <c r="BM379" s="319"/>
      <c r="BN379" s="319"/>
      <c r="BO379" s="319"/>
      <c r="BP379" s="319"/>
      <c r="BQ379" s="319"/>
      <c r="BR379" s="319"/>
      <c r="BS379" s="319"/>
      <c r="BT379" s="319"/>
      <c r="BU379" s="319"/>
      <c r="BV379" s="319"/>
      <c r="BW379" s="319"/>
      <c r="BX379" s="319"/>
      <c r="BY379" s="319"/>
      <c r="BZ379" s="319"/>
      <c r="CA379" s="319"/>
      <c r="CB379" s="319"/>
      <c r="CC379" s="319"/>
      <c r="CD379" s="319"/>
      <c r="CE379" s="319"/>
      <c r="CF379" s="319"/>
    </row>
    <row r="380" spans="1:84" ht="25.5" hidden="1" customHeight="1">
      <c r="A380" s="12"/>
      <c r="B380" s="1"/>
      <c r="C380" s="82"/>
      <c r="D380" s="82" t="str">
        <f>Language!C1665</f>
        <v>Fluxo</v>
      </c>
      <c r="E380" s="1217" t="str">
        <f>F380</f>
        <v>Eficiência
turbina</v>
      </c>
      <c r="F380" s="1207" t="str">
        <f>Language!C2044</f>
        <v>Eficiência
turbina</v>
      </c>
      <c r="G380" s="1207" t="str">
        <f>B371</f>
        <v>Número de turbinas</v>
      </c>
      <c r="H380" s="1207" t="str">
        <f>Language!C1548</f>
        <v>Eficiência combinada</v>
      </c>
      <c r="I380" s="1"/>
      <c r="J380" s="1"/>
      <c r="K380" s="9"/>
      <c r="L380" s="1"/>
      <c r="M380" s="319"/>
      <c r="N380" s="319"/>
      <c r="O380" s="319" t="s">
        <v>3647</v>
      </c>
      <c r="P380" s="319" t="s">
        <v>4513</v>
      </c>
      <c r="Q380" s="319" t="s">
        <v>4513</v>
      </c>
      <c r="R380" s="319" t="s">
        <v>4513</v>
      </c>
      <c r="S380" s="319" t="s">
        <v>4513</v>
      </c>
      <c r="T380" s="319" t="s">
        <v>4513</v>
      </c>
      <c r="U380" s="319" t="s">
        <v>4513</v>
      </c>
      <c r="V380" s="319" t="s">
        <v>4513</v>
      </c>
      <c r="W380" s="319"/>
      <c r="X380" s="319"/>
      <c r="Y380" s="319"/>
      <c r="Z380" s="319"/>
      <c r="AA380" s="319"/>
      <c r="AB380" s="319"/>
      <c r="AC380" s="319"/>
      <c r="AD380" s="319"/>
      <c r="AE380" s="319"/>
      <c r="AF380" s="319"/>
      <c r="AG380" s="319"/>
      <c r="AH380" s="319"/>
      <c r="AI380" s="319"/>
      <c r="AJ380" s="319"/>
      <c r="AK380" s="319"/>
      <c r="AL380" s="319"/>
      <c r="AM380" s="319"/>
      <c r="AN380" s="319"/>
      <c r="AO380" s="319">
        <v>2113025</v>
      </c>
      <c r="AP380" s="319"/>
      <c r="AQ380" s="319"/>
      <c r="AR380" s="319"/>
      <c r="AS380" s="319"/>
      <c r="AT380" s="319"/>
      <c r="AU380" s="319"/>
      <c r="AV380" s="319"/>
      <c r="AW380" s="319"/>
      <c r="AX380" s="319"/>
      <c r="AY380" s="319"/>
      <c r="AZ380" s="319"/>
      <c r="BA380" s="319"/>
      <c r="BB380" s="319"/>
      <c r="BC380" s="319"/>
      <c r="BD380" s="319"/>
      <c r="BE380" s="319"/>
      <c r="BF380" s="319"/>
      <c r="BG380" s="319"/>
      <c r="BH380" s="319"/>
      <c r="BI380" s="319"/>
      <c r="BJ380" s="319"/>
      <c r="BK380" s="319"/>
      <c r="BL380" s="319"/>
      <c r="BM380" s="319"/>
      <c r="BN380" s="319"/>
      <c r="BO380" s="319"/>
      <c r="BP380" s="319"/>
      <c r="BQ380" s="319"/>
      <c r="BR380" s="319"/>
      <c r="BS380" s="319"/>
      <c r="BT380" s="319"/>
      <c r="BU380" s="319"/>
      <c r="BV380" s="319"/>
      <c r="BW380" s="319"/>
      <c r="BX380" s="319"/>
      <c r="BY380" s="319"/>
      <c r="BZ380" s="319"/>
      <c r="CA380" s="319"/>
      <c r="CB380" s="319"/>
      <c r="CC380" s="319"/>
      <c r="CD380" s="319"/>
      <c r="CE380" s="319"/>
      <c r="CF380" s="319"/>
    </row>
    <row r="381" spans="1:84" ht="12.75" hidden="1" customHeight="1">
      <c r="A381" s="12"/>
      <c r="B381" s="1"/>
      <c r="C381" s="45" t="str">
        <f>$T$35</f>
        <v>%</v>
      </c>
      <c r="D381" s="45" t="str">
        <f>C327</f>
        <v>m³/s</v>
      </c>
      <c r="E381" s="1218"/>
      <c r="F381" s="1208"/>
      <c r="G381" s="1208"/>
      <c r="H381" s="1208"/>
      <c r="I381" s="1"/>
      <c r="J381" s="1"/>
      <c r="K381" s="9"/>
      <c r="L381" s="1"/>
      <c r="M381" s="319"/>
      <c r="N381" s="319"/>
      <c r="O381" s="319" t="s">
        <v>3648</v>
      </c>
      <c r="P381" s="319" t="str">
        <f>Q369</f>
        <v>Kaplan</v>
      </c>
      <c r="Q381" s="319" t="str">
        <f t="shared" ref="Q381:V381" si="21">R369</f>
        <v>Francis</v>
      </c>
      <c r="R381" s="319" t="str">
        <f t="shared" si="21"/>
        <v>Hélice</v>
      </c>
      <c r="S381" s="319" t="str">
        <f t="shared" si="21"/>
        <v>Pelton</v>
      </c>
      <c r="T381" s="319" t="str">
        <f t="shared" si="21"/>
        <v>Turgo</v>
      </c>
      <c r="U381" s="319" t="str">
        <f t="shared" si="21"/>
        <v>Fluxo transversal</v>
      </c>
      <c r="V381" s="319" t="str">
        <f t="shared" si="21"/>
        <v>Outro</v>
      </c>
      <c r="W381" s="319"/>
      <c r="X381" s="319"/>
      <c r="Y381" s="319" t="s">
        <v>2669</v>
      </c>
      <c r="Z381" s="319" t="s">
        <v>4063</v>
      </c>
      <c r="AA381" s="319" t="s">
        <v>2198</v>
      </c>
      <c r="AB381" s="319" t="s">
        <v>2199</v>
      </c>
      <c r="AC381" s="319" t="s">
        <v>2192</v>
      </c>
      <c r="AD381" s="319" t="s">
        <v>5689</v>
      </c>
      <c r="AE381" s="319" t="s">
        <v>5690</v>
      </c>
      <c r="AF381" s="319" t="s">
        <v>1296</v>
      </c>
      <c r="AG381" s="319"/>
      <c r="AH381" s="319"/>
      <c r="AI381" s="319"/>
      <c r="AJ381" s="319"/>
      <c r="AK381" s="319"/>
      <c r="AL381" s="319"/>
      <c r="AM381" s="319"/>
      <c r="AN381" s="319"/>
      <c r="AO381" s="319">
        <v>2113025</v>
      </c>
      <c r="AP381" s="319"/>
      <c r="AQ381" s="319"/>
      <c r="AR381" s="319"/>
      <c r="AS381" s="319"/>
      <c r="AT381" s="319"/>
      <c r="AU381" s="319"/>
      <c r="AV381" s="319"/>
      <c r="AW381" s="319"/>
      <c r="AX381" s="319"/>
      <c r="AY381" s="319"/>
      <c r="AZ381" s="319"/>
      <c r="BA381" s="319"/>
      <c r="BB381" s="319"/>
      <c r="BC381" s="319"/>
      <c r="BD381" s="319"/>
      <c r="BE381" s="319"/>
      <c r="BF381" s="319"/>
      <c r="BG381" s="319"/>
      <c r="BH381" s="319"/>
      <c r="BI381" s="319"/>
      <c r="BJ381" s="319"/>
      <c r="BK381" s="319"/>
      <c r="BL381" s="319"/>
      <c r="BM381" s="319"/>
      <c r="BN381" s="319"/>
      <c r="BO381" s="319"/>
      <c r="BP381" s="319"/>
      <c r="BQ381" s="319"/>
      <c r="BR381" s="319"/>
      <c r="BS381" s="319"/>
      <c r="BT381" s="319"/>
      <c r="BU381" s="319"/>
      <c r="BV381" s="319"/>
      <c r="BW381" s="319"/>
      <c r="BX381" s="319"/>
      <c r="BY381" s="319"/>
      <c r="BZ381" s="319"/>
      <c r="CA381" s="319"/>
      <c r="CB381" s="319"/>
      <c r="CC381" s="319"/>
      <c r="CD381" s="319"/>
      <c r="CE381" s="319"/>
      <c r="CF381" s="319"/>
    </row>
    <row r="382" spans="1:84" ht="12.75" hidden="1" customHeight="1">
      <c r="A382" s="12"/>
      <c r="B382" s="1"/>
      <c r="C382" s="110">
        <v>0</v>
      </c>
      <c r="D382" s="310"/>
      <c r="E382" s="880">
        <v>0</v>
      </c>
      <c r="F382" s="116" t="e">
        <f>IF(IF(ES_Hydro_TECDS=0,IF(ES_Hydro_HM=100,IF(Offgrid=5,'Modelo Energético '!F452,F406),IF(Offgrid=5,'Modelo Energético '!E428,E382)),HLOOKUP($P$367,$P$381:$V$402,W382,FALSE))+$O$375&lt;0,0,IF(ES_Hydro_TECDS=0,IF(ES_Hydro_HM=100,IF(Offgrid=5,'Modelo Energético '!F452,F406),IF(Offgrid=5,'Modelo Energético '!E428,E382)),HLOOKUP($P$367,$P$381:$V$402,W382,FALSE))+$O$375)</f>
        <v>#DIV/0!</v>
      </c>
      <c r="G382" s="117">
        <v>0</v>
      </c>
      <c r="H382" s="116">
        <v>0</v>
      </c>
      <c r="I382" s="1"/>
      <c r="J382" s="1"/>
      <c r="K382" s="784" t="str">
        <f>$K$268</f>
        <v>Mostrar figura</v>
      </c>
      <c r="L382" s="1"/>
      <c r="M382" s="319"/>
      <c r="N382" s="319"/>
      <c r="O382" s="319">
        <f t="shared" ref="O382:O402" si="22">C382*$O$367</f>
        <v>0</v>
      </c>
      <c r="P382" s="476" t="e">
        <f t="shared" ref="P382:P402" si="23">IF(1-(3.5*(($Q$373-O382)/$Q$373)^6)*$Q$372&lt;0,0,1-(3.5*(($Q$373-O382)/$Q$373)^6))*$Q$372</f>
        <v>#DIV/0!</v>
      </c>
      <c r="Q382" s="476" t="e">
        <f t="shared" ref="Q382:Q402" si="24">IF(IF(O382&lt;$R$373,(1-(1.25*(($R$373-O382)/$R$373)^(3.94-0.0195*$T$325)))*$R$372,($R$372-((O382-$R$373)/($T$319-$R$373))^2*($R$372-$R$375)))&lt;0,0,IF(O382&lt;$R$373,(1-(1.25*(($R$373-O382)/$R$373)^(3.94-0.0195*$T$325)))*$R$372,($R$372-((O382-$R$373)/($T$319-$R$373))^2*($R$372-$R$375))))</f>
        <v>#DIV/0!</v>
      </c>
      <c r="R382" s="476" t="e">
        <f t="shared" ref="R382:R402" si="25">IF((1-(1.25*(($S$373-O382)/$S$373)^1.13))*$S$372&lt;0,0,(1-(1.25*(($S$373-O382)/$S$373)^1.13))*$S$372)</f>
        <v>#DIV/0!</v>
      </c>
      <c r="S382" s="476" t="e">
        <f t="shared" ref="S382:S402" si="26">IF((1-((1.31+0.025*$O$370)*(ABS($T$373-O382)/$T$373)^(5.6+0.4*$O$370)))*$T$372&lt;0,0,(1-((1.31+0.025*$O$370)*(ABS($T$373-O382)/$T$373)^(5.6+0.4*$O$370)))*$T$372)</f>
        <v>#DIV/0!</v>
      </c>
      <c r="T382" s="476" t="e">
        <f t="shared" ref="T382:T402" si="27">IF((1-((1.31+0.025*$O$370)*(ABS($U$373-O382)/$U$373)^(5.6+0.4*$O$370)))*$U$372&lt;0,0,(1-((1.31+0.025*$O$370)*(ABS($U$373-O382)/$U$373)^(5.6+0.4*$O$370)))*$U$372)</f>
        <v>#DIV/0!</v>
      </c>
      <c r="U382" s="476">
        <f t="shared" ref="U382:U402" si="28">IF(0.79-0.15*(1-C382)-1.37*(1-C382)^14&lt;0,0,0.79-0.15*(1-C382)-1.37*(1-C382)^14)</f>
        <v>0</v>
      </c>
      <c r="V382" s="476">
        <f>IF(Offgrid=5,IF(AND(ES_Hydro_PT=222,ES_Hydro_HM=100),'Modelo Energético '!F452,'Modelo Energético '!E428),IF(AND(ES_Hydro_PT=222,ES_Hydro_HM=100),F406,E382))</f>
        <v>0</v>
      </c>
      <c r="W382" s="476">
        <v>2</v>
      </c>
      <c r="X382" s="476">
        <f>IF(SUM($M$316:$M$317)=322,E406,IF(Offgrid=5,'Modelo Energético '!D428,D382))/$O$366*$O$435</f>
        <v>0</v>
      </c>
      <c r="Y382" s="476">
        <f t="shared" ref="Y382:Y402" si="29">IF(X382-residual_flow&lt;0,0,X382-residual_flow)</f>
        <v>0</v>
      </c>
      <c r="Z382" s="476">
        <f t="shared" ref="Z382:Z401" si="30">IF(AND(Y382&gt;$O$367,$O$367&gt;Y383),(Y382-$O$367)/(Y382-Y383)*5,5)</f>
        <v>5</v>
      </c>
      <c r="AA382" s="849">
        <f t="shared" ref="AA382:AA402" si="31">IF($O$367&lt;Y382,$O$367,Y382)</f>
        <v>0</v>
      </c>
      <c r="AB382" s="476">
        <f t="shared" ref="AB382:AB402" si="32">IF(X382&lt;=$O$367,0,($O$321/(X$382-$O$367)^2)*(X382-$O$367)^2)</f>
        <v>0</v>
      </c>
      <c r="AC382" s="476" t="e">
        <f t="shared" ref="AC382:AC402" si="33">((1-$T$317)*$O$320)*AA382^2/$O$367^2</f>
        <v>#DIV/0!</v>
      </c>
      <c r="AD382" s="849" t="e">
        <f>IF(AA382/$O$367&lt;1,((AA382/$O$367-VLOOKUP(AA382/$O$367,$C$382:$H$402,1))/0.05)*(VLOOKUP(AA382/$O$367+0.05,$C$382:$H$402,6)-VLOOKUP(AA382/$O$367,$C$382:$H$402,6))+VLOOKUP(AA382/$O$367,$C$382:$H$402,6),$H$402)</f>
        <v>#DIV/0!</v>
      </c>
      <c r="AE382" s="494" t="e">
        <f>9.81*AA382*($T$316-AB382-AC382)*AD382*(1-$O$429)*$O$430</f>
        <v>#DIV/0!</v>
      </c>
      <c r="AF382" s="494" t="e">
        <f t="shared" ref="AF382:AF401" si="34">IF(Z382=5,(AE382+AE383)/2*5,Z382*AE382+(AE382+AE383)/2*(5-Z382))/100*8760*$O$431</f>
        <v>#DIV/0!</v>
      </c>
      <c r="AG382" s="319"/>
      <c r="AH382" s="319"/>
      <c r="AI382" s="319"/>
      <c r="AJ382" s="319"/>
      <c r="AK382" s="319"/>
      <c r="AL382" s="319"/>
      <c r="AM382" s="319"/>
      <c r="AN382" s="319"/>
      <c r="AO382" s="319">
        <v>2113025</v>
      </c>
      <c r="AP382" s="319"/>
      <c r="AQ382" s="319"/>
      <c r="AR382" s="319"/>
      <c r="AS382" s="319"/>
      <c r="AT382" s="319"/>
      <c r="AU382" s="319"/>
      <c r="AV382" s="319"/>
      <c r="AW382" s="319"/>
      <c r="AX382" s="319"/>
      <c r="AY382" s="319"/>
      <c r="AZ382" s="319"/>
      <c r="BA382" s="319"/>
      <c r="BB382" s="319"/>
      <c r="BC382" s="319"/>
      <c r="BD382" s="319"/>
      <c r="BE382" s="319"/>
      <c r="BF382" s="319"/>
      <c r="BG382" s="319"/>
      <c r="BH382" s="319"/>
      <c r="BI382" s="319"/>
      <c r="BJ382" s="319"/>
      <c r="BK382" s="319"/>
      <c r="BL382" s="319"/>
      <c r="BM382" s="319"/>
      <c r="BN382" s="319"/>
      <c r="BO382" s="319"/>
      <c r="BP382" s="319"/>
      <c r="BQ382" s="319"/>
      <c r="BR382" s="319"/>
      <c r="BS382" s="319"/>
      <c r="BT382" s="319"/>
      <c r="BU382" s="319"/>
      <c r="BV382" s="319"/>
      <c r="BW382" s="319"/>
      <c r="BX382" s="319"/>
      <c r="BY382" s="319"/>
      <c r="BZ382" s="319"/>
      <c r="CA382" s="319"/>
      <c r="CB382" s="319"/>
      <c r="CC382" s="319"/>
      <c r="CD382" s="319"/>
      <c r="CE382" s="319"/>
      <c r="CF382" s="319"/>
    </row>
    <row r="383" spans="1:84" ht="12.75" hidden="1" customHeight="1">
      <c r="A383" s="12"/>
      <c r="B383" s="1"/>
      <c r="C383" s="112">
        <v>0.05</v>
      </c>
      <c r="D383" s="310"/>
      <c r="E383" s="880">
        <v>0</v>
      </c>
      <c r="F383" s="118" t="e">
        <f>IF(IF(ES_Hydro_TECDS=0,IF(ES_Hydro_HM=100,IF(Offgrid=5,'Modelo Energético '!F453,F407),IF(Offgrid=5,'Modelo Energético '!E429,E383)),HLOOKUP($P$367,$P$381:$V$402,W383,FALSE))+$O$375&lt;0,0,IF(ES_Hydro_TECDS=0,IF(ES_Hydro_HM=100,IF(Offgrid=5,'Modelo Energético '!F453,F407),IF(Offgrid=5,'Modelo Energético '!E429,E383)),HLOOKUP($P$367,$P$381:$V$402,W383,FALSE))+$O$375)</f>
        <v>#DIV/0!</v>
      </c>
      <c r="G383" s="119" t="e">
        <f t="shared" ref="G383:G402" si="35">ROUNDUP(C383*100/(100/$O$371),0)</f>
        <v>#DIV/0!</v>
      </c>
      <c r="H383" s="118" t="e">
        <f>(ROUND((C383/G383)*$O$371,5)-VLOOKUP(ROUND((C383/G383)*$O$371,5),$C$382:$F$402,1))*20*(VLOOKUP(ROUND((C383/G383)*$O$371+0.05,5),$C$382:$F$402,4)-VLOOKUP(ROUND((C383/G383)*$O$371,5),$C$382:$F$402,4))+VLOOKUP(ROUND((C383/G383)*$O$371,5),$C$382:$F$402,4)</f>
        <v>#DIV/0!</v>
      </c>
      <c r="I383" s="1"/>
      <c r="J383" s="1"/>
      <c r="K383" s="9"/>
      <c r="L383" s="1"/>
      <c r="M383" s="319"/>
      <c r="N383" s="319"/>
      <c r="O383" s="319">
        <f t="shared" si="22"/>
        <v>0</v>
      </c>
      <c r="P383" s="476" t="e">
        <f t="shared" si="23"/>
        <v>#DIV/0!</v>
      </c>
      <c r="Q383" s="476" t="e">
        <f t="shared" si="24"/>
        <v>#DIV/0!</v>
      </c>
      <c r="R383" s="476" t="e">
        <f t="shared" si="25"/>
        <v>#DIV/0!</v>
      </c>
      <c r="S383" s="476" t="e">
        <f t="shared" si="26"/>
        <v>#DIV/0!</v>
      </c>
      <c r="T383" s="476" t="e">
        <f t="shared" si="27"/>
        <v>#DIV/0!</v>
      </c>
      <c r="U383" s="476">
        <f t="shared" si="28"/>
        <v>0</v>
      </c>
      <c r="V383" s="476">
        <f>IF(Offgrid=5,IF(AND(ES_Hydro_PT=222,ES_Hydro_HM=100),'Modelo Energético '!F453,'Modelo Energético '!E429),IF(AND(ES_Hydro_PT=222,ES_Hydro_HM=100),F407,E383))</f>
        <v>0.2</v>
      </c>
      <c r="W383" s="476">
        <v>3</v>
      </c>
      <c r="X383" s="476">
        <f>IF(SUM($M$316:$M$317)=322,E407,IF(Offgrid=5,'Modelo Energético '!D429,D383))/$O$366*$O$435</f>
        <v>0</v>
      </c>
      <c r="Y383" s="476">
        <f t="shared" si="29"/>
        <v>0</v>
      </c>
      <c r="Z383" s="476">
        <f t="shared" si="30"/>
        <v>5</v>
      </c>
      <c r="AA383" s="476">
        <f t="shared" si="31"/>
        <v>0</v>
      </c>
      <c r="AB383" s="476">
        <f t="shared" si="32"/>
        <v>0</v>
      </c>
      <c r="AC383" s="476" t="e">
        <f t="shared" si="33"/>
        <v>#DIV/0!</v>
      </c>
      <c r="AD383" s="849" t="e">
        <f t="shared" ref="AD383:AD402" si="36">IF(AA383/$O$367&lt;1,((AA383/$O$367-VLOOKUP(AA383/$O$367,$C$382:$H$402,1))/0.05)*(VLOOKUP(AA383/$O$367+0.05,$C$382:$H$402,6)-VLOOKUP(AA383/$O$367,$C$382:$H$402,6))+VLOOKUP(AA383/$O$367,$C$382:$H$402,6),$H$402)</f>
        <v>#DIV/0!</v>
      </c>
      <c r="AE383" s="494" t="e">
        <f t="shared" ref="AE383:AE402" si="37">9.81*AA383*($T$316-AB383-AC383)*AD383*(1-$O$429)*$O$430</f>
        <v>#DIV/0!</v>
      </c>
      <c r="AF383" s="494" t="e">
        <f t="shared" si="34"/>
        <v>#DIV/0!</v>
      </c>
      <c r="AG383" s="319"/>
      <c r="AH383" s="319"/>
      <c r="AI383" s="319"/>
      <c r="AJ383" s="319"/>
      <c r="AK383" s="319"/>
      <c r="AL383" s="319"/>
      <c r="AM383" s="319"/>
      <c r="AN383" s="319"/>
      <c r="AO383" s="319">
        <v>2113025</v>
      </c>
      <c r="AP383" s="319"/>
      <c r="AQ383" s="319"/>
      <c r="AR383" s="319"/>
      <c r="AS383" s="319"/>
      <c r="AT383" s="319"/>
      <c r="AU383" s="319"/>
      <c r="AV383" s="319"/>
      <c r="AW383" s="319"/>
      <c r="AX383" s="319"/>
      <c r="AY383" s="319"/>
      <c r="AZ383" s="319"/>
      <c r="BA383" s="319"/>
      <c r="BB383" s="319"/>
      <c r="BC383" s="319"/>
      <c r="BD383" s="319"/>
      <c r="BE383" s="319"/>
      <c r="BF383" s="319"/>
      <c r="BG383" s="319"/>
      <c r="BH383" s="319"/>
      <c r="BI383" s="319"/>
      <c r="BJ383" s="319"/>
      <c r="BK383" s="319"/>
      <c r="BL383" s="319"/>
      <c r="BM383" s="319"/>
      <c r="BN383" s="319"/>
      <c r="BO383" s="319"/>
      <c r="BP383" s="319"/>
      <c r="BQ383" s="319"/>
      <c r="BR383" s="319"/>
      <c r="BS383" s="319"/>
      <c r="BT383" s="319"/>
      <c r="BU383" s="319"/>
      <c r="BV383" s="319"/>
      <c r="BW383" s="319"/>
      <c r="BX383" s="319"/>
      <c r="BY383" s="319"/>
      <c r="BZ383" s="319"/>
      <c r="CA383" s="319"/>
      <c r="CB383" s="319"/>
      <c r="CC383" s="319"/>
      <c r="CD383" s="319"/>
      <c r="CE383" s="319"/>
      <c r="CF383" s="319"/>
    </row>
    <row r="384" spans="1:84" ht="12.75" hidden="1" customHeight="1">
      <c r="A384" s="12"/>
      <c r="B384" s="1"/>
      <c r="C384" s="112">
        <v>0.1</v>
      </c>
      <c r="D384" s="310"/>
      <c r="E384" s="880">
        <v>0.34</v>
      </c>
      <c r="F384" s="118" t="e">
        <f>IF(IF(ES_Hydro_TECDS=0,IF(ES_Hydro_HM=100,IF(Offgrid=5,'Modelo Energético '!F454,F408),IF(Offgrid=5,'Modelo Energético '!E430,E384)),HLOOKUP($P$367,$P$381:$V$402,W384,FALSE))+$O$375&lt;0,0,IF(ES_Hydro_TECDS=0,IF(ES_Hydro_HM=100,IF(Offgrid=5,'Modelo Energético '!F454,F408),IF(Offgrid=5,'Modelo Energético '!E430,E384)),HLOOKUP($P$367,$P$381:$V$402,W384,FALSE))+$O$375)</f>
        <v>#DIV/0!</v>
      </c>
      <c r="G384" s="119" t="e">
        <f t="shared" si="35"/>
        <v>#DIV/0!</v>
      </c>
      <c r="H384" s="118" t="e">
        <f t="shared" ref="H384:H402" si="38">(ROUND((C384/G384)*$O$371,5)-VLOOKUP(ROUND((C384/G384)*$O$371,5),$C$382:$F$402,1))*20*(VLOOKUP(ROUND((C384/G384)*$O$371+0.05,5),$C$382:$F$402,4)-VLOOKUP(ROUND((C384/G384)*$O$371,5),$C$382:$F$402,4))+VLOOKUP(ROUND((C384/G384)*$O$371,5),$C$382:$F$402,4)</f>
        <v>#DIV/0!</v>
      </c>
      <c r="I384" s="1"/>
      <c r="J384" s="1"/>
      <c r="K384" s="9"/>
      <c r="L384" s="1"/>
      <c r="M384" s="319"/>
      <c r="N384" s="319"/>
      <c r="O384" s="319">
        <f t="shared" si="22"/>
        <v>0</v>
      </c>
      <c r="P384" s="476" t="e">
        <f t="shared" si="23"/>
        <v>#DIV/0!</v>
      </c>
      <c r="Q384" s="476" t="e">
        <f t="shared" si="24"/>
        <v>#DIV/0!</v>
      </c>
      <c r="R384" s="476" t="e">
        <f t="shared" si="25"/>
        <v>#DIV/0!</v>
      </c>
      <c r="S384" s="476" t="e">
        <f t="shared" si="26"/>
        <v>#DIV/0!</v>
      </c>
      <c r="T384" s="476" t="e">
        <f t="shared" si="27"/>
        <v>#DIV/0!</v>
      </c>
      <c r="U384" s="476">
        <f t="shared" si="28"/>
        <v>0.34158794336703407</v>
      </c>
      <c r="V384" s="476">
        <f>IF(Offgrid=5,IF(AND(ES_Hydro_PT=222,ES_Hydro_HM=100),'Modelo Energético '!F454,'Modelo Energético '!E430),IF(AND(ES_Hydro_PT=222,ES_Hydro_HM=100),F408,E384))</f>
        <v>0.34</v>
      </c>
      <c r="W384" s="476">
        <v>4</v>
      </c>
      <c r="X384" s="476">
        <f>IF(SUM($M$316:$M$317)=322,E408,IF(Offgrid=5,'Modelo Energético '!D430,D384))/$O$366*$O$435</f>
        <v>0</v>
      </c>
      <c r="Y384" s="476">
        <f t="shared" si="29"/>
        <v>0</v>
      </c>
      <c r="Z384" s="476">
        <f t="shared" si="30"/>
        <v>5</v>
      </c>
      <c r="AA384" s="476">
        <f t="shared" si="31"/>
        <v>0</v>
      </c>
      <c r="AB384" s="476">
        <f t="shared" si="32"/>
        <v>0</v>
      </c>
      <c r="AC384" s="476" t="e">
        <f t="shared" si="33"/>
        <v>#DIV/0!</v>
      </c>
      <c r="AD384" s="849" t="e">
        <f t="shared" si="36"/>
        <v>#DIV/0!</v>
      </c>
      <c r="AE384" s="494" t="e">
        <f t="shared" si="37"/>
        <v>#DIV/0!</v>
      </c>
      <c r="AF384" s="494" t="e">
        <f t="shared" si="34"/>
        <v>#DIV/0!</v>
      </c>
      <c r="AG384" s="319"/>
      <c r="AH384" s="319"/>
      <c r="AI384" s="319"/>
      <c r="AJ384" s="319"/>
      <c r="AK384" s="319"/>
      <c r="AL384" s="319"/>
      <c r="AM384" s="319"/>
      <c r="AN384" s="319"/>
      <c r="AO384" s="319">
        <v>2113025</v>
      </c>
      <c r="AP384" s="319"/>
      <c r="AQ384" s="319"/>
      <c r="AR384" s="319"/>
      <c r="AS384" s="319"/>
      <c r="AT384" s="319"/>
      <c r="AU384" s="319"/>
      <c r="AV384" s="319"/>
      <c r="AW384" s="319"/>
      <c r="AX384" s="319"/>
      <c r="AY384" s="319"/>
      <c r="AZ384" s="319"/>
      <c r="BA384" s="319"/>
      <c r="BB384" s="319"/>
      <c r="BC384" s="319"/>
      <c r="BD384" s="319"/>
      <c r="BE384" s="319"/>
      <c r="BF384" s="319"/>
      <c r="BG384" s="319"/>
      <c r="BH384" s="319"/>
      <c r="BI384" s="319"/>
      <c r="BJ384" s="319"/>
      <c r="BK384" s="319"/>
      <c r="BL384" s="319"/>
      <c r="BM384" s="319"/>
      <c r="BN384" s="319"/>
      <c r="BO384" s="319"/>
      <c r="BP384" s="319"/>
      <c r="BQ384" s="319"/>
      <c r="BR384" s="319"/>
      <c r="BS384" s="319"/>
      <c r="BT384" s="319"/>
      <c r="BU384" s="319"/>
      <c r="BV384" s="319"/>
      <c r="BW384" s="319"/>
      <c r="BX384" s="319"/>
      <c r="BY384" s="319"/>
      <c r="BZ384" s="319"/>
      <c r="CA384" s="319"/>
      <c r="CB384" s="319"/>
      <c r="CC384" s="319"/>
      <c r="CD384" s="319"/>
      <c r="CE384" s="319"/>
      <c r="CF384" s="319"/>
    </row>
    <row r="385" spans="1:84" ht="12.75" hidden="1" customHeight="1">
      <c r="A385" s="12"/>
      <c r="B385" s="1"/>
      <c r="C385" s="112">
        <v>0.15</v>
      </c>
      <c r="D385" s="310"/>
      <c r="E385" s="880">
        <v>0.52170555274268904</v>
      </c>
      <c r="F385" s="118" t="e">
        <f>IF(IF(ES_Hydro_TECDS=0,IF(ES_Hydro_HM=100,IF(Offgrid=5,'Modelo Energético '!F455,F409),IF(Offgrid=5,'Modelo Energético '!E431,E385)),HLOOKUP($P$367,$P$381:$V$402,W385,FALSE))+$O$375&lt;0,0,IF(ES_Hydro_TECDS=0,IF(ES_Hydro_HM=100,IF(Offgrid=5,'Modelo Energético '!F455,F409),IF(Offgrid=5,'Modelo Energético '!E431,E385)),HLOOKUP($P$367,$P$381:$V$402,W385,FALSE))+$O$375)</f>
        <v>#DIV/0!</v>
      </c>
      <c r="G385" s="119" t="e">
        <f t="shared" si="35"/>
        <v>#DIV/0!</v>
      </c>
      <c r="H385" s="118" t="e">
        <f t="shared" si="38"/>
        <v>#DIV/0!</v>
      </c>
      <c r="I385" s="1"/>
      <c r="J385" s="1"/>
      <c r="K385" s="9"/>
      <c r="L385" s="1"/>
      <c r="M385" s="319"/>
      <c r="N385" s="319"/>
      <c r="O385" s="319">
        <f t="shared" si="22"/>
        <v>0</v>
      </c>
      <c r="P385" s="476" t="e">
        <f t="shared" si="23"/>
        <v>#DIV/0!</v>
      </c>
      <c r="Q385" s="476" t="e">
        <f t="shared" si="24"/>
        <v>#DIV/0!</v>
      </c>
      <c r="R385" s="476" t="e">
        <f t="shared" si="25"/>
        <v>#DIV/0!</v>
      </c>
      <c r="S385" s="476" t="e">
        <f t="shared" si="26"/>
        <v>#DIV/0!</v>
      </c>
      <c r="T385" s="476" t="e">
        <f t="shared" si="27"/>
        <v>#DIV/0!</v>
      </c>
      <c r="U385" s="476">
        <f t="shared" si="28"/>
        <v>0.52170555274268859</v>
      </c>
      <c r="V385" s="476">
        <f>IF(Offgrid=5,IF(AND(ES_Hydro_PT=222,ES_Hydro_HM=100),'Modelo Energético '!F455,'Modelo Energético '!E431),IF(AND(ES_Hydro_PT=222,ES_Hydro_HM=100),F409,E385))</f>
        <v>0.52170555274268904</v>
      </c>
      <c r="W385" s="476">
        <v>5</v>
      </c>
      <c r="X385" s="476">
        <f>IF(SUM($M$316:$M$317)=322,E409,IF(Offgrid=5,'Modelo Energético '!D431,D385))/$O$366*$O$435</f>
        <v>0</v>
      </c>
      <c r="Y385" s="476">
        <f t="shared" si="29"/>
        <v>0</v>
      </c>
      <c r="Z385" s="476">
        <f t="shared" si="30"/>
        <v>5</v>
      </c>
      <c r="AA385" s="476">
        <f t="shared" si="31"/>
        <v>0</v>
      </c>
      <c r="AB385" s="476">
        <f t="shared" si="32"/>
        <v>0</v>
      </c>
      <c r="AC385" s="476" t="e">
        <f t="shared" si="33"/>
        <v>#DIV/0!</v>
      </c>
      <c r="AD385" s="849" t="e">
        <f t="shared" si="36"/>
        <v>#DIV/0!</v>
      </c>
      <c r="AE385" s="494" t="e">
        <f t="shared" si="37"/>
        <v>#DIV/0!</v>
      </c>
      <c r="AF385" s="494" t="e">
        <f t="shared" si="34"/>
        <v>#DIV/0!</v>
      </c>
      <c r="AG385" s="319"/>
      <c r="AH385" s="319"/>
      <c r="AI385" s="319"/>
      <c r="AJ385" s="319"/>
      <c r="AK385" s="319"/>
      <c r="AL385" s="319"/>
      <c r="AM385" s="319"/>
      <c r="AN385" s="319"/>
      <c r="AO385" s="319">
        <v>2113025</v>
      </c>
      <c r="AP385" s="319"/>
      <c r="AQ385" s="319"/>
      <c r="AR385" s="319"/>
      <c r="AS385" s="319"/>
      <c r="AT385" s="319"/>
      <c r="AU385" s="319"/>
      <c r="AV385" s="319"/>
      <c r="AW385" s="319"/>
      <c r="AX385" s="319"/>
      <c r="AY385" s="319"/>
      <c r="AZ385" s="319"/>
      <c r="BA385" s="319"/>
      <c r="BB385" s="319"/>
      <c r="BC385" s="319"/>
      <c r="BD385" s="319"/>
      <c r="BE385" s="319"/>
      <c r="BF385" s="319"/>
      <c r="BG385" s="319"/>
      <c r="BH385" s="319"/>
      <c r="BI385" s="319"/>
      <c r="BJ385" s="319"/>
      <c r="BK385" s="319"/>
      <c r="BL385" s="319"/>
      <c r="BM385" s="319"/>
      <c r="BN385" s="319"/>
      <c r="BO385" s="319"/>
      <c r="BP385" s="319"/>
      <c r="BQ385" s="319"/>
      <c r="BR385" s="319"/>
      <c r="BS385" s="319"/>
      <c r="BT385" s="319"/>
      <c r="BU385" s="319"/>
      <c r="BV385" s="319"/>
      <c r="BW385" s="319"/>
      <c r="BX385" s="319"/>
      <c r="BY385" s="319"/>
      <c r="BZ385" s="319"/>
      <c r="CA385" s="319"/>
      <c r="CB385" s="319"/>
      <c r="CC385" s="319"/>
      <c r="CD385" s="319"/>
      <c r="CE385" s="319"/>
      <c r="CF385" s="319"/>
    </row>
    <row r="386" spans="1:84" ht="12.75" hidden="1" customHeight="1">
      <c r="A386" s="12"/>
      <c r="B386" s="1"/>
      <c r="C386" s="112">
        <v>0.2</v>
      </c>
      <c r="D386" s="310"/>
      <c r="E386" s="880">
        <v>0.60974676279787499</v>
      </c>
      <c r="F386" s="118" t="e">
        <f>IF(IF(ES_Hydro_TECDS=0,IF(ES_Hydro_HM=100,IF(Offgrid=5,'Modelo Energético '!F456,F410),IF(Offgrid=5,'Modelo Energético '!E432,E386)),HLOOKUP($P$367,$P$381:$V$402,W386,FALSE))+$O$375&lt;0,0,IF(ES_Hydro_TECDS=0,IF(ES_Hydro_HM=100,IF(Offgrid=5,'Modelo Energético '!F456,F410),IF(Offgrid=5,'Modelo Energético '!E432,E386)),HLOOKUP($P$367,$P$381:$V$402,W386,FALSE))+$O$375)</f>
        <v>#DIV/0!</v>
      </c>
      <c r="G386" s="119" t="e">
        <f t="shared" si="35"/>
        <v>#DIV/0!</v>
      </c>
      <c r="H386" s="118" t="e">
        <f t="shared" si="38"/>
        <v>#DIV/0!</v>
      </c>
      <c r="I386" s="1"/>
      <c r="J386" s="1"/>
      <c r="K386" s="9"/>
      <c r="L386" s="1"/>
      <c r="M386" s="319"/>
      <c r="N386" s="319"/>
      <c r="O386" s="319">
        <f t="shared" si="22"/>
        <v>0</v>
      </c>
      <c r="P386" s="476" t="e">
        <f t="shared" si="23"/>
        <v>#DIV/0!</v>
      </c>
      <c r="Q386" s="476" t="e">
        <f t="shared" si="24"/>
        <v>#DIV/0!</v>
      </c>
      <c r="R386" s="476" t="e">
        <f t="shared" si="25"/>
        <v>#DIV/0!</v>
      </c>
      <c r="S386" s="476" t="e">
        <f t="shared" si="26"/>
        <v>#DIV/0!</v>
      </c>
      <c r="T386" s="476" t="e">
        <f t="shared" si="27"/>
        <v>#DIV/0!</v>
      </c>
      <c r="U386" s="476">
        <f t="shared" si="28"/>
        <v>0.60974676279787521</v>
      </c>
      <c r="V386" s="476">
        <f>IF(Offgrid=5,IF(AND(ES_Hydro_PT=222,ES_Hydro_HM=100),'Modelo Energético '!F456,'Modelo Energético '!E432),IF(AND(ES_Hydro_PT=222,ES_Hydro_HM=100),F410,E386))</f>
        <v>0.60974676279787499</v>
      </c>
      <c r="W386" s="476">
        <v>6</v>
      </c>
      <c r="X386" s="476">
        <f>IF(SUM($M$316:$M$317)=322,E410,IF(Offgrid=5,'Modelo Energético '!D432,D386))/$O$366*$O$435</f>
        <v>0</v>
      </c>
      <c r="Y386" s="476">
        <f t="shared" si="29"/>
        <v>0</v>
      </c>
      <c r="Z386" s="476">
        <f t="shared" si="30"/>
        <v>5</v>
      </c>
      <c r="AA386" s="476">
        <f t="shared" si="31"/>
        <v>0</v>
      </c>
      <c r="AB386" s="476">
        <f t="shared" si="32"/>
        <v>0</v>
      </c>
      <c r="AC386" s="476" t="e">
        <f t="shared" si="33"/>
        <v>#DIV/0!</v>
      </c>
      <c r="AD386" s="849" t="e">
        <f t="shared" si="36"/>
        <v>#DIV/0!</v>
      </c>
      <c r="AE386" s="494" t="e">
        <f t="shared" si="37"/>
        <v>#DIV/0!</v>
      </c>
      <c r="AF386" s="494" t="e">
        <f t="shared" si="34"/>
        <v>#DIV/0!</v>
      </c>
      <c r="AG386" s="319"/>
      <c r="AH386" s="319"/>
      <c r="AI386" s="319"/>
      <c r="AJ386" s="319"/>
      <c r="AK386" s="319"/>
      <c r="AL386" s="319"/>
      <c r="AM386" s="319"/>
      <c r="AN386" s="319"/>
      <c r="AO386" s="319">
        <v>2113025</v>
      </c>
      <c r="AP386" s="319"/>
      <c r="AQ386" s="319"/>
      <c r="AR386" s="319"/>
      <c r="AS386" s="319"/>
      <c r="AT386" s="319"/>
      <c r="AU386" s="319"/>
      <c r="AV386" s="319"/>
      <c r="AW386" s="319"/>
      <c r="AX386" s="319"/>
      <c r="AY386" s="319"/>
      <c r="AZ386" s="319"/>
      <c r="BA386" s="319"/>
      <c r="BB386" s="319"/>
      <c r="BC386" s="319"/>
      <c r="BD386" s="319"/>
      <c r="BE386" s="319"/>
      <c r="BF386" s="319"/>
      <c r="BG386" s="319"/>
      <c r="BH386" s="319"/>
      <c r="BI386" s="319"/>
      <c r="BJ386" s="319"/>
      <c r="BK386" s="319"/>
      <c r="BL386" s="319"/>
      <c r="BM386" s="319"/>
      <c r="BN386" s="319"/>
      <c r="BO386" s="319"/>
      <c r="BP386" s="319"/>
      <c r="BQ386" s="319"/>
      <c r="BR386" s="319"/>
      <c r="BS386" s="319"/>
      <c r="BT386" s="319"/>
      <c r="BU386" s="319"/>
      <c r="BV386" s="319"/>
      <c r="BW386" s="319"/>
      <c r="BX386" s="319"/>
      <c r="BY386" s="319"/>
      <c r="BZ386" s="319"/>
      <c r="CA386" s="319"/>
      <c r="CB386" s="319"/>
      <c r="CC386" s="319"/>
      <c r="CD386" s="319"/>
      <c r="CE386" s="319"/>
      <c r="CF386" s="319"/>
    </row>
    <row r="387" spans="1:84" ht="12.75" hidden="1" customHeight="1">
      <c r="A387" s="12"/>
      <c r="B387" s="1"/>
      <c r="C387" s="112">
        <v>0.25</v>
      </c>
      <c r="D387" s="310"/>
      <c r="E387" s="880">
        <v>0.65308941122144504</v>
      </c>
      <c r="F387" s="118" t="e">
        <f>IF(IF(ES_Hydro_TECDS=0,IF(ES_Hydro_HM=100,IF(Offgrid=5,'Modelo Energético '!F457,F411),IF(Offgrid=5,'Modelo Energético '!E433,E387)),HLOOKUP($P$367,$P$381:$V$402,W387,FALSE))+$O$375&lt;0,0,IF(ES_Hydro_TECDS=0,IF(ES_Hydro_HM=100,IF(Offgrid=5,'Modelo Energético '!F457,F411),IF(Offgrid=5,'Modelo Energético '!E433,E387)),HLOOKUP($P$367,$P$381:$V$402,W387,FALSE))+$O$375)</f>
        <v>#DIV/0!</v>
      </c>
      <c r="G387" s="119" t="e">
        <f t="shared" si="35"/>
        <v>#DIV/0!</v>
      </c>
      <c r="H387" s="118" t="e">
        <f t="shared" si="38"/>
        <v>#DIV/0!</v>
      </c>
      <c r="I387" s="1"/>
      <c r="J387" s="1"/>
      <c r="K387" s="9"/>
      <c r="L387" s="1"/>
      <c r="M387" s="319"/>
      <c r="N387" s="319"/>
      <c r="O387" s="319">
        <f t="shared" si="22"/>
        <v>0</v>
      </c>
      <c r="P387" s="476" t="e">
        <f t="shared" si="23"/>
        <v>#DIV/0!</v>
      </c>
      <c r="Q387" s="476" t="e">
        <f t="shared" si="24"/>
        <v>#DIV/0!</v>
      </c>
      <c r="R387" s="476" t="e">
        <f t="shared" si="25"/>
        <v>#DIV/0!</v>
      </c>
      <c r="S387" s="476" t="e">
        <f t="shared" si="26"/>
        <v>#DIV/0!</v>
      </c>
      <c r="T387" s="476" t="e">
        <f t="shared" si="27"/>
        <v>#DIV/0!</v>
      </c>
      <c r="U387" s="476">
        <f t="shared" si="28"/>
        <v>0.65308941122144459</v>
      </c>
      <c r="V387" s="476">
        <f>IF(Offgrid=5,IF(AND(ES_Hydro_PT=222,ES_Hydro_HM=100),'Modelo Energético '!F457,'Modelo Energético '!E433),IF(AND(ES_Hydro_PT=222,ES_Hydro_HM=100),F411,E387))</f>
        <v>0.65308941122144504</v>
      </c>
      <c r="W387" s="476">
        <v>7</v>
      </c>
      <c r="X387" s="476">
        <f>IF(SUM($M$316:$M$317)=322,E411,IF(Offgrid=5,'Modelo Energético '!D433,D387))/$O$366*$O$435</f>
        <v>0</v>
      </c>
      <c r="Y387" s="476">
        <f t="shared" si="29"/>
        <v>0</v>
      </c>
      <c r="Z387" s="476">
        <f t="shared" si="30"/>
        <v>5</v>
      </c>
      <c r="AA387" s="476">
        <f t="shared" si="31"/>
        <v>0</v>
      </c>
      <c r="AB387" s="476">
        <f t="shared" si="32"/>
        <v>0</v>
      </c>
      <c r="AC387" s="476" t="e">
        <f t="shared" si="33"/>
        <v>#DIV/0!</v>
      </c>
      <c r="AD387" s="849" t="e">
        <f t="shared" si="36"/>
        <v>#DIV/0!</v>
      </c>
      <c r="AE387" s="494" t="e">
        <f t="shared" si="37"/>
        <v>#DIV/0!</v>
      </c>
      <c r="AF387" s="494" t="e">
        <f t="shared" si="34"/>
        <v>#DIV/0!</v>
      </c>
      <c r="AG387" s="319"/>
      <c r="AH387" s="319"/>
      <c r="AI387" s="319"/>
      <c r="AJ387" s="319"/>
      <c r="AK387" s="319"/>
      <c r="AL387" s="319"/>
      <c r="AM387" s="319"/>
      <c r="AN387" s="319"/>
      <c r="AO387" s="319">
        <v>2113025</v>
      </c>
      <c r="AP387" s="319"/>
      <c r="AQ387" s="319"/>
      <c r="AR387" s="319"/>
      <c r="AS387" s="319"/>
      <c r="AT387" s="319"/>
      <c r="AU387" s="319"/>
      <c r="AV387" s="319"/>
      <c r="AW387" s="319"/>
      <c r="AX387" s="319"/>
      <c r="AY387" s="319"/>
      <c r="AZ387" s="319"/>
      <c r="BA387" s="319"/>
      <c r="BB387" s="319"/>
      <c r="BC387" s="319"/>
      <c r="BD387" s="319"/>
      <c r="BE387" s="319"/>
      <c r="BF387" s="319"/>
      <c r="BG387" s="319"/>
      <c r="BH387" s="319"/>
      <c r="BI387" s="319"/>
      <c r="BJ387" s="319"/>
      <c r="BK387" s="319"/>
      <c r="BL387" s="319"/>
      <c r="BM387" s="319"/>
      <c r="BN387" s="319"/>
      <c r="BO387" s="319"/>
      <c r="BP387" s="319"/>
      <c r="BQ387" s="319"/>
      <c r="BR387" s="319"/>
      <c r="BS387" s="319"/>
      <c r="BT387" s="319"/>
      <c r="BU387" s="319"/>
      <c r="BV387" s="319"/>
      <c r="BW387" s="319"/>
      <c r="BX387" s="319"/>
      <c r="BY387" s="319"/>
      <c r="BZ387" s="319"/>
      <c r="CA387" s="319"/>
      <c r="CB387" s="319"/>
      <c r="CC387" s="319"/>
      <c r="CD387" s="319"/>
      <c r="CE387" s="319"/>
      <c r="CF387" s="319"/>
    </row>
    <row r="388" spans="1:84" ht="12.75" hidden="1" customHeight="1">
      <c r="A388" s="12"/>
      <c r="B388" s="1"/>
      <c r="C388" s="112">
        <v>0.3</v>
      </c>
      <c r="D388" s="310"/>
      <c r="E388" s="880">
        <v>0.67570834390196899</v>
      </c>
      <c r="F388" s="118" t="e">
        <f>IF(IF(ES_Hydro_TECDS=0,IF(ES_Hydro_HM=100,IF(Offgrid=5,'Modelo Energético '!F458,F412),IF(Offgrid=5,'Modelo Energético '!E434,E388)),HLOOKUP($P$367,$P$381:$V$402,W388,FALSE))+$O$375&lt;0,0,IF(ES_Hydro_TECDS=0,IF(ES_Hydro_HM=100,IF(Offgrid=5,'Modelo Energético '!F458,F412),IF(Offgrid=5,'Modelo Energético '!E434,E388)),HLOOKUP($P$367,$P$381:$V$402,W388,FALSE))+$O$375)</f>
        <v>#DIV/0!</v>
      </c>
      <c r="G388" s="119" t="e">
        <f t="shared" si="35"/>
        <v>#DIV/0!</v>
      </c>
      <c r="H388" s="118" t="e">
        <f t="shared" si="38"/>
        <v>#DIV/0!</v>
      </c>
      <c r="I388" s="1"/>
      <c r="J388" s="1"/>
      <c r="K388" s="9"/>
      <c r="L388" s="1"/>
      <c r="M388" s="319"/>
      <c r="N388" s="319"/>
      <c r="O388" s="319">
        <f t="shared" si="22"/>
        <v>0</v>
      </c>
      <c r="P388" s="476" t="e">
        <f t="shared" si="23"/>
        <v>#DIV/0!</v>
      </c>
      <c r="Q388" s="476" t="e">
        <f t="shared" si="24"/>
        <v>#DIV/0!</v>
      </c>
      <c r="R388" s="476" t="e">
        <f t="shared" si="25"/>
        <v>#DIV/0!</v>
      </c>
      <c r="S388" s="476" t="e">
        <f t="shared" si="26"/>
        <v>#DIV/0!</v>
      </c>
      <c r="T388" s="476" t="e">
        <f t="shared" si="27"/>
        <v>#DIV/0!</v>
      </c>
      <c r="U388" s="476">
        <f t="shared" si="28"/>
        <v>0.67570834390196877</v>
      </c>
      <c r="V388" s="476">
        <f>IF(Offgrid=5,IF(AND(ES_Hydro_PT=222,ES_Hydro_HM=100),'Modelo Energético '!F458,'Modelo Energético '!E434),IF(AND(ES_Hydro_PT=222,ES_Hydro_HM=100),F412,E388))</f>
        <v>0.67570834390196899</v>
      </c>
      <c r="W388" s="476">
        <v>8</v>
      </c>
      <c r="X388" s="476">
        <f>IF(SUM($M$316:$M$317)=322,E412,IF(Offgrid=5,'Modelo Energético '!D434,D388))/$O$366*$O$435</f>
        <v>0</v>
      </c>
      <c r="Y388" s="476">
        <f t="shared" si="29"/>
        <v>0</v>
      </c>
      <c r="Z388" s="476">
        <f t="shared" si="30"/>
        <v>5</v>
      </c>
      <c r="AA388" s="476">
        <f t="shared" si="31"/>
        <v>0</v>
      </c>
      <c r="AB388" s="476">
        <f t="shared" si="32"/>
        <v>0</v>
      </c>
      <c r="AC388" s="476" t="e">
        <f t="shared" si="33"/>
        <v>#DIV/0!</v>
      </c>
      <c r="AD388" s="849" t="e">
        <f t="shared" si="36"/>
        <v>#DIV/0!</v>
      </c>
      <c r="AE388" s="494" t="e">
        <f t="shared" si="37"/>
        <v>#DIV/0!</v>
      </c>
      <c r="AF388" s="494" t="e">
        <f t="shared" si="34"/>
        <v>#DIV/0!</v>
      </c>
      <c r="AG388" s="319"/>
      <c r="AH388" s="319"/>
      <c r="AI388" s="319"/>
      <c r="AJ388" s="319"/>
      <c r="AK388" s="319"/>
      <c r="AL388" s="319"/>
      <c r="AM388" s="319"/>
      <c r="AN388" s="319"/>
      <c r="AO388" s="319">
        <v>2113025</v>
      </c>
      <c r="AP388" s="319"/>
      <c r="AQ388" s="319"/>
      <c r="AR388" s="319"/>
      <c r="AS388" s="319"/>
      <c r="AT388" s="319"/>
      <c r="AU388" s="319"/>
      <c r="AV388" s="319"/>
      <c r="AW388" s="319"/>
      <c r="AX388" s="319"/>
      <c r="AY388" s="319"/>
      <c r="AZ388" s="319"/>
      <c r="BA388" s="319"/>
      <c r="BB388" s="319"/>
      <c r="BC388" s="319"/>
      <c r="BD388" s="319"/>
      <c r="BE388" s="319"/>
      <c r="BF388" s="319"/>
      <c r="BG388" s="319"/>
      <c r="BH388" s="319"/>
      <c r="BI388" s="319"/>
      <c r="BJ388" s="319"/>
      <c r="BK388" s="319"/>
      <c r="BL388" s="319"/>
      <c r="BM388" s="319"/>
      <c r="BN388" s="319"/>
      <c r="BO388" s="319"/>
      <c r="BP388" s="319"/>
      <c r="BQ388" s="319"/>
      <c r="BR388" s="319"/>
      <c r="BS388" s="319"/>
      <c r="BT388" s="319"/>
      <c r="BU388" s="319"/>
      <c r="BV388" s="319"/>
      <c r="BW388" s="319"/>
      <c r="BX388" s="319"/>
      <c r="BY388" s="319"/>
      <c r="BZ388" s="319"/>
      <c r="CA388" s="319"/>
      <c r="CB388" s="319"/>
      <c r="CC388" s="319"/>
      <c r="CD388" s="319"/>
      <c r="CE388" s="319"/>
      <c r="CF388" s="319"/>
    </row>
    <row r="389" spans="1:84" ht="12.75" hidden="1" customHeight="1">
      <c r="A389" s="12"/>
      <c r="B389" s="1"/>
      <c r="C389" s="112">
        <v>0.35</v>
      </c>
      <c r="D389" s="310"/>
      <c r="E389" s="880">
        <v>0.68920763815404795</v>
      </c>
      <c r="F389" s="118" t="e">
        <f>IF(IF(ES_Hydro_TECDS=0,IF(ES_Hydro_HM=100,IF(Offgrid=5,'Modelo Energético '!F459,F413),IF(Offgrid=5,'Modelo Energético '!E435,E389)),HLOOKUP($P$367,$P$381:$V$402,W389,FALSE))+$O$375&lt;0,0,IF(ES_Hydro_TECDS=0,IF(ES_Hydro_HM=100,IF(Offgrid=5,'Modelo Energético '!F459,F413),IF(Offgrid=5,'Modelo Energético '!E435,E389)),HLOOKUP($P$367,$P$381:$V$402,W389,FALSE))+$O$375)</f>
        <v>#DIV/0!</v>
      </c>
      <c r="G389" s="119" t="e">
        <f t="shared" si="35"/>
        <v>#DIV/0!</v>
      </c>
      <c r="H389" s="118" t="e">
        <f t="shared" si="38"/>
        <v>#DIV/0!</v>
      </c>
      <c r="I389" s="1"/>
      <c r="J389" s="1"/>
      <c r="K389" s="9"/>
      <c r="L389" s="1"/>
      <c r="M389" s="319"/>
      <c r="N389" s="319"/>
      <c r="O389" s="319">
        <f t="shared" si="22"/>
        <v>0</v>
      </c>
      <c r="P389" s="476" t="e">
        <f t="shared" si="23"/>
        <v>#DIV/0!</v>
      </c>
      <c r="Q389" s="476" t="e">
        <f t="shared" si="24"/>
        <v>#DIV/0!</v>
      </c>
      <c r="R389" s="476" t="e">
        <f t="shared" si="25"/>
        <v>#DIV/0!</v>
      </c>
      <c r="S389" s="476" t="e">
        <f t="shared" si="26"/>
        <v>#DIV/0!</v>
      </c>
      <c r="T389" s="476" t="e">
        <f t="shared" si="27"/>
        <v>#DIV/0!</v>
      </c>
      <c r="U389" s="476">
        <f t="shared" si="28"/>
        <v>0.68920763815404784</v>
      </c>
      <c r="V389" s="476">
        <f>IF(Offgrid=5,IF(AND(ES_Hydro_PT=222,ES_Hydro_HM=100),'Modelo Energético '!F459,'Modelo Energético '!E435),IF(AND(ES_Hydro_PT=222,ES_Hydro_HM=100),F413,E389))</f>
        <v>0.68920763815404795</v>
      </c>
      <c r="W389" s="476">
        <v>9</v>
      </c>
      <c r="X389" s="476">
        <f>IF(SUM($M$316:$M$317)=322,E413,IF(Offgrid=5,'Modelo Energético '!D435,D389))/$O$366*$O$435</f>
        <v>0</v>
      </c>
      <c r="Y389" s="476">
        <f t="shared" si="29"/>
        <v>0</v>
      </c>
      <c r="Z389" s="476">
        <f t="shared" si="30"/>
        <v>5</v>
      </c>
      <c r="AA389" s="476">
        <f t="shared" si="31"/>
        <v>0</v>
      </c>
      <c r="AB389" s="476">
        <f t="shared" si="32"/>
        <v>0</v>
      </c>
      <c r="AC389" s="476" t="e">
        <f t="shared" si="33"/>
        <v>#DIV/0!</v>
      </c>
      <c r="AD389" s="849" t="e">
        <f t="shared" si="36"/>
        <v>#DIV/0!</v>
      </c>
      <c r="AE389" s="494" t="e">
        <f t="shared" si="37"/>
        <v>#DIV/0!</v>
      </c>
      <c r="AF389" s="494" t="e">
        <f t="shared" si="34"/>
        <v>#DIV/0!</v>
      </c>
      <c r="AG389" s="319"/>
      <c r="AH389" s="319"/>
      <c r="AI389" s="319"/>
      <c r="AJ389" s="319"/>
      <c r="AK389" s="319"/>
      <c r="AL389" s="319"/>
      <c r="AM389" s="319"/>
      <c r="AN389" s="319"/>
      <c r="AO389" s="319">
        <v>2113025</v>
      </c>
      <c r="AP389" s="319"/>
      <c r="AQ389" s="319"/>
      <c r="AR389" s="319"/>
      <c r="AS389" s="319"/>
      <c r="AT389" s="319"/>
      <c r="AU389" s="319"/>
      <c r="AV389" s="319"/>
      <c r="AW389" s="319"/>
      <c r="AX389" s="319"/>
      <c r="AY389" s="319"/>
      <c r="AZ389" s="319"/>
      <c r="BA389" s="319"/>
      <c r="BB389" s="319"/>
      <c r="BC389" s="319"/>
      <c r="BD389" s="319"/>
      <c r="BE389" s="319"/>
      <c r="BF389" s="319"/>
      <c r="BG389" s="319"/>
      <c r="BH389" s="319"/>
      <c r="BI389" s="319"/>
      <c r="BJ389" s="319"/>
      <c r="BK389" s="319"/>
      <c r="BL389" s="319"/>
      <c r="BM389" s="319"/>
      <c r="BN389" s="319"/>
      <c r="BO389" s="319"/>
      <c r="BP389" s="319"/>
      <c r="BQ389" s="319"/>
      <c r="BR389" s="319"/>
      <c r="BS389" s="319"/>
      <c r="BT389" s="319"/>
      <c r="BU389" s="319"/>
      <c r="BV389" s="319"/>
      <c r="BW389" s="319"/>
      <c r="BX389" s="319"/>
      <c r="BY389" s="319"/>
      <c r="BZ389" s="319"/>
      <c r="CA389" s="319"/>
      <c r="CB389" s="319"/>
      <c r="CC389" s="319"/>
      <c r="CD389" s="319"/>
      <c r="CE389" s="319"/>
      <c r="CF389" s="319"/>
    </row>
    <row r="390" spans="1:84" ht="12.75" hidden="1" customHeight="1">
      <c r="A390" s="12"/>
      <c r="B390" s="1"/>
      <c r="C390" s="112">
        <v>0.4</v>
      </c>
      <c r="D390" s="310"/>
      <c r="E390" s="880">
        <v>0.69892641095188501</v>
      </c>
      <c r="F390" s="118" t="e">
        <f>IF(IF(ES_Hydro_TECDS=0,IF(ES_Hydro_HM=100,IF(Offgrid=5,'Modelo Energético '!F460,F414),IF(Offgrid=5,'Modelo Energético '!E436,E390)),HLOOKUP($P$367,$P$381:$V$402,W390,FALSE))+$O$375&lt;0,0,IF(ES_Hydro_TECDS=0,IF(ES_Hydro_HM=100,IF(Offgrid=5,'Modelo Energético '!F460,F414),IF(Offgrid=5,'Modelo Energético '!E436,E390)),HLOOKUP($P$367,$P$381:$V$402,W390,FALSE))+$O$375)</f>
        <v>#DIV/0!</v>
      </c>
      <c r="G390" s="119" t="e">
        <f t="shared" si="35"/>
        <v>#DIV/0!</v>
      </c>
      <c r="H390" s="118" t="e">
        <f t="shared" si="38"/>
        <v>#DIV/0!</v>
      </c>
      <c r="I390" s="1"/>
      <c r="J390" s="1"/>
      <c r="K390" s="9"/>
      <c r="L390" s="1"/>
      <c r="M390" s="319"/>
      <c r="N390" s="319"/>
      <c r="O390" s="319">
        <f t="shared" si="22"/>
        <v>0</v>
      </c>
      <c r="P390" s="476" t="e">
        <f t="shared" si="23"/>
        <v>#DIV/0!</v>
      </c>
      <c r="Q390" s="476" t="e">
        <f t="shared" si="24"/>
        <v>#DIV/0!</v>
      </c>
      <c r="R390" s="476" t="e">
        <f t="shared" si="25"/>
        <v>#DIV/0!</v>
      </c>
      <c r="S390" s="476" t="e">
        <f t="shared" si="26"/>
        <v>#DIV/0!</v>
      </c>
      <c r="T390" s="476" t="e">
        <f t="shared" si="27"/>
        <v>#DIV/0!</v>
      </c>
      <c r="U390" s="476">
        <f t="shared" si="28"/>
        <v>0.6989264109518849</v>
      </c>
      <c r="V390" s="476">
        <f>IF(Offgrid=5,IF(AND(ES_Hydro_PT=222,ES_Hydro_HM=100),'Modelo Energético '!F460,'Modelo Energético '!E436),IF(AND(ES_Hydro_PT=222,ES_Hydro_HM=100),F414,E390))</f>
        <v>0.69892641095188501</v>
      </c>
      <c r="W390" s="476">
        <v>10</v>
      </c>
      <c r="X390" s="476">
        <f>IF(SUM($M$316:$M$317)=322,E414,IF(Offgrid=5,'Modelo Energético '!D436,D390))/$O$366*$O$435</f>
        <v>0</v>
      </c>
      <c r="Y390" s="476">
        <f t="shared" si="29"/>
        <v>0</v>
      </c>
      <c r="Z390" s="476">
        <f t="shared" si="30"/>
        <v>5</v>
      </c>
      <c r="AA390" s="476">
        <f t="shared" si="31"/>
        <v>0</v>
      </c>
      <c r="AB390" s="476">
        <f t="shared" si="32"/>
        <v>0</v>
      </c>
      <c r="AC390" s="476" t="e">
        <f t="shared" si="33"/>
        <v>#DIV/0!</v>
      </c>
      <c r="AD390" s="849" t="e">
        <f t="shared" si="36"/>
        <v>#DIV/0!</v>
      </c>
      <c r="AE390" s="494" t="e">
        <f t="shared" si="37"/>
        <v>#DIV/0!</v>
      </c>
      <c r="AF390" s="494" t="e">
        <f t="shared" si="34"/>
        <v>#DIV/0!</v>
      </c>
      <c r="AG390" s="319"/>
      <c r="AH390" s="319"/>
      <c r="AI390" s="319"/>
      <c r="AJ390" s="319"/>
      <c r="AK390" s="319"/>
      <c r="AL390" s="319"/>
      <c r="AM390" s="319"/>
      <c r="AN390" s="319"/>
      <c r="AO390" s="319">
        <v>2113025</v>
      </c>
      <c r="AP390" s="319"/>
      <c r="AQ390" s="319"/>
      <c r="AR390" s="319"/>
      <c r="AS390" s="319"/>
      <c r="AT390" s="319"/>
      <c r="AU390" s="319"/>
      <c r="AV390" s="319"/>
      <c r="AW390" s="319"/>
      <c r="AX390" s="319"/>
      <c r="AY390" s="319"/>
      <c r="AZ390" s="319"/>
      <c r="BA390" s="319"/>
      <c r="BB390" s="319"/>
      <c r="BC390" s="319"/>
      <c r="BD390" s="319"/>
      <c r="BE390" s="319"/>
      <c r="BF390" s="319"/>
      <c r="BG390" s="319"/>
      <c r="BH390" s="319"/>
      <c r="BI390" s="319"/>
      <c r="BJ390" s="319"/>
      <c r="BK390" s="319"/>
      <c r="BL390" s="319"/>
      <c r="BM390" s="319"/>
      <c r="BN390" s="319"/>
      <c r="BO390" s="319"/>
      <c r="BP390" s="319"/>
      <c r="BQ390" s="319"/>
      <c r="BR390" s="319"/>
      <c r="BS390" s="319"/>
      <c r="BT390" s="319"/>
      <c r="BU390" s="319"/>
      <c r="BV390" s="319"/>
      <c r="BW390" s="319"/>
      <c r="BX390" s="319"/>
      <c r="BY390" s="319"/>
      <c r="BZ390" s="319"/>
      <c r="CA390" s="319"/>
      <c r="CB390" s="319"/>
      <c r="CC390" s="319"/>
      <c r="CD390" s="319"/>
      <c r="CE390" s="319"/>
      <c r="CF390" s="319"/>
    </row>
    <row r="391" spans="1:84" ht="12.75" hidden="1" customHeight="1">
      <c r="A391" s="12"/>
      <c r="B391" s="1"/>
      <c r="C391" s="112">
        <v>0.45</v>
      </c>
      <c r="D391" s="310"/>
      <c r="E391" s="880">
        <v>0.70718246016112696</v>
      </c>
      <c r="F391" s="118" t="e">
        <f>IF(IF(ES_Hydro_TECDS=0,IF(ES_Hydro_HM=100,IF(Offgrid=5,'Modelo Energético '!F461,F415),IF(Offgrid=5,'Modelo Energético '!E437,E391)),HLOOKUP($P$367,$P$381:$V$402,W391,FALSE))+$O$375&lt;0,0,IF(ES_Hydro_TECDS=0,IF(ES_Hydro_HM=100,IF(Offgrid=5,'Modelo Energético '!F461,F415),IF(Offgrid=5,'Modelo Energético '!E437,E391)),HLOOKUP($P$367,$P$381:$V$402,W391,FALSE))+$O$375)</f>
        <v>#DIV/0!</v>
      </c>
      <c r="G391" s="119" t="e">
        <f t="shared" si="35"/>
        <v>#DIV/0!</v>
      </c>
      <c r="H391" s="118" t="e">
        <f t="shared" si="38"/>
        <v>#DIV/0!</v>
      </c>
      <c r="I391" s="1"/>
      <c r="J391" s="1"/>
      <c r="K391" s="9"/>
      <c r="L391" s="1"/>
      <c r="M391" s="319"/>
      <c r="N391" s="319"/>
      <c r="O391" s="319">
        <f t="shared" si="22"/>
        <v>0</v>
      </c>
      <c r="P391" s="476" t="e">
        <f t="shared" si="23"/>
        <v>#DIV/0!</v>
      </c>
      <c r="Q391" s="476" t="e">
        <f t="shared" si="24"/>
        <v>#DIV/0!</v>
      </c>
      <c r="R391" s="476" t="e">
        <f t="shared" si="25"/>
        <v>#DIV/0!</v>
      </c>
      <c r="S391" s="476" t="e">
        <f t="shared" si="26"/>
        <v>#DIV/0!</v>
      </c>
      <c r="T391" s="476" t="e">
        <f t="shared" si="27"/>
        <v>#DIV/0!</v>
      </c>
      <c r="U391" s="476">
        <f t="shared" si="28"/>
        <v>0.70718246016112729</v>
      </c>
      <c r="V391" s="476">
        <f>IF(Offgrid=5,IF(AND(ES_Hydro_PT=222,ES_Hydro_HM=100),'Modelo Energético '!F461,'Modelo Energético '!E437),IF(AND(ES_Hydro_PT=222,ES_Hydro_HM=100),F415,E391))</f>
        <v>0.70718246016112696</v>
      </c>
      <c r="W391" s="476">
        <v>11</v>
      </c>
      <c r="X391" s="476">
        <f>IF(SUM($M$316:$M$317)=322,E415,IF(Offgrid=5,'Modelo Energético '!D437,D391))/$O$366*$O$435</f>
        <v>0</v>
      </c>
      <c r="Y391" s="476">
        <f t="shared" si="29"/>
        <v>0</v>
      </c>
      <c r="Z391" s="476">
        <f t="shared" si="30"/>
        <v>5</v>
      </c>
      <c r="AA391" s="476">
        <f t="shared" si="31"/>
        <v>0</v>
      </c>
      <c r="AB391" s="476">
        <f t="shared" si="32"/>
        <v>0</v>
      </c>
      <c r="AC391" s="476" t="e">
        <f t="shared" si="33"/>
        <v>#DIV/0!</v>
      </c>
      <c r="AD391" s="849" t="e">
        <f t="shared" si="36"/>
        <v>#DIV/0!</v>
      </c>
      <c r="AE391" s="494" t="e">
        <f t="shared" si="37"/>
        <v>#DIV/0!</v>
      </c>
      <c r="AF391" s="494" t="e">
        <f t="shared" si="34"/>
        <v>#DIV/0!</v>
      </c>
      <c r="AG391" s="319"/>
      <c r="AH391" s="319"/>
      <c r="AI391" s="319"/>
      <c r="AJ391" s="319"/>
      <c r="AK391" s="319"/>
      <c r="AL391" s="319"/>
      <c r="AM391" s="319"/>
      <c r="AN391" s="319"/>
      <c r="AO391" s="319">
        <v>2113025</v>
      </c>
      <c r="AP391" s="319"/>
      <c r="AQ391" s="319"/>
      <c r="AR391" s="319"/>
      <c r="AS391" s="319"/>
      <c r="AT391" s="319"/>
      <c r="AU391" s="319"/>
      <c r="AV391" s="319"/>
      <c r="AW391" s="319"/>
      <c r="AX391" s="319"/>
      <c r="AY391" s="319"/>
      <c r="AZ391" s="319"/>
      <c r="BA391" s="319"/>
      <c r="BB391" s="319"/>
      <c r="BC391" s="319"/>
      <c r="BD391" s="319"/>
      <c r="BE391" s="319"/>
      <c r="BF391" s="319"/>
      <c r="BG391" s="319"/>
      <c r="BH391" s="319"/>
      <c r="BI391" s="319"/>
      <c r="BJ391" s="319"/>
      <c r="BK391" s="319"/>
      <c r="BL391" s="319"/>
      <c r="BM391" s="319"/>
      <c r="BN391" s="319"/>
      <c r="BO391" s="319"/>
      <c r="BP391" s="319"/>
      <c r="BQ391" s="319"/>
      <c r="BR391" s="319"/>
      <c r="BS391" s="319"/>
      <c r="BT391" s="319"/>
      <c r="BU391" s="319"/>
      <c r="BV391" s="319"/>
      <c r="BW391" s="319"/>
      <c r="BX391" s="319"/>
      <c r="BY391" s="319"/>
      <c r="BZ391" s="319"/>
      <c r="CA391" s="319"/>
      <c r="CB391" s="319"/>
      <c r="CC391" s="319"/>
      <c r="CD391" s="319"/>
      <c r="CE391" s="319"/>
      <c r="CF391" s="319"/>
    </row>
    <row r="392" spans="1:84" ht="12.75" hidden="1" customHeight="1">
      <c r="A392" s="12"/>
      <c r="B392" s="1"/>
      <c r="C392" s="112">
        <v>0.5</v>
      </c>
      <c r="D392" s="310"/>
      <c r="E392" s="880">
        <v>0.71491638183593798</v>
      </c>
      <c r="F392" s="118" t="e">
        <f>IF(IF(ES_Hydro_TECDS=0,IF(ES_Hydro_HM=100,IF(Offgrid=5,'Modelo Energético '!F462,F416),IF(Offgrid=5,'Modelo Energético '!E438,E392)),HLOOKUP($P$367,$P$381:$V$402,W392,FALSE))+$O$375&lt;0,0,IF(ES_Hydro_TECDS=0,IF(ES_Hydro_HM=100,IF(Offgrid=5,'Modelo Energético '!F462,F416),IF(Offgrid=5,'Modelo Energético '!E438,E392)),HLOOKUP($P$367,$P$381:$V$402,W392,FALSE))+$O$375)</f>
        <v>#DIV/0!</v>
      </c>
      <c r="G392" s="119" t="e">
        <f t="shared" si="35"/>
        <v>#DIV/0!</v>
      </c>
      <c r="H392" s="118" t="e">
        <f t="shared" si="38"/>
        <v>#DIV/0!</v>
      </c>
      <c r="I392" s="1"/>
      <c r="J392" s="1"/>
      <c r="K392" s="9"/>
      <c r="L392" s="1"/>
      <c r="M392" s="319"/>
      <c r="N392" s="319"/>
      <c r="O392" s="319">
        <f t="shared" si="22"/>
        <v>0</v>
      </c>
      <c r="P392" s="476" t="e">
        <f t="shared" si="23"/>
        <v>#DIV/0!</v>
      </c>
      <c r="Q392" s="476" t="e">
        <f t="shared" si="24"/>
        <v>#DIV/0!</v>
      </c>
      <c r="R392" s="476" t="e">
        <f t="shared" si="25"/>
        <v>#DIV/0!</v>
      </c>
      <c r="S392" s="476" t="e">
        <f t="shared" si="26"/>
        <v>#DIV/0!</v>
      </c>
      <c r="T392" s="476" t="e">
        <f t="shared" si="27"/>
        <v>#DIV/0!</v>
      </c>
      <c r="U392" s="476">
        <f t="shared" si="28"/>
        <v>0.71491638183593753</v>
      </c>
      <c r="V392" s="476">
        <f>IF(Offgrid=5,IF(AND(ES_Hydro_PT=222,ES_Hydro_HM=100),'Modelo Energético '!F462,'Modelo Energético '!E438),IF(AND(ES_Hydro_PT=222,ES_Hydro_HM=100),F416,E392))</f>
        <v>0.71491638183593798</v>
      </c>
      <c r="W392" s="476">
        <v>12</v>
      </c>
      <c r="X392" s="476">
        <f>IF(SUM($M$316:$M$317)=322,E416,IF(Offgrid=5,'Modelo Energético '!D438,D392))/$O$366*$O$435</f>
        <v>0</v>
      </c>
      <c r="Y392" s="476">
        <f t="shared" si="29"/>
        <v>0</v>
      </c>
      <c r="Z392" s="476">
        <f t="shared" si="30"/>
        <v>5</v>
      </c>
      <c r="AA392" s="476">
        <f t="shared" si="31"/>
        <v>0</v>
      </c>
      <c r="AB392" s="476">
        <f t="shared" si="32"/>
        <v>0</v>
      </c>
      <c r="AC392" s="476" t="e">
        <f t="shared" si="33"/>
        <v>#DIV/0!</v>
      </c>
      <c r="AD392" s="849" t="e">
        <f t="shared" si="36"/>
        <v>#DIV/0!</v>
      </c>
      <c r="AE392" s="494" t="e">
        <f t="shared" si="37"/>
        <v>#DIV/0!</v>
      </c>
      <c r="AF392" s="494" t="e">
        <f t="shared" si="34"/>
        <v>#DIV/0!</v>
      </c>
      <c r="AG392" s="319"/>
      <c r="AH392" s="319"/>
      <c r="AI392" s="319"/>
      <c r="AJ392" s="319"/>
      <c r="AK392" s="319"/>
      <c r="AL392" s="319"/>
      <c r="AM392" s="319"/>
      <c r="AN392" s="319"/>
      <c r="AO392" s="319">
        <v>2113025</v>
      </c>
      <c r="AP392" s="319"/>
      <c r="AQ392" s="319"/>
      <c r="AR392" s="319"/>
      <c r="AS392" s="319"/>
      <c r="AT392" s="319"/>
      <c r="AU392" s="319"/>
      <c r="AV392" s="319"/>
      <c r="AW392" s="319"/>
      <c r="AX392" s="319"/>
      <c r="AY392" s="319"/>
      <c r="AZ392" s="319"/>
      <c r="BA392" s="319"/>
      <c r="BB392" s="319"/>
      <c r="BC392" s="319"/>
      <c r="BD392" s="319"/>
      <c r="BE392" s="319"/>
      <c r="BF392" s="319"/>
      <c r="BG392" s="319"/>
      <c r="BH392" s="319"/>
      <c r="BI392" s="319"/>
      <c r="BJ392" s="319"/>
      <c r="BK392" s="319"/>
      <c r="BL392" s="319"/>
      <c r="BM392" s="319"/>
      <c r="BN392" s="319"/>
      <c r="BO392" s="319"/>
      <c r="BP392" s="319"/>
      <c r="BQ392" s="319"/>
      <c r="BR392" s="319"/>
      <c r="BS392" s="319"/>
      <c r="BT392" s="319"/>
      <c r="BU392" s="319"/>
      <c r="BV392" s="319"/>
      <c r="BW392" s="319"/>
      <c r="BX392" s="319"/>
      <c r="BY392" s="319"/>
      <c r="BZ392" s="319"/>
      <c r="CA392" s="319"/>
      <c r="CB392" s="319"/>
      <c r="CC392" s="319"/>
      <c r="CD392" s="319"/>
      <c r="CE392" s="319"/>
      <c r="CF392" s="319"/>
    </row>
    <row r="393" spans="1:84" ht="12.75" hidden="1" customHeight="1">
      <c r="A393" s="12"/>
      <c r="B393" s="1"/>
      <c r="C393" s="112">
        <v>0.55000000000000004</v>
      </c>
      <c r="D393" s="310"/>
      <c r="E393" s="880">
        <v>0.72248087084615298</v>
      </c>
      <c r="F393" s="118" t="e">
        <f>IF(IF(ES_Hydro_TECDS=0,IF(ES_Hydro_HM=100,IF(Offgrid=5,'Modelo Energético '!F463,F417),IF(Offgrid=5,'Modelo Energético '!E439,E393)),HLOOKUP($P$367,$P$381:$V$402,W393,FALSE))+$O$375&lt;0,0,IF(ES_Hydro_TECDS=0,IF(ES_Hydro_HM=100,IF(Offgrid=5,'Modelo Energético '!F463,F417),IF(Offgrid=5,'Modelo Energético '!E439,E393)),HLOOKUP($P$367,$P$381:$V$402,W393,FALSE))+$O$375)</f>
        <v>#DIV/0!</v>
      </c>
      <c r="G393" s="119" t="e">
        <f t="shared" si="35"/>
        <v>#DIV/0!</v>
      </c>
      <c r="H393" s="118" t="e">
        <f t="shared" si="38"/>
        <v>#DIV/0!</v>
      </c>
      <c r="I393" s="1"/>
      <c r="J393" s="1"/>
      <c r="K393" s="9"/>
      <c r="L393" s="1"/>
      <c r="M393" s="319"/>
      <c r="N393" s="319"/>
      <c r="O393" s="319">
        <f t="shared" si="22"/>
        <v>0</v>
      </c>
      <c r="P393" s="476" t="e">
        <f t="shared" si="23"/>
        <v>#DIV/0!</v>
      </c>
      <c r="Q393" s="476" t="e">
        <f t="shared" si="24"/>
        <v>#DIV/0!</v>
      </c>
      <c r="R393" s="476" t="e">
        <f t="shared" si="25"/>
        <v>#DIV/0!</v>
      </c>
      <c r="S393" s="476" t="e">
        <f t="shared" si="26"/>
        <v>#DIV/0!</v>
      </c>
      <c r="T393" s="476" t="e">
        <f t="shared" si="27"/>
        <v>#DIV/0!</v>
      </c>
      <c r="U393" s="476">
        <f t="shared" si="28"/>
        <v>0.72248087084615276</v>
      </c>
      <c r="V393" s="476">
        <f>IF(Offgrid=5,IF(AND(ES_Hydro_PT=222,ES_Hydro_HM=100),'Modelo Energético '!F463,'Modelo Energético '!E439),IF(AND(ES_Hydro_PT=222,ES_Hydro_HM=100),F417,E393))</f>
        <v>0.72248087084615298</v>
      </c>
      <c r="W393" s="476">
        <v>13</v>
      </c>
      <c r="X393" s="476">
        <f>IF(SUM($M$316:$M$317)=322,E417,IF(Offgrid=5,'Modelo Energético '!D439,D393))/$O$366*$O$435</f>
        <v>0</v>
      </c>
      <c r="Y393" s="476">
        <f t="shared" si="29"/>
        <v>0</v>
      </c>
      <c r="Z393" s="476">
        <f t="shared" si="30"/>
        <v>5</v>
      </c>
      <c r="AA393" s="476">
        <f t="shared" si="31"/>
        <v>0</v>
      </c>
      <c r="AB393" s="476">
        <f t="shared" si="32"/>
        <v>0</v>
      </c>
      <c r="AC393" s="476" t="e">
        <f t="shared" si="33"/>
        <v>#DIV/0!</v>
      </c>
      <c r="AD393" s="849" t="e">
        <f t="shared" si="36"/>
        <v>#DIV/0!</v>
      </c>
      <c r="AE393" s="494" t="e">
        <f t="shared" si="37"/>
        <v>#DIV/0!</v>
      </c>
      <c r="AF393" s="494" t="e">
        <f t="shared" si="34"/>
        <v>#DIV/0!</v>
      </c>
      <c r="AG393" s="319"/>
      <c r="AH393" s="319"/>
      <c r="AI393" s="319"/>
      <c r="AJ393" s="319"/>
      <c r="AK393" s="319"/>
      <c r="AL393" s="319"/>
      <c r="AM393" s="319"/>
      <c r="AN393" s="319"/>
      <c r="AO393" s="319">
        <v>2113025</v>
      </c>
      <c r="AP393" s="319"/>
      <c r="AQ393" s="319"/>
      <c r="AR393" s="319"/>
      <c r="AS393" s="319"/>
      <c r="AT393" s="319"/>
      <c r="AU393" s="319"/>
      <c r="AV393" s="319"/>
      <c r="AW393" s="319"/>
      <c r="AX393" s="319"/>
      <c r="AY393" s="319"/>
      <c r="AZ393" s="319"/>
      <c r="BA393" s="319"/>
      <c r="BB393" s="319"/>
      <c r="BC393" s="319"/>
      <c r="BD393" s="319"/>
      <c r="BE393" s="319"/>
      <c r="BF393" s="319"/>
      <c r="BG393" s="319"/>
      <c r="BH393" s="319"/>
      <c r="BI393" s="319"/>
      <c r="BJ393" s="319"/>
      <c r="BK393" s="319"/>
      <c r="BL393" s="319"/>
      <c r="BM393" s="319"/>
      <c r="BN393" s="319"/>
      <c r="BO393" s="319"/>
      <c r="BP393" s="319"/>
      <c r="BQ393" s="319"/>
      <c r="BR393" s="319"/>
      <c r="BS393" s="319"/>
      <c r="BT393" s="319"/>
      <c r="BU393" s="319"/>
      <c r="BV393" s="319"/>
      <c r="BW393" s="319"/>
      <c r="BX393" s="319"/>
      <c r="BY393" s="319"/>
      <c r="BZ393" s="319"/>
      <c r="CA393" s="319"/>
      <c r="CB393" s="319"/>
      <c r="CC393" s="319"/>
      <c r="CD393" s="319"/>
      <c r="CE393" s="319"/>
      <c r="CF393" s="319"/>
    </row>
    <row r="394" spans="1:84" ht="12.75" hidden="1" customHeight="1">
      <c r="A394" s="12"/>
      <c r="B394" s="1"/>
      <c r="C394" s="112">
        <v>0.6</v>
      </c>
      <c r="D394" s="310"/>
      <c r="E394" s="880">
        <v>0.72999632243425305</v>
      </c>
      <c r="F394" s="118" t="e">
        <f>IF(IF(ES_Hydro_TECDS=0,IF(ES_Hydro_HM=100,IF(Offgrid=5,'Modelo Energético '!F464,F418),IF(Offgrid=5,'Modelo Energético '!E440,E394)),HLOOKUP($P$367,$P$381:$V$402,W394,FALSE))+$O$375&lt;0,0,IF(ES_Hydro_TECDS=0,IF(ES_Hydro_HM=100,IF(Offgrid=5,'Modelo Energético '!F464,F418),IF(Offgrid=5,'Modelo Energético '!E440,E394)),HLOOKUP($P$367,$P$381:$V$402,W394,FALSE))+$O$375)</f>
        <v>#DIV/0!</v>
      </c>
      <c r="G394" s="119" t="e">
        <f t="shared" si="35"/>
        <v>#DIV/0!</v>
      </c>
      <c r="H394" s="118" t="e">
        <f t="shared" si="38"/>
        <v>#DIV/0!</v>
      </c>
      <c r="I394" s="1"/>
      <c r="J394" s="1"/>
      <c r="K394" s="9"/>
      <c r="L394" s="1"/>
      <c r="M394" s="319"/>
      <c r="N394" s="319"/>
      <c r="O394" s="319">
        <f t="shared" si="22"/>
        <v>0</v>
      </c>
      <c r="P394" s="476" t="e">
        <f t="shared" si="23"/>
        <v>#DIV/0!</v>
      </c>
      <c r="Q394" s="476" t="e">
        <f t="shared" si="24"/>
        <v>#DIV/0!</v>
      </c>
      <c r="R394" s="476" t="e">
        <f t="shared" si="25"/>
        <v>#DIV/0!</v>
      </c>
      <c r="S394" s="476" t="e">
        <f t="shared" si="26"/>
        <v>#DIV/0!</v>
      </c>
      <c r="T394" s="476" t="e">
        <f t="shared" si="27"/>
        <v>#DIV/0!</v>
      </c>
      <c r="U394" s="476">
        <f t="shared" si="28"/>
        <v>0.72999632243425283</v>
      </c>
      <c r="V394" s="476">
        <f>IF(Offgrid=5,IF(AND(ES_Hydro_PT=222,ES_Hydro_HM=100),'Modelo Energético '!F464,'Modelo Energético '!E440),IF(AND(ES_Hydro_PT=222,ES_Hydro_HM=100),F418,E394))</f>
        <v>0.72999632243425305</v>
      </c>
      <c r="W394" s="476">
        <v>14</v>
      </c>
      <c r="X394" s="476">
        <f>IF(SUM($M$316:$M$317)=322,E418,IF(Offgrid=5,'Modelo Energético '!D440,D394))/$O$366*$O$435</f>
        <v>0</v>
      </c>
      <c r="Y394" s="476">
        <f t="shared" si="29"/>
        <v>0</v>
      </c>
      <c r="Z394" s="476">
        <f t="shared" si="30"/>
        <v>5</v>
      </c>
      <c r="AA394" s="476">
        <f t="shared" si="31"/>
        <v>0</v>
      </c>
      <c r="AB394" s="476">
        <f t="shared" si="32"/>
        <v>0</v>
      </c>
      <c r="AC394" s="476" t="e">
        <f t="shared" si="33"/>
        <v>#DIV/0!</v>
      </c>
      <c r="AD394" s="849" t="e">
        <f t="shared" si="36"/>
        <v>#DIV/0!</v>
      </c>
      <c r="AE394" s="494" t="e">
        <f t="shared" si="37"/>
        <v>#DIV/0!</v>
      </c>
      <c r="AF394" s="494" t="e">
        <f t="shared" si="34"/>
        <v>#DIV/0!</v>
      </c>
      <c r="AG394" s="319"/>
      <c r="AH394" s="319"/>
      <c r="AI394" s="319"/>
      <c r="AJ394" s="319"/>
      <c r="AK394" s="319"/>
      <c r="AL394" s="319"/>
      <c r="AM394" s="319"/>
      <c r="AN394" s="319"/>
      <c r="AO394" s="319">
        <v>2113025</v>
      </c>
      <c r="AP394" s="319"/>
      <c r="AQ394" s="319"/>
      <c r="AR394" s="319"/>
      <c r="AS394" s="319"/>
      <c r="AT394" s="319"/>
      <c r="AU394" s="319"/>
      <c r="AV394" s="319"/>
      <c r="AW394" s="319"/>
      <c r="AX394" s="319"/>
      <c r="AY394" s="319"/>
      <c r="AZ394" s="319"/>
      <c r="BA394" s="319"/>
      <c r="BB394" s="319"/>
      <c r="BC394" s="319"/>
      <c r="BD394" s="319"/>
      <c r="BE394" s="319"/>
      <c r="BF394" s="319"/>
      <c r="BG394" s="319"/>
      <c r="BH394" s="319"/>
      <c r="BI394" s="319"/>
      <c r="BJ394" s="319"/>
      <c r="BK394" s="319"/>
      <c r="BL394" s="319"/>
      <c r="BM394" s="319"/>
      <c r="BN394" s="319"/>
      <c r="BO394" s="319"/>
      <c r="BP394" s="319"/>
      <c r="BQ394" s="319"/>
      <c r="BR394" s="319"/>
      <c r="BS394" s="319"/>
      <c r="BT394" s="319"/>
      <c r="BU394" s="319"/>
      <c r="BV394" s="319"/>
      <c r="BW394" s="319"/>
      <c r="BX394" s="319"/>
      <c r="BY394" s="319"/>
      <c r="BZ394" s="319"/>
      <c r="CA394" s="319"/>
      <c r="CB394" s="319"/>
      <c r="CC394" s="319"/>
      <c r="CD394" s="319"/>
      <c r="CE394" s="319"/>
      <c r="CF394" s="319"/>
    </row>
    <row r="395" spans="1:84" ht="12.75" hidden="1" customHeight="1">
      <c r="A395" s="12"/>
      <c r="B395" s="1"/>
      <c r="C395" s="112">
        <v>0.65</v>
      </c>
      <c r="D395" s="310"/>
      <c r="E395" s="880">
        <v>0.73749943288231801</v>
      </c>
      <c r="F395" s="118" t="e">
        <f>IF(IF(ES_Hydro_TECDS=0,IF(ES_Hydro_HM=100,IF(Offgrid=5,'Modelo Energético '!F465,F419),IF(Offgrid=5,'Modelo Energético '!E441,E395)),HLOOKUP($P$367,$P$381:$V$402,W395,FALSE))+$O$375&lt;0,0,IF(ES_Hydro_TECDS=0,IF(ES_Hydro_HM=100,IF(Offgrid=5,'Modelo Energético '!F465,F419),IF(Offgrid=5,'Modelo Energético '!E441,E395)),HLOOKUP($P$367,$P$381:$V$402,W395,FALSE))+$O$375)</f>
        <v>#DIV/0!</v>
      </c>
      <c r="G395" s="119" t="e">
        <f t="shared" si="35"/>
        <v>#DIV/0!</v>
      </c>
      <c r="H395" s="118" t="e">
        <f t="shared" si="38"/>
        <v>#DIV/0!</v>
      </c>
      <c r="I395" s="1"/>
      <c r="J395" s="1"/>
      <c r="K395" s="9"/>
      <c r="L395" s="1"/>
      <c r="M395" s="319"/>
      <c r="N395" s="319"/>
      <c r="O395" s="319">
        <f t="shared" si="22"/>
        <v>0</v>
      </c>
      <c r="P395" s="476" t="e">
        <f t="shared" si="23"/>
        <v>#DIV/0!</v>
      </c>
      <c r="Q395" s="476" t="e">
        <f t="shared" si="24"/>
        <v>#DIV/0!</v>
      </c>
      <c r="R395" s="476" t="e">
        <f t="shared" si="25"/>
        <v>#DIV/0!</v>
      </c>
      <c r="S395" s="476" t="e">
        <f t="shared" si="26"/>
        <v>#DIV/0!</v>
      </c>
      <c r="T395" s="476" t="e">
        <f t="shared" si="27"/>
        <v>#DIV/0!</v>
      </c>
      <c r="U395" s="476">
        <f t="shared" si="28"/>
        <v>0.73749943288231823</v>
      </c>
      <c r="V395" s="476">
        <f>IF(Offgrid=5,IF(AND(ES_Hydro_PT=222,ES_Hydro_HM=100),'Modelo Energético '!F465,'Modelo Energético '!E441),IF(AND(ES_Hydro_PT=222,ES_Hydro_HM=100),F419,E395))</f>
        <v>0.73749943288231801</v>
      </c>
      <c r="W395" s="476">
        <v>15</v>
      </c>
      <c r="X395" s="476">
        <f>IF(SUM($M$316:$M$317)=322,E419,IF(Offgrid=5,'Modelo Energético '!D441,D395))/$O$366*$O$435</f>
        <v>0</v>
      </c>
      <c r="Y395" s="476">
        <f t="shared" si="29"/>
        <v>0</v>
      </c>
      <c r="Z395" s="476">
        <f t="shared" si="30"/>
        <v>5</v>
      </c>
      <c r="AA395" s="476">
        <f t="shared" si="31"/>
        <v>0</v>
      </c>
      <c r="AB395" s="476">
        <f t="shared" si="32"/>
        <v>0</v>
      </c>
      <c r="AC395" s="476" t="e">
        <f t="shared" si="33"/>
        <v>#DIV/0!</v>
      </c>
      <c r="AD395" s="849" t="e">
        <f t="shared" si="36"/>
        <v>#DIV/0!</v>
      </c>
      <c r="AE395" s="494" t="e">
        <f t="shared" si="37"/>
        <v>#DIV/0!</v>
      </c>
      <c r="AF395" s="494" t="e">
        <f t="shared" si="34"/>
        <v>#DIV/0!</v>
      </c>
      <c r="AG395" s="319"/>
      <c r="AH395" s="319"/>
      <c r="AI395" s="319"/>
      <c r="AJ395" s="319"/>
      <c r="AK395" s="319"/>
      <c r="AL395" s="319"/>
      <c r="AM395" s="319"/>
      <c r="AN395" s="319"/>
      <c r="AO395" s="319">
        <v>2113025</v>
      </c>
      <c r="AP395" s="319"/>
      <c r="AQ395" s="319"/>
      <c r="AR395" s="319"/>
      <c r="AS395" s="319"/>
      <c r="AT395" s="319"/>
      <c r="AU395" s="319"/>
      <c r="AV395" s="319"/>
      <c r="AW395" s="319"/>
      <c r="AX395" s="319"/>
      <c r="AY395" s="319"/>
      <c r="AZ395" s="319"/>
      <c r="BA395" s="319"/>
      <c r="BB395" s="319"/>
      <c r="BC395" s="319"/>
      <c r="BD395" s="319"/>
      <c r="BE395" s="319"/>
      <c r="BF395" s="319"/>
      <c r="BG395" s="319"/>
      <c r="BH395" s="319"/>
      <c r="BI395" s="319"/>
      <c r="BJ395" s="319"/>
      <c r="BK395" s="319"/>
      <c r="BL395" s="319"/>
      <c r="BM395" s="319"/>
      <c r="BN395" s="319"/>
      <c r="BO395" s="319"/>
      <c r="BP395" s="319"/>
      <c r="BQ395" s="319"/>
      <c r="BR395" s="319"/>
      <c r="BS395" s="319"/>
      <c r="BT395" s="319"/>
      <c r="BU395" s="319"/>
      <c r="BV395" s="319"/>
      <c r="BW395" s="319"/>
      <c r="BX395" s="319"/>
      <c r="BY395" s="319"/>
      <c r="BZ395" s="319"/>
      <c r="CA395" s="319"/>
      <c r="CB395" s="319"/>
      <c r="CC395" s="319"/>
      <c r="CD395" s="319"/>
      <c r="CE395" s="319"/>
      <c r="CF395" s="319"/>
    </row>
    <row r="396" spans="1:84" ht="12.75" hidden="1" customHeight="1">
      <c r="A396" s="12"/>
      <c r="B396" s="1"/>
      <c r="C396" s="112">
        <v>0.7</v>
      </c>
      <c r="D396" s="310"/>
      <c r="E396" s="880">
        <v>0.74499993447332502</v>
      </c>
      <c r="F396" s="118" t="e">
        <f>IF(IF(ES_Hydro_TECDS=0,IF(ES_Hydro_HM=100,IF(Offgrid=5,'Modelo Energético '!F466,F420),IF(Offgrid=5,'Modelo Energético '!E442,E396)),HLOOKUP($P$367,$P$381:$V$402,W396,FALSE))+$O$375&lt;0,0,IF(ES_Hydro_TECDS=0,IF(ES_Hydro_HM=100,IF(Offgrid=5,'Modelo Energético '!F466,F420),IF(Offgrid=5,'Modelo Energético '!E442,E396)),HLOOKUP($P$367,$P$381:$V$402,W396,FALSE))+$O$375)</f>
        <v>#DIV/0!</v>
      </c>
      <c r="G396" s="119" t="e">
        <f t="shared" si="35"/>
        <v>#DIV/0!</v>
      </c>
      <c r="H396" s="118" t="e">
        <f t="shared" si="38"/>
        <v>#DIV/0!</v>
      </c>
      <c r="I396" s="1"/>
      <c r="J396" s="1"/>
      <c r="K396" s="9"/>
      <c r="L396" s="1"/>
      <c r="M396" s="319"/>
      <c r="N396" s="319"/>
      <c r="O396" s="319">
        <f t="shared" si="22"/>
        <v>0</v>
      </c>
      <c r="P396" s="476" t="e">
        <f t="shared" si="23"/>
        <v>#DIV/0!</v>
      </c>
      <c r="Q396" s="476" t="e">
        <f t="shared" si="24"/>
        <v>#DIV/0!</v>
      </c>
      <c r="R396" s="476" t="e">
        <f t="shared" si="25"/>
        <v>#DIV/0!</v>
      </c>
      <c r="S396" s="476" t="e">
        <f t="shared" si="26"/>
        <v>#DIV/0!</v>
      </c>
      <c r="T396" s="476" t="e">
        <f t="shared" si="27"/>
        <v>#DIV/0!</v>
      </c>
      <c r="U396" s="476">
        <f t="shared" si="28"/>
        <v>0.74499993447332469</v>
      </c>
      <c r="V396" s="476">
        <f>IF(Offgrid=5,IF(AND(ES_Hydro_PT=222,ES_Hydro_HM=100),'Modelo Energético '!F466,'Modelo Energético '!E442),IF(AND(ES_Hydro_PT=222,ES_Hydro_HM=100),F420,E396))</f>
        <v>0.74499993447332502</v>
      </c>
      <c r="W396" s="476">
        <v>16</v>
      </c>
      <c r="X396" s="476">
        <f>IF(SUM($M$316:$M$317)=322,E420,IF(Offgrid=5,'Modelo Energético '!D442,D396))/$O$366*$O$435</f>
        <v>0</v>
      </c>
      <c r="Y396" s="476">
        <f t="shared" si="29"/>
        <v>0</v>
      </c>
      <c r="Z396" s="476">
        <f t="shared" si="30"/>
        <v>5</v>
      </c>
      <c r="AA396" s="476">
        <f t="shared" si="31"/>
        <v>0</v>
      </c>
      <c r="AB396" s="476">
        <f t="shared" si="32"/>
        <v>0</v>
      </c>
      <c r="AC396" s="476" t="e">
        <f t="shared" si="33"/>
        <v>#DIV/0!</v>
      </c>
      <c r="AD396" s="849" t="e">
        <f t="shared" si="36"/>
        <v>#DIV/0!</v>
      </c>
      <c r="AE396" s="494" t="e">
        <f t="shared" si="37"/>
        <v>#DIV/0!</v>
      </c>
      <c r="AF396" s="494" t="e">
        <f t="shared" si="34"/>
        <v>#DIV/0!</v>
      </c>
      <c r="AG396" s="319"/>
      <c r="AH396" s="319"/>
      <c r="AI396" s="319"/>
      <c r="AJ396" s="319"/>
      <c r="AK396" s="319"/>
      <c r="AL396" s="319"/>
      <c r="AM396" s="319"/>
      <c r="AN396" s="319"/>
      <c r="AO396" s="319">
        <v>2113025</v>
      </c>
      <c r="AP396" s="319"/>
      <c r="AQ396" s="319"/>
      <c r="AR396" s="319"/>
      <c r="AS396" s="319"/>
      <c r="AT396" s="319"/>
      <c r="AU396" s="319"/>
      <c r="AV396" s="319"/>
      <c r="AW396" s="319"/>
      <c r="AX396" s="319"/>
      <c r="AY396" s="319"/>
      <c r="AZ396" s="319"/>
      <c r="BA396" s="319"/>
      <c r="BB396" s="319"/>
      <c r="BC396" s="319"/>
      <c r="BD396" s="319"/>
      <c r="BE396" s="319"/>
      <c r="BF396" s="319"/>
      <c r="BG396" s="319"/>
      <c r="BH396" s="319"/>
      <c r="BI396" s="319"/>
      <c r="BJ396" s="319"/>
      <c r="BK396" s="319"/>
      <c r="BL396" s="319"/>
      <c r="BM396" s="319"/>
      <c r="BN396" s="319"/>
      <c r="BO396" s="319"/>
      <c r="BP396" s="319"/>
      <c r="BQ396" s="319"/>
      <c r="BR396" s="319"/>
      <c r="BS396" s="319"/>
      <c r="BT396" s="319"/>
      <c r="BU396" s="319"/>
      <c r="BV396" s="319"/>
      <c r="BW396" s="319"/>
      <c r="BX396" s="319"/>
      <c r="BY396" s="319"/>
      <c r="BZ396" s="319"/>
      <c r="CA396" s="319"/>
      <c r="CB396" s="319"/>
      <c r="CC396" s="319"/>
      <c r="CD396" s="319"/>
      <c r="CE396" s="319"/>
      <c r="CF396" s="319"/>
    </row>
    <row r="397" spans="1:84" ht="12.75" hidden="1" customHeight="1">
      <c r="A397" s="12"/>
      <c r="B397" s="1"/>
      <c r="C397" s="112">
        <v>0.75</v>
      </c>
      <c r="D397" s="310"/>
      <c r="E397" s="880">
        <v>0.752499994896352</v>
      </c>
      <c r="F397" s="118" t="e">
        <f>IF(IF(ES_Hydro_TECDS=0,IF(ES_Hydro_HM=100,IF(Offgrid=5,'Modelo Energético '!F467,F421),IF(Offgrid=5,'Modelo Energético '!E443,E397)),HLOOKUP($P$367,$P$381:$V$402,W397,FALSE))+$O$375&lt;0,0,IF(ES_Hydro_TECDS=0,IF(ES_Hydro_HM=100,IF(Offgrid=5,'Modelo Energético '!F467,F421),IF(Offgrid=5,'Modelo Energético '!E443,E397)),HLOOKUP($P$367,$P$381:$V$402,W397,FALSE))+$O$375)</f>
        <v>#DIV/0!</v>
      </c>
      <c r="G397" s="119" t="e">
        <f t="shared" si="35"/>
        <v>#DIV/0!</v>
      </c>
      <c r="H397" s="118" t="e">
        <f t="shared" si="38"/>
        <v>#DIV/0!</v>
      </c>
      <c r="I397" s="1"/>
      <c r="J397" s="1"/>
      <c r="K397" s="9"/>
      <c r="L397" s="1"/>
      <c r="M397" s="319"/>
      <c r="N397" s="319"/>
      <c r="O397" s="319">
        <f t="shared" si="22"/>
        <v>0</v>
      </c>
      <c r="P397" s="476" t="e">
        <f t="shared" si="23"/>
        <v>#DIV/0!</v>
      </c>
      <c r="Q397" s="476" t="e">
        <f t="shared" si="24"/>
        <v>#DIV/0!</v>
      </c>
      <c r="R397" s="476" t="e">
        <f t="shared" si="25"/>
        <v>#DIV/0!</v>
      </c>
      <c r="S397" s="476" t="e">
        <f t="shared" si="26"/>
        <v>#DIV/0!</v>
      </c>
      <c r="T397" s="476" t="e">
        <f t="shared" si="27"/>
        <v>#DIV/0!</v>
      </c>
      <c r="U397" s="476">
        <f t="shared" si="28"/>
        <v>0.75249999489635233</v>
      </c>
      <c r="V397" s="476">
        <f>IF(Offgrid=5,IF(AND(ES_Hydro_PT=222,ES_Hydro_HM=100),'Modelo Energético '!F467,'Modelo Energético '!E443),IF(AND(ES_Hydro_PT=222,ES_Hydro_HM=100),F421,E397))</f>
        <v>0.752499994896352</v>
      </c>
      <c r="W397" s="476">
        <v>17</v>
      </c>
      <c r="X397" s="476">
        <f>IF(SUM($M$316:$M$317)=322,E421,IF(Offgrid=5,'Modelo Energético '!D443,D397))/$O$366*$O$435</f>
        <v>0</v>
      </c>
      <c r="Y397" s="476">
        <f t="shared" si="29"/>
        <v>0</v>
      </c>
      <c r="Z397" s="476">
        <f t="shared" si="30"/>
        <v>5</v>
      </c>
      <c r="AA397" s="476">
        <f t="shared" si="31"/>
        <v>0</v>
      </c>
      <c r="AB397" s="476">
        <f t="shared" si="32"/>
        <v>0</v>
      </c>
      <c r="AC397" s="476" t="e">
        <f t="shared" si="33"/>
        <v>#DIV/0!</v>
      </c>
      <c r="AD397" s="849" t="e">
        <f t="shared" si="36"/>
        <v>#DIV/0!</v>
      </c>
      <c r="AE397" s="494" t="e">
        <f t="shared" si="37"/>
        <v>#DIV/0!</v>
      </c>
      <c r="AF397" s="494" t="e">
        <f t="shared" si="34"/>
        <v>#DIV/0!</v>
      </c>
      <c r="AG397" s="319"/>
      <c r="AH397" s="319"/>
      <c r="AI397" s="319"/>
      <c r="AJ397" s="319"/>
      <c r="AK397" s="319"/>
      <c r="AL397" s="319"/>
      <c r="AM397" s="319"/>
      <c r="AN397" s="319"/>
      <c r="AO397" s="319">
        <v>2113025</v>
      </c>
      <c r="AP397" s="319"/>
      <c r="AQ397" s="319"/>
      <c r="AR397" s="319"/>
      <c r="AS397" s="319"/>
      <c r="AT397" s="319"/>
      <c r="AU397" s="319"/>
      <c r="AV397" s="319"/>
      <c r="AW397" s="319"/>
      <c r="AX397" s="319"/>
      <c r="AY397" s="319"/>
      <c r="AZ397" s="319"/>
      <c r="BA397" s="319"/>
      <c r="BB397" s="319"/>
      <c r="BC397" s="319"/>
      <c r="BD397" s="319"/>
      <c r="BE397" s="319"/>
      <c r="BF397" s="319"/>
      <c r="BG397" s="319"/>
      <c r="BH397" s="319"/>
      <c r="BI397" s="319"/>
      <c r="BJ397" s="319"/>
      <c r="BK397" s="319"/>
      <c r="BL397" s="319"/>
      <c r="BM397" s="319"/>
      <c r="BN397" s="319"/>
      <c r="BO397" s="319"/>
      <c r="BP397" s="319"/>
      <c r="BQ397" s="319"/>
      <c r="BR397" s="319"/>
      <c r="BS397" s="319"/>
      <c r="BT397" s="319"/>
      <c r="BU397" s="319"/>
      <c r="BV397" s="319"/>
      <c r="BW397" s="319"/>
      <c r="BX397" s="319"/>
      <c r="BY397" s="319"/>
      <c r="BZ397" s="319"/>
      <c r="CA397" s="319"/>
      <c r="CB397" s="319"/>
      <c r="CC397" s="319"/>
      <c r="CD397" s="319"/>
      <c r="CE397" s="319"/>
      <c r="CF397" s="319"/>
    </row>
    <row r="398" spans="1:84" ht="12.75" hidden="1" customHeight="1">
      <c r="A398" s="12"/>
      <c r="B398" s="1"/>
      <c r="C398" s="112">
        <v>0.8</v>
      </c>
      <c r="D398" s="310"/>
      <c r="E398" s="880">
        <v>0.759999999775539</v>
      </c>
      <c r="F398" s="118" t="e">
        <f>IF(IF(ES_Hydro_TECDS=0,IF(ES_Hydro_HM=100,IF(Offgrid=5,'Modelo Energético '!F468,F422),IF(Offgrid=5,'Modelo Energético '!E444,E398)),HLOOKUP($P$367,$P$381:$V$402,W398,FALSE))+$O$375&lt;0,0,IF(ES_Hydro_TECDS=0,IF(ES_Hydro_HM=100,IF(Offgrid=5,'Modelo Energético '!F468,F422),IF(Offgrid=5,'Modelo Energético '!E444,E398)),HLOOKUP($P$367,$P$381:$V$402,W398,FALSE))+$O$375)</f>
        <v>#DIV/0!</v>
      </c>
      <c r="G398" s="119" t="e">
        <f t="shared" si="35"/>
        <v>#DIV/0!</v>
      </c>
      <c r="H398" s="118" t="e">
        <f t="shared" si="38"/>
        <v>#DIV/0!</v>
      </c>
      <c r="I398" s="1"/>
      <c r="J398" s="1"/>
      <c r="K398" s="9"/>
      <c r="L398" s="1"/>
      <c r="M398" s="319"/>
      <c r="N398" s="319"/>
      <c r="O398" s="319">
        <f t="shared" si="22"/>
        <v>0</v>
      </c>
      <c r="P398" s="476" t="e">
        <f t="shared" si="23"/>
        <v>#DIV/0!</v>
      </c>
      <c r="Q398" s="476" t="e">
        <f t="shared" si="24"/>
        <v>#DIV/0!</v>
      </c>
      <c r="R398" s="476" t="e">
        <f t="shared" si="25"/>
        <v>#DIV/0!</v>
      </c>
      <c r="S398" s="476" t="e">
        <f t="shared" si="26"/>
        <v>#DIV/0!</v>
      </c>
      <c r="T398" s="476" t="e">
        <f t="shared" si="27"/>
        <v>#DIV/0!</v>
      </c>
      <c r="U398" s="476">
        <f t="shared" si="28"/>
        <v>0.75999999977553923</v>
      </c>
      <c r="V398" s="476">
        <f>IF(Offgrid=5,IF(AND(ES_Hydro_PT=222,ES_Hydro_HM=100),'Modelo Energético '!F468,'Modelo Energético '!E444),IF(AND(ES_Hydro_PT=222,ES_Hydro_HM=100),F422,E398))</f>
        <v>0.759999999775539</v>
      </c>
      <c r="W398" s="476">
        <v>18</v>
      </c>
      <c r="X398" s="476">
        <f>IF(SUM($M$316:$M$317)=322,E422,IF(Offgrid=5,'Modelo Energético '!D444,D398))/$O$366*$O$435</f>
        <v>0</v>
      </c>
      <c r="Y398" s="476">
        <f t="shared" si="29"/>
        <v>0</v>
      </c>
      <c r="Z398" s="476">
        <f t="shared" si="30"/>
        <v>5</v>
      </c>
      <c r="AA398" s="476">
        <f t="shared" si="31"/>
        <v>0</v>
      </c>
      <c r="AB398" s="476">
        <f t="shared" si="32"/>
        <v>0</v>
      </c>
      <c r="AC398" s="476" t="e">
        <f t="shared" si="33"/>
        <v>#DIV/0!</v>
      </c>
      <c r="AD398" s="849" t="e">
        <f t="shared" si="36"/>
        <v>#DIV/0!</v>
      </c>
      <c r="AE398" s="494" t="e">
        <f t="shared" si="37"/>
        <v>#DIV/0!</v>
      </c>
      <c r="AF398" s="494" t="e">
        <f t="shared" si="34"/>
        <v>#DIV/0!</v>
      </c>
      <c r="AG398" s="319"/>
      <c r="AH398" s="319"/>
      <c r="AI398" s="319"/>
      <c r="AJ398" s="319"/>
      <c r="AK398" s="319"/>
      <c r="AL398" s="319"/>
      <c r="AM398" s="319"/>
      <c r="AN398" s="319"/>
      <c r="AO398" s="319">
        <v>2113025</v>
      </c>
      <c r="AP398" s="319"/>
      <c r="AQ398" s="319"/>
      <c r="AR398" s="319"/>
      <c r="AS398" s="319"/>
      <c r="AT398" s="319"/>
      <c r="AU398" s="319"/>
      <c r="AV398" s="319"/>
      <c r="AW398" s="319"/>
      <c r="AX398" s="319"/>
      <c r="AY398" s="319"/>
      <c r="AZ398" s="319"/>
      <c r="BA398" s="319"/>
      <c r="BB398" s="319"/>
      <c r="BC398" s="319"/>
      <c r="BD398" s="319"/>
      <c r="BE398" s="319"/>
      <c r="BF398" s="319"/>
      <c r="BG398" s="319"/>
      <c r="BH398" s="319"/>
      <c r="BI398" s="319"/>
      <c r="BJ398" s="319"/>
      <c r="BK398" s="319"/>
      <c r="BL398" s="319"/>
      <c r="BM398" s="319"/>
      <c r="BN398" s="319"/>
      <c r="BO398" s="319"/>
      <c r="BP398" s="319"/>
      <c r="BQ398" s="319"/>
      <c r="BR398" s="319"/>
      <c r="BS398" s="319"/>
      <c r="BT398" s="319"/>
      <c r="BU398" s="319"/>
      <c r="BV398" s="319"/>
      <c r="BW398" s="319"/>
      <c r="BX398" s="319"/>
      <c r="BY398" s="319"/>
      <c r="BZ398" s="319"/>
      <c r="CA398" s="319"/>
      <c r="CB398" s="319"/>
      <c r="CC398" s="319"/>
      <c r="CD398" s="319"/>
      <c r="CE398" s="319"/>
      <c r="CF398" s="319"/>
    </row>
    <row r="399" spans="1:84" ht="12.75" hidden="1" customHeight="1">
      <c r="A399" s="12"/>
      <c r="B399" s="1"/>
      <c r="C399" s="112">
        <v>0.85</v>
      </c>
      <c r="D399" s="310"/>
      <c r="E399" s="880">
        <v>0.76749999999600105</v>
      </c>
      <c r="F399" s="118" t="e">
        <f>IF(IF(ES_Hydro_TECDS=0,IF(ES_Hydro_HM=100,IF(Offgrid=5,'Modelo Energético '!F469,F423),IF(Offgrid=5,'Modelo Energético '!E445,E399)),HLOOKUP($P$367,$P$381:$V$402,W399,FALSE))+$O$375&lt;0,0,IF(ES_Hydro_TECDS=0,IF(ES_Hydro_HM=100,IF(Offgrid=5,'Modelo Energético '!F469,F423),IF(Offgrid=5,'Modelo Energético '!E445,E399)),HLOOKUP($P$367,$P$381:$V$402,W399,FALSE))+$O$375)</f>
        <v>#DIV/0!</v>
      </c>
      <c r="G399" s="119" t="e">
        <f t="shared" si="35"/>
        <v>#DIV/0!</v>
      </c>
      <c r="H399" s="118" t="e">
        <f t="shared" si="38"/>
        <v>#DIV/0!</v>
      </c>
      <c r="I399" s="1"/>
      <c r="J399" s="1"/>
      <c r="K399" s="9"/>
      <c r="L399" s="1"/>
      <c r="M399" s="319"/>
      <c r="N399" s="319"/>
      <c r="O399" s="319">
        <f t="shared" si="22"/>
        <v>0</v>
      </c>
      <c r="P399" s="476" t="e">
        <f t="shared" si="23"/>
        <v>#DIV/0!</v>
      </c>
      <c r="Q399" s="476" t="e">
        <f t="shared" si="24"/>
        <v>#DIV/0!</v>
      </c>
      <c r="R399" s="476" t="e">
        <f t="shared" si="25"/>
        <v>#DIV/0!</v>
      </c>
      <c r="S399" s="476" t="e">
        <f t="shared" si="26"/>
        <v>#DIV/0!</v>
      </c>
      <c r="T399" s="476" t="e">
        <f t="shared" si="27"/>
        <v>#DIV/0!</v>
      </c>
      <c r="U399" s="476">
        <f t="shared" si="28"/>
        <v>0.7674999999960006</v>
      </c>
      <c r="V399" s="476">
        <f>IF(Offgrid=5,IF(AND(ES_Hydro_PT=222,ES_Hydro_HM=100),'Modelo Energético '!F469,'Modelo Energético '!E445),IF(AND(ES_Hydro_PT=222,ES_Hydro_HM=100),F423,E399))</f>
        <v>0.76749999999600105</v>
      </c>
      <c r="W399" s="476">
        <v>19</v>
      </c>
      <c r="X399" s="476">
        <f>IF(SUM($M$316:$M$317)=322,E423,IF(Offgrid=5,'Modelo Energético '!D445,D399))/$O$366*$O$435</f>
        <v>0</v>
      </c>
      <c r="Y399" s="476">
        <f t="shared" si="29"/>
        <v>0</v>
      </c>
      <c r="Z399" s="476">
        <f t="shared" si="30"/>
        <v>5</v>
      </c>
      <c r="AA399" s="476">
        <f t="shared" si="31"/>
        <v>0</v>
      </c>
      <c r="AB399" s="476">
        <f t="shared" si="32"/>
        <v>0</v>
      </c>
      <c r="AC399" s="476" t="e">
        <f t="shared" si="33"/>
        <v>#DIV/0!</v>
      </c>
      <c r="AD399" s="849" t="e">
        <f t="shared" si="36"/>
        <v>#DIV/0!</v>
      </c>
      <c r="AE399" s="494" t="e">
        <f t="shared" si="37"/>
        <v>#DIV/0!</v>
      </c>
      <c r="AF399" s="494" t="e">
        <f t="shared" si="34"/>
        <v>#DIV/0!</v>
      </c>
      <c r="AG399" s="319"/>
      <c r="AH399" s="319"/>
      <c r="AI399" s="319"/>
      <c r="AJ399" s="319"/>
      <c r="AK399" s="319"/>
      <c r="AL399" s="319"/>
      <c r="AM399" s="319"/>
      <c r="AN399" s="319"/>
      <c r="AO399" s="319">
        <v>2113025</v>
      </c>
      <c r="AP399" s="319"/>
      <c r="AQ399" s="319"/>
      <c r="AR399" s="319"/>
      <c r="AS399" s="319"/>
      <c r="AT399" s="319"/>
      <c r="AU399" s="319"/>
      <c r="AV399" s="319"/>
      <c r="AW399" s="319"/>
      <c r="AX399" s="319"/>
      <c r="AY399" s="319"/>
      <c r="AZ399" s="319"/>
      <c r="BA399" s="319"/>
      <c r="BB399" s="319"/>
      <c r="BC399" s="319"/>
      <c r="BD399" s="319"/>
      <c r="BE399" s="319"/>
      <c r="BF399" s="319"/>
      <c r="BG399" s="319"/>
      <c r="BH399" s="319"/>
      <c r="BI399" s="319"/>
      <c r="BJ399" s="319"/>
      <c r="BK399" s="319"/>
      <c r="BL399" s="319"/>
      <c r="BM399" s="319"/>
      <c r="BN399" s="319"/>
      <c r="BO399" s="319"/>
      <c r="BP399" s="319"/>
      <c r="BQ399" s="319"/>
      <c r="BR399" s="319"/>
      <c r="BS399" s="319"/>
      <c r="BT399" s="319"/>
      <c r="BU399" s="319"/>
      <c r="BV399" s="319"/>
      <c r="BW399" s="319"/>
      <c r="BX399" s="319"/>
      <c r="BY399" s="319"/>
      <c r="BZ399" s="319"/>
      <c r="CA399" s="319"/>
      <c r="CB399" s="319"/>
      <c r="CC399" s="319"/>
      <c r="CD399" s="319"/>
      <c r="CE399" s="319"/>
      <c r="CF399" s="319"/>
    </row>
    <row r="400" spans="1:84" ht="12.75" hidden="1" customHeight="1">
      <c r="A400" s="12"/>
      <c r="B400" s="1"/>
      <c r="C400" s="112">
        <v>0.9</v>
      </c>
      <c r="D400" s="310"/>
      <c r="E400" s="880">
        <v>0.77499999999998603</v>
      </c>
      <c r="F400" s="118" t="e">
        <f>IF(IF(ES_Hydro_TECDS=0,IF(ES_Hydro_HM=100,IF(Offgrid=5,'Modelo Energético '!F470,F424),IF(Offgrid=5,'Modelo Energético '!E446,E400)),HLOOKUP($P$367,$P$381:$V$402,W400,FALSE))+$O$375&lt;0,0,IF(ES_Hydro_TECDS=0,IF(ES_Hydro_HM=100,IF(Offgrid=5,'Modelo Energético '!F470,F424),IF(Offgrid=5,'Modelo Energético '!E446,E400)),HLOOKUP($P$367,$P$381:$V$402,W400,FALSE))+$O$375)</f>
        <v>#DIV/0!</v>
      </c>
      <c r="G400" s="119" t="e">
        <f t="shared" si="35"/>
        <v>#DIV/0!</v>
      </c>
      <c r="H400" s="118" t="e">
        <f t="shared" si="38"/>
        <v>#DIV/0!</v>
      </c>
      <c r="I400" s="1"/>
      <c r="J400" s="1"/>
      <c r="K400" s="9"/>
      <c r="L400" s="1"/>
      <c r="M400" s="319"/>
      <c r="N400" s="319"/>
      <c r="O400" s="319">
        <f t="shared" si="22"/>
        <v>0</v>
      </c>
      <c r="P400" s="476" t="e">
        <f t="shared" si="23"/>
        <v>#DIV/0!</v>
      </c>
      <c r="Q400" s="476" t="e">
        <f t="shared" si="24"/>
        <v>#DIV/0!</v>
      </c>
      <c r="R400" s="476" t="e">
        <f t="shared" si="25"/>
        <v>#DIV/0!</v>
      </c>
      <c r="S400" s="476" t="e">
        <f t="shared" si="26"/>
        <v>#DIV/0!</v>
      </c>
      <c r="T400" s="476" t="e">
        <f t="shared" si="27"/>
        <v>#DIV/0!</v>
      </c>
      <c r="U400" s="476">
        <f t="shared" si="28"/>
        <v>0.77499999999998637</v>
      </c>
      <c r="V400" s="476">
        <f>IF(Offgrid=5,IF(AND(ES_Hydro_PT=222,ES_Hydro_HM=100),'Modelo Energético '!F470,'Modelo Energético '!E446),IF(AND(ES_Hydro_PT=222,ES_Hydro_HM=100),F424,E400))</f>
        <v>0.77499999999998603</v>
      </c>
      <c r="W400" s="476">
        <v>20</v>
      </c>
      <c r="X400" s="476">
        <f>IF(SUM($M$316:$M$317)=322,E424,IF(Offgrid=5,'Modelo Energético '!D446,D400))/$O$366*$O$435</f>
        <v>0</v>
      </c>
      <c r="Y400" s="476">
        <f t="shared" si="29"/>
        <v>0</v>
      </c>
      <c r="Z400" s="476">
        <f t="shared" si="30"/>
        <v>5</v>
      </c>
      <c r="AA400" s="476">
        <f t="shared" si="31"/>
        <v>0</v>
      </c>
      <c r="AB400" s="476">
        <f t="shared" si="32"/>
        <v>0</v>
      </c>
      <c r="AC400" s="476" t="e">
        <f t="shared" si="33"/>
        <v>#DIV/0!</v>
      </c>
      <c r="AD400" s="849" t="e">
        <f t="shared" si="36"/>
        <v>#DIV/0!</v>
      </c>
      <c r="AE400" s="494" t="e">
        <f t="shared" si="37"/>
        <v>#DIV/0!</v>
      </c>
      <c r="AF400" s="494" t="e">
        <f t="shared" si="34"/>
        <v>#DIV/0!</v>
      </c>
      <c r="AG400" s="319"/>
      <c r="AH400" s="319"/>
      <c r="AI400" s="319"/>
      <c r="AJ400" s="319"/>
      <c r="AK400" s="319"/>
      <c r="AL400" s="319"/>
      <c r="AM400" s="319"/>
      <c r="AN400" s="319"/>
      <c r="AO400" s="319">
        <v>2113025</v>
      </c>
      <c r="AP400" s="319"/>
      <c r="AQ400" s="319"/>
      <c r="AR400" s="319"/>
      <c r="AS400" s="319"/>
      <c r="AT400" s="319"/>
      <c r="AU400" s="319"/>
      <c r="AV400" s="319"/>
      <c r="AW400" s="319"/>
      <c r="AX400" s="319"/>
      <c r="AY400" s="319"/>
      <c r="AZ400" s="319"/>
      <c r="BA400" s="319"/>
      <c r="BB400" s="319"/>
      <c r="BC400" s="319"/>
      <c r="BD400" s="319"/>
      <c r="BE400" s="319"/>
      <c r="BF400" s="319"/>
      <c r="BG400" s="319"/>
      <c r="BH400" s="319"/>
      <c r="BI400" s="319"/>
      <c r="BJ400" s="319"/>
      <c r="BK400" s="319"/>
      <c r="BL400" s="319"/>
      <c r="BM400" s="319"/>
      <c r="BN400" s="319"/>
      <c r="BO400" s="319"/>
      <c r="BP400" s="319"/>
      <c r="BQ400" s="319"/>
      <c r="BR400" s="319"/>
      <c r="BS400" s="319"/>
      <c r="BT400" s="319"/>
      <c r="BU400" s="319"/>
      <c r="BV400" s="319"/>
      <c r="BW400" s="319"/>
      <c r="BX400" s="319"/>
      <c r="BY400" s="319"/>
      <c r="BZ400" s="319"/>
      <c r="CA400" s="319"/>
      <c r="CB400" s="319"/>
      <c r="CC400" s="319"/>
      <c r="CD400" s="319"/>
      <c r="CE400" s="319"/>
      <c r="CF400" s="319"/>
    </row>
    <row r="401" spans="1:84" ht="12.75" hidden="1" customHeight="1">
      <c r="A401" s="12"/>
      <c r="B401" s="1"/>
      <c r="C401" s="112">
        <v>0.95</v>
      </c>
      <c r="D401" s="310"/>
      <c r="E401" s="880">
        <v>0.78249999999999997</v>
      </c>
      <c r="F401" s="118" t="e">
        <f>IF(IF(ES_Hydro_TECDS=0,IF(ES_Hydro_HM=100,IF(Offgrid=5,'Modelo Energético '!F471,F425),IF(Offgrid=5,'Modelo Energético '!E447,E401)),HLOOKUP($P$367,$P$381:$V$402,W401,FALSE))+$O$375&lt;0,0,IF(ES_Hydro_TECDS=0,IF(ES_Hydro_HM=100,IF(Offgrid=5,'Modelo Energético '!F471,F425),IF(Offgrid=5,'Modelo Energético '!E447,E401)),HLOOKUP($P$367,$P$381:$V$402,W401,FALSE))+$O$375)</f>
        <v>#DIV/0!</v>
      </c>
      <c r="G401" s="119" t="e">
        <f t="shared" si="35"/>
        <v>#DIV/0!</v>
      </c>
      <c r="H401" s="118" t="e">
        <f t="shared" si="38"/>
        <v>#DIV/0!</v>
      </c>
      <c r="I401" s="1"/>
      <c r="J401" s="1"/>
      <c r="K401" s="9"/>
      <c r="L401" s="1"/>
      <c r="M401" s="319"/>
      <c r="N401" s="319"/>
      <c r="O401" s="319">
        <f t="shared" si="22"/>
        <v>0</v>
      </c>
      <c r="P401" s="476" t="e">
        <f t="shared" si="23"/>
        <v>#DIV/0!</v>
      </c>
      <c r="Q401" s="476" t="e">
        <f t="shared" si="24"/>
        <v>#DIV/0!</v>
      </c>
      <c r="R401" s="476" t="e">
        <f t="shared" si="25"/>
        <v>#DIV/0!</v>
      </c>
      <c r="S401" s="476" t="e">
        <f t="shared" si="26"/>
        <v>#DIV/0!</v>
      </c>
      <c r="T401" s="476" t="e">
        <f t="shared" si="27"/>
        <v>#DIV/0!</v>
      </c>
      <c r="U401" s="476">
        <f t="shared" si="28"/>
        <v>0.78249999999999997</v>
      </c>
      <c r="V401" s="476">
        <f>IF(Offgrid=5,IF(AND(ES_Hydro_PT=222,ES_Hydro_HM=100),'Modelo Energético '!F471,'Modelo Energético '!E447),IF(AND(ES_Hydro_PT=222,ES_Hydro_HM=100),F425,E401))</f>
        <v>0.78249999999999997</v>
      </c>
      <c r="W401" s="476">
        <v>21</v>
      </c>
      <c r="X401" s="476">
        <f>IF(SUM($M$316:$M$317)=322,E425,IF(Offgrid=5,'Modelo Energético '!D447,D401))/$O$366*$O$435</f>
        <v>0</v>
      </c>
      <c r="Y401" s="476">
        <f t="shared" si="29"/>
        <v>0</v>
      </c>
      <c r="Z401" s="476">
        <f t="shared" si="30"/>
        <v>5</v>
      </c>
      <c r="AA401" s="476">
        <f t="shared" si="31"/>
        <v>0</v>
      </c>
      <c r="AB401" s="476">
        <f t="shared" si="32"/>
        <v>0</v>
      </c>
      <c r="AC401" s="476" t="e">
        <f t="shared" si="33"/>
        <v>#DIV/0!</v>
      </c>
      <c r="AD401" s="849" t="e">
        <f t="shared" si="36"/>
        <v>#DIV/0!</v>
      </c>
      <c r="AE401" s="494" t="e">
        <f t="shared" si="37"/>
        <v>#DIV/0!</v>
      </c>
      <c r="AF401" s="494" t="e">
        <f t="shared" si="34"/>
        <v>#DIV/0!</v>
      </c>
      <c r="AG401" s="319"/>
      <c r="AH401" s="319"/>
      <c r="AI401" s="319"/>
      <c r="AJ401" s="319"/>
      <c r="AK401" s="319"/>
      <c r="AL401" s="319"/>
      <c r="AM401" s="319"/>
      <c r="AN401" s="319"/>
      <c r="AO401" s="319">
        <v>2113025</v>
      </c>
      <c r="AP401" s="319"/>
      <c r="AQ401" s="319"/>
      <c r="AR401" s="319"/>
      <c r="AS401" s="319"/>
      <c r="AT401" s="319"/>
      <c r="AU401" s="319"/>
      <c r="AV401" s="319"/>
      <c r="AW401" s="319"/>
      <c r="AX401" s="319"/>
      <c r="AY401" s="319"/>
      <c r="AZ401" s="319"/>
      <c r="BA401" s="319"/>
      <c r="BB401" s="319"/>
      <c r="BC401" s="319"/>
      <c r="BD401" s="319"/>
      <c r="BE401" s="319"/>
      <c r="BF401" s="319"/>
      <c r="BG401" s="319"/>
      <c r="BH401" s="319"/>
      <c r="BI401" s="319"/>
      <c r="BJ401" s="319"/>
      <c r="BK401" s="319"/>
      <c r="BL401" s="319"/>
      <c r="BM401" s="319"/>
      <c r="BN401" s="319"/>
      <c r="BO401" s="319"/>
      <c r="BP401" s="319"/>
      <c r="BQ401" s="319"/>
      <c r="BR401" s="319"/>
      <c r="BS401" s="319"/>
      <c r="BT401" s="319"/>
      <c r="BU401" s="319"/>
      <c r="BV401" s="319"/>
      <c r="BW401" s="319"/>
      <c r="BX401" s="319"/>
      <c r="BY401" s="319"/>
      <c r="BZ401" s="319"/>
      <c r="CA401" s="319"/>
      <c r="CB401" s="319"/>
      <c r="CC401" s="319"/>
      <c r="CD401" s="319"/>
      <c r="CE401" s="319"/>
      <c r="CF401" s="319"/>
    </row>
    <row r="402" spans="1:84" ht="12.75" hidden="1" customHeight="1">
      <c r="A402" s="12"/>
      <c r="B402" s="1"/>
      <c r="C402" s="114">
        <v>1</v>
      </c>
      <c r="D402" s="310"/>
      <c r="E402" s="880">
        <v>0.79</v>
      </c>
      <c r="F402" s="120" t="e">
        <f>IF(IF(ES_Hydro_TECDS=0,IF(ES_Hydro_HM=100,IF(Offgrid=5,'Modelo Energético '!F472,F426),IF(Offgrid=5,'Modelo Energético '!E448,E402)),HLOOKUP($P$367,$P$381:$V$402,W402,FALSE))+$O$375&lt;0,0,IF(ES_Hydro_TECDS=0,IF(ES_Hydro_HM=100,IF(Offgrid=5,'Modelo Energético '!F472,F426),IF(Offgrid=5,'Modelo Energético '!E448,E402)),HLOOKUP($P$367,$P$381:$V$402,W402,FALSE))+$O$375)</f>
        <v>#DIV/0!</v>
      </c>
      <c r="G402" s="121" t="e">
        <f t="shared" si="35"/>
        <v>#DIV/0!</v>
      </c>
      <c r="H402" s="120" t="e">
        <f t="shared" si="38"/>
        <v>#DIV/0!</v>
      </c>
      <c r="I402" s="1"/>
      <c r="J402" s="1"/>
      <c r="K402" s="9"/>
      <c r="L402" s="1"/>
      <c r="M402" s="319"/>
      <c r="N402" s="319"/>
      <c r="O402" s="319">
        <f t="shared" si="22"/>
        <v>0</v>
      </c>
      <c r="P402" s="476" t="e">
        <f t="shared" si="23"/>
        <v>#DIV/0!</v>
      </c>
      <c r="Q402" s="602" t="e">
        <f t="shared" si="24"/>
        <v>#DIV/0!</v>
      </c>
      <c r="R402" s="476" t="e">
        <f t="shared" si="25"/>
        <v>#DIV/0!</v>
      </c>
      <c r="S402" s="476" t="e">
        <f t="shared" si="26"/>
        <v>#DIV/0!</v>
      </c>
      <c r="T402" s="476" t="e">
        <f t="shared" si="27"/>
        <v>#DIV/0!</v>
      </c>
      <c r="U402" s="476">
        <f t="shared" si="28"/>
        <v>0.79</v>
      </c>
      <c r="V402" s="476">
        <f>IF(Offgrid=5,IF(AND(ES_Hydro_PT=222,ES_Hydro_HM=100),'Modelo Energético '!F472,'Modelo Energético '!E448),IF(AND(ES_Hydro_PT=222,ES_Hydro_HM=100),F426,E402))</f>
        <v>0.79</v>
      </c>
      <c r="W402" s="476">
        <v>22</v>
      </c>
      <c r="X402" s="476">
        <f>IF(SUM($M$316:$M$317)=322,E426,IF(Offgrid=5,'Modelo Energético '!D448,D402))/$O$366*$O$435</f>
        <v>0</v>
      </c>
      <c r="Y402" s="476">
        <f t="shared" si="29"/>
        <v>0</v>
      </c>
      <c r="Z402" s="476"/>
      <c r="AA402" s="476">
        <f t="shared" si="31"/>
        <v>0</v>
      </c>
      <c r="AB402" s="476">
        <f t="shared" si="32"/>
        <v>0</v>
      </c>
      <c r="AC402" s="476" t="e">
        <f t="shared" si="33"/>
        <v>#DIV/0!</v>
      </c>
      <c r="AD402" s="849" t="e">
        <f t="shared" si="36"/>
        <v>#DIV/0!</v>
      </c>
      <c r="AE402" s="494" t="e">
        <f t="shared" si="37"/>
        <v>#DIV/0!</v>
      </c>
      <c r="AF402" s="494"/>
      <c r="AG402" s="319"/>
      <c r="AH402" s="319"/>
      <c r="AI402" s="319"/>
      <c r="AJ402" s="319"/>
      <c r="AK402" s="319"/>
      <c r="AL402" s="319"/>
      <c r="AM402" s="319"/>
      <c r="AN402" s="319"/>
      <c r="AO402" s="319">
        <v>2113025</v>
      </c>
      <c r="AP402" s="319"/>
      <c r="AQ402" s="319"/>
      <c r="AR402" s="319"/>
      <c r="AS402" s="319"/>
      <c r="AT402" s="319"/>
      <c r="AU402" s="319"/>
      <c r="AV402" s="319"/>
      <c r="AW402" s="319"/>
      <c r="AX402" s="319"/>
      <c r="AY402" s="319"/>
      <c r="AZ402" s="319"/>
      <c r="BA402" s="319"/>
      <c r="BB402" s="319"/>
      <c r="BC402" s="319"/>
      <c r="BD402" s="319"/>
      <c r="BE402" s="319"/>
      <c r="BF402" s="319"/>
      <c r="BG402" s="319"/>
      <c r="BH402" s="319"/>
      <c r="BI402" s="319"/>
      <c r="BJ402" s="319"/>
      <c r="BK402" s="319"/>
      <c r="BL402" s="319"/>
      <c r="BM402" s="319"/>
      <c r="BN402" s="319"/>
      <c r="BO402" s="319"/>
      <c r="BP402" s="319"/>
      <c r="BQ402" s="319"/>
      <c r="BR402" s="319"/>
      <c r="BS402" s="319"/>
      <c r="BT402" s="319"/>
      <c r="BU402" s="319"/>
      <c r="BV402" s="319"/>
      <c r="BW402" s="319"/>
      <c r="BX402" s="319"/>
      <c r="BY402" s="319"/>
      <c r="BZ402" s="319"/>
      <c r="CA402" s="319"/>
      <c r="CB402" s="319"/>
      <c r="CC402" s="319"/>
      <c r="CD402" s="319"/>
      <c r="CE402" s="319"/>
      <c r="CF402" s="319"/>
    </row>
    <row r="403" spans="1:84" ht="12.75" hidden="1" customHeight="1">
      <c r="A403" s="12"/>
      <c r="B403" s="1"/>
      <c r="C403" s="1"/>
      <c r="D403" s="1"/>
      <c r="E403" s="5"/>
      <c r="F403" s="8"/>
      <c r="G403" s="1"/>
      <c r="H403" s="1"/>
      <c r="I403" s="1"/>
      <c r="J403" s="1"/>
      <c r="K403" s="9"/>
      <c r="L403" s="1"/>
      <c r="M403" s="319"/>
      <c r="N403" s="319"/>
      <c r="O403" s="319"/>
      <c r="P403" s="319"/>
      <c r="Q403" s="319"/>
      <c r="R403" s="319"/>
      <c r="S403" s="319"/>
      <c r="T403" s="319"/>
      <c r="U403" s="319"/>
      <c r="V403" s="319"/>
      <c r="W403" s="319"/>
      <c r="X403" s="319"/>
      <c r="Y403" s="319"/>
      <c r="Z403" s="319"/>
      <c r="AA403" s="319"/>
      <c r="AB403" s="319"/>
      <c r="AC403" s="319"/>
      <c r="AD403" s="319"/>
      <c r="AE403" s="319"/>
      <c r="AF403" s="494" t="e">
        <f>SUM(AF382:AF401)</f>
        <v>#DIV/0!</v>
      </c>
      <c r="AG403" s="319"/>
      <c r="AH403" s="319"/>
      <c r="AI403" s="319"/>
      <c r="AJ403" s="319"/>
      <c r="AK403" s="319"/>
      <c r="AL403" s="319"/>
      <c r="AM403" s="319"/>
      <c r="AN403" s="319"/>
      <c r="AO403" s="319">
        <v>2113025</v>
      </c>
      <c r="AP403" s="319"/>
      <c r="AQ403" s="319"/>
      <c r="AR403" s="319"/>
      <c r="AS403" s="319"/>
      <c r="AT403" s="319"/>
      <c r="AU403" s="319"/>
      <c r="AV403" s="319"/>
      <c r="AW403" s="319"/>
      <c r="AX403" s="319"/>
      <c r="AY403" s="319"/>
      <c r="AZ403" s="319"/>
      <c r="BA403" s="319"/>
      <c r="BB403" s="319"/>
      <c r="BC403" s="319"/>
      <c r="BD403" s="319"/>
      <c r="BE403" s="319"/>
      <c r="BF403" s="319"/>
      <c r="BG403" s="319"/>
      <c r="BH403" s="319"/>
      <c r="BI403" s="319"/>
      <c r="BJ403" s="319"/>
      <c r="BK403" s="319"/>
      <c r="BL403" s="319"/>
      <c r="BM403" s="319"/>
      <c r="BN403" s="319"/>
      <c r="BO403" s="319"/>
      <c r="BP403" s="319"/>
      <c r="BQ403" s="319"/>
      <c r="BR403" s="319"/>
      <c r="BS403" s="319"/>
      <c r="BT403" s="319"/>
      <c r="BU403" s="319"/>
      <c r="BV403" s="319"/>
      <c r="BW403" s="319"/>
      <c r="BX403" s="319"/>
      <c r="BY403" s="319"/>
      <c r="BZ403" s="319"/>
      <c r="CA403" s="319"/>
      <c r="CB403" s="319"/>
      <c r="CC403" s="319"/>
      <c r="CD403" s="319"/>
      <c r="CE403" s="319"/>
      <c r="CF403" s="319"/>
    </row>
    <row r="404" spans="1:84" ht="26.4" hidden="1">
      <c r="A404" s="12"/>
      <c r="B404" s="1"/>
      <c r="C404" s="82"/>
      <c r="D404" s="82" t="str">
        <f>Language!C1834</f>
        <v>Fluxo 
regularizado</v>
      </c>
      <c r="E404" s="82" t="str">
        <f>D380</f>
        <v>Fluxo</v>
      </c>
      <c r="F404" s="1207" t="str">
        <f>F380</f>
        <v>Eficiência
turbina</v>
      </c>
      <c r="G404" s="1207" t="str">
        <f>F380</f>
        <v>Eficiência
turbina</v>
      </c>
      <c r="H404" s="1207" t="str">
        <f>G380</f>
        <v>Número de turbinas</v>
      </c>
      <c r="I404" s="1207" t="str">
        <f>H380</f>
        <v>Eficiência combinada</v>
      </c>
      <c r="J404" s="1"/>
      <c r="K404" s="9"/>
      <c r="L404" s="1"/>
      <c r="M404" s="319"/>
      <c r="N404" s="319"/>
      <c r="O404" s="319"/>
      <c r="P404" s="319"/>
      <c r="Q404" s="319"/>
      <c r="R404" s="319"/>
      <c r="S404" s="319"/>
      <c r="T404" s="319"/>
      <c r="U404" s="319"/>
      <c r="V404" s="319"/>
      <c r="W404" s="319"/>
      <c r="X404" s="319"/>
      <c r="Y404" s="319"/>
      <c r="Z404" s="319"/>
      <c r="AA404" s="319"/>
      <c r="AB404" s="319"/>
      <c r="AC404" s="319"/>
      <c r="AD404" s="319"/>
      <c r="AE404" s="319"/>
      <c r="AF404" s="319"/>
      <c r="AG404" s="319"/>
      <c r="AH404" s="319"/>
      <c r="AI404" s="319"/>
      <c r="AJ404" s="319"/>
      <c r="AK404" s="319"/>
      <c r="AL404" s="319"/>
      <c r="AM404" s="319"/>
      <c r="AN404" s="319"/>
      <c r="AO404" s="319">
        <v>2113025</v>
      </c>
      <c r="AP404" s="319"/>
      <c r="AQ404" s="319"/>
      <c r="AR404" s="319"/>
      <c r="AS404" s="319"/>
      <c r="AT404" s="319"/>
      <c r="AU404" s="319"/>
      <c r="AV404" s="319"/>
      <c r="AW404" s="319"/>
      <c r="AX404" s="319"/>
      <c r="AY404" s="319"/>
      <c r="AZ404" s="319"/>
      <c r="BA404" s="319"/>
      <c r="BB404" s="319"/>
      <c r="BC404" s="319"/>
      <c r="BD404" s="319"/>
      <c r="BE404" s="319"/>
      <c r="BF404" s="319"/>
      <c r="BG404" s="319"/>
      <c r="BH404" s="319"/>
      <c r="BI404" s="319"/>
      <c r="BJ404" s="319"/>
      <c r="BK404" s="319"/>
      <c r="BL404" s="319"/>
      <c r="BM404" s="319"/>
      <c r="BN404" s="319"/>
      <c r="BO404" s="319"/>
      <c r="BP404" s="319"/>
      <c r="BQ404" s="319"/>
      <c r="BR404" s="319"/>
      <c r="BS404" s="319"/>
      <c r="BT404" s="319"/>
      <c r="BU404" s="319"/>
      <c r="BV404" s="319"/>
      <c r="BW404" s="319"/>
      <c r="BX404" s="319"/>
      <c r="BY404" s="319"/>
      <c r="BZ404" s="319"/>
      <c r="CA404" s="319"/>
      <c r="CB404" s="319"/>
      <c r="CC404" s="319"/>
      <c r="CD404" s="319"/>
      <c r="CE404" s="319"/>
      <c r="CF404" s="319"/>
    </row>
    <row r="405" spans="1:84" ht="13.2" hidden="1">
      <c r="A405" s="12"/>
      <c r="B405" s="1"/>
      <c r="C405" s="45" t="str">
        <f>C381</f>
        <v>%</v>
      </c>
      <c r="D405" s="45" t="str">
        <f>C367</f>
        <v>m³/s</v>
      </c>
      <c r="E405" s="45" t="str">
        <f>D405</f>
        <v>m³/s</v>
      </c>
      <c r="F405" s="1208"/>
      <c r="G405" s="1208"/>
      <c r="H405" s="1208"/>
      <c r="I405" s="1208"/>
      <c r="J405" s="1"/>
      <c r="K405" s="9"/>
      <c r="L405" s="1"/>
      <c r="M405" s="319"/>
      <c r="N405" s="319"/>
      <c r="O405" s="319"/>
      <c r="P405" s="319"/>
      <c r="Q405" s="319"/>
      <c r="R405" s="319"/>
      <c r="S405" s="319"/>
      <c r="T405" s="319"/>
      <c r="U405" s="319"/>
      <c r="V405" s="319"/>
      <c r="W405" s="319"/>
      <c r="X405" s="319"/>
      <c r="Y405" s="319"/>
      <c r="Z405" s="319"/>
      <c r="AA405" s="319"/>
      <c r="AB405" s="319"/>
      <c r="AC405" s="319"/>
      <c r="AD405" s="319"/>
      <c r="AE405" s="319"/>
      <c r="AF405" s="319"/>
      <c r="AG405" s="319"/>
      <c r="AH405" s="319"/>
      <c r="AI405" s="319"/>
      <c r="AJ405" s="319"/>
      <c r="AK405" s="319"/>
      <c r="AL405" s="319"/>
      <c r="AM405" s="319"/>
      <c r="AN405" s="319"/>
      <c r="AO405" s="319">
        <v>2113025</v>
      </c>
      <c r="AP405" s="319"/>
      <c r="AQ405" s="319"/>
      <c r="AR405" s="319"/>
      <c r="AS405" s="319"/>
      <c r="AT405" s="319"/>
      <c r="AU405" s="319"/>
      <c r="AV405" s="319"/>
      <c r="AW405" s="319"/>
      <c r="AX405" s="319"/>
      <c r="AY405" s="319"/>
      <c r="AZ405" s="319"/>
      <c r="BA405" s="319"/>
      <c r="BB405" s="319"/>
      <c r="BC405" s="319"/>
      <c r="BD405" s="319"/>
      <c r="BE405" s="319"/>
      <c r="BF405" s="319"/>
      <c r="BG405" s="319"/>
      <c r="BH405" s="319"/>
      <c r="BI405" s="319"/>
      <c r="BJ405" s="319"/>
      <c r="BK405" s="319"/>
      <c r="BL405" s="319"/>
      <c r="BM405" s="319"/>
      <c r="BN405" s="319"/>
      <c r="BO405" s="319"/>
      <c r="BP405" s="319"/>
      <c r="BQ405" s="319"/>
      <c r="BR405" s="319"/>
      <c r="BS405" s="319"/>
      <c r="BT405" s="319"/>
      <c r="BU405" s="319"/>
      <c r="BV405" s="319"/>
      <c r="BW405" s="319"/>
      <c r="BX405" s="319"/>
      <c r="BY405" s="319"/>
      <c r="BZ405" s="319"/>
      <c r="CA405" s="319"/>
      <c r="CB405" s="319"/>
      <c r="CC405" s="319"/>
      <c r="CD405" s="319"/>
      <c r="CE405" s="319"/>
      <c r="CF405" s="319"/>
    </row>
    <row r="406" spans="1:84" ht="13.2" hidden="1">
      <c r="A406" s="12"/>
      <c r="B406" s="1"/>
      <c r="C406" s="110">
        <v>0</v>
      </c>
      <c r="D406" s="881"/>
      <c r="E406" s="116">
        <f>IF(Offgrid=5,'Modelo Energético '!D452,D406)*$D$326</f>
        <v>0</v>
      </c>
      <c r="F406" s="880">
        <v>0</v>
      </c>
      <c r="G406" s="116" t="e">
        <f t="shared" ref="G406:G426" si="39">F382</f>
        <v>#DIV/0!</v>
      </c>
      <c r="H406" s="117">
        <f t="shared" ref="H406:H426" si="40">G382</f>
        <v>0</v>
      </c>
      <c r="I406" s="116">
        <f t="shared" ref="I406:I426" si="41">H382</f>
        <v>0</v>
      </c>
      <c r="J406" s="1"/>
      <c r="K406" s="784" t="str">
        <f>$K$268</f>
        <v>Mostrar figura</v>
      </c>
      <c r="L406" s="1"/>
      <c r="M406" s="319"/>
      <c r="N406" s="319"/>
      <c r="O406" s="319"/>
      <c r="P406" s="319"/>
      <c r="Q406" s="319"/>
      <c r="R406" s="319"/>
      <c r="S406" s="319"/>
      <c r="T406" s="319"/>
      <c r="U406" s="319"/>
      <c r="V406" s="319"/>
      <c r="W406" s="319"/>
      <c r="X406" s="319"/>
      <c r="Y406" s="319"/>
      <c r="Z406" s="319"/>
      <c r="AA406" s="319"/>
      <c r="AB406" s="319"/>
      <c r="AC406" s="319"/>
      <c r="AD406" s="319"/>
      <c r="AE406" s="319"/>
      <c r="AF406" s="319"/>
      <c r="AG406" s="319"/>
      <c r="AH406" s="319"/>
      <c r="AI406" s="319"/>
      <c r="AJ406" s="319"/>
      <c r="AK406" s="319"/>
      <c r="AL406" s="319"/>
      <c r="AM406" s="319"/>
      <c r="AN406" s="319"/>
      <c r="AO406" s="319">
        <v>2113025</v>
      </c>
      <c r="AP406" s="319"/>
      <c r="AQ406" s="319"/>
      <c r="AR406" s="319"/>
      <c r="AS406" s="319"/>
      <c r="AT406" s="319"/>
      <c r="AU406" s="319"/>
      <c r="AV406" s="319"/>
      <c r="AW406" s="319"/>
      <c r="AX406" s="319"/>
      <c r="AY406" s="319"/>
      <c r="AZ406" s="319"/>
      <c r="BA406" s="319"/>
      <c r="BB406" s="319"/>
      <c r="BC406" s="319"/>
      <c r="BD406" s="319"/>
      <c r="BE406" s="319"/>
      <c r="BF406" s="319"/>
      <c r="BG406" s="319"/>
      <c r="BH406" s="319"/>
      <c r="BI406" s="319"/>
      <c r="BJ406" s="319"/>
      <c r="BK406" s="319"/>
      <c r="BL406" s="319"/>
      <c r="BM406" s="319"/>
      <c r="BN406" s="319"/>
      <c r="BO406" s="319"/>
      <c r="BP406" s="319"/>
      <c r="BQ406" s="319"/>
      <c r="BR406" s="319"/>
      <c r="BS406" s="319"/>
      <c r="BT406" s="319"/>
      <c r="BU406" s="319"/>
      <c r="BV406" s="319"/>
      <c r="BW406" s="319"/>
      <c r="BX406" s="319"/>
      <c r="BY406" s="319"/>
      <c r="BZ406" s="319"/>
      <c r="CA406" s="319"/>
      <c r="CB406" s="319"/>
      <c r="CC406" s="319"/>
      <c r="CD406" s="319"/>
      <c r="CE406" s="319"/>
      <c r="CF406" s="319"/>
    </row>
    <row r="407" spans="1:84" ht="13.2" hidden="1">
      <c r="A407" s="12"/>
      <c r="B407" s="1"/>
      <c r="C407" s="112">
        <v>0.05</v>
      </c>
      <c r="D407" s="881"/>
      <c r="E407" s="118">
        <f>IF(Offgrid=5,'Modelo Energético '!D453,D407)*$D$326</f>
        <v>0</v>
      </c>
      <c r="F407" s="880">
        <v>0.2</v>
      </c>
      <c r="G407" s="118" t="e">
        <f t="shared" si="39"/>
        <v>#DIV/0!</v>
      </c>
      <c r="H407" s="119" t="e">
        <f t="shared" si="40"/>
        <v>#DIV/0!</v>
      </c>
      <c r="I407" s="118" t="e">
        <f t="shared" si="41"/>
        <v>#DIV/0!</v>
      </c>
      <c r="J407" s="1"/>
      <c r="K407" s="9"/>
      <c r="L407" s="1"/>
      <c r="M407" s="319"/>
      <c r="N407" s="319"/>
      <c r="O407" s="319"/>
      <c r="P407" s="319"/>
      <c r="Q407" s="319"/>
      <c r="R407" s="319"/>
      <c r="S407" s="319"/>
      <c r="T407" s="319"/>
      <c r="U407" s="319"/>
      <c r="V407" s="319"/>
      <c r="W407" s="319"/>
      <c r="X407" s="319"/>
      <c r="Y407" s="319"/>
      <c r="Z407" s="319"/>
      <c r="AA407" s="319"/>
      <c r="AB407" s="319"/>
      <c r="AC407" s="319"/>
      <c r="AD407" s="319"/>
      <c r="AE407" s="319"/>
      <c r="AF407" s="319"/>
      <c r="AG407" s="319"/>
      <c r="AH407" s="319"/>
      <c r="AI407" s="319"/>
      <c r="AJ407" s="319"/>
      <c r="AK407" s="319"/>
      <c r="AL407" s="319"/>
      <c r="AM407" s="319"/>
      <c r="AN407" s="319"/>
      <c r="AO407" s="319">
        <v>2113025</v>
      </c>
      <c r="AP407" s="319"/>
      <c r="AQ407" s="319"/>
      <c r="AR407" s="319"/>
      <c r="AS407" s="319"/>
      <c r="AT407" s="319"/>
      <c r="AU407" s="319"/>
      <c r="AV407" s="319"/>
      <c r="AW407" s="319"/>
      <c r="AX407" s="319"/>
      <c r="AY407" s="319"/>
      <c r="AZ407" s="319"/>
      <c r="BA407" s="319"/>
      <c r="BB407" s="319"/>
      <c r="BC407" s="319"/>
      <c r="BD407" s="319"/>
      <c r="BE407" s="319"/>
      <c r="BF407" s="319"/>
      <c r="BG407" s="319"/>
      <c r="BH407" s="319"/>
      <c r="BI407" s="319"/>
      <c r="BJ407" s="319"/>
      <c r="BK407" s="319"/>
      <c r="BL407" s="319"/>
      <c r="BM407" s="319"/>
      <c r="BN407" s="319"/>
      <c r="BO407" s="319"/>
      <c r="BP407" s="319"/>
      <c r="BQ407" s="319"/>
      <c r="BR407" s="319"/>
      <c r="BS407" s="319"/>
      <c r="BT407" s="319"/>
      <c r="BU407" s="319"/>
      <c r="BV407" s="319"/>
      <c r="BW407" s="319"/>
      <c r="BX407" s="319"/>
      <c r="BY407" s="319"/>
      <c r="BZ407" s="319"/>
      <c r="CA407" s="319"/>
      <c r="CB407" s="319"/>
      <c r="CC407" s="319"/>
      <c r="CD407" s="319"/>
      <c r="CE407" s="319"/>
      <c r="CF407" s="319"/>
    </row>
    <row r="408" spans="1:84" ht="13.2" hidden="1">
      <c r="A408" s="12"/>
      <c r="B408" s="1"/>
      <c r="C408" s="112">
        <v>0.1</v>
      </c>
      <c r="D408" s="881"/>
      <c r="E408" s="118">
        <f>IF(Offgrid=5,'Modelo Energético '!D454,D408)*$D$326</f>
        <v>0</v>
      </c>
      <c r="F408" s="880">
        <v>0.34</v>
      </c>
      <c r="G408" s="118" t="e">
        <f t="shared" si="39"/>
        <v>#DIV/0!</v>
      </c>
      <c r="H408" s="119" t="e">
        <f t="shared" si="40"/>
        <v>#DIV/0!</v>
      </c>
      <c r="I408" s="118" t="e">
        <f t="shared" si="41"/>
        <v>#DIV/0!</v>
      </c>
      <c r="J408" s="1"/>
      <c r="K408" s="9"/>
      <c r="L408" s="1"/>
      <c r="M408" s="319"/>
      <c r="N408" s="319"/>
      <c r="O408" s="319"/>
      <c r="P408" s="319"/>
      <c r="Q408" s="319"/>
      <c r="R408" s="319"/>
      <c r="S408" s="319"/>
      <c r="T408" s="319"/>
      <c r="U408" s="319"/>
      <c r="V408" s="319"/>
      <c r="W408" s="319"/>
      <c r="X408" s="319"/>
      <c r="Y408" s="319"/>
      <c r="Z408" s="319"/>
      <c r="AA408" s="319"/>
      <c r="AB408" s="319"/>
      <c r="AC408" s="319"/>
      <c r="AD408" s="319"/>
      <c r="AE408" s="319"/>
      <c r="AF408" s="319"/>
      <c r="AG408" s="319"/>
      <c r="AH408" s="319"/>
      <c r="AI408" s="319"/>
      <c r="AJ408" s="319"/>
      <c r="AK408" s="319"/>
      <c r="AL408" s="319"/>
      <c r="AM408" s="319"/>
      <c r="AN408" s="319"/>
      <c r="AO408" s="319">
        <v>2113025</v>
      </c>
      <c r="AP408" s="319"/>
      <c r="AQ408" s="319"/>
      <c r="AR408" s="319"/>
      <c r="AS408" s="319"/>
      <c r="AT408" s="319"/>
      <c r="AU408" s="319"/>
      <c r="AV408" s="319"/>
      <c r="AW408" s="319"/>
      <c r="AX408" s="319"/>
      <c r="AY408" s="319"/>
      <c r="AZ408" s="319"/>
      <c r="BA408" s="319"/>
      <c r="BB408" s="319"/>
      <c r="BC408" s="319"/>
      <c r="BD408" s="319"/>
      <c r="BE408" s="319"/>
      <c r="BF408" s="319"/>
      <c r="BG408" s="319"/>
      <c r="BH408" s="319"/>
      <c r="BI408" s="319"/>
      <c r="BJ408" s="319"/>
      <c r="BK408" s="319"/>
      <c r="BL408" s="319"/>
      <c r="BM408" s="319"/>
      <c r="BN408" s="319"/>
      <c r="BO408" s="319"/>
      <c r="BP408" s="319"/>
      <c r="BQ408" s="319"/>
      <c r="BR408" s="319"/>
      <c r="BS408" s="319"/>
      <c r="BT408" s="319"/>
      <c r="BU408" s="319"/>
      <c r="BV408" s="319"/>
      <c r="BW408" s="319"/>
      <c r="BX408" s="319"/>
      <c r="BY408" s="319"/>
      <c r="BZ408" s="319"/>
      <c r="CA408" s="319"/>
      <c r="CB408" s="319"/>
      <c r="CC408" s="319"/>
      <c r="CD408" s="319"/>
      <c r="CE408" s="319"/>
      <c r="CF408" s="319"/>
    </row>
    <row r="409" spans="1:84" ht="13.2" hidden="1">
      <c r="A409" s="12"/>
      <c r="B409" s="1"/>
      <c r="C409" s="112">
        <v>0.15</v>
      </c>
      <c r="D409" s="881"/>
      <c r="E409" s="118">
        <f>IF(Offgrid=5,'Modelo Energético '!D455,D409)*$D$326</f>
        <v>0</v>
      </c>
      <c r="F409" s="880">
        <v>0.52170555274268904</v>
      </c>
      <c r="G409" s="118" t="e">
        <f t="shared" si="39"/>
        <v>#DIV/0!</v>
      </c>
      <c r="H409" s="119" t="e">
        <f t="shared" si="40"/>
        <v>#DIV/0!</v>
      </c>
      <c r="I409" s="118" t="e">
        <f t="shared" si="41"/>
        <v>#DIV/0!</v>
      </c>
      <c r="J409" s="1"/>
      <c r="K409" s="9"/>
      <c r="L409" s="1"/>
      <c r="M409" s="319"/>
      <c r="N409" s="319"/>
      <c r="O409" s="319"/>
      <c r="P409" s="319"/>
      <c r="Q409" s="319"/>
      <c r="R409" s="319"/>
      <c r="S409" s="319"/>
      <c r="T409" s="319"/>
      <c r="U409" s="319"/>
      <c r="V409" s="319"/>
      <c r="W409" s="319"/>
      <c r="X409" s="319"/>
      <c r="Y409" s="319"/>
      <c r="Z409" s="319"/>
      <c r="AA409" s="319"/>
      <c r="AB409" s="319"/>
      <c r="AC409" s="319"/>
      <c r="AD409" s="319"/>
      <c r="AE409" s="319"/>
      <c r="AF409" s="319"/>
      <c r="AG409" s="319"/>
      <c r="AH409" s="319"/>
      <c r="AI409" s="319"/>
      <c r="AJ409" s="319"/>
      <c r="AK409" s="319"/>
      <c r="AL409" s="319"/>
      <c r="AM409" s="319"/>
      <c r="AN409" s="319"/>
      <c r="AO409" s="319">
        <v>2113025</v>
      </c>
      <c r="AP409" s="319"/>
      <c r="AQ409" s="319"/>
      <c r="AR409" s="319"/>
      <c r="AS409" s="319"/>
      <c r="AT409" s="319"/>
      <c r="AU409" s="319"/>
      <c r="AV409" s="319"/>
      <c r="AW409" s="319"/>
      <c r="AX409" s="319"/>
      <c r="AY409" s="319"/>
      <c r="AZ409" s="319"/>
      <c r="BA409" s="319"/>
      <c r="BB409" s="319"/>
      <c r="BC409" s="319"/>
      <c r="BD409" s="319"/>
      <c r="BE409" s="319"/>
      <c r="BF409" s="319"/>
      <c r="BG409" s="319"/>
      <c r="BH409" s="319"/>
      <c r="BI409" s="319"/>
      <c r="BJ409" s="319"/>
      <c r="BK409" s="319"/>
      <c r="BL409" s="319"/>
      <c r="BM409" s="319"/>
      <c r="BN409" s="319"/>
      <c r="BO409" s="319"/>
      <c r="BP409" s="319"/>
      <c r="BQ409" s="319"/>
      <c r="BR409" s="319"/>
      <c r="BS409" s="319"/>
      <c r="BT409" s="319"/>
      <c r="BU409" s="319"/>
      <c r="BV409" s="319"/>
      <c r="BW409" s="319"/>
      <c r="BX409" s="319"/>
      <c r="BY409" s="319"/>
      <c r="BZ409" s="319"/>
      <c r="CA409" s="319"/>
      <c r="CB409" s="319"/>
      <c r="CC409" s="319"/>
      <c r="CD409" s="319"/>
      <c r="CE409" s="319"/>
      <c r="CF409" s="319"/>
    </row>
    <row r="410" spans="1:84" ht="13.2" hidden="1">
      <c r="A410" s="12"/>
      <c r="B410" s="1"/>
      <c r="C410" s="112">
        <v>0.2</v>
      </c>
      <c r="D410" s="881"/>
      <c r="E410" s="118">
        <f>IF(Offgrid=5,'Modelo Energético '!D456,D410)*$D$326</f>
        <v>0</v>
      </c>
      <c r="F410" s="880">
        <v>0.60974676279787499</v>
      </c>
      <c r="G410" s="118" t="e">
        <f t="shared" si="39"/>
        <v>#DIV/0!</v>
      </c>
      <c r="H410" s="119" t="e">
        <f t="shared" si="40"/>
        <v>#DIV/0!</v>
      </c>
      <c r="I410" s="118" t="e">
        <f t="shared" si="41"/>
        <v>#DIV/0!</v>
      </c>
      <c r="J410" s="1"/>
      <c r="K410" s="9"/>
      <c r="L410" s="1"/>
      <c r="M410" s="319"/>
      <c r="N410" s="319"/>
      <c r="O410" s="319"/>
      <c r="P410" s="319"/>
      <c r="Q410" s="319"/>
      <c r="R410" s="319"/>
      <c r="S410" s="319"/>
      <c r="T410" s="319"/>
      <c r="U410" s="319"/>
      <c r="V410" s="319"/>
      <c r="W410" s="319"/>
      <c r="X410" s="319"/>
      <c r="Y410" s="319"/>
      <c r="Z410" s="319"/>
      <c r="AA410" s="319"/>
      <c r="AB410" s="319"/>
      <c r="AC410" s="319"/>
      <c r="AD410" s="319"/>
      <c r="AE410" s="319"/>
      <c r="AF410" s="319"/>
      <c r="AG410" s="319"/>
      <c r="AH410" s="319"/>
      <c r="AI410" s="319"/>
      <c r="AJ410" s="319"/>
      <c r="AK410" s="319"/>
      <c r="AL410" s="319"/>
      <c r="AM410" s="319"/>
      <c r="AN410" s="319"/>
      <c r="AO410" s="319">
        <v>2113025</v>
      </c>
      <c r="AP410" s="319"/>
      <c r="AQ410" s="319"/>
      <c r="AR410" s="319"/>
      <c r="AS410" s="319"/>
      <c r="AT410" s="319"/>
      <c r="AU410" s="319"/>
      <c r="AV410" s="319"/>
      <c r="AW410" s="319"/>
      <c r="AX410" s="319"/>
      <c r="AY410" s="319"/>
      <c r="AZ410" s="319"/>
      <c r="BA410" s="319"/>
      <c r="BB410" s="319"/>
      <c r="BC410" s="319"/>
      <c r="BD410" s="319"/>
      <c r="BE410" s="319"/>
      <c r="BF410" s="319"/>
      <c r="BG410" s="319"/>
      <c r="BH410" s="319"/>
      <c r="BI410" s="319"/>
      <c r="BJ410" s="319"/>
      <c r="BK410" s="319"/>
      <c r="BL410" s="319"/>
      <c r="BM410" s="319"/>
      <c r="BN410" s="319"/>
      <c r="BO410" s="319"/>
      <c r="BP410" s="319"/>
      <c r="BQ410" s="319"/>
      <c r="BR410" s="319"/>
      <c r="BS410" s="319"/>
      <c r="BT410" s="319"/>
      <c r="BU410" s="319"/>
      <c r="BV410" s="319"/>
      <c r="BW410" s="319"/>
      <c r="BX410" s="319"/>
      <c r="BY410" s="319"/>
      <c r="BZ410" s="319"/>
      <c r="CA410" s="319"/>
      <c r="CB410" s="319"/>
      <c r="CC410" s="319"/>
      <c r="CD410" s="319"/>
      <c r="CE410" s="319"/>
      <c r="CF410" s="319"/>
    </row>
    <row r="411" spans="1:84" ht="13.2" hidden="1">
      <c r="A411" s="12"/>
      <c r="B411" s="1"/>
      <c r="C411" s="112">
        <v>0.25</v>
      </c>
      <c r="D411" s="881"/>
      <c r="E411" s="118">
        <f>IF(Offgrid=5,'Modelo Energético '!D457,D411)*$D$326</f>
        <v>0</v>
      </c>
      <c r="F411" s="880">
        <v>0.65308941122144504</v>
      </c>
      <c r="G411" s="118" t="e">
        <f t="shared" si="39"/>
        <v>#DIV/0!</v>
      </c>
      <c r="H411" s="119" t="e">
        <f t="shared" si="40"/>
        <v>#DIV/0!</v>
      </c>
      <c r="I411" s="118" t="e">
        <f t="shared" si="41"/>
        <v>#DIV/0!</v>
      </c>
      <c r="J411" s="1"/>
      <c r="K411" s="9"/>
      <c r="L411" s="1"/>
      <c r="M411" s="319"/>
      <c r="N411" s="319"/>
      <c r="O411" s="319"/>
      <c r="P411" s="319"/>
      <c r="Q411" s="319"/>
      <c r="R411" s="319"/>
      <c r="S411" s="319"/>
      <c r="T411" s="319"/>
      <c r="U411" s="319"/>
      <c r="V411" s="319"/>
      <c r="W411" s="319"/>
      <c r="X411" s="319"/>
      <c r="Y411" s="319"/>
      <c r="Z411" s="319"/>
      <c r="AA411" s="319"/>
      <c r="AB411" s="319"/>
      <c r="AC411" s="319"/>
      <c r="AD411" s="319"/>
      <c r="AE411" s="319"/>
      <c r="AF411" s="319"/>
      <c r="AG411" s="319"/>
      <c r="AH411" s="319"/>
      <c r="AI411" s="319"/>
      <c r="AJ411" s="319"/>
      <c r="AK411" s="319"/>
      <c r="AL411" s="319"/>
      <c r="AM411" s="319"/>
      <c r="AN411" s="319"/>
      <c r="AO411" s="319">
        <v>2113025</v>
      </c>
      <c r="AP411" s="319"/>
      <c r="AQ411" s="319"/>
      <c r="AR411" s="319"/>
      <c r="AS411" s="319"/>
      <c r="AT411" s="319"/>
      <c r="AU411" s="319"/>
      <c r="AV411" s="319"/>
      <c r="AW411" s="319"/>
      <c r="AX411" s="319"/>
      <c r="AY411" s="319"/>
      <c r="AZ411" s="319"/>
      <c r="BA411" s="319"/>
      <c r="BB411" s="319"/>
      <c r="BC411" s="319"/>
      <c r="BD411" s="319"/>
      <c r="BE411" s="319"/>
      <c r="BF411" s="319"/>
      <c r="BG411" s="319"/>
      <c r="BH411" s="319"/>
      <c r="BI411" s="319"/>
      <c r="BJ411" s="319"/>
      <c r="BK411" s="319"/>
      <c r="BL411" s="319"/>
      <c r="BM411" s="319"/>
      <c r="BN411" s="319"/>
      <c r="BO411" s="319"/>
      <c r="BP411" s="319"/>
      <c r="BQ411" s="319"/>
      <c r="BR411" s="319"/>
      <c r="BS411" s="319"/>
      <c r="BT411" s="319"/>
      <c r="BU411" s="319"/>
      <c r="BV411" s="319"/>
      <c r="BW411" s="319"/>
      <c r="BX411" s="319"/>
      <c r="BY411" s="319"/>
      <c r="BZ411" s="319"/>
      <c r="CA411" s="319"/>
      <c r="CB411" s="319"/>
      <c r="CC411" s="319"/>
      <c r="CD411" s="319"/>
      <c r="CE411" s="319"/>
      <c r="CF411" s="319"/>
    </row>
    <row r="412" spans="1:84" ht="13.2" hidden="1">
      <c r="A412" s="12"/>
      <c r="B412" s="1"/>
      <c r="C412" s="112">
        <v>0.3</v>
      </c>
      <c r="D412" s="881"/>
      <c r="E412" s="118">
        <f>IF(Offgrid=5,'Modelo Energético '!D458,D412)*$D$326</f>
        <v>0</v>
      </c>
      <c r="F412" s="880">
        <v>0.67570834390196899</v>
      </c>
      <c r="G412" s="118" t="e">
        <f t="shared" si="39"/>
        <v>#DIV/0!</v>
      </c>
      <c r="H412" s="119" t="e">
        <f t="shared" si="40"/>
        <v>#DIV/0!</v>
      </c>
      <c r="I412" s="118" t="e">
        <f t="shared" si="41"/>
        <v>#DIV/0!</v>
      </c>
      <c r="J412" s="1"/>
      <c r="K412" s="9"/>
      <c r="L412" s="1"/>
      <c r="M412" s="319"/>
      <c r="N412" s="319"/>
      <c r="O412" s="319"/>
      <c r="P412" s="319"/>
      <c r="Q412" s="319"/>
      <c r="R412" s="319"/>
      <c r="S412" s="319"/>
      <c r="T412" s="319"/>
      <c r="U412" s="319"/>
      <c r="V412" s="319"/>
      <c r="W412" s="319"/>
      <c r="X412" s="319"/>
      <c r="Y412" s="319"/>
      <c r="Z412" s="319"/>
      <c r="AA412" s="319"/>
      <c r="AB412" s="319"/>
      <c r="AC412" s="319"/>
      <c r="AD412" s="319"/>
      <c r="AE412" s="319"/>
      <c r="AF412" s="319"/>
      <c r="AG412" s="319"/>
      <c r="AH412" s="319"/>
      <c r="AI412" s="319"/>
      <c r="AJ412" s="319"/>
      <c r="AK412" s="319"/>
      <c r="AL412" s="319"/>
      <c r="AM412" s="319"/>
      <c r="AN412" s="319"/>
      <c r="AO412" s="319">
        <v>2113025</v>
      </c>
      <c r="AP412" s="319"/>
      <c r="AQ412" s="319"/>
      <c r="AR412" s="319"/>
      <c r="AS412" s="319"/>
      <c r="AT412" s="319"/>
      <c r="AU412" s="319"/>
      <c r="AV412" s="319"/>
      <c r="AW412" s="319"/>
      <c r="AX412" s="319"/>
      <c r="AY412" s="319"/>
      <c r="AZ412" s="319"/>
      <c r="BA412" s="319"/>
      <c r="BB412" s="319"/>
      <c r="BC412" s="319"/>
      <c r="BD412" s="319"/>
      <c r="BE412" s="319"/>
      <c r="BF412" s="319"/>
      <c r="BG412" s="319"/>
      <c r="BH412" s="319"/>
      <c r="BI412" s="319"/>
      <c r="BJ412" s="319"/>
      <c r="BK412" s="319"/>
      <c r="BL412" s="319"/>
      <c r="BM412" s="319"/>
      <c r="BN412" s="319"/>
      <c r="BO412" s="319"/>
      <c r="BP412" s="319"/>
      <c r="BQ412" s="319"/>
      <c r="BR412" s="319"/>
      <c r="BS412" s="319"/>
      <c r="BT412" s="319"/>
      <c r="BU412" s="319"/>
      <c r="BV412" s="319"/>
      <c r="BW412" s="319"/>
      <c r="BX412" s="319"/>
      <c r="BY412" s="319"/>
      <c r="BZ412" s="319"/>
      <c r="CA412" s="319"/>
      <c r="CB412" s="319"/>
      <c r="CC412" s="319"/>
      <c r="CD412" s="319"/>
      <c r="CE412" s="319"/>
      <c r="CF412" s="319"/>
    </row>
    <row r="413" spans="1:84" ht="13.2" hidden="1">
      <c r="A413" s="12"/>
      <c r="B413" s="1"/>
      <c r="C413" s="112">
        <v>0.35</v>
      </c>
      <c r="D413" s="881"/>
      <c r="E413" s="118">
        <f>IF(Offgrid=5,'Modelo Energético '!D459,D413)*$D$326</f>
        <v>0</v>
      </c>
      <c r="F413" s="880">
        <v>0.68920763815404795</v>
      </c>
      <c r="G413" s="118" t="e">
        <f t="shared" si="39"/>
        <v>#DIV/0!</v>
      </c>
      <c r="H413" s="119" t="e">
        <f t="shared" si="40"/>
        <v>#DIV/0!</v>
      </c>
      <c r="I413" s="118" t="e">
        <f t="shared" si="41"/>
        <v>#DIV/0!</v>
      </c>
      <c r="J413" s="1"/>
      <c r="K413" s="9"/>
      <c r="L413" s="1"/>
      <c r="M413" s="319"/>
      <c r="N413" s="319"/>
      <c r="O413" s="319"/>
      <c r="P413" s="319"/>
      <c r="Q413" s="319"/>
      <c r="R413" s="319"/>
      <c r="S413" s="319"/>
      <c r="T413" s="319"/>
      <c r="U413" s="319"/>
      <c r="V413" s="319"/>
      <c r="W413" s="319"/>
      <c r="X413" s="319"/>
      <c r="Y413" s="319"/>
      <c r="Z413" s="319"/>
      <c r="AA413" s="319"/>
      <c r="AB413" s="319"/>
      <c r="AC413" s="319"/>
      <c r="AD413" s="319"/>
      <c r="AE413" s="319"/>
      <c r="AF413" s="319"/>
      <c r="AG413" s="319"/>
      <c r="AH413" s="319"/>
      <c r="AI413" s="319"/>
      <c r="AJ413" s="319"/>
      <c r="AK413" s="319"/>
      <c r="AL413" s="319"/>
      <c r="AM413" s="319"/>
      <c r="AN413" s="319"/>
      <c r="AO413" s="319">
        <v>2113025</v>
      </c>
      <c r="AP413" s="319"/>
      <c r="AQ413" s="319"/>
      <c r="AR413" s="319"/>
      <c r="AS413" s="319"/>
      <c r="AT413" s="319"/>
      <c r="AU413" s="319"/>
      <c r="AV413" s="319"/>
      <c r="AW413" s="319"/>
      <c r="AX413" s="319"/>
      <c r="AY413" s="319"/>
      <c r="AZ413" s="319"/>
      <c r="BA413" s="319"/>
      <c r="BB413" s="319"/>
      <c r="BC413" s="319"/>
      <c r="BD413" s="319"/>
      <c r="BE413" s="319"/>
      <c r="BF413" s="319"/>
      <c r="BG413" s="319"/>
      <c r="BH413" s="319"/>
      <c r="BI413" s="319"/>
      <c r="BJ413" s="319"/>
      <c r="BK413" s="319"/>
      <c r="BL413" s="319"/>
      <c r="BM413" s="319"/>
      <c r="BN413" s="319"/>
      <c r="BO413" s="319"/>
      <c r="BP413" s="319"/>
      <c r="BQ413" s="319"/>
      <c r="BR413" s="319"/>
      <c r="BS413" s="319"/>
      <c r="BT413" s="319"/>
      <c r="BU413" s="319"/>
      <c r="BV413" s="319"/>
      <c r="BW413" s="319"/>
      <c r="BX413" s="319"/>
      <c r="BY413" s="319"/>
      <c r="BZ413" s="319"/>
      <c r="CA413" s="319"/>
      <c r="CB413" s="319"/>
      <c r="CC413" s="319"/>
      <c r="CD413" s="319"/>
      <c r="CE413" s="319"/>
      <c r="CF413" s="319"/>
    </row>
    <row r="414" spans="1:84" ht="13.2" hidden="1">
      <c r="A414" s="12"/>
      <c r="B414" s="1"/>
      <c r="C414" s="112">
        <v>0.4</v>
      </c>
      <c r="D414" s="881"/>
      <c r="E414" s="118">
        <f>IF(Offgrid=5,'Modelo Energético '!D460,D414)*$D$326</f>
        <v>0</v>
      </c>
      <c r="F414" s="880">
        <v>0.69892641095188501</v>
      </c>
      <c r="G414" s="118" t="e">
        <f t="shared" si="39"/>
        <v>#DIV/0!</v>
      </c>
      <c r="H414" s="119" t="e">
        <f t="shared" si="40"/>
        <v>#DIV/0!</v>
      </c>
      <c r="I414" s="118" t="e">
        <f t="shared" si="41"/>
        <v>#DIV/0!</v>
      </c>
      <c r="J414" s="1"/>
      <c r="K414" s="9"/>
      <c r="L414" s="1"/>
      <c r="M414" s="319"/>
      <c r="N414" s="319"/>
      <c r="O414" s="319"/>
      <c r="P414" s="319"/>
      <c r="Q414" s="319"/>
      <c r="R414" s="319"/>
      <c r="S414" s="319"/>
      <c r="T414" s="319"/>
      <c r="U414" s="319"/>
      <c r="V414" s="319"/>
      <c r="W414" s="319"/>
      <c r="X414" s="319"/>
      <c r="Y414" s="319"/>
      <c r="Z414" s="319"/>
      <c r="AA414" s="319"/>
      <c r="AB414" s="319"/>
      <c r="AC414" s="319"/>
      <c r="AD414" s="319"/>
      <c r="AE414" s="319"/>
      <c r="AF414" s="319"/>
      <c r="AG414" s="319"/>
      <c r="AH414" s="319"/>
      <c r="AI414" s="319"/>
      <c r="AJ414" s="319"/>
      <c r="AK414" s="319"/>
      <c r="AL414" s="319"/>
      <c r="AM414" s="319"/>
      <c r="AN414" s="319"/>
      <c r="AO414" s="319">
        <v>2113025</v>
      </c>
      <c r="AP414" s="319"/>
      <c r="AQ414" s="319"/>
      <c r="AR414" s="319"/>
      <c r="AS414" s="319"/>
      <c r="AT414" s="319"/>
      <c r="AU414" s="319"/>
      <c r="AV414" s="319"/>
      <c r="AW414" s="319"/>
      <c r="AX414" s="319"/>
      <c r="AY414" s="319"/>
      <c r="AZ414" s="319"/>
      <c r="BA414" s="319"/>
      <c r="BB414" s="319"/>
      <c r="BC414" s="319"/>
      <c r="BD414" s="319"/>
      <c r="BE414" s="319"/>
      <c r="BF414" s="319"/>
      <c r="BG414" s="319"/>
      <c r="BH414" s="319"/>
      <c r="BI414" s="319"/>
      <c r="BJ414" s="319"/>
      <c r="BK414" s="319"/>
      <c r="BL414" s="319"/>
      <c r="BM414" s="319"/>
      <c r="BN414" s="319"/>
      <c r="BO414" s="319"/>
      <c r="BP414" s="319"/>
      <c r="BQ414" s="319"/>
      <c r="BR414" s="319"/>
      <c r="BS414" s="319"/>
      <c r="BT414" s="319"/>
      <c r="BU414" s="319"/>
      <c r="BV414" s="319"/>
      <c r="BW414" s="319"/>
      <c r="BX414" s="319"/>
      <c r="BY414" s="319"/>
      <c r="BZ414" s="319"/>
      <c r="CA414" s="319"/>
      <c r="CB414" s="319"/>
      <c r="CC414" s="319"/>
      <c r="CD414" s="319"/>
      <c r="CE414" s="319"/>
      <c r="CF414" s="319"/>
    </row>
    <row r="415" spans="1:84" ht="13.2" hidden="1">
      <c r="A415" s="12"/>
      <c r="B415" s="1"/>
      <c r="C415" s="112">
        <v>0.45</v>
      </c>
      <c r="D415" s="881"/>
      <c r="E415" s="118">
        <f>IF(Offgrid=5,'Modelo Energético '!D461,D415)*$D$326</f>
        <v>0</v>
      </c>
      <c r="F415" s="880">
        <v>0.70718246016112696</v>
      </c>
      <c r="G415" s="118" t="e">
        <f t="shared" si="39"/>
        <v>#DIV/0!</v>
      </c>
      <c r="H415" s="119" t="e">
        <f t="shared" si="40"/>
        <v>#DIV/0!</v>
      </c>
      <c r="I415" s="118" t="e">
        <f t="shared" si="41"/>
        <v>#DIV/0!</v>
      </c>
      <c r="J415" s="1"/>
      <c r="K415" s="9"/>
      <c r="L415" s="1"/>
      <c r="M415" s="319"/>
      <c r="N415" s="319"/>
      <c r="O415" s="319"/>
      <c r="P415" s="319"/>
      <c r="Q415" s="319"/>
      <c r="R415" s="319"/>
      <c r="S415" s="319"/>
      <c r="T415" s="319"/>
      <c r="U415" s="319"/>
      <c r="V415" s="319"/>
      <c r="W415" s="319"/>
      <c r="X415" s="319"/>
      <c r="Y415" s="319"/>
      <c r="Z415" s="319"/>
      <c r="AA415" s="319"/>
      <c r="AB415" s="319"/>
      <c r="AC415" s="319"/>
      <c r="AD415" s="319"/>
      <c r="AE415" s="319"/>
      <c r="AF415" s="319"/>
      <c r="AG415" s="319"/>
      <c r="AH415" s="319"/>
      <c r="AI415" s="319"/>
      <c r="AJ415" s="319"/>
      <c r="AK415" s="319"/>
      <c r="AL415" s="319"/>
      <c r="AM415" s="319"/>
      <c r="AN415" s="319"/>
      <c r="AO415" s="319">
        <v>2113025</v>
      </c>
      <c r="AP415" s="319"/>
      <c r="AQ415" s="319"/>
      <c r="AR415" s="319"/>
      <c r="AS415" s="319"/>
      <c r="AT415" s="319"/>
      <c r="AU415" s="319"/>
      <c r="AV415" s="319"/>
      <c r="AW415" s="319"/>
      <c r="AX415" s="319"/>
      <c r="AY415" s="319"/>
      <c r="AZ415" s="319"/>
      <c r="BA415" s="319"/>
      <c r="BB415" s="319"/>
      <c r="BC415" s="319"/>
      <c r="BD415" s="319"/>
      <c r="BE415" s="319"/>
      <c r="BF415" s="319"/>
      <c r="BG415" s="319"/>
      <c r="BH415" s="319"/>
      <c r="BI415" s="319"/>
      <c r="BJ415" s="319"/>
      <c r="BK415" s="319"/>
      <c r="BL415" s="319"/>
      <c r="BM415" s="319"/>
      <c r="BN415" s="319"/>
      <c r="BO415" s="319"/>
      <c r="BP415" s="319"/>
      <c r="BQ415" s="319"/>
      <c r="BR415" s="319"/>
      <c r="BS415" s="319"/>
      <c r="BT415" s="319"/>
      <c r="BU415" s="319"/>
      <c r="BV415" s="319"/>
      <c r="BW415" s="319"/>
      <c r="BX415" s="319"/>
      <c r="BY415" s="319"/>
      <c r="BZ415" s="319"/>
      <c r="CA415" s="319"/>
      <c r="CB415" s="319"/>
      <c r="CC415" s="319"/>
      <c r="CD415" s="319"/>
      <c r="CE415" s="319"/>
      <c r="CF415" s="319"/>
    </row>
    <row r="416" spans="1:84" ht="13.2" hidden="1">
      <c r="A416" s="12"/>
      <c r="B416" s="1"/>
      <c r="C416" s="112">
        <v>0.5</v>
      </c>
      <c r="D416" s="881"/>
      <c r="E416" s="118">
        <f>IF(Offgrid=5,'Modelo Energético '!D462,D416)*$D$326</f>
        <v>0</v>
      </c>
      <c r="F416" s="880">
        <v>0.71491638183593798</v>
      </c>
      <c r="G416" s="118" t="e">
        <f t="shared" si="39"/>
        <v>#DIV/0!</v>
      </c>
      <c r="H416" s="119" t="e">
        <f t="shared" si="40"/>
        <v>#DIV/0!</v>
      </c>
      <c r="I416" s="118" t="e">
        <f t="shared" si="41"/>
        <v>#DIV/0!</v>
      </c>
      <c r="J416" s="1"/>
      <c r="K416" s="9"/>
      <c r="L416" s="1"/>
      <c r="M416" s="319"/>
      <c r="N416" s="319"/>
      <c r="O416" s="319"/>
      <c r="P416" s="319"/>
      <c r="Q416" s="319"/>
      <c r="R416" s="319"/>
      <c r="S416" s="319"/>
      <c r="T416" s="319"/>
      <c r="U416" s="319"/>
      <c r="V416" s="319"/>
      <c r="W416" s="319"/>
      <c r="X416" s="319"/>
      <c r="Y416" s="319"/>
      <c r="Z416" s="319"/>
      <c r="AA416" s="319"/>
      <c r="AB416" s="319"/>
      <c r="AC416" s="319"/>
      <c r="AD416" s="319"/>
      <c r="AE416" s="319"/>
      <c r="AF416" s="319"/>
      <c r="AG416" s="319"/>
      <c r="AH416" s="319"/>
      <c r="AI416" s="319"/>
      <c r="AJ416" s="319"/>
      <c r="AK416" s="319"/>
      <c r="AL416" s="319"/>
      <c r="AM416" s="319"/>
      <c r="AN416" s="319"/>
      <c r="AO416" s="319">
        <v>2113025</v>
      </c>
      <c r="AP416" s="319"/>
      <c r="AQ416" s="319"/>
      <c r="AR416" s="319"/>
      <c r="AS416" s="319"/>
      <c r="AT416" s="319"/>
      <c r="AU416" s="319"/>
      <c r="AV416" s="319"/>
      <c r="AW416" s="319"/>
      <c r="AX416" s="319"/>
      <c r="AY416" s="319"/>
      <c r="AZ416" s="319"/>
      <c r="BA416" s="319"/>
      <c r="BB416" s="319"/>
      <c r="BC416" s="319"/>
      <c r="BD416" s="319"/>
      <c r="BE416" s="319"/>
      <c r="BF416" s="319"/>
      <c r="BG416" s="319"/>
      <c r="BH416" s="319"/>
      <c r="BI416" s="319"/>
      <c r="BJ416" s="319"/>
      <c r="BK416" s="319"/>
      <c r="BL416" s="319"/>
      <c r="BM416" s="319"/>
      <c r="BN416" s="319"/>
      <c r="BO416" s="319"/>
      <c r="BP416" s="319"/>
      <c r="BQ416" s="319"/>
      <c r="BR416" s="319"/>
      <c r="BS416" s="319"/>
      <c r="BT416" s="319"/>
      <c r="BU416" s="319"/>
      <c r="BV416" s="319"/>
      <c r="BW416" s="319"/>
      <c r="BX416" s="319"/>
      <c r="BY416" s="319"/>
      <c r="BZ416" s="319"/>
      <c r="CA416" s="319"/>
      <c r="CB416" s="319"/>
      <c r="CC416" s="319"/>
      <c r="CD416" s="319"/>
      <c r="CE416" s="319"/>
      <c r="CF416" s="319"/>
    </row>
    <row r="417" spans="1:84" ht="13.2" hidden="1">
      <c r="A417" s="12"/>
      <c r="B417" s="1"/>
      <c r="C417" s="112">
        <v>0.55000000000000004</v>
      </c>
      <c r="D417" s="881"/>
      <c r="E417" s="118">
        <f>IF(Offgrid=5,'Modelo Energético '!D463,D417)*$D$326</f>
        <v>0</v>
      </c>
      <c r="F417" s="880">
        <v>0.72248087084615298</v>
      </c>
      <c r="G417" s="118" t="e">
        <f t="shared" si="39"/>
        <v>#DIV/0!</v>
      </c>
      <c r="H417" s="119" t="e">
        <f t="shared" si="40"/>
        <v>#DIV/0!</v>
      </c>
      <c r="I417" s="118" t="e">
        <f t="shared" si="41"/>
        <v>#DIV/0!</v>
      </c>
      <c r="J417" s="1"/>
      <c r="K417" s="9"/>
      <c r="L417" s="1"/>
      <c r="M417" s="319"/>
      <c r="N417" s="319"/>
      <c r="O417" s="319"/>
      <c r="P417" s="319"/>
      <c r="Q417" s="319"/>
      <c r="R417" s="319"/>
      <c r="S417" s="319"/>
      <c r="T417" s="319"/>
      <c r="U417" s="319"/>
      <c r="V417" s="319"/>
      <c r="W417" s="319"/>
      <c r="X417" s="319"/>
      <c r="Y417" s="319"/>
      <c r="Z417" s="319"/>
      <c r="AA417" s="319"/>
      <c r="AB417" s="319"/>
      <c r="AC417" s="319"/>
      <c r="AD417" s="319"/>
      <c r="AE417" s="319"/>
      <c r="AF417" s="319"/>
      <c r="AG417" s="319"/>
      <c r="AH417" s="319"/>
      <c r="AI417" s="319"/>
      <c r="AJ417" s="319"/>
      <c r="AK417" s="319"/>
      <c r="AL417" s="319"/>
      <c r="AM417" s="319"/>
      <c r="AN417" s="319"/>
      <c r="AO417" s="319">
        <v>2113025</v>
      </c>
      <c r="AP417" s="319"/>
      <c r="AQ417" s="319"/>
      <c r="AR417" s="319"/>
      <c r="AS417" s="319"/>
      <c r="AT417" s="319"/>
      <c r="AU417" s="319"/>
      <c r="AV417" s="319"/>
      <c r="AW417" s="319"/>
      <c r="AX417" s="319"/>
      <c r="AY417" s="319"/>
      <c r="AZ417" s="319"/>
      <c r="BA417" s="319"/>
      <c r="BB417" s="319"/>
      <c r="BC417" s="319"/>
      <c r="BD417" s="319"/>
      <c r="BE417" s="319"/>
      <c r="BF417" s="319"/>
      <c r="BG417" s="319"/>
      <c r="BH417" s="319"/>
      <c r="BI417" s="319"/>
      <c r="BJ417" s="319"/>
      <c r="BK417" s="319"/>
      <c r="BL417" s="319"/>
      <c r="BM417" s="319"/>
      <c r="BN417" s="319"/>
      <c r="BO417" s="319"/>
      <c r="BP417" s="319"/>
      <c r="BQ417" s="319"/>
      <c r="BR417" s="319"/>
      <c r="BS417" s="319"/>
      <c r="BT417" s="319"/>
      <c r="BU417" s="319"/>
      <c r="BV417" s="319"/>
      <c r="BW417" s="319"/>
      <c r="BX417" s="319"/>
      <c r="BY417" s="319"/>
      <c r="BZ417" s="319"/>
      <c r="CA417" s="319"/>
      <c r="CB417" s="319"/>
      <c r="CC417" s="319"/>
      <c r="CD417" s="319"/>
      <c r="CE417" s="319"/>
      <c r="CF417" s="319"/>
    </row>
    <row r="418" spans="1:84" ht="13.2" hidden="1">
      <c r="A418" s="12"/>
      <c r="B418" s="1"/>
      <c r="C418" s="112">
        <v>0.6</v>
      </c>
      <c r="D418" s="881"/>
      <c r="E418" s="118">
        <f>IF(Offgrid=5,'Modelo Energético '!D464,D418)*$D$326</f>
        <v>0</v>
      </c>
      <c r="F418" s="880">
        <v>0.72999632243425305</v>
      </c>
      <c r="G418" s="118" t="e">
        <f t="shared" si="39"/>
        <v>#DIV/0!</v>
      </c>
      <c r="H418" s="119" t="e">
        <f t="shared" si="40"/>
        <v>#DIV/0!</v>
      </c>
      <c r="I418" s="118" t="e">
        <f t="shared" si="41"/>
        <v>#DIV/0!</v>
      </c>
      <c r="J418" s="1"/>
      <c r="K418" s="9"/>
      <c r="L418" s="1"/>
      <c r="M418" s="319"/>
      <c r="N418" s="319"/>
      <c r="O418" s="319"/>
      <c r="P418" s="319"/>
      <c r="Q418" s="319"/>
      <c r="R418" s="319"/>
      <c r="S418" s="319"/>
      <c r="T418" s="319"/>
      <c r="U418" s="319"/>
      <c r="V418" s="319"/>
      <c r="W418" s="319"/>
      <c r="X418" s="319"/>
      <c r="Y418" s="319"/>
      <c r="Z418" s="319"/>
      <c r="AA418" s="319"/>
      <c r="AB418" s="319"/>
      <c r="AC418" s="319"/>
      <c r="AD418" s="319"/>
      <c r="AE418" s="319"/>
      <c r="AF418" s="319"/>
      <c r="AG418" s="319"/>
      <c r="AH418" s="319"/>
      <c r="AI418" s="319"/>
      <c r="AJ418" s="319"/>
      <c r="AK418" s="319"/>
      <c r="AL418" s="319"/>
      <c r="AM418" s="319"/>
      <c r="AN418" s="319"/>
      <c r="AO418" s="319">
        <v>2113025</v>
      </c>
      <c r="AP418" s="319"/>
      <c r="AQ418" s="319"/>
      <c r="AR418" s="319"/>
      <c r="AS418" s="319"/>
      <c r="AT418" s="319"/>
      <c r="AU418" s="319"/>
      <c r="AV418" s="319"/>
      <c r="AW418" s="319"/>
      <c r="AX418" s="319"/>
      <c r="AY418" s="319"/>
      <c r="AZ418" s="319"/>
      <c r="BA418" s="319"/>
      <c r="BB418" s="319"/>
      <c r="BC418" s="319"/>
      <c r="BD418" s="319"/>
      <c r="BE418" s="319"/>
      <c r="BF418" s="319"/>
      <c r="BG418" s="319"/>
      <c r="BH418" s="319"/>
      <c r="BI418" s="319"/>
      <c r="BJ418" s="319"/>
      <c r="BK418" s="319"/>
      <c r="BL418" s="319"/>
      <c r="BM418" s="319"/>
      <c r="BN418" s="319"/>
      <c r="BO418" s="319"/>
      <c r="BP418" s="319"/>
      <c r="BQ418" s="319"/>
      <c r="BR418" s="319"/>
      <c r="BS418" s="319"/>
      <c r="BT418" s="319"/>
      <c r="BU418" s="319"/>
      <c r="BV418" s="319"/>
      <c r="BW418" s="319"/>
      <c r="BX418" s="319"/>
      <c r="BY418" s="319"/>
      <c r="BZ418" s="319"/>
      <c r="CA418" s="319"/>
      <c r="CB418" s="319"/>
      <c r="CC418" s="319"/>
      <c r="CD418" s="319"/>
      <c r="CE418" s="319"/>
      <c r="CF418" s="319"/>
    </row>
    <row r="419" spans="1:84" ht="13.2" hidden="1">
      <c r="A419" s="12"/>
      <c r="B419" s="1"/>
      <c r="C419" s="112">
        <v>0.65</v>
      </c>
      <c r="D419" s="881"/>
      <c r="E419" s="118">
        <f>IF(Offgrid=5,'Modelo Energético '!D465,D419)*$D$326</f>
        <v>0</v>
      </c>
      <c r="F419" s="880">
        <v>0.73749943288231801</v>
      </c>
      <c r="G419" s="118" t="e">
        <f t="shared" si="39"/>
        <v>#DIV/0!</v>
      </c>
      <c r="H419" s="119" t="e">
        <f t="shared" si="40"/>
        <v>#DIV/0!</v>
      </c>
      <c r="I419" s="118" t="e">
        <f t="shared" si="41"/>
        <v>#DIV/0!</v>
      </c>
      <c r="J419" s="1"/>
      <c r="K419" s="9"/>
      <c r="L419" s="1"/>
      <c r="M419" s="319"/>
      <c r="N419" s="319"/>
      <c r="O419" s="319"/>
      <c r="P419" s="319"/>
      <c r="Q419" s="319"/>
      <c r="R419" s="319"/>
      <c r="S419" s="319"/>
      <c r="T419" s="319"/>
      <c r="U419" s="319"/>
      <c r="V419" s="319"/>
      <c r="W419" s="319"/>
      <c r="X419" s="319"/>
      <c r="Y419" s="319"/>
      <c r="Z419" s="319"/>
      <c r="AA419" s="319"/>
      <c r="AB419" s="319"/>
      <c r="AC419" s="319"/>
      <c r="AD419" s="319"/>
      <c r="AE419" s="319"/>
      <c r="AF419" s="319"/>
      <c r="AG419" s="319"/>
      <c r="AH419" s="319"/>
      <c r="AI419" s="319"/>
      <c r="AJ419" s="319"/>
      <c r="AK419" s="319"/>
      <c r="AL419" s="319"/>
      <c r="AM419" s="319"/>
      <c r="AN419" s="319"/>
      <c r="AO419" s="319">
        <v>2113025</v>
      </c>
      <c r="AP419" s="319"/>
      <c r="AQ419" s="319"/>
      <c r="AR419" s="319"/>
      <c r="AS419" s="319"/>
      <c r="AT419" s="319"/>
      <c r="AU419" s="319"/>
      <c r="AV419" s="319"/>
      <c r="AW419" s="319"/>
      <c r="AX419" s="319"/>
      <c r="AY419" s="319"/>
      <c r="AZ419" s="319"/>
      <c r="BA419" s="319"/>
      <c r="BB419" s="319"/>
      <c r="BC419" s="319"/>
      <c r="BD419" s="319"/>
      <c r="BE419" s="319"/>
      <c r="BF419" s="319"/>
      <c r="BG419" s="319"/>
      <c r="BH419" s="319"/>
      <c r="BI419" s="319"/>
      <c r="BJ419" s="319"/>
      <c r="BK419" s="319"/>
      <c r="BL419" s="319"/>
      <c r="BM419" s="319"/>
      <c r="BN419" s="319"/>
      <c r="BO419" s="319"/>
      <c r="BP419" s="319"/>
      <c r="BQ419" s="319"/>
      <c r="BR419" s="319"/>
      <c r="BS419" s="319"/>
      <c r="BT419" s="319"/>
      <c r="BU419" s="319"/>
      <c r="BV419" s="319"/>
      <c r="BW419" s="319"/>
      <c r="BX419" s="319"/>
      <c r="BY419" s="319"/>
      <c r="BZ419" s="319"/>
      <c r="CA419" s="319"/>
      <c r="CB419" s="319"/>
      <c r="CC419" s="319"/>
      <c r="CD419" s="319"/>
      <c r="CE419" s="319"/>
      <c r="CF419" s="319"/>
    </row>
    <row r="420" spans="1:84" ht="13.2" hidden="1">
      <c r="A420" s="12"/>
      <c r="B420" s="1"/>
      <c r="C420" s="112">
        <v>0.7</v>
      </c>
      <c r="D420" s="881"/>
      <c r="E420" s="118">
        <f>IF(Offgrid=5,'Modelo Energético '!D466,D420)*$D$326</f>
        <v>0</v>
      </c>
      <c r="F420" s="880">
        <v>0.74499993447332502</v>
      </c>
      <c r="G420" s="118" t="e">
        <f t="shared" si="39"/>
        <v>#DIV/0!</v>
      </c>
      <c r="H420" s="119" t="e">
        <f t="shared" si="40"/>
        <v>#DIV/0!</v>
      </c>
      <c r="I420" s="118" t="e">
        <f t="shared" si="41"/>
        <v>#DIV/0!</v>
      </c>
      <c r="J420" s="1"/>
      <c r="K420" s="9"/>
      <c r="L420" s="1"/>
      <c r="M420" s="319"/>
      <c r="N420" s="319"/>
      <c r="O420" s="319"/>
      <c r="P420" s="319"/>
      <c r="Q420" s="319"/>
      <c r="R420" s="319"/>
      <c r="S420" s="319"/>
      <c r="T420" s="319"/>
      <c r="U420" s="319"/>
      <c r="V420" s="319"/>
      <c r="W420" s="319"/>
      <c r="X420" s="319"/>
      <c r="Y420" s="319"/>
      <c r="Z420" s="319"/>
      <c r="AA420" s="319"/>
      <c r="AB420" s="319"/>
      <c r="AC420" s="319"/>
      <c r="AD420" s="319"/>
      <c r="AE420" s="319"/>
      <c r="AF420" s="319"/>
      <c r="AG420" s="319"/>
      <c r="AH420" s="319"/>
      <c r="AI420" s="319"/>
      <c r="AJ420" s="319"/>
      <c r="AK420" s="319"/>
      <c r="AL420" s="319"/>
      <c r="AM420" s="319"/>
      <c r="AN420" s="319"/>
      <c r="AO420" s="319">
        <v>2113025</v>
      </c>
      <c r="AP420" s="319"/>
      <c r="AQ420" s="319"/>
      <c r="AR420" s="319"/>
      <c r="AS420" s="319"/>
      <c r="AT420" s="319"/>
      <c r="AU420" s="319"/>
      <c r="AV420" s="319"/>
      <c r="AW420" s="319"/>
      <c r="AX420" s="319"/>
      <c r="AY420" s="319"/>
      <c r="AZ420" s="319"/>
      <c r="BA420" s="319"/>
      <c r="BB420" s="319"/>
      <c r="BC420" s="319"/>
      <c r="BD420" s="319"/>
      <c r="BE420" s="319"/>
      <c r="BF420" s="319"/>
      <c r="BG420" s="319"/>
      <c r="BH420" s="319"/>
      <c r="BI420" s="319"/>
      <c r="BJ420" s="319"/>
      <c r="BK420" s="319"/>
      <c r="BL420" s="319"/>
      <c r="BM420" s="319"/>
      <c r="BN420" s="319"/>
      <c r="BO420" s="319"/>
      <c r="BP420" s="319"/>
      <c r="BQ420" s="319"/>
      <c r="BR420" s="319"/>
      <c r="BS420" s="319"/>
      <c r="BT420" s="319"/>
      <c r="BU420" s="319"/>
      <c r="BV420" s="319"/>
      <c r="BW420" s="319"/>
      <c r="BX420" s="319"/>
      <c r="BY420" s="319"/>
      <c r="BZ420" s="319"/>
      <c r="CA420" s="319"/>
      <c r="CB420" s="319"/>
      <c r="CC420" s="319"/>
      <c r="CD420" s="319"/>
      <c r="CE420" s="319"/>
      <c r="CF420" s="319"/>
    </row>
    <row r="421" spans="1:84" ht="13.2" hidden="1">
      <c r="A421" s="12"/>
      <c r="B421" s="1"/>
      <c r="C421" s="112">
        <v>0.75</v>
      </c>
      <c r="D421" s="881"/>
      <c r="E421" s="118">
        <f>IF(Offgrid=5,'Modelo Energético '!D467,D421)*$D$326</f>
        <v>0</v>
      </c>
      <c r="F421" s="880">
        <v>0.752499994896352</v>
      </c>
      <c r="G421" s="118" t="e">
        <f t="shared" si="39"/>
        <v>#DIV/0!</v>
      </c>
      <c r="H421" s="119" t="e">
        <f t="shared" si="40"/>
        <v>#DIV/0!</v>
      </c>
      <c r="I421" s="118" t="e">
        <f t="shared" si="41"/>
        <v>#DIV/0!</v>
      </c>
      <c r="J421" s="1"/>
      <c r="K421" s="9"/>
      <c r="L421" s="1"/>
      <c r="M421" s="319"/>
      <c r="N421" s="319"/>
      <c r="O421" s="319"/>
      <c r="P421" s="319"/>
      <c r="Q421" s="319"/>
      <c r="R421" s="319"/>
      <c r="S421" s="319"/>
      <c r="T421" s="319"/>
      <c r="U421" s="319"/>
      <c r="V421" s="319"/>
      <c r="W421" s="319"/>
      <c r="X421" s="319"/>
      <c r="Y421" s="319"/>
      <c r="Z421" s="319"/>
      <c r="AA421" s="319"/>
      <c r="AB421" s="319"/>
      <c r="AC421" s="319"/>
      <c r="AD421" s="319"/>
      <c r="AE421" s="319"/>
      <c r="AF421" s="319"/>
      <c r="AG421" s="319"/>
      <c r="AH421" s="319"/>
      <c r="AI421" s="319"/>
      <c r="AJ421" s="319"/>
      <c r="AK421" s="319"/>
      <c r="AL421" s="319"/>
      <c r="AM421" s="319"/>
      <c r="AN421" s="319"/>
      <c r="AO421" s="319">
        <v>2113025</v>
      </c>
      <c r="AP421" s="319"/>
      <c r="AQ421" s="319"/>
      <c r="AR421" s="319"/>
      <c r="AS421" s="319"/>
      <c r="AT421" s="319"/>
      <c r="AU421" s="319"/>
      <c r="AV421" s="319"/>
      <c r="AW421" s="319"/>
      <c r="AX421" s="319"/>
      <c r="AY421" s="319"/>
      <c r="AZ421" s="319"/>
      <c r="BA421" s="319"/>
      <c r="BB421" s="319"/>
      <c r="BC421" s="319"/>
      <c r="BD421" s="319"/>
      <c r="BE421" s="319"/>
      <c r="BF421" s="319"/>
      <c r="BG421" s="319"/>
      <c r="BH421" s="319"/>
      <c r="BI421" s="319"/>
      <c r="BJ421" s="319"/>
      <c r="BK421" s="319"/>
      <c r="BL421" s="319"/>
      <c r="BM421" s="319"/>
      <c r="BN421" s="319"/>
      <c r="BO421" s="319"/>
      <c r="BP421" s="319"/>
      <c r="BQ421" s="319"/>
      <c r="BR421" s="319"/>
      <c r="BS421" s="319"/>
      <c r="BT421" s="319"/>
      <c r="BU421" s="319"/>
      <c r="BV421" s="319"/>
      <c r="BW421" s="319"/>
      <c r="BX421" s="319"/>
      <c r="BY421" s="319"/>
      <c r="BZ421" s="319"/>
      <c r="CA421" s="319"/>
      <c r="CB421" s="319"/>
      <c r="CC421" s="319"/>
      <c r="CD421" s="319"/>
      <c r="CE421" s="319"/>
      <c r="CF421" s="319"/>
    </row>
    <row r="422" spans="1:84" ht="13.2" hidden="1">
      <c r="A422" s="12"/>
      <c r="B422" s="1"/>
      <c r="C422" s="112">
        <v>0.8</v>
      </c>
      <c r="D422" s="881"/>
      <c r="E422" s="118">
        <f>IF(Offgrid=5,'Modelo Energético '!D468,D422)*$D$326</f>
        <v>0</v>
      </c>
      <c r="F422" s="880">
        <v>0.759999999775539</v>
      </c>
      <c r="G422" s="118" t="e">
        <f t="shared" si="39"/>
        <v>#DIV/0!</v>
      </c>
      <c r="H422" s="119" t="e">
        <f t="shared" si="40"/>
        <v>#DIV/0!</v>
      </c>
      <c r="I422" s="118" t="e">
        <f t="shared" si="41"/>
        <v>#DIV/0!</v>
      </c>
      <c r="J422" s="1"/>
      <c r="K422" s="9"/>
      <c r="L422" s="1"/>
      <c r="M422" s="319"/>
      <c r="N422" s="319"/>
      <c r="O422" s="319"/>
      <c r="P422" s="319"/>
      <c r="Q422" s="319"/>
      <c r="R422" s="319"/>
      <c r="S422" s="319"/>
      <c r="T422" s="319"/>
      <c r="U422" s="319"/>
      <c r="V422" s="319"/>
      <c r="W422" s="319"/>
      <c r="X422" s="319"/>
      <c r="Y422" s="319"/>
      <c r="Z422" s="319"/>
      <c r="AA422" s="319"/>
      <c r="AB422" s="319"/>
      <c r="AC422" s="319"/>
      <c r="AD422" s="319"/>
      <c r="AE422" s="319"/>
      <c r="AF422" s="319"/>
      <c r="AG422" s="319"/>
      <c r="AH422" s="319"/>
      <c r="AI422" s="319"/>
      <c r="AJ422" s="319"/>
      <c r="AK422" s="319"/>
      <c r="AL422" s="319"/>
      <c r="AM422" s="319"/>
      <c r="AN422" s="319"/>
      <c r="AO422" s="319">
        <v>2113025</v>
      </c>
      <c r="AP422" s="319"/>
      <c r="AQ422" s="319"/>
      <c r="AR422" s="319"/>
      <c r="AS422" s="319"/>
      <c r="AT422" s="319"/>
      <c r="AU422" s="319"/>
      <c r="AV422" s="319"/>
      <c r="AW422" s="319"/>
      <c r="AX422" s="319"/>
      <c r="AY422" s="319"/>
      <c r="AZ422" s="319"/>
      <c r="BA422" s="319"/>
      <c r="BB422" s="319"/>
      <c r="BC422" s="319"/>
      <c r="BD422" s="319"/>
      <c r="BE422" s="319"/>
      <c r="BF422" s="319"/>
      <c r="BG422" s="319"/>
      <c r="BH422" s="319"/>
      <c r="BI422" s="319"/>
      <c r="BJ422" s="319"/>
      <c r="BK422" s="319"/>
      <c r="BL422" s="319"/>
      <c r="BM422" s="319"/>
      <c r="BN422" s="319"/>
      <c r="BO422" s="319"/>
      <c r="BP422" s="319"/>
      <c r="BQ422" s="319"/>
      <c r="BR422" s="319"/>
      <c r="BS422" s="319"/>
      <c r="BT422" s="319"/>
      <c r="BU422" s="319"/>
      <c r="BV422" s="319"/>
      <c r="BW422" s="319"/>
      <c r="BX422" s="319"/>
      <c r="BY422" s="319"/>
      <c r="BZ422" s="319"/>
      <c r="CA422" s="319"/>
      <c r="CB422" s="319"/>
      <c r="CC422" s="319"/>
      <c r="CD422" s="319"/>
      <c r="CE422" s="319"/>
      <c r="CF422" s="319"/>
    </row>
    <row r="423" spans="1:84" ht="13.2" hidden="1">
      <c r="A423" s="12"/>
      <c r="B423" s="1"/>
      <c r="C423" s="112">
        <v>0.85</v>
      </c>
      <c r="D423" s="881"/>
      <c r="E423" s="118">
        <f>IF(Offgrid=5,'Modelo Energético '!D469,D423)*$D$326</f>
        <v>0</v>
      </c>
      <c r="F423" s="880">
        <v>0.76749999999600105</v>
      </c>
      <c r="G423" s="118" t="e">
        <f t="shared" si="39"/>
        <v>#DIV/0!</v>
      </c>
      <c r="H423" s="119" t="e">
        <f t="shared" si="40"/>
        <v>#DIV/0!</v>
      </c>
      <c r="I423" s="118" t="e">
        <f t="shared" si="41"/>
        <v>#DIV/0!</v>
      </c>
      <c r="J423" s="1"/>
      <c r="K423" s="9"/>
      <c r="L423" s="1"/>
      <c r="M423" s="319"/>
      <c r="N423" s="319"/>
      <c r="O423" s="319"/>
      <c r="P423" s="319"/>
      <c r="Q423" s="319"/>
      <c r="R423" s="319"/>
      <c r="S423" s="319"/>
      <c r="T423" s="319"/>
      <c r="U423" s="319"/>
      <c r="V423" s="319"/>
      <c r="W423" s="319"/>
      <c r="X423" s="319"/>
      <c r="Y423" s="319"/>
      <c r="Z423" s="319"/>
      <c r="AA423" s="319"/>
      <c r="AB423" s="319"/>
      <c r="AC423" s="319"/>
      <c r="AD423" s="319"/>
      <c r="AE423" s="319"/>
      <c r="AF423" s="319"/>
      <c r="AG423" s="319"/>
      <c r="AH423" s="319"/>
      <c r="AI423" s="319"/>
      <c r="AJ423" s="319"/>
      <c r="AK423" s="319"/>
      <c r="AL423" s="319"/>
      <c r="AM423" s="319"/>
      <c r="AN423" s="319"/>
      <c r="AO423" s="319">
        <v>2113025</v>
      </c>
      <c r="AP423" s="319"/>
      <c r="AQ423" s="319"/>
      <c r="AR423" s="319"/>
      <c r="AS423" s="319"/>
      <c r="AT423" s="319"/>
      <c r="AU423" s="319"/>
      <c r="AV423" s="319"/>
      <c r="AW423" s="319"/>
      <c r="AX423" s="319"/>
      <c r="AY423" s="319"/>
      <c r="AZ423" s="319"/>
      <c r="BA423" s="319"/>
      <c r="BB423" s="319"/>
      <c r="BC423" s="319"/>
      <c r="BD423" s="319"/>
      <c r="BE423" s="319"/>
      <c r="BF423" s="319"/>
      <c r="BG423" s="319"/>
      <c r="BH423" s="319"/>
      <c r="BI423" s="319"/>
      <c r="BJ423" s="319"/>
      <c r="BK423" s="319"/>
      <c r="BL423" s="319"/>
      <c r="BM423" s="319"/>
      <c r="BN423" s="319"/>
      <c r="BO423" s="319"/>
      <c r="BP423" s="319"/>
      <c r="BQ423" s="319"/>
      <c r="BR423" s="319"/>
      <c r="BS423" s="319"/>
      <c r="BT423" s="319"/>
      <c r="BU423" s="319"/>
      <c r="BV423" s="319"/>
      <c r="BW423" s="319"/>
      <c r="BX423" s="319"/>
      <c r="BY423" s="319"/>
      <c r="BZ423" s="319"/>
      <c r="CA423" s="319"/>
      <c r="CB423" s="319"/>
      <c r="CC423" s="319"/>
      <c r="CD423" s="319"/>
      <c r="CE423" s="319"/>
      <c r="CF423" s="319"/>
    </row>
    <row r="424" spans="1:84" ht="13.2" hidden="1">
      <c r="A424" s="12"/>
      <c r="B424" s="1"/>
      <c r="C424" s="112">
        <v>0.9</v>
      </c>
      <c r="D424" s="881"/>
      <c r="E424" s="118">
        <f>IF(Offgrid=5,'Modelo Energético '!D470,D424)*$D$326</f>
        <v>0</v>
      </c>
      <c r="F424" s="880">
        <v>0.77499999999998603</v>
      </c>
      <c r="G424" s="118" t="e">
        <f t="shared" si="39"/>
        <v>#DIV/0!</v>
      </c>
      <c r="H424" s="119" t="e">
        <f t="shared" si="40"/>
        <v>#DIV/0!</v>
      </c>
      <c r="I424" s="118" t="e">
        <f t="shared" si="41"/>
        <v>#DIV/0!</v>
      </c>
      <c r="J424" s="1"/>
      <c r="K424" s="9"/>
      <c r="L424" s="1"/>
      <c r="M424" s="319"/>
      <c r="N424" s="319"/>
      <c r="O424" s="319"/>
      <c r="P424" s="319"/>
      <c r="Q424" s="319"/>
      <c r="R424" s="319"/>
      <c r="S424" s="319"/>
      <c r="T424" s="319"/>
      <c r="U424" s="319"/>
      <c r="V424" s="319"/>
      <c r="W424" s="319"/>
      <c r="X424" s="319"/>
      <c r="Y424" s="319"/>
      <c r="Z424" s="319"/>
      <c r="AA424" s="319"/>
      <c r="AB424" s="319"/>
      <c r="AC424" s="319"/>
      <c r="AD424" s="319"/>
      <c r="AE424" s="319"/>
      <c r="AF424" s="319"/>
      <c r="AG424" s="319"/>
      <c r="AH424" s="319"/>
      <c r="AI424" s="319"/>
      <c r="AJ424" s="319"/>
      <c r="AK424" s="319"/>
      <c r="AL424" s="319"/>
      <c r="AM424" s="319"/>
      <c r="AN424" s="319"/>
      <c r="AO424" s="319">
        <v>2113025</v>
      </c>
      <c r="AP424" s="319"/>
      <c r="AQ424" s="319"/>
      <c r="AR424" s="319"/>
      <c r="AS424" s="319"/>
      <c r="AT424" s="319"/>
      <c r="AU424" s="319"/>
      <c r="AV424" s="319"/>
      <c r="AW424" s="319"/>
      <c r="AX424" s="319"/>
      <c r="AY424" s="319"/>
      <c r="AZ424" s="319"/>
      <c r="BA424" s="319"/>
      <c r="BB424" s="319"/>
      <c r="BC424" s="319"/>
      <c r="BD424" s="319"/>
      <c r="BE424" s="319"/>
      <c r="BF424" s="319"/>
      <c r="BG424" s="319"/>
      <c r="BH424" s="319"/>
      <c r="BI424" s="319"/>
      <c r="BJ424" s="319"/>
      <c r="BK424" s="319"/>
      <c r="BL424" s="319"/>
      <c r="BM424" s="319"/>
      <c r="BN424" s="319"/>
      <c r="BO424" s="319"/>
      <c r="BP424" s="319"/>
      <c r="BQ424" s="319"/>
      <c r="BR424" s="319"/>
      <c r="BS424" s="319"/>
      <c r="BT424" s="319"/>
      <c r="BU424" s="319"/>
      <c r="BV424" s="319"/>
      <c r="BW424" s="319"/>
      <c r="BX424" s="319"/>
      <c r="BY424" s="319"/>
      <c r="BZ424" s="319"/>
      <c r="CA424" s="319"/>
      <c r="CB424" s="319"/>
      <c r="CC424" s="319"/>
      <c r="CD424" s="319"/>
      <c r="CE424" s="319"/>
      <c r="CF424" s="319"/>
    </row>
    <row r="425" spans="1:84" ht="13.2" hidden="1">
      <c r="A425" s="12"/>
      <c r="B425" s="1"/>
      <c r="C425" s="112">
        <v>0.95</v>
      </c>
      <c r="D425" s="881"/>
      <c r="E425" s="118">
        <f>IF(Offgrid=5,'Modelo Energético '!D471,D425)*$D$326</f>
        <v>0</v>
      </c>
      <c r="F425" s="880">
        <v>0.78249999999999997</v>
      </c>
      <c r="G425" s="118" t="e">
        <f t="shared" si="39"/>
        <v>#DIV/0!</v>
      </c>
      <c r="H425" s="119" t="e">
        <f t="shared" si="40"/>
        <v>#DIV/0!</v>
      </c>
      <c r="I425" s="118" t="e">
        <f t="shared" si="41"/>
        <v>#DIV/0!</v>
      </c>
      <c r="J425" s="1"/>
      <c r="K425" s="9"/>
      <c r="L425" s="1"/>
      <c r="M425" s="319"/>
      <c r="N425" s="319"/>
      <c r="O425" s="319"/>
      <c r="P425" s="319"/>
      <c r="Q425" s="319"/>
      <c r="R425" s="319"/>
      <c r="S425" s="319"/>
      <c r="T425" s="319"/>
      <c r="U425" s="319"/>
      <c r="V425" s="319"/>
      <c r="W425" s="319"/>
      <c r="X425" s="319"/>
      <c r="Y425" s="319"/>
      <c r="Z425" s="319"/>
      <c r="AA425" s="319"/>
      <c r="AB425" s="319"/>
      <c r="AC425" s="319"/>
      <c r="AD425" s="319"/>
      <c r="AE425" s="319"/>
      <c r="AF425" s="319"/>
      <c r="AG425" s="319"/>
      <c r="AH425" s="319"/>
      <c r="AI425" s="319"/>
      <c r="AJ425" s="319"/>
      <c r="AK425" s="319"/>
      <c r="AL425" s="319"/>
      <c r="AM425" s="319"/>
      <c r="AN425" s="319"/>
      <c r="AO425" s="319">
        <v>2113025</v>
      </c>
      <c r="AP425" s="319"/>
      <c r="AQ425" s="319"/>
      <c r="AR425" s="319"/>
      <c r="AS425" s="319"/>
      <c r="AT425" s="319"/>
      <c r="AU425" s="319"/>
      <c r="AV425" s="319"/>
      <c r="AW425" s="319"/>
      <c r="AX425" s="319"/>
      <c r="AY425" s="319"/>
      <c r="AZ425" s="319"/>
      <c r="BA425" s="319"/>
      <c r="BB425" s="319"/>
      <c r="BC425" s="319"/>
      <c r="BD425" s="319"/>
      <c r="BE425" s="319"/>
      <c r="BF425" s="319"/>
      <c r="BG425" s="319"/>
      <c r="BH425" s="319"/>
      <c r="BI425" s="319"/>
      <c r="BJ425" s="319"/>
      <c r="BK425" s="319"/>
      <c r="BL425" s="319"/>
      <c r="BM425" s="319"/>
      <c r="BN425" s="319"/>
      <c r="BO425" s="319"/>
      <c r="BP425" s="319"/>
      <c r="BQ425" s="319"/>
      <c r="BR425" s="319"/>
      <c r="BS425" s="319"/>
      <c r="BT425" s="319"/>
      <c r="BU425" s="319"/>
      <c r="BV425" s="319"/>
      <c r="BW425" s="319"/>
      <c r="BX425" s="319"/>
      <c r="BY425" s="319"/>
      <c r="BZ425" s="319"/>
      <c r="CA425" s="319"/>
      <c r="CB425" s="319"/>
      <c r="CC425" s="319"/>
      <c r="CD425" s="319"/>
      <c r="CE425" s="319"/>
      <c r="CF425" s="319"/>
    </row>
    <row r="426" spans="1:84" ht="13.2" hidden="1">
      <c r="A426" s="12"/>
      <c r="B426" s="1"/>
      <c r="C426" s="114">
        <v>1</v>
      </c>
      <c r="D426" s="881"/>
      <c r="E426" s="120">
        <f>IF(Offgrid=5,'Modelo Energético '!D472,D426)*$D$326</f>
        <v>0</v>
      </c>
      <c r="F426" s="880">
        <v>0.79</v>
      </c>
      <c r="G426" s="120" t="e">
        <f t="shared" si="39"/>
        <v>#DIV/0!</v>
      </c>
      <c r="H426" s="121" t="e">
        <f t="shared" si="40"/>
        <v>#DIV/0!</v>
      </c>
      <c r="I426" s="120" t="e">
        <f t="shared" si="41"/>
        <v>#DIV/0!</v>
      </c>
      <c r="J426" s="1"/>
      <c r="K426" s="9"/>
      <c r="L426" s="1"/>
      <c r="M426" s="319"/>
      <c r="N426" s="319"/>
      <c r="O426" s="319"/>
      <c r="P426" s="319"/>
      <c r="Q426" s="319"/>
      <c r="R426" s="319"/>
      <c r="S426" s="319"/>
      <c r="T426" s="319"/>
      <c r="U426" s="319"/>
      <c r="V426" s="319"/>
      <c r="W426" s="319"/>
      <c r="X426" s="319"/>
      <c r="Y426" s="319"/>
      <c r="Z426" s="319"/>
      <c r="AA426" s="319"/>
      <c r="AB426" s="319"/>
      <c r="AC426" s="319"/>
      <c r="AD426" s="319"/>
      <c r="AE426" s="319"/>
      <c r="AF426" s="319"/>
      <c r="AG426" s="319"/>
      <c r="AH426" s="319"/>
      <c r="AI426" s="319"/>
      <c r="AJ426" s="319"/>
      <c r="AK426" s="319"/>
      <c r="AL426" s="319"/>
      <c r="AM426" s="319"/>
      <c r="AN426" s="319"/>
      <c r="AO426" s="319">
        <v>2113025</v>
      </c>
      <c r="AP426" s="319"/>
      <c r="AQ426" s="319"/>
      <c r="AR426" s="319"/>
      <c r="AS426" s="319"/>
      <c r="AT426" s="319"/>
      <c r="AU426" s="319"/>
      <c r="AV426" s="319"/>
      <c r="AW426" s="319"/>
      <c r="AX426" s="319"/>
      <c r="AY426" s="319"/>
      <c r="AZ426" s="319"/>
      <c r="BA426" s="319"/>
      <c r="BB426" s="319"/>
      <c r="BC426" s="319"/>
      <c r="BD426" s="319"/>
      <c r="BE426" s="319"/>
      <c r="BF426" s="319"/>
      <c r="BG426" s="319"/>
      <c r="BH426" s="319"/>
      <c r="BI426" s="319"/>
      <c r="BJ426" s="319"/>
      <c r="BK426" s="319"/>
      <c r="BL426" s="319"/>
      <c r="BM426" s="319"/>
      <c r="BN426" s="319"/>
      <c r="BO426" s="319"/>
      <c r="BP426" s="319"/>
      <c r="BQ426" s="319"/>
      <c r="BR426" s="319"/>
      <c r="BS426" s="319"/>
      <c r="BT426" s="319"/>
      <c r="BU426" s="319"/>
      <c r="BV426" s="319"/>
      <c r="BW426" s="319"/>
      <c r="BX426" s="319"/>
      <c r="BY426" s="319"/>
      <c r="BZ426" s="319"/>
      <c r="CA426" s="319"/>
      <c r="CB426" s="319"/>
      <c r="CC426" s="319"/>
      <c r="CD426" s="319"/>
      <c r="CE426" s="319"/>
      <c r="CF426" s="319"/>
    </row>
    <row r="427" spans="1:84" ht="13.2" hidden="1">
      <c r="A427" s="12"/>
      <c r="B427" s="1"/>
      <c r="C427" s="1"/>
      <c r="D427" s="1"/>
      <c r="E427" s="1"/>
      <c r="F427" s="5"/>
      <c r="G427" s="1"/>
      <c r="H427" s="1"/>
      <c r="I427" s="1"/>
      <c r="J427" s="1"/>
      <c r="K427" s="9"/>
      <c r="L427" s="1"/>
      <c r="M427" s="319"/>
      <c r="N427" s="319"/>
      <c r="O427" s="319"/>
      <c r="P427" s="319"/>
      <c r="Q427" s="319"/>
      <c r="R427" s="319"/>
      <c r="S427" s="319"/>
      <c r="T427" s="319"/>
      <c r="U427" s="319"/>
      <c r="V427" s="319"/>
      <c r="W427" s="319"/>
      <c r="X427" s="319"/>
      <c r="Y427" s="319"/>
      <c r="Z427" s="319"/>
      <c r="AA427" s="319"/>
      <c r="AB427" s="319"/>
      <c r="AC427" s="319"/>
      <c r="AD427" s="319"/>
      <c r="AE427" s="319"/>
      <c r="AF427" s="319"/>
      <c r="AG427" s="319"/>
      <c r="AH427" s="319"/>
      <c r="AI427" s="319"/>
      <c r="AJ427" s="319"/>
      <c r="AK427" s="319"/>
      <c r="AL427" s="319"/>
      <c r="AM427" s="319"/>
      <c r="AN427" s="319"/>
      <c r="AO427" s="319">
        <v>2113025</v>
      </c>
      <c r="AP427" s="319"/>
      <c r="AQ427" s="319"/>
      <c r="AR427" s="319"/>
      <c r="AS427" s="319"/>
      <c r="AT427" s="319"/>
      <c r="AU427" s="319"/>
      <c r="AV427" s="319"/>
      <c r="AW427" s="319"/>
      <c r="AX427" s="319"/>
      <c r="AY427" s="319"/>
      <c r="AZ427" s="319"/>
      <c r="BA427" s="319"/>
      <c r="BB427" s="319"/>
      <c r="BC427" s="319"/>
      <c r="BD427" s="319"/>
      <c r="BE427" s="319"/>
      <c r="BF427" s="319"/>
      <c r="BG427" s="319"/>
      <c r="BH427" s="319"/>
      <c r="BI427" s="319"/>
      <c r="BJ427" s="319"/>
      <c r="BK427" s="319"/>
      <c r="BL427" s="319"/>
      <c r="BM427" s="319"/>
      <c r="BN427" s="319"/>
      <c r="BO427" s="319"/>
      <c r="BP427" s="319"/>
      <c r="BQ427" s="319"/>
      <c r="BR427" s="319"/>
      <c r="BS427" s="319"/>
      <c r="BT427" s="319"/>
      <c r="BU427" s="319"/>
      <c r="BV427" s="319"/>
      <c r="BW427" s="319"/>
      <c r="BX427" s="319"/>
      <c r="BY427" s="319"/>
      <c r="BZ427" s="319"/>
      <c r="CA427" s="319"/>
      <c r="CB427" s="319"/>
      <c r="CC427" s="319"/>
      <c r="CD427" s="319"/>
      <c r="CE427" s="319"/>
      <c r="CF427" s="319"/>
    </row>
    <row r="428" spans="1:84" ht="13.2" hidden="1">
      <c r="A428" s="12"/>
      <c r="B428" s="329" t="str">
        <f>Language!C1799</f>
        <v>Perdas hidráulicas máximas</v>
      </c>
      <c r="C428" s="29" t="str">
        <f>$T$35</f>
        <v>%</v>
      </c>
      <c r="D428" s="422"/>
      <c r="E428" s="1"/>
      <c r="F428" s="1"/>
      <c r="G428" s="1"/>
      <c r="H428" s="1"/>
      <c r="I428" s="1"/>
      <c r="J428" s="1"/>
      <c r="K428" s="9"/>
      <c r="L428" s="1"/>
      <c r="M428" s="319"/>
      <c r="N428" s="319"/>
      <c r="O428" s="742">
        <f>IF(Offgrid=5,'Modelo Energético '!D491,D428)</f>
        <v>0</v>
      </c>
      <c r="P428" s="319"/>
      <c r="Q428" s="319"/>
      <c r="R428" s="319"/>
      <c r="S428" s="319"/>
      <c r="T428" s="319"/>
      <c r="U428" s="319"/>
      <c r="V428" s="319"/>
      <c r="W428" s="319"/>
      <c r="X428" s="319"/>
      <c r="Y428" s="319"/>
      <c r="Z428" s="319"/>
      <c r="AA428" s="319"/>
      <c r="AB428" s="319"/>
      <c r="AC428" s="319"/>
      <c r="AD428" s="319"/>
      <c r="AE428" s="319"/>
      <c r="AF428" s="319"/>
      <c r="AG428" s="319"/>
      <c r="AH428" s="319"/>
      <c r="AI428" s="319"/>
      <c r="AJ428" s="319"/>
      <c r="AK428" s="319"/>
      <c r="AL428" s="319"/>
      <c r="AM428" s="319"/>
      <c r="AN428" s="319"/>
      <c r="AO428" s="319">
        <v>2113028</v>
      </c>
      <c r="AP428" s="319"/>
      <c r="AQ428" s="319"/>
      <c r="AR428" s="319"/>
      <c r="AS428" s="319"/>
      <c r="AT428" s="319"/>
      <c r="AU428" s="319"/>
      <c r="AV428" s="319"/>
      <c r="AW428" s="319"/>
      <c r="AX428" s="319"/>
      <c r="AY428" s="319"/>
      <c r="AZ428" s="319"/>
      <c r="BA428" s="319"/>
      <c r="BB428" s="319"/>
      <c r="BC428" s="319"/>
      <c r="BD428" s="319"/>
      <c r="BE428" s="319"/>
      <c r="BF428" s="319"/>
      <c r="BG428" s="319"/>
      <c r="BH428" s="319"/>
      <c r="BI428" s="319"/>
      <c r="BJ428" s="319"/>
      <c r="BK428" s="319"/>
      <c r="BL428" s="319"/>
      <c r="BM428" s="319"/>
      <c r="BN428" s="319"/>
      <c r="BO428" s="319"/>
      <c r="BP428" s="319"/>
      <c r="BQ428" s="319"/>
      <c r="BR428" s="319"/>
      <c r="BS428" s="319"/>
      <c r="BT428" s="319"/>
      <c r="BU428" s="319"/>
      <c r="BV428" s="319"/>
      <c r="BW428" s="319"/>
      <c r="BX428" s="319"/>
      <c r="BY428" s="319"/>
      <c r="BZ428" s="319"/>
      <c r="CA428" s="319"/>
      <c r="CB428" s="319"/>
      <c r="CC428" s="319"/>
      <c r="CD428" s="319"/>
      <c r="CE428" s="319"/>
      <c r="CF428" s="319"/>
    </row>
    <row r="429" spans="1:84" ht="13.2" hidden="1">
      <c r="A429" s="12"/>
      <c r="B429" s="329" t="str">
        <f>B299</f>
        <v>Perdas diversas</v>
      </c>
      <c r="C429" s="29" t="str">
        <f>$T$35</f>
        <v>%</v>
      </c>
      <c r="D429" s="422"/>
      <c r="E429" s="1"/>
      <c r="F429" s="1"/>
      <c r="G429" s="1"/>
      <c r="H429" s="1"/>
      <c r="I429" s="1"/>
      <c r="J429" s="1"/>
      <c r="K429" s="9"/>
      <c r="L429" s="1"/>
      <c r="M429" s="319"/>
      <c r="N429" s="319"/>
      <c r="O429" s="742">
        <f>IF(Offgrid=5,'Modelo Energético '!D492,D429)</f>
        <v>0</v>
      </c>
      <c r="P429" s="319"/>
      <c r="Q429" s="319"/>
      <c r="R429" s="319"/>
      <c r="S429" s="319"/>
      <c r="T429" s="319"/>
      <c r="U429" s="319"/>
      <c r="V429" s="319"/>
      <c r="W429" s="319"/>
      <c r="X429" s="319"/>
      <c r="Y429" s="319"/>
      <c r="Z429" s="319"/>
      <c r="AA429" s="319"/>
      <c r="AB429" s="319"/>
      <c r="AC429" s="319"/>
      <c r="AD429" s="319"/>
      <c r="AE429" s="319"/>
      <c r="AF429" s="319"/>
      <c r="AG429" s="319"/>
      <c r="AH429" s="319"/>
      <c r="AI429" s="319"/>
      <c r="AJ429" s="319"/>
      <c r="AK429" s="319"/>
      <c r="AL429" s="319"/>
      <c r="AM429" s="319"/>
      <c r="AN429" s="319"/>
      <c r="AO429" s="319">
        <v>2113030</v>
      </c>
      <c r="AP429" s="319"/>
      <c r="AQ429" s="319"/>
      <c r="AR429" s="319"/>
      <c r="AS429" s="319"/>
      <c r="AT429" s="319"/>
      <c r="AU429" s="319"/>
      <c r="AV429" s="319"/>
      <c r="AW429" s="319"/>
      <c r="AX429" s="319"/>
      <c r="AY429" s="319"/>
      <c r="AZ429" s="319"/>
      <c r="BA429" s="319"/>
      <c r="BB429" s="319"/>
      <c r="BC429" s="319"/>
      <c r="BD429" s="319"/>
      <c r="BE429" s="319"/>
      <c r="BF429" s="319"/>
      <c r="BG429" s="319"/>
      <c r="BH429" s="319"/>
      <c r="BI429" s="319"/>
      <c r="BJ429" s="319"/>
      <c r="BK429" s="319"/>
      <c r="BL429" s="319"/>
      <c r="BM429" s="319"/>
      <c r="BN429" s="319"/>
      <c r="BO429" s="319"/>
      <c r="BP429" s="319"/>
      <c r="BQ429" s="319"/>
      <c r="BR429" s="319"/>
      <c r="BS429" s="319"/>
      <c r="BT429" s="319"/>
      <c r="BU429" s="319"/>
      <c r="BV429" s="319"/>
      <c r="BW429" s="319"/>
      <c r="BX429" s="319"/>
      <c r="BY429" s="319"/>
      <c r="BZ429" s="319"/>
      <c r="CA429" s="319"/>
      <c r="CB429" s="319"/>
      <c r="CC429" s="319"/>
      <c r="CD429" s="319"/>
      <c r="CE429" s="319"/>
      <c r="CF429" s="319"/>
    </row>
    <row r="430" spans="1:84" ht="13.2" hidden="1">
      <c r="A430" s="12"/>
      <c r="B430" s="329" t="str">
        <f>Language!C2828</f>
        <v>Eficiência do gerador</v>
      </c>
      <c r="C430" s="29" t="str">
        <f>$T$35</f>
        <v>%</v>
      </c>
      <c r="D430" s="422"/>
      <c r="E430" s="1"/>
      <c r="F430" s="1"/>
      <c r="G430" s="1"/>
      <c r="H430" s="1"/>
      <c r="I430" s="1"/>
      <c r="J430" s="1"/>
      <c r="K430" s="9"/>
      <c r="L430" s="1"/>
      <c r="M430" s="319"/>
      <c r="N430" s="319"/>
      <c r="O430" s="742">
        <f>IF(Offgrid=5,'Modelo Energético '!D493,D430)</f>
        <v>0</v>
      </c>
      <c r="P430" s="319"/>
      <c r="Q430" s="319"/>
      <c r="R430" s="319"/>
      <c r="S430" s="319"/>
      <c r="T430" s="319"/>
      <c r="U430" s="319"/>
      <c r="V430" s="319"/>
      <c r="W430" s="319"/>
      <c r="X430" s="319"/>
      <c r="Y430" s="319"/>
      <c r="Z430" s="319"/>
      <c r="AA430" s="319"/>
      <c r="AB430" s="319"/>
      <c r="AC430" s="319"/>
      <c r="AD430" s="319"/>
      <c r="AE430" s="319"/>
      <c r="AF430" s="319"/>
      <c r="AG430" s="319"/>
      <c r="AH430" s="319"/>
      <c r="AI430" s="319"/>
      <c r="AJ430" s="319"/>
      <c r="AK430" s="319"/>
      <c r="AL430" s="319"/>
      <c r="AM430" s="319"/>
      <c r="AN430" s="319"/>
      <c r="AO430" s="319">
        <v>2113029</v>
      </c>
      <c r="AP430" s="319"/>
      <c r="AQ430" s="319"/>
      <c r="AR430" s="319"/>
      <c r="AS430" s="319"/>
      <c r="AT430" s="319"/>
      <c r="AU430" s="319"/>
      <c r="AV430" s="319"/>
      <c r="AW430" s="319"/>
      <c r="AX430" s="319"/>
      <c r="AY430" s="319"/>
      <c r="AZ430" s="319"/>
      <c r="BA430" s="319"/>
      <c r="BB430" s="319"/>
      <c r="BC430" s="319"/>
      <c r="BD430" s="319"/>
      <c r="BE430" s="319"/>
      <c r="BF430" s="319"/>
      <c r="BG430" s="319"/>
      <c r="BH430" s="319"/>
      <c r="BI430" s="319"/>
      <c r="BJ430" s="319"/>
      <c r="BK430" s="319"/>
      <c r="BL430" s="319"/>
      <c r="BM430" s="319"/>
      <c r="BN430" s="319"/>
      <c r="BO430" s="319"/>
      <c r="BP430" s="319"/>
      <c r="BQ430" s="319"/>
      <c r="BR430" s="319"/>
      <c r="BS430" s="319"/>
      <c r="BT430" s="319"/>
      <c r="BU430" s="319"/>
      <c r="BV430" s="319"/>
      <c r="BW430" s="319"/>
      <c r="BX430" s="319"/>
      <c r="BY430" s="319"/>
      <c r="BZ430" s="319"/>
      <c r="CA430" s="319"/>
      <c r="CB430" s="319"/>
      <c r="CC430" s="319"/>
      <c r="CD430" s="319"/>
      <c r="CE430" s="319"/>
      <c r="CF430" s="319"/>
    </row>
    <row r="431" spans="1:84" ht="13.2" hidden="1">
      <c r="A431" s="12"/>
      <c r="B431" s="329" t="str">
        <f>B35</f>
        <v>Disponibilidade</v>
      </c>
      <c r="C431" s="29" t="str">
        <f>$T$35</f>
        <v>%</v>
      </c>
      <c r="D431" s="422"/>
      <c r="E431" s="1"/>
      <c r="F431" s="1"/>
      <c r="G431" s="1"/>
      <c r="H431" s="1"/>
      <c r="I431" s="1"/>
      <c r="J431" s="1"/>
      <c r="K431" s="9"/>
      <c r="L431" s="1"/>
      <c r="M431" s="319"/>
      <c r="N431" s="319"/>
      <c r="O431" s="742">
        <f>IF(Offgrid=5,'Modelo Energético '!D494,D431)</f>
        <v>0</v>
      </c>
      <c r="P431" s="319"/>
      <c r="Q431" s="319"/>
      <c r="R431" s="319"/>
      <c r="S431" s="319"/>
      <c r="T431" s="319"/>
      <c r="U431" s="319"/>
      <c r="V431" s="319"/>
      <c r="W431" s="319"/>
      <c r="X431" s="319"/>
      <c r="Y431" s="319"/>
      <c r="Z431" s="319"/>
      <c r="AA431" s="319"/>
      <c r="AB431" s="319"/>
      <c r="AC431" s="319"/>
      <c r="AD431" s="319"/>
      <c r="AE431" s="319"/>
      <c r="AF431" s="319"/>
      <c r="AG431" s="319"/>
      <c r="AH431" s="319"/>
      <c r="AI431" s="319"/>
      <c r="AJ431" s="319"/>
      <c r="AK431" s="319"/>
      <c r="AL431" s="319"/>
      <c r="AM431" s="319"/>
      <c r="AN431" s="319"/>
      <c r="AO431" s="319">
        <v>2113032</v>
      </c>
      <c r="AP431" s="319"/>
      <c r="AQ431" s="319"/>
      <c r="AR431" s="319"/>
      <c r="AS431" s="319"/>
      <c r="AT431" s="319"/>
      <c r="AU431" s="319"/>
      <c r="AV431" s="319"/>
      <c r="AW431" s="319"/>
      <c r="AX431" s="319"/>
      <c r="AY431" s="319"/>
      <c r="AZ431" s="319"/>
      <c r="BA431" s="319"/>
      <c r="BB431" s="319"/>
      <c r="BC431" s="319"/>
      <c r="BD431" s="319"/>
      <c r="BE431" s="319"/>
      <c r="BF431" s="319"/>
      <c r="BG431" s="319"/>
      <c r="BH431" s="319"/>
      <c r="BI431" s="319"/>
      <c r="BJ431" s="319"/>
      <c r="BK431" s="319"/>
      <c r="BL431" s="319"/>
      <c r="BM431" s="319"/>
      <c r="BN431" s="319"/>
      <c r="BO431" s="319"/>
      <c r="BP431" s="319"/>
      <c r="BQ431" s="319"/>
      <c r="BR431" s="319"/>
      <c r="BS431" s="319"/>
      <c r="BT431" s="319"/>
      <c r="BU431" s="319"/>
      <c r="BV431" s="319"/>
      <c r="BW431" s="319"/>
      <c r="BX431" s="319"/>
      <c r="BY431" s="319"/>
      <c r="BZ431" s="319"/>
      <c r="CA431" s="319"/>
      <c r="CB431" s="319"/>
      <c r="CC431" s="319"/>
      <c r="CD431" s="319"/>
      <c r="CE431" s="319"/>
      <c r="CF431" s="319"/>
    </row>
    <row r="432" spans="1:84" ht="13.2" hidden="1">
      <c r="A432" s="12"/>
      <c r="B432" s="1"/>
      <c r="C432" s="1"/>
      <c r="D432" s="1"/>
      <c r="E432" s="1"/>
      <c r="F432" s="1"/>
      <c r="G432" s="28"/>
      <c r="H432" s="1"/>
      <c r="I432" s="1"/>
      <c r="J432" s="1"/>
      <c r="K432" s="9"/>
      <c r="L432" s="1"/>
      <c r="M432" s="3" t="b">
        <v>1</v>
      </c>
      <c r="N432" s="319"/>
      <c r="O432" s="319"/>
      <c r="P432" s="319"/>
      <c r="Q432" s="319"/>
      <c r="R432" s="319"/>
      <c r="S432" s="319"/>
      <c r="T432" s="319"/>
      <c r="U432" s="319"/>
      <c r="V432" s="319"/>
      <c r="W432" s="319"/>
      <c r="X432" s="319"/>
      <c r="Y432" s="319"/>
      <c r="Z432" s="319"/>
      <c r="AA432" s="319"/>
      <c r="AB432" s="319"/>
      <c r="AC432" s="319"/>
      <c r="AD432" s="319"/>
      <c r="AE432" s="319"/>
      <c r="AF432" s="319"/>
      <c r="AG432" s="319"/>
      <c r="AH432" s="319"/>
      <c r="AI432" s="319"/>
      <c r="AJ432" s="319"/>
      <c r="AK432" s="319"/>
      <c r="AL432" s="319"/>
      <c r="AM432" s="319"/>
      <c r="AN432" s="319"/>
      <c r="AO432" s="319">
        <v>2113000</v>
      </c>
      <c r="AP432" s="319"/>
      <c r="AQ432" s="319"/>
      <c r="AR432" s="319"/>
      <c r="AS432" s="319"/>
      <c r="AT432" s="319"/>
      <c r="AU432" s="319"/>
      <c r="AV432" s="319"/>
      <c r="AW432" s="319"/>
      <c r="AX432" s="319"/>
      <c r="AY432" s="319"/>
      <c r="AZ432" s="319"/>
      <c r="BA432" s="319"/>
      <c r="BB432" s="319"/>
      <c r="BC432" s="319"/>
      <c r="BD432" s="319"/>
      <c r="BE432" s="319"/>
      <c r="BF432" s="319"/>
      <c r="BG432" s="319"/>
      <c r="BH432" s="319"/>
      <c r="BI432" s="319"/>
      <c r="BJ432" s="319"/>
      <c r="BK432" s="319"/>
      <c r="BL432" s="319"/>
      <c r="BM432" s="319"/>
      <c r="BN432" s="319"/>
      <c r="BO432" s="319"/>
      <c r="BP432" s="319"/>
      <c r="BQ432" s="319"/>
      <c r="BR432" s="319"/>
      <c r="BS432" s="319"/>
      <c r="BT432" s="319"/>
      <c r="BU432" s="319"/>
      <c r="BV432" s="319"/>
      <c r="BW432" s="319"/>
      <c r="BX432" s="319"/>
      <c r="BY432" s="319"/>
      <c r="BZ432" s="319"/>
      <c r="CA432" s="319"/>
      <c r="CB432" s="319"/>
      <c r="CC432" s="319"/>
      <c r="CD432" s="319"/>
      <c r="CE432" s="319"/>
      <c r="CF432" s="319"/>
    </row>
    <row r="433" spans="1:84" ht="13.2" hidden="1">
      <c r="A433" s="12"/>
      <c r="B433" s="28" t="str">
        <f>B302</f>
        <v>Resumo</v>
      </c>
      <c r="C433" s="1"/>
      <c r="D433" s="1"/>
      <c r="E433" s="29" t="str">
        <f>Language!C1659</f>
        <v>Garantido</v>
      </c>
      <c r="F433" s="1"/>
      <c r="G433" s="1"/>
      <c r="H433" s="1"/>
      <c r="I433" s="1"/>
      <c r="J433" s="29"/>
      <c r="K433" s="9"/>
      <c r="L433" s="1"/>
      <c r="M433" s="319"/>
      <c r="N433" s="319"/>
      <c r="O433" s="319"/>
      <c r="P433" s="319"/>
      <c r="Q433" s="319"/>
      <c r="R433" s="319"/>
      <c r="S433" s="319"/>
      <c r="T433" s="319"/>
      <c r="U433" s="319"/>
      <c r="V433" s="319"/>
      <c r="W433" s="319"/>
      <c r="X433" s="319"/>
      <c r="Y433" s="319"/>
      <c r="Z433" s="319"/>
      <c r="AA433" s="319"/>
      <c r="AB433" s="319"/>
      <c r="AC433" s="319"/>
      <c r="AD433" s="319"/>
      <c r="AE433" s="319"/>
      <c r="AF433" s="319"/>
      <c r="AG433" s="319"/>
      <c r="AH433" s="319"/>
      <c r="AI433" s="319"/>
      <c r="AJ433" s="319"/>
      <c r="AK433" s="319"/>
      <c r="AL433" s="319"/>
      <c r="AM433" s="319"/>
      <c r="AN433" s="319"/>
      <c r="AO433" s="319">
        <v>2114000</v>
      </c>
      <c r="AP433" s="319"/>
      <c r="AQ433" s="319"/>
      <c r="AR433" s="319"/>
      <c r="AS433" s="319"/>
      <c r="AT433" s="319"/>
      <c r="AU433" s="319"/>
      <c r="AV433" s="319"/>
      <c r="AW433" s="319"/>
      <c r="AX433" s="319"/>
      <c r="AY433" s="319"/>
      <c r="AZ433" s="319"/>
      <c r="BA433" s="319"/>
      <c r="BB433" s="319"/>
      <c r="BC433" s="319"/>
      <c r="BD433" s="319"/>
      <c r="BE433" s="319"/>
      <c r="BF433" s="319"/>
      <c r="BG433" s="319"/>
      <c r="BH433" s="319"/>
      <c r="BI433" s="319"/>
      <c r="BJ433" s="319"/>
      <c r="BK433" s="319"/>
      <c r="BL433" s="319"/>
      <c r="BM433" s="319"/>
      <c r="BN433" s="319"/>
      <c r="BO433" s="319"/>
      <c r="BP433" s="319"/>
      <c r="BQ433" s="319"/>
      <c r="BR433" s="319"/>
      <c r="BS433" s="319"/>
      <c r="BT433" s="319"/>
      <c r="BU433" s="319"/>
      <c r="BV433" s="319"/>
      <c r="BW433" s="319"/>
      <c r="BX433" s="319"/>
      <c r="BY433" s="319"/>
      <c r="BZ433" s="319"/>
      <c r="CA433" s="319"/>
      <c r="CB433" s="319"/>
      <c r="CC433" s="319"/>
      <c r="CD433" s="319"/>
      <c r="CE433" s="319"/>
      <c r="CF433" s="319"/>
    </row>
    <row r="434" spans="1:84" ht="13.2" hidden="1">
      <c r="A434" s="12"/>
      <c r="B434" s="329" t="str">
        <f>B92</f>
        <v>Potência elétrica</v>
      </c>
      <c r="C434" s="29" t="str">
        <f>Language!C1364</f>
        <v>kW</v>
      </c>
      <c r="D434" s="331">
        <f>9.81*(1-O428)*(1-O429)*O430*D378*O320*O367</f>
        <v>0</v>
      </c>
      <c r="E434" s="757">
        <f>IF(O330&lt;O367,9.81*O320*O330*O434*(1-O429)*O430*(1-(O428*O330^2/O367^2)),D434)</f>
        <v>0</v>
      </c>
      <c r="F434" s="1"/>
      <c r="G434" s="1"/>
      <c r="H434" s="1"/>
      <c r="I434" s="1"/>
      <c r="J434" s="29"/>
      <c r="K434" s="37"/>
      <c r="L434" s="1"/>
      <c r="M434" s="319"/>
      <c r="N434" s="319"/>
      <c r="O434" s="319" t="e">
        <f>IF(O330/O367&lt;1,((O330/O367-VLOOKUP(O330/O367,$C$382:$H$402,1))/0.05)*(VLOOKUP(O330/O367+0.05,$C$382:$H$402,6)-VLOOKUP(O330/O367,$C$382:$H$402,6))+VLOOKUP(O330/O367,$C$382:$H$402,6),$H$402)</f>
        <v>#DIV/0!</v>
      </c>
      <c r="P434" s="319" t="s">
        <v>4055</v>
      </c>
      <c r="Q434" s="319"/>
      <c r="R434" s="319"/>
      <c r="S434" s="319"/>
      <c r="T434" s="319"/>
      <c r="U434" s="319"/>
      <c r="V434" s="319"/>
      <c r="W434" s="319"/>
      <c r="X434" s="319"/>
      <c r="Y434" s="319"/>
      <c r="Z434" s="319"/>
      <c r="AA434" s="319"/>
      <c r="AB434" s="319"/>
      <c r="AC434" s="319"/>
      <c r="AD434" s="319"/>
      <c r="AE434" s="319"/>
      <c r="AF434" s="319"/>
      <c r="AG434" s="319"/>
      <c r="AH434" s="319"/>
      <c r="AI434" s="319"/>
      <c r="AJ434" s="319"/>
      <c r="AK434" s="319"/>
      <c r="AL434" s="319"/>
      <c r="AM434" s="319"/>
      <c r="AN434" s="319"/>
      <c r="AO434" s="319">
        <v>2114002</v>
      </c>
      <c r="AP434" s="319"/>
      <c r="AQ434" s="319"/>
      <c r="AR434" s="319"/>
      <c r="AS434" s="319"/>
      <c r="AT434" s="319"/>
      <c r="AU434" s="319"/>
      <c r="AV434" s="319"/>
      <c r="AW434" s="319"/>
      <c r="AX434" s="319"/>
      <c r="AY434" s="319"/>
      <c r="AZ434" s="319"/>
      <c r="BA434" s="319"/>
      <c r="BB434" s="319"/>
      <c r="BC434" s="319"/>
      <c r="BD434" s="319"/>
      <c r="BE434" s="319"/>
      <c r="BF434" s="319"/>
      <c r="BG434" s="319"/>
      <c r="BH434" s="319"/>
      <c r="BI434" s="319"/>
      <c r="BJ434" s="319"/>
      <c r="BK434" s="319"/>
      <c r="BL434" s="319"/>
      <c r="BM434" s="319"/>
      <c r="BN434" s="319"/>
      <c r="BO434" s="319"/>
      <c r="BP434" s="319"/>
      <c r="BQ434" s="319"/>
      <c r="BR434" s="319"/>
      <c r="BS434" s="319"/>
      <c r="BT434" s="319"/>
      <c r="BU434" s="319"/>
      <c r="BV434" s="319"/>
      <c r="BW434" s="319"/>
      <c r="BX434" s="319"/>
      <c r="BY434" s="319"/>
      <c r="BZ434" s="319"/>
      <c r="CA434" s="319"/>
      <c r="CB434" s="319"/>
      <c r="CC434" s="319"/>
      <c r="CD434" s="319"/>
      <c r="CE434" s="319"/>
      <c r="CF434" s="319"/>
    </row>
    <row r="435" spans="1:84" ht="13.2" hidden="1">
      <c r="A435" s="12"/>
      <c r="B435" s="329" t="str">
        <f>Language!C1491</f>
        <v>Fator de ajuste do fluxo disponível</v>
      </c>
      <c r="C435" s="29"/>
      <c r="D435" s="310"/>
      <c r="E435" s="1"/>
      <c r="F435" s="1"/>
      <c r="G435" s="1"/>
      <c r="H435" s="1"/>
      <c r="I435" s="1"/>
      <c r="J435" s="8"/>
      <c r="K435" s="9"/>
      <c r="L435" s="1"/>
      <c r="M435" s="319"/>
      <c r="N435" s="319"/>
      <c r="O435" s="850">
        <f>IF(Offgrid=5,'Modelo Energético '!Q497,D435)</f>
        <v>0</v>
      </c>
      <c r="P435" s="319"/>
      <c r="Q435" s="319"/>
      <c r="R435" s="319"/>
      <c r="S435" s="319"/>
      <c r="T435" s="319"/>
      <c r="U435" s="319"/>
      <c r="V435" s="319"/>
      <c r="W435" s="319"/>
      <c r="X435" s="319"/>
      <c r="Y435" s="319"/>
      <c r="Z435" s="319"/>
      <c r="AA435" s="319"/>
      <c r="AB435" s="319"/>
      <c r="AC435" s="319"/>
      <c r="AD435" s="319"/>
      <c r="AE435" s="319"/>
      <c r="AF435" s="319"/>
      <c r="AG435" s="319"/>
      <c r="AH435" s="319"/>
      <c r="AI435" s="319"/>
      <c r="AJ435" s="319"/>
      <c r="AK435" s="319"/>
      <c r="AL435" s="319"/>
      <c r="AM435" s="319"/>
      <c r="AN435" s="319"/>
      <c r="AO435" s="319">
        <v>2114004</v>
      </c>
      <c r="AP435" s="319"/>
      <c r="AQ435" s="319"/>
      <c r="AR435" s="319"/>
      <c r="AS435" s="319"/>
      <c r="AT435" s="319"/>
      <c r="AU435" s="319"/>
      <c r="AV435" s="319"/>
      <c r="AW435" s="319"/>
      <c r="AX435" s="319"/>
      <c r="AY435" s="319"/>
      <c r="AZ435" s="319"/>
      <c r="BA435" s="319"/>
      <c r="BB435" s="319"/>
      <c r="BC435" s="319"/>
      <c r="BD435" s="319"/>
      <c r="BE435" s="319"/>
      <c r="BF435" s="319"/>
      <c r="BG435" s="319"/>
      <c r="BH435" s="319"/>
      <c r="BI435" s="319"/>
      <c r="BJ435" s="319"/>
      <c r="BK435" s="319"/>
      <c r="BL435" s="319"/>
      <c r="BM435" s="319"/>
      <c r="BN435" s="319"/>
      <c r="BO435" s="319"/>
      <c r="BP435" s="319"/>
      <c r="BQ435" s="319"/>
      <c r="BR435" s="319"/>
      <c r="BS435" s="319"/>
      <c r="BT435" s="319"/>
      <c r="BU435" s="319"/>
      <c r="BV435" s="319"/>
      <c r="BW435" s="319"/>
      <c r="BX435" s="319"/>
      <c r="BY435" s="319"/>
      <c r="BZ435" s="319"/>
      <c r="CA435" s="319"/>
      <c r="CB435" s="319"/>
      <c r="CC435" s="319"/>
      <c r="CD435" s="319"/>
      <c r="CE435" s="319"/>
      <c r="CF435" s="319"/>
    </row>
    <row r="436" spans="1:84" ht="13.2" hidden="1">
      <c r="A436" s="12"/>
      <c r="B436" s="1" t="str">
        <f>B309</f>
        <v>Fator de Utilização</v>
      </c>
      <c r="C436" s="29" t="str">
        <f>C428</f>
        <v>%</v>
      </c>
      <c r="D436" s="233">
        <f>IF(ISERROR(AF403/(D434*8760)),0,AF403/(D434*8760))</f>
        <v>0</v>
      </c>
      <c r="E436" s="1"/>
      <c r="F436" s="1"/>
      <c r="G436" s="1"/>
      <c r="H436" s="1"/>
      <c r="I436" s="1"/>
      <c r="J436" s="1"/>
      <c r="K436" s="9"/>
      <c r="L436" s="1"/>
      <c r="M436" s="319"/>
      <c r="N436" s="319"/>
      <c r="O436" s="319"/>
      <c r="P436" s="319"/>
      <c r="Q436" s="319"/>
      <c r="R436" s="319"/>
      <c r="S436" s="319"/>
      <c r="T436" s="319"/>
      <c r="U436" s="319"/>
      <c r="V436" s="319"/>
      <c r="W436" s="319"/>
      <c r="X436" s="319"/>
      <c r="Y436" s="319"/>
      <c r="Z436" s="319"/>
      <c r="AA436" s="319"/>
      <c r="AB436" s="319"/>
      <c r="AC436" s="319"/>
      <c r="AD436" s="319"/>
      <c r="AE436" s="319"/>
      <c r="AF436" s="319"/>
      <c r="AG436" s="319"/>
      <c r="AH436" s="319"/>
      <c r="AI436" s="319"/>
      <c r="AJ436" s="319"/>
      <c r="AK436" s="319"/>
      <c r="AL436" s="319"/>
      <c r="AM436" s="319"/>
      <c r="AN436" s="319"/>
      <c r="AO436" s="319">
        <v>2114006</v>
      </c>
      <c r="AP436" s="319"/>
      <c r="AQ436" s="319"/>
      <c r="AR436" s="319"/>
      <c r="AS436" s="319"/>
      <c r="AT436" s="319"/>
      <c r="AU436" s="319"/>
      <c r="AV436" s="319"/>
      <c r="AW436" s="319"/>
      <c r="AX436" s="319"/>
      <c r="AY436" s="319"/>
      <c r="AZ436" s="319"/>
      <c r="BA436" s="319"/>
      <c r="BB436" s="319"/>
      <c r="BC436" s="319"/>
      <c r="BD436" s="319"/>
      <c r="BE436" s="319"/>
      <c r="BF436" s="319"/>
      <c r="BG436" s="319"/>
      <c r="BH436" s="319"/>
      <c r="BI436" s="319"/>
      <c r="BJ436" s="319"/>
      <c r="BK436" s="319"/>
      <c r="BL436" s="319"/>
      <c r="BM436" s="319"/>
      <c r="BN436" s="319"/>
      <c r="BO436" s="319"/>
      <c r="BP436" s="319"/>
      <c r="BQ436" s="319"/>
      <c r="BR436" s="319"/>
      <c r="BS436" s="319"/>
      <c r="BT436" s="319"/>
      <c r="BU436" s="319"/>
      <c r="BV436" s="319"/>
      <c r="BW436" s="319"/>
      <c r="BX436" s="319"/>
      <c r="BY436" s="319"/>
      <c r="BZ436" s="319"/>
      <c r="CA436" s="319"/>
      <c r="CB436" s="319"/>
      <c r="CC436" s="319"/>
      <c r="CD436" s="319"/>
      <c r="CE436" s="319"/>
      <c r="CF436" s="319"/>
    </row>
    <row r="437" spans="1:84" ht="13.2" hidden="1">
      <c r="A437" s="12"/>
      <c r="B437" s="329" t="str">
        <f>$B$94</f>
        <v>Eletricidade fornecida à carga</v>
      </c>
      <c r="C437" s="29" t="str">
        <f>C443</f>
        <v>MWh</v>
      </c>
      <c r="D437" s="30">
        <f>IF(Offgrid=5,'Modelo Energético '!Y489,D443)</f>
        <v>0</v>
      </c>
      <c r="E437" s="1"/>
      <c r="F437" s="1"/>
      <c r="G437" s="1"/>
      <c r="H437" s="1"/>
      <c r="I437" s="1"/>
      <c r="J437" s="1"/>
      <c r="K437" s="9"/>
      <c r="L437" s="1"/>
      <c r="M437" s="319"/>
      <c r="N437" s="319"/>
      <c r="O437" s="319" t="s">
        <v>3470</v>
      </c>
      <c r="P437" s="319"/>
      <c r="Q437" s="319"/>
      <c r="R437" s="319"/>
      <c r="S437" s="319"/>
      <c r="T437" s="319"/>
      <c r="U437" s="319"/>
      <c r="V437" s="319"/>
      <c r="W437" s="319"/>
      <c r="X437" s="319"/>
      <c r="Y437" s="319"/>
      <c r="Z437" s="319"/>
      <c r="AA437" s="319"/>
      <c r="AB437" s="319"/>
      <c r="AC437" s="319"/>
      <c r="AD437" s="319"/>
      <c r="AE437" s="319"/>
      <c r="AF437" s="319"/>
      <c r="AG437" s="319"/>
      <c r="AH437" s="319"/>
      <c r="AI437" s="319"/>
      <c r="AJ437" s="319"/>
      <c r="AK437" s="319"/>
      <c r="AL437" s="319"/>
      <c r="AM437" s="319"/>
      <c r="AN437" s="319"/>
      <c r="AO437" s="319">
        <v>2050008</v>
      </c>
      <c r="AP437" s="319"/>
      <c r="AQ437" s="319"/>
      <c r="AR437" s="319"/>
      <c r="AS437" s="319"/>
      <c r="AT437" s="319"/>
      <c r="AU437" s="319"/>
      <c r="AV437" s="319"/>
      <c r="AW437" s="319"/>
      <c r="AX437" s="319"/>
      <c r="AY437" s="319"/>
      <c r="AZ437" s="319"/>
      <c r="BA437" s="319"/>
      <c r="BB437" s="319"/>
      <c r="BC437" s="319"/>
      <c r="BD437" s="319"/>
      <c r="BE437" s="319"/>
      <c r="BF437" s="319"/>
      <c r="BG437" s="319"/>
      <c r="BH437" s="319"/>
      <c r="BI437" s="319"/>
      <c r="BJ437" s="319"/>
      <c r="BK437" s="319"/>
      <c r="BL437" s="319"/>
      <c r="BM437" s="319"/>
      <c r="BN437" s="319"/>
      <c r="BO437" s="319"/>
      <c r="BP437" s="319"/>
      <c r="BQ437" s="319"/>
      <c r="BR437" s="319"/>
      <c r="BS437" s="319"/>
      <c r="BT437" s="319"/>
      <c r="BU437" s="319"/>
      <c r="BV437" s="319"/>
      <c r="BW437" s="319"/>
      <c r="BX437" s="319"/>
      <c r="BY437" s="319"/>
      <c r="BZ437" s="319"/>
      <c r="CA437" s="319"/>
      <c r="CB437" s="319"/>
      <c r="CC437" s="319"/>
      <c r="CD437" s="319"/>
      <c r="CE437" s="319"/>
      <c r="CF437" s="319"/>
    </row>
    <row r="438" spans="1:84" ht="13.2" hidden="1">
      <c r="A438" s="12"/>
      <c r="B438" s="526" t="str">
        <f>$B$95</f>
        <v>Eletricidade exportada p/ rede</v>
      </c>
      <c r="C438" s="29" t="str">
        <f>C444</f>
        <v>MWh</v>
      </c>
      <c r="D438" s="757">
        <f>IF(Gridtype=5,0,D444)</f>
        <v>5.3903325633948667</v>
      </c>
      <c r="E438" s="1"/>
      <c r="F438" s="1"/>
      <c r="G438" s="1"/>
      <c r="H438" s="1"/>
      <c r="I438" s="1"/>
      <c r="J438" s="1"/>
      <c r="K438" s="9"/>
      <c r="L438" s="1"/>
      <c r="M438" s="319"/>
      <c r="N438" s="319"/>
      <c r="O438" s="319" t="e">
        <f>IF(Offgrid=5,'Modelo Energético '!Y489/1000,AF403/1000)</f>
        <v>#DIV/0!</v>
      </c>
      <c r="P438" s="319"/>
      <c r="Q438" s="319"/>
      <c r="R438" s="319"/>
      <c r="S438" s="319"/>
      <c r="T438" s="319"/>
      <c r="U438" s="319"/>
      <c r="V438" s="319"/>
      <c r="W438" s="319"/>
      <c r="X438" s="319"/>
      <c r="Y438" s="319"/>
      <c r="Z438" s="319"/>
      <c r="AA438" s="319"/>
      <c r="AB438" s="319"/>
      <c r="AC438" s="319"/>
      <c r="AD438" s="319"/>
      <c r="AE438" s="319"/>
      <c r="AF438" s="319"/>
      <c r="AG438" s="319"/>
      <c r="AH438" s="319"/>
      <c r="AI438" s="319"/>
      <c r="AJ438" s="319"/>
      <c r="AK438" s="319"/>
      <c r="AL438" s="319"/>
      <c r="AM438" s="319"/>
      <c r="AN438" s="319"/>
      <c r="AO438" s="319">
        <v>2050010</v>
      </c>
      <c r="AP438" s="319"/>
      <c r="AQ438" s="319"/>
      <c r="AR438" s="319"/>
      <c r="AS438" s="319"/>
      <c r="AT438" s="319"/>
      <c r="AU438" s="319"/>
      <c r="AV438" s="319"/>
      <c r="AW438" s="319"/>
      <c r="AX438" s="319"/>
      <c r="AY438" s="319"/>
      <c r="AZ438" s="319"/>
      <c r="BA438" s="319"/>
      <c r="BB438" s="319"/>
      <c r="BC438" s="319"/>
      <c r="BD438" s="319"/>
      <c r="BE438" s="319"/>
      <c r="BF438" s="319"/>
      <c r="BG438" s="319"/>
      <c r="BH438" s="319"/>
      <c r="BI438" s="319"/>
      <c r="BJ438" s="319"/>
      <c r="BK438" s="319"/>
      <c r="BL438" s="319"/>
      <c r="BM438" s="319"/>
      <c r="BN438" s="319"/>
      <c r="BO438" s="319"/>
      <c r="BP438" s="319"/>
      <c r="BQ438" s="319"/>
      <c r="BR438" s="319"/>
      <c r="BS438" s="319"/>
      <c r="BT438" s="319"/>
      <c r="BU438" s="319"/>
      <c r="BV438" s="319"/>
      <c r="BW438" s="319"/>
      <c r="BX438" s="319"/>
      <c r="BY438" s="319"/>
      <c r="BZ438" s="319"/>
      <c r="CA438" s="319"/>
      <c r="CB438" s="319"/>
      <c r="CC438" s="319"/>
      <c r="CD438" s="319"/>
      <c r="CE438" s="319"/>
      <c r="CF438" s="319"/>
    </row>
    <row r="439" spans="1:84" ht="12.75" hidden="1" customHeight="1">
      <c r="A439" s="12"/>
      <c r="B439" s="329" t="str">
        <f>B306</f>
        <v>Potência elétrica</v>
      </c>
      <c r="C439" s="21" t="str">
        <f>$C$92</f>
        <v>kW</v>
      </c>
      <c r="D439" s="457"/>
      <c r="E439" s="80" t="str">
        <f>IF($P$866=0,"",D439/$P$866)</f>
        <v/>
      </c>
      <c r="F439" s="1"/>
      <c r="G439" s="1"/>
      <c r="H439" s="1346"/>
      <c r="I439" s="1252" t="str">
        <f>Language!C61</f>
        <v>Ver banco de dados de produtos</v>
      </c>
      <c r="J439" s="1191"/>
      <c r="K439" s="1210"/>
      <c r="L439" s="1"/>
      <c r="M439" s="319"/>
      <c r="N439" s="319"/>
      <c r="O439" s="824"/>
      <c r="P439" s="319"/>
      <c r="Q439" s="319"/>
      <c r="R439" s="319"/>
      <c r="S439" s="319"/>
      <c r="T439" s="319"/>
      <c r="U439" s="319"/>
      <c r="V439" s="319"/>
      <c r="W439" s="319"/>
      <c r="X439" s="319"/>
      <c r="Y439" s="319"/>
      <c r="Z439" s="319"/>
      <c r="AA439" s="319"/>
      <c r="AB439" s="319"/>
      <c r="AC439" s="319"/>
      <c r="AD439" s="319"/>
      <c r="AE439" s="319"/>
      <c r="AF439" s="319"/>
      <c r="AG439" s="319"/>
      <c r="AH439" s="319"/>
      <c r="AI439" s="319"/>
      <c r="AJ439" s="319"/>
      <c r="AK439" s="319"/>
      <c r="AL439" s="319"/>
      <c r="AM439" s="319"/>
      <c r="AN439" s="319"/>
      <c r="AO439" s="319">
        <v>2050002</v>
      </c>
      <c r="AP439" s="319"/>
      <c r="AQ439" s="319"/>
      <c r="AR439" s="319"/>
      <c r="AS439" s="319"/>
      <c r="AT439" s="319"/>
      <c r="AU439" s="319"/>
      <c r="AV439" s="319"/>
      <c r="AW439" s="319"/>
      <c r="AX439" s="319"/>
      <c r="AY439" s="319"/>
      <c r="AZ439" s="319"/>
      <c r="BA439" s="319"/>
      <c r="BB439" s="319"/>
      <c r="BC439" s="319"/>
      <c r="BD439" s="319"/>
      <c r="BE439" s="319"/>
      <c r="BF439" s="319"/>
      <c r="BG439" s="319"/>
      <c r="BH439" s="319"/>
      <c r="BI439" s="319"/>
      <c r="BJ439" s="319"/>
      <c r="BK439" s="319"/>
      <c r="BL439" s="319"/>
      <c r="BM439" s="319"/>
      <c r="BN439" s="319"/>
      <c r="BO439" s="319"/>
      <c r="BP439" s="319"/>
      <c r="BQ439" s="319"/>
      <c r="BR439" s="319"/>
      <c r="BS439" s="319"/>
      <c r="BT439" s="319"/>
      <c r="BU439" s="319"/>
      <c r="BV439" s="319"/>
      <c r="BW439" s="319"/>
      <c r="BX439" s="319"/>
      <c r="BY439" s="319"/>
      <c r="BZ439" s="319"/>
      <c r="CA439" s="319"/>
      <c r="CB439" s="319"/>
      <c r="CC439" s="319"/>
      <c r="CD439" s="319"/>
      <c r="CE439" s="319"/>
      <c r="CF439" s="319"/>
    </row>
    <row r="440" spans="1:84" ht="12.75" hidden="1" customHeight="1">
      <c r="A440" s="12"/>
      <c r="B440" s="329" t="str">
        <f>$B$12</f>
        <v>Fabricante</v>
      </c>
      <c r="C440" s="1152"/>
      <c r="D440" s="1153"/>
      <c r="E440" s="1154"/>
      <c r="F440" s="1"/>
      <c r="G440" s="1"/>
      <c r="H440" s="1"/>
      <c r="I440" s="1"/>
      <c r="J440" s="1"/>
      <c r="K440" s="9"/>
      <c r="L440" s="1"/>
      <c r="M440" s="319"/>
      <c r="N440" s="319"/>
      <c r="O440" s="319"/>
      <c r="P440" s="319"/>
      <c r="Q440" s="319"/>
      <c r="R440" s="319"/>
      <c r="S440" s="319"/>
      <c r="T440" s="319"/>
      <c r="U440" s="319"/>
      <c r="V440" s="319"/>
      <c r="W440" s="319"/>
      <c r="X440" s="319"/>
      <c r="Y440" s="319"/>
      <c r="Z440" s="319"/>
      <c r="AA440" s="319"/>
      <c r="AB440" s="319"/>
      <c r="AC440" s="319"/>
      <c r="AD440" s="319"/>
      <c r="AE440" s="319"/>
      <c r="AF440" s="319"/>
      <c r="AG440" s="319"/>
      <c r="AH440" s="319"/>
      <c r="AI440" s="319"/>
      <c r="AJ440" s="319"/>
      <c r="AK440" s="319"/>
      <c r="AL440" s="319"/>
      <c r="AM440" s="319"/>
      <c r="AN440" s="319"/>
      <c r="AO440" s="319">
        <v>2050012</v>
      </c>
      <c r="AP440" s="319"/>
      <c r="AQ440" s="319"/>
      <c r="AR440" s="319"/>
      <c r="AS440" s="319"/>
      <c r="AT440" s="319"/>
      <c r="AU440" s="319"/>
      <c r="AV440" s="319"/>
      <c r="AW440" s="319"/>
      <c r="AX440" s="319"/>
      <c r="AY440" s="319"/>
      <c r="AZ440" s="319"/>
      <c r="BA440" s="319"/>
      <c r="BB440" s="319"/>
      <c r="BC440" s="319"/>
      <c r="BD440" s="319"/>
      <c r="BE440" s="319"/>
      <c r="BF440" s="319"/>
      <c r="BG440" s="319"/>
      <c r="BH440" s="319"/>
      <c r="BI440" s="319"/>
      <c r="BJ440" s="319"/>
      <c r="BK440" s="319"/>
      <c r="BL440" s="319"/>
      <c r="BM440" s="319"/>
      <c r="BN440" s="319"/>
      <c r="BO440" s="319"/>
      <c r="BP440" s="319"/>
      <c r="BQ440" s="319"/>
      <c r="BR440" s="319"/>
      <c r="BS440" s="319"/>
      <c r="BT440" s="319"/>
      <c r="BU440" s="319"/>
      <c r="BV440" s="319"/>
      <c r="BW440" s="319"/>
      <c r="BX440" s="319"/>
      <c r="BY440" s="319"/>
      <c r="BZ440" s="319"/>
      <c r="CA440" s="319"/>
      <c r="CB440" s="319"/>
      <c r="CC440" s="319"/>
      <c r="CD440" s="319"/>
      <c r="CE440" s="319"/>
      <c r="CF440" s="319"/>
    </row>
    <row r="441" spans="1:84" ht="12.75" hidden="1" customHeight="1">
      <c r="A441" s="12"/>
      <c r="B441" s="329" t="str">
        <f>$B$13</f>
        <v>Modelo</v>
      </c>
      <c r="C441" s="1152"/>
      <c r="D441" s="1153"/>
      <c r="E441" s="1154"/>
      <c r="F441" s="1"/>
      <c r="G441" s="1"/>
      <c r="H441" s="1"/>
      <c r="I441" s="1"/>
      <c r="J441" s="1"/>
      <c r="K441" s="9"/>
      <c r="L441" s="1"/>
      <c r="M441" s="319"/>
      <c r="N441" s="319"/>
      <c r="O441" s="319"/>
      <c r="P441" s="319"/>
      <c r="Q441" s="319"/>
      <c r="R441" s="319"/>
      <c r="S441" s="319"/>
      <c r="T441" s="319"/>
      <c r="U441" s="319"/>
      <c r="V441" s="319"/>
      <c r="W441" s="319"/>
      <c r="X441" s="319"/>
      <c r="Y441" s="319"/>
      <c r="Z441" s="319"/>
      <c r="AA441" s="319"/>
      <c r="AB441" s="319"/>
      <c r="AC441" s="319"/>
      <c r="AD441" s="319"/>
      <c r="AE441" s="319"/>
      <c r="AF441" s="319"/>
      <c r="AG441" s="319"/>
      <c r="AH441" s="319"/>
      <c r="AI441" s="319"/>
      <c r="AJ441" s="319"/>
      <c r="AK441" s="319"/>
      <c r="AL441" s="319"/>
      <c r="AM441" s="319"/>
      <c r="AN441" s="319"/>
      <c r="AO441" s="319">
        <v>2050014</v>
      </c>
      <c r="AP441" s="319"/>
      <c r="AQ441" s="319"/>
      <c r="AR441" s="319"/>
      <c r="AS441" s="319"/>
      <c r="AT441" s="319"/>
      <c r="AU441" s="319"/>
      <c r="AV441" s="319"/>
      <c r="AW441" s="319"/>
      <c r="AX441" s="319"/>
      <c r="AY441" s="319"/>
      <c r="AZ441" s="319"/>
      <c r="BA441" s="319"/>
      <c r="BB441" s="319"/>
      <c r="BC441" s="319"/>
      <c r="BD441" s="319"/>
      <c r="BE441" s="319"/>
      <c r="BF441" s="319"/>
      <c r="BG441" s="319"/>
      <c r="BH441" s="319"/>
      <c r="BI441" s="319"/>
      <c r="BJ441" s="319"/>
      <c r="BK441" s="319"/>
      <c r="BL441" s="319"/>
      <c r="BM441" s="319"/>
      <c r="BN441" s="319"/>
      <c r="BO441" s="319"/>
      <c r="BP441" s="319"/>
      <c r="BQ441" s="319"/>
      <c r="BR441" s="319"/>
      <c r="BS441" s="319"/>
      <c r="BT441" s="319"/>
      <c r="BU441" s="319"/>
      <c r="BV441" s="319"/>
      <c r="BW441" s="319"/>
      <c r="BX441" s="319"/>
      <c r="BY441" s="319"/>
      <c r="BZ441" s="319"/>
      <c r="CA441" s="319"/>
      <c r="CB441" s="319"/>
      <c r="CC441" s="319"/>
      <c r="CD441" s="319"/>
      <c r="CE441" s="319"/>
      <c r="CF441" s="319"/>
    </row>
    <row r="442" spans="1:84" ht="12.75" hidden="1" customHeight="1">
      <c r="A442" s="12"/>
      <c r="B442" s="329" t="str">
        <f>Language!C462</f>
        <v>Fator de Utilização</v>
      </c>
      <c r="C442" s="29" t="str">
        <f>$T$35</f>
        <v>%</v>
      </c>
      <c r="D442" s="422"/>
      <c r="E442" s="1"/>
      <c r="F442" s="1"/>
      <c r="G442" s="1"/>
      <c r="H442" s="1"/>
      <c r="I442" s="1"/>
      <c r="J442" s="1"/>
      <c r="K442" s="9"/>
      <c r="L442" s="1"/>
      <c r="M442" s="319"/>
      <c r="N442" s="319"/>
      <c r="O442" s="319"/>
      <c r="P442" s="319"/>
      <c r="Q442" s="319"/>
      <c r="R442" s="319"/>
      <c r="S442" s="319"/>
      <c r="T442" s="319"/>
      <c r="U442" s="319"/>
      <c r="V442" s="319">
        <f>IF(HideES_Hydro1QF=200,D439*D442,D434*D436)</f>
        <v>0</v>
      </c>
      <c r="W442" s="319" t="str">
        <f>$C$92</f>
        <v>kW</v>
      </c>
      <c r="X442" s="319"/>
      <c r="Y442" s="319"/>
      <c r="Z442" s="319"/>
      <c r="AA442" s="319"/>
      <c r="AB442" s="319"/>
      <c r="AC442" s="319"/>
      <c r="AD442" s="319"/>
      <c r="AE442" s="319"/>
      <c r="AF442" s="319"/>
      <c r="AG442" s="319"/>
      <c r="AH442" s="319"/>
      <c r="AI442" s="319"/>
      <c r="AJ442" s="319"/>
      <c r="AK442" s="319"/>
      <c r="AL442" s="319"/>
      <c r="AM442" s="319"/>
      <c r="AN442" s="319"/>
      <c r="AO442" s="319">
        <v>2070000</v>
      </c>
      <c r="AP442" s="319"/>
      <c r="AQ442" s="319"/>
      <c r="AR442" s="319"/>
      <c r="AS442" s="319"/>
      <c r="AT442" s="319"/>
      <c r="AU442" s="319"/>
      <c r="AV442" s="319"/>
      <c r="AW442" s="319"/>
      <c r="AX442" s="319"/>
      <c r="AY442" s="319"/>
      <c r="AZ442" s="319"/>
      <c r="BA442" s="319"/>
      <c r="BB442" s="319"/>
      <c r="BC442" s="319"/>
      <c r="BD442" s="319"/>
      <c r="BE442" s="319"/>
      <c r="BF442" s="319"/>
      <c r="BG442" s="319"/>
      <c r="BH442" s="319"/>
      <c r="BI442" s="319"/>
      <c r="BJ442" s="319"/>
      <c r="BK442" s="319"/>
      <c r="BL442" s="319"/>
      <c r="BM442" s="319"/>
      <c r="BN442" s="319"/>
      <c r="BO442" s="319"/>
      <c r="BP442" s="319"/>
      <c r="BQ442" s="319"/>
      <c r="BR442" s="319"/>
      <c r="BS442" s="319"/>
      <c r="BT442" s="319"/>
      <c r="BU442" s="319"/>
      <c r="BV442" s="319"/>
      <c r="BW442" s="319"/>
      <c r="BX442" s="319"/>
      <c r="BY442" s="319"/>
      <c r="BZ442" s="319"/>
      <c r="CA442" s="319"/>
      <c r="CB442" s="319"/>
      <c r="CC442" s="319"/>
      <c r="CD442" s="319"/>
      <c r="CE442" s="319"/>
      <c r="CF442" s="319"/>
    </row>
    <row r="443" spans="1:84" ht="12.75" hidden="1" customHeight="1">
      <c r="A443" s="12"/>
      <c r="B443" s="329" t="str">
        <f>$B$94</f>
        <v>Eletricidade fornecida à carga</v>
      </c>
      <c r="C443" s="29" t="str">
        <f>R14</f>
        <v>MWh</v>
      </c>
      <c r="D443" s="30">
        <f>IF(HideCodeES_PSS=1,$G$1107,IF($C$854=$E$1094,$G$1107,$G$1108))</f>
        <v>0</v>
      </c>
      <c r="E443" s="80" t="str">
        <f>IF($P$867=0,"",D443/$P$867)</f>
        <v/>
      </c>
      <c r="F443" s="1"/>
      <c r="G443" s="1"/>
      <c r="H443" s="1"/>
      <c r="I443" s="1"/>
      <c r="J443" s="1"/>
      <c r="K443" s="9"/>
      <c r="L443" s="1"/>
      <c r="M443" s="319"/>
      <c r="N443" s="319"/>
      <c r="O443" s="319"/>
      <c r="P443" s="319"/>
      <c r="Q443" s="319"/>
      <c r="R443" s="319"/>
      <c r="S443" s="319"/>
      <c r="T443" s="319"/>
      <c r="U443" s="319"/>
      <c r="V443" s="319"/>
      <c r="W443" s="319"/>
      <c r="X443" s="319"/>
      <c r="Y443" s="319"/>
      <c r="Z443" s="319"/>
      <c r="AA443" s="319"/>
      <c r="AB443" s="319"/>
      <c r="AC443" s="319"/>
      <c r="AD443" s="319"/>
      <c r="AE443" s="319"/>
      <c r="AF443" s="319"/>
      <c r="AG443" s="319"/>
      <c r="AH443" s="319"/>
      <c r="AI443" s="319"/>
      <c r="AJ443" s="319"/>
      <c r="AK443" s="319"/>
      <c r="AL443" s="319"/>
      <c r="AM443" s="319"/>
      <c r="AN443" s="319"/>
      <c r="AO443" s="319">
        <v>2050008</v>
      </c>
      <c r="AP443" s="319"/>
      <c r="AQ443" s="319"/>
      <c r="AR443" s="319"/>
      <c r="AS443" s="319"/>
      <c r="AT443" s="319"/>
      <c r="AU443" s="319"/>
      <c r="AV443" s="319"/>
      <c r="AW443" s="319"/>
      <c r="AX443" s="319"/>
      <c r="AY443" s="319"/>
      <c r="AZ443" s="319"/>
      <c r="BA443" s="319"/>
      <c r="BB443" s="319"/>
      <c r="BC443" s="319"/>
      <c r="BD443" s="319"/>
      <c r="BE443" s="319"/>
      <c r="BF443" s="319"/>
      <c r="BG443" s="319"/>
      <c r="BH443" s="319"/>
      <c r="BI443" s="319"/>
      <c r="BJ443" s="319"/>
      <c r="BK443" s="319"/>
      <c r="BL443" s="319"/>
      <c r="BM443" s="319"/>
      <c r="BN443" s="319"/>
      <c r="BO443" s="319"/>
      <c r="BP443" s="319"/>
      <c r="BQ443" s="319"/>
      <c r="BR443" s="319"/>
      <c r="BS443" s="319"/>
      <c r="BT443" s="319"/>
      <c r="BU443" s="319"/>
      <c r="BV443" s="319"/>
      <c r="BW443" s="319"/>
      <c r="BX443" s="319"/>
      <c r="BY443" s="319"/>
      <c r="BZ443" s="319"/>
      <c r="CA443" s="319"/>
      <c r="CB443" s="319"/>
      <c r="CC443" s="319"/>
      <c r="CD443" s="319"/>
      <c r="CE443" s="319"/>
      <c r="CF443" s="319"/>
    </row>
    <row r="444" spans="1:84" ht="12.75" hidden="1" customHeight="1">
      <c r="A444" s="14"/>
      <c r="B444" s="380" t="str">
        <f>$B$95</f>
        <v>Eletricidade exportada p/ rede</v>
      </c>
      <c r="C444" s="33" t="str">
        <f>R14</f>
        <v>MWh</v>
      </c>
      <c r="D444" s="34">
        <f>IF(HideCodeES_PSS=1,$J$1107,IF($C$854=$E$1094,$J$1107,$J$1108))</f>
        <v>5.3903325633948667</v>
      </c>
      <c r="E444" s="15"/>
      <c r="F444" s="15"/>
      <c r="G444" s="15"/>
      <c r="H444" s="15"/>
      <c r="I444" s="15"/>
      <c r="J444" s="15"/>
      <c r="K444" s="11"/>
      <c r="L444" s="1"/>
      <c r="M444" s="319"/>
      <c r="N444" s="319"/>
      <c r="O444" s="319"/>
      <c r="P444" s="319"/>
      <c r="Q444" s="319"/>
      <c r="R444" s="319"/>
      <c r="S444" s="319"/>
      <c r="T444" s="319"/>
      <c r="U444" s="319"/>
      <c r="V444" s="319"/>
      <c r="W444" s="319"/>
      <c r="X444" s="319"/>
      <c r="Y444" s="319"/>
      <c r="Z444" s="319"/>
      <c r="AA444" s="319"/>
      <c r="AB444" s="319"/>
      <c r="AC444" s="319"/>
      <c r="AD444" s="319"/>
      <c r="AE444" s="319"/>
      <c r="AF444" s="319"/>
      <c r="AG444" s="319"/>
      <c r="AH444" s="319"/>
      <c r="AI444" s="319"/>
      <c r="AJ444" s="319"/>
      <c r="AK444" s="319"/>
      <c r="AL444" s="319"/>
      <c r="AM444" s="319"/>
      <c r="AN444" s="319"/>
      <c r="AO444" s="319">
        <v>2050010</v>
      </c>
      <c r="AP444" s="319"/>
      <c r="AQ444" s="319"/>
      <c r="AR444" s="319"/>
      <c r="AS444" s="319"/>
      <c r="AT444" s="319"/>
      <c r="AU444" s="319"/>
      <c r="AV444" s="319"/>
      <c r="AW444" s="319"/>
      <c r="AX444" s="319"/>
      <c r="AY444" s="319"/>
      <c r="AZ444" s="319"/>
      <c r="BA444" s="319"/>
      <c r="BB444" s="319"/>
      <c r="BC444" s="319"/>
      <c r="BD444" s="319"/>
      <c r="BE444" s="319"/>
      <c r="BF444" s="319"/>
      <c r="BG444" s="319"/>
      <c r="BH444" s="319"/>
      <c r="BI444" s="319"/>
      <c r="BJ444" s="319"/>
      <c r="BK444" s="319"/>
      <c r="BL444" s="319"/>
      <c r="BM444" s="319"/>
      <c r="BN444" s="319"/>
      <c r="BO444" s="319"/>
      <c r="BP444" s="319"/>
      <c r="BQ444" s="319"/>
      <c r="BR444" s="319"/>
      <c r="BS444" s="319"/>
      <c r="BT444" s="319"/>
      <c r="BU444" s="319"/>
      <c r="BV444" s="319"/>
      <c r="BW444" s="319"/>
      <c r="BX444" s="319"/>
      <c r="BY444" s="319"/>
      <c r="BZ444" s="319"/>
      <c r="CA444" s="319"/>
      <c r="CB444" s="319"/>
      <c r="CC444" s="319"/>
      <c r="CD444" s="319"/>
      <c r="CE444" s="319"/>
      <c r="CF444" s="319"/>
    </row>
    <row r="445" spans="1:84" ht="13.2">
      <c r="A445" s="12"/>
      <c r="B445" s="1"/>
      <c r="C445" s="1"/>
      <c r="D445" s="1"/>
      <c r="E445" s="1"/>
      <c r="F445" s="1"/>
      <c r="G445" s="1"/>
      <c r="H445" s="1"/>
      <c r="I445" s="1"/>
      <c r="J445" s="1"/>
      <c r="K445" s="9"/>
      <c r="L445" s="1"/>
      <c r="M445" s="319"/>
      <c r="N445" s="319"/>
      <c r="O445" s="319"/>
      <c r="P445" s="319"/>
      <c r="Q445" s="319"/>
      <c r="R445" s="319"/>
      <c r="S445" s="319"/>
      <c r="T445" s="319"/>
      <c r="U445" s="319"/>
      <c r="V445" s="319"/>
      <c r="W445" s="319"/>
      <c r="X445" s="319"/>
      <c r="Y445" s="319"/>
      <c r="Z445" s="319"/>
      <c r="AA445" s="319"/>
      <c r="AB445" s="319"/>
      <c r="AC445" s="319"/>
      <c r="AD445" s="319"/>
      <c r="AE445" s="319"/>
      <c r="AF445" s="319"/>
      <c r="AG445" s="319"/>
      <c r="AH445" s="319"/>
      <c r="AI445" s="319"/>
      <c r="AJ445" s="319"/>
      <c r="AK445" s="319"/>
      <c r="AL445" s="319"/>
      <c r="AM445" s="319"/>
      <c r="AN445" s="319"/>
      <c r="AO445" s="319">
        <v>2030000</v>
      </c>
      <c r="AP445" s="319"/>
      <c r="AQ445" s="319"/>
      <c r="AR445" s="319"/>
      <c r="AS445" s="319"/>
      <c r="AT445" s="319"/>
      <c r="AU445" s="319"/>
      <c r="AV445" s="319"/>
      <c r="AW445" s="319"/>
      <c r="AX445" s="319"/>
      <c r="AY445" s="319"/>
      <c r="AZ445" s="319"/>
      <c r="BA445" s="319"/>
      <c r="BB445" s="319"/>
      <c r="BC445" s="319"/>
      <c r="BD445" s="319"/>
      <c r="BE445" s="319"/>
      <c r="BF445" s="319"/>
      <c r="BG445" s="319"/>
      <c r="BH445" s="319"/>
      <c r="BI445" s="319"/>
      <c r="BJ445" s="319"/>
      <c r="BK445" s="319"/>
      <c r="BL445" s="319"/>
      <c r="BM445" s="319"/>
      <c r="BN445" s="319"/>
      <c r="BO445" s="319"/>
      <c r="BP445" s="319"/>
      <c r="BQ445" s="319"/>
      <c r="BR445" s="319"/>
      <c r="BS445" s="319"/>
      <c r="BT445" s="319"/>
      <c r="BU445" s="319"/>
      <c r="BV445" s="319"/>
      <c r="BW445" s="319"/>
      <c r="BX445" s="319"/>
      <c r="BY445" s="319"/>
      <c r="BZ445" s="319"/>
      <c r="CA445" s="319"/>
      <c r="CB445" s="319"/>
      <c r="CC445" s="319"/>
      <c r="CD445" s="319"/>
      <c r="CE445" s="319"/>
      <c r="CF445" s="319"/>
    </row>
    <row r="446" spans="1:84" ht="28.5" customHeight="1">
      <c r="A446" s="12"/>
      <c r="B446" s="721" t="str">
        <f>B313</f>
        <v>Tipo de análise</v>
      </c>
      <c r="C446" s="1028" t="s">
        <v>8853</v>
      </c>
      <c r="D446" s="720" t="str">
        <f>D313</f>
        <v xml:space="preserve">Método 1 
Método 2 </v>
      </c>
      <c r="E446" s="1011"/>
      <c r="F446" s="265"/>
      <c r="G446" s="1"/>
      <c r="H446" s="1"/>
      <c r="I446" s="1"/>
      <c r="J446" s="1"/>
      <c r="K446" s="9"/>
      <c r="L446" s="1"/>
      <c r="M446" s="319"/>
      <c r="N446" s="319"/>
      <c r="O446" s="319"/>
      <c r="P446" s="319"/>
      <c r="Q446" s="319"/>
      <c r="R446" s="319"/>
      <c r="S446" s="319"/>
      <c r="T446" s="319"/>
      <c r="U446" s="319"/>
      <c r="V446" s="319"/>
      <c r="W446" s="319"/>
      <c r="X446" s="319"/>
      <c r="Y446" s="319"/>
      <c r="Z446" s="319"/>
      <c r="AA446" s="319"/>
      <c r="AB446" s="319"/>
      <c r="AC446" s="319"/>
      <c r="AD446" s="319"/>
      <c r="AE446" s="319"/>
      <c r="AF446" s="319"/>
      <c r="AG446" s="319"/>
      <c r="AH446" s="319"/>
      <c r="AI446" s="319"/>
      <c r="AJ446" s="319"/>
      <c r="AK446" s="319"/>
      <c r="AL446" s="319"/>
      <c r="AM446" s="319"/>
      <c r="AN446" s="319"/>
      <c r="AO446" s="319">
        <v>2040018</v>
      </c>
      <c r="AP446" s="319"/>
      <c r="AQ446" s="319"/>
      <c r="AR446" s="319"/>
      <c r="AS446" s="319"/>
      <c r="AT446" s="319"/>
      <c r="AU446" s="319"/>
      <c r="AV446" s="319"/>
      <c r="AW446" s="319"/>
      <c r="AX446" s="319"/>
      <c r="AY446" s="319"/>
      <c r="AZ446" s="319"/>
      <c r="BA446" s="319"/>
      <c r="BB446" s="319"/>
      <c r="BC446" s="319"/>
      <c r="BD446" s="319"/>
      <c r="BE446" s="319"/>
      <c r="BF446" s="319"/>
      <c r="BG446" s="319"/>
      <c r="BH446" s="319"/>
      <c r="BI446" s="319"/>
      <c r="BJ446" s="319"/>
      <c r="BK446" s="319"/>
      <c r="BL446" s="319"/>
      <c r="BM446" s="319"/>
      <c r="BN446" s="319"/>
      <c r="BO446" s="319"/>
      <c r="BP446" s="319"/>
      <c r="BQ446" s="319"/>
      <c r="BR446" s="319"/>
      <c r="BS446" s="319"/>
      <c r="BT446" s="319"/>
      <c r="BU446" s="319"/>
      <c r="BV446" s="319"/>
      <c r="BW446" s="319"/>
      <c r="BX446" s="319"/>
      <c r="BY446" s="319"/>
      <c r="BZ446" s="319"/>
      <c r="CA446" s="319"/>
      <c r="CB446" s="319"/>
      <c r="CC446" s="319"/>
      <c r="CD446" s="319"/>
      <c r="CE446" s="319"/>
      <c r="CF446" s="319"/>
    </row>
    <row r="447" spans="1:84" ht="12.75" customHeight="1">
      <c r="A447" s="12"/>
      <c r="B447" s="28" t="str">
        <f>IF(HideCodeES_PSS=1,Language!C141,Language!C141&amp;" #1")</f>
        <v>Fotovoltaica</v>
      </c>
      <c r="C447" s="1"/>
      <c r="D447" s="29"/>
      <c r="E447" s="1"/>
      <c r="F447" s="1"/>
      <c r="G447" s="1"/>
      <c r="H447" s="1"/>
      <c r="I447" s="1"/>
      <c r="J447" s="1"/>
      <c r="K447" s="9"/>
      <c r="L447" s="1"/>
      <c r="M447" s="3" t="b">
        <v>0</v>
      </c>
      <c r="N447" s="319">
        <f>IF(M447=FALSE,0,1)</f>
        <v>0</v>
      </c>
      <c r="O447" s="319"/>
      <c r="P447" s="319" t="s">
        <v>4948</v>
      </c>
      <c r="Q447" s="319"/>
      <c r="R447" s="319"/>
      <c r="S447" s="319"/>
      <c r="T447" s="319"/>
      <c r="U447" s="319"/>
      <c r="V447" s="319"/>
      <c r="W447" s="319"/>
      <c r="X447" s="319"/>
      <c r="Y447" s="319"/>
      <c r="Z447" s="319"/>
      <c r="AA447" s="319"/>
      <c r="AB447" s="319"/>
      <c r="AC447" s="319"/>
      <c r="AD447" s="319"/>
      <c r="AE447" s="319"/>
      <c r="AF447" s="319"/>
      <c r="AG447" s="319"/>
      <c r="AH447" s="319"/>
      <c r="AI447" s="319"/>
      <c r="AJ447" s="319"/>
      <c r="AK447" s="319"/>
      <c r="AL447" s="319"/>
      <c r="AM447" s="319"/>
      <c r="AN447" s="319"/>
      <c r="AO447" s="319">
        <v>2040016</v>
      </c>
      <c r="AP447" s="319"/>
      <c r="AQ447" s="319"/>
      <c r="AR447" s="319"/>
      <c r="AS447" s="319"/>
      <c r="AT447" s="319"/>
      <c r="AU447" s="319"/>
      <c r="AV447" s="319"/>
      <c r="AW447" s="319"/>
      <c r="AX447" s="319"/>
      <c r="AY447" s="319"/>
      <c r="AZ447" s="319"/>
      <c r="BA447" s="319"/>
      <c r="BB447" s="319"/>
      <c r="BC447" s="319"/>
      <c r="BD447" s="319"/>
      <c r="BE447" s="319"/>
      <c r="BF447" s="319"/>
      <c r="BG447" s="319"/>
      <c r="BH447" s="319"/>
      <c r="BI447" s="319"/>
      <c r="BJ447" s="319"/>
      <c r="BK447" s="319"/>
      <c r="BL447" s="319"/>
      <c r="BM447" s="319"/>
      <c r="BN447" s="319"/>
      <c r="BO447" s="319"/>
      <c r="BP447" s="319"/>
      <c r="BQ447" s="319"/>
      <c r="BR447" s="319"/>
      <c r="BS447" s="319"/>
      <c r="BT447" s="319"/>
      <c r="BU447" s="319"/>
      <c r="BV447" s="319"/>
      <c r="BW447" s="319"/>
      <c r="BX447" s="319"/>
      <c r="BY447" s="319"/>
      <c r="BZ447" s="319"/>
      <c r="CA447" s="319"/>
      <c r="CB447" s="319"/>
      <c r="CC447" s="319"/>
      <c r="CD447" s="319"/>
      <c r="CE447" s="319"/>
      <c r="CF447" s="319"/>
    </row>
    <row r="448" spans="1:84" ht="12.75" customHeight="1">
      <c r="A448" s="12"/>
      <c r="B448" s="28" t="str">
        <f>B227</f>
        <v>Avaliação de recursos</v>
      </c>
      <c r="C448" s="1"/>
      <c r="D448" s="1"/>
      <c r="E448" s="1"/>
      <c r="F448" s="1"/>
      <c r="G448" s="1"/>
      <c r="H448" s="1"/>
      <c r="I448" s="1"/>
      <c r="J448" s="1"/>
      <c r="K448" s="9"/>
      <c r="L448" s="1"/>
      <c r="M448" s="3" t="b">
        <v>1</v>
      </c>
      <c r="N448" s="319"/>
      <c r="O448" s="319"/>
      <c r="P448" s="319"/>
      <c r="Q448" s="319">
        <f>S450*PI()/180</f>
        <v>0.6108652381980153</v>
      </c>
      <c r="R448" s="319" t="str">
        <f>Language!C1663</f>
        <v>Fixo</v>
      </c>
      <c r="S448" s="476"/>
      <c r="T448" s="319"/>
      <c r="U448" s="319"/>
      <c r="V448" s="319"/>
      <c r="W448" s="319"/>
      <c r="X448" s="319"/>
      <c r="Y448" s="319"/>
      <c r="Z448" s="319"/>
      <c r="AA448" s="319"/>
      <c r="AB448" s="319"/>
      <c r="AC448" s="319"/>
      <c r="AD448" s="319"/>
      <c r="AE448" s="319"/>
      <c r="AF448" s="319"/>
      <c r="AG448" s="319"/>
      <c r="AH448" s="319"/>
      <c r="AI448" s="319"/>
      <c r="AJ448" s="319"/>
      <c r="AK448" s="319"/>
      <c r="AL448" s="319"/>
      <c r="AM448" s="319"/>
      <c r="AN448" s="319"/>
      <c r="AO448" s="319">
        <v>2121000</v>
      </c>
      <c r="AP448" s="319"/>
      <c r="AQ448" s="319"/>
      <c r="AR448" s="319"/>
      <c r="AS448" s="319"/>
      <c r="AT448" s="319"/>
      <c r="AU448" s="319"/>
      <c r="AV448" s="319"/>
      <c r="AW448" s="319"/>
      <c r="AX448" s="319"/>
      <c r="AY448" s="319"/>
      <c r="AZ448" s="319"/>
      <c r="BA448" s="319"/>
      <c r="BB448" s="319"/>
      <c r="BC448" s="319"/>
      <c r="BD448" s="319"/>
      <c r="BE448" s="319"/>
      <c r="BF448" s="319"/>
      <c r="BG448" s="319"/>
      <c r="BH448" s="319"/>
      <c r="BI448" s="319"/>
      <c r="BJ448" s="319"/>
      <c r="BK448" s="319"/>
      <c r="BL448" s="319"/>
      <c r="BM448" s="319"/>
      <c r="BN448" s="319"/>
      <c r="BO448" s="319"/>
      <c r="BP448" s="319"/>
      <c r="BQ448" s="319"/>
      <c r="BR448" s="319"/>
      <c r="BS448" s="319"/>
      <c r="BT448" s="319"/>
      <c r="BU448" s="319"/>
      <c r="BV448" s="319"/>
      <c r="BW448" s="319"/>
      <c r="BX448" s="319"/>
      <c r="BY448" s="319"/>
      <c r="BZ448" s="319"/>
      <c r="CA448" s="319"/>
      <c r="CB448" s="319"/>
      <c r="CC448" s="319"/>
      <c r="CD448" s="319"/>
      <c r="CE448" s="319"/>
      <c r="CF448" s="319"/>
    </row>
    <row r="449" spans="1:84" ht="12.75" customHeight="1">
      <c r="A449" s="12"/>
      <c r="B449" s="329" t="str">
        <f>Language!C2037</f>
        <v>Sistema de posicionamento solar</v>
      </c>
      <c r="C449" s="29"/>
      <c r="D449" s="303" t="s">
        <v>7361</v>
      </c>
      <c r="E449" s="1"/>
      <c r="F449" s="1"/>
      <c r="G449" s="1"/>
      <c r="H449" s="1"/>
      <c r="I449" s="1"/>
      <c r="J449" s="1"/>
      <c r="K449" s="9"/>
      <c r="L449" s="1"/>
      <c r="M449" s="319"/>
      <c r="N449" s="319">
        <f>IF(S449="",1,MATCH(S449,R448:R451,0))-1</f>
        <v>0</v>
      </c>
      <c r="O449" s="319" t="s">
        <v>5838</v>
      </c>
      <c r="P449" s="319"/>
      <c r="Q449" s="319">
        <f>S451*PI()/180</f>
        <v>0</v>
      </c>
      <c r="R449" s="319" t="str">
        <f>Language!C1852</f>
        <v>Um eixo</v>
      </c>
      <c r="S449" s="319" t="str">
        <f>IF(Offgrid=5,'Modelo Energético '!D273,D449)</f>
        <v>Fixo</v>
      </c>
      <c r="T449" s="319"/>
      <c r="U449" s="319"/>
      <c r="V449" s="319"/>
      <c r="W449" s="319"/>
      <c r="X449" s="319"/>
      <c r="Y449" s="319"/>
      <c r="Z449" s="319"/>
      <c r="AA449" s="319"/>
      <c r="AB449" s="319"/>
      <c r="AC449" s="319"/>
      <c r="AD449" s="319"/>
      <c r="AE449" s="319"/>
      <c r="AF449" s="319"/>
      <c r="AG449" s="319"/>
      <c r="AH449" s="319"/>
      <c r="AI449" s="319"/>
      <c r="AJ449" s="319"/>
      <c r="AK449" s="319"/>
      <c r="AL449" s="319"/>
      <c r="AM449" s="319"/>
      <c r="AN449" s="319"/>
      <c r="AO449" s="319">
        <v>2121002</v>
      </c>
      <c r="AP449" s="319"/>
      <c r="AQ449" s="319"/>
      <c r="AR449" s="319"/>
      <c r="AS449" s="319"/>
      <c r="AT449" s="319"/>
      <c r="AU449" s="319"/>
      <c r="AV449" s="319"/>
      <c r="AW449" s="319"/>
      <c r="AX449" s="319"/>
      <c r="AY449" s="319"/>
      <c r="AZ449" s="319"/>
      <c r="BA449" s="319"/>
      <c r="BB449" s="319"/>
      <c r="BC449" s="319"/>
      <c r="BD449" s="319"/>
      <c r="BE449" s="319"/>
      <c r="BF449" s="319"/>
      <c r="BG449" s="319"/>
      <c r="BH449" s="319"/>
      <c r="BI449" s="319"/>
      <c r="BJ449" s="319"/>
      <c r="BK449" s="319"/>
      <c r="BL449" s="319"/>
      <c r="BM449" s="319"/>
      <c r="BN449" s="319"/>
      <c r="BO449" s="319"/>
      <c r="BP449" s="319"/>
      <c r="BQ449" s="319"/>
      <c r="BR449" s="319"/>
      <c r="BS449" s="319"/>
      <c r="BT449" s="319"/>
      <c r="BU449" s="319"/>
      <c r="BV449" s="319"/>
      <c r="BW449" s="319"/>
      <c r="BX449" s="319"/>
      <c r="BY449" s="319"/>
      <c r="BZ449" s="319"/>
      <c r="CA449" s="319"/>
      <c r="CB449" s="319"/>
      <c r="CC449" s="319"/>
      <c r="CD449" s="319"/>
      <c r="CE449" s="319"/>
      <c r="CF449" s="319"/>
    </row>
    <row r="450" spans="1:84" ht="13.2">
      <c r="A450" s="12"/>
      <c r="B450" s="329" t="str">
        <f>Language!C1976</f>
        <v>Inclinação</v>
      </c>
      <c r="C450" s="29" t="s">
        <v>3471</v>
      </c>
      <c r="D450" s="382">
        <v>35</v>
      </c>
      <c r="E450" s="1"/>
      <c r="F450" s="1"/>
      <c r="G450" s="1"/>
      <c r="H450" s="1"/>
      <c r="I450" s="1"/>
      <c r="J450" s="1"/>
      <c r="K450" s="9"/>
      <c r="L450" s="1"/>
      <c r="M450" s="319"/>
      <c r="N450" s="319"/>
      <c r="O450" s="319" t="s">
        <v>5839</v>
      </c>
      <c r="P450" s="3" t="b">
        <v>1</v>
      </c>
      <c r="Q450" s="319">
        <f>Iniciar!E49*PI()/180</f>
        <v>0.70162235930172046</v>
      </c>
      <c r="R450" s="319" t="str">
        <f>Language!C2053</f>
        <v>Bi axial</v>
      </c>
      <c r="S450" s="319">
        <f>IF(Offgrid=5,'Modelo Energético '!D274,D450)</f>
        <v>35</v>
      </c>
      <c r="T450" s="319"/>
      <c r="U450" s="319"/>
      <c r="V450" s="319"/>
      <c r="W450" s="319"/>
      <c r="X450" s="319"/>
      <c r="Y450" s="319"/>
      <c r="Z450" s="319"/>
      <c r="AA450" s="319"/>
      <c r="AB450" s="319"/>
      <c r="AC450" s="319"/>
      <c r="AD450" s="319"/>
      <c r="AE450" s="319"/>
      <c r="AF450" s="319"/>
      <c r="AG450" s="319"/>
      <c r="AH450" s="319"/>
      <c r="AI450" s="319"/>
      <c r="AJ450" s="319"/>
      <c r="AK450" s="319"/>
      <c r="AL450" s="319"/>
      <c r="AM450" s="319"/>
      <c r="AN450" s="319"/>
      <c r="AO450" s="319">
        <v>2121004</v>
      </c>
      <c r="AP450" s="319"/>
      <c r="AQ450" s="319"/>
      <c r="AR450" s="319"/>
      <c r="AS450" s="319"/>
      <c r="AT450" s="319"/>
      <c r="AU450" s="319"/>
      <c r="AV450" s="319"/>
      <c r="AW450" s="319"/>
      <c r="AX450" s="319"/>
      <c r="AY450" s="319"/>
      <c r="AZ450" s="319"/>
      <c r="BA450" s="319"/>
      <c r="BB450" s="319"/>
      <c r="BC450" s="319"/>
      <c r="BD450" s="319"/>
      <c r="BE450" s="319"/>
      <c r="BF450" s="319"/>
      <c r="BG450" s="319"/>
      <c r="BH450" s="319"/>
      <c r="BI450" s="319"/>
      <c r="BJ450" s="319"/>
      <c r="BK450" s="319"/>
      <c r="BL450" s="319"/>
      <c r="BM450" s="319"/>
      <c r="BN450" s="319"/>
      <c r="BO450" s="319"/>
      <c r="BP450" s="319"/>
      <c r="BQ450" s="319"/>
      <c r="BR450" s="319"/>
      <c r="BS450" s="319"/>
      <c r="BT450" s="319"/>
      <c r="BU450" s="319"/>
      <c r="BV450" s="319"/>
      <c r="BW450" s="319"/>
      <c r="BX450" s="319"/>
      <c r="BY450" s="319"/>
      <c r="BZ450" s="319"/>
      <c r="CA450" s="319"/>
      <c r="CB450" s="319"/>
      <c r="CC450" s="319"/>
      <c r="CD450" s="319"/>
      <c r="CE450" s="319"/>
      <c r="CF450" s="319"/>
    </row>
    <row r="451" spans="1:84" ht="12.75" customHeight="1">
      <c r="A451" s="12"/>
      <c r="B451" s="329" t="str">
        <f>Language!C1496</f>
        <v>Azimut</v>
      </c>
      <c r="C451" s="29" t="s">
        <v>3471</v>
      </c>
      <c r="D451" s="382">
        <v>0</v>
      </c>
      <c r="E451" s="1"/>
      <c r="F451" s="1"/>
      <c r="G451" s="1"/>
      <c r="H451" s="1"/>
      <c r="I451" s="1"/>
      <c r="J451" s="1"/>
      <c r="K451" s="9"/>
      <c r="L451" s="1"/>
      <c r="M451" s="319"/>
      <c r="N451" s="319"/>
      <c r="O451" s="319"/>
      <c r="P451" s="319"/>
      <c r="Q451" s="319"/>
      <c r="R451" s="319" t="str">
        <f>B451</f>
        <v>Azimut</v>
      </c>
      <c r="S451" s="319">
        <f>IF(Offgrid=5,'Modelo Energético '!D275,D451)</f>
        <v>0</v>
      </c>
      <c r="T451" s="319"/>
      <c r="U451" s="319"/>
      <c r="V451" s="319"/>
      <c r="W451" s="319"/>
      <c r="X451" s="319"/>
      <c r="Y451" s="319"/>
      <c r="Z451" s="319"/>
      <c r="AA451" s="319"/>
      <c r="AB451" s="319"/>
      <c r="AC451" s="319"/>
      <c r="AD451" s="319"/>
      <c r="AE451" s="319"/>
      <c r="AF451" s="319"/>
      <c r="AG451" s="319"/>
      <c r="AH451" s="319"/>
      <c r="AI451" s="319"/>
      <c r="AJ451" s="319"/>
      <c r="AK451" s="319"/>
      <c r="AL451" s="319"/>
      <c r="AM451" s="319"/>
      <c r="AN451" s="319"/>
      <c r="AO451" s="319">
        <v>2121006</v>
      </c>
      <c r="AP451" s="319"/>
      <c r="AQ451" s="319"/>
      <c r="AR451" s="319"/>
      <c r="AS451" s="319"/>
      <c r="AT451" s="319"/>
      <c r="AU451" s="319"/>
      <c r="AV451" s="319"/>
      <c r="AW451" s="319"/>
      <c r="AX451" s="319"/>
      <c r="AY451" s="319"/>
      <c r="AZ451" s="319"/>
      <c r="BA451" s="319"/>
      <c r="BB451" s="319"/>
      <c r="BC451" s="319"/>
      <c r="BD451" s="319"/>
      <c r="BE451" s="319"/>
      <c r="BF451" s="319"/>
      <c r="BG451" s="319"/>
      <c r="BH451" s="319"/>
      <c r="BI451" s="319"/>
      <c r="BJ451" s="319"/>
      <c r="BK451" s="319"/>
      <c r="BL451" s="319"/>
      <c r="BM451" s="319"/>
      <c r="BN451" s="319"/>
      <c r="BO451" s="319"/>
      <c r="BP451" s="319"/>
      <c r="BQ451" s="319"/>
      <c r="BR451" s="319"/>
      <c r="BS451" s="319"/>
      <c r="BT451" s="319"/>
      <c r="BU451" s="319"/>
      <c r="BV451" s="319"/>
      <c r="BW451" s="319"/>
      <c r="BX451" s="319"/>
      <c r="BY451" s="319"/>
      <c r="BZ451" s="319"/>
      <c r="CA451" s="319"/>
      <c r="CB451" s="319"/>
      <c r="CC451" s="319"/>
      <c r="CD451" s="319"/>
      <c r="CE451" s="319"/>
      <c r="CF451" s="319"/>
    </row>
    <row r="452" spans="1:84" ht="12.75" customHeight="1">
      <c r="A452" s="12"/>
      <c r="B452" s="28"/>
      <c r="C452" s="1"/>
      <c r="D452" s="1"/>
      <c r="E452" s="1"/>
      <c r="F452" s="1"/>
      <c r="G452" s="1"/>
      <c r="H452" s="1"/>
      <c r="I452" s="1"/>
      <c r="J452" s="1"/>
      <c r="K452" s="9"/>
      <c r="L452" s="1"/>
      <c r="M452" s="319"/>
      <c r="N452" s="319"/>
      <c r="O452" s="319"/>
      <c r="P452" s="319"/>
      <c r="Q452" s="319"/>
      <c r="R452" s="319"/>
      <c r="S452" s="319"/>
      <c r="T452" s="319"/>
      <c r="U452" s="319"/>
      <c r="V452" s="319"/>
      <c r="W452" s="319"/>
      <c r="X452" s="319"/>
      <c r="Y452" s="319"/>
      <c r="Z452" s="319"/>
      <c r="AA452" s="319"/>
      <c r="AB452" s="319"/>
      <c r="AC452" s="319"/>
      <c r="AD452" s="319"/>
      <c r="AE452" s="319"/>
      <c r="AF452" s="319"/>
      <c r="AG452" s="319"/>
      <c r="AH452" s="319"/>
      <c r="AI452" s="319"/>
      <c r="AJ452" s="319"/>
      <c r="AK452" s="319"/>
      <c r="AL452" s="319"/>
      <c r="AM452" s="319"/>
      <c r="AN452" s="319"/>
      <c r="AO452" s="319">
        <v>2122000</v>
      </c>
      <c r="AP452" s="319"/>
      <c r="AQ452" s="319"/>
      <c r="AR452" s="319"/>
      <c r="AS452" s="319"/>
      <c r="AT452" s="319"/>
      <c r="AU452" s="319"/>
      <c r="AV452" s="319"/>
      <c r="AW452" s="319"/>
      <c r="AX452" s="319"/>
      <c r="AY452" s="319"/>
      <c r="AZ452" s="319"/>
      <c r="BA452" s="319"/>
      <c r="BB452" s="319"/>
      <c r="BC452" s="319"/>
      <c r="BD452" s="319"/>
      <c r="BE452" s="319"/>
      <c r="BF452" s="319"/>
      <c r="BG452" s="319"/>
      <c r="BH452" s="319"/>
      <c r="BI452" s="319"/>
      <c r="BJ452" s="319"/>
      <c r="BK452" s="319"/>
      <c r="BL452" s="319"/>
      <c r="BM452" s="319"/>
      <c r="BN452" s="319"/>
      <c r="BO452" s="319"/>
      <c r="BP452" s="319"/>
      <c r="BQ452" s="319"/>
      <c r="BR452" s="319"/>
      <c r="BS452" s="319"/>
      <c r="BT452" s="319"/>
      <c r="BU452" s="319"/>
      <c r="BV452" s="319"/>
      <c r="BW452" s="319"/>
      <c r="BX452" s="319"/>
      <c r="BY452" s="319"/>
      <c r="BZ452" s="319"/>
      <c r="CA452" s="319"/>
      <c r="CB452" s="319"/>
      <c r="CC452" s="319"/>
      <c r="CD452" s="319"/>
      <c r="CE452" s="319"/>
      <c r="CF452" s="319"/>
    </row>
    <row r="453" spans="1:84" ht="12.75" customHeight="1">
      <c r="A453" s="12"/>
      <c r="B453" s="1011" t="s">
        <v>4190</v>
      </c>
      <c r="C453" s="265" t="str">
        <f>C266</f>
        <v>Mostrar dado</v>
      </c>
      <c r="D453" s="1"/>
      <c r="E453" s="1"/>
      <c r="F453" s="1"/>
      <c r="G453" s="1"/>
      <c r="H453" s="1"/>
      <c r="I453" s="1"/>
      <c r="J453" s="1"/>
      <c r="K453" s="9"/>
      <c r="L453" s="1"/>
      <c r="M453" s="3" t="b">
        <v>1</v>
      </c>
      <c r="N453" s="319"/>
      <c r="O453" s="319" t="s">
        <v>578</v>
      </c>
      <c r="P453" s="319"/>
      <c r="Q453" s="319"/>
      <c r="R453" s="319"/>
      <c r="S453" s="319" t="s">
        <v>2095</v>
      </c>
      <c r="T453" s="319"/>
      <c r="U453" s="319"/>
      <c r="V453" s="319"/>
      <c r="W453" s="319"/>
      <c r="X453" s="319" t="s">
        <v>4231</v>
      </c>
      <c r="Y453" s="319"/>
      <c r="Z453" s="319"/>
      <c r="AA453" s="319"/>
      <c r="AB453" s="319"/>
      <c r="AC453" s="319"/>
      <c r="AD453" s="319"/>
      <c r="AE453" s="319"/>
      <c r="AF453" s="319"/>
      <c r="AG453" s="319"/>
      <c r="AH453" s="319"/>
      <c r="AI453" s="319" t="s">
        <v>2965</v>
      </c>
      <c r="AJ453" s="319"/>
      <c r="AK453" s="319"/>
      <c r="AL453" s="319" t="s">
        <v>5573</v>
      </c>
      <c r="AM453" s="319"/>
      <c r="AN453" s="319"/>
      <c r="AO453" s="319">
        <v>2122000</v>
      </c>
      <c r="AP453" s="319"/>
      <c r="AQ453" s="319"/>
      <c r="AR453" s="319"/>
      <c r="AS453" s="319"/>
      <c r="AT453" s="319"/>
      <c r="AU453" s="319"/>
      <c r="AV453" s="319"/>
      <c r="AW453" s="319"/>
      <c r="AX453" s="319"/>
      <c r="AY453" s="319"/>
      <c r="AZ453" s="319"/>
      <c r="BA453" s="319"/>
      <c r="BB453" s="319"/>
      <c r="BC453" s="319"/>
      <c r="BD453" s="319"/>
      <c r="BE453" s="319"/>
      <c r="BF453" s="319"/>
      <c r="BG453" s="319"/>
      <c r="BH453" s="319"/>
      <c r="BI453" s="319"/>
      <c r="BJ453" s="319"/>
      <c r="BK453" s="319"/>
      <c r="BL453" s="319"/>
      <c r="BM453" s="319"/>
      <c r="BN453" s="319"/>
      <c r="BO453" s="319"/>
      <c r="BP453" s="319"/>
      <c r="BQ453" s="319"/>
      <c r="BR453" s="319"/>
      <c r="BS453" s="319"/>
      <c r="BT453" s="319"/>
      <c r="BU453" s="319"/>
      <c r="BV453" s="319"/>
      <c r="BW453" s="319"/>
      <c r="BX453" s="319"/>
      <c r="BY453" s="319"/>
      <c r="BZ453" s="319"/>
      <c r="CA453" s="319"/>
      <c r="CB453" s="319"/>
      <c r="CC453" s="319"/>
      <c r="CD453" s="319"/>
      <c r="CE453" s="319"/>
      <c r="CF453" s="319"/>
    </row>
    <row r="454" spans="1:84" ht="38.25" customHeight="1">
      <c r="A454" s="12"/>
      <c r="B454" s="1"/>
      <c r="C454" s="333" t="str">
        <f>B230</f>
        <v>Mês</v>
      </c>
      <c r="D454" s="82" t="str">
        <f>Language!C1146</f>
        <v>Radiação solar diária - horizontal</v>
      </c>
      <c r="E454" s="82" t="str">
        <f>Language!C1578</f>
        <v>Radiação solar diária - inclinada</v>
      </c>
      <c r="F454" s="82" t="str">
        <f>B814</f>
        <v>Preço eletricidade exportada</v>
      </c>
      <c r="G454" s="82" t="str">
        <f>B95</f>
        <v>Eletricidade exportada p/ rede</v>
      </c>
      <c r="H454" s="1"/>
      <c r="I454" s="1"/>
      <c r="J454" s="1"/>
      <c r="K454" s="9"/>
      <c r="L454" s="1"/>
      <c r="M454" s="319"/>
      <c r="N454" s="605"/>
      <c r="O454" s="605" t="s">
        <v>6015</v>
      </c>
      <c r="P454" s="605" t="s">
        <v>3633</v>
      </c>
      <c r="Q454" s="605" t="s">
        <v>3791</v>
      </c>
      <c r="R454" s="605"/>
      <c r="S454" s="605" t="s">
        <v>1226</v>
      </c>
      <c r="T454" s="605" t="s">
        <v>2964</v>
      </c>
      <c r="U454" s="605" t="s">
        <v>1021</v>
      </c>
      <c r="V454" s="605" t="s">
        <v>2671</v>
      </c>
      <c r="W454" s="605" t="s">
        <v>2232</v>
      </c>
      <c r="X454" s="605" t="s">
        <v>3110</v>
      </c>
      <c r="Y454" s="605" t="s">
        <v>1197</v>
      </c>
      <c r="Z454" s="605" t="s">
        <v>3338</v>
      </c>
      <c r="AA454" s="605" t="s">
        <v>2411</v>
      </c>
      <c r="AB454" s="605" t="s">
        <v>3697</v>
      </c>
      <c r="AC454" s="605" t="s">
        <v>3381</v>
      </c>
      <c r="AD454" s="605" t="s">
        <v>1332</v>
      </c>
      <c r="AE454" s="605" t="s">
        <v>5607</v>
      </c>
      <c r="AF454" s="605" t="s">
        <v>2701</v>
      </c>
      <c r="AG454" s="605" t="s">
        <v>93</v>
      </c>
      <c r="AH454" s="605" t="s">
        <v>4168</v>
      </c>
      <c r="AI454" s="605" t="s">
        <v>965</v>
      </c>
      <c r="AJ454" s="605" t="s">
        <v>913</v>
      </c>
      <c r="AK454" s="605" t="s">
        <v>4621</v>
      </c>
      <c r="AL454" s="605" t="s">
        <v>3731</v>
      </c>
      <c r="AM454" s="605" t="s">
        <v>2573</v>
      </c>
      <c r="AN454" s="319"/>
      <c r="AO454" s="319">
        <v>2122000</v>
      </c>
      <c r="AP454" s="319"/>
      <c r="AQ454" s="319"/>
      <c r="AR454" s="319"/>
      <c r="AS454" s="319"/>
      <c r="AT454" s="319"/>
      <c r="AU454" s="319"/>
      <c r="AV454" s="319"/>
      <c r="AW454" s="319"/>
      <c r="AX454" s="319"/>
      <c r="AY454" s="319"/>
      <c r="AZ454" s="319"/>
      <c r="BA454" s="319"/>
      <c r="BB454" s="319"/>
      <c r="BC454" s="319"/>
      <c r="BD454" s="319"/>
      <c r="BE454" s="319"/>
      <c r="BF454" s="319"/>
      <c r="BG454" s="319"/>
      <c r="BH454" s="319"/>
      <c r="BI454" s="319"/>
      <c r="BJ454" s="319"/>
      <c r="BK454" s="319"/>
      <c r="BL454" s="319"/>
      <c r="BM454" s="319"/>
      <c r="BN454" s="319"/>
      <c r="BO454" s="319"/>
      <c r="BP454" s="319"/>
      <c r="BQ454" s="319"/>
      <c r="BR454" s="319"/>
      <c r="BS454" s="319"/>
      <c r="BT454" s="319"/>
      <c r="BU454" s="319"/>
      <c r="BV454" s="319"/>
      <c r="BW454" s="319"/>
      <c r="BX454" s="319"/>
      <c r="BY454" s="319"/>
      <c r="BZ454" s="319"/>
      <c r="CA454" s="319"/>
      <c r="CB454" s="319"/>
      <c r="CC454" s="319"/>
      <c r="CD454" s="319"/>
      <c r="CE454" s="319"/>
      <c r="CF454" s="319"/>
    </row>
    <row r="455" spans="1:84" ht="12.75" customHeight="1">
      <c r="A455" s="12"/>
      <c r="B455" s="1"/>
      <c r="C455" s="333"/>
      <c r="D455" s="82" t="str">
        <f>Language!C2221</f>
        <v>kWh/m²/d</v>
      </c>
      <c r="E455" s="82" t="str">
        <f>D455</f>
        <v>kWh/m²/d</v>
      </c>
      <c r="F455" s="82" t="str">
        <f>$O$1197</f>
        <v>€/MWh</v>
      </c>
      <c r="G455" s="82" t="str">
        <f>C500</f>
        <v>MWh</v>
      </c>
      <c r="H455" s="1"/>
      <c r="I455" s="1"/>
      <c r="J455" s="1"/>
      <c r="K455" s="9"/>
      <c r="L455" s="1"/>
      <c r="M455" s="319"/>
      <c r="N455" s="319"/>
      <c r="O455" s="605"/>
      <c r="P455" s="605"/>
      <c r="Q455" s="605"/>
      <c r="R455" s="605"/>
      <c r="S455" s="605"/>
      <c r="T455" s="605"/>
      <c r="U455" s="605"/>
      <c r="V455" s="605"/>
      <c r="W455" s="605"/>
      <c r="X455" s="605"/>
      <c r="Y455" s="605"/>
      <c r="Z455" s="605"/>
      <c r="AA455" s="605"/>
      <c r="AB455" s="605"/>
      <c r="AC455" s="605"/>
      <c r="AD455" s="605"/>
      <c r="AE455" s="605"/>
      <c r="AF455" s="605"/>
      <c r="AG455" s="605"/>
      <c r="AH455" s="605"/>
      <c r="AI455" s="605"/>
      <c r="AJ455" s="605"/>
      <c r="AK455" s="605"/>
      <c r="AL455" s="605"/>
      <c r="AM455" s="605"/>
      <c r="AN455" s="319"/>
      <c r="AO455" s="319">
        <v>2122000</v>
      </c>
      <c r="AP455" s="319"/>
      <c r="AQ455" s="319"/>
      <c r="AR455" s="319"/>
      <c r="AS455" s="319"/>
      <c r="AT455" s="319"/>
      <c r="AU455" s="319"/>
      <c r="AV455" s="319"/>
      <c r="AW455" s="319"/>
      <c r="AX455" s="319"/>
      <c r="AY455" s="319"/>
      <c r="AZ455" s="319"/>
      <c r="BA455" s="319"/>
      <c r="BB455" s="319"/>
      <c r="BC455" s="319"/>
      <c r="BD455" s="319"/>
      <c r="BE455" s="319"/>
      <c r="BF455" s="319"/>
      <c r="BG455" s="319"/>
      <c r="BH455" s="319"/>
      <c r="BI455" s="319"/>
      <c r="BJ455" s="319"/>
      <c r="BK455" s="319"/>
      <c r="BL455" s="319"/>
      <c r="BM455" s="319"/>
      <c r="BN455" s="319"/>
      <c r="BO455" s="319"/>
      <c r="BP455" s="319"/>
      <c r="BQ455" s="319"/>
      <c r="BR455" s="319"/>
      <c r="BS455" s="319"/>
      <c r="BT455" s="319"/>
      <c r="BU455" s="319"/>
      <c r="BV455" s="319"/>
      <c r="BW455" s="319"/>
      <c r="BX455" s="319"/>
      <c r="BY455" s="319"/>
      <c r="BZ455" s="319"/>
      <c r="CA455" s="319"/>
      <c r="CB455" s="319"/>
      <c r="CC455" s="319"/>
      <c r="CD455" s="319"/>
      <c r="CE455" s="319"/>
      <c r="CF455" s="319"/>
    </row>
    <row r="456" spans="1:84" ht="12.75" customHeight="1">
      <c r="A456" s="12"/>
      <c r="B456" s="1"/>
      <c r="C456" s="83" t="str">
        <f>B49</f>
        <v>Janeiro</v>
      </c>
      <c r="D456" s="829">
        <f>Y456/3.6</f>
        <v>1.98</v>
      </c>
      <c r="E456" s="100">
        <f t="shared" ref="E456:E467" si="42">AA456/3.6</f>
        <v>3.2076698140079567</v>
      </c>
      <c r="F456" s="395">
        <v>200</v>
      </c>
      <c r="G456" s="829" t="str">
        <f>FIXED(AN456,$O$469)</f>
        <v>0,302</v>
      </c>
      <c r="H456" s="1"/>
      <c r="I456" s="1"/>
      <c r="J456" s="1"/>
      <c r="K456" s="9"/>
      <c r="L456" s="1"/>
      <c r="M456" s="319"/>
      <c r="N456" s="319"/>
      <c r="O456" s="319">
        <f>IF(Offgrid=5,'Modelo Energético '!R230,1)</f>
        <v>1</v>
      </c>
      <c r="P456" s="319">
        <v>1</v>
      </c>
      <c r="Q456" s="319">
        <v>31</v>
      </c>
      <c r="R456" s="319"/>
      <c r="S456" s="476">
        <f>$Q456*Iniciar!AB58</f>
        <v>220.96800000000002</v>
      </c>
      <c r="T456" s="476">
        <f t="shared" ref="T456:T467" si="43">$Q456*AA456</f>
        <v>357.97595124328797</v>
      </c>
      <c r="U456" s="476">
        <f t="shared" ref="U456:V467" si="44">$O456*S456</f>
        <v>220.96800000000002</v>
      </c>
      <c r="V456" s="476">
        <f t="shared" si="44"/>
        <v>357.97595124328797</v>
      </c>
      <c r="W456" s="476">
        <f>O456*Iniciar!$O58</f>
        <v>10</v>
      </c>
      <c r="X456" s="476">
        <f>Iniciar!Y58</f>
        <v>-0.36506986644100387</v>
      </c>
      <c r="Y456" s="476">
        <f>Iniciar!AB58</f>
        <v>7.1280000000000001</v>
      </c>
      <c r="Z456" s="476">
        <f>Iniciar!AD58</f>
        <v>0.47242494719479017</v>
      </c>
      <c r="AA456" s="476">
        <f>GetMonthlyTrackingRadiation($Q$450,$N$449,$Q$448,$Q$449,Iniciar!X58,Y456*1000000,Iniciar!AE58) /1000000</f>
        <v>11.547611330428644</v>
      </c>
      <c r="AB456" s="476">
        <f>GetDailyDiffuseFraction(Z456)</f>
        <v>0.65311799533016723</v>
      </c>
      <c r="AC456" s="476">
        <f t="shared" ref="AC456:AC467" si="45">surfslopenoon($Q$450,X456,$N$449,$Q$448, $Q$449)</f>
        <v>0.6108652381980153</v>
      </c>
      <c r="AD456" s="476">
        <f t="shared" ref="AD456:AD467" si="46">cosIncidenceAnglenoon($Q$450,X456,$N$449,$Q$448, $Q$449)</f>
        <v>0.89789567422662486</v>
      </c>
      <c r="AE456" s="476">
        <f t="shared" ref="AE456:AE467" si="47">ABS($Q$450-X456)</f>
        <v>1.0666922257427243</v>
      </c>
      <c r="AF456" s="476">
        <f>1-0.000117*((AE456-AC456)*180/PI())^2</f>
        <v>0.92019479910837132</v>
      </c>
      <c r="AG456" s="476">
        <f t="shared" ref="AG456:AG467" si="48">(219+832*Z456)*AF456*($D$481-20)/800</f>
        <v>17.60038062021793</v>
      </c>
      <c r="AH456" s="476">
        <f>MAX($S$478*(1-$D$482*(AG456+Iniciar!O58-25)),0)</f>
        <v>0.19791969550382568</v>
      </c>
      <c r="AI456" s="476">
        <f>AH456*(1-$S$485)*IF(Gridtype&lt;=4,1,(1-0.25*$O$489))*(1-$O$490)</f>
        <v>0.16823174117825182</v>
      </c>
      <c r="AJ456" s="494">
        <f t="shared" ref="AJ456:AJ467" si="49">$D$483*AI456*E456</f>
        <v>10.23951488382569</v>
      </c>
      <c r="AK456" s="494">
        <f t="shared" ref="AK456:AK467" si="50">O456*AJ456*Q456</f>
        <v>317.42496139859639</v>
      </c>
      <c r="AL456" s="494">
        <f t="shared" ref="AL456:AL467" si="51">AJ456*$O$488</f>
        <v>9.7275391396344055</v>
      </c>
      <c r="AM456" s="494">
        <f t="shared" ref="AM456:AM467" si="52">AL456*O456*Q456</f>
        <v>301.55371332866656</v>
      </c>
      <c r="AN456" s="494">
        <f t="shared" ref="AN456:AN467" si="53">$O$495*AM456/$AM$468</f>
        <v>0.30155371332866643</v>
      </c>
      <c r="AO456" s="319">
        <v>2122000</v>
      </c>
      <c r="AP456" s="319"/>
      <c r="AQ456" s="319"/>
      <c r="AR456" s="319"/>
      <c r="AS456" s="319"/>
      <c r="AT456" s="319"/>
      <c r="AU456" s="319"/>
      <c r="AV456" s="319"/>
      <c r="AW456" s="319"/>
      <c r="AX456" s="319"/>
      <c r="AY456" s="319"/>
      <c r="AZ456" s="319"/>
      <c r="BA456" s="319"/>
      <c r="BB456" s="319"/>
      <c r="BC456" s="319"/>
      <c r="BD456" s="319"/>
      <c r="BE456" s="319"/>
      <c r="BF456" s="319"/>
      <c r="BG456" s="319"/>
      <c r="BH456" s="319"/>
      <c r="BI456" s="319"/>
      <c r="BJ456" s="319"/>
      <c r="BK456" s="319"/>
      <c r="BL456" s="319"/>
      <c r="BM456" s="319"/>
      <c r="BN456" s="319"/>
      <c r="BO456" s="319"/>
      <c r="BP456" s="319"/>
      <c r="BQ456" s="319"/>
      <c r="BR456" s="319"/>
      <c r="BS456" s="319"/>
      <c r="BT456" s="319"/>
      <c r="BU456" s="319"/>
      <c r="BV456" s="319"/>
      <c r="BW456" s="319"/>
      <c r="BX456" s="319"/>
      <c r="BY456" s="319"/>
      <c r="BZ456" s="319"/>
      <c r="CA456" s="319"/>
      <c r="CB456" s="319"/>
      <c r="CC456" s="319"/>
      <c r="CD456" s="319"/>
      <c r="CE456" s="319"/>
      <c r="CF456" s="319"/>
    </row>
    <row r="457" spans="1:84" ht="12.75" customHeight="1">
      <c r="A457" s="12"/>
      <c r="B457" s="1"/>
      <c r="C457" s="83" t="str">
        <f t="shared" ref="C457:C467" si="54">B50</f>
        <v>Fevereiro</v>
      </c>
      <c r="D457" s="829">
        <f t="shared" ref="D457:D467" si="55">Y457/3.6</f>
        <v>2.9</v>
      </c>
      <c r="E457" s="100">
        <f t="shared" si="42"/>
        <v>4.0883522542219382</v>
      </c>
      <c r="F457" s="395">
        <v>200</v>
      </c>
      <c r="G457" s="829" t="str">
        <f t="shared" ref="G457:G467" si="56">FIXED(AN457,$O$469)</f>
        <v>0,343</v>
      </c>
      <c r="H457" s="1"/>
      <c r="I457" s="1"/>
      <c r="J457" s="1"/>
      <c r="K457" s="9"/>
      <c r="L457" s="1"/>
      <c r="M457" s="319"/>
      <c r="N457" s="319"/>
      <c r="O457" s="319">
        <f>IF(Offgrid=5,'Modelo Energético '!R231,1)</f>
        <v>1</v>
      </c>
      <c r="P457" s="319">
        <v>2</v>
      </c>
      <c r="Q457" s="319">
        <v>28</v>
      </c>
      <c r="R457" s="319"/>
      <c r="S457" s="476">
        <f>$Q457*Iniciar!AB59</f>
        <v>292.32</v>
      </c>
      <c r="T457" s="476">
        <f t="shared" si="43"/>
        <v>412.10590722557134</v>
      </c>
      <c r="U457" s="476">
        <f t="shared" si="44"/>
        <v>292.32</v>
      </c>
      <c r="V457" s="476">
        <f t="shared" si="44"/>
        <v>412.10590722557134</v>
      </c>
      <c r="W457" s="476">
        <f>O457*Iniciar!$O59</f>
        <v>11</v>
      </c>
      <c r="X457" s="476">
        <f>Iniciar!Y59</f>
        <v>-0.22610056454186617</v>
      </c>
      <c r="Y457" s="476">
        <f>Iniciar!AB59</f>
        <v>10.44</v>
      </c>
      <c r="Z457" s="476">
        <f>Iniciar!AD59</f>
        <v>0.51115332408911873</v>
      </c>
      <c r="AA457" s="476">
        <f>GetMonthlyTrackingRadiation($Q$450,$N$449,$Q$448,$Q$449,Iniciar!X59,Y457*1000000,Iniciar!AE59) /1000000</f>
        <v>14.718068115198976</v>
      </c>
      <c r="AB457" s="476">
        <f t="shared" ref="AB457:AB467" si="57">GetDailyDiffuseFraction(Z457)</f>
        <v>0.58156874924269886</v>
      </c>
      <c r="AC457" s="476">
        <f t="shared" si="45"/>
        <v>0.6108652381980153</v>
      </c>
      <c r="AD457" s="476">
        <f t="shared" si="46"/>
        <v>0.950218052525168</v>
      </c>
      <c r="AE457" s="476">
        <f t="shared" si="47"/>
        <v>0.92772292384358668</v>
      </c>
      <c r="AF457" s="476">
        <f t="shared" ref="AF457:AF467" si="58">1-0.000117*((AE457-AC457)*180/PI())^2</f>
        <v>0.96143799398049179</v>
      </c>
      <c r="AG457" s="476">
        <f t="shared" si="48"/>
        <v>19.357339161050255</v>
      </c>
      <c r="AH457" s="476">
        <f>MAX($S$478*(1-$D$482*(AG457+Iniciar!O59-25)),0)</f>
        <v>0.19571412867115981</v>
      </c>
      <c r="AI457" s="476">
        <f>AH457*(1-$S$485)*IF(Gridtype&lt;=4,1,(1-0.25*$O$489))*(1-$O$490)</f>
        <v>0.16635700937048584</v>
      </c>
      <c r="AJ457" s="494">
        <f t="shared" si="49"/>
        <v>12.905391879686833</v>
      </c>
      <c r="AK457" s="494">
        <f t="shared" si="50"/>
        <v>361.35097263123134</v>
      </c>
      <c r="AL457" s="494">
        <f t="shared" si="51"/>
        <v>12.260122285702492</v>
      </c>
      <c r="AM457" s="494">
        <f t="shared" si="52"/>
        <v>343.28342399966976</v>
      </c>
      <c r="AN457" s="494">
        <f t="shared" si="53"/>
        <v>0.34328342399966966</v>
      </c>
      <c r="AO457" s="319">
        <v>2122000</v>
      </c>
      <c r="AP457" s="319"/>
      <c r="AQ457" s="319"/>
      <c r="AR457" s="319"/>
      <c r="AS457" s="319"/>
      <c r="AT457" s="319"/>
      <c r="AU457" s="319"/>
      <c r="AV457" s="319"/>
      <c r="AW457" s="319"/>
      <c r="AX457" s="319"/>
      <c r="AY457" s="319"/>
      <c r="AZ457" s="319"/>
      <c r="BA457" s="319"/>
      <c r="BB457" s="319"/>
      <c r="BC457" s="319"/>
      <c r="BD457" s="319"/>
      <c r="BE457" s="319"/>
      <c r="BF457" s="319"/>
      <c r="BG457" s="319"/>
      <c r="BH457" s="319"/>
      <c r="BI457" s="319"/>
      <c r="BJ457" s="319"/>
      <c r="BK457" s="319"/>
      <c r="BL457" s="319"/>
      <c r="BM457" s="319"/>
      <c r="BN457" s="319"/>
      <c r="BO457" s="319"/>
      <c r="BP457" s="319"/>
      <c r="BQ457" s="319"/>
      <c r="BR457" s="319"/>
      <c r="BS457" s="319"/>
      <c r="BT457" s="319"/>
      <c r="BU457" s="319"/>
      <c r="BV457" s="319"/>
      <c r="BW457" s="319"/>
      <c r="BX457" s="319"/>
      <c r="BY457" s="319"/>
      <c r="BZ457" s="319"/>
      <c r="CA457" s="319"/>
      <c r="CB457" s="319"/>
      <c r="CC457" s="319"/>
      <c r="CD457" s="319"/>
      <c r="CE457" s="319"/>
      <c r="CF457" s="319"/>
    </row>
    <row r="458" spans="1:84" ht="12.75" customHeight="1">
      <c r="A458" s="12"/>
      <c r="B458" s="1"/>
      <c r="C458" s="83" t="str">
        <f t="shared" si="54"/>
        <v>Março</v>
      </c>
      <c r="D458" s="829">
        <f t="shared" si="55"/>
        <v>4.38</v>
      </c>
      <c r="E458" s="100">
        <f t="shared" si="42"/>
        <v>5.3435081223210839</v>
      </c>
      <c r="F458" s="395">
        <v>200</v>
      </c>
      <c r="G458" s="829" t="str">
        <f t="shared" si="56"/>
        <v>0,489</v>
      </c>
      <c r="H458" s="1"/>
      <c r="I458" s="1"/>
      <c r="J458" s="1"/>
      <c r="K458" s="9"/>
      <c r="L458" s="1"/>
      <c r="M458" s="319"/>
      <c r="N458" s="319"/>
      <c r="O458" s="319">
        <f>IF(Offgrid=5,'Modelo Energético '!R232,1)</f>
        <v>1</v>
      </c>
      <c r="P458" s="319">
        <v>3</v>
      </c>
      <c r="Q458" s="319">
        <v>31</v>
      </c>
      <c r="R458" s="319"/>
      <c r="S458" s="476">
        <f>$Q458*Iniciar!AB60</f>
        <v>488.80799999999999</v>
      </c>
      <c r="T458" s="476">
        <f t="shared" si="43"/>
        <v>596.33550645103298</v>
      </c>
      <c r="U458" s="476">
        <f t="shared" si="44"/>
        <v>488.80799999999999</v>
      </c>
      <c r="V458" s="476">
        <f t="shared" si="44"/>
        <v>596.33550645103298</v>
      </c>
      <c r="W458" s="476">
        <f>O458*Iniciar!$O60</f>
        <v>12.5</v>
      </c>
      <c r="X458" s="476">
        <f>Iniciar!Y60</f>
        <v>-4.2197432789634538E-2</v>
      </c>
      <c r="Y458" s="476">
        <f>Iniciar!AB60</f>
        <v>15.768000000000001</v>
      </c>
      <c r="Z458" s="476">
        <f>Iniciar!AD60</f>
        <v>0.57659584911759465</v>
      </c>
      <c r="AA458" s="476">
        <f>GetMonthlyTrackingRadiation($Q$450,$N$449,$Q$448,$Q$449,Iniciar!X60,Y458*1000000,Iniciar!AE60) /1000000</f>
        <v>19.236629240355903</v>
      </c>
      <c r="AB458" s="476">
        <f t="shared" si="57"/>
        <v>0.45501206661262189</v>
      </c>
      <c r="AC458" s="476">
        <f t="shared" si="45"/>
        <v>0.6108652381980153</v>
      </c>
      <c r="AD458" s="476">
        <f t="shared" si="46"/>
        <v>0.99117406841129874</v>
      </c>
      <c r="AE458" s="476">
        <f t="shared" si="47"/>
        <v>0.74381979209135496</v>
      </c>
      <c r="AF458" s="476">
        <f t="shared" si="58"/>
        <v>0.99321050362332386</v>
      </c>
      <c r="AG458" s="476">
        <f t="shared" si="48"/>
        <v>21.686991780091429</v>
      </c>
      <c r="AH458" s="476">
        <f>MAX($S$478*(1-$D$482*(AG458+Iniciar!O60-25)),0)</f>
        <v>0.19265040657592686</v>
      </c>
      <c r="AI458" s="476">
        <f>AH458*(1-$S$485)*IF(Gridtype&lt;=4,1,(1-0.25*$O$489))*(1-$O$490)</f>
        <v>0.16375284558953782</v>
      </c>
      <c r="AJ458" s="494">
        <f t="shared" si="49"/>
        <v>16.603403182245302</v>
      </c>
      <c r="AK458" s="494">
        <f t="shared" si="50"/>
        <v>514.70549864960435</v>
      </c>
      <c r="AL458" s="494">
        <f t="shared" si="51"/>
        <v>15.773233023133036</v>
      </c>
      <c r="AM458" s="494">
        <f t="shared" si="52"/>
        <v>488.9702237171241</v>
      </c>
      <c r="AN458" s="494">
        <f t="shared" si="53"/>
        <v>0.4889702237171239</v>
      </c>
      <c r="AO458" s="319">
        <v>2122000</v>
      </c>
      <c r="AP458" s="319"/>
      <c r="AQ458" s="319"/>
      <c r="AR458" s="319"/>
      <c r="AS458" s="319"/>
      <c r="AT458" s="319"/>
      <c r="AU458" s="319"/>
      <c r="AV458" s="319"/>
      <c r="AW458" s="319"/>
      <c r="AX458" s="319"/>
      <c r="AY458" s="319"/>
      <c r="AZ458" s="319"/>
      <c r="BA458" s="319"/>
      <c r="BB458" s="319"/>
      <c r="BC458" s="319"/>
      <c r="BD458" s="319"/>
      <c r="BE458" s="319"/>
      <c r="BF458" s="319"/>
      <c r="BG458" s="319"/>
      <c r="BH458" s="319"/>
      <c r="BI458" s="319"/>
      <c r="BJ458" s="319"/>
      <c r="BK458" s="319"/>
      <c r="BL458" s="319"/>
      <c r="BM458" s="319"/>
      <c r="BN458" s="319"/>
      <c r="BO458" s="319"/>
      <c r="BP458" s="319"/>
      <c r="BQ458" s="319"/>
      <c r="BR458" s="319"/>
      <c r="BS458" s="319"/>
      <c r="BT458" s="319"/>
      <c r="BU458" s="319"/>
      <c r="BV458" s="319"/>
      <c r="BW458" s="319"/>
      <c r="BX458" s="319"/>
      <c r="BY458" s="319"/>
      <c r="BZ458" s="319"/>
      <c r="CA458" s="319"/>
      <c r="CB458" s="319"/>
      <c r="CC458" s="319"/>
      <c r="CD458" s="319"/>
      <c r="CE458" s="319"/>
      <c r="CF458" s="319"/>
    </row>
    <row r="459" spans="1:84" ht="12.75" customHeight="1">
      <c r="A459" s="12"/>
      <c r="B459" s="1"/>
      <c r="C459" s="83" t="str">
        <f t="shared" si="54"/>
        <v>Abril</v>
      </c>
      <c r="D459" s="829">
        <f t="shared" si="55"/>
        <v>5.45</v>
      </c>
      <c r="E459" s="100">
        <f t="shared" si="42"/>
        <v>5.739806998471539</v>
      </c>
      <c r="F459" s="395">
        <v>200</v>
      </c>
      <c r="G459" s="829" t="str">
        <f t="shared" si="56"/>
        <v>0,505</v>
      </c>
      <c r="H459" s="1"/>
      <c r="I459" s="1"/>
      <c r="J459" s="1"/>
      <c r="K459" s="9"/>
      <c r="L459" s="1"/>
      <c r="M459" s="319"/>
      <c r="N459" s="319"/>
      <c r="O459" s="319">
        <f>IF(Offgrid=5,'Modelo Energético '!R233,1)</f>
        <v>1</v>
      </c>
      <c r="P459" s="319">
        <v>4</v>
      </c>
      <c r="Q459" s="319">
        <v>30</v>
      </c>
      <c r="R459" s="319"/>
      <c r="S459" s="476">
        <f>$Q459*Iniciar!AB61</f>
        <v>588.6</v>
      </c>
      <c r="T459" s="476">
        <f t="shared" si="43"/>
        <v>619.8991558349262</v>
      </c>
      <c r="U459" s="476">
        <f t="shared" si="44"/>
        <v>588.6</v>
      </c>
      <c r="V459" s="476">
        <f t="shared" si="44"/>
        <v>619.8991558349262</v>
      </c>
      <c r="W459" s="476">
        <f>O459*Iniciar!$O61</f>
        <v>14</v>
      </c>
      <c r="X459" s="476">
        <f>Iniciar!Y61</f>
        <v>0.16432088762734182</v>
      </c>
      <c r="Y459" s="476">
        <f>Iniciar!AB61</f>
        <v>19.62</v>
      </c>
      <c r="Z459" s="476">
        <f>Iniciar!AD61</f>
        <v>0.56750294049264416</v>
      </c>
      <c r="AA459" s="476">
        <f>GetMonthlyTrackingRadiation($Q$450,$N$449,$Q$448,$Q$449,Iniciar!X61,Y459*1000000,Iniciar!AE61) /1000000</f>
        <v>20.663305194497539</v>
      </c>
      <c r="AB459" s="476">
        <f t="shared" si="57"/>
        <v>0.47256831661998333</v>
      </c>
      <c r="AC459" s="476">
        <f t="shared" si="45"/>
        <v>0.6108652381980153</v>
      </c>
      <c r="AD459" s="476">
        <f t="shared" si="46"/>
        <v>0.99729567610987579</v>
      </c>
      <c r="AE459" s="476">
        <f t="shared" si="47"/>
        <v>0.53730147167437869</v>
      </c>
      <c r="AF459" s="476">
        <f t="shared" si="58"/>
        <v>0.99792145686669786</v>
      </c>
      <c r="AG459" s="476">
        <f t="shared" si="48"/>
        <v>21.553932360397877</v>
      </c>
      <c r="AH459" s="476">
        <f>MAX($S$478*(1-$D$482*(AG459+Iniciar!O61-25)),0)</f>
        <v>0.19155685411168172</v>
      </c>
      <c r="AI459" s="476">
        <f>AH459*(1-$S$485)*IF(Gridtype&lt;=4,1,(1-0.25*$O$489))*(1-$O$490)</f>
        <v>0.16282332599492946</v>
      </c>
      <c r="AJ459" s="494">
        <f t="shared" si="49"/>
        <v>17.733550493490565</v>
      </c>
      <c r="AK459" s="494">
        <f t="shared" si="50"/>
        <v>532.00651480471697</v>
      </c>
      <c r="AL459" s="494">
        <f t="shared" si="51"/>
        <v>16.846872968816037</v>
      </c>
      <c r="AM459" s="494">
        <f t="shared" si="52"/>
        <v>505.40618906448111</v>
      </c>
      <c r="AN459" s="494">
        <f t="shared" si="53"/>
        <v>0.50540618906448087</v>
      </c>
      <c r="AO459" s="319">
        <v>2122000</v>
      </c>
      <c r="AP459" s="319"/>
      <c r="AQ459" s="319"/>
      <c r="AR459" s="319"/>
      <c r="AS459" s="319"/>
      <c r="AT459" s="319"/>
      <c r="AU459" s="319"/>
      <c r="AV459" s="319"/>
      <c r="AW459" s="319"/>
      <c r="AX459" s="319"/>
      <c r="AY459" s="319"/>
      <c r="AZ459" s="319"/>
      <c r="BA459" s="319"/>
      <c r="BB459" s="319"/>
      <c r="BC459" s="319"/>
      <c r="BD459" s="319"/>
      <c r="BE459" s="319"/>
      <c r="BF459" s="319"/>
      <c r="BG459" s="319"/>
      <c r="BH459" s="319"/>
      <c r="BI459" s="319"/>
      <c r="BJ459" s="319"/>
      <c r="BK459" s="319"/>
      <c r="BL459" s="319"/>
      <c r="BM459" s="319"/>
      <c r="BN459" s="319"/>
      <c r="BO459" s="319"/>
      <c r="BP459" s="319"/>
      <c r="BQ459" s="319"/>
      <c r="BR459" s="319"/>
      <c r="BS459" s="319"/>
      <c r="BT459" s="319"/>
      <c r="BU459" s="319"/>
      <c r="BV459" s="319"/>
      <c r="BW459" s="319"/>
      <c r="BX459" s="319"/>
      <c r="BY459" s="319"/>
      <c r="BZ459" s="319"/>
      <c r="CA459" s="319"/>
      <c r="CB459" s="319"/>
      <c r="CC459" s="319"/>
      <c r="CD459" s="319"/>
      <c r="CE459" s="319"/>
      <c r="CF459" s="319"/>
    </row>
    <row r="460" spans="1:84" ht="12.75" customHeight="1">
      <c r="A460" s="12"/>
      <c r="B460" s="1"/>
      <c r="C460" s="83" t="str">
        <f t="shared" si="54"/>
        <v>Maio</v>
      </c>
      <c r="D460" s="829">
        <f t="shared" si="55"/>
        <v>6.07</v>
      </c>
      <c r="E460" s="100">
        <f t="shared" si="42"/>
        <v>5.7661879806365519</v>
      </c>
      <c r="F460" s="395">
        <v>200</v>
      </c>
      <c r="G460" s="829" t="str">
        <f t="shared" si="56"/>
        <v>0,521</v>
      </c>
      <c r="H460" s="1"/>
      <c r="I460" s="1"/>
      <c r="J460" s="1"/>
      <c r="K460" s="9"/>
      <c r="L460" s="1"/>
      <c r="M460" s="319"/>
      <c r="N460" s="319"/>
      <c r="O460" s="319">
        <f>IF(Offgrid=5,'Modelo Energético '!R234,1)</f>
        <v>1</v>
      </c>
      <c r="P460" s="319">
        <v>5</v>
      </c>
      <c r="Q460" s="319">
        <v>31</v>
      </c>
      <c r="R460" s="319"/>
      <c r="S460" s="476">
        <f>$Q460*Iniciar!AB62</f>
        <v>677.41200000000003</v>
      </c>
      <c r="T460" s="476">
        <f t="shared" si="43"/>
        <v>643.50657863903916</v>
      </c>
      <c r="U460" s="476">
        <f t="shared" si="44"/>
        <v>677.41200000000003</v>
      </c>
      <c r="V460" s="476">
        <f t="shared" si="44"/>
        <v>643.50657863903916</v>
      </c>
      <c r="W460" s="476">
        <f>O460*Iniciar!$O62</f>
        <v>16.399999999999999</v>
      </c>
      <c r="X460" s="476">
        <f>Iniciar!Y62</f>
        <v>0.32798083344713558</v>
      </c>
      <c r="Y460" s="476">
        <f>Iniciar!AB62</f>
        <v>21.852</v>
      </c>
      <c r="Z460" s="476">
        <f>Iniciar!AD62</f>
        <v>0.55072276861453895</v>
      </c>
      <c r="AA460" s="476">
        <f>GetMonthlyTrackingRadiation($Q$450,$N$449,$Q$448,$Q$449,Iniciar!X62,Y460*1000000,Iniciar!AE62) /1000000</f>
        <v>20.758276730291588</v>
      </c>
      <c r="AB460" s="476">
        <f t="shared" si="57"/>
        <v>0.50517020255737521</v>
      </c>
      <c r="AC460" s="476">
        <f t="shared" si="45"/>
        <v>0.6108652381980153</v>
      </c>
      <c r="AD460" s="476">
        <f t="shared" si="46"/>
        <v>0.9719950246629786</v>
      </c>
      <c r="AE460" s="476">
        <f t="shared" si="47"/>
        <v>0.37364152585458488</v>
      </c>
      <c r="AF460" s="476">
        <f t="shared" si="58"/>
        <v>0.97838539404845581</v>
      </c>
      <c r="AG460" s="476">
        <f t="shared" si="48"/>
        <v>20.705121978061314</v>
      </c>
      <c r="AH460" s="476">
        <f>MAX($S$478*(1-$D$482*(AG460+Iniciar!O62-25)),0)</f>
        <v>0.19031590241755095</v>
      </c>
      <c r="AI460" s="476">
        <f t="shared" ref="AI460:AI467" si="59">AH460*(1-$S$485)*IF(Gridtype&lt;=4,1,(1-0.25*$O$489))*(1-$O$490)</f>
        <v>0.16176851705491829</v>
      </c>
      <c r="AJ460" s="494">
        <f t="shared" si="49"/>
        <v>17.699646203094723</v>
      </c>
      <c r="AK460" s="494">
        <f t="shared" si="50"/>
        <v>548.68903229593639</v>
      </c>
      <c r="AL460" s="494">
        <f t="shared" si="51"/>
        <v>16.814663892939986</v>
      </c>
      <c r="AM460" s="494">
        <f t="shared" si="52"/>
        <v>521.2545806811396</v>
      </c>
      <c r="AN460" s="494">
        <f t="shared" si="53"/>
        <v>0.52125458068113939</v>
      </c>
      <c r="AO460" s="319">
        <v>2122000</v>
      </c>
      <c r="AP460" s="319"/>
      <c r="AQ460" s="319"/>
      <c r="AR460" s="319"/>
      <c r="AS460" s="319"/>
      <c r="AT460" s="319"/>
      <c r="AU460" s="319"/>
      <c r="AV460" s="319"/>
      <c r="AW460" s="319"/>
      <c r="AX460" s="319"/>
      <c r="AY460" s="319"/>
      <c r="AZ460" s="319"/>
      <c r="BA460" s="319"/>
      <c r="BB460" s="319"/>
      <c r="BC460" s="319"/>
      <c r="BD460" s="319"/>
      <c r="BE460" s="319"/>
      <c r="BF460" s="319"/>
      <c r="BG460" s="319"/>
      <c r="BH460" s="319"/>
      <c r="BI460" s="319"/>
      <c r="BJ460" s="319"/>
      <c r="BK460" s="319"/>
      <c r="BL460" s="319"/>
      <c r="BM460" s="319"/>
      <c r="BN460" s="319"/>
      <c r="BO460" s="319"/>
      <c r="BP460" s="319"/>
      <c r="BQ460" s="319"/>
      <c r="BR460" s="319"/>
      <c r="BS460" s="319"/>
      <c r="BT460" s="319"/>
      <c r="BU460" s="319"/>
      <c r="BV460" s="319"/>
      <c r="BW460" s="319"/>
      <c r="BX460" s="319"/>
      <c r="BY460" s="319"/>
      <c r="BZ460" s="319"/>
      <c r="CA460" s="319"/>
      <c r="CB460" s="319"/>
      <c r="CC460" s="319"/>
      <c r="CD460" s="319"/>
      <c r="CE460" s="319"/>
      <c r="CF460" s="319"/>
    </row>
    <row r="461" spans="1:84" ht="12.75" customHeight="1">
      <c r="A461" s="12"/>
      <c r="B461" s="1"/>
      <c r="C461" s="83" t="str">
        <f t="shared" si="54"/>
        <v>Junho</v>
      </c>
      <c r="D461" s="829">
        <f t="shared" si="55"/>
        <v>6.42</v>
      </c>
      <c r="E461" s="100">
        <f t="shared" si="42"/>
        <v>5.8442376005221037</v>
      </c>
      <c r="F461" s="395">
        <v>200</v>
      </c>
      <c r="G461" s="829" t="str">
        <f t="shared" si="56"/>
        <v>0,505</v>
      </c>
      <c r="H461" s="1"/>
      <c r="I461" s="1"/>
      <c r="J461" s="1"/>
      <c r="K461" s="9"/>
      <c r="L461" s="1"/>
      <c r="M461" s="319"/>
      <c r="N461" s="319"/>
      <c r="O461" s="319">
        <f>IF(Offgrid=5,'Modelo Energético '!R235,1)</f>
        <v>1</v>
      </c>
      <c r="P461" s="319">
        <v>6</v>
      </c>
      <c r="Q461" s="319">
        <v>30</v>
      </c>
      <c r="R461" s="319"/>
      <c r="S461" s="476">
        <f>$Q461*Iniciar!AB63</f>
        <v>693.36</v>
      </c>
      <c r="T461" s="476">
        <f t="shared" si="43"/>
        <v>631.17766085638721</v>
      </c>
      <c r="U461" s="476">
        <f t="shared" si="44"/>
        <v>693.36</v>
      </c>
      <c r="V461" s="476">
        <f t="shared" si="44"/>
        <v>631.17766085638721</v>
      </c>
      <c r="W461" s="476">
        <f>O461*Iniciar!$O63</f>
        <v>19.600000000000001</v>
      </c>
      <c r="X461" s="476">
        <f>Iniciar!Y63</f>
        <v>0.40292515782194682</v>
      </c>
      <c r="Y461" s="476">
        <f>Iniciar!AB63</f>
        <v>23.112000000000002</v>
      </c>
      <c r="Z461" s="476">
        <f>Iniciar!AD63</f>
        <v>0.55344660644068344</v>
      </c>
      <c r="AA461" s="476">
        <f>GetMonthlyTrackingRadiation($Q$450,$N$449,$Q$448,$Q$449,Iniciar!X63,Y461*1000000,Iniciar!AE63) /1000000</f>
        <v>21.039255361879572</v>
      </c>
      <c r="AB461" s="476">
        <f t="shared" si="57"/>
        <v>0.49986998448828346</v>
      </c>
      <c r="AC461" s="476">
        <f t="shared" si="45"/>
        <v>0.6108652381980153</v>
      </c>
      <c r="AD461" s="476">
        <f t="shared" si="46"/>
        <v>0.9516710820312495</v>
      </c>
      <c r="AE461" s="476">
        <f t="shared" si="47"/>
        <v>0.29869720147977363</v>
      </c>
      <c r="AF461" s="476">
        <f t="shared" si="58"/>
        <v>0.96257101994902228</v>
      </c>
      <c r="AG461" s="476">
        <f t="shared" si="48"/>
        <v>20.438618693448397</v>
      </c>
      <c r="AH461" s="476">
        <f>MAX($S$478*(1-$D$482*(AG461+Iniciar!O63-25)),0)</f>
        <v>0.18796910504524128</v>
      </c>
      <c r="AI461" s="476">
        <f t="shared" si="59"/>
        <v>0.15977373928845509</v>
      </c>
      <c r="AJ461" s="494">
        <f t="shared" si="49"/>
        <v>17.71801430741835</v>
      </c>
      <c r="AK461" s="494">
        <f t="shared" si="50"/>
        <v>531.54042922255053</v>
      </c>
      <c r="AL461" s="494">
        <f t="shared" si="51"/>
        <v>16.832113592047431</v>
      </c>
      <c r="AM461" s="494">
        <f t="shared" si="52"/>
        <v>504.96340776142296</v>
      </c>
      <c r="AN461" s="494">
        <f t="shared" si="53"/>
        <v>0.50496340776142279</v>
      </c>
      <c r="AO461" s="319">
        <v>2122000</v>
      </c>
      <c r="AP461" s="319"/>
      <c r="AQ461" s="319"/>
      <c r="AR461" s="319"/>
      <c r="AS461" s="319"/>
      <c r="AT461" s="319"/>
      <c r="AU461" s="319"/>
      <c r="AV461" s="319"/>
      <c r="AW461" s="319"/>
      <c r="AX461" s="319"/>
      <c r="AY461" s="319"/>
      <c r="AZ461" s="319"/>
      <c r="BA461" s="319"/>
      <c r="BB461" s="319"/>
      <c r="BC461" s="319"/>
      <c r="BD461" s="319"/>
      <c r="BE461" s="319"/>
      <c r="BF461" s="319"/>
      <c r="BG461" s="319"/>
      <c r="BH461" s="319"/>
      <c r="BI461" s="319"/>
      <c r="BJ461" s="319"/>
      <c r="BK461" s="319"/>
      <c r="BL461" s="319"/>
      <c r="BM461" s="319"/>
      <c r="BN461" s="319"/>
      <c r="BO461" s="319"/>
      <c r="BP461" s="319"/>
      <c r="BQ461" s="319"/>
      <c r="BR461" s="319"/>
      <c r="BS461" s="319"/>
      <c r="BT461" s="319"/>
      <c r="BU461" s="319"/>
      <c r="BV461" s="319"/>
      <c r="BW461" s="319"/>
      <c r="BX461" s="319"/>
      <c r="BY461" s="319"/>
      <c r="BZ461" s="319"/>
      <c r="CA461" s="319"/>
      <c r="CB461" s="319"/>
      <c r="CC461" s="319"/>
      <c r="CD461" s="319"/>
      <c r="CE461" s="319"/>
      <c r="CF461" s="319"/>
    </row>
    <row r="462" spans="1:84" ht="12.75" customHeight="1">
      <c r="A462" s="12"/>
      <c r="B462" s="1"/>
      <c r="C462" s="83" t="str">
        <f t="shared" si="54"/>
        <v>Julho</v>
      </c>
      <c r="D462" s="829">
        <f t="shared" si="55"/>
        <v>6.81</v>
      </c>
      <c r="E462" s="100">
        <f t="shared" si="42"/>
        <v>6.3070997560649245</v>
      </c>
      <c r="F462" s="395">
        <v>200</v>
      </c>
      <c r="G462" s="829" t="str">
        <f t="shared" si="56"/>
        <v>0,554</v>
      </c>
      <c r="H462" s="1"/>
      <c r="I462" s="1"/>
      <c r="J462" s="1"/>
      <c r="K462" s="9"/>
      <c r="L462" s="1"/>
      <c r="M462" s="319"/>
      <c r="N462" s="319"/>
      <c r="O462" s="319">
        <f>IF(Offgrid=5,'Modelo Energético '!R236,1)</f>
        <v>1</v>
      </c>
      <c r="P462" s="319">
        <v>7</v>
      </c>
      <c r="Q462" s="319">
        <v>31</v>
      </c>
      <c r="R462" s="319"/>
      <c r="S462" s="476">
        <f>$Q462*Iniciar!AB64</f>
        <v>759.99599999999998</v>
      </c>
      <c r="T462" s="476">
        <f t="shared" si="43"/>
        <v>703.87233277684561</v>
      </c>
      <c r="U462" s="476">
        <f t="shared" si="44"/>
        <v>759.99599999999998</v>
      </c>
      <c r="V462" s="476">
        <f t="shared" si="44"/>
        <v>703.87233277684561</v>
      </c>
      <c r="W462" s="476">
        <f>O462*Iniciar!$O64</f>
        <v>21.799999999999997</v>
      </c>
      <c r="X462" s="476">
        <f>Iniciar!Y64</f>
        <v>0.36972520043422891</v>
      </c>
      <c r="Y462" s="476">
        <f>Iniciar!AB64</f>
        <v>24.515999999999998</v>
      </c>
      <c r="Z462" s="476">
        <f>Iniciar!AD64</f>
        <v>0.60293729769578608</v>
      </c>
      <c r="AA462" s="476">
        <f>GetMonthlyTrackingRadiation($Q$450,$N$449,$Q$448,$Q$449,Iniciar!X64,Y462*1000000,Iniciar!AE64) /1000000</f>
        <v>22.70555912183373</v>
      </c>
      <c r="AB462" s="476">
        <f t="shared" si="57"/>
        <v>0.40516489874217149</v>
      </c>
      <c r="AC462" s="476">
        <f t="shared" si="45"/>
        <v>0.6108652381980153</v>
      </c>
      <c r="AD462" s="476">
        <f t="shared" si="46"/>
        <v>0.96134111513232279</v>
      </c>
      <c r="AE462" s="476">
        <f t="shared" si="47"/>
        <v>0.33189715886749155</v>
      </c>
      <c r="AF462" s="476">
        <f t="shared" si="58"/>
        <v>0.97010902018419443</v>
      </c>
      <c r="AG462" s="476">
        <f t="shared" si="48"/>
        <v>21.846971295489869</v>
      </c>
      <c r="AH462" s="476">
        <f>MAX($S$478*(1-$D$482*(AG462+Iniciar!O64-25)),0)</f>
        <v>0.18508242296360811</v>
      </c>
      <c r="AI462" s="476">
        <f t="shared" si="59"/>
        <v>0.15732005951906688</v>
      </c>
      <c r="AJ462" s="494">
        <f t="shared" si="49"/>
        <v>18.827627038594272</v>
      </c>
      <c r="AK462" s="494">
        <f t="shared" si="50"/>
        <v>583.65643819642241</v>
      </c>
      <c r="AL462" s="494">
        <f t="shared" si="51"/>
        <v>17.886245686664559</v>
      </c>
      <c r="AM462" s="494">
        <f t="shared" si="52"/>
        <v>554.47361628660133</v>
      </c>
      <c r="AN462" s="494">
        <f t="shared" si="53"/>
        <v>0.55447361628660108</v>
      </c>
      <c r="AO462" s="319">
        <v>2122000</v>
      </c>
      <c r="AP462" s="319"/>
      <c r="AQ462" s="319"/>
      <c r="AR462" s="319"/>
      <c r="AS462" s="319"/>
      <c r="AT462" s="319"/>
      <c r="AU462" s="319"/>
      <c r="AV462" s="319"/>
      <c r="AW462" s="319"/>
      <c r="AX462" s="319"/>
      <c r="AY462" s="319"/>
      <c r="AZ462" s="319"/>
      <c r="BA462" s="319"/>
      <c r="BB462" s="319"/>
      <c r="BC462" s="319"/>
      <c r="BD462" s="319"/>
      <c r="BE462" s="319"/>
      <c r="BF462" s="319"/>
      <c r="BG462" s="319"/>
      <c r="BH462" s="319"/>
      <c r="BI462" s="319"/>
      <c r="BJ462" s="319"/>
      <c r="BK462" s="319"/>
      <c r="BL462" s="319"/>
      <c r="BM462" s="319"/>
      <c r="BN462" s="319"/>
      <c r="BO462" s="319"/>
      <c r="BP462" s="319"/>
      <c r="BQ462" s="319"/>
      <c r="BR462" s="319"/>
      <c r="BS462" s="319"/>
      <c r="BT462" s="319"/>
      <c r="BU462" s="319"/>
      <c r="BV462" s="319"/>
      <c r="BW462" s="319"/>
      <c r="BX462" s="319"/>
      <c r="BY462" s="319"/>
      <c r="BZ462" s="319"/>
      <c r="CA462" s="319"/>
      <c r="CB462" s="319"/>
      <c r="CC462" s="319"/>
      <c r="CD462" s="319"/>
      <c r="CE462" s="319"/>
      <c r="CF462" s="319"/>
    </row>
    <row r="463" spans="1:84" ht="12.75" customHeight="1">
      <c r="A463" s="12"/>
      <c r="B463" s="1"/>
      <c r="C463" s="83" t="str">
        <f t="shared" si="54"/>
        <v>Agosto</v>
      </c>
      <c r="D463" s="829">
        <f t="shared" si="55"/>
        <v>6.23</v>
      </c>
      <c r="E463" s="100">
        <f t="shared" si="42"/>
        <v>6.2920980874092782</v>
      </c>
      <c r="F463" s="395">
        <v>200</v>
      </c>
      <c r="G463" s="829" t="str">
        <f t="shared" si="56"/>
        <v>0,551</v>
      </c>
      <c r="H463" s="1"/>
      <c r="I463" s="1"/>
      <c r="J463" s="1"/>
      <c r="K463" s="9"/>
      <c r="L463" s="1"/>
      <c r="M463" s="319"/>
      <c r="N463" s="319"/>
      <c r="O463" s="319">
        <f>IF(Offgrid=5,'Modelo Energético '!R237,1)</f>
        <v>1</v>
      </c>
      <c r="P463" s="319">
        <v>8</v>
      </c>
      <c r="Q463" s="319">
        <v>31</v>
      </c>
      <c r="R463" s="319"/>
      <c r="S463" s="476">
        <f>$Q463*Iniciar!AB65</f>
        <v>695.26800000000003</v>
      </c>
      <c r="T463" s="476">
        <f t="shared" si="43"/>
        <v>702.19814655487539</v>
      </c>
      <c r="U463" s="476">
        <f t="shared" si="44"/>
        <v>695.26800000000003</v>
      </c>
      <c r="V463" s="476">
        <f t="shared" si="44"/>
        <v>702.19814655487539</v>
      </c>
      <c r="W463" s="476">
        <f>O463*Iniciar!$O65</f>
        <v>21.799999999999997</v>
      </c>
      <c r="X463" s="476">
        <f>Iniciar!Y65</f>
        <v>0.23483334718003088</v>
      </c>
      <c r="Y463" s="476">
        <f>Iniciar!AB65</f>
        <v>22.428000000000001</v>
      </c>
      <c r="Z463" s="476">
        <f>Iniciar!AD65</f>
        <v>0.61455092561351166</v>
      </c>
      <c r="AA463" s="476">
        <f>GetMonthlyTrackingRadiation($Q$450,$N$449,$Q$448,$Q$449,Iniciar!X65,Y463*1000000,Iniciar!AE65) /1000000</f>
        <v>22.651553114673401</v>
      </c>
      <c r="AB463" s="476">
        <f t="shared" si="57"/>
        <v>0.38392971446669638</v>
      </c>
      <c r="AC463" s="476">
        <f t="shared" si="45"/>
        <v>0.6108652381980153</v>
      </c>
      <c r="AD463" s="476">
        <f t="shared" si="46"/>
        <v>0.98963948937648105</v>
      </c>
      <c r="AE463" s="476">
        <f t="shared" si="47"/>
        <v>0.46678901212168955</v>
      </c>
      <c r="AF463" s="476">
        <f t="shared" si="58"/>
        <v>0.99202710995521215</v>
      </c>
      <c r="AG463" s="476">
        <f t="shared" si="48"/>
        <v>22.640116178829473</v>
      </c>
      <c r="AH463" s="476">
        <f>MAX($S$478*(1-$D$482*(AG463+Iniciar!O65-25)),0)</f>
        <v>0.18444790705693645</v>
      </c>
      <c r="AI463" s="476">
        <f t="shared" si="59"/>
        <v>0.15678072099839599</v>
      </c>
      <c r="AJ463" s="494">
        <f t="shared" si="49"/>
        <v>18.718451828128028</v>
      </c>
      <c r="AK463" s="494">
        <f t="shared" si="50"/>
        <v>580.27200667196882</v>
      </c>
      <c r="AL463" s="494">
        <f t="shared" si="51"/>
        <v>17.782529236721626</v>
      </c>
      <c r="AM463" s="494">
        <f t="shared" si="52"/>
        <v>551.25840633837038</v>
      </c>
      <c r="AN463" s="494">
        <f t="shared" si="53"/>
        <v>0.55125840633837009</v>
      </c>
      <c r="AO463" s="319">
        <v>2122000</v>
      </c>
      <c r="AP463" s="319"/>
      <c r="AQ463" s="319"/>
      <c r="AR463" s="319"/>
      <c r="AS463" s="319"/>
      <c r="AT463" s="319"/>
      <c r="AU463" s="319"/>
      <c r="AV463" s="319"/>
      <c r="AW463" s="319"/>
      <c r="AX463" s="319"/>
      <c r="AY463" s="319"/>
      <c r="AZ463" s="319"/>
      <c r="BA463" s="319"/>
      <c r="BB463" s="319"/>
      <c r="BC463" s="319"/>
      <c r="BD463" s="319"/>
      <c r="BE463" s="319"/>
      <c r="BF463" s="319"/>
      <c r="BG463" s="319"/>
      <c r="BH463" s="319"/>
      <c r="BI463" s="319"/>
      <c r="BJ463" s="319"/>
      <c r="BK463" s="319"/>
      <c r="BL463" s="319"/>
      <c r="BM463" s="319"/>
      <c r="BN463" s="319"/>
      <c r="BO463" s="319"/>
      <c r="BP463" s="319"/>
      <c r="BQ463" s="319"/>
      <c r="BR463" s="319"/>
      <c r="BS463" s="319"/>
      <c r="BT463" s="319"/>
      <c r="BU463" s="319"/>
      <c r="BV463" s="319"/>
      <c r="BW463" s="319"/>
      <c r="BX463" s="319"/>
      <c r="BY463" s="319"/>
      <c r="BZ463" s="319"/>
      <c r="CA463" s="319"/>
      <c r="CB463" s="319"/>
      <c r="CC463" s="319"/>
      <c r="CD463" s="319"/>
      <c r="CE463" s="319"/>
      <c r="CF463" s="319"/>
    </row>
    <row r="464" spans="1:84" ht="12.75" customHeight="1">
      <c r="A464" s="12"/>
      <c r="B464" s="1"/>
      <c r="C464" s="83" t="str">
        <f t="shared" si="54"/>
        <v>Setembro</v>
      </c>
      <c r="D464" s="829">
        <f t="shared" si="55"/>
        <v>4.7</v>
      </c>
      <c r="E464" s="100">
        <f t="shared" si="42"/>
        <v>5.3769386767054899</v>
      </c>
      <c r="F464" s="395">
        <v>200</v>
      </c>
      <c r="G464" s="829" t="str">
        <f t="shared" si="56"/>
        <v>0,460</v>
      </c>
      <c r="H464" s="1"/>
      <c r="I464" s="1"/>
      <c r="J464" s="1"/>
      <c r="K464" s="9"/>
      <c r="L464" s="1"/>
      <c r="M464" s="319"/>
      <c r="N464" s="319"/>
      <c r="O464" s="319">
        <f>IF(Offgrid=5,'Modelo Energético '!R238,1)</f>
        <v>1</v>
      </c>
      <c r="P464" s="319">
        <v>9</v>
      </c>
      <c r="Q464" s="319">
        <v>30</v>
      </c>
      <c r="R464" s="319"/>
      <c r="S464" s="476">
        <f>$Q464*Iniciar!AB66</f>
        <v>507.6</v>
      </c>
      <c r="T464" s="476">
        <f t="shared" si="43"/>
        <v>580.70937708419297</v>
      </c>
      <c r="U464" s="476">
        <f t="shared" si="44"/>
        <v>507.6</v>
      </c>
      <c r="V464" s="476">
        <f t="shared" si="44"/>
        <v>580.70937708419297</v>
      </c>
      <c r="W464" s="476">
        <f>O464*Iniciar!$O66</f>
        <v>20.799999999999997</v>
      </c>
      <c r="X464" s="476">
        <f>Iniciar!Y66</f>
        <v>3.8691973510770042E-2</v>
      </c>
      <c r="Y464" s="476">
        <f>Iniciar!AB66</f>
        <v>16.920000000000002</v>
      </c>
      <c r="Z464" s="476">
        <f>Iniciar!AD66</f>
        <v>0.5655717519632848</v>
      </c>
      <c r="AA464" s="476">
        <f>GetMonthlyTrackingRadiation($Q$450,$N$449,$Q$448,$Q$449,Iniciar!X66,Y464*1000000,Iniciar!AE66) /1000000</f>
        <v>19.356979236139765</v>
      </c>
      <c r="AB464" s="476">
        <f t="shared" si="57"/>
        <v>0.47631051044311318</v>
      </c>
      <c r="AC464" s="476">
        <f t="shared" si="45"/>
        <v>0.6108652381980153</v>
      </c>
      <c r="AD464" s="476">
        <f t="shared" si="46"/>
        <v>0.99864472518933789</v>
      </c>
      <c r="AE464" s="476">
        <f t="shared" si="47"/>
        <v>0.66293038579095043</v>
      </c>
      <c r="AF464" s="476">
        <f t="shared" si="58"/>
        <v>0.99895882115768253</v>
      </c>
      <c r="AG464" s="476">
        <f t="shared" si="48"/>
        <v>21.526179588452422</v>
      </c>
      <c r="AH464" s="476">
        <f>MAX($S$478*(1-$D$482*(AG464+Iniciar!O66-25)),0)</f>
        <v>0.18613905632923808</v>
      </c>
      <c r="AI464" s="476">
        <f t="shared" si="59"/>
        <v>0.15821819787985236</v>
      </c>
      <c r="AJ464" s="494">
        <f t="shared" si="49"/>
        <v>16.142593164549119</v>
      </c>
      <c r="AK464" s="494">
        <f t="shared" si="50"/>
        <v>484.27779493647358</v>
      </c>
      <c r="AL464" s="494">
        <f t="shared" si="51"/>
        <v>15.335463506321663</v>
      </c>
      <c r="AM464" s="494">
        <f t="shared" si="52"/>
        <v>460.06390518964986</v>
      </c>
      <c r="AN464" s="494">
        <f t="shared" si="53"/>
        <v>0.46006390518964968</v>
      </c>
      <c r="AO464" s="319">
        <v>2122000</v>
      </c>
      <c r="AP464" s="319"/>
      <c r="AQ464" s="319"/>
      <c r="AR464" s="319"/>
      <c r="AS464" s="319"/>
      <c r="AT464" s="319"/>
      <c r="AU464" s="319"/>
      <c r="AV464" s="319"/>
      <c r="AW464" s="319"/>
      <c r="AX464" s="319"/>
      <c r="AY464" s="319"/>
      <c r="AZ464" s="319"/>
      <c r="BA464" s="319"/>
      <c r="BB464" s="319"/>
      <c r="BC464" s="319"/>
      <c r="BD464" s="319"/>
      <c r="BE464" s="319"/>
      <c r="BF464" s="319"/>
      <c r="BG464" s="319"/>
      <c r="BH464" s="319"/>
      <c r="BI464" s="319"/>
      <c r="BJ464" s="319"/>
      <c r="BK464" s="319"/>
      <c r="BL464" s="319"/>
      <c r="BM464" s="319"/>
      <c r="BN464" s="319"/>
      <c r="BO464" s="319"/>
      <c r="BP464" s="319"/>
      <c r="BQ464" s="319"/>
      <c r="BR464" s="319"/>
      <c r="BS464" s="319"/>
      <c r="BT464" s="319"/>
      <c r="BU464" s="319"/>
      <c r="BV464" s="319"/>
      <c r="BW464" s="319"/>
      <c r="BX464" s="319"/>
      <c r="BY464" s="319"/>
      <c r="BZ464" s="319"/>
      <c r="CA464" s="319"/>
      <c r="CB464" s="319"/>
      <c r="CC464" s="319"/>
      <c r="CD464" s="319"/>
      <c r="CE464" s="319"/>
      <c r="CF464" s="319"/>
    </row>
    <row r="465" spans="1:84" ht="12.75" customHeight="1">
      <c r="A465" s="12"/>
      <c r="B465" s="1"/>
      <c r="C465" s="83" t="str">
        <f t="shared" si="54"/>
        <v>Outubro</v>
      </c>
      <c r="D465" s="829">
        <f t="shared" si="55"/>
        <v>3.55</v>
      </c>
      <c r="E465" s="100">
        <f t="shared" si="42"/>
        <v>4.7709257325353152</v>
      </c>
      <c r="F465" s="395">
        <v>200</v>
      </c>
      <c r="G465" s="829" t="str">
        <f t="shared" si="56"/>
        <v>0,429</v>
      </c>
      <c r="H465" s="1"/>
      <c r="I465" s="1"/>
      <c r="J465" s="1"/>
      <c r="K465" s="9"/>
      <c r="L465" s="1"/>
      <c r="M465" s="319"/>
      <c r="N465" s="319"/>
      <c r="O465" s="319">
        <f>IF(Offgrid=5,'Modelo Energético '!R239,1)</f>
        <v>1</v>
      </c>
      <c r="P465" s="319">
        <v>10</v>
      </c>
      <c r="Q465" s="319">
        <v>31</v>
      </c>
      <c r="R465" s="319"/>
      <c r="S465" s="476">
        <f>$Q465*Iniciar!AB67</f>
        <v>396.18</v>
      </c>
      <c r="T465" s="476">
        <f t="shared" si="43"/>
        <v>532.4353117509412</v>
      </c>
      <c r="U465" s="476">
        <f t="shared" si="44"/>
        <v>396.18</v>
      </c>
      <c r="V465" s="476">
        <f t="shared" si="44"/>
        <v>532.4353117509412</v>
      </c>
      <c r="W465" s="476">
        <f>O465*Iniciar!$O67</f>
        <v>17.399999999999999</v>
      </c>
      <c r="X465" s="476">
        <f>Iniciar!Y67</f>
        <v>-0.16754108794433939</v>
      </c>
      <c r="Y465" s="476">
        <f>Iniciar!AB67</f>
        <v>12.78</v>
      </c>
      <c r="Z465" s="476">
        <f>Iniciar!AD67</f>
        <v>0.56990999982115575</v>
      </c>
      <c r="AA465" s="476">
        <f>GetMonthlyTrackingRadiation($Q$450,$N$449,$Q$448,$Q$449,Iniciar!X67,Y465*1000000,Iniciar!AE67) /1000000</f>
        <v>17.175332637127134</v>
      </c>
      <c r="AB465" s="476">
        <f t="shared" si="57"/>
        <v>0.4679098260425737</v>
      </c>
      <c r="AC465" s="476">
        <f t="shared" si="45"/>
        <v>0.6108652381980153</v>
      </c>
      <c r="AD465" s="476">
        <f t="shared" si="46"/>
        <v>0.96682513762963274</v>
      </c>
      <c r="AE465" s="476">
        <f t="shared" si="47"/>
        <v>0.86916344724605987</v>
      </c>
      <c r="AF465" s="476">
        <f t="shared" si="58"/>
        <v>0.97437440745586801</v>
      </c>
      <c r="AG465" s="476">
        <f t="shared" si="48"/>
        <v>21.106323528877819</v>
      </c>
      <c r="AH465" s="476">
        <f>MAX($S$478*(1-$D$482*(AG465+Iniciar!O67-25)),0)</f>
        <v>0.18919494117689775</v>
      </c>
      <c r="AI465" s="476">
        <f t="shared" si="59"/>
        <v>0.16081570000036308</v>
      </c>
      <c r="AJ465" s="494">
        <f t="shared" si="49"/>
        <v>14.558374471187635</v>
      </c>
      <c r="AK465" s="494">
        <f t="shared" si="50"/>
        <v>451.30960860681671</v>
      </c>
      <c r="AL465" s="494">
        <f t="shared" si="51"/>
        <v>13.830455747628253</v>
      </c>
      <c r="AM465" s="494">
        <f t="shared" si="52"/>
        <v>428.74412817647584</v>
      </c>
      <c r="AN465" s="494">
        <f t="shared" si="53"/>
        <v>0.42874412817647567</v>
      </c>
      <c r="AO465" s="319">
        <v>2122000</v>
      </c>
      <c r="AP465" s="319"/>
      <c r="AQ465" s="319"/>
      <c r="AR465" s="319"/>
      <c r="AS465" s="319"/>
      <c r="AT465" s="319"/>
      <c r="AU465" s="319"/>
      <c r="AV465" s="319"/>
      <c r="AW465" s="319"/>
      <c r="AX465" s="319"/>
      <c r="AY465" s="319"/>
      <c r="AZ465" s="319"/>
      <c r="BA465" s="319"/>
      <c r="BB465" s="319"/>
      <c r="BC465" s="319"/>
      <c r="BD465" s="319"/>
      <c r="BE465" s="319"/>
      <c r="BF465" s="319"/>
      <c r="BG465" s="319"/>
      <c r="BH465" s="319"/>
      <c r="BI465" s="319"/>
      <c r="BJ465" s="319"/>
      <c r="BK465" s="319"/>
      <c r="BL465" s="319"/>
      <c r="BM465" s="319"/>
      <c r="BN465" s="319"/>
      <c r="BO465" s="319"/>
      <c r="BP465" s="319"/>
      <c r="BQ465" s="319"/>
      <c r="BR465" s="319"/>
      <c r="BS465" s="319"/>
      <c r="BT465" s="319"/>
      <c r="BU465" s="319"/>
      <c r="BV465" s="319"/>
      <c r="BW465" s="319"/>
      <c r="BX465" s="319"/>
      <c r="BY465" s="319"/>
      <c r="BZ465" s="319"/>
      <c r="CA465" s="319"/>
      <c r="CB465" s="319"/>
      <c r="CC465" s="319"/>
      <c r="CD465" s="319"/>
      <c r="CE465" s="319"/>
      <c r="CF465" s="319"/>
    </row>
    <row r="466" spans="1:84" ht="12.75" customHeight="1">
      <c r="A466" s="12"/>
      <c r="B466" s="1"/>
      <c r="C466" s="83" t="str">
        <f t="shared" si="54"/>
        <v>Novembro</v>
      </c>
      <c r="D466" s="829">
        <f t="shared" si="55"/>
        <v>2.46</v>
      </c>
      <c r="E466" s="100">
        <f t="shared" si="42"/>
        <v>3.9933749886716212</v>
      </c>
      <c r="F466" s="395">
        <v>200</v>
      </c>
      <c r="G466" s="829" t="str">
        <f t="shared" si="56"/>
        <v>0,356</v>
      </c>
      <c r="H466" s="1"/>
      <c r="I466" s="1"/>
      <c r="J466" s="1"/>
      <c r="K466" s="9"/>
      <c r="L466" s="1"/>
      <c r="M466" s="319"/>
      <c r="N466" s="319"/>
      <c r="O466" s="319">
        <f>IF(Offgrid=5,'Modelo Energético '!R240,1)</f>
        <v>1</v>
      </c>
      <c r="P466" s="319">
        <v>11</v>
      </c>
      <c r="Q466" s="319">
        <v>30</v>
      </c>
      <c r="R466" s="319"/>
      <c r="S466" s="476">
        <f>$Q466*Iniciar!AB68</f>
        <v>265.68</v>
      </c>
      <c r="T466" s="476">
        <f t="shared" si="43"/>
        <v>431.28449877653514</v>
      </c>
      <c r="U466" s="476">
        <f t="shared" si="44"/>
        <v>265.68</v>
      </c>
      <c r="V466" s="476">
        <f t="shared" si="44"/>
        <v>431.28449877653514</v>
      </c>
      <c r="W466" s="476">
        <f>O466*Iniciar!$O68</f>
        <v>13</v>
      </c>
      <c r="X466" s="476">
        <f>Iniciar!Y68</f>
        <v>-0.33007587822273549</v>
      </c>
      <c r="Y466" s="476">
        <f>Iniciar!AB68</f>
        <v>8.8559999999999999</v>
      </c>
      <c r="Z466" s="476">
        <f>Iniciar!AD68</f>
        <v>0.54262020028088254</v>
      </c>
      <c r="AA466" s="476">
        <f>GetMonthlyTrackingRadiation($Q$450,$N$449,$Q$448,$Q$449,Iniciar!X68,Y466*1000000,Iniciar!AE68) /1000000</f>
        <v>14.376149959217837</v>
      </c>
      <c r="AB466" s="476">
        <f t="shared" si="57"/>
        <v>0.52093224027955543</v>
      </c>
      <c r="AC466" s="476">
        <f t="shared" si="45"/>
        <v>0.6108652381980153</v>
      </c>
      <c r="AD466" s="476">
        <f t="shared" si="46"/>
        <v>0.91274745879092312</v>
      </c>
      <c r="AE466" s="476">
        <f t="shared" si="47"/>
        <v>1.0316982375244559</v>
      </c>
      <c r="AF466" s="476">
        <f t="shared" si="58"/>
        <v>0.93197779571111583</v>
      </c>
      <c r="AG466" s="476">
        <f t="shared" si="48"/>
        <v>19.52668247171658</v>
      </c>
      <c r="AH466" s="476">
        <f>MAX($S$478*(1-$D$482*(AG466+Iniciar!O68-25)),0)</f>
        <v>0.19397865402262673</v>
      </c>
      <c r="AI466" s="476">
        <f t="shared" si="59"/>
        <v>0.16488185591923271</v>
      </c>
      <c r="AJ466" s="494">
        <f t="shared" si="49"/>
        <v>12.493805633770972</v>
      </c>
      <c r="AK466" s="494">
        <f t="shared" si="50"/>
        <v>374.81416901312917</v>
      </c>
      <c r="AL466" s="494">
        <f t="shared" si="51"/>
        <v>11.869115352082423</v>
      </c>
      <c r="AM466" s="494">
        <f t="shared" si="52"/>
        <v>356.07346056247269</v>
      </c>
      <c r="AN466" s="494">
        <f t="shared" si="53"/>
        <v>0.35607346056247252</v>
      </c>
      <c r="AO466" s="319">
        <v>2122000</v>
      </c>
      <c r="AP466" s="319"/>
      <c r="AQ466" s="319"/>
      <c r="AR466" s="319"/>
      <c r="AS466" s="319"/>
      <c r="AT466" s="319"/>
      <c r="AU466" s="319"/>
      <c r="AV466" s="319"/>
      <c r="AW466" s="319"/>
      <c r="AX466" s="319"/>
      <c r="AY466" s="319"/>
      <c r="AZ466" s="319"/>
      <c r="BA466" s="319"/>
      <c r="BB466" s="319"/>
      <c r="BC466" s="319"/>
      <c r="BD466" s="319"/>
      <c r="BE466" s="319"/>
      <c r="BF466" s="319"/>
      <c r="BG466" s="319"/>
      <c r="BH466" s="319"/>
      <c r="BI466" s="319"/>
      <c r="BJ466" s="319"/>
      <c r="BK466" s="319"/>
      <c r="BL466" s="319"/>
      <c r="BM466" s="319"/>
      <c r="BN466" s="319"/>
      <c r="BO466" s="319"/>
      <c r="BP466" s="319"/>
      <c r="BQ466" s="319"/>
      <c r="BR466" s="319"/>
      <c r="BS466" s="319"/>
      <c r="BT466" s="319"/>
      <c r="BU466" s="319"/>
      <c r="BV466" s="319"/>
      <c r="BW466" s="319"/>
      <c r="BX466" s="319"/>
      <c r="BY466" s="319"/>
      <c r="BZ466" s="319"/>
      <c r="CA466" s="319"/>
      <c r="CB466" s="319"/>
      <c r="CC466" s="319"/>
      <c r="CD466" s="319"/>
      <c r="CE466" s="319"/>
      <c r="CF466" s="319"/>
    </row>
    <row r="467" spans="1:84" ht="12.75" customHeight="1">
      <c r="A467" s="12"/>
      <c r="B467" s="1"/>
      <c r="C467" s="83" t="str">
        <f t="shared" si="54"/>
        <v>Dezembro</v>
      </c>
      <c r="D467" s="829">
        <f t="shared" si="55"/>
        <v>2.17</v>
      </c>
      <c r="E467" s="100">
        <f t="shared" si="42"/>
        <v>4.0221663317968108</v>
      </c>
      <c r="F467" s="395">
        <v>200</v>
      </c>
      <c r="G467" s="829" t="str">
        <f t="shared" si="56"/>
        <v>0,374</v>
      </c>
      <c r="H467" s="1"/>
      <c r="I467" s="1"/>
      <c r="J467" s="1"/>
      <c r="K467" s="9"/>
      <c r="L467" s="1"/>
      <c r="M467" s="319"/>
      <c r="N467" s="319"/>
      <c r="O467" s="319">
        <f>IF(Offgrid=5,'Modelo Energético '!R241,1)</f>
        <v>1</v>
      </c>
      <c r="P467" s="319">
        <v>12</v>
      </c>
      <c r="Q467" s="319">
        <v>31</v>
      </c>
      <c r="R467" s="319"/>
      <c r="S467" s="476">
        <f>$Q467*Iniciar!AB69</f>
        <v>242.172</v>
      </c>
      <c r="T467" s="476">
        <f t="shared" si="43"/>
        <v>448.8737626285241</v>
      </c>
      <c r="U467" s="476">
        <f t="shared" si="44"/>
        <v>242.172</v>
      </c>
      <c r="V467" s="476">
        <f t="shared" si="44"/>
        <v>448.8737626285241</v>
      </c>
      <c r="W467" s="476">
        <f>O467*Iniciar!$O69</f>
        <v>10.399999999999999</v>
      </c>
      <c r="X467" s="476">
        <f>Iniciar!Y69</f>
        <v>-0.40229189374537189</v>
      </c>
      <c r="Y467" s="476">
        <f>Iniciar!AB69</f>
        <v>7.8120000000000003</v>
      </c>
      <c r="Z467" s="476">
        <f>Iniciar!AD69</f>
        <v>0.57296934687200507</v>
      </c>
      <c r="AA467" s="476">
        <f>GetMonthlyTrackingRadiation($Q$450,$N$449,$Q$448,$Q$449,Iniciar!X69,Y467*1000000,Iniciar!AE69) /1000000</f>
        <v>14.47979879446852</v>
      </c>
      <c r="AB467" s="476">
        <f t="shared" si="57"/>
        <v>0.46199968991911838</v>
      </c>
      <c r="AC467" s="476">
        <f t="shared" si="45"/>
        <v>0.6108652381980153</v>
      </c>
      <c r="AD467" s="476">
        <f t="shared" si="46"/>
        <v>0.8808920756301164</v>
      </c>
      <c r="AE467" s="476">
        <f t="shared" si="47"/>
        <v>1.1039142530470922</v>
      </c>
      <c r="AF467" s="476">
        <f t="shared" si="58"/>
        <v>0.90662914894354463</v>
      </c>
      <c r="AG467" s="476">
        <f t="shared" si="48"/>
        <v>19.710981732540301</v>
      </c>
      <c r="AH467" s="476">
        <f>MAX($S$478*(1-$D$482*(AG467+Iniciar!O69-25)),0)</f>
        <v>0.19591121461396777</v>
      </c>
      <c r="AI467" s="476">
        <f t="shared" si="59"/>
        <v>0.1665245324218726</v>
      </c>
      <c r="AJ467" s="494">
        <f t="shared" si="49"/>
        <v>12.709253252590647</v>
      </c>
      <c r="AK467" s="494">
        <f t="shared" si="50"/>
        <v>393.98685083031006</v>
      </c>
      <c r="AL467" s="494">
        <f t="shared" si="51"/>
        <v>12.073790589961115</v>
      </c>
      <c r="AM467" s="494">
        <f t="shared" si="52"/>
        <v>374.28750828879458</v>
      </c>
      <c r="AN467" s="494">
        <f t="shared" si="53"/>
        <v>0.37428750828879442</v>
      </c>
      <c r="AO467" s="319">
        <v>2122000</v>
      </c>
      <c r="AP467" s="319"/>
      <c r="AQ467" s="319"/>
      <c r="AR467" s="319"/>
      <c r="AS467" s="319"/>
      <c r="AT467" s="319"/>
      <c r="AU467" s="319"/>
      <c r="AV467" s="319"/>
      <c r="AW467" s="319"/>
      <c r="AX467" s="319"/>
      <c r="AY467" s="319"/>
      <c r="AZ467" s="319"/>
      <c r="BA467" s="319"/>
      <c r="BB467" s="319"/>
      <c r="BC467" s="319"/>
      <c r="BD467" s="319"/>
      <c r="BE467" s="319"/>
      <c r="BF467" s="319"/>
      <c r="BG467" s="319"/>
      <c r="BH467" s="319"/>
      <c r="BI467" s="319"/>
      <c r="BJ467" s="319"/>
      <c r="BK467" s="319"/>
      <c r="BL467" s="319"/>
      <c r="BM467" s="319"/>
      <c r="BN467" s="319"/>
      <c r="BO467" s="319"/>
      <c r="BP467" s="319"/>
      <c r="BQ467" s="319"/>
      <c r="BR467" s="319"/>
      <c r="BS467" s="319"/>
      <c r="BT467" s="319"/>
      <c r="BU467" s="319"/>
      <c r="BV467" s="319"/>
      <c r="BW467" s="319"/>
      <c r="BX467" s="319"/>
      <c r="BY467" s="319"/>
      <c r="BZ467" s="319"/>
      <c r="CA467" s="319"/>
      <c r="CB467" s="319"/>
      <c r="CC467" s="319"/>
      <c r="CD467" s="319"/>
      <c r="CE467" s="319"/>
      <c r="CF467" s="319"/>
    </row>
    <row r="468" spans="1:84" ht="12.75" customHeight="1">
      <c r="A468" s="12"/>
      <c r="B468" s="1"/>
      <c r="C468" s="805" t="str">
        <f>B243</f>
        <v>Anual</v>
      </c>
      <c r="D468" s="830">
        <f>SUMPRODUCT($Q$456:$Q$467,Y456:Y467)/3.6/365</f>
        <v>4.4355890410958905</v>
      </c>
      <c r="E468" s="830">
        <f>SUMPRODUCT($Q$456:$Q$467,AA456:AA467)/3.6/365</f>
        <v>5.068777922239085</v>
      </c>
      <c r="F468" s="830">
        <f>V814</f>
        <v>199.99999999999994</v>
      </c>
      <c r="G468" s="830" t="str">
        <f>FIXED(O495,$O$469)</f>
        <v>5,390</v>
      </c>
      <c r="H468" s="1"/>
      <c r="I468" s="1"/>
      <c r="J468" s="1"/>
      <c r="K468" s="9"/>
      <c r="L468" s="1"/>
      <c r="M468" s="319"/>
      <c r="N468" s="319"/>
      <c r="O468" s="319">
        <f>IF(SUM(AN456:AN467)=0,0,SUMPRODUCT(F456:F467,AN456:AN467)/SUM(AN456:AN467))</f>
        <v>199.99999999999994</v>
      </c>
      <c r="P468" s="319" t="str">
        <f>F455</f>
        <v>€/MWh</v>
      </c>
      <c r="Q468" s="319"/>
      <c r="R468" s="319"/>
      <c r="S468" s="476">
        <f>SUM(S456:S467)</f>
        <v>5828.3640000000005</v>
      </c>
      <c r="T468" s="476">
        <f>SUM(T456:T467)</f>
        <v>6660.3741898221588</v>
      </c>
      <c r="U468" s="476">
        <f>SUM(U456:U467)</f>
        <v>5828.3640000000005</v>
      </c>
      <c r="V468" s="476">
        <f>SUM(V456:V467)</f>
        <v>6660.3741898221588</v>
      </c>
      <c r="W468" s="476">
        <f>SUM(W456:W467)/SUM(O456:O467)</f>
        <v>15.725</v>
      </c>
      <c r="X468" s="476"/>
      <c r="Y468" s="476"/>
      <c r="Z468" s="476"/>
      <c r="AA468" s="476"/>
      <c r="AB468" s="476"/>
      <c r="AC468" s="476"/>
      <c r="AD468" s="476"/>
      <c r="AE468" s="476"/>
      <c r="AF468" s="476"/>
      <c r="AG468" s="476"/>
      <c r="AH468" s="476"/>
      <c r="AI468" s="476"/>
      <c r="AJ468" s="476"/>
      <c r="AK468" s="476"/>
      <c r="AL468" s="476"/>
      <c r="AM468" s="494">
        <f>IF(ISERROR(SUM(AM456:AM467)),0,SUM(AM456:AM467))</f>
        <v>5390.3325633948689</v>
      </c>
      <c r="AN468" s="846">
        <f>SUM(AN456:AN467)</f>
        <v>5.3903325633948675</v>
      </c>
      <c r="AO468" s="319">
        <v>2122000</v>
      </c>
      <c r="AP468" s="319"/>
      <c r="AQ468" s="319"/>
      <c r="AR468" s="319"/>
      <c r="AS468" s="319"/>
      <c r="AT468" s="319"/>
      <c r="AU468" s="319"/>
      <c r="AV468" s="319"/>
      <c r="AW468" s="319"/>
      <c r="AX468" s="319"/>
      <c r="AY468" s="319"/>
      <c r="AZ468" s="319"/>
      <c r="BA468" s="319"/>
      <c r="BB468" s="319"/>
      <c r="BC468" s="319"/>
      <c r="BD468" s="319"/>
      <c r="BE468" s="319"/>
      <c r="BF468" s="319"/>
      <c r="BG468" s="319"/>
      <c r="BH468" s="319"/>
      <c r="BI468" s="319"/>
      <c r="BJ468" s="319"/>
      <c r="BK468" s="319"/>
      <c r="BL468" s="319"/>
      <c r="BM468" s="319"/>
      <c r="BN468" s="319"/>
      <c r="BO468" s="319"/>
      <c r="BP468" s="319"/>
      <c r="BQ468" s="319"/>
      <c r="BR468" s="319"/>
      <c r="BS468" s="319"/>
      <c r="BT468" s="319"/>
      <c r="BU468" s="319"/>
      <c r="BV468" s="319"/>
      <c r="BW468" s="319"/>
      <c r="BX468" s="319"/>
      <c r="BY468" s="319"/>
      <c r="BZ468" s="319"/>
      <c r="CA468" s="319"/>
      <c r="CB468" s="319"/>
      <c r="CC468" s="319"/>
      <c r="CD468" s="319"/>
      <c r="CE468" s="319"/>
      <c r="CF468" s="319"/>
    </row>
    <row r="469" spans="1:84" ht="12.75" customHeight="1">
      <c r="A469" s="12"/>
      <c r="B469" s="1"/>
      <c r="C469" s="832"/>
      <c r="D469" s="831"/>
      <c r="E469" s="831"/>
      <c r="F469" s="831"/>
      <c r="G469" s="831"/>
      <c r="H469" s="1"/>
      <c r="I469" s="1"/>
      <c r="J469" s="1"/>
      <c r="K469" s="9"/>
      <c r="L469" s="1"/>
      <c r="M469" s="319"/>
      <c r="N469" s="319"/>
      <c r="O469" s="319">
        <f>IF(MIN(AN456:AN467)&gt;1000,0,IF(MIN(AN456:AN467)&gt;100,1,IF(MIN(AN456:AN467)&gt;10,2,IF(MIN(AN456:AN467)&gt;1,3,3))))</f>
        <v>3</v>
      </c>
      <c r="P469" s="319"/>
      <c r="Q469" s="319"/>
      <c r="R469" s="319"/>
      <c r="S469" s="476"/>
      <c r="T469" s="476"/>
      <c r="U469" s="476"/>
      <c r="V469" s="476"/>
      <c r="W469" s="476"/>
      <c r="X469" s="476"/>
      <c r="Y469" s="476"/>
      <c r="Z469" s="476"/>
      <c r="AA469" s="476"/>
      <c r="AB469" s="476"/>
      <c r="AC469" s="476"/>
      <c r="AD469" s="476"/>
      <c r="AE469" s="476"/>
      <c r="AF469" s="476"/>
      <c r="AG469" s="476"/>
      <c r="AH469" s="476"/>
      <c r="AI469" s="476"/>
      <c r="AJ469" s="476"/>
      <c r="AK469" s="476"/>
      <c r="AL469" s="476"/>
      <c r="AM469" s="494"/>
      <c r="AN469" s="319"/>
      <c r="AO469" s="319">
        <v>2122000</v>
      </c>
      <c r="AP469" s="319"/>
      <c r="AQ469" s="319"/>
      <c r="AR469" s="319"/>
      <c r="AS469" s="319"/>
      <c r="AT469" s="319"/>
      <c r="AU469" s="319"/>
      <c r="AV469" s="319"/>
      <c r="AW469" s="319"/>
      <c r="AX469" s="319"/>
      <c r="AY469" s="319"/>
      <c r="AZ469" s="319"/>
      <c r="BA469" s="319"/>
      <c r="BB469" s="319"/>
      <c r="BC469" s="319"/>
      <c r="BD469" s="319"/>
      <c r="BE469" s="319"/>
      <c r="BF469" s="319"/>
      <c r="BG469" s="319"/>
      <c r="BH469" s="319"/>
      <c r="BI469" s="319"/>
      <c r="BJ469" s="319"/>
      <c r="BK469" s="319"/>
      <c r="BL469" s="319"/>
      <c r="BM469" s="319"/>
      <c r="BN469" s="319"/>
      <c r="BO469" s="319"/>
      <c r="BP469" s="319"/>
      <c r="BQ469" s="319"/>
      <c r="BR469" s="319"/>
      <c r="BS469" s="319"/>
      <c r="BT469" s="319"/>
      <c r="BU469" s="319"/>
      <c r="BV469" s="319"/>
      <c r="BW469" s="319"/>
      <c r="BX469" s="319"/>
      <c r="BY469" s="319"/>
      <c r="BZ469" s="319"/>
      <c r="CA469" s="319"/>
      <c r="CB469" s="319"/>
      <c r="CC469" s="319"/>
      <c r="CD469" s="319"/>
      <c r="CE469" s="319"/>
      <c r="CF469" s="319"/>
    </row>
    <row r="470" spans="1:84" ht="12.75" customHeight="1">
      <c r="A470" s="12"/>
      <c r="B470" s="1" t="str">
        <f>Language!C1479</f>
        <v>Radiação Solar anual - horizontal</v>
      </c>
      <c r="C470" s="29" t="str">
        <f>Language!C2245</f>
        <v>MWh/m²</v>
      </c>
      <c r="D470" s="217">
        <f>S468/3600</f>
        <v>1.6189900000000002</v>
      </c>
      <c r="E470" s="1"/>
      <c r="F470" s="1"/>
      <c r="G470" s="1"/>
      <c r="H470" s="1"/>
      <c r="I470" s="1"/>
      <c r="J470" s="1"/>
      <c r="K470" s="9"/>
      <c r="L470" s="1"/>
      <c r="M470" s="319"/>
      <c r="N470" s="319"/>
      <c r="O470" s="319"/>
      <c r="P470" s="319"/>
      <c r="Q470" s="319"/>
      <c r="R470" s="319"/>
      <c r="S470" s="476"/>
      <c r="T470" s="476"/>
      <c r="U470" s="476"/>
      <c r="V470" s="476"/>
      <c r="W470" s="476"/>
      <c r="X470" s="476"/>
      <c r="Y470" s="476"/>
      <c r="Z470" s="476"/>
      <c r="AA470" s="476"/>
      <c r="AB470" s="476"/>
      <c r="AC470" s="476"/>
      <c r="AD470" s="476"/>
      <c r="AE470" s="476"/>
      <c r="AF470" s="476"/>
      <c r="AG470" s="476"/>
      <c r="AH470" s="476"/>
      <c r="AI470" s="476"/>
      <c r="AJ470" s="476"/>
      <c r="AK470" s="476"/>
      <c r="AL470" s="476"/>
      <c r="AM470" s="494"/>
      <c r="AN470" s="319"/>
      <c r="AO470" s="319">
        <v>2122014</v>
      </c>
      <c r="AP470" s="319"/>
      <c r="AQ470" s="319"/>
      <c r="AR470" s="319"/>
      <c r="AS470" s="319"/>
      <c r="AT470" s="319"/>
      <c r="AU470" s="319"/>
      <c r="AV470" s="319"/>
      <c r="AW470" s="319"/>
      <c r="AX470" s="319"/>
      <c r="AY470" s="319"/>
      <c r="AZ470" s="319"/>
      <c r="BA470" s="319"/>
      <c r="BB470" s="319"/>
      <c r="BC470" s="319"/>
      <c r="BD470" s="319"/>
      <c r="BE470" s="319"/>
      <c r="BF470" s="319"/>
      <c r="BG470" s="319"/>
      <c r="BH470" s="319"/>
      <c r="BI470" s="319"/>
      <c r="BJ470" s="319"/>
      <c r="BK470" s="319"/>
      <c r="BL470" s="319"/>
      <c r="BM470" s="319"/>
      <c r="BN470" s="319"/>
      <c r="BO470" s="319"/>
      <c r="BP470" s="319"/>
      <c r="BQ470" s="319"/>
      <c r="BR470" s="319"/>
      <c r="BS470" s="319"/>
      <c r="BT470" s="319"/>
      <c r="BU470" s="319"/>
      <c r="BV470" s="319"/>
      <c r="BW470" s="319"/>
      <c r="BX470" s="319"/>
      <c r="BY470" s="319"/>
      <c r="BZ470" s="319"/>
      <c r="CA470" s="319"/>
      <c r="CB470" s="319"/>
      <c r="CC470" s="319"/>
      <c r="CD470" s="319"/>
      <c r="CE470" s="319"/>
      <c r="CF470" s="319"/>
    </row>
    <row r="471" spans="1:84" ht="12.75" customHeight="1">
      <c r="A471" s="12"/>
      <c r="B471" s="1" t="str">
        <f>Language!C1480</f>
        <v>Radiação Solar anual - inclinado</v>
      </c>
      <c r="C471" s="29" t="str">
        <f>$C$470</f>
        <v>MWh/m²</v>
      </c>
      <c r="D471" s="217">
        <f>T468/3600</f>
        <v>1.8501039416172664</v>
      </c>
      <c r="E471" s="1"/>
      <c r="F471" s="1"/>
      <c r="G471" s="1"/>
      <c r="H471" s="1"/>
      <c r="I471" s="1"/>
      <c r="J471" s="1"/>
      <c r="K471" s="9"/>
      <c r="L471" s="1"/>
      <c r="M471" s="319"/>
      <c r="N471" s="319"/>
      <c r="O471" s="319"/>
      <c r="P471" s="319"/>
      <c r="Q471" s="319"/>
      <c r="R471" s="319"/>
      <c r="S471" s="319"/>
      <c r="T471" s="476"/>
      <c r="U471" s="476"/>
      <c r="V471" s="476"/>
      <c r="W471" s="476"/>
      <c r="X471" s="476"/>
      <c r="Y471" s="476"/>
      <c r="Z471" s="476"/>
      <c r="AA471" s="476"/>
      <c r="AB471" s="476"/>
      <c r="AC471" s="476"/>
      <c r="AD471" s="476"/>
      <c r="AE471" s="476"/>
      <c r="AF471" s="476"/>
      <c r="AG471" s="476"/>
      <c r="AH471" s="476"/>
      <c r="AI471" s="476"/>
      <c r="AJ471" s="476"/>
      <c r="AK471" s="476"/>
      <c r="AL471" s="476"/>
      <c r="AM471" s="476"/>
      <c r="AN471" s="476"/>
      <c r="AO471" s="319">
        <v>2122016</v>
      </c>
      <c r="AP471" s="319"/>
      <c r="AQ471" s="476"/>
      <c r="AR471" s="476"/>
      <c r="AS471" s="319"/>
      <c r="AT471" s="319"/>
      <c r="AU471" s="319"/>
      <c r="AV471" s="319"/>
      <c r="AW471" s="319"/>
      <c r="AX471" s="319"/>
      <c r="AY471" s="319"/>
      <c r="AZ471" s="319"/>
      <c r="BA471" s="319"/>
      <c r="BB471" s="319"/>
      <c r="BC471" s="319"/>
      <c r="BD471" s="319"/>
      <c r="BE471" s="319"/>
      <c r="BF471" s="319"/>
      <c r="BG471" s="319"/>
      <c r="BH471" s="319"/>
      <c r="BI471" s="319"/>
      <c r="BJ471" s="319"/>
      <c r="BK471" s="319"/>
      <c r="BL471" s="319"/>
      <c r="BM471" s="319"/>
      <c r="BN471" s="319"/>
      <c r="BO471" s="319"/>
      <c r="BP471" s="319"/>
      <c r="BQ471" s="319"/>
      <c r="BR471" s="319"/>
      <c r="BS471" s="319"/>
      <c r="BT471" s="319"/>
      <c r="BU471" s="319"/>
      <c r="BV471" s="319"/>
      <c r="BW471" s="319"/>
      <c r="BX471" s="319"/>
      <c r="BY471" s="319"/>
      <c r="BZ471" s="319"/>
      <c r="CA471" s="319"/>
      <c r="CB471" s="319"/>
      <c r="CC471" s="319"/>
      <c r="CD471" s="319"/>
      <c r="CE471" s="319"/>
      <c r="CF471" s="319"/>
    </row>
    <row r="472" spans="1:84" ht="12.75" customHeight="1">
      <c r="A472" s="12"/>
      <c r="B472" s="1"/>
      <c r="C472" s="29"/>
      <c r="D472" s="217"/>
      <c r="E472" s="1"/>
      <c r="F472" s="1"/>
      <c r="G472" s="1"/>
      <c r="H472" s="1"/>
      <c r="I472" s="1"/>
      <c r="J472" s="1"/>
      <c r="K472" s="9"/>
      <c r="L472" s="1"/>
      <c r="M472" s="319"/>
      <c r="N472" s="319"/>
      <c r="O472" s="319"/>
      <c r="P472" s="319"/>
      <c r="Q472" s="319"/>
      <c r="R472" s="319"/>
      <c r="S472" s="319"/>
      <c r="T472" s="476"/>
      <c r="U472" s="476"/>
      <c r="V472" s="476"/>
      <c r="W472" s="476"/>
      <c r="X472" s="476"/>
      <c r="Y472" s="476"/>
      <c r="Z472" s="476"/>
      <c r="AA472" s="476"/>
      <c r="AB472" s="476"/>
      <c r="AC472" s="476"/>
      <c r="AD472" s="476"/>
      <c r="AE472" s="476"/>
      <c r="AF472" s="476"/>
      <c r="AG472" s="476"/>
      <c r="AH472" s="476"/>
      <c r="AI472" s="476"/>
      <c r="AJ472" s="476"/>
      <c r="AK472" s="476"/>
      <c r="AL472" s="476"/>
      <c r="AM472" s="476"/>
      <c r="AN472" s="476"/>
      <c r="AO472" s="319">
        <v>2123000</v>
      </c>
      <c r="AP472" s="319"/>
      <c r="AQ472" s="476"/>
      <c r="AR472" s="476"/>
      <c r="AS472" s="319"/>
      <c r="AT472" s="319"/>
      <c r="AU472" s="319"/>
      <c r="AV472" s="319"/>
      <c r="AW472" s="319"/>
      <c r="AX472" s="319"/>
      <c r="AY472" s="319"/>
      <c r="AZ472" s="319"/>
      <c r="BA472" s="319"/>
      <c r="BB472" s="319"/>
      <c r="BC472" s="319"/>
      <c r="BD472" s="319"/>
      <c r="BE472" s="319"/>
      <c r="BF472" s="319"/>
      <c r="BG472" s="319"/>
      <c r="BH472" s="319"/>
      <c r="BI472" s="319"/>
      <c r="BJ472" s="319"/>
      <c r="BK472" s="319"/>
      <c r="BL472" s="319"/>
      <c r="BM472" s="319"/>
      <c r="BN472" s="319"/>
      <c r="BO472" s="319"/>
      <c r="BP472" s="319"/>
      <c r="BQ472" s="319"/>
      <c r="BR472" s="319"/>
      <c r="BS472" s="319"/>
      <c r="BT472" s="319"/>
      <c r="BU472" s="319"/>
      <c r="BV472" s="319"/>
      <c r="BW472" s="319"/>
      <c r="BX472" s="319"/>
      <c r="BY472" s="319"/>
      <c r="BZ472" s="319"/>
      <c r="CA472" s="319"/>
      <c r="CB472" s="319"/>
      <c r="CC472" s="319"/>
      <c r="CD472" s="319"/>
      <c r="CE472" s="319"/>
      <c r="CF472" s="319"/>
    </row>
    <row r="473" spans="1:84" ht="12.75" customHeight="1">
      <c r="A473" s="12"/>
      <c r="B473" s="28" t="str">
        <f>B447</f>
        <v>Fotovoltaica</v>
      </c>
      <c r="C473" s="29"/>
      <c r="D473" s="227"/>
      <c r="E473" s="1"/>
      <c r="F473" s="1"/>
      <c r="G473" s="1"/>
      <c r="H473" s="1"/>
      <c r="I473" s="1"/>
      <c r="J473" s="1"/>
      <c r="K473" s="9"/>
      <c r="L473" s="1"/>
      <c r="M473" s="319"/>
      <c r="N473" s="319"/>
      <c r="O473" s="319"/>
      <c r="P473" s="319"/>
      <c r="Q473" s="319"/>
      <c r="R473" s="319"/>
      <c r="S473" s="319">
        <v>1</v>
      </c>
      <c r="T473" s="319" t="s">
        <v>2725</v>
      </c>
      <c r="U473" s="319"/>
      <c r="V473" s="319"/>
      <c r="W473" s="319"/>
      <c r="X473" s="319"/>
      <c r="Y473" s="319"/>
      <c r="Z473" s="319"/>
      <c r="AA473" s="319"/>
      <c r="AB473" s="319"/>
      <c r="AC473" s="319"/>
      <c r="AD473" s="319"/>
      <c r="AE473" s="319"/>
      <c r="AF473" s="319"/>
      <c r="AG473" s="319"/>
      <c r="AH473" s="319"/>
      <c r="AI473" s="319"/>
      <c r="AJ473" s="319"/>
      <c r="AK473" s="319"/>
      <c r="AL473" s="319"/>
      <c r="AM473" s="319"/>
      <c r="AN473" s="319"/>
      <c r="AO473" s="319">
        <v>2123000</v>
      </c>
      <c r="AP473" s="319"/>
      <c r="AQ473" s="319"/>
      <c r="AR473" s="319"/>
      <c r="AS473" s="319"/>
      <c r="AT473" s="319"/>
      <c r="AU473" s="319"/>
      <c r="AV473" s="319"/>
      <c r="AW473" s="319"/>
      <c r="AX473" s="319"/>
      <c r="AY473" s="319"/>
      <c r="AZ473" s="319"/>
      <c r="BA473" s="319"/>
      <c r="BB473" s="319"/>
      <c r="BC473" s="319"/>
      <c r="BD473" s="319"/>
      <c r="BE473" s="319"/>
      <c r="BF473" s="319"/>
      <c r="BG473" s="319"/>
      <c r="BH473" s="319"/>
      <c r="BI473" s="319"/>
      <c r="BJ473" s="319"/>
      <c r="BK473" s="319"/>
      <c r="BL473" s="319"/>
      <c r="BM473" s="319"/>
      <c r="BN473" s="319"/>
      <c r="BO473" s="319"/>
      <c r="BP473" s="319"/>
      <c r="BQ473" s="319"/>
      <c r="BR473" s="319"/>
      <c r="BS473" s="319"/>
      <c r="BT473" s="319"/>
      <c r="BU473" s="319"/>
      <c r="BV473" s="319"/>
      <c r="BW473" s="319"/>
      <c r="BX473" s="319"/>
      <c r="BY473" s="319"/>
      <c r="BZ473" s="319"/>
      <c r="CA473" s="319"/>
      <c r="CB473" s="319"/>
      <c r="CC473" s="319"/>
      <c r="CD473" s="319"/>
      <c r="CE473" s="319"/>
      <c r="CF473" s="319"/>
    </row>
    <row r="474" spans="1:84" ht="12.75" customHeight="1">
      <c r="A474" s="12"/>
      <c r="B474" s="329" t="str">
        <f>Type</f>
        <v>Tipo</v>
      </c>
      <c r="C474" s="29"/>
      <c r="D474" s="303" t="s">
        <v>5729</v>
      </c>
      <c r="E474" s="1"/>
      <c r="F474" s="1"/>
      <c r="G474" s="1"/>
      <c r="H474" s="1"/>
      <c r="I474" s="1"/>
      <c r="J474" s="1"/>
      <c r="K474" s="9"/>
      <c r="L474" s="1"/>
      <c r="M474" s="319"/>
      <c r="N474" s="319"/>
      <c r="O474" s="319" t="s">
        <v>2574</v>
      </c>
      <c r="P474" s="319" t="s">
        <v>504</v>
      </c>
      <c r="Q474" s="319" t="s">
        <v>3472</v>
      </c>
      <c r="R474" s="319" t="s">
        <v>2635</v>
      </c>
      <c r="S474" s="319" t="str">
        <f>IF(Offgrid=5,'Modelo Energético '!D298,D474)</f>
        <v>poly-Si</v>
      </c>
      <c r="T474" s="319"/>
      <c r="U474" s="319"/>
      <c r="V474" s="319"/>
      <c r="W474" s="319"/>
      <c r="X474" s="319"/>
      <c r="Y474" s="319"/>
      <c r="Z474" s="319"/>
      <c r="AA474" s="319"/>
      <c r="AB474" s="319"/>
      <c r="AC474" s="319"/>
      <c r="AD474" s="319"/>
      <c r="AE474" s="319"/>
      <c r="AF474" s="319"/>
      <c r="AG474" s="319"/>
      <c r="AH474" s="319"/>
      <c r="AI474" s="319"/>
      <c r="AJ474" s="319"/>
      <c r="AK474" s="319"/>
      <c r="AL474" s="319"/>
      <c r="AM474" s="319"/>
      <c r="AN474" s="319"/>
      <c r="AO474" s="319">
        <v>2123002</v>
      </c>
      <c r="AP474" s="319"/>
      <c r="AQ474" s="319"/>
      <c r="AR474" s="319"/>
      <c r="AS474" s="319"/>
      <c r="AT474" s="319"/>
      <c r="AU474" s="319"/>
      <c r="AV474" s="319"/>
      <c r="AW474" s="319"/>
      <c r="AX474" s="319"/>
      <c r="AY474" s="319"/>
      <c r="AZ474" s="319"/>
      <c r="BA474" s="319"/>
      <c r="BB474" s="319"/>
      <c r="BC474" s="319"/>
      <c r="BD474" s="319"/>
      <c r="BE474" s="319"/>
      <c r="BF474" s="319"/>
      <c r="BG474" s="319"/>
      <c r="BH474" s="319"/>
      <c r="BI474" s="319"/>
      <c r="BJ474" s="319"/>
      <c r="BK474" s="319"/>
      <c r="BL474" s="319"/>
      <c r="BM474" s="319"/>
      <c r="BN474" s="319"/>
      <c r="BO474" s="319"/>
      <c r="BP474" s="319"/>
      <c r="BQ474" s="319"/>
      <c r="BR474" s="319"/>
      <c r="BS474" s="319"/>
      <c r="BT474" s="319"/>
      <c r="BU474" s="319"/>
      <c r="BV474" s="319"/>
      <c r="BW474" s="319"/>
      <c r="BX474" s="319"/>
      <c r="BY474" s="319"/>
      <c r="BZ474" s="319"/>
      <c r="CA474" s="319"/>
      <c r="CB474" s="319"/>
      <c r="CC474" s="319"/>
      <c r="CD474" s="319"/>
      <c r="CE474" s="319"/>
      <c r="CF474" s="319"/>
    </row>
    <row r="475" spans="1:84" ht="12.75" customHeight="1">
      <c r="A475" s="12"/>
      <c r="B475" s="329" t="str">
        <f>B92</f>
        <v>Potência elétrica</v>
      </c>
      <c r="C475" s="29" t="str">
        <f>C439</f>
        <v>kW</v>
      </c>
      <c r="D475" s="522">
        <v>3.7949999999999999</v>
      </c>
      <c r="E475" s="40"/>
      <c r="F475" s="1"/>
      <c r="G475" s="1"/>
      <c r="H475" s="1346"/>
      <c r="I475" s="1252" t="str">
        <f>Language!C61</f>
        <v>Ver banco de dados de produtos</v>
      </c>
      <c r="J475" s="1191"/>
      <c r="K475" s="1210"/>
      <c r="L475" s="1"/>
      <c r="M475" s="319"/>
      <c r="N475" s="319"/>
      <c r="O475" s="319" t="str">
        <f>Language!C1823</f>
        <v>mono-Si</v>
      </c>
      <c r="P475" s="319">
        <v>0.11</v>
      </c>
      <c r="Q475" s="319">
        <v>45</v>
      </c>
      <c r="R475" s="319">
        <v>4.0000000000000001E-3</v>
      </c>
      <c r="S475" s="319">
        <f>IF(Offgrid=5,'Modelo Energético '!D299,D475)</f>
        <v>3.7949999999999999</v>
      </c>
      <c r="T475" s="319" t="s">
        <v>4078</v>
      </c>
      <c r="U475" s="319"/>
      <c r="V475" s="319"/>
      <c r="W475" s="319" t="s">
        <v>4077</v>
      </c>
      <c r="X475" s="319"/>
      <c r="Y475" s="319"/>
      <c r="Z475" s="319"/>
      <c r="AA475" s="494">
        <v>287</v>
      </c>
      <c r="AB475" s="319"/>
      <c r="AC475" s="319"/>
      <c r="AD475" s="319"/>
      <c r="AE475" s="319"/>
      <c r="AF475" s="319"/>
      <c r="AG475" s="319"/>
      <c r="AH475" s="319"/>
      <c r="AI475" s="319"/>
      <c r="AJ475" s="319"/>
      <c r="AK475" s="319"/>
      <c r="AL475" s="319"/>
      <c r="AM475" s="319"/>
      <c r="AN475" s="319"/>
      <c r="AO475" s="319">
        <v>2050002</v>
      </c>
      <c r="AP475" s="319"/>
      <c r="AQ475" s="319"/>
      <c r="AR475" s="319"/>
      <c r="AS475" s="319"/>
      <c r="AT475" s="319"/>
      <c r="AU475" s="319"/>
      <c r="AV475" s="319"/>
      <c r="AW475" s="319"/>
      <c r="AX475" s="319"/>
      <c r="AY475" s="319"/>
      <c r="AZ475" s="319"/>
      <c r="BA475" s="319"/>
      <c r="BB475" s="319"/>
      <c r="BC475" s="319"/>
      <c r="BD475" s="319"/>
      <c r="BE475" s="319"/>
      <c r="BF475" s="319"/>
      <c r="BG475" s="319"/>
      <c r="BH475" s="319"/>
      <c r="BI475" s="319"/>
      <c r="BJ475" s="319"/>
      <c r="BK475" s="319"/>
      <c r="BL475" s="319"/>
      <c r="BM475" s="319"/>
      <c r="BN475" s="319"/>
      <c r="BO475" s="319"/>
      <c r="BP475" s="319"/>
      <c r="BQ475" s="319"/>
      <c r="BR475" s="319"/>
      <c r="BS475" s="319"/>
      <c r="BT475" s="319"/>
      <c r="BU475" s="319"/>
      <c r="BV475" s="319"/>
      <c r="BW475" s="319"/>
      <c r="BX475" s="319"/>
      <c r="BY475" s="319"/>
      <c r="BZ475" s="319"/>
      <c r="CA475" s="319"/>
      <c r="CB475" s="319"/>
      <c r="CC475" s="319"/>
      <c r="CD475" s="319"/>
      <c r="CE475" s="319"/>
      <c r="CF475" s="319"/>
    </row>
    <row r="476" spans="1:84" ht="12.75" customHeight="1">
      <c r="A476" s="12"/>
      <c r="B476" s="329" t="str">
        <f>B12</f>
        <v>Fabricante</v>
      </c>
      <c r="C476" s="1152" t="s">
        <v>8855</v>
      </c>
      <c r="D476" s="1153"/>
      <c r="E476" s="1154"/>
      <c r="F476" s="1"/>
      <c r="G476" s="1"/>
      <c r="H476" s="1"/>
      <c r="I476" s="1"/>
      <c r="J476" s="1"/>
      <c r="K476" s="9"/>
      <c r="L476" s="1"/>
      <c r="M476" s="319"/>
      <c r="N476" s="319"/>
      <c r="O476" s="319" t="str">
        <f>Language!C1890</f>
        <v>poly-Si</v>
      </c>
      <c r="P476" s="319">
        <v>0.11</v>
      </c>
      <c r="Q476" s="319">
        <v>45</v>
      </c>
      <c r="R476" s="319">
        <v>4.0000000000000001E-3</v>
      </c>
      <c r="S476" s="319"/>
      <c r="T476" s="319" t="s">
        <v>2382</v>
      </c>
      <c r="U476" s="319"/>
      <c r="V476" s="319"/>
      <c r="W476" s="319" t="s">
        <v>757</v>
      </c>
      <c r="X476" s="319"/>
      <c r="Y476" s="319"/>
      <c r="Z476" s="319"/>
      <c r="AA476" s="494">
        <v>300</v>
      </c>
      <c r="AB476" s="319"/>
      <c r="AC476" s="319"/>
      <c r="AD476" s="319"/>
      <c r="AE476" s="319"/>
      <c r="AF476" s="319"/>
      <c r="AG476" s="319"/>
      <c r="AH476" s="319"/>
      <c r="AI476" s="319"/>
      <c r="AJ476" s="319"/>
      <c r="AK476" s="319"/>
      <c r="AL476" s="319"/>
      <c r="AM476" s="319"/>
      <c r="AN476" s="319"/>
      <c r="AO476" s="319">
        <v>2050012</v>
      </c>
      <c r="AP476" s="319"/>
      <c r="AQ476" s="319"/>
      <c r="AR476" s="319"/>
      <c r="AS476" s="319"/>
      <c r="AT476" s="319"/>
      <c r="AU476" s="319"/>
      <c r="AV476" s="319"/>
      <c r="AW476" s="319"/>
      <c r="AX476" s="319"/>
      <c r="AY476" s="319"/>
      <c r="AZ476" s="319"/>
      <c r="BA476" s="319"/>
      <c r="BB476" s="319"/>
      <c r="BC476" s="319"/>
      <c r="BD476" s="319"/>
      <c r="BE476" s="319"/>
      <c r="BF476" s="319"/>
      <c r="BG476" s="319"/>
      <c r="BH476" s="319"/>
      <c r="BI476" s="319"/>
      <c r="BJ476" s="319"/>
      <c r="BK476" s="319"/>
      <c r="BL476" s="319"/>
      <c r="BM476" s="319"/>
      <c r="BN476" s="319"/>
      <c r="BO476" s="319"/>
      <c r="BP476" s="319"/>
      <c r="BQ476" s="319"/>
      <c r="BR476" s="319"/>
      <c r="BS476" s="319"/>
      <c r="BT476" s="319"/>
      <c r="BU476" s="319"/>
      <c r="BV476" s="319"/>
      <c r="BW476" s="319"/>
      <c r="BX476" s="319"/>
      <c r="BY476" s="319"/>
      <c r="BZ476" s="319"/>
      <c r="CA476" s="319"/>
      <c r="CB476" s="319"/>
      <c r="CC476" s="319"/>
      <c r="CD476" s="319"/>
      <c r="CE476" s="319"/>
      <c r="CF476" s="319"/>
    </row>
    <row r="477" spans="1:84" ht="12.75" customHeight="1">
      <c r="A477" s="12"/>
      <c r="B477" s="329" t="str">
        <f>B13</f>
        <v>Modelo</v>
      </c>
      <c r="C477" s="1152" t="s">
        <v>8854</v>
      </c>
      <c r="D477" s="1153"/>
      <c r="E477" s="1154"/>
      <c r="F477" s="1" t="str">
        <f>$J$1072 &amp; Lang_Unit</f>
        <v>23 unidade(s)</v>
      </c>
      <c r="G477" s="1"/>
      <c r="H477" s="1"/>
      <c r="I477" s="1"/>
      <c r="J477" s="1"/>
      <c r="K477" s="9"/>
      <c r="L477" s="1"/>
      <c r="M477" s="319"/>
      <c r="N477" s="319"/>
      <c r="O477" s="319" t="str">
        <f>Language!C1457</f>
        <v>a-Si</v>
      </c>
      <c r="P477" s="319">
        <v>0.11</v>
      </c>
      <c r="Q477" s="319">
        <v>45</v>
      </c>
      <c r="R477" s="319">
        <v>1.1000000000000001E-3</v>
      </c>
      <c r="S477" s="319"/>
      <c r="T477" s="319"/>
      <c r="U477" s="319"/>
      <c r="V477" s="319"/>
      <c r="W477" s="319"/>
      <c r="X477" s="319"/>
      <c r="Y477" s="319"/>
      <c r="Z477" s="319"/>
      <c r="AA477" s="319"/>
      <c r="AB477" s="319"/>
      <c r="AC477" s="319"/>
      <c r="AD477" s="319"/>
      <c r="AE477" s="319"/>
      <c r="AF477" s="319"/>
      <c r="AG477" s="319"/>
      <c r="AH477" s="319"/>
      <c r="AI477" s="319"/>
      <c r="AJ477" s="319"/>
      <c r="AK477" s="319"/>
      <c r="AL477" s="319"/>
      <c r="AM477" s="319"/>
      <c r="AN477" s="319"/>
      <c r="AO477" s="319">
        <v>2050014</v>
      </c>
      <c r="AP477" s="319"/>
      <c r="AQ477" s="319"/>
      <c r="AR477" s="319"/>
      <c r="AS477" s="319"/>
      <c r="AT477" s="319"/>
      <c r="AU477" s="319"/>
      <c r="AV477" s="319"/>
      <c r="AW477" s="319"/>
      <c r="AX477" s="319"/>
      <c r="AY477" s="319"/>
      <c r="AZ477" s="319"/>
      <c r="BA477" s="319"/>
      <c r="BB477" s="319"/>
      <c r="BC477" s="319"/>
      <c r="BD477" s="319"/>
      <c r="BE477" s="319"/>
      <c r="BF477" s="319"/>
      <c r="BG477" s="319"/>
      <c r="BH477" s="319"/>
      <c r="BI477" s="319"/>
      <c r="BJ477" s="319"/>
      <c r="BK477" s="319"/>
      <c r="BL477" s="319"/>
      <c r="BM477" s="319"/>
      <c r="BN477" s="319"/>
      <c r="BO477" s="319"/>
      <c r="BP477" s="319"/>
      <c r="BQ477" s="319"/>
      <c r="BR477" s="319"/>
      <c r="BS477" s="319"/>
      <c r="BT477" s="319"/>
      <c r="BU477" s="319"/>
      <c r="BV477" s="319"/>
      <c r="BW477" s="319"/>
      <c r="BX477" s="319"/>
      <c r="BY477" s="319"/>
      <c r="BZ477" s="319"/>
      <c r="CA477" s="319"/>
      <c r="CB477" s="319"/>
      <c r="CC477" s="319"/>
      <c r="CD477" s="319"/>
      <c r="CE477" s="319"/>
      <c r="CF477" s="319"/>
    </row>
    <row r="478" spans="1:84" ht="12.75" customHeight="1">
      <c r="A478" s="12"/>
      <c r="B478" s="329" t="str">
        <f>K817</f>
        <v>Eficiência</v>
      </c>
      <c r="C478" s="29" t="str">
        <f>$T$35</f>
        <v>%</v>
      </c>
      <c r="D478" s="411">
        <v>0.2</v>
      </c>
      <c r="E478" s="1"/>
      <c r="F478" s="1"/>
      <c r="G478" s="1"/>
      <c r="H478" s="1"/>
      <c r="I478" s="1"/>
      <c r="J478" s="1"/>
      <c r="K478" s="9"/>
      <c r="L478" s="1"/>
      <c r="M478" s="319"/>
      <c r="N478" s="319"/>
      <c r="O478" s="319" t="str">
        <f>Language!C1517</f>
        <v>CdTe</v>
      </c>
      <c r="P478" s="319">
        <v>7.0000000000000007E-2</v>
      </c>
      <c r="Q478" s="319">
        <v>46</v>
      </c>
      <c r="R478" s="319">
        <v>2.4099999999999998E-3</v>
      </c>
      <c r="S478" s="742">
        <f>IF(Offgrid=5,'Modelo Energético '!D302,D478)</f>
        <v>0.2</v>
      </c>
      <c r="T478" s="319" t="s">
        <v>222</v>
      </c>
      <c r="U478" s="319"/>
      <c r="V478" s="319"/>
      <c r="W478" s="319" t="s">
        <v>221</v>
      </c>
      <c r="X478" s="319"/>
      <c r="Y478" s="319"/>
      <c r="Z478" s="319"/>
      <c r="AA478" s="494">
        <v>1001</v>
      </c>
      <c r="AB478" s="319"/>
      <c r="AC478" s="319"/>
      <c r="AD478" s="319"/>
      <c r="AE478" s="319"/>
      <c r="AF478" s="319"/>
      <c r="AG478" s="319"/>
      <c r="AH478" s="319"/>
      <c r="AI478" s="319"/>
      <c r="AJ478" s="319"/>
      <c r="AK478" s="319"/>
      <c r="AL478" s="319"/>
      <c r="AM478" s="319"/>
      <c r="AN478" s="319"/>
      <c r="AO478" s="319">
        <v>2123010</v>
      </c>
      <c r="AP478" s="319"/>
      <c r="AQ478" s="319"/>
      <c r="AR478" s="319"/>
      <c r="AS478" s="319"/>
      <c r="AT478" s="319"/>
      <c r="AU478" s="319"/>
      <c r="AV478" s="319"/>
      <c r="AW478" s="319"/>
      <c r="AX478" s="319"/>
      <c r="AY478" s="319"/>
      <c r="AZ478" s="319"/>
      <c r="BA478" s="319"/>
      <c r="BB478" s="319"/>
      <c r="BC478" s="319"/>
      <c r="BD478" s="319"/>
      <c r="BE478" s="319"/>
      <c r="BF478" s="319"/>
      <c r="BG478" s="319"/>
      <c r="BH478" s="319"/>
      <c r="BI478" s="319"/>
      <c r="BJ478" s="319"/>
      <c r="BK478" s="319"/>
      <c r="BL478" s="319"/>
      <c r="BM478" s="319"/>
      <c r="BN478" s="319"/>
      <c r="BO478" s="319"/>
      <c r="BP478" s="319"/>
      <c r="BQ478" s="319"/>
      <c r="BR478" s="319"/>
      <c r="BS478" s="319"/>
      <c r="BT478" s="319"/>
      <c r="BU478" s="319"/>
      <c r="BV478" s="319"/>
      <c r="BW478" s="319"/>
      <c r="BX478" s="319"/>
      <c r="BY478" s="319"/>
      <c r="BZ478" s="319"/>
      <c r="CA478" s="319"/>
      <c r="CB478" s="319"/>
      <c r="CC478" s="319"/>
      <c r="CD478" s="319"/>
      <c r="CE478" s="319"/>
      <c r="CF478" s="319"/>
    </row>
    <row r="479" spans="1:84" ht="12.75" hidden="1" customHeight="1">
      <c r="A479" s="12"/>
      <c r="B479" s="329" t="str">
        <f>B481</f>
        <v>Temperatura de operação normal da célula</v>
      </c>
      <c r="C479" s="29" t="str">
        <f>C481</f>
        <v>°C</v>
      </c>
      <c r="D479" s="519"/>
      <c r="E479" s="1"/>
      <c r="F479" s="1"/>
      <c r="G479" s="1"/>
      <c r="H479" s="1"/>
      <c r="I479" s="1"/>
      <c r="J479" s="1"/>
      <c r="K479" s="9"/>
      <c r="L479" s="1"/>
      <c r="M479" s="319"/>
      <c r="N479" s="319"/>
      <c r="O479" s="319" t="str">
        <f>Language!C1530</f>
        <v>CIS</v>
      </c>
      <c r="P479" s="319">
        <v>7.4999999999999997E-2</v>
      </c>
      <c r="Q479" s="319">
        <v>47</v>
      </c>
      <c r="R479" s="319">
        <v>4.5999999999999999E-3</v>
      </c>
      <c r="S479" s="742"/>
      <c r="T479" s="319"/>
      <c r="U479" s="319"/>
      <c r="V479" s="319"/>
      <c r="W479" s="319"/>
      <c r="X479" s="319"/>
      <c r="Y479" s="319"/>
      <c r="Z479" s="319"/>
      <c r="AA479" s="494"/>
      <c r="AB479" s="319"/>
      <c r="AC479" s="319"/>
      <c r="AD479" s="319"/>
      <c r="AE479" s="319"/>
      <c r="AF479" s="319"/>
      <c r="AG479" s="319"/>
      <c r="AH479" s="319"/>
      <c r="AI479" s="319"/>
      <c r="AJ479" s="319"/>
      <c r="AK479" s="319"/>
      <c r="AL479" s="319"/>
      <c r="AM479" s="319"/>
      <c r="AN479" s="319"/>
      <c r="AO479" s="319">
        <v>2123012</v>
      </c>
      <c r="AP479" s="319"/>
      <c r="AQ479" s="319"/>
      <c r="AR479" s="319"/>
      <c r="AS479" s="319"/>
      <c r="AT479" s="319"/>
      <c r="AU479" s="319"/>
      <c r="AV479" s="319"/>
      <c r="AW479" s="319"/>
      <c r="AX479" s="319"/>
      <c r="AY479" s="319"/>
      <c r="AZ479" s="319"/>
      <c r="BA479" s="319"/>
      <c r="BB479" s="319"/>
      <c r="BC479" s="319"/>
      <c r="BD479" s="319"/>
      <c r="BE479" s="319"/>
      <c r="BF479" s="319"/>
      <c r="BG479" s="319"/>
      <c r="BH479" s="319"/>
      <c r="BI479" s="319"/>
      <c r="BJ479" s="319"/>
      <c r="BK479" s="319"/>
      <c r="BL479" s="319"/>
      <c r="BM479" s="319"/>
      <c r="BN479" s="319"/>
      <c r="BO479" s="319"/>
      <c r="BP479" s="319"/>
      <c r="BQ479" s="319"/>
      <c r="BR479" s="319"/>
      <c r="BS479" s="319"/>
      <c r="BT479" s="319"/>
      <c r="BU479" s="319"/>
      <c r="BV479" s="319"/>
      <c r="BW479" s="319"/>
      <c r="BX479" s="319"/>
      <c r="BY479" s="319"/>
      <c r="BZ479" s="319"/>
      <c r="CA479" s="319"/>
      <c r="CB479" s="319"/>
      <c r="CC479" s="319"/>
      <c r="CD479" s="319"/>
      <c r="CE479" s="319"/>
      <c r="CF479" s="319"/>
    </row>
    <row r="480" spans="1:84" ht="12.75" hidden="1" customHeight="1">
      <c r="A480" s="12"/>
      <c r="B480" s="329" t="str">
        <f>B482</f>
        <v>Coeficiente de Temperatura</v>
      </c>
      <c r="C480" s="29" t="str">
        <f>C482</f>
        <v>% / °C</v>
      </c>
      <c r="D480" s="804"/>
      <c r="E480" s="1"/>
      <c r="F480" s="1"/>
      <c r="G480" s="1"/>
      <c r="H480" s="1"/>
      <c r="I480" s="1"/>
      <c r="J480" s="1"/>
      <c r="K480" s="9"/>
      <c r="L480" s="1"/>
      <c r="M480" s="319"/>
      <c r="N480" s="319"/>
      <c r="O480" s="319" t="str">
        <f>Language!C1996</f>
        <v>esfera-Si</v>
      </c>
      <c r="P480" s="319">
        <v>9.4E-2</v>
      </c>
      <c r="Q480" s="319">
        <v>45</v>
      </c>
      <c r="R480" s="319">
        <v>4.0000000000000001E-3</v>
      </c>
      <c r="S480" s="742"/>
      <c r="T480" s="319"/>
      <c r="U480" s="319"/>
      <c r="V480" s="319"/>
      <c r="W480" s="319"/>
      <c r="X480" s="319"/>
      <c r="Y480" s="319"/>
      <c r="Z480" s="319"/>
      <c r="AA480" s="494"/>
      <c r="AB480" s="319"/>
      <c r="AC480" s="319"/>
      <c r="AD480" s="319"/>
      <c r="AE480" s="319"/>
      <c r="AF480" s="319"/>
      <c r="AG480" s="319"/>
      <c r="AH480" s="319"/>
      <c r="AI480" s="319"/>
      <c r="AJ480" s="319"/>
      <c r="AK480" s="319"/>
      <c r="AL480" s="319"/>
      <c r="AM480" s="319"/>
      <c r="AN480" s="319"/>
      <c r="AO480" s="319">
        <v>2123014</v>
      </c>
      <c r="AP480" s="319"/>
      <c r="AQ480" s="319"/>
      <c r="AR480" s="319"/>
      <c r="AS480" s="319"/>
      <c r="AT480" s="319"/>
      <c r="AU480" s="319"/>
      <c r="AV480" s="319"/>
      <c r="AW480" s="319"/>
      <c r="AX480" s="319"/>
      <c r="AY480" s="319"/>
      <c r="AZ480" s="319"/>
      <c r="BA480" s="319"/>
      <c r="BB480" s="319"/>
      <c r="BC480" s="319"/>
      <c r="BD480" s="319"/>
      <c r="BE480" s="319"/>
      <c r="BF480" s="319"/>
      <c r="BG480" s="319"/>
      <c r="BH480" s="319"/>
      <c r="BI480" s="319"/>
      <c r="BJ480" s="319"/>
      <c r="BK480" s="319"/>
      <c r="BL480" s="319"/>
      <c r="BM480" s="319"/>
      <c r="BN480" s="319"/>
      <c r="BO480" s="319"/>
      <c r="BP480" s="319"/>
      <c r="BQ480" s="319"/>
      <c r="BR480" s="319"/>
      <c r="BS480" s="319"/>
      <c r="BT480" s="319"/>
      <c r="BU480" s="319"/>
      <c r="BV480" s="319"/>
      <c r="BW480" s="319"/>
      <c r="BX480" s="319"/>
      <c r="BY480" s="319"/>
      <c r="BZ480" s="319"/>
      <c r="CA480" s="319"/>
      <c r="CB480" s="319"/>
      <c r="CC480" s="319"/>
      <c r="CD480" s="319"/>
      <c r="CE480" s="319"/>
      <c r="CF480" s="319"/>
    </row>
    <row r="481" spans="1:84" ht="12.75" customHeight="1">
      <c r="A481" s="12"/>
      <c r="B481" s="329" t="str">
        <f>Language!C1519</f>
        <v>Temperatura de operação normal da célula</v>
      </c>
      <c r="C481" s="29" t="str">
        <f>Language!C1310</f>
        <v>°C</v>
      </c>
      <c r="D481" s="29">
        <f>IF(ModTypeIndex&gt;4,IF(Offgrid=5,'Modelo Energético '!D303,D479),VLOOKUP(S474,O475:Q481,3,FALSE))</f>
        <v>45</v>
      </c>
      <c r="E481" s="1"/>
      <c r="F481" s="29" t="str">
        <f>IF($M$3=FALSE,"",Z1108)</f>
        <v/>
      </c>
      <c r="G481" s="140" t="str">
        <f>IF($M$3=FALSE,"",ModNOCT*1.8+32)</f>
        <v/>
      </c>
      <c r="H481" s="1"/>
      <c r="I481" s="1"/>
      <c r="J481" s="1"/>
      <c r="K481" s="9"/>
      <c r="L481" s="1"/>
      <c r="M481" s="319"/>
      <c r="N481" s="319"/>
      <c r="O481" s="319" t="str">
        <f>Language!C142</f>
        <v>Outro</v>
      </c>
      <c r="P481" s="319">
        <v>0.1</v>
      </c>
      <c r="Q481" s="319">
        <v>48</v>
      </c>
      <c r="R481" s="319">
        <v>3.5000000000000001E-3</v>
      </c>
      <c r="S481" s="319"/>
      <c r="T481" s="319"/>
      <c r="U481" s="319"/>
      <c r="V481" s="319"/>
      <c r="W481" s="319"/>
      <c r="X481" s="319"/>
      <c r="Y481" s="319"/>
      <c r="Z481" s="319"/>
      <c r="AA481" s="319"/>
      <c r="AB481" s="319"/>
      <c r="AC481" s="319"/>
      <c r="AD481" s="319"/>
      <c r="AE481" s="319"/>
      <c r="AF481" s="319"/>
      <c r="AG481" s="319"/>
      <c r="AH481" s="319"/>
      <c r="AI481" s="319"/>
      <c r="AJ481" s="319"/>
      <c r="AK481" s="319"/>
      <c r="AL481" s="319"/>
      <c r="AM481" s="319"/>
      <c r="AN481" s="319"/>
      <c r="AO481" s="319">
        <v>2123012</v>
      </c>
      <c r="AP481" s="319"/>
      <c r="AQ481" s="319"/>
      <c r="AR481" s="319"/>
      <c r="AS481" s="319"/>
      <c r="AT481" s="319"/>
      <c r="AU481" s="319"/>
      <c r="AV481" s="319"/>
      <c r="AW481" s="319"/>
      <c r="AX481" s="319"/>
      <c r="AY481" s="319"/>
      <c r="AZ481" s="319"/>
      <c r="BA481" s="319"/>
      <c r="BB481" s="319"/>
      <c r="BC481" s="319"/>
      <c r="BD481" s="319"/>
      <c r="BE481" s="319"/>
      <c r="BF481" s="319"/>
      <c r="BG481" s="319"/>
      <c r="BH481" s="319"/>
      <c r="BI481" s="319"/>
      <c r="BJ481" s="319"/>
      <c r="BK481" s="319"/>
      <c r="BL481" s="319"/>
      <c r="BM481" s="319"/>
      <c r="BN481" s="319"/>
      <c r="BO481" s="319"/>
      <c r="BP481" s="319"/>
      <c r="BQ481" s="319"/>
      <c r="BR481" s="319"/>
      <c r="BS481" s="319"/>
      <c r="BT481" s="319"/>
      <c r="BU481" s="319"/>
      <c r="BV481" s="319"/>
      <c r="BW481" s="319"/>
      <c r="BX481" s="319"/>
      <c r="BY481" s="319"/>
      <c r="BZ481" s="319"/>
      <c r="CA481" s="319"/>
      <c r="CB481" s="319"/>
      <c r="CC481" s="319"/>
      <c r="CD481" s="319"/>
      <c r="CE481" s="319"/>
      <c r="CF481" s="319"/>
    </row>
    <row r="482" spans="1:84" ht="12.75" customHeight="1">
      <c r="A482" s="12"/>
      <c r="B482" s="329" t="str">
        <f>Language!C2016</f>
        <v>Coeficiente de Temperatura</v>
      </c>
      <c r="C482" s="29" t="str">
        <f>Language!C2176</f>
        <v>% / °C</v>
      </c>
      <c r="D482" s="122">
        <f>IF(ModTypeIndex&gt;4,IF(Offgrid=5,'Modelo Energético '!D304,D480),VLOOKUP(S474,O475:R481,4,FALSE))</f>
        <v>4.0000000000000001E-3</v>
      </c>
      <c r="E482" s="1"/>
      <c r="F482" s="1"/>
      <c r="G482" s="1"/>
      <c r="H482" s="1"/>
      <c r="I482" s="1"/>
      <c r="J482" s="1"/>
      <c r="K482" s="9"/>
      <c r="L482" s="1"/>
      <c r="M482" s="319"/>
      <c r="N482" s="319"/>
      <c r="O482" s="319" t="str">
        <f>Q317</f>
        <v>Definido pelo usuário</v>
      </c>
      <c r="P482" s="319">
        <v>0.1</v>
      </c>
      <c r="Q482" s="319">
        <v>48</v>
      </c>
      <c r="R482" s="319">
        <v>3.5000000000000001E-3</v>
      </c>
      <c r="S482" s="319"/>
      <c r="T482" s="319"/>
      <c r="U482" s="319"/>
      <c r="V482" s="319"/>
      <c r="W482" s="319"/>
      <c r="X482" s="319"/>
      <c r="Y482" s="319"/>
      <c r="Z482" s="319"/>
      <c r="AA482" s="319"/>
      <c r="AB482" s="319"/>
      <c r="AC482" s="319"/>
      <c r="AD482" s="319"/>
      <c r="AE482" s="319"/>
      <c r="AF482" s="319"/>
      <c r="AG482" s="319"/>
      <c r="AH482" s="319"/>
      <c r="AI482" s="319"/>
      <c r="AJ482" s="319"/>
      <c r="AK482" s="319"/>
      <c r="AL482" s="319"/>
      <c r="AM482" s="319"/>
      <c r="AN482" s="319"/>
      <c r="AO482" s="319">
        <v>2123014</v>
      </c>
      <c r="AP482" s="319"/>
      <c r="AQ482" s="319"/>
      <c r="AR482" s="319"/>
      <c r="AS482" s="319"/>
      <c r="AT482" s="319"/>
      <c r="AU482" s="319"/>
      <c r="AV482" s="319"/>
      <c r="AW482" s="319"/>
      <c r="AX482" s="319"/>
      <c r="AY482" s="319"/>
      <c r="AZ482" s="319"/>
      <c r="BA482" s="319"/>
      <c r="BB482" s="319"/>
      <c r="BC482" s="319"/>
      <c r="BD482" s="319"/>
      <c r="BE482" s="319"/>
      <c r="BF482" s="319"/>
      <c r="BG482" s="319"/>
      <c r="BH482" s="319"/>
      <c r="BI482" s="319"/>
      <c r="BJ482" s="319"/>
      <c r="BK482" s="319"/>
      <c r="BL482" s="319"/>
      <c r="BM482" s="319"/>
      <c r="BN482" s="319"/>
      <c r="BO482" s="319"/>
      <c r="BP482" s="319"/>
      <c r="BQ482" s="319"/>
      <c r="BR482" s="319"/>
      <c r="BS482" s="319"/>
      <c r="BT482" s="319"/>
      <c r="BU482" s="319"/>
      <c r="BV482" s="319"/>
      <c r="BW482" s="319"/>
      <c r="BX482" s="319"/>
      <c r="BY482" s="319"/>
      <c r="BZ482" s="319"/>
      <c r="CA482" s="319"/>
      <c r="CB482" s="319"/>
      <c r="CC482" s="319"/>
      <c r="CD482" s="319"/>
      <c r="CE482" s="319"/>
      <c r="CF482" s="319"/>
    </row>
    <row r="483" spans="1:84" ht="12.75" customHeight="1">
      <c r="A483" s="12"/>
      <c r="B483" s="329" t="str">
        <f>Language!C1981</f>
        <v>Àrea do coletor solar</v>
      </c>
      <c r="C483" s="29" t="str">
        <f>Language!C1374</f>
        <v>m²</v>
      </c>
      <c r="D483" s="30">
        <f>S475/ModEff</f>
        <v>18.974999999999998</v>
      </c>
      <c r="E483" s="1"/>
      <c r="F483" s="29" t="str">
        <f>IF($M$3=FALSE,"",$AC$1081)</f>
        <v/>
      </c>
      <c r="G483" s="30" t="str">
        <f>IF($M$3=FALSE,"",D483*$AD$1081)</f>
        <v/>
      </c>
      <c r="H483" s="1"/>
      <c r="I483" s="1"/>
      <c r="J483" s="1"/>
      <c r="K483" s="9"/>
      <c r="L483" s="1"/>
      <c r="M483" s="319"/>
      <c r="N483" s="319"/>
      <c r="O483" s="319"/>
      <c r="P483" s="319"/>
      <c r="Q483" s="319"/>
      <c r="R483" s="319"/>
      <c r="S483" s="319"/>
      <c r="T483" s="319"/>
      <c r="U483" s="319"/>
      <c r="V483" s="319"/>
      <c r="W483" s="319"/>
      <c r="X483" s="319"/>
      <c r="Y483" s="319"/>
      <c r="Z483" s="319"/>
      <c r="AA483" s="319"/>
      <c r="AB483" s="319"/>
      <c r="AC483" s="319"/>
      <c r="AD483" s="319"/>
      <c r="AE483" s="319"/>
      <c r="AF483" s="319"/>
      <c r="AG483" s="319"/>
      <c r="AH483" s="319"/>
      <c r="AI483" s="319"/>
      <c r="AJ483" s="319"/>
      <c r="AK483" s="319"/>
      <c r="AL483" s="319"/>
      <c r="AM483" s="319"/>
      <c r="AN483" s="319"/>
      <c r="AO483" s="319">
        <v>2123016</v>
      </c>
      <c r="AP483" s="319"/>
      <c r="AQ483" s="319"/>
      <c r="AR483" s="319"/>
      <c r="AS483" s="319"/>
      <c r="AT483" s="319"/>
      <c r="AU483" s="319"/>
      <c r="AV483" s="319"/>
      <c r="AW483" s="319"/>
      <c r="AX483" s="319"/>
      <c r="AY483" s="319"/>
      <c r="AZ483" s="319"/>
      <c r="BA483" s="319"/>
      <c r="BB483" s="319"/>
      <c r="BC483" s="319"/>
      <c r="BD483" s="319"/>
      <c r="BE483" s="319"/>
      <c r="BF483" s="319"/>
      <c r="BG483" s="319"/>
      <c r="BH483" s="319"/>
      <c r="BI483" s="319"/>
      <c r="BJ483" s="319"/>
      <c r="BK483" s="319"/>
      <c r="BL483" s="319"/>
      <c r="BM483" s="319"/>
      <c r="BN483" s="319"/>
      <c r="BO483" s="319"/>
      <c r="BP483" s="319"/>
      <c r="BQ483" s="319"/>
      <c r="BR483" s="319"/>
      <c r="BS483" s="319"/>
      <c r="BT483" s="319"/>
      <c r="BU483" s="319"/>
      <c r="BV483" s="319"/>
      <c r="BW483" s="319"/>
      <c r="BX483" s="319"/>
      <c r="BY483" s="319"/>
      <c r="BZ483" s="319"/>
      <c r="CA483" s="319"/>
      <c r="CB483" s="319"/>
      <c r="CC483" s="319"/>
      <c r="CD483" s="319"/>
      <c r="CE483" s="319"/>
      <c r="CF483" s="319"/>
    </row>
    <row r="484" spans="1:84" ht="12.75" customHeight="1">
      <c r="A484" s="12"/>
      <c r="B484" s="329" t="str">
        <f>Language!C1560</f>
        <v>Método de Controle</v>
      </c>
      <c r="C484" s="1133" t="s">
        <v>7593</v>
      </c>
      <c r="D484" s="1134"/>
      <c r="E484" s="1135"/>
      <c r="F484" s="1"/>
      <c r="G484" s="28"/>
      <c r="H484" s="1"/>
      <c r="I484" s="1"/>
      <c r="J484" s="1"/>
      <c r="K484" s="9"/>
      <c r="L484" s="1"/>
      <c r="M484" s="319"/>
      <c r="N484" s="319"/>
      <c r="O484" s="319"/>
      <c r="P484" s="319"/>
      <c r="Q484" s="319"/>
      <c r="R484" s="319"/>
      <c r="S484" s="319" t="str">
        <f>IF(Offgrid=5,'Modelo Energético '!C308,C484)</f>
        <v>Otimização do ponto de potência máxima</v>
      </c>
      <c r="T484" s="319"/>
      <c r="U484" s="319"/>
      <c r="V484" s="319"/>
      <c r="W484" s="319"/>
      <c r="X484" s="319"/>
      <c r="Y484" s="319"/>
      <c r="Z484" s="319"/>
      <c r="AA484" s="319"/>
      <c r="AB484" s="319"/>
      <c r="AC484" s="319"/>
      <c r="AD484" s="319"/>
      <c r="AE484" s="319"/>
      <c r="AF484" s="319"/>
      <c r="AG484" s="319"/>
      <c r="AH484" s="319"/>
      <c r="AI484" s="319"/>
      <c r="AJ484" s="319"/>
      <c r="AK484" s="319"/>
      <c r="AL484" s="319"/>
      <c r="AM484" s="319"/>
      <c r="AN484" s="319"/>
      <c r="AO484" s="319">
        <v>5030038</v>
      </c>
      <c r="AP484" s="319"/>
      <c r="AQ484" s="319"/>
      <c r="AR484" s="319"/>
      <c r="AS484" s="319"/>
      <c r="AT484" s="319"/>
      <c r="AU484" s="319"/>
      <c r="AV484" s="319"/>
      <c r="AW484" s="319"/>
      <c r="AX484" s="319"/>
      <c r="AY484" s="319"/>
      <c r="AZ484" s="319"/>
      <c r="BA484" s="319"/>
      <c r="BB484" s="319"/>
      <c r="BC484" s="319"/>
      <c r="BD484" s="319"/>
      <c r="BE484" s="319"/>
      <c r="BF484" s="319"/>
      <c r="BG484" s="319"/>
      <c r="BH484" s="319"/>
      <c r="BI484" s="319"/>
      <c r="BJ484" s="319"/>
      <c r="BK484" s="319"/>
      <c r="BL484" s="319"/>
      <c r="BM484" s="319"/>
      <c r="BN484" s="319"/>
      <c r="BO484" s="319"/>
      <c r="BP484" s="319"/>
      <c r="BQ484" s="319"/>
      <c r="BR484" s="319"/>
      <c r="BS484" s="319"/>
      <c r="BT484" s="319"/>
      <c r="BU484" s="319"/>
      <c r="BV484" s="319"/>
      <c r="BW484" s="319"/>
      <c r="BX484" s="319"/>
      <c r="BY484" s="319"/>
      <c r="BZ484" s="319"/>
      <c r="CA484" s="319"/>
      <c r="CB484" s="319"/>
      <c r="CC484" s="319"/>
      <c r="CD484" s="319"/>
      <c r="CE484" s="319"/>
      <c r="CF484" s="319"/>
    </row>
    <row r="485" spans="1:84" ht="12.75" customHeight="1">
      <c r="A485" s="12"/>
      <c r="B485" s="329" t="str">
        <f>Language!C1820</f>
        <v>Perdas diversas</v>
      </c>
      <c r="C485" s="29" t="str">
        <f>$T$35</f>
        <v>%</v>
      </c>
      <c r="D485" s="422">
        <v>0.15</v>
      </c>
      <c r="E485" s="1"/>
      <c r="F485" s="1"/>
      <c r="G485" s="8"/>
      <c r="H485" s="8"/>
      <c r="I485" s="8"/>
      <c r="J485" s="8"/>
      <c r="K485" s="9"/>
      <c r="L485" s="1"/>
      <c r="M485" s="319">
        <f>IF(ISERROR(MATCH(Addr_type,O475:O482, 0)-1),-1,MATCH(Addr_type,O475:O482, 0)-1)</f>
        <v>1</v>
      </c>
      <c r="N485" s="319" t="s">
        <v>2560</v>
      </c>
      <c r="O485" s="319"/>
      <c r="P485" s="319"/>
      <c r="Q485" s="319"/>
      <c r="R485" s="319"/>
      <c r="S485" s="319">
        <f>IF(Offgrid=5,'Modelo Energético '!D309,D485)</f>
        <v>0.15</v>
      </c>
      <c r="T485" s="319"/>
      <c r="U485" s="319"/>
      <c r="V485" s="319"/>
      <c r="W485" s="319"/>
      <c r="X485" s="319"/>
      <c r="Y485" s="319"/>
      <c r="Z485" s="319"/>
      <c r="AA485" s="319"/>
      <c r="AB485" s="319"/>
      <c r="AC485" s="319"/>
      <c r="AD485" s="319"/>
      <c r="AE485" s="319"/>
      <c r="AF485" s="319"/>
      <c r="AG485" s="319"/>
      <c r="AH485" s="319"/>
      <c r="AI485" s="319"/>
      <c r="AJ485" s="319"/>
      <c r="AK485" s="319"/>
      <c r="AL485" s="319"/>
      <c r="AM485" s="319"/>
      <c r="AN485" s="319"/>
      <c r="AO485" s="319">
        <v>2123020</v>
      </c>
      <c r="AP485" s="319"/>
      <c r="AQ485" s="319"/>
      <c r="AR485" s="319"/>
      <c r="AS485" s="319"/>
      <c r="AT485" s="319"/>
      <c r="AU485" s="319"/>
      <c r="AV485" s="319"/>
      <c r="AW485" s="319"/>
      <c r="AX485" s="319"/>
      <c r="AY485" s="319"/>
      <c r="AZ485" s="319"/>
      <c r="BA485" s="319"/>
      <c r="BB485" s="319"/>
      <c r="BC485" s="319"/>
      <c r="BD485" s="319"/>
      <c r="BE485" s="319"/>
      <c r="BF485" s="319"/>
      <c r="BG485" s="319"/>
      <c r="BH485" s="319"/>
      <c r="BI485" s="319"/>
      <c r="BJ485" s="319"/>
      <c r="BK485" s="319"/>
      <c r="BL485" s="319"/>
      <c r="BM485" s="319"/>
      <c r="BN485" s="319"/>
      <c r="BO485" s="319"/>
      <c r="BP485" s="319"/>
      <c r="BQ485" s="319"/>
      <c r="BR485" s="319"/>
      <c r="BS485" s="319"/>
      <c r="BT485" s="319"/>
      <c r="BU485" s="319"/>
      <c r="BV485" s="319"/>
      <c r="BW485" s="319"/>
      <c r="BX485" s="319"/>
      <c r="BY485" s="319"/>
      <c r="BZ485" s="319"/>
      <c r="CA485" s="319"/>
      <c r="CB485" s="319"/>
      <c r="CC485" s="319"/>
      <c r="CD485" s="319"/>
      <c r="CE485" s="319"/>
      <c r="CF485" s="319"/>
    </row>
    <row r="486" spans="1:84" ht="12.75" customHeight="1">
      <c r="A486" s="12"/>
      <c r="B486" s="1"/>
      <c r="C486" s="1"/>
      <c r="D486" s="1"/>
      <c r="E486" s="1"/>
      <c r="F486" s="1"/>
      <c r="G486" s="8"/>
      <c r="H486" s="8"/>
      <c r="I486" s="8"/>
      <c r="J486" s="8"/>
      <c r="K486" s="9"/>
      <c r="L486" s="1"/>
      <c r="M486" s="319"/>
      <c r="N486" s="319"/>
      <c r="O486" s="494"/>
      <c r="P486" s="319"/>
      <c r="Q486" s="319"/>
      <c r="R486" s="319"/>
      <c r="S486" s="319"/>
      <c r="T486" s="319"/>
      <c r="U486" s="319"/>
      <c r="V486" s="319"/>
      <c r="W486" s="319"/>
      <c r="X486" s="319"/>
      <c r="Y486" s="319"/>
      <c r="Z486" s="319"/>
      <c r="AA486" s="319"/>
      <c r="AB486" s="319"/>
      <c r="AC486" s="319"/>
      <c r="AD486" s="319"/>
      <c r="AE486" s="319"/>
      <c r="AF486" s="319"/>
      <c r="AG486" s="319"/>
      <c r="AH486" s="319"/>
      <c r="AI486" s="319"/>
      <c r="AJ486" s="319"/>
      <c r="AK486" s="319"/>
      <c r="AL486" s="319"/>
      <c r="AM486" s="319"/>
      <c r="AN486" s="319"/>
      <c r="AO486" s="319">
        <v>2123000</v>
      </c>
      <c r="AP486" s="319"/>
      <c r="AQ486" s="319"/>
      <c r="AR486" s="319"/>
      <c r="AS486" s="319"/>
      <c r="AT486" s="319"/>
      <c r="AU486" s="319"/>
      <c r="AV486" s="319"/>
      <c r="AW486" s="319"/>
      <c r="AX486" s="319"/>
      <c r="AY486" s="319"/>
      <c r="AZ486" s="319"/>
      <c r="BA486" s="319"/>
      <c r="BB486" s="319"/>
      <c r="BC486" s="319"/>
      <c r="BD486" s="319"/>
      <c r="BE486" s="319"/>
      <c r="BF486" s="319"/>
      <c r="BG486" s="319"/>
      <c r="BH486" s="319"/>
      <c r="BI486" s="319"/>
      <c r="BJ486" s="319"/>
      <c r="BK486" s="319"/>
      <c r="BL486" s="319"/>
      <c r="BM486" s="319"/>
      <c r="BN486" s="319"/>
      <c r="BO486" s="319"/>
      <c r="BP486" s="319"/>
      <c r="BQ486" s="319"/>
      <c r="BR486" s="319"/>
      <c r="BS486" s="319"/>
      <c r="BT486" s="319"/>
      <c r="BU486" s="319"/>
      <c r="BV486" s="319"/>
      <c r="BW486" s="319"/>
      <c r="BX486" s="319"/>
      <c r="BY486" s="319"/>
      <c r="BZ486" s="319"/>
      <c r="CA486" s="319"/>
      <c r="CB486" s="319"/>
      <c r="CC486" s="319"/>
      <c r="CD486" s="319"/>
      <c r="CE486" s="319"/>
      <c r="CF486" s="319"/>
    </row>
    <row r="487" spans="1:84" ht="12.75" customHeight="1">
      <c r="A487" s="12"/>
      <c r="B487" s="28" t="str">
        <f>Language!C1761</f>
        <v>Inversor</v>
      </c>
      <c r="C487" s="1"/>
      <c r="D487" s="1"/>
      <c r="E487" s="1"/>
      <c r="F487" s="1"/>
      <c r="G487" s="1"/>
      <c r="H487" s="1"/>
      <c r="I487" s="1"/>
      <c r="J487" s="29"/>
      <c r="K487" s="262"/>
      <c r="L487" s="1"/>
      <c r="M487" s="319"/>
      <c r="N487" s="319"/>
      <c r="O487" s="319"/>
      <c r="P487" s="319"/>
      <c r="Q487" s="319"/>
      <c r="R487" s="319"/>
      <c r="S487" s="319"/>
      <c r="T487" s="319"/>
      <c r="U487" s="319"/>
      <c r="V487" s="319"/>
      <c r="W487" s="319"/>
      <c r="X487" s="319"/>
      <c r="Y487" s="319"/>
      <c r="Z487" s="319"/>
      <c r="AA487" s="319"/>
      <c r="AB487" s="319"/>
      <c r="AC487" s="319"/>
      <c r="AD487" s="319"/>
      <c r="AE487" s="319"/>
      <c r="AF487" s="319"/>
      <c r="AG487" s="319"/>
      <c r="AH487" s="319"/>
      <c r="AI487" s="319"/>
      <c r="AJ487" s="319"/>
      <c r="AK487" s="319"/>
      <c r="AL487" s="319"/>
      <c r="AM487" s="319"/>
      <c r="AN487" s="319"/>
      <c r="AO487" s="319">
        <v>2124000</v>
      </c>
      <c r="AP487" s="319"/>
      <c r="AQ487" s="319"/>
      <c r="AR487" s="319"/>
      <c r="AS487" s="319"/>
      <c r="AT487" s="319"/>
      <c r="AU487" s="319"/>
      <c r="AV487" s="319"/>
      <c r="AW487" s="319"/>
      <c r="AX487" s="319"/>
      <c r="AY487" s="319"/>
      <c r="AZ487" s="319"/>
      <c r="BA487" s="319"/>
      <c r="BB487" s="319"/>
      <c r="BC487" s="319"/>
      <c r="BD487" s="319"/>
      <c r="BE487" s="319"/>
      <c r="BF487" s="319"/>
      <c r="BG487" s="319"/>
      <c r="BH487" s="319"/>
      <c r="BI487" s="319"/>
      <c r="BJ487" s="319"/>
      <c r="BK487" s="319"/>
      <c r="BL487" s="319"/>
      <c r="BM487" s="319"/>
      <c r="BN487" s="319"/>
      <c r="BO487" s="319"/>
      <c r="BP487" s="319"/>
      <c r="BQ487" s="319"/>
      <c r="BR487" s="319"/>
      <c r="BS487" s="319"/>
      <c r="BT487" s="319"/>
      <c r="BU487" s="319"/>
      <c r="BV487" s="319"/>
      <c r="BW487" s="319"/>
      <c r="BX487" s="319"/>
      <c r="BY487" s="319"/>
      <c r="BZ487" s="319"/>
      <c r="CA487" s="319"/>
      <c r="CB487" s="319"/>
      <c r="CC487" s="319"/>
      <c r="CD487" s="319"/>
      <c r="CE487" s="319"/>
      <c r="CF487" s="319"/>
    </row>
    <row r="488" spans="1:84" ht="12.75" customHeight="1">
      <c r="A488" s="12"/>
      <c r="B488" s="329" t="str">
        <f>B478</f>
        <v>Eficiência</v>
      </c>
      <c r="C488" s="29" t="str">
        <f>$T$35</f>
        <v>%</v>
      </c>
      <c r="D488" s="422">
        <v>0.95</v>
      </c>
      <c r="E488" s="1"/>
      <c r="F488" s="1"/>
      <c r="G488" s="1"/>
      <c r="H488" s="1"/>
      <c r="I488" s="1"/>
      <c r="J488" s="29"/>
      <c r="K488" s="262"/>
      <c r="L488" s="1"/>
      <c r="M488" s="319"/>
      <c r="N488" s="319"/>
      <c r="O488" s="319">
        <f>IF(Offgrid=5,1,D488)</f>
        <v>0.95</v>
      </c>
      <c r="P488" s="319"/>
      <c r="Q488" s="319"/>
      <c r="R488" s="319"/>
      <c r="S488" s="319"/>
      <c r="T488" s="319"/>
      <c r="U488" s="319"/>
      <c r="V488" s="319"/>
      <c r="W488" s="319"/>
      <c r="X488" s="319"/>
      <c r="Y488" s="319"/>
      <c r="Z488" s="319"/>
      <c r="AA488" s="319"/>
      <c r="AB488" s="319"/>
      <c r="AC488" s="319"/>
      <c r="AD488" s="319"/>
      <c r="AE488" s="319"/>
      <c r="AF488" s="319"/>
      <c r="AG488" s="319"/>
      <c r="AH488" s="319"/>
      <c r="AI488" s="319"/>
      <c r="AJ488" s="319"/>
      <c r="AK488" s="319"/>
      <c r="AL488" s="319"/>
      <c r="AM488" s="319"/>
      <c r="AN488" s="319"/>
      <c r="AO488" s="319">
        <v>2124002</v>
      </c>
      <c r="AP488" s="319"/>
      <c r="AQ488" s="319"/>
      <c r="AR488" s="319"/>
      <c r="AS488" s="319"/>
      <c r="AT488" s="319"/>
      <c r="AU488" s="319"/>
      <c r="AV488" s="319"/>
      <c r="AW488" s="319"/>
      <c r="AX488" s="319"/>
      <c r="AY488" s="319"/>
      <c r="AZ488" s="319"/>
      <c r="BA488" s="319"/>
      <c r="BB488" s="319"/>
      <c r="BC488" s="319"/>
      <c r="BD488" s="319"/>
      <c r="BE488" s="319"/>
      <c r="BF488" s="319"/>
      <c r="BG488" s="319"/>
      <c r="BH488" s="319"/>
      <c r="BI488" s="319"/>
      <c r="BJ488" s="319"/>
      <c r="BK488" s="319"/>
      <c r="BL488" s="319"/>
      <c r="BM488" s="319"/>
      <c r="BN488" s="319"/>
      <c r="BO488" s="319"/>
      <c r="BP488" s="319"/>
      <c r="BQ488" s="319"/>
      <c r="BR488" s="319"/>
      <c r="BS488" s="319"/>
      <c r="BT488" s="319"/>
      <c r="BU488" s="319"/>
      <c r="BV488" s="319"/>
      <c r="BW488" s="319"/>
      <c r="BX488" s="319"/>
      <c r="BY488" s="319"/>
      <c r="BZ488" s="319"/>
      <c r="CA488" s="319"/>
      <c r="CB488" s="319"/>
      <c r="CC488" s="319"/>
      <c r="CD488" s="319"/>
      <c r="CE488" s="319"/>
      <c r="CF488" s="319"/>
    </row>
    <row r="489" spans="1:84" ht="12.75" customHeight="1">
      <c r="A489" s="12"/>
      <c r="B489" s="329" t="str">
        <f>B10</f>
        <v>Capacidade</v>
      </c>
      <c r="C489" s="29" t="str">
        <f>C475</f>
        <v>kW</v>
      </c>
      <c r="D489" s="382">
        <f>NomPVPower*D488*(1-D485)</f>
        <v>3.0644624999999999</v>
      </c>
      <c r="E489" s="1"/>
      <c r="F489" s="1"/>
      <c r="G489" s="1"/>
      <c r="H489" s="1"/>
      <c r="I489" s="1"/>
      <c r="J489" s="29"/>
      <c r="K489" s="262"/>
      <c r="L489" s="1"/>
      <c r="M489" s="319"/>
      <c r="N489" s="319"/>
      <c r="O489" s="319">
        <f>IF(S484=W489,0,1)</f>
        <v>0</v>
      </c>
      <c r="P489" s="319"/>
      <c r="Q489" s="319"/>
      <c r="R489" s="319"/>
      <c r="S489" s="319"/>
      <c r="T489" s="319"/>
      <c r="U489" s="319"/>
      <c r="V489" s="319"/>
      <c r="W489" s="319" t="str">
        <f>Language!C1825</f>
        <v>Otimização do ponto de potência máxima</v>
      </c>
      <c r="X489" s="319"/>
      <c r="Y489" s="319"/>
      <c r="Z489" s="319"/>
      <c r="AA489" s="319"/>
      <c r="AB489" s="319"/>
      <c r="AC489" s="319"/>
      <c r="AD489" s="319"/>
      <c r="AE489" s="319"/>
      <c r="AF489" s="319"/>
      <c r="AG489" s="319"/>
      <c r="AH489" s="319"/>
      <c r="AI489" s="319"/>
      <c r="AJ489" s="319"/>
      <c r="AK489" s="319"/>
      <c r="AL489" s="319"/>
      <c r="AM489" s="319"/>
      <c r="AN489" s="319"/>
      <c r="AO489" s="319">
        <v>2124004</v>
      </c>
      <c r="AP489" s="319"/>
      <c r="AQ489" s="319"/>
      <c r="AR489" s="319"/>
      <c r="AS489" s="319"/>
      <c r="AT489" s="319"/>
      <c r="AU489" s="319"/>
      <c r="AV489" s="319"/>
      <c r="AW489" s="319"/>
      <c r="AX489" s="319"/>
      <c r="AY489" s="319"/>
      <c r="AZ489" s="319"/>
      <c r="BA489" s="319"/>
      <c r="BB489" s="319"/>
      <c r="BC489" s="319"/>
      <c r="BD489" s="319"/>
      <c r="BE489" s="319"/>
      <c r="BF489" s="319"/>
      <c r="BG489" s="319"/>
      <c r="BH489" s="319"/>
      <c r="BI489" s="319"/>
      <c r="BJ489" s="319"/>
      <c r="BK489" s="319"/>
      <c r="BL489" s="319"/>
      <c r="BM489" s="319"/>
      <c r="BN489" s="319"/>
      <c r="BO489" s="319"/>
      <c r="BP489" s="319"/>
      <c r="BQ489" s="319"/>
      <c r="BR489" s="319"/>
      <c r="BS489" s="319"/>
      <c r="BT489" s="319"/>
      <c r="BU489" s="319"/>
      <c r="BV489" s="319"/>
      <c r="BW489" s="319"/>
      <c r="BX489" s="319"/>
      <c r="BY489" s="319"/>
      <c r="BZ489" s="319"/>
      <c r="CA489" s="319"/>
      <c r="CB489" s="319"/>
      <c r="CC489" s="319"/>
      <c r="CD489" s="319"/>
      <c r="CE489" s="319"/>
      <c r="CF489" s="319"/>
    </row>
    <row r="490" spans="1:84" ht="12.75" customHeight="1">
      <c r="A490" s="12"/>
      <c r="B490" s="329" t="str">
        <f>B485</f>
        <v>Perdas diversas</v>
      </c>
      <c r="C490" s="29" t="str">
        <f>$T$35</f>
        <v>%</v>
      </c>
      <c r="D490" s="422">
        <v>0</v>
      </c>
      <c r="E490" s="1"/>
      <c r="F490" s="1"/>
      <c r="G490" s="1"/>
      <c r="H490" s="1"/>
      <c r="I490" s="1"/>
      <c r="J490" s="29"/>
      <c r="K490" s="263"/>
      <c r="L490" s="1"/>
      <c r="M490" s="319"/>
      <c r="N490" s="319"/>
      <c r="O490" s="319">
        <f>IF(Offgrid=5,0,D490)</f>
        <v>0</v>
      </c>
      <c r="P490" s="319"/>
      <c r="Q490" s="319"/>
      <c r="R490" s="319"/>
      <c r="S490" s="319"/>
      <c r="T490" s="319"/>
      <c r="U490" s="319"/>
      <c r="V490" s="319"/>
      <c r="W490" s="319"/>
      <c r="X490" s="319"/>
      <c r="Y490" s="319"/>
      <c r="Z490" s="319"/>
      <c r="AA490" s="319"/>
      <c r="AB490" s="319"/>
      <c r="AC490" s="319"/>
      <c r="AD490" s="319"/>
      <c r="AE490" s="319"/>
      <c r="AF490" s="319"/>
      <c r="AG490" s="319"/>
      <c r="AH490" s="319"/>
      <c r="AI490" s="319"/>
      <c r="AJ490" s="319"/>
      <c r="AK490" s="319"/>
      <c r="AL490" s="319"/>
      <c r="AM490" s="319"/>
      <c r="AN490" s="319"/>
      <c r="AO490" s="319">
        <v>2124006</v>
      </c>
      <c r="AP490" s="319"/>
      <c r="AQ490" s="319"/>
      <c r="AR490" s="319"/>
      <c r="AS490" s="319"/>
      <c r="AT490" s="319"/>
      <c r="AU490" s="319"/>
      <c r="AV490" s="319"/>
      <c r="AW490" s="319"/>
      <c r="AX490" s="319"/>
      <c r="AY490" s="319"/>
      <c r="AZ490" s="319"/>
      <c r="BA490" s="319"/>
      <c r="BB490" s="319"/>
      <c r="BC490" s="319"/>
      <c r="BD490" s="319"/>
      <c r="BE490" s="319"/>
      <c r="BF490" s="319"/>
      <c r="BG490" s="319"/>
      <c r="BH490" s="319"/>
      <c r="BI490" s="319"/>
      <c r="BJ490" s="319"/>
      <c r="BK490" s="319"/>
      <c r="BL490" s="319"/>
      <c r="BM490" s="319"/>
      <c r="BN490" s="319"/>
      <c r="BO490" s="319"/>
      <c r="BP490" s="319"/>
      <c r="BQ490" s="319"/>
      <c r="BR490" s="319"/>
      <c r="BS490" s="319"/>
      <c r="BT490" s="319"/>
      <c r="BU490" s="319"/>
      <c r="BV490" s="319"/>
      <c r="BW490" s="319"/>
      <c r="BX490" s="319"/>
      <c r="BY490" s="319"/>
      <c r="BZ490" s="319"/>
      <c r="CA490" s="319"/>
      <c r="CB490" s="319"/>
      <c r="CC490" s="319"/>
      <c r="CD490" s="319"/>
      <c r="CE490" s="319"/>
      <c r="CF490" s="319"/>
    </row>
    <row r="491" spans="1:84" ht="12.75" customHeight="1">
      <c r="A491" s="12"/>
      <c r="B491" s="265"/>
      <c r="C491" s="29"/>
      <c r="D491" s="123"/>
      <c r="E491" s="1"/>
      <c r="F491" s="1"/>
      <c r="G491" s="1"/>
      <c r="H491" s="1"/>
      <c r="I491" s="1"/>
      <c r="J491" s="1"/>
      <c r="K491" s="9"/>
      <c r="L491" s="1"/>
      <c r="M491" s="319"/>
      <c r="N491" s="319"/>
      <c r="O491" s="319"/>
      <c r="P491" s="319"/>
      <c r="Q491" s="319"/>
      <c r="R491" s="319"/>
      <c r="S491" s="319"/>
      <c r="T491" s="319"/>
      <c r="U491" s="319"/>
      <c r="V491" s="319"/>
      <c r="W491" s="319"/>
      <c r="X491" s="319"/>
      <c r="Y491" s="319"/>
      <c r="Z491" s="319"/>
      <c r="AA491" s="319"/>
      <c r="AB491" s="319"/>
      <c r="AC491" s="319"/>
      <c r="AD491" s="319"/>
      <c r="AE491" s="319"/>
      <c r="AF491" s="319"/>
      <c r="AG491" s="319"/>
      <c r="AH491" s="319"/>
      <c r="AI491" s="319"/>
      <c r="AJ491" s="319"/>
      <c r="AK491" s="319"/>
      <c r="AL491" s="319"/>
      <c r="AM491" s="319"/>
      <c r="AN491" s="319"/>
      <c r="AO491" s="319">
        <v>2124000</v>
      </c>
      <c r="AP491" s="319"/>
      <c r="AQ491" s="319"/>
      <c r="AR491" s="319"/>
      <c r="AS491" s="319"/>
      <c r="AT491" s="319"/>
      <c r="AU491" s="319"/>
      <c r="AV491" s="319"/>
      <c r="AW491" s="319"/>
      <c r="AX491" s="319"/>
      <c r="AY491" s="319"/>
      <c r="AZ491" s="319"/>
      <c r="BA491" s="319"/>
      <c r="BB491" s="319"/>
      <c r="BC491" s="319"/>
      <c r="BD491" s="319"/>
      <c r="BE491" s="319"/>
      <c r="BF491" s="319"/>
      <c r="BG491" s="319"/>
      <c r="BH491" s="319"/>
      <c r="BI491" s="319"/>
      <c r="BJ491" s="319"/>
      <c r="BK491" s="319"/>
      <c r="BL491" s="319"/>
      <c r="BM491" s="319"/>
      <c r="BN491" s="319"/>
      <c r="BO491" s="319"/>
      <c r="BP491" s="319"/>
      <c r="BQ491" s="319"/>
      <c r="BR491" s="319"/>
      <c r="BS491" s="319"/>
      <c r="BT491" s="319"/>
      <c r="BU491" s="319"/>
      <c r="BV491" s="319"/>
      <c r="BW491" s="319"/>
      <c r="BX491" s="319"/>
      <c r="BY491" s="319"/>
      <c r="BZ491" s="319"/>
      <c r="CA491" s="319"/>
      <c r="CB491" s="319"/>
      <c r="CC491" s="319"/>
      <c r="CD491" s="319"/>
      <c r="CE491" s="319"/>
      <c r="CF491" s="319"/>
    </row>
    <row r="492" spans="1:84" ht="12.75" customHeight="1">
      <c r="A492" s="12"/>
      <c r="B492" s="791" t="str">
        <f>B149</f>
        <v>Resumo</v>
      </c>
      <c r="C492" s="1"/>
      <c r="D492" s="123"/>
      <c r="E492" s="1"/>
      <c r="F492" s="1"/>
      <c r="G492" s="1"/>
      <c r="H492" s="1"/>
      <c r="I492" s="1"/>
      <c r="J492" s="29"/>
      <c r="K492" s="262"/>
      <c r="L492" s="1"/>
      <c r="M492" s="319"/>
      <c r="N492" s="319"/>
      <c r="O492" s="319"/>
      <c r="P492" s="319"/>
      <c r="Q492" s="319"/>
      <c r="R492" s="319"/>
      <c r="S492" s="319"/>
      <c r="T492" s="319"/>
      <c r="U492" s="319"/>
      <c r="V492" s="319"/>
      <c r="W492" s="319"/>
      <c r="X492" s="319"/>
      <c r="Y492" s="319"/>
      <c r="Z492" s="319"/>
      <c r="AA492" s="319"/>
      <c r="AB492" s="319"/>
      <c r="AC492" s="319"/>
      <c r="AD492" s="319"/>
      <c r="AE492" s="319"/>
      <c r="AF492" s="319"/>
      <c r="AG492" s="319"/>
      <c r="AH492" s="319"/>
      <c r="AI492" s="319"/>
      <c r="AJ492" s="319"/>
      <c r="AK492" s="319"/>
      <c r="AL492" s="319"/>
      <c r="AM492" s="319"/>
      <c r="AN492" s="319"/>
      <c r="AO492" s="319">
        <v>2125000</v>
      </c>
      <c r="AP492" s="319"/>
      <c r="AQ492" s="319"/>
      <c r="AR492" s="319"/>
      <c r="AS492" s="319"/>
      <c r="AT492" s="319"/>
      <c r="AU492" s="319"/>
      <c r="AV492" s="319"/>
      <c r="AW492" s="319"/>
      <c r="AX492" s="319"/>
      <c r="AY492" s="319"/>
      <c r="AZ492" s="319"/>
      <c r="BA492" s="319"/>
      <c r="BB492" s="319"/>
      <c r="BC492" s="319"/>
      <c r="BD492" s="319"/>
      <c r="BE492" s="319"/>
      <c r="BF492" s="319"/>
      <c r="BG492" s="319"/>
      <c r="BH492" s="319"/>
      <c r="BI492" s="319"/>
      <c r="BJ492" s="319"/>
      <c r="BK492" s="319"/>
      <c r="BL492" s="319"/>
      <c r="BM492" s="319"/>
      <c r="BN492" s="319"/>
      <c r="BO492" s="319"/>
      <c r="BP492" s="319"/>
      <c r="BQ492" s="319"/>
      <c r="BR492" s="319"/>
      <c r="BS492" s="319"/>
      <c r="BT492" s="319"/>
      <c r="BU492" s="319"/>
      <c r="BV492" s="319"/>
      <c r="BW492" s="319"/>
      <c r="BX492" s="319"/>
      <c r="BY492" s="319"/>
      <c r="BZ492" s="319"/>
      <c r="CA492" s="319"/>
      <c r="CB492" s="319"/>
      <c r="CC492" s="319"/>
      <c r="CD492" s="319"/>
      <c r="CE492" s="319"/>
      <c r="CF492" s="319"/>
    </row>
    <row r="493" spans="1:84" ht="12.75" customHeight="1">
      <c r="A493" s="12"/>
      <c r="B493" s="1" t="str">
        <f>B309</f>
        <v>Fator de Utilização</v>
      </c>
      <c r="C493" s="29" t="str">
        <f>$T$35</f>
        <v>%</v>
      </c>
      <c r="D493" s="828">
        <f>IF(S475=0,0,AM468/(S475*8.76)/1000)</f>
        <v>0.16214354875120679</v>
      </c>
      <c r="E493" s="1"/>
      <c r="F493" s="1"/>
      <c r="G493" s="1"/>
      <c r="H493" s="1"/>
      <c r="I493" s="1"/>
      <c r="J493" s="29"/>
      <c r="K493" s="262"/>
      <c r="L493" s="1"/>
      <c r="M493" s="319"/>
      <c r="N493" s="319"/>
      <c r="O493" s="319"/>
      <c r="P493" s="319"/>
      <c r="Q493" s="319"/>
      <c r="R493" s="319"/>
      <c r="S493" s="319"/>
      <c r="T493" s="319"/>
      <c r="U493" s="319"/>
      <c r="V493" s="319"/>
      <c r="W493" s="319"/>
      <c r="X493" s="319"/>
      <c r="Y493" s="319"/>
      <c r="Z493" s="319"/>
      <c r="AA493" s="319"/>
      <c r="AB493" s="319"/>
      <c r="AC493" s="319"/>
      <c r="AD493" s="319"/>
      <c r="AE493" s="319"/>
      <c r="AF493" s="319"/>
      <c r="AG493" s="319"/>
      <c r="AH493" s="319"/>
      <c r="AI493" s="319"/>
      <c r="AJ493" s="319"/>
      <c r="AK493" s="319"/>
      <c r="AL493" s="319"/>
      <c r="AM493" s="319"/>
      <c r="AN493" s="319"/>
      <c r="AO493" s="319">
        <v>2125002</v>
      </c>
      <c r="AP493" s="319"/>
      <c r="AQ493" s="319"/>
      <c r="AR493" s="319"/>
      <c r="AS493" s="319"/>
      <c r="AT493" s="319"/>
      <c r="AU493" s="319"/>
      <c r="AV493" s="319"/>
      <c r="AW493" s="319"/>
      <c r="AX493" s="319"/>
      <c r="AY493" s="319"/>
      <c r="AZ493" s="319"/>
      <c r="BA493" s="319"/>
      <c r="BB493" s="319"/>
      <c r="BC493" s="319"/>
      <c r="BD493" s="319"/>
      <c r="BE493" s="319"/>
      <c r="BF493" s="319"/>
      <c r="BG493" s="319"/>
      <c r="BH493" s="319"/>
      <c r="BI493" s="319"/>
      <c r="BJ493" s="319"/>
      <c r="BK493" s="319"/>
      <c r="BL493" s="319"/>
      <c r="BM493" s="319"/>
      <c r="BN493" s="319"/>
      <c r="BO493" s="319"/>
      <c r="BP493" s="319"/>
      <c r="BQ493" s="319"/>
      <c r="BR493" s="319"/>
      <c r="BS493" s="319"/>
      <c r="BT493" s="319"/>
      <c r="BU493" s="319"/>
      <c r="BV493" s="319"/>
      <c r="BW493" s="319"/>
      <c r="BX493" s="319"/>
      <c r="BY493" s="319"/>
      <c r="BZ493" s="319"/>
      <c r="CA493" s="319"/>
      <c r="CB493" s="319"/>
      <c r="CC493" s="319"/>
      <c r="CD493" s="319"/>
      <c r="CE493" s="319"/>
      <c r="CF493" s="319"/>
    </row>
    <row r="494" spans="1:84" ht="12.75" customHeight="1">
      <c r="A494" s="12"/>
      <c r="B494" s="329" t="str">
        <f>$B$94</f>
        <v>Eletricidade fornecida à carga</v>
      </c>
      <c r="C494" s="29" t="str">
        <f>C500</f>
        <v>MWh</v>
      </c>
      <c r="D494" s="756" t="str">
        <f>FIXED(O494,$O$469)</f>
        <v>0,000</v>
      </c>
      <c r="E494" s="1"/>
      <c r="F494" s="1"/>
      <c r="G494" s="1"/>
      <c r="H494" s="1"/>
      <c r="I494" s="1"/>
      <c r="J494" s="29"/>
      <c r="K494" s="262"/>
      <c r="L494" s="1"/>
      <c r="M494" s="319"/>
      <c r="N494" s="319"/>
      <c r="O494" s="319">
        <f>IF(Gridtype&lt;=4,G1107,'Modelo Energético '!V262/1000)</f>
        <v>0</v>
      </c>
      <c r="P494" s="319"/>
      <c r="Q494" s="319"/>
      <c r="R494" s="319"/>
      <c r="S494" s="319"/>
      <c r="T494" s="319"/>
      <c r="U494" s="319"/>
      <c r="V494" s="319"/>
      <c r="W494" s="319"/>
      <c r="X494" s="319"/>
      <c r="Y494" s="319"/>
      <c r="Z494" s="319"/>
      <c r="AA494" s="319"/>
      <c r="AB494" s="319"/>
      <c r="AC494" s="319"/>
      <c r="AD494" s="319"/>
      <c r="AE494" s="319"/>
      <c r="AF494" s="319"/>
      <c r="AG494" s="319"/>
      <c r="AH494" s="319"/>
      <c r="AI494" s="319"/>
      <c r="AJ494" s="319"/>
      <c r="AK494" s="319"/>
      <c r="AL494" s="319"/>
      <c r="AM494" s="319"/>
      <c r="AN494" s="319"/>
      <c r="AO494" s="319">
        <v>2050008</v>
      </c>
      <c r="AP494" s="319"/>
      <c r="AQ494" s="319"/>
      <c r="AR494" s="319"/>
      <c r="AS494" s="319"/>
      <c r="AT494" s="319"/>
      <c r="AU494" s="319"/>
      <c r="AV494" s="319"/>
      <c r="AW494" s="319"/>
      <c r="AX494" s="319"/>
      <c r="AY494" s="319"/>
      <c r="AZ494" s="319"/>
      <c r="BA494" s="319"/>
      <c r="BB494" s="319"/>
      <c r="BC494" s="319"/>
      <c r="BD494" s="319"/>
      <c r="BE494" s="319"/>
      <c r="BF494" s="319"/>
      <c r="BG494" s="319"/>
      <c r="BH494" s="319"/>
      <c r="BI494" s="319"/>
      <c r="BJ494" s="319"/>
      <c r="BK494" s="319"/>
      <c r="BL494" s="319"/>
      <c r="BM494" s="319"/>
      <c r="BN494" s="319"/>
      <c r="BO494" s="319"/>
      <c r="BP494" s="319"/>
      <c r="BQ494" s="319"/>
      <c r="BR494" s="319"/>
      <c r="BS494" s="319"/>
      <c r="BT494" s="319"/>
      <c r="BU494" s="319"/>
      <c r="BV494" s="319"/>
      <c r="BW494" s="319"/>
      <c r="BX494" s="319"/>
      <c r="BY494" s="319"/>
      <c r="BZ494" s="319"/>
      <c r="CA494" s="319"/>
      <c r="CB494" s="319"/>
      <c r="CC494" s="319"/>
      <c r="CD494" s="319"/>
      <c r="CE494" s="319"/>
      <c r="CF494" s="319"/>
    </row>
    <row r="495" spans="1:84" ht="12.75" customHeight="1">
      <c r="A495" s="12"/>
      <c r="B495" s="526" t="str">
        <f>$B$95</f>
        <v>Eletricidade exportada p/ rede</v>
      </c>
      <c r="C495" s="29" t="str">
        <f>C500</f>
        <v>MWh</v>
      </c>
      <c r="D495" s="756" t="str">
        <f>FIXED(O495,$O$469)</f>
        <v>5,390</v>
      </c>
      <c r="E495" s="1"/>
      <c r="F495" s="1"/>
      <c r="G495" s="1"/>
      <c r="H495" s="1"/>
      <c r="I495" s="1"/>
      <c r="J495" s="1"/>
      <c r="K495" s="9"/>
      <c r="L495" s="1"/>
      <c r="M495" s="319"/>
      <c r="N495" s="319"/>
      <c r="O495" s="319">
        <f>IF(Gridtype&lt;=4,J1107,0)</f>
        <v>5.3903325633948667</v>
      </c>
      <c r="P495" s="319"/>
      <c r="Q495" s="319"/>
      <c r="R495" s="319"/>
      <c r="S495" s="319"/>
      <c r="T495" s="319"/>
      <c r="U495" s="319"/>
      <c r="V495" s="319"/>
      <c r="W495" s="319"/>
      <c r="X495" s="319"/>
      <c r="Y495" s="319"/>
      <c r="Z495" s="319"/>
      <c r="AA495" s="319"/>
      <c r="AB495" s="319"/>
      <c r="AC495" s="319"/>
      <c r="AD495" s="319"/>
      <c r="AE495" s="319"/>
      <c r="AF495" s="319"/>
      <c r="AG495" s="319"/>
      <c r="AH495" s="319"/>
      <c r="AI495" s="319"/>
      <c r="AJ495" s="319"/>
      <c r="AK495" s="319"/>
      <c r="AL495" s="319"/>
      <c r="AM495" s="319"/>
      <c r="AN495" s="319"/>
      <c r="AO495" s="319">
        <v>2050010</v>
      </c>
      <c r="AP495" s="319"/>
      <c r="AQ495" s="319"/>
      <c r="AR495" s="319"/>
      <c r="AS495" s="319"/>
      <c r="AT495" s="319"/>
      <c r="AU495" s="319"/>
      <c r="AV495" s="319"/>
      <c r="AW495" s="319"/>
      <c r="AX495" s="319"/>
      <c r="AY495" s="319"/>
      <c r="AZ495" s="319"/>
      <c r="BA495" s="319"/>
      <c r="BB495" s="319"/>
      <c r="BC495" s="319"/>
      <c r="BD495" s="319"/>
      <c r="BE495" s="319"/>
      <c r="BF495" s="319"/>
      <c r="BG495" s="319"/>
      <c r="BH495" s="319"/>
      <c r="BI495" s="319"/>
      <c r="BJ495" s="319"/>
      <c r="BK495" s="319"/>
      <c r="BL495" s="319"/>
      <c r="BM495" s="319"/>
      <c r="BN495" s="319"/>
      <c r="BO495" s="319"/>
      <c r="BP495" s="319"/>
      <c r="BQ495" s="319"/>
      <c r="BR495" s="319"/>
      <c r="BS495" s="319"/>
      <c r="BT495" s="319"/>
      <c r="BU495" s="319"/>
      <c r="BV495" s="319"/>
      <c r="BW495" s="319"/>
      <c r="BX495" s="319"/>
      <c r="BY495" s="319"/>
      <c r="BZ495" s="319"/>
      <c r="CA495" s="319"/>
      <c r="CB495" s="319"/>
      <c r="CC495" s="319"/>
      <c r="CD495" s="319"/>
      <c r="CE495" s="319"/>
      <c r="CF495" s="319"/>
    </row>
    <row r="496" spans="1:84" ht="12.75" hidden="1" customHeight="1">
      <c r="A496" s="12"/>
      <c r="B496" s="329" t="str">
        <f>$B$92</f>
        <v>Potência elétrica</v>
      </c>
      <c r="C496" s="21" t="str">
        <f>$C$92</f>
        <v>kW</v>
      </c>
      <c r="D496" s="461"/>
      <c r="E496" s="80" t="str">
        <f>IF($P$866=0,"",D496/$P$866)</f>
        <v/>
      </c>
      <c r="F496" s="1"/>
      <c r="G496" s="1"/>
      <c r="H496" s="1346"/>
      <c r="I496" s="1252" t="str">
        <f>Language!C61</f>
        <v>Ver banco de dados de produtos</v>
      </c>
      <c r="J496" s="1191"/>
      <c r="K496" s="1210"/>
      <c r="L496" s="1"/>
      <c r="M496" s="319"/>
      <c r="N496" s="319"/>
      <c r="O496" s="818" t="s">
        <v>3316</v>
      </c>
      <c r="P496" s="319"/>
      <c r="Q496" s="319"/>
      <c r="R496" s="319"/>
      <c r="S496" s="319"/>
      <c r="T496" s="319"/>
      <c r="U496" s="319"/>
      <c r="V496" s="319"/>
      <c r="W496" s="319"/>
      <c r="X496" s="319"/>
      <c r="Y496" s="319"/>
      <c r="Z496" s="319"/>
      <c r="AA496" s="319"/>
      <c r="AB496" s="319"/>
      <c r="AC496" s="319"/>
      <c r="AD496" s="319"/>
      <c r="AE496" s="319"/>
      <c r="AF496" s="319"/>
      <c r="AG496" s="319"/>
      <c r="AH496" s="319"/>
      <c r="AI496" s="319"/>
      <c r="AJ496" s="319"/>
      <c r="AK496" s="319"/>
      <c r="AL496" s="319"/>
      <c r="AM496" s="319"/>
      <c r="AN496" s="319"/>
      <c r="AO496" s="319">
        <v>2050002</v>
      </c>
      <c r="AP496" s="319"/>
      <c r="AQ496" s="319"/>
      <c r="AR496" s="319"/>
      <c r="AS496" s="319"/>
      <c r="AT496" s="319"/>
      <c r="AU496" s="319"/>
      <c r="AV496" s="319"/>
      <c r="AW496" s="319"/>
      <c r="AX496" s="319"/>
      <c r="AY496" s="319"/>
      <c r="AZ496" s="319"/>
      <c r="BA496" s="319"/>
      <c r="BB496" s="319"/>
      <c r="BC496" s="319"/>
      <c r="BD496" s="319"/>
      <c r="BE496" s="319"/>
      <c r="BF496" s="319"/>
      <c r="BG496" s="319"/>
      <c r="BH496" s="319"/>
      <c r="BI496" s="319"/>
      <c r="BJ496" s="319"/>
      <c r="BK496" s="319"/>
      <c r="BL496" s="319"/>
      <c r="BM496" s="319"/>
      <c r="BN496" s="319"/>
      <c r="BO496" s="319"/>
      <c r="BP496" s="319"/>
      <c r="BQ496" s="319"/>
      <c r="BR496" s="319"/>
      <c r="BS496" s="319"/>
      <c r="BT496" s="319"/>
      <c r="BU496" s="319"/>
      <c r="BV496" s="319"/>
      <c r="BW496" s="319"/>
      <c r="BX496" s="319"/>
      <c r="BY496" s="319"/>
      <c r="BZ496" s="319"/>
      <c r="CA496" s="319"/>
      <c r="CB496" s="319"/>
      <c r="CC496" s="319"/>
      <c r="CD496" s="319"/>
      <c r="CE496" s="319"/>
      <c r="CF496" s="319"/>
    </row>
    <row r="497" spans="1:84" ht="12.75" hidden="1" customHeight="1">
      <c r="A497" s="12"/>
      <c r="B497" s="329" t="str">
        <f>$B$12</f>
        <v>Fabricante</v>
      </c>
      <c r="C497" s="1152"/>
      <c r="D497" s="1153"/>
      <c r="E497" s="1154"/>
      <c r="F497" s="1"/>
      <c r="G497" s="1"/>
      <c r="H497" s="1"/>
      <c r="I497" s="1"/>
      <c r="J497" s="1"/>
      <c r="K497" s="9"/>
      <c r="L497" s="1"/>
      <c r="M497" s="319"/>
      <c r="N497" s="319"/>
      <c r="O497" s="319"/>
      <c r="P497" s="319"/>
      <c r="Q497" s="319"/>
      <c r="R497" s="319"/>
      <c r="S497" s="319"/>
      <c r="T497" s="319"/>
      <c r="U497" s="319"/>
      <c r="V497" s="319"/>
      <c r="W497" s="319"/>
      <c r="X497" s="319"/>
      <c r="Y497" s="319"/>
      <c r="Z497" s="319"/>
      <c r="AA497" s="319"/>
      <c r="AB497" s="319"/>
      <c r="AC497" s="319"/>
      <c r="AD497" s="319"/>
      <c r="AE497" s="319"/>
      <c r="AF497" s="319"/>
      <c r="AG497" s="319"/>
      <c r="AH497" s="319"/>
      <c r="AI497" s="319"/>
      <c r="AJ497" s="319"/>
      <c r="AK497" s="319"/>
      <c r="AL497" s="319"/>
      <c r="AM497" s="319"/>
      <c r="AN497" s="319"/>
      <c r="AO497" s="319">
        <v>2050012</v>
      </c>
      <c r="AP497" s="319"/>
      <c r="AQ497" s="319"/>
      <c r="AR497" s="319"/>
      <c r="AS497" s="319"/>
      <c r="AT497" s="319"/>
      <c r="AU497" s="319"/>
      <c r="AV497" s="319"/>
      <c r="AW497" s="319"/>
      <c r="AX497" s="319"/>
      <c r="AY497" s="319"/>
      <c r="AZ497" s="319"/>
      <c r="BA497" s="319"/>
      <c r="BB497" s="319"/>
      <c r="BC497" s="319"/>
      <c r="BD497" s="319"/>
      <c r="BE497" s="319"/>
      <c r="BF497" s="319"/>
      <c r="BG497" s="319"/>
      <c r="BH497" s="319"/>
      <c r="BI497" s="319"/>
      <c r="BJ497" s="319"/>
      <c r="BK497" s="319"/>
      <c r="BL497" s="319"/>
      <c r="BM497" s="319"/>
      <c r="BN497" s="319"/>
      <c r="BO497" s="319"/>
      <c r="BP497" s="319"/>
      <c r="BQ497" s="319"/>
      <c r="BR497" s="319"/>
      <c r="BS497" s="319"/>
      <c r="BT497" s="319"/>
      <c r="BU497" s="319"/>
      <c r="BV497" s="319"/>
      <c r="BW497" s="319"/>
      <c r="BX497" s="319"/>
      <c r="BY497" s="319"/>
      <c r="BZ497" s="319"/>
      <c r="CA497" s="319"/>
      <c r="CB497" s="319"/>
      <c r="CC497" s="319"/>
      <c r="CD497" s="319"/>
      <c r="CE497" s="319"/>
      <c r="CF497" s="319"/>
    </row>
    <row r="498" spans="1:84" ht="12.75" hidden="1" customHeight="1">
      <c r="A498" s="12"/>
      <c r="B498" s="329" t="str">
        <f>$B$13</f>
        <v>Modelo</v>
      </c>
      <c r="C498" s="1152"/>
      <c r="D498" s="1153"/>
      <c r="E498" s="1154"/>
      <c r="F498" s="1" t="str">
        <f>$J$1070 &amp; Lang_Unit</f>
        <v>1 unidade(s)</v>
      </c>
      <c r="G498" s="1"/>
      <c r="H498" s="1"/>
      <c r="I498" s="1"/>
      <c r="J498" s="1"/>
      <c r="K498" s="9"/>
      <c r="L498" s="1"/>
      <c r="M498" s="319"/>
      <c r="N498" s="319"/>
      <c r="O498" s="319"/>
      <c r="P498" s="319"/>
      <c r="Q498" s="319"/>
      <c r="R498" s="319"/>
      <c r="S498" s="319"/>
      <c r="T498" s="319"/>
      <c r="U498" s="319"/>
      <c r="V498" s="319"/>
      <c r="W498" s="319"/>
      <c r="X498" s="319"/>
      <c r="Y498" s="319"/>
      <c r="Z498" s="319"/>
      <c r="AA498" s="319"/>
      <c r="AB498" s="319"/>
      <c r="AC498" s="319"/>
      <c r="AD498" s="319"/>
      <c r="AE498" s="319"/>
      <c r="AF498" s="319"/>
      <c r="AG498" s="319"/>
      <c r="AH498" s="319"/>
      <c r="AI498" s="319"/>
      <c r="AJ498" s="319"/>
      <c r="AK498" s="319"/>
      <c r="AL498" s="319"/>
      <c r="AM498" s="319"/>
      <c r="AN498" s="319"/>
      <c r="AO498" s="319">
        <v>2050014</v>
      </c>
      <c r="AP498" s="319"/>
      <c r="AQ498" s="319"/>
      <c r="AR498" s="319"/>
      <c r="AS498" s="319"/>
      <c r="AT498" s="319"/>
      <c r="AU498" s="319"/>
      <c r="AV498" s="319"/>
      <c r="AW498" s="319"/>
      <c r="AX498" s="319"/>
      <c r="AY498" s="319"/>
      <c r="AZ498" s="319"/>
      <c r="BA498" s="319"/>
      <c r="BB498" s="319"/>
      <c r="BC498" s="319"/>
      <c r="BD498" s="319"/>
      <c r="BE498" s="319"/>
      <c r="BF498" s="319"/>
      <c r="BG498" s="319"/>
      <c r="BH498" s="319"/>
      <c r="BI498" s="319"/>
      <c r="BJ498" s="319"/>
      <c r="BK498" s="319"/>
      <c r="BL498" s="319"/>
      <c r="BM498" s="319"/>
      <c r="BN498" s="319"/>
      <c r="BO498" s="319"/>
      <c r="BP498" s="319"/>
      <c r="BQ498" s="319"/>
      <c r="BR498" s="319"/>
      <c r="BS498" s="319"/>
      <c r="BT498" s="319"/>
      <c r="BU498" s="319"/>
      <c r="BV498" s="319"/>
      <c r="BW498" s="319"/>
      <c r="BX498" s="319"/>
      <c r="BY498" s="319"/>
      <c r="BZ498" s="319"/>
      <c r="CA498" s="319"/>
      <c r="CB498" s="319"/>
      <c r="CC498" s="319"/>
      <c r="CD498" s="319"/>
      <c r="CE498" s="319"/>
      <c r="CF498" s="319"/>
    </row>
    <row r="499" spans="1:84" ht="12.75" hidden="1" customHeight="1">
      <c r="A499" s="12"/>
      <c r="B499" s="329" t="str">
        <f>$B$309</f>
        <v>Fator de Utilização</v>
      </c>
      <c r="C499" s="29" t="str">
        <f>$T$35</f>
        <v>%</v>
      </c>
      <c r="D499" s="422"/>
      <c r="E499" s="1"/>
      <c r="F499" s="1"/>
      <c r="G499" s="1"/>
      <c r="H499" s="1"/>
      <c r="I499" s="1"/>
      <c r="J499" s="1"/>
      <c r="K499" s="9"/>
      <c r="L499" s="1"/>
      <c r="M499" s="319"/>
      <c r="N499" s="319"/>
      <c r="O499" s="319"/>
      <c r="P499" s="319"/>
      <c r="Q499" s="319"/>
      <c r="R499" s="319"/>
      <c r="S499" s="319"/>
      <c r="T499" s="319"/>
      <c r="U499" s="319"/>
      <c r="V499" s="319">
        <f>IF(HideES_PV1QF=1,D496*D499,S475*D493)</f>
        <v>0.61533476751082972</v>
      </c>
      <c r="W499" s="319" t="str">
        <f>$C$92</f>
        <v>kW</v>
      </c>
      <c r="X499" s="319"/>
      <c r="Y499" s="319"/>
      <c r="Z499" s="319"/>
      <c r="AA499" s="319"/>
      <c r="AB499" s="319"/>
      <c r="AC499" s="319"/>
      <c r="AD499" s="319"/>
      <c r="AE499" s="319"/>
      <c r="AF499" s="319"/>
      <c r="AG499" s="319"/>
      <c r="AH499" s="319"/>
      <c r="AI499" s="319"/>
      <c r="AJ499" s="319"/>
      <c r="AK499" s="319"/>
      <c r="AL499" s="319"/>
      <c r="AM499" s="319"/>
      <c r="AN499" s="319"/>
      <c r="AO499" s="319">
        <v>2070000</v>
      </c>
      <c r="AP499" s="319"/>
      <c r="AQ499" s="319"/>
      <c r="AR499" s="319"/>
      <c r="AS499" s="319"/>
      <c r="AT499" s="319"/>
      <c r="AU499" s="319"/>
      <c r="AV499" s="319"/>
      <c r="AW499" s="319"/>
      <c r="AX499" s="319"/>
      <c r="AY499" s="319"/>
      <c r="AZ499" s="319"/>
      <c r="BA499" s="319"/>
      <c r="BB499" s="319"/>
      <c r="BC499" s="319"/>
      <c r="BD499" s="319"/>
      <c r="BE499" s="319"/>
      <c r="BF499" s="319"/>
      <c r="BG499" s="319"/>
      <c r="BH499" s="319"/>
      <c r="BI499" s="319"/>
      <c r="BJ499" s="319"/>
      <c r="BK499" s="319"/>
      <c r="BL499" s="319"/>
      <c r="BM499" s="319"/>
      <c r="BN499" s="319"/>
      <c r="BO499" s="319"/>
      <c r="BP499" s="319"/>
      <c r="BQ499" s="319"/>
      <c r="BR499" s="319"/>
      <c r="BS499" s="319"/>
      <c r="BT499" s="319"/>
      <c r="BU499" s="319"/>
      <c r="BV499" s="319"/>
      <c r="BW499" s="319"/>
      <c r="BX499" s="319"/>
      <c r="BY499" s="319"/>
      <c r="BZ499" s="319"/>
      <c r="CA499" s="319"/>
      <c r="CB499" s="319"/>
      <c r="CC499" s="319"/>
      <c r="CD499" s="319"/>
      <c r="CE499" s="319"/>
      <c r="CF499" s="319"/>
    </row>
    <row r="500" spans="1:84" ht="12.75" hidden="1" customHeight="1">
      <c r="A500" s="12"/>
      <c r="B500" s="329" t="str">
        <f>$B$94</f>
        <v>Eletricidade fornecida à carga</v>
      </c>
      <c r="C500" s="29" t="str">
        <f>R14</f>
        <v>MWh</v>
      </c>
      <c r="D500" s="30">
        <f>IF(HideCodeES_PSS=1,$G$1107,IF($C$854=$E$1094,$G$1107,$G$1108))</f>
        <v>0</v>
      </c>
      <c r="E500" s="80" t="str">
        <f>IF($P$867=0,"",D500/$P$867)</f>
        <v/>
      </c>
      <c r="F500" s="1"/>
      <c r="G500" s="1"/>
      <c r="H500" s="1"/>
      <c r="I500" s="1"/>
      <c r="J500" s="1"/>
      <c r="K500" s="9"/>
      <c r="L500" s="1"/>
      <c r="M500" s="319"/>
      <c r="N500" s="319"/>
      <c r="O500" s="319"/>
      <c r="P500" s="319"/>
      <c r="Q500" s="319"/>
      <c r="R500" s="319"/>
      <c r="S500" s="319"/>
      <c r="T500" s="319"/>
      <c r="U500" s="319"/>
      <c r="V500" s="319"/>
      <c r="W500" s="319"/>
      <c r="X500" s="319"/>
      <c r="Y500" s="319"/>
      <c r="Z500" s="319"/>
      <c r="AA500" s="319"/>
      <c r="AB500" s="319"/>
      <c r="AC500" s="319"/>
      <c r="AD500" s="319"/>
      <c r="AE500" s="319"/>
      <c r="AF500" s="319"/>
      <c r="AG500" s="319"/>
      <c r="AH500" s="319"/>
      <c r="AI500" s="319"/>
      <c r="AJ500" s="319"/>
      <c r="AK500" s="319"/>
      <c r="AL500" s="319"/>
      <c r="AM500" s="319"/>
      <c r="AN500" s="319"/>
      <c r="AO500" s="319">
        <v>2050008</v>
      </c>
      <c r="AP500" s="319"/>
      <c r="AQ500" s="319"/>
      <c r="AR500" s="319"/>
      <c r="AS500" s="319"/>
      <c r="AT500" s="319"/>
      <c r="AU500" s="319"/>
      <c r="AV500" s="319"/>
      <c r="AW500" s="319"/>
      <c r="AX500" s="319"/>
      <c r="AY500" s="319"/>
      <c r="AZ500" s="319"/>
      <c r="BA500" s="319"/>
      <c r="BB500" s="319"/>
      <c r="BC500" s="319"/>
      <c r="BD500" s="319"/>
      <c r="BE500" s="319"/>
      <c r="BF500" s="319"/>
      <c r="BG500" s="319"/>
      <c r="BH500" s="319"/>
      <c r="BI500" s="319"/>
      <c r="BJ500" s="319"/>
      <c r="BK500" s="319"/>
      <c r="BL500" s="319"/>
      <c r="BM500" s="319"/>
      <c r="BN500" s="319"/>
      <c r="BO500" s="319"/>
      <c r="BP500" s="319"/>
      <c r="BQ500" s="319"/>
      <c r="BR500" s="319"/>
      <c r="BS500" s="319"/>
      <c r="BT500" s="319"/>
      <c r="BU500" s="319"/>
      <c r="BV500" s="319"/>
      <c r="BW500" s="319"/>
      <c r="BX500" s="319"/>
      <c r="BY500" s="319"/>
      <c r="BZ500" s="319"/>
      <c r="CA500" s="319"/>
      <c r="CB500" s="319"/>
      <c r="CC500" s="319"/>
      <c r="CD500" s="319"/>
      <c r="CE500" s="319"/>
      <c r="CF500" s="319"/>
    </row>
    <row r="501" spans="1:84" ht="12.75" hidden="1" customHeight="1">
      <c r="A501" s="14"/>
      <c r="B501" s="380" t="str">
        <f>$B$95</f>
        <v>Eletricidade exportada p/ rede</v>
      </c>
      <c r="C501" s="33" t="str">
        <f>R14</f>
        <v>MWh</v>
      </c>
      <c r="D501" s="245">
        <f>IF(HideCodeES_PSS=1,$J$1107,IF($C$854=$E$1094,$J$1107,$J$1108))</f>
        <v>5.3903325633948667</v>
      </c>
      <c r="E501" s="15"/>
      <c r="F501" s="15"/>
      <c r="G501" s="15"/>
      <c r="H501" s="15"/>
      <c r="I501" s="15"/>
      <c r="J501" s="15"/>
      <c r="K501" s="11"/>
      <c r="L501" s="1"/>
      <c r="M501" s="319"/>
      <c r="N501" s="319"/>
      <c r="O501" s="319"/>
      <c r="P501" s="319"/>
      <c r="Q501" s="319"/>
      <c r="R501" s="319"/>
      <c r="S501" s="319"/>
      <c r="T501" s="319"/>
      <c r="U501" s="319"/>
      <c r="V501" s="319"/>
      <c r="W501" s="319"/>
      <c r="X501" s="319"/>
      <c r="Y501" s="319"/>
      <c r="Z501" s="319"/>
      <c r="AA501" s="319"/>
      <c r="AB501" s="319"/>
      <c r="AC501" s="319"/>
      <c r="AD501" s="319"/>
      <c r="AE501" s="319"/>
      <c r="AF501" s="319"/>
      <c r="AG501" s="319"/>
      <c r="AH501" s="319"/>
      <c r="AI501" s="319"/>
      <c r="AJ501" s="319"/>
      <c r="AK501" s="319"/>
      <c r="AL501" s="319"/>
      <c r="AM501" s="319"/>
      <c r="AN501" s="319"/>
      <c r="AO501" s="319">
        <v>2050010</v>
      </c>
      <c r="AP501" s="319"/>
      <c r="AQ501" s="319"/>
      <c r="AR501" s="319"/>
      <c r="AS501" s="319"/>
      <c r="AT501" s="319"/>
      <c r="AU501" s="319"/>
      <c r="AV501" s="319"/>
      <c r="AW501" s="319"/>
      <c r="AX501" s="319"/>
      <c r="AY501" s="319"/>
      <c r="AZ501" s="319"/>
      <c r="BA501" s="319"/>
      <c r="BB501" s="319"/>
      <c r="BC501" s="319"/>
      <c r="BD501" s="319"/>
      <c r="BE501" s="319"/>
      <c r="BF501" s="319"/>
      <c r="BG501" s="319"/>
      <c r="BH501" s="319"/>
      <c r="BI501" s="319"/>
      <c r="BJ501" s="319"/>
      <c r="BK501" s="319"/>
      <c r="BL501" s="319"/>
      <c r="BM501" s="319"/>
      <c r="BN501" s="319"/>
      <c r="BO501" s="319"/>
      <c r="BP501" s="319"/>
      <c r="BQ501" s="319"/>
      <c r="BR501" s="319"/>
      <c r="BS501" s="319"/>
      <c r="BT501" s="319"/>
      <c r="BU501" s="319"/>
      <c r="BV501" s="319"/>
      <c r="BW501" s="319"/>
      <c r="BX501" s="319"/>
      <c r="BY501" s="319"/>
      <c r="BZ501" s="319"/>
      <c r="CA501" s="319"/>
      <c r="CB501" s="319"/>
      <c r="CC501" s="319"/>
      <c r="CD501" s="319"/>
      <c r="CE501" s="319"/>
      <c r="CF501" s="319"/>
    </row>
    <row r="502" spans="1:84" ht="12.75" customHeight="1">
      <c r="A502" s="12"/>
      <c r="B502" s="1"/>
      <c r="C502" s="1"/>
      <c r="D502" s="1"/>
      <c r="E502" s="1"/>
      <c r="F502" s="1"/>
      <c r="G502" s="1"/>
      <c r="H502" s="1"/>
      <c r="I502" s="1"/>
      <c r="J502" s="1"/>
      <c r="K502" s="9"/>
      <c r="L502" s="1"/>
      <c r="M502" s="319"/>
      <c r="N502" s="319"/>
      <c r="O502" s="319"/>
      <c r="P502" s="319"/>
      <c r="Q502" s="319"/>
      <c r="R502" s="319"/>
      <c r="S502" s="319"/>
      <c r="T502" s="319"/>
      <c r="U502" s="319"/>
      <c r="V502" s="319"/>
      <c r="W502" s="319"/>
      <c r="X502" s="319"/>
      <c r="Y502" s="319"/>
      <c r="Z502" s="319"/>
      <c r="AA502" s="319"/>
      <c r="AB502" s="319"/>
      <c r="AC502" s="319"/>
      <c r="AD502" s="319"/>
      <c r="AE502" s="319"/>
      <c r="AF502" s="319"/>
      <c r="AG502" s="319"/>
      <c r="AH502" s="319"/>
      <c r="AI502" s="319"/>
      <c r="AJ502" s="319"/>
      <c r="AK502" s="319"/>
      <c r="AL502" s="319"/>
      <c r="AM502" s="319"/>
      <c r="AN502" s="319"/>
      <c r="AO502" s="319">
        <v>2030000</v>
      </c>
      <c r="AP502" s="319"/>
      <c r="AQ502" s="319"/>
      <c r="AR502" s="319"/>
      <c r="AS502" s="319"/>
      <c r="AT502" s="319"/>
      <c r="AU502" s="319"/>
      <c r="AV502" s="319"/>
      <c r="AW502" s="319"/>
      <c r="AX502" s="319"/>
      <c r="AY502" s="319"/>
      <c r="AZ502" s="319"/>
      <c r="BA502" s="319"/>
      <c r="BB502" s="319"/>
      <c r="BC502" s="319"/>
      <c r="BD502" s="319"/>
      <c r="BE502" s="319"/>
      <c r="BF502" s="319"/>
      <c r="BG502" s="319"/>
      <c r="BH502" s="319"/>
      <c r="BI502" s="319"/>
      <c r="BJ502" s="319"/>
      <c r="BK502" s="319"/>
      <c r="BL502" s="319"/>
      <c r="BM502" s="319"/>
      <c r="BN502" s="319"/>
      <c r="BO502" s="319"/>
      <c r="BP502" s="319"/>
      <c r="BQ502" s="319"/>
      <c r="BR502" s="319"/>
      <c r="BS502" s="319"/>
      <c r="BT502" s="319"/>
      <c r="BU502" s="319"/>
      <c r="BV502" s="319"/>
      <c r="BW502" s="319"/>
      <c r="BX502" s="319"/>
      <c r="BY502" s="319"/>
      <c r="BZ502" s="319"/>
      <c r="CA502" s="319"/>
      <c r="CB502" s="319"/>
      <c r="CC502" s="319"/>
      <c r="CD502" s="319"/>
      <c r="CE502" s="319"/>
      <c r="CF502" s="319"/>
    </row>
    <row r="503" spans="1:84" ht="12.75" hidden="1" customHeight="1">
      <c r="A503" s="12"/>
      <c r="B503" s="28" t="str">
        <f>IF(HideCodeES_PSS=1,E1091,E1091&amp;" #1")</f>
        <v>Outro</v>
      </c>
      <c r="C503" s="1"/>
      <c r="D503" s="1"/>
      <c r="E503" s="1"/>
      <c r="F503" s="1"/>
      <c r="G503" s="1"/>
      <c r="H503" s="1"/>
      <c r="I503" s="1"/>
      <c r="J503" s="1"/>
      <c r="K503" s="9"/>
      <c r="L503" s="1"/>
      <c r="M503" s="319"/>
      <c r="N503" s="319"/>
      <c r="O503" s="319"/>
      <c r="P503" s="319"/>
      <c r="Q503" s="319"/>
      <c r="R503" s="319"/>
      <c r="S503" s="319"/>
      <c r="T503" s="319"/>
      <c r="U503" s="319"/>
      <c r="V503" s="319"/>
      <c r="W503" s="319"/>
      <c r="X503" s="319"/>
      <c r="Y503" s="319"/>
      <c r="Z503" s="319"/>
      <c r="AA503" s="319"/>
      <c r="AB503" s="319"/>
      <c r="AC503" s="319"/>
      <c r="AD503" s="319"/>
      <c r="AE503" s="319"/>
      <c r="AF503" s="319"/>
      <c r="AG503" s="319"/>
      <c r="AH503" s="319"/>
      <c r="AI503" s="319"/>
      <c r="AJ503" s="319"/>
      <c r="AK503" s="319"/>
      <c r="AL503" s="319"/>
      <c r="AM503" s="319"/>
      <c r="AN503" s="319"/>
      <c r="AO503" s="319">
        <v>2040038</v>
      </c>
      <c r="AP503" s="319"/>
      <c r="AQ503" s="319"/>
      <c r="AR503" s="319"/>
      <c r="AS503" s="319"/>
      <c r="AT503" s="319"/>
      <c r="AU503" s="319"/>
      <c r="AV503" s="319"/>
      <c r="AW503" s="319"/>
      <c r="AX503" s="319"/>
      <c r="AY503" s="319"/>
      <c r="AZ503" s="319"/>
      <c r="BA503" s="319"/>
      <c r="BB503" s="319"/>
      <c r="BC503" s="319"/>
      <c r="BD503" s="319"/>
      <c r="BE503" s="319"/>
      <c r="BF503" s="319"/>
      <c r="BG503" s="319"/>
      <c r="BH503" s="319"/>
      <c r="BI503" s="319"/>
      <c r="BJ503" s="319"/>
      <c r="BK503" s="319"/>
      <c r="BL503" s="319"/>
      <c r="BM503" s="319"/>
      <c r="BN503" s="319"/>
      <c r="BO503" s="319"/>
      <c r="BP503" s="319"/>
      <c r="BQ503" s="319"/>
      <c r="BR503" s="319"/>
      <c r="BS503" s="319"/>
      <c r="BT503" s="319"/>
      <c r="BU503" s="319"/>
      <c r="BV503" s="319"/>
      <c r="BW503" s="319"/>
      <c r="BX503" s="319"/>
      <c r="BY503" s="319"/>
      <c r="BZ503" s="319"/>
      <c r="CA503" s="319"/>
      <c r="CB503" s="319"/>
      <c r="CC503" s="319"/>
      <c r="CD503" s="319"/>
      <c r="CE503" s="319"/>
      <c r="CF503" s="319"/>
    </row>
    <row r="504" spans="1:84" ht="12.75" hidden="1" customHeight="1">
      <c r="A504" s="12"/>
      <c r="B504" s="329" t="str">
        <f>Language!C461</f>
        <v>Descrição</v>
      </c>
      <c r="C504" s="1152"/>
      <c r="D504" s="1153"/>
      <c r="E504" s="1154"/>
      <c r="F504" s="1"/>
      <c r="G504" s="1"/>
      <c r="H504" s="1"/>
      <c r="I504" s="1"/>
      <c r="J504" s="1"/>
      <c r="K504" s="9"/>
      <c r="L504" s="1"/>
      <c r="M504" s="319"/>
      <c r="N504" s="319"/>
      <c r="O504" s="319"/>
      <c r="P504" s="319"/>
      <c r="Q504" s="319"/>
      <c r="R504" s="319"/>
      <c r="S504" s="319"/>
      <c r="T504" s="319"/>
      <c r="U504" s="319"/>
      <c r="V504" s="319"/>
      <c r="W504" s="319"/>
      <c r="X504" s="319"/>
      <c r="Y504" s="319"/>
      <c r="Z504" s="319"/>
      <c r="AA504" s="319"/>
      <c r="AB504" s="319"/>
      <c r="AC504" s="319"/>
      <c r="AD504" s="319"/>
      <c r="AE504" s="319"/>
      <c r="AF504" s="319"/>
      <c r="AG504" s="319"/>
      <c r="AH504" s="319"/>
      <c r="AI504" s="319"/>
      <c r="AJ504" s="319"/>
      <c r="AK504" s="319"/>
      <c r="AL504" s="319"/>
      <c r="AM504" s="319"/>
      <c r="AN504" s="319"/>
      <c r="AO504" s="319">
        <v>2050000</v>
      </c>
      <c r="AP504" s="319"/>
      <c r="AQ504" s="319"/>
      <c r="AR504" s="319"/>
      <c r="AS504" s="319"/>
      <c r="AT504" s="319"/>
      <c r="AU504" s="319"/>
      <c r="AV504" s="319"/>
      <c r="AW504" s="319"/>
      <c r="AX504" s="319"/>
      <c r="AY504" s="319"/>
      <c r="AZ504" s="319"/>
      <c r="BA504" s="319"/>
      <c r="BB504" s="319"/>
      <c r="BC504" s="319"/>
      <c r="BD504" s="319"/>
      <c r="BE504" s="319"/>
      <c r="BF504" s="319"/>
      <c r="BG504" s="319"/>
      <c r="BH504" s="319"/>
      <c r="BI504" s="319"/>
      <c r="BJ504" s="319"/>
      <c r="BK504" s="319"/>
      <c r="BL504" s="319"/>
      <c r="BM504" s="319"/>
      <c r="BN504" s="319"/>
      <c r="BO504" s="319"/>
      <c r="BP504" s="319"/>
      <c r="BQ504" s="319"/>
      <c r="BR504" s="319"/>
      <c r="BS504" s="319"/>
      <c r="BT504" s="319"/>
      <c r="BU504" s="319"/>
      <c r="BV504" s="319"/>
      <c r="BW504" s="319"/>
      <c r="BX504" s="319"/>
      <c r="BY504" s="319"/>
      <c r="BZ504" s="319"/>
      <c r="CA504" s="319"/>
      <c r="CB504" s="319"/>
      <c r="CC504" s="319"/>
      <c r="CD504" s="319"/>
      <c r="CE504" s="319"/>
      <c r="CF504" s="319"/>
    </row>
    <row r="505" spans="1:84" ht="12.75" hidden="1" customHeight="1">
      <c r="A505" s="12"/>
      <c r="B505" s="329" t="str">
        <f>Language!C427</f>
        <v>Potência elétrica</v>
      </c>
      <c r="C505" s="29" t="str">
        <f>$C$92</f>
        <v>kW</v>
      </c>
      <c r="D505" s="924"/>
      <c r="E505" s="80" t="str">
        <f>IF($P$866=0,"",D505/$P$866)</f>
        <v/>
      </c>
      <c r="F505" s="1"/>
      <c r="G505" s="1"/>
      <c r="H505" s="1346"/>
      <c r="I505" s="1252" t="str">
        <f>Language!C61</f>
        <v>Ver banco de dados de produtos</v>
      </c>
      <c r="J505" s="1191"/>
      <c r="K505" s="1210"/>
      <c r="L505" s="1"/>
      <c r="M505" s="319"/>
      <c r="N505" s="319"/>
      <c r="O505" s="319"/>
      <c r="P505" s="319"/>
      <c r="Q505" s="319"/>
      <c r="R505" s="319"/>
      <c r="S505" s="319"/>
      <c r="T505" s="319"/>
      <c r="U505" s="319"/>
      <c r="V505" s="319"/>
      <c r="W505" s="319"/>
      <c r="X505" s="319"/>
      <c r="Y505" s="319"/>
      <c r="Z505" s="319"/>
      <c r="AA505" s="319"/>
      <c r="AB505" s="319"/>
      <c r="AC505" s="319"/>
      <c r="AD505" s="319"/>
      <c r="AE505" s="319"/>
      <c r="AF505" s="319"/>
      <c r="AG505" s="319"/>
      <c r="AH505" s="319"/>
      <c r="AI505" s="319"/>
      <c r="AJ505" s="319"/>
      <c r="AK505" s="319"/>
      <c r="AL505" s="319"/>
      <c r="AM505" s="319"/>
      <c r="AN505" s="319"/>
      <c r="AO505" s="319">
        <v>2050002</v>
      </c>
      <c r="AP505" s="319"/>
      <c r="AQ505" s="319"/>
      <c r="AR505" s="319"/>
      <c r="AS505" s="319"/>
      <c r="AT505" s="319"/>
      <c r="AU505" s="319"/>
      <c r="AV505" s="319"/>
      <c r="AW505" s="319"/>
      <c r="AX505" s="319"/>
      <c r="AY505" s="319"/>
      <c r="AZ505" s="319"/>
      <c r="BA505" s="319"/>
      <c r="BB505" s="319"/>
      <c r="BC505" s="319"/>
      <c r="BD505" s="319"/>
      <c r="BE505" s="319"/>
      <c r="BF505" s="319"/>
      <c r="BG505" s="319"/>
      <c r="BH505" s="319"/>
      <c r="BI505" s="319"/>
      <c r="BJ505" s="319"/>
      <c r="BK505" s="319"/>
      <c r="BL505" s="319"/>
      <c r="BM505" s="319"/>
      <c r="BN505" s="319"/>
      <c r="BO505" s="319"/>
      <c r="BP505" s="319"/>
      <c r="BQ505" s="319"/>
      <c r="BR505" s="319"/>
      <c r="BS505" s="319"/>
      <c r="BT505" s="319"/>
      <c r="BU505" s="319"/>
      <c r="BV505" s="319"/>
      <c r="BW505" s="319"/>
      <c r="BX505" s="319"/>
      <c r="BY505" s="319"/>
      <c r="BZ505" s="319"/>
      <c r="CA505" s="319"/>
      <c r="CB505" s="319"/>
      <c r="CC505" s="319"/>
      <c r="CD505" s="319"/>
      <c r="CE505" s="319"/>
      <c r="CF505" s="319"/>
    </row>
    <row r="506" spans="1:84" ht="12.75" hidden="1" customHeight="1">
      <c r="A506" s="12"/>
      <c r="B506" s="329" t="str">
        <f>Language!C429</f>
        <v>Capac. Mínima</v>
      </c>
      <c r="C506" s="29" t="str">
        <f>$T$35</f>
        <v>%</v>
      </c>
      <c r="D506" s="366"/>
      <c r="E506" s="1"/>
      <c r="F506" s="1"/>
      <c r="G506" s="1"/>
      <c r="H506" s="1"/>
      <c r="I506" s="1"/>
      <c r="J506" s="1"/>
      <c r="K506" s="788" t="str">
        <f>IF(V506&gt;0,$G$1095&amp;V506&amp;$G$1096,"")</f>
        <v/>
      </c>
      <c r="L506" s="1"/>
      <c r="M506" s="319"/>
      <c r="N506" s="319"/>
      <c r="O506" s="319"/>
      <c r="P506" s="319"/>
      <c r="Q506" s="319"/>
      <c r="R506" s="319"/>
      <c r="S506" s="319"/>
      <c r="T506" s="319"/>
      <c r="U506" s="319"/>
      <c r="V506" s="319">
        <f t="array" ref="V506">IF(AND(HideCodeES_PSS=2,$C$854=$E$1094),SUM(IF($D$1139:$D$1150&lt;D505*M1123,1,0)),SUM(IF($I$1139:$I$1150&lt;D505*M1123,1,0)))*IF(SUM($D$1139:$D$1150)=0,0,1)</f>
        <v>0</v>
      </c>
      <c r="W506" s="319" t="s">
        <v>4373</v>
      </c>
      <c r="X506" s="319"/>
      <c r="Y506" s="319"/>
      <c r="Z506" s="319"/>
      <c r="AA506" s="319"/>
      <c r="AB506" s="319"/>
      <c r="AC506" s="319"/>
      <c r="AD506" s="319"/>
      <c r="AE506" s="319"/>
      <c r="AF506" s="319"/>
      <c r="AG506" s="319"/>
      <c r="AH506" s="319"/>
      <c r="AI506" s="319"/>
      <c r="AJ506" s="319"/>
      <c r="AK506" s="319"/>
      <c r="AL506" s="319"/>
      <c r="AM506" s="319"/>
      <c r="AN506" s="319"/>
      <c r="AO506" s="319">
        <v>2050006</v>
      </c>
      <c r="AP506" s="319"/>
      <c r="AQ506" s="319"/>
      <c r="AR506" s="319"/>
      <c r="AS506" s="319"/>
      <c r="AT506" s="319"/>
      <c r="AU506" s="319"/>
      <c r="AV506" s="319"/>
      <c r="AW506" s="319"/>
      <c r="AX506" s="319"/>
      <c r="AY506" s="319"/>
      <c r="AZ506" s="319"/>
      <c r="BA506" s="319"/>
      <c r="BB506" s="319"/>
      <c r="BC506" s="319"/>
      <c r="BD506" s="319"/>
      <c r="BE506" s="319"/>
      <c r="BF506" s="319"/>
      <c r="BG506" s="319"/>
      <c r="BH506" s="319"/>
      <c r="BI506" s="319"/>
      <c r="BJ506" s="319"/>
      <c r="BK506" s="319"/>
      <c r="BL506" s="319"/>
      <c r="BM506" s="319"/>
      <c r="BN506" s="319"/>
      <c r="BO506" s="319"/>
      <c r="BP506" s="319"/>
      <c r="BQ506" s="319"/>
      <c r="BR506" s="319"/>
      <c r="BS506" s="319"/>
      <c r="BT506" s="319"/>
      <c r="BU506" s="319"/>
      <c r="BV506" s="319"/>
      <c r="BW506" s="319"/>
      <c r="BX506" s="319"/>
      <c r="BY506" s="319"/>
      <c r="BZ506" s="319"/>
      <c r="CA506" s="319"/>
      <c r="CB506" s="319"/>
      <c r="CC506" s="319"/>
      <c r="CD506" s="319"/>
      <c r="CE506" s="319"/>
      <c r="CF506" s="319"/>
    </row>
    <row r="507" spans="1:84" ht="12.75" hidden="1" customHeight="1">
      <c r="A507" s="12"/>
      <c r="B507" s="329" t="str">
        <f>$B$94</f>
        <v>Eletricidade fornecida à carga</v>
      </c>
      <c r="C507" s="29" t="str">
        <f>R14</f>
        <v>MWh</v>
      </c>
      <c r="D507" s="30">
        <f>IF(HideCodeES_PSS=1,$G$1107,IF($C$854=$E$1094,$G$1107,$G$1108))</f>
        <v>0</v>
      </c>
      <c r="E507" s="80" t="str">
        <f>IF($P$867=0,"",D507/$P$867)</f>
        <v/>
      </c>
      <c r="F507" s="1"/>
      <c r="G507" s="1"/>
      <c r="H507" s="1"/>
      <c r="I507" s="1"/>
      <c r="J507" s="1"/>
      <c r="K507" s="9"/>
      <c r="L507" s="1"/>
      <c r="M507" s="319"/>
      <c r="N507" s="319"/>
      <c r="O507" s="319"/>
      <c r="P507" s="319"/>
      <c r="Q507" s="319"/>
      <c r="R507" s="319"/>
      <c r="S507" s="319"/>
      <c r="T507" s="319"/>
      <c r="U507" s="319"/>
      <c r="V507" s="319"/>
      <c r="W507" s="319"/>
      <c r="X507" s="319"/>
      <c r="Y507" s="319"/>
      <c r="Z507" s="319"/>
      <c r="AA507" s="319"/>
      <c r="AB507" s="319"/>
      <c r="AC507" s="319"/>
      <c r="AD507" s="319"/>
      <c r="AE507" s="319"/>
      <c r="AF507" s="319"/>
      <c r="AG507" s="319"/>
      <c r="AH507" s="319"/>
      <c r="AI507" s="319"/>
      <c r="AJ507" s="319"/>
      <c r="AK507" s="319"/>
      <c r="AL507" s="319"/>
      <c r="AM507" s="319"/>
      <c r="AN507" s="319"/>
      <c r="AO507" s="319">
        <v>2050008</v>
      </c>
      <c r="AP507" s="319"/>
      <c r="AQ507" s="319"/>
      <c r="AR507" s="319"/>
      <c r="AS507" s="319"/>
      <c r="AT507" s="319"/>
      <c r="AU507" s="319"/>
      <c r="AV507" s="319"/>
      <c r="AW507" s="319"/>
      <c r="AX507" s="319"/>
      <c r="AY507" s="319"/>
      <c r="AZ507" s="319"/>
      <c r="BA507" s="319"/>
      <c r="BB507" s="319"/>
      <c r="BC507" s="319"/>
      <c r="BD507" s="319"/>
      <c r="BE507" s="319"/>
      <c r="BF507" s="319"/>
      <c r="BG507" s="319"/>
      <c r="BH507" s="319"/>
      <c r="BI507" s="319"/>
      <c r="BJ507" s="319"/>
      <c r="BK507" s="319"/>
      <c r="BL507" s="319"/>
      <c r="BM507" s="319"/>
      <c r="BN507" s="319"/>
      <c r="BO507" s="319"/>
      <c r="BP507" s="319"/>
      <c r="BQ507" s="319"/>
      <c r="BR507" s="319"/>
      <c r="BS507" s="319"/>
      <c r="BT507" s="319"/>
      <c r="BU507" s="319"/>
      <c r="BV507" s="319"/>
      <c r="BW507" s="319"/>
      <c r="BX507" s="319"/>
      <c r="BY507" s="319"/>
      <c r="BZ507" s="319"/>
      <c r="CA507" s="319"/>
      <c r="CB507" s="319"/>
      <c r="CC507" s="319"/>
      <c r="CD507" s="319"/>
      <c r="CE507" s="319"/>
      <c r="CF507" s="319"/>
    </row>
    <row r="508" spans="1:84" ht="12.75" hidden="1" customHeight="1">
      <c r="A508" s="12"/>
      <c r="B508" s="329" t="str">
        <f>$B$95</f>
        <v>Eletricidade exportada p/ rede</v>
      </c>
      <c r="C508" s="29" t="str">
        <f>R14</f>
        <v>MWh</v>
      </c>
      <c r="D508" s="30">
        <f>IF(HideCodeES_PSS=1,$J$1107,IF($C$854=$E$1094,$J$1107,$J$1108))</f>
        <v>5.3903325633948667</v>
      </c>
      <c r="E508" s="1"/>
      <c r="F508" s="1"/>
      <c r="G508" s="1"/>
      <c r="H508" s="1"/>
      <c r="I508" s="1"/>
      <c r="J508" s="1"/>
      <c r="K508" s="9"/>
      <c r="L508" s="1"/>
      <c r="M508" s="319"/>
      <c r="N508" s="319"/>
      <c r="O508" s="319"/>
      <c r="P508" s="319"/>
      <c r="Q508" s="319"/>
      <c r="R508" s="319"/>
      <c r="S508" s="319"/>
      <c r="T508" s="319"/>
      <c r="U508" s="319"/>
      <c r="V508" s="319"/>
      <c r="W508" s="319"/>
      <c r="X508" s="319"/>
      <c r="Y508" s="319"/>
      <c r="Z508" s="319"/>
      <c r="AA508" s="319"/>
      <c r="AB508" s="319"/>
      <c r="AC508" s="319"/>
      <c r="AD508" s="319"/>
      <c r="AE508" s="319"/>
      <c r="AF508" s="319"/>
      <c r="AG508" s="319"/>
      <c r="AH508" s="319"/>
      <c r="AI508" s="319"/>
      <c r="AJ508" s="319"/>
      <c r="AK508" s="319"/>
      <c r="AL508" s="319"/>
      <c r="AM508" s="319"/>
      <c r="AN508" s="319"/>
      <c r="AO508" s="319">
        <v>2050010</v>
      </c>
      <c r="AP508" s="319"/>
      <c r="AQ508" s="319"/>
      <c r="AR508" s="319"/>
      <c r="AS508" s="319"/>
      <c r="AT508" s="319"/>
      <c r="AU508" s="319"/>
      <c r="AV508" s="319"/>
      <c r="AW508" s="319"/>
      <c r="AX508" s="319"/>
      <c r="AY508" s="319"/>
      <c r="AZ508" s="319"/>
      <c r="BA508" s="319"/>
      <c r="BB508" s="319"/>
      <c r="BC508" s="319"/>
      <c r="BD508" s="319"/>
      <c r="BE508" s="319"/>
      <c r="BF508" s="319"/>
      <c r="BG508" s="319"/>
      <c r="BH508" s="319"/>
      <c r="BI508" s="319"/>
      <c r="BJ508" s="319"/>
      <c r="BK508" s="319"/>
      <c r="BL508" s="319"/>
      <c r="BM508" s="319"/>
      <c r="BN508" s="319"/>
      <c r="BO508" s="319"/>
      <c r="BP508" s="319"/>
      <c r="BQ508" s="319"/>
      <c r="BR508" s="319"/>
      <c r="BS508" s="319"/>
      <c r="BT508" s="319"/>
      <c r="BU508" s="319"/>
      <c r="BV508" s="319"/>
      <c r="BW508" s="319"/>
      <c r="BX508" s="319"/>
      <c r="BY508" s="319"/>
      <c r="BZ508" s="319"/>
      <c r="CA508" s="319"/>
      <c r="CB508" s="319"/>
      <c r="CC508" s="319"/>
      <c r="CD508" s="319"/>
      <c r="CE508" s="319"/>
      <c r="CF508" s="319"/>
    </row>
    <row r="509" spans="1:84" ht="12.75" hidden="1" customHeight="1">
      <c r="A509" s="12"/>
      <c r="B509" s="329" t="str">
        <f>B12</f>
        <v>Fabricante</v>
      </c>
      <c r="C509" s="1152"/>
      <c r="D509" s="1153"/>
      <c r="E509" s="1154"/>
      <c r="F509" s="1"/>
      <c r="G509" s="1"/>
      <c r="H509" s="1"/>
      <c r="I509" s="1"/>
      <c r="J509" s="1"/>
      <c r="K509" s="9"/>
      <c r="L509" s="1"/>
      <c r="M509" s="319"/>
      <c r="N509" s="319"/>
      <c r="O509" s="319"/>
      <c r="P509" s="319"/>
      <c r="Q509" s="319"/>
      <c r="R509" s="319"/>
      <c r="S509" s="319"/>
      <c r="T509" s="319"/>
      <c r="U509" s="319"/>
      <c r="V509" s="319"/>
      <c r="W509" s="319"/>
      <c r="X509" s="319"/>
      <c r="Y509" s="319"/>
      <c r="Z509" s="319"/>
      <c r="AA509" s="319"/>
      <c r="AB509" s="319"/>
      <c r="AC509" s="319"/>
      <c r="AD509" s="319"/>
      <c r="AE509" s="319"/>
      <c r="AF509" s="319"/>
      <c r="AG509" s="319"/>
      <c r="AH509" s="319"/>
      <c r="AI509" s="319"/>
      <c r="AJ509" s="319"/>
      <c r="AK509" s="319"/>
      <c r="AL509" s="319"/>
      <c r="AM509" s="319"/>
      <c r="AN509" s="319"/>
      <c r="AO509" s="319">
        <v>2050012</v>
      </c>
      <c r="AP509" s="319"/>
      <c r="AQ509" s="319"/>
      <c r="AR509" s="319"/>
      <c r="AS509" s="319"/>
      <c r="AT509" s="319"/>
      <c r="AU509" s="319"/>
      <c r="AV509" s="319"/>
      <c r="AW509" s="319"/>
      <c r="AX509" s="319"/>
      <c r="AY509" s="319"/>
      <c r="AZ509" s="319"/>
      <c r="BA509" s="319"/>
      <c r="BB509" s="319"/>
      <c r="BC509" s="319"/>
      <c r="BD509" s="319"/>
      <c r="BE509" s="319"/>
      <c r="BF509" s="319"/>
      <c r="BG509" s="319"/>
      <c r="BH509" s="319"/>
      <c r="BI509" s="319"/>
      <c r="BJ509" s="319"/>
      <c r="BK509" s="319"/>
      <c r="BL509" s="319"/>
      <c r="BM509" s="319"/>
      <c r="BN509" s="319"/>
      <c r="BO509" s="319"/>
      <c r="BP509" s="319"/>
      <c r="BQ509" s="319"/>
      <c r="BR509" s="319"/>
      <c r="BS509" s="319"/>
      <c r="BT509" s="319"/>
      <c r="BU509" s="319"/>
      <c r="BV509" s="319"/>
      <c r="BW509" s="319"/>
      <c r="BX509" s="319"/>
      <c r="BY509" s="319"/>
      <c r="BZ509" s="319"/>
      <c r="CA509" s="319"/>
      <c r="CB509" s="319"/>
      <c r="CC509" s="319"/>
      <c r="CD509" s="319"/>
      <c r="CE509" s="319"/>
      <c r="CF509" s="319"/>
    </row>
    <row r="510" spans="1:84" ht="12.75" hidden="1" customHeight="1">
      <c r="A510" s="12"/>
      <c r="B510" s="329" t="str">
        <f>B13</f>
        <v>Modelo</v>
      </c>
      <c r="C510" s="1152"/>
      <c r="D510" s="1153"/>
      <c r="E510" s="1154"/>
      <c r="F510" s="1" t="str">
        <f>$J$1084 &amp; Lang_Unit</f>
        <v>1 unidade(s)</v>
      </c>
      <c r="G510" s="1"/>
      <c r="H510" s="1"/>
      <c r="I510" s="1"/>
      <c r="J510" s="1"/>
      <c r="K510" s="9"/>
      <c r="L510" s="1"/>
      <c r="M510" s="319"/>
      <c r="N510" s="319"/>
      <c r="O510" s="319"/>
      <c r="P510" s="319"/>
      <c r="Q510" s="319"/>
      <c r="R510" s="319"/>
      <c r="S510" s="319"/>
      <c r="T510" s="319"/>
      <c r="U510" s="319"/>
      <c r="V510" s="319"/>
      <c r="W510" s="319"/>
      <c r="X510" s="319"/>
      <c r="Y510" s="319"/>
      <c r="Z510" s="319"/>
      <c r="AA510" s="319"/>
      <c r="AB510" s="319"/>
      <c r="AC510" s="319"/>
      <c r="AD510" s="319"/>
      <c r="AE510" s="319"/>
      <c r="AF510" s="319"/>
      <c r="AG510" s="319"/>
      <c r="AH510" s="319"/>
      <c r="AI510" s="319"/>
      <c r="AJ510" s="319"/>
      <c r="AK510" s="319"/>
      <c r="AL510" s="319"/>
      <c r="AM510" s="319"/>
      <c r="AN510" s="319"/>
      <c r="AO510" s="319">
        <v>2050014</v>
      </c>
      <c r="AP510" s="319"/>
      <c r="AQ510" s="319"/>
      <c r="AR510" s="319"/>
      <c r="AS510" s="319"/>
      <c r="AT510" s="319"/>
      <c r="AU510" s="319"/>
      <c r="AV510" s="319"/>
      <c r="AW510" s="319"/>
      <c r="AX510" s="319"/>
      <c r="AY510" s="319"/>
      <c r="AZ510" s="319"/>
      <c r="BA510" s="319"/>
      <c r="BB510" s="319"/>
      <c r="BC510" s="319"/>
      <c r="BD510" s="319"/>
      <c r="BE510" s="319"/>
      <c r="BF510" s="319"/>
      <c r="BG510" s="319"/>
      <c r="BH510" s="319"/>
      <c r="BI510" s="319"/>
      <c r="BJ510" s="319"/>
      <c r="BK510" s="319"/>
      <c r="BL510" s="319"/>
      <c r="BM510" s="319"/>
      <c r="BN510" s="319"/>
      <c r="BO510" s="319"/>
      <c r="BP510" s="319"/>
      <c r="BQ510" s="319"/>
      <c r="BR510" s="319"/>
      <c r="BS510" s="319"/>
      <c r="BT510" s="319"/>
      <c r="BU510" s="319"/>
      <c r="BV510" s="319"/>
      <c r="BW510" s="319"/>
      <c r="BX510" s="319"/>
      <c r="BY510" s="319"/>
      <c r="BZ510" s="319"/>
      <c r="CA510" s="319"/>
      <c r="CB510" s="319"/>
      <c r="CC510" s="319"/>
      <c r="CD510" s="319"/>
      <c r="CE510" s="319"/>
      <c r="CF510" s="319"/>
    </row>
    <row r="511" spans="1:84" ht="12.75" hidden="1" customHeight="1">
      <c r="A511" s="12"/>
      <c r="B511" s="329" t="str">
        <f>B98</f>
        <v>Preço do calor</v>
      </c>
      <c r="C511" s="303" t="s">
        <v>4213</v>
      </c>
      <c r="D511" s="307"/>
      <c r="E511" s="1"/>
      <c r="F511" s="1"/>
      <c r="G511" s="1"/>
      <c r="H511" s="1"/>
      <c r="I511" s="1"/>
      <c r="J511" s="1"/>
      <c r="K511" s="9"/>
      <c r="L511" s="1"/>
      <c r="M511" s="319"/>
      <c r="N511" s="319"/>
      <c r="O511" s="319"/>
      <c r="P511" s="319"/>
      <c r="Q511" s="319"/>
      <c r="R511" s="319" t="s">
        <v>4213</v>
      </c>
      <c r="S511" s="319">
        <f>IF(C511=$Z$1081,D511,D511*$AA$1082)</f>
        <v>0</v>
      </c>
      <c r="T511" s="319"/>
      <c r="U511" s="319"/>
      <c r="V511" s="319"/>
      <c r="W511" s="319"/>
      <c r="X511" s="319"/>
      <c r="Y511" s="319"/>
      <c r="Z511" s="319"/>
      <c r="AA511" s="319"/>
      <c r="AB511" s="319"/>
      <c r="AC511" s="319"/>
      <c r="AD511" s="319"/>
      <c r="AE511" s="319"/>
      <c r="AF511" s="319"/>
      <c r="AG511" s="319"/>
      <c r="AH511" s="319"/>
      <c r="AI511" s="319"/>
      <c r="AJ511" s="319"/>
      <c r="AK511" s="319"/>
      <c r="AL511" s="319"/>
      <c r="AM511" s="319"/>
      <c r="AN511" s="319"/>
      <c r="AO511" s="319">
        <v>2050018</v>
      </c>
      <c r="AP511" s="319"/>
      <c r="AQ511" s="319"/>
      <c r="AR511" s="319"/>
      <c r="AS511" s="319"/>
      <c r="AT511" s="319"/>
      <c r="AU511" s="319"/>
      <c r="AV511" s="319"/>
      <c r="AW511" s="319"/>
      <c r="AX511" s="319"/>
      <c r="AY511" s="319"/>
      <c r="AZ511" s="319"/>
      <c r="BA511" s="319"/>
      <c r="BB511" s="319"/>
      <c r="BC511" s="319"/>
      <c r="BD511" s="319"/>
      <c r="BE511" s="319"/>
      <c r="BF511" s="319"/>
      <c r="BG511" s="319"/>
      <c r="BH511" s="319"/>
      <c r="BI511" s="319"/>
      <c r="BJ511" s="319"/>
      <c r="BK511" s="319"/>
      <c r="BL511" s="319"/>
      <c r="BM511" s="319"/>
      <c r="BN511" s="319"/>
      <c r="BO511" s="319"/>
      <c r="BP511" s="319"/>
      <c r="BQ511" s="319"/>
      <c r="BR511" s="319"/>
      <c r="BS511" s="319"/>
      <c r="BT511" s="319"/>
      <c r="BU511" s="319"/>
      <c r="BV511" s="319"/>
      <c r="BW511" s="319"/>
      <c r="BX511" s="319"/>
      <c r="BY511" s="319"/>
      <c r="BZ511" s="319"/>
      <c r="CA511" s="319"/>
      <c r="CB511" s="319"/>
      <c r="CC511" s="319"/>
      <c r="CD511" s="319"/>
      <c r="CE511" s="319"/>
      <c r="CF511" s="319"/>
    </row>
    <row r="512" spans="1:84" ht="12.75" hidden="1" customHeight="1">
      <c r="A512" s="12"/>
      <c r="B512" s="329" t="str">
        <f>Language!C430</f>
        <v>Taxa de recuperação de calor</v>
      </c>
      <c r="C512" s="29" t="str">
        <f>$T$35</f>
        <v>%</v>
      </c>
      <c r="D512" s="422"/>
      <c r="E512" s="1"/>
      <c r="F512" s="1"/>
      <c r="G512" s="1"/>
      <c r="H512" s="1"/>
      <c r="I512" s="1"/>
      <c r="J512" s="1"/>
      <c r="K512" s="9"/>
      <c r="L512" s="1"/>
      <c r="M512" s="319"/>
      <c r="N512" s="319"/>
      <c r="O512" s="319"/>
      <c r="P512" s="319"/>
      <c r="Q512" s="319"/>
      <c r="R512" s="319"/>
      <c r="S512" s="319"/>
      <c r="T512" s="319"/>
      <c r="U512" s="319"/>
      <c r="V512" s="319"/>
      <c r="W512" s="319"/>
      <c r="X512" s="319"/>
      <c r="Y512" s="319"/>
      <c r="Z512" s="319"/>
      <c r="AA512" s="319"/>
      <c r="AB512" s="319"/>
      <c r="AC512" s="319"/>
      <c r="AD512" s="319"/>
      <c r="AE512" s="319"/>
      <c r="AF512" s="319"/>
      <c r="AG512" s="319"/>
      <c r="AH512" s="319"/>
      <c r="AI512" s="319"/>
      <c r="AJ512" s="319"/>
      <c r="AK512" s="319"/>
      <c r="AL512" s="319"/>
      <c r="AM512" s="319"/>
      <c r="AN512" s="319"/>
      <c r="AO512" s="319">
        <v>2050030</v>
      </c>
      <c r="AP512" s="319"/>
      <c r="AQ512" s="319"/>
      <c r="AR512" s="319"/>
      <c r="AS512" s="319"/>
      <c r="AT512" s="319"/>
      <c r="AU512" s="319"/>
      <c r="AV512" s="319"/>
      <c r="AW512" s="319"/>
      <c r="AX512" s="319"/>
      <c r="AY512" s="319"/>
      <c r="AZ512" s="319"/>
      <c r="BA512" s="319"/>
      <c r="BB512" s="319"/>
      <c r="BC512" s="319"/>
      <c r="BD512" s="319"/>
      <c r="BE512" s="319"/>
      <c r="BF512" s="319"/>
      <c r="BG512" s="319"/>
      <c r="BH512" s="319"/>
      <c r="BI512" s="319"/>
      <c r="BJ512" s="319"/>
      <c r="BK512" s="319"/>
      <c r="BL512" s="319"/>
      <c r="BM512" s="319"/>
      <c r="BN512" s="319"/>
      <c r="BO512" s="319"/>
      <c r="BP512" s="319"/>
      <c r="BQ512" s="319"/>
      <c r="BR512" s="319"/>
      <c r="BS512" s="319"/>
      <c r="BT512" s="319"/>
      <c r="BU512" s="319"/>
      <c r="BV512" s="319"/>
      <c r="BW512" s="319"/>
      <c r="BX512" s="319"/>
      <c r="BY512" s="319"/>
      <c r="BZ512" s="319"/>
      <c r="CA512" s="319"/>
      <c r="CB512" s="319"/>
      <c r="CC512" s="319"/>
      <c r="CD512" s="319"/>
      <c r="CE512" s="319"/>
      <c r="CF512" s="319"/>
    </row>
    <row r="513" spans="1:84" ht="12.75" hidden="1" customHeight="1">
      <c r="A513" s="12"/>
      <c r="B513" s="329" t="str">
        <f>B77</f>
        <v>Combustível necessário</v>
      </c>
      <c r="C513" s="29" t="str">
        <f>IF(Unit=TRUE,R513,T513)</f>
        <v>GJ/h</v>
      </c>
      <c r="D513" s="140">
        <f>IF(Unit=TRUE,S513,U513)</f>
        <v>0</v>
      </c>
      <c r="E513" s="1"/>
      <c r="F513" s="29" t="str">
        <f>IF($M$3=FALSE,"",IF(Unit=FALSE,R513,T513))</f>
        <v/>
      </c>
      <c r="G513" s="140" t="str">
        <f>IF($M$3=FALSE,"",IF(Unit=FALSE,S513,U513))</f>
        <v/>
      </c>
      <c r="H513" s="1"/>
      <c r="I513" s="1"/>
      <c r="J513" s="1"/>
      <c r="K513" s="9"/>
      <c r="L513" s="1"/>
      <c r="M513" s="319"/>
      <c r="N513" s="319"/>
      <c r="O513" s="319"/>
      <c r="P513" s="319"/>
      <c r="Q513" s="319"/>
      <c r="R513" s="319" t="str">
        <f>$R$77</f>
        <v>GJ/h</v>
      </c>
      <c r="S513" s="319">
        <f>D505*S511/10^6</f>
        <v>0</v>
      </c>
      <c r="T513" s="319" t="str">
        <f>$T$77</f>
        <v>milhão Btu/h</v>
      </c>
      <c r="U513" s="319">
        <f>S513/$AA$1082</f>
        <v>0</v>
      </c>
      <c r="V513" s="319"/>
      <c r="W513" s="319"/>
      <c r="X513" s="319"/>
      <c r="Y513" s="319"/>
      <c r="Z513" s="319"/>
      <c r="AA513" s="319"/>
      <c r="AB513" s="319"/>
      <c r="AC513" s="319"/>
      <c r="AD513" s="319"/>
      <c r="AE513" s="319"/>
      <c r="AF513" s="319"/>
      <c r="AG513" s="319"/>
      <c r="AH513" s="319"/>
      <c r="AI513" s="319"/>
      <c r="AJ513" s="319"/>
      <c r="AK513" s="319"/>
      <c r="AL513" s="319"/>
      <c r="AM513" s="319"/>
      <c r="AN513" s="319"/>
      <c r="AO513" s="319">
        <v>2050032</v>
      </c>
      <c r="AP513" s="319"/>
      <c r="AQ513" s="319"/>
      <c r="AR513" s="319"/>
      <c r="AS513" s="319"/>
      <c r="AT513" s="319"/>
      <c r="AU513" s="319"/>
      <c r="AV513" s="319"/>
      <c r="AW513" s="319"/>
      <c r="AX513" s="319"/>
      <c r="AY513" s="319"/>
      <c r="AZ513" s="319"/>
      <c r="BA513" s="319"/>
      <c r="BB513" s="319"/>
      <c r="BC513" s="319"/>
      <c r="BD513" s="319"/>
      <c r="BE513" s="319"/>
      <c r="BF513" s="319"/>
      <c r="BG513" s="319"/>
      <c r="BH513" s="319"/>
      <c r="BI513" s="319"/>
      <c r="BJ513" s="319"/>
      <c r="BK513" s="319"/>
      <c r="BL513" s="319"/>
      <c r="BM513" s="319"/>
      <c r="BN513" s="319"/>
      <c r="BO513" s="319"/>
      <c r="BP513" s="319"/>
      <c r="BQ513" s="319"/>
      <c r="BR513" s="319"/>
      <c r="BS513" s="319"/>
      <c r="BT513" s="319"/>
      <c r="BU513" s="319"/>
      <c r="BV513" s="319"/>
      <c r="BW513" s="319"/>
      <c r="BX513" s="319"/>
      <c r="BY513" s="319"/>
      <c r="BZ513" s="319"/>
      <c r="CA513" s="319"/>
      <c r="CB513" s="319"/>
      <c r="CC513" s="319"/>
      <c r="CD513" s="319"/>
      <c r="CE513" s="319"/>
      <c r="CF513" s="319"/>
    </row>
    <row r="514" spans="1:84" ht="12.75" hidden="1" customHeight="1">
      <c r="A514" s="14"/>
      <c r="B514" s="380" t="str">
        <f>Language!C431</f>
        <v>Capacidade térmica</v>
      </c>
      <c r="C514" s="33" t="str">
        <f>IF(Unit=TRUE,R514,T514)</f>
        <v>kW</v>
      </c>
      <c r="D514" s="245">
        <f>IF(Unit=TRUE,S514,U514)</f>
        <v>0</v>
      </c>
      <c r="E514" s="81" t="str">
        <f>IF(OR(HideCode_projectType3=2,HideCode_projectType3=5),"",S514/$Q$866)</f>
        <v/>
      </c>
      <c r="F514" s="33" t="str">
        <f>IF($M$3=FALSE,"",IF(Unit=FALSE,R514,T514))</f>
        <v/>
      </c>
      <c r="G514" s="245" t="str">
        <f>IF($M$3=FALSE,"",IF(Unit=FALSE,S514,U514))</f>
        <v/>
      </c>
      <c r="H514" s="15"/>
      <c r="I514" s="15"/>
      <c r="J514" s="15"/>
      <c r="K514" s="11"/>
      <c r="L514" s="1"/>
      <c r="M514" s="319"/>
      <c r="N514" s="319"/>
      <c r="O514" s="319"/>
      <c r="P514" s="319"/>
      <c r="Q514" s="319"/>
      <c r="R514" s="319" t="str">
        <f>$R$20</f>
        <v>kW</v>
      </c>
      <c r="S514" s="319">
        <f>(D505*S511/10^3/3.6-D505)*D512</f>
        <v>0</v>
      </c>
      <c r="T514" s="319" t="str">
        <f>$T$77</f>
        <v>milhão Btu/h</v>
      </c>
      <c r="U514" s="319">
        <f>S514*$AA$1087</f>
        <v>0</v>
      </c>
      <c r="V514" s="319"/>
      <c r="W514" s="319"/>
      <c r="X514" s="319"/>
      <c r="Y514" s="319"/>
      <c r="Z514" s="319"/>
      <c r="AA514" s="319"/>
      <c r="AB514" s="319"/>
      <c r="AC514" s="319"/>
      <c r="AD514" s="319"/>
      <c r="AE514" s="319"/>
      <c r="AF514" s="319"/>
      <c r="AG514" s="319"/>
      <c r="AH514" s="319"/>
      <c r="AI514" s="319"/>
      <c r="AJ514" s="319"/>
      <c r="AK514" s="319"/>
      <c r="AL514" s="319"/>
      <c r="AM514" s="319"/>
      <c r="AN514" s="319"/>
      <c r="AO514" s="319">
        <v>2050034</v>
      </c>
      <c r="AP514" s="319"/>
      <c r="AQ514" s="319"/>
      <c r="AR514" s="319"/>
      <c r="AS514" s="319"/>
      <c r="AT514" s="319"/>
      <c r="AU514" s="319"/>
      <c r="AV514" s="319"/>
      <c r="AW514" s="319"/>
      <c r="AX514" s="319"/>
      <c r="AY514" s="319"/>
      <c r="AZ514" s="319"/>
      <c r="BA514" s="319"/>
      <c r="BB514" s="319"/>
      <c r="BC514" s="319"/>
      <c r="BD514" s="319"/>
      <c r="BE514" s="319"/>
      <c r="BF514" s="319"/>
      <c r="BG514" s="319"/>
      <c r="BH514" s="319"/>
      <c r="BI514" s="319"/>
      <c r="BJ514" s="319"/>
      <c r="BK514" s="319"/>
      <c r="BL514" s="319"/>
      <c r="BM514" s="319"/>
      <c r="BN514" s="319"/>
      <c r="BO514" s="319"/>
      <c r="BP514" s="319"/>
      <c r="BQ514" s="319"/>
      <c r="BR514" s="319"/>
      <c r="BS514" s="319"/>
      <c r="BT514" s="319"/>
      <c r="BU514" s="319"/>
      <c r="BV514" s="319"/>
      <c r="BW514" s="319"/>
      <c r="BX514" s="319"/>
      <c r="BY514" s="319"/>
      <c r="BZ514" s="319"/>
      <c r="CA514" s="319"/>
      <c r="CB514" s="319"/>
      <c r="CC514" s="319"/>
      <c r="CD514" s="319"/>
      <c r="CE514" s="319"/>
      <c r="CF514" s="319"/>
    </row>
    <row r="515" spans="1:84" ht="12.75" hidden="1" customHeight="1">
      <c r="A515" s="50"/>
      <c r="B515" s="232"/>
      <c r="C515" s="21"/>
      <c r="D515" s="88"/>
      <c r="E515" s="227"/>
      <c r="F515" s="8"/>
      <c r="G515" s="8"/>
      <c r="H515" s="8"/>
      <c r="I515" s="8"/>
      <c r="J515" s="8"/>
      <c r="K515" s="6"/>
      <c r="L515" s="1"/>
      <c r="M515" s="319"/>
      <c r="N515" s="319"/>
      <c r="O515" s="319"/>
      <c r="P515" s="319"/>
      <c r="Q515" s="319"/>
      <c r="R515" s="319"/>
      <c r="S515" s="319"/>
      <c r="T515" s="319"/>
      <c r="U515" s="319"/>
      <c r="V515" s="319"/>
      <c r="W515" s="319"/>
      <c r="X515" s="319"/>
      <c r="Y515" s="319"/>
      <c r="Z515" s="319"/>
      <c r="AA515" s="319"/>
      <c r="AB515" s="319"/>
      <c r="AC515" s="319"/>
      <c r="AD515" s="319"/>
      <c r="AE515" s="319"/>
      <c r="AF515" s="319"/>
      <c r="AG515" s="319"/>
      <c r="AH515" s="319"/>
      <c r="AI515" s="319"/>
      <c r="AJ515" s="319"/>
      <c r="AK515" s="319"/>
      <c r="AL515" s="319"/>
      <c r="AM515" s="319"/>
      <c r="AN515" s="319"/>
      <c r="AO515" s="319">
        <v>2030000</v>
      </c>
      <c r="AP515" s="319"/>
      <c r="AQ515" s="319"/>
      <c r="AR515" s="319"/>
      <c r="AS515" s="319"/>
      <c r="AT515" s="319"/>
      <c r="AU515" s="319"/>
      <c r="AV515" s="319"/>
      <c r="AW515" s="319"/>
      <c r="AX515" s="319"/>
      <c r="AY515" s="319"/>
      <c r="AZ515" s="319"/>
      <c r="BA515" s="319"/>
      <c r="BB515" s="319"/>
      <c r="BC515" s="319"/>
      <c r="BD515" s="319"/>
      <c r="BE515" s="319"/>
      <c r="BF515" s="319"/>
      <c r="BG515" s="319"/>
      <c r="BH515" s="319"/>
      <c r="BI515" s="319"/>
      <c r="BJ515" s="319"/>
      <c r="BK515" s="319"/>
      <c r="BL515" s="319"/>
      <c r="BM515" s="319"/>
      <c r="BN515" s="319"/>
      <c r="BO515" s="319"/>
      <c r="BP515" s="319"/>
      <c r="BQ515" s="319"/>
      <c r="BR515" s="319"/>
      <c r="BS515" s="319"/>
      <c r="BT515" s="319"/>
      <c r="BU515" s="319"/>
      <c r="BV515" s="319"/>
      <c r="BW515" s="319"/>
      <c r="BX515" s="319"/>
      <c r="BY515" s="319"/>
      <c r="BZ515" s="319"/>
      <c r="CA515" s="319"/>
      <c r="CB515" s="319"/>
      <c r="CC515" s="319"/>
      <c r="CD515" s="319"/>
      <c r="CE515" s="319"/>
      <c r="CF515" s="319"/>
    </row>
    <row r="516" spans="1:84" ht="12.75" hidden="1" customHeight="1">
      <c r="A516" s="12"/>
      <c r="B516" s="28" t="str">
        <f>IF(HideCodeES_PSS=1,K1073,K1073&amp;" #1")</f>
        <v>Energia das correntes oceânicas</v>
      </c>
      <c r="C516" s="1"/>
      <c r="D516" s="88"/>
      <c r="E516" s="227"/>
      <c r="F516" s="8"/>
      <c r="G516" s="8"/>
      <c r="H516" s="8"/>
      <c r="I516" s="8"/>
      <c r="J516" s="8"/>
      <c r="K516" s="784"/>
      <c r="L516" s="1"/>
      <c r="M516" s="319"/>
      <c r="N516" s="319"/>
      <c r="O516" s="319"/>
      <c r="P516" s="319"/>
      <c r="Q516" s="319"/>
      <c r="R516" s="319"/>
      <c r="S516" s="319"/>
      <c r="T516" s="319"/>
      <c r="U516" s="319"/>
      <c r="V516" s="319"/>
      <c r="W516" s="319"/>
      <c r="X516" s="319"/>
      <c r="Y516" s="319"/>
      <c r="Z516" s="319"/>
      <c r="AA516" s="319"/>
      <c r="AB516" s="319"/>
      <c r="AC516" s="319"/>
      <c r="AD516" s="319"/>
      <c r="AE516" s="319"/>
      <c r="AF516" s="319"/>
      <c r="AG516" s="319"/>
      <c r="AH516" s="319"/>
      <c r="AI516" s="319"/>
      <c r="AJ516" s="319"/>
      <c r="AK516" s="319"/>
      <c r="AL516" s="319"/>
      <c r="AM516" s="319"/>
      <c r="AN516" s="319"/>
      <c r="AO516" s="319">
        <v>14150</v>
      </c>
      <c r="AP516" s="319"/>
      <c r="AQ516" s="319"/>
      <c r="AR516" s="319"/>
      <c r="AS516" s="319"/>
      <c r="AT516" s="319"/>
      <c r="AU516" s="319"/>
      <c r="AV516" s="319"/>
      <c r="AW516" s="319"/>
      <c r="AX516" s="319"/>
      <c r="AY516" s="319"/>
      <c r="AZ516" s="319"/>
      <c r="BA516" s="319"/>
      <c r="BB516" s="319"/>
      <c r="BC516" s="319"/>
      <c r="BD516" s="319"/>
      <c r="BE516" s="319"/>
      <c r="BF516" s="319"/>
      <c r="BG516" s="319"/>
      <c r="BH516" s="319"/>
      <c r="BI516" s="319"/>
      <c r="BJ516" s="319"/>
      <c r="BK516" s="319"/>
      <c r="BL516" s="319"/>
      <c r="BM516" s="319"/>
      <c r="BN516" s="319"/>
      <c r="BO516" s="319"/>
      <c r="BP516" s="319"/>
      <c r="BQ516" s="319"/>
      <c r="BR516" s="319"/>
      <c r="BS516" s="319"/>
      <c r="BT516" s="319"/>
      <c r="BU516" s="319"/>
      <c r="BV516" s="319"/>
      <c r="BW516" s="319"/>
      <c r="BX516" s="319"/>
      <c r="BY516" s="319"/>
      <c r="BZ516" s="319"/>
      <c r="CA516" s="319"/>
      <c r="CB516" s="319"/>
      <c r="CC516" s="319"/>
      <c r="CD516" s="319"/>
      <c r="CE516" s="319"/>
      <c r="CF516" s="319"/>
    </row>
    <row r="517" spans="1:84" ht="12.75" hidden="1" customHeight="1">
      <c r="A517" s="12"/>
      <c r="B517" s="329" t="str">
        <f>$B$92</f>
        <v>Potência elétrica</v>
      </c>
      <c r="C517" s="21" t="str">
        <f>$C$92</f>
        <v>kW</v>
      </c>
      <c r="D517" s="460"/>
      <c r="E517" s="80" t="str">
        <f>IF($P$866=0,"",D517/$P$866)</f>
        <v/>
      </c>
      <c r="F517" s="1"/>
      <c r="G517" s="8"/>
      <c r="H517" s="1346"/>
      <c r="I517" s="1252" t="str">
        <f>Language!C61</f>
        <v>Ver banco de dados de produtos</v>
      </c>
      <c r="J517" s="1191"/>
      <c r="K517" s="1210"/>
      <c r="L517" s="1"/>
      <c r="M517" s="319"/>
      <c r="N517" s="319"/>
      <c r="O517" s="319"/>
      <c r="P517" s="319"/>
      <c r="Q517" s="319"/>
      <c r="R517" s="319"/>
      <c r="S517" s="319"/>
      <c r="T517" s="319"/>
      <c r="U517" s="319"/>
      <c r="V517" s="319">
        <f>D517*D520</f>
        <v>0</v>
      </c>
      <c r="W517" s="319" t="s">
        <v>5700</v>
      </c>
      <c r="X517" s="319"/>
      <c r="Y517" s="319"/>
      <c r="Z517" s="319"/>
      <c r="AA517" s="319"/>
      <c r="AB517" s="319"/>
      <c r="AC517" s="319"/>
      <c r="AD517" s="319"/>
      <c r="AE517" s="319"/>
      <c r="AF517" s="319"/>
      <c r="AG517" s="319"/>
      <c r="AH517" s="319"/>
      <c r="AI517" s="319"/>
      <c r="AJ517" s="319"/>
      <c r="AK517" s="319"/>
      <c r="AL517" s="319"/>
      <c r="AM517" s="319"/>
      <c r="AN517" s="319"/>
      <c r="AO517" s="319">
        <v>2050002</v>
      </c>
      <c r="AP517" s="319"/>
      <c r="AQ517" s="319"/>
      <c r="AR517" s="319"/>
      <c r="AS517" s="319"/>
      <c r="AT517" s="319"/>
      <c r="AU517" s="319"/>
      <c r="AV517" s="319"/>
      <c r="AW517" s="319"/>
      <c r="AX517" s="319"/>
      <c r="AY517" s="319"/>
      <c r="AZ517" s="319"/>
      <c r="BA517" s="319"/>
      <c r="BB517" s="319"/>
      <c r="BC517" s="319"/>
      <c r="BD517" s="319"/>
      <c r="BE517" s="319"/>
      <c r="BF517" s="319"/>
      <c r="BG517" s="319"/>
      <c r="BH517" s="319"/>
      <c r="BI517" s="319"/>
      <c r="BJ517" s="319"/>
      <c r="BK517" s="319"/>
      <c r="BL517" s="319"/>
      <c r="BM517" s="319"/>
      <c r="BN517" s="319"/>
      <c r="BO517" s="319"/>
      <c r="BP517" s="319"/>
      <c r="BQ517" s="319"/>
      <c r="BR517" s="319"/>
      <c r="BS517" s="319"/>
      <c r="BT517" s="319"/>
      <c r="BU517" s="319"/>
      <c r="BV517" s="319"/>
      <c r="BW517" s="319"/>
      <c r="BX517" s="319"/>
      <c r="BY517" s="319"/>
      <c r="BZ517" s="319"/>
      <c r="CA517" s="319"/>
      <c r="CB517" s="319"/>
      <c r="CC517" s="319"/>
      <c r="CD517" s="319"/>
      <c r="CE517" s="319"/>
      <c r="CF517" s="319"/>
    </row>
    <row r="518" spans="1:84" ht="12.75" hidden="1" customHeight="1">
      <c r="A518" s="12"/>
      <c r="B518" s="329" t="str">
        <f>$B$12</f>
        <v>Fabricante</v>
      </c>
      <c r="C518" s="1152"/>
      <c r="D518" s="1235"/>
      <c r="E518" s="1236"/>
      <c r="F518" s="8"/>
      <c r="G518" s="8"/>
      <c r="H518" s="8"/>
      <c r="I518" s="8"/>
      <c r="J518" s="8"/>
      <c r="K518" s="9"/>
      <c r="L518" s="1"/>
      <c r="M518" s="319"/>
      <c r="N518" s="319"/>
      <c r="O518" s="319"/>
      <c r="P518" s="319"/>
      <c r="Q518" s="319"/>
      <c r="R518" s="319"/>
      <c r="S518" s="319"/>
      <c r="T518" s="319"/>
      <c r="U518" s="319"/>
      <c r="V518" s="319"/>
      <c r="W518" s="319"/>
      <c r="X518" s="319"/>
      <c r="Y518" s="319"/>
      <c r="Z518" s="319"/>
      <c r="AA518" s="319"/>
      <c r="AB518" s="319"/>
      <c r="AC518" s="319"/>
      <c r="AD518" s="319"/>
      <c r="AE518" s="319"/>
      <c r="AF518" s="319"/>
      <c r="AG518" s="319"/>
      <c r="AH518" s="319"/>
      <c r="AI518" s="319"/>
      <c r="AJ518" s="319"/>
      <c r="AK518" s="319"/>
      <c r="AL518" s="319"/>
      <c r="AM518" s="319"/>
      <c r="AN518" s="319"/>
      <c r="AO518" s="319">
        <v>2050012</v>
      </c>
      <c r="AP518" s="319"/>
      <c r="AQ518" s="319"/>
      <c r="AR518" s="319"/>
      <c r="AS518" s="319"/>
      <c r="AT518" s="319"/>
      <c r="AU518" s="319"/>
      <c r="AV518" s="319"/>
      <c r="AW518" s="319"/>
      <c r="AX518" s="319"/>
      <c r="AY518" s="319"/>
      <c r="AZ518" s="319"/>
      <c r="BA518" s="319"/>
      <c r="BB518" s="319"/>
      <c r="BC518" s="319"/>
      <c r="BD518" s="319"/>
      <c r="BE518" s="319"/>
      <c r="BF518" s="319"/>
      <c r="BG518" s="319"/>
      <c r="BH518" s="319"/>
      <c r="BI518" s="319"/>
      <c r="BJ518" s="319"/>
      <c r="BK518" s="319"/>
      <c r="BL518" s="319"/>
      <c r="BM518" s="319"/>
      <c r="BN518" s="319"/>
      <c r="BO518" s="319"/>
      <c r="BP518" s="319"/>
      <c r="BQ518" s="319"/>
      <c r="BR518" s="319"/>
      <c r="BS518" s="319"/>
      <c r="BT518" s="319"/>
      <c r="BU518" s="319"/>
      <c r="BV518" s="319"/>
      <c r="BW518" s="319"/>
      <c r="BX518" s="319"/>
      <c r="BY518" s="319"/>
      <c r="BZ518" s="319"/>
      <c r="CA518" s="319"/>
      <c r="CB518" s="319"/>
      <c r="CC518" s="319"/>
      <c r="CD518" s="319"/>
      <c r="CE518" s="319"/>
      <c r="CF518" s="319"/>
    </row>
    <row r="519" spans="1:84" ht="12.75" hidden="1" customHeight="1">
      <c r="A519" s="12"/>
      <c r="B519" s="329" t="str">
        <f>$B$13</f>
        <v>Modelo</v>
      </c>
      <c r="C519" s="1152"/>
      <c r="D519" s="1153"/>
      <c r="E519" s="1154"/>
      <c r="F519" s="8" t="str">
        <f>$J$1086 &amp; Lang_Unit</f>
        <v xml:space="preserve"> unidade(s)</v>
      </c>
      <c r="G519" s="8"/>
      <c r="H519" s="8"/>
      <c r="I519" s="8"/>
      <c r="J519" s="8"/>
      <c r="K519" s="9"/>
      <c r="L519" s="1"/>
      <c r="M519" s="319"/>
      <c r="N519" s="319"/>
      <c r="O519" s="319"/>
      <c r="P519" s="319"/>
      <c r="Q519" s="319"/>
      <c r="R519" s="319"/>
      <c r="S519" s="319"/>
      <c r="T519" s="319"/>
      <c r="U519" s="319"/>
      <c r="V519" s="319"/>
      <c r="W519" s="319"/>
      <c r="X519" s="319"/>
      <c r="Y519" s="319"/>
      <c r="Z519" s="319"/>
      <c r="AA519" s="319"/>
      <c r="AB519" s="319"/>
      <c r="AC519" s="319"/>
      <c r="AD519" s="319"/>
      <c r="AE519" s="319"/>
      <c r="AF519" s="319"/>
      <c r="AG519" s="319"/>
      <c r="AH519" s="319"/>
      <c r="AI519" s="319"/>
      <c r="AJ519" s="319"/>
      <c r="AK519" s="319"/>
      <c r="AL519" s="319"/>
      <c r="AM519" s="319"/>
      <c r="AN519" s="319"/>
      <c r="AO519" s="319">
        <v>2050014</v>
      </c>
      <c r="AP519" s="319"/>
      <c r="AQ519" s="319"/>
      <c r="AR519" s="319"/>
      <c r="AS519" s="319"/>
      <c r="AT519" s="319"/>
      <c r="AU519" s="319"/>
      <c r="AV519" s="319"/>
      <c r="AW519" s="319"/>
      <c r="AX519" s="319"/>
      <c r="AY519" s="319"/>
      <c r="AZ519" s="319"/>
      <c r="BA519" s="319"/>
      <c r="BB519" s="319"/>
      <c r="BC519" s="319"/>
      <c r="BD519" s="319"/>
      <c r="BE519" s="319"/>
      <c r="BF519" s="319"/>
      <c r="BG519" s="319"/>
      <c r="BH519" s="319"/>
      <c r="BI519" s="319"/>
      <c r="BJ519" s="319"/>
      <c r="BK519" s="319"/>
      <c r="BL519" s="319"/>
      <c r="BM519" s="319"/>
      <c r="BN519" s="319"/>
      <c r="BO519" s="319"/>
      <c r="BP519" s="319"/>
      <c r="BQ519" s="319"/>
      <c r="BR519" s="319"/>
      <c r="BS519" s="319"/>
      <c r="BT519" s="319"/>
      <c r="BU519" s="319"/>
      <c r="BV519" s="319"/>
      <c r="BW519" s="319"/>
      <c r="BX519" s="319"/>
      <c r="BY519" s="319"/>
      <c r="BZ519" s="319"/>
      <c r="CA519" s="319"/>
      <c r="CB519" s="319"/>
      <c r="CC519" s="319"/>
      <c r="CD519" s="319"/>
      <c r="CE519" s="319"/>
      <c r="CF519" s="319"/>
    </row>
    <row r="520" spans="1:84" ht="12.75" hidden="1" customHeight="1">
      <c r="A520" s="12"/>
      <c r="B520" s="329" t="str">
        <f>$B$309</f>
        <v>Fator de Utilização</v>
      </c>
      <c r="C520" s="29" t="str">
        <f>$T$35</f>
        <v>%</v>
      </c>
      <c r="D520" s="422"/>
      <c r="E520" s="1"/>
      <c r="F520" s="8"/>
      <c r="G520" s="8"/>
      <c r="H520" s="8"/>
      <c r="I520" s="8"/>
      <c r="J520" s="8"/>
      <c r="K520" s="9"/>
      <c r="L520" s="1"/>
      <c r="M520" s="319"/>
      <c r="N520" s="319"/>
      <c r="O520" s="319"/>
      <c r="P520" s="319"/>
      <c r="Q520" s="319"/>
      <c r="R520" s="319"/>
      <c r="S520" s="319"/>
      <c r="T520" s="319"/>
      <c r="U520" s="319"/>
      <c r="V520" s="319"/>
      <c r="W520" s="319"/>
      <c r="X520" s="319"/>
      <c r="Y520" s="319"/>
      <c r="Z520" s="319"/>
      <c r="AA520" s="319"/>
      <c r="AB520" s="319"/>
      <c r="AC520" s="319"/>
      <c r="AD520" s="319"/>
      <c r="AE520" s="319"/>
      <c r="AF520" s="319"/>
      <c r="AG520" s="319"/>
      <c r="AH520" s="319"/>
      <c r="AI520" s="319"/>
      <c r="AJ520" s="319"/>
      <c r="AK520" s="319"/>
      <c r="AL520" s="319"/>
      <c r="AM520" s="319"/>
      <c r="AN520" s="319"/>
      <c r="AO520" s="319">
        <v>2070000</v>
      </c>
      <c r="AP520" s="319"/>
      <c r="AQ520" s="319"/>
      <c r="AR520" s="319"/>
      <c r="AS520" s="319"/>
      <c r="AT520" s="319"/>
      <c r="AU520" s="319"/>
      <c r="AV520" s="319"/>
      <c r="AW520" s="319"/>
      <c r="AX520" s="319"/>
      <c r="AY520" s="319"/>
      <c r="AZ520" s="319"/>
      <c r="BA520" s="319"/>
      <c r="BB520" s="319"/>
      <c r="BC520" s="319"/>
      <c r="BD520" s="319"/>
      <c r="BE520" s="319"/>
      <c r="BF520" s="319"/>
      <c r="BG520" s="319"/>
      <c r="BH520" s="319"/>
      <c r="BI520" s="319"/>
      <c r="BJ520" s="319"/>
      <c r="BK520" s="319"/>
      <c r="BL520" s="319"/>
      <c r="BM520" s="319"/>
      <c r="BN520" s="319"/>
      <c r="BO520" s="319"/>
      <c r="BP520" s="319"/>
      <c r="BQ520" s="319"/>
      <c r="BR520" s="319"/>
      <c r="BS520" s="319"/>
      <c r="BT520" s="319"/>
      <c r="BU520" s="319"/>
      <c r="BV520" s="319"/>
      <c r="BW520" s="319"/>
      <c r="BX520" s="319"/>
      <c r="BY520" s="319"/>
      <c r="BZ520" s="319"/>
      <c r="CA520" s="319"/>
      <c r="CB520" s="319"/>
      <c r="CC520" s="319"/>
      <c r="CD520" s="319"/>
      <c r="CE520" s="319"/>
      <c r="CF520" s="319"/>
    </row>
    <row r="521" spans="1:84" ht="12.75" hidden="1" customHeight="1">
      <c r="A521" s="12"/>
      <c r="B521" s="329" t="str">
        <f>$B$94</f>
        <v>Eletricidade fornecida à carga</v>
      </c>
      <c r="C521" s="29" t="str">
        <f>R14</f>
        <v>MWh</v>
      </c>
      <c r="D521" s="30">
        <f>IF(HideCodeES_PSS=1,$G$1107,IF($C$854=$E$1094,$G$1107,$G$1108))</f>
        <v>0</v>
      </c>
      <c r="E521" s="80" t="str">
        <f>IF($P$867=0,"",D521/$P$867)</f>
        <v/>
      </c>
      <c r="F521" s="8"/>
      <c r="G521" s="8"/>
      <c r="H521" s="8"/>
      <c r="I521" s="8"/>
      <c r="J521" s="8"/>
      <c r="K521" s="9"/>
      <c r="L521" s="1"/>
      <c r="M521" s="319"/>
      <c r="N521" s="319"/>
      <c r="O521" s="319"/>
      <c r="P521" s="319"/>
      <c r="Q521" s="319"/>
      <c r="R521" s="319"/>
      <c r="S521" s="319"/>
      <c r="T521" s="319"/>
      <c r="U521" s="319"/>
      <c r="V521" s="319"/>
      <c r="W521" s="319"/>
      <c r="X521" s="319"/>
      <c r="Y521" s="319"/>
      <c r="Z521" s="319"/>
      <c r="AA521" s="319"/>
      <c r="AB521" s="319"/>
      <c r="AC521" s="319"/>
      <c r="AD521" s="319"/>
      <c r="AE521" s="319"/>
      <c r="AF521" s="319"/>
      <c r="AG521" s="319"/>
      <c r="AH521" s="319"/>
      <c r="AI521" s="319"/>
      <c r="AJ521" s="319"/>
      <c r="AK521" s="319"/>
      <c r="AL521" s="319"/>
      <c r="AM521" s="319"/>
      <c r="AN521" s="319"/>
      <c r="AO521" s="319">
        <v>2050008</v>
      </c>
      <c r="AP521" s="319"/>
      <c r="AQ521" s="319"/>
      <c r="AR521" s="319"/>
      <c r="AS521" s="319"/>
      <c r="AT521" s="319"/>
      <c r="AU521" s="319"/>
      <c r="AV521" s="319"/>
      <c r="AW521" s="319"/>
      <c r="AX521" s="319"/>
      <c r="AY521" s="319"/>
      <c r="AZ521" s="319"/>
      <c r="BA521" s="319"/>
      <c r="BB521" s="319"/>
      <c r="BC521" s="319"/>
      <c r="BD521" s="319"/>
      <c r="BE521" s="319"/>
      <c r="BF521" s="319"/>
      <c r="BG521" s="319"/>
      <c r="BH521" s="319"/>
      <c r="BI521" s="319"/>
      <c r="BJ521" s="319"/>
      <c r="BK521" s="319"/>
      <c r="BL521" s="319"/>
      <c r="BM521" s="319"/>
      <c r="BN521" s="319"/>
      <c r="BO521" s="319"/>
      <c r="BP521" s="319"/>
      <c r="BQ521" s="319"/>
      <c r="BR521" s="319"/>
      <c r="BS521" s="319"/>
      <c r="BT521" s="319"/>
      <c r="BU521" s="319"/>
      <c r="BV521" s="319"/>
      <c r="BW521" s="319"/>
      <c r="BX521" s="319"/>
      <c r="BY521" s="319"/>
      <c r="BZ521" s="319"/>
      <c r="CA521" s="319"/>
      <c r="CB521" s="319"/>
      <c r="CC521" s="319"/>
      <c r="CD521" s="319"/>
      <c r="CE521" s="319"/>
      <c r="CF521" s="319"/>
    </row>
    <row r="522" spans="1:84" ht="12.75" hidden="1" customHeight="1">
      <c r="A522" s="14"/>
      <c r="B522" s="380" t="str">
        <f>$B$95</f>
        <v>Eletricidade exportada p/ rede</v>
      </c>
      <c r="C522" s="33" t="str">
        <f>R14</f>
        <v>MWh</v>
      </c>
      <c r="D522" s="34">
        <f>IF(HideCodeES_PSS=1,$J$1107,IF($C$854=$E$1094,$J$1107,$J$1108))</f>
        <v>5.3903325633948667</v>
      </c>
      <c r="E522" s="15"/>
      <c r="F522" s="15"/>
      <c r="G522" s="15"/>
      <c r="H522" s="15"/>
      <c r="I522" s="15"/>
      <c r="J522" s="15"/>
      <c r="K522" s="11"/>
      <c r="L522" s="1"/>
      <c r="M522" s="319"/>
      <c r="N522" s="319"/>
      <c r="O522" s="319"/>
      <c r="P522" s="319"/>
      <c r="Q522" s="319"/>
      <c r="R522" s="319"/>
      <c r="S522" s="319"/>
      <c r="T522" s="319"/>
      <c r="U522" s="319"/>
      <c r="V522" s="319"/>
      <c r="W522" s="319"/>
      <c r="X522" s="319"/>
      <c r="Y522" s="319"/>
      <c r="Z522" s="319"/>
      <c r="AA522" s="319"/>
      <c r="AB522" s="319"/>
      <c r="AC522" s="319"/>
      <c r="AD522" s="319"/>
      <c r="AE522" s="319"/>
      <c r="AF522" s="319"/>
      <c r="AG522" s="319"/>
      <c r="AH522" s="319"/>
      <c r="AI522" s="319"/>
      <c r="AJ522" s="319"/>
      <c r="AK522" s="319"/>
      <c r="AL522" s="319"/>
      <c r="AM522" s="319"/>
      <c r="AN522" s="319"/>
      <c r="AO522" s="319">
        <v>2050010</v>
      </c>
      <c r="AP522" s="319"/>
      <c r="AQ522" s="319"/>
      <c r="AR522" s="319"/>
      <c r="AS522" s="319"/>
      <c r="AT522" s="319"/>
      <c r="AU522" s="319"/>
      <c r="AV522" s="319"/>
      <c r="AW522" s="319"/>
      <c r="AX522" s="319"/>
      <c r="AY522" s="319"/>
      <c r="AZ522" s="319"/>
      <c r="BA522" s="319"/>
      <c r="BB522" s="319"/>
      <c r="BC522" s="319"/>
      <c r="BD522" s="319"/>
      <c r="BE522" s="319"/>
      <c r="BF522" s="319"/>
      <c r="BG522" s="319"/>
      <c r="BH522" s="319"/>
      <c r="BI522" s="319"/>
      <c r="BJ522" s="319"/>
      <c r="BK522" s="319"/>
      <c r="BL522" s="319"/>
      <c r="BM522" s="319"/>
      <c r="BN522" s="319"/>
      <c r="BO522" s="319"/>
      <c r="BP522" s="319"/>
      <c r="BQ522" s="319"/>
      <c r="BR522" s="319"/>
      <c r="BS522" s="319"/>
      <c r="BT522" s="319"/>
      <c r="BU522" s="319"/>
      <c r="BV522" s="319"/>
      <c r="BW522" s="319"/>
      <c r="BX522" s="319"/>
      <c r="BY522" s="319"/>
      <c r="BZ522" s="319"/>
      <c r="CA522" s="319"/>
      <c r="CB522" s="319"/>
      <c r="CC522" s="319"/>
      <c r="CD522" s="319"/>
      <c r="CE522" s="319"/>
      <c r="CF522" s="319"/>
    </row>
    <row r="523" spans="1:84" ht="12.75" hidden="1" customHeight="1">
      <c r="A523" s="50"/>
      <c r="B523" s="232"/>
      <c r="C523" s="21"/>
      <c r="D523" s="88"/>
      <c r="E523" s="227"/>
      <c r="F523" s="8"/>
      <c r="G523" s="8"/>
      <c r="H523" s="8"/>
      <c r="I523" s="8"/>
      <c r="J523" s="8"/>
      <c r="K523" s="6"/>
      <c r="L523" s="1"/>
      <c r="M523" s="319"/>
      <c r="N523" s="319"/>
      <c r="O523" s="319"/>
      <c r="P523" s="319"/>
      <c r="Q523" s="319"/>
      <c r="R523" s="319"/>
      <c r="S523" s="319"/>
      <c r="T523" s="319"/>
      <c r="U523" s="319"/>
      <c r="V523" s="319"/>
      <c r="W523" s="319"/>
      <c r="X523" s="319"/>
      <c r="Y523" s="319"/>
      <c r="Z523" s="319"/>
      <c r="AA523" s="319"/>
      <c r="AB523" s="319"/>
      <c r="AC523" s="319"/>
      <c r="AD523" s="319"/>
      <c r="AE523" s="319"/>
      <c r="AF523" s="319"/>
      <c r="AG523" s="319"/>
      <c r="AH523" s="319"/>
      <c r="AI523" s="319"/>
      <c r="AJ523" s="319"/>
      <c r="AK523" s="319"/>
      <c r="AL523" s="319"/>
      <c r="AM523" s="319"/>
      <c r="AN523" s="319"/>
      <c r="AO523" s="319">
        <v>2030000</v>
      </c>
      <c r="AP523" s="319"/>
      <c r="AQ523" s="319"/>
      <c r="AR523" s="319"/>
      <c r="AS523" s="319"/>
      <c r="AT523" s="319"/>
      <c r="AU523" s="319"/>
      <c r="AV523" s="319"/>
      <c r="AW523" s="319"/>
      <c r="AX523" s="319"/>
      <c r="AY523" s="319"/>
      <c r="AZ523" s="319"/>
      <c r="BA523" s="319"/>
      <c r="BB523" s="319"/>
      <c r="BC523" s="319"/>
      <c r="BD523" s="319"/>
      <c r="BE523" s="319"/>
      <c r="BF523" s="319"/>
      <c r="BG523" s="319"/>
      <c r="BH523" s="319"/>
      <c r="BI523" s="319"/>
      <c r="BJ523" s="319"/>
      <c r="BK523" s="319"/>
      <c r="BL523" s="319"/>
      <c r="BM523" s="319"/>
      <c r="BN523" s="319"/>
      <c r="BO523" s="319"/>
      <c r="BP523" s="319"/>
      <c r="BQ523" s="319"/>
      <c r="BR523" s="319"/>
      <c r="BS523" s="319"/>
      <c r="BT523" s="319"/>
      <c r="BU523" s="319"/>
      <c r="BV523" s="319"/>
      <c r="BW523" s="319"/>
      <c r="BX523" s="319"/>
      <c r="BY523" s="319"/>
      <c r="BZ523" s="319"/>
      <c r="CA523" s="319"/>
      <c r="CB523" s="319"/>
      <c r="CC523" s="319"/>
      <c r="CD523" s="319"/>
      <c r="CE523" s="319"/>
      <c r="CF523" s="319"/>
    </row>
    <row r="524" spans="1:84" ht="12.75" hidden="1" customHeight="1">
      <c r="A524" s="12"/>
      <c r="B524" s="751" t="str">
        <f>IF(HideCodeES_PSS=1,K1074,K1074&amp;" #1")</f>
        <v>Energia das marés</v>
      </c>
      <c r="C524" s="1"/>
      <c r="D524" s="88"/>
      <c r="E524" s="227"/>
      <c r="F524" s="8"/>
      <c r="G524" s="8"/>
      <c r="H524" s="8"/>
      <c r="I524" s="8"/>
      <c r="J524" s="8"/>
      <c r="K524" s="9"/>
      <c r="L524" s="1"/>
      <c r="M524" s="319"/>
      <c r="N524" s="319"/>
      <c r="O524" s="319"/>
      <c r="P524" s="319"/>
      <c r="Q524" s="319"/>
      <c r="R524" s="319"/>
      <c r="S524" s="319"/>
      <c r="T524" s="319"/>
      <c r="U524" s="319"/>
      <c r="V524" s="319"/>
      <c r="W524" s="319"/>
      <c r="X524" s="319"/>
      <c r="Y524" s="319"/>
      <c r="Z524" s="319"/>
      <c r="AA524" s="319"/>
      <c r="AB524" s="319"/>
      <c r="AC524" s="319"/>
      <c r="AD524" s="319"/>
      <c r="AE524" s="319"/>
      <c r="AF524" s="319"/>
      <c r="AG524" s="319"/>
      <c r="AH524" s="319"/>
      <c r="AI524" s="319"/>
      <c r="AJ524" s="319"/>
      <c r="AK524" s="319"/>
      <c r="AL524" s="319"/>
      <c r="AM524" s="319"/>
      <c r="AN524" s="319"/>
      <c r="AO524" s="319">
        <v>14210</v>
      </c>
      <c r="AP524" s="319"/>
      <c r="AQ524" s="319"/>
      <c r="AR524" s="319"/>
      <c r="AS524" s="319"/>
      <c r="AT524" s="319"/>
      <c r="AU524" s="319"/>
      <c r="AV524" s="319"/>
      <c r="AW524" s="319"/>
      <c r="AX524" s="319"/>
      <c r="AY524" s="319"/>
      <c r="AZ524" s="319"/>
      <c r="BA524" s="319"/>
      <c r="BB524" s="319"/>
      <c r="BC524" s="319"/>
      <c r="BD524" s="319"/>
      <c r="BE524" s="319"/>
      <c r="BF524" s="319"/>
      <c r="BG524" s="319"/>
      <c r="BH524" s="319"/>
      <c r="BI524" s="319"/>
      <c r="BJ524" s="319"/>
      <c r="BK524" s="319"/>
      <c r="BL524" s="319"/>
      <c r="BM524" s="319"/>
      <c r="BN524" s="319"/>
      <c r="BO524" s="319"/>
      <c r="BP524" s="319"/>
      <c r="BQ524" s="319"/>
      <c r="BR524" s="319"/>
      <c r="BS524" s="319"/>
      <c r="BT524" s="319"/>
      <c r="BU524" s="319"/>
      <c r="BV524" s="319"/>
      <c r="BW524" s="319"/>
      <c r="BX524" s="319"/>
      <c r="BY524" s="319"/>
      <c r="BZ524" s="319"/>
      <c r="CA524" s="319"/>
      <c r="CB524" s="319"/>
      <c r="CC524" s="319"/>
      <c r="CD524" s="319"/>
      <c r="CE524" s="319"/>
      <c r="CF524" s="319"/>
    </row>
    <row r="525" spans="1:84" ht="12.75" hidden="1" customHeight="1">
      <c r="A525" s="12"/>
      <c r="B525" s="329" t="str">
        <f>$B$92</f>
        <v>Potência elétrica</v>
      </c>
      <c r="C525" s="21" t="str">
        <f>$C$92</f>
        <v>kW</v>
      </c>
      <c r="D525" s="460"/>
      <c r="E525" s="80" t="str">
        <f>IF($P$866=0,"",D525/$P$866)</f>
        <v/>
      </c>
      <c r="F525" s="1"/>
      <c r="G525" s="8"/>
      <c r="H525" s="1346"/>
      <c r="I525" s="1252" t="str">
        <f>Language!C61</f>
        <v>Ver banco de dados de produtos</v>
      </c>
      <c r="J525" s="1191"/>
      <c r="K525" s="1210"/>
      <c r="L525" s="1"/>
      <c r="M525" s="319"/>
      <c r="N525" s="319"/>
      <c r="O525" s="319"/>
      <c r="P525" s="319"/>
      <c r="Q525" s="319"/>
      <c r="R525" s="319"/>
      <c r="S525" s="319"/>
      <c r="T525" s="319"/>
      <c r="U525" s="319"/>
      <c r="V525" s="319">
        <f>D525*D528</f>
        <v>0</v>
      </c>
      <c r="W525" s="319" t="s">
        <v>5700</v>
      </c>
      <c r="X525" s="319"/>
      <c r="Y525" s="319"/>
      <c r="Z525" s="319"/>
      <c r="AA525" s="319"/>
      <c r="AB525" s="319"/>
      <c r="AC525" s="319"/>
      <c r="AD525" s="319"/>
      <c r="AE525" s="319"/>
      <c r="AF525" s="319"/>
      <c r="AG525" s="319"/>
      <c r="AH525" s="319"/>
      <c r="AI525" s="319"/>
      <c r="AJ525" s="319"/>
      <c r="AK525" s="319"/>
      <c r="AL525" s="319"/>
      <c r="AM525" s="319"/>
      <c r="AN525" s="319"/>
      <c r="AO525" s="319">
        <v>2050002</v>
      </c>
      <c r="AP525" s="319"/>
      <c r="AQ525" s="319"/>
      <c r="AR525" s="319"/>
      <c r="AS525" s="319"/>
      <c r="AT525" s="319"/>
      <c r="AU525" s="319"/>
      <c r="AV525" s="319"/>
      <c r="AW525" s="319"/>
      <c r="AX525" s="319"/>
      <c r="AY525" s="319"/>
      <c r="AZ525" s="319"/>
      <c r="BA525" s="319"/>
      <c r="BB525" s="319"/>
      <c r="BC525" s="319"/>
      <c r="BD525" s="319"/>
      <c r="BE525" s="319"/>
      <c r="BF525" s="319"/>
      <c r="BG525" s="319"/>
      <c r="BH525" s="319"/>
      <c r="BI525" s="319"/>
      <c r="BJ525" s="319"/>
      <c r="BK525" s="319"/>
      <c r="BL525" s="319"/>
      <c r="BM525" s="319"/>
      <c r="BN525" s="319"/>
      <c r="BO525" s="319"/>
      <c r="BP525" s="319"/>
      <c r="BQ525" s="319"/>
      <c r="BR525" s="319"/>
      <c r="BS525" s="319"/>
      <c r="BT525" s="319"/>
      <c r="BU525" s="319"/>
      <c r="BV525" s="319"/>
      <c r="BW525" s="319"/>
      <c r="BX525" s="319"/>
      <c r="BY525" s="319"/>
      <c r="BZ525" s="319"/>
      <c r="CA525" s="319"/>
      <c r="CB525" s="319"/>
      <c r="CC525" s="319"/>
      <c r="CD525" s="319"/>
      <c r="CE525" s="319"/>
      <c r="CF525" s="319"/>
    </row>
    <row r="526" spans="1:84" ht="12.75" hidden="1" customHeight="1">
      <c r="A526" s="12"/>
      <c r="B526" s="329" t="str">
        <f>$B$12</f>
        <v>Fabricante</v>
      </c>
      <c r="C526" s="1152"/>
      <c r="D526" s="1153"/>
      <c r="E526" s="1154"/>
      <c r="F526" s="8"/>
      <c r="G526" s="8"/>
      <c r="H526" s="8"/>
      <c r="I526" s="8"/>
      <c r="J526" s="8"/>
      <c r="K526" s="9"/>
      <c r="L526" s="1"/>
      <c r="M526" s="319"/>
      <c r="N526" s="319"/>
      <c r="O526" s="319"/>
      <c r="P526" s="319"/>
      <c r="Q526" s="319"/>
      <c r="R526" s="319"/>
      <c r="S526" s="319"/>
      <c r="T526" s="319"/>
      <c r="U526" s="319"/>
      <c r="V526" s="319"/>
      <c r="W526" s="319"/>
      <c r="X526" s="319"/>
      <c r="Y526" s="319"/>
      <c r="Z526" s="319"/>
      <c r="AA526" s="319"/>
      <c r="AB526" s="319"/>
      <c r="AC526" s="319"/>
      <c r="AD526" s="319"/>
      <c r="AE526" s="319"/>
      <c r="AF526" s="319"/>
      <c r="AG526" s="319"/>
      <c r="AH526" s="319"/>
      <c r="AI526" s="319"/>
      <c r="AJ526" s="319"/>
      <c r="AK526" s="319"/>
      <c r="AL526" s="319"/>
      <c r="AM526" s="319"/>
      <c r="AN526" s="319"/>
      <c r="AO526" s="319">
        <v>2050012</v>
      </c>
      <c r="AP526" s="319"/>
      <c r="AQ526" s="319"/>
      <c r="AR526" s="319"/>
      <c r="AS526" s="319"/>
      <c r="AT526" s="319"/>
      <c r="AU526" s="319"/>
      <c r="AV526" s="319"/>
      <c r="AW526" s="319"/>
      <c r="AX526" s="319"/>
      <c r="AY526" s="319"/>
      <c r="AZ526" s="319"/>
      <c r="BA526" s="319"/>
      <c r="BB526" s="319"/>
      <c r="BC526" s="319"/>
      <c r="BD526" s="319"/>
      <c r="BE526" s="319"/>
      <c r="BF526" s="319"/>
      <c r="BG526" s="319"/>
      <c r="BH526" s="319"/>
      <c r="BI526" s="319"/>
      <c r="BJ526" s="319"/>
      <c r="BK526" s="319"/>
      <c r="BL526" s="319"/>
      <c r="BM526" s="319"/>
      <c r="BN526" s="319"/>
      <c r="BO526" s="319"/>
      <c r="BP526" s="319"/>
      <c r="BQ526" s="319"/>
      <c r="BR526" s="319"/>
      <c r="BS526" s="319"/>
      <c r="BT526" s="319"/>
      <c r="BU526" s="319"/>
      <c r="BV526" s="319"/>
      <c r="BW526" s="319"/>
      <c r="BX526" s="319"/>
      <c r="BY526" s="319"/>
      <c r="BZ526" s="319"/>
      <c r="CA526" s="319"/>
      <c r="CB526" s="319"/>
      <c r="CC526" s="319"/>
      <c r="CD526" s="319"/>
      <c r="CE526" s="319"/>
      <c r="CF526" s="319"/>
    </row>
    <row r="527" spans="1:84" ht="12.75" hidden="1" customHeight="1">
      <c r="A527" s="12"/>
      <c r="B527" s="329" t="str">
        <f>$B$13</f>
        <v>Modelo</v>
      </c>
      <c r="C527" s="1152"/>
      <c r="D527" s="1153"/>
      <c r="E527" s="1154"/>
      <c r="F527" s="8" t="str">
        <f>$J$1087 &amp; Lang_Unit</f>
        <v>0 unidade(s)</v>
      </c>
      <c r="G527" s="8"/>
      <c r="H527" s="8"/>
      <c r="I527" s="8"/>
      <c r="J527" s="8"/>
      <c r="K527" s="9"/>
      <c r="L527" s="1"/>
      <c r="M527" s="319"/>
      <c r="N527" s="319"/>
      <c r="O527" s="319"/>
      <c r="P527" s="319"/>
      <c r="Q527" s="319"/>
      <c r="R527" s="319"/>
      <c r="S527" s="319"/>
      <c r="T527" s="319"/>
      <c r="U527" s="319"/>
      <c r="V527" s="319"/>
      <c r="W527" s="319"/>
      <c r="X527" s="319"/>
      <c r="Y527" s="319"/>
      <c r="Z527" s="319"/>
      <c r="AA527" s="319"/>
      <c r="AB527" s="319"/>
      <c r="AC527" s="319"/>
      <c r="AD527" s="319"/>
      <c r="AE527" s="319"/>
      <c r="AF527" s="319"/>
      <c r="AG527" s="319"/>
      <c r="AH527" s="319"/>
      <c r="AI527" s="319"/>
      <c r="AJ527" s="319"/>
      <c r="AK527" s="319"/>
      <c r="AL527" s="319"/>
      <c r="AM527" s="319"/>
      <c r="AN527" s="319"/>
      <c r="AO527" s="319">
        <v>2050014</v>
      </c>
      <c r="AP527" s="319"/>
      <c r="AQ527" s="319"/>
      <c r="AR527" s="319"/>
      <c r="AS527" s="319"/>
      <c r="AT527" s="319"/>
      <c r="AU527" s="319"/>
      <c r="AV527" s="319"/>
      <c r="AW527" s="319"/>
      <c r="AX527" s="319"/>
      <c r="AY527" s="319"/>
      <c r="AZ527" s="319"/>
      <c r="BA527" s="319"/>
      <c r="BB527" s="319"/>
      <c r="BC527" s="319"/>
      <c r="BD527" s="319"/>
      <c r="BE527" s="319"/>
      <c r="BF527" s="319"/>
      <c r="BG527" s="319"/>
      <c r="BH527" s="319"/>
      <c r="BI527" s="319"/>
      <c r="BJ527" s="319"/>
      <c r="BK527" s="319"/>
      <c r="BL527" s="319"/>
      <c r="BM527" s="319"/>
      <c r="BN527" s="319"/>
      <c r="BO527" s="319"/>
      <c r="BP527" s="319"/>
      <c r="BQ527" s="319"/>
      <c r="BR527" s="319"/>
      <c r="BS527" s="319"/>
      <c r="BT527" s="319"/>
      <c r="BU527" s="319"/>
      <c r="BV527" s="319"/>
      <c r="BW527" s="319"/>
      <c r="BX527" s="319"/>
      <c r="BY527" s="319"/>
      <c r="BZ527" s="319"/>
      <c r="CA527" s="319"/>
      <c r="CB527" s="319"/>
      <c r="CC527" s="319"/>
      <c r="CD527" s="319"/>
      <c r="CE527" s="319"/>
      <c r="CF527" s="319"/>
    </row>
    <row r="528" spans="1:84" ht="12.75" hidden="1" customHeight="1">
      <c r="A528" s="12"/>
      <c r="B528" s="329" t="str">
        <f>$B$309</f>
        <v>Fator de Utilização</v>
      </c>
      <c r="C528" s="29" t="str">
        <f>$T$35</f>
        <v>%</v>
      </c>
      <c r="D528" s="422"/>
      <c r="E528" s="1"/>
      <c r="F528" s="8"/>
      <c r="G528" s="8"/>
      <c r="H528" s="8"/>
      <c r="I528" s="8"/>
      <c r="J528" s="8"/>
      <c r="K528" s="9"/>
      <c r="L528" s="1"/>
      <c r="M528" s="319"/>
      <c r="N528" s="319"/>
      <c r="O528" s="319"/>
      <c r="P528" s="319"/>
      <c r="Q528" s="319"/>
      <c r="R528" s="319"/>
      <c r="S528" s="319"/>
      <c r="T528" s="319"/>
      <c r="U528" s="319"/>
      <c r="V528" s="319"/>
      <c r="W528" s="319"/>
      <c r="X528" s="319"/>
      <c r="Y528" s="319"/>
      <c r="Z528" s="319"/>
      <c r="AA528" s="319"/>
      <c r="AB528" s="319"/>
      <c r="AC528" s="319"/>
      <c r="AD528" s="319"/>
      <c r="AE528" s="319"/>
      <c r="AF528" s="319"/>
      <c r="AG528" s="319"/>
      <c r="AH528" s="319"/>
      <c r="AI528" s="319"/>
      <c r="AJ528" s="319"/>
      <c r="AK528" s="319"/>
      <c r="AL528" s="319"/>
      <c r="AM528" s="319"/>
      <c r="AN528" s="319"/>
      <c r="AO528" s="319">
        <v>2070000</v>
      </c>
      <c r="AP528" s="319"/>
      <c r="AQ528" s="319"/>
      <c r="AR528" s="319"/>
      <c r="AS528" s="319"/>
      <c r="AT528" s="319"/>
      <c r="AU528" s="319"/>
      <c r="AV528" s="319"/>
      <c r="AW528" s="319"/>
      <c r="AX528" s="319"/>
      <c r="AY528" s="319"/>
      <c r="AZ528" s="319"/>
      <c r="BA528" s="319"/>
      <c r="BB528" s="319"/>
      <c r="BC528" s="319"/>
      <c r="BD528" s="319"/>
      <c r="BE528" s="319"/>
      <c r="BF528" s="319"/>
      <c r="BG528" s="319"/>
      <c r="BH528" s="319"/>
      <c r="BI528" s="319"/>
      <c r="BJ528" s="319"/>
      <c r="BK528" s="319"/>
      <c r="BL528" s="319"/>
      <c r="BM528" s="319"/>
      <c r="BN528" s="319"/>
      <c r="BO528" s="319"/>
      <c r="BP528" s="319"/>
      <c r="BQ528" s="319"/>
      <c r="BR528" s="319"/>
      <c r="BS528" s="319"/>
      <c r="BT528" s="319"/>
      <c r="BU528" s="319"/>
      <c r="BV528" s="319"/>
      <c r="BW528" s="319"/>
      <c r="BX528" s="319"/>
      <c r="BY528" s="319"/>
      <c r="BZ528" s="319"/>
      <c r="CA528" s="319"/>
      <c r="CB528" s="319"/>
      <c r="CC528" s="319"/>
      <c r="CD528" s="319"/>
      <c r="CE528" s="319"/>
      <c r="CF528" s="319"/>
    </row>
    <row r="529" spans="1:84" ht="12.75" hidden="1" customHeight="1">
      <c r="A529" s="12"/>
      <c r="B529" s="329" t="str">
        <f>$B$94</f>
        <v>Eletricidade fornecida à carga</v>
      </c>
      <c r="C529" s="29" t="str">
        <f>R14</f>
        <v>MWh</v>
      </c>
      <c r="D529" s="30">
        <f>IF(HideCodeES_PSS=1,$G$1107,IF($C$854=$E$1094,$G$1107,$G$1108))</f>
        <v>0</v>
      </c>
      <c r="E529" s="80" t="str">
        <f>IF($P$867=0,"",D529/$P$867)</f>
        <v/>
      </c>
      <c r="F529" s="8"/>
      <c r="G529" s="8"/>
      <c r="H529" s="8"/>
      <c r="I529" s="8"/>
      <c r="J529" s="8"/>
      <c r="K529" s="9"/>
      <c r="L529" s="1"/>
      <c r="M529" s="319"/>
      <c r="N529" s="319"/>
      <c r="O529" s="319"/>
      <c r="P529" s="319"/>
      <c r="Q529" s="319"/>
      <c r="R529" s="319"/>
      <c r="S529" s="319"/>
      <c r="T529" s="319"/>
      <c r="U529" s="319"/>
      <c r="V529" s="319"/>
      <c r="W529" s="319"/>
      <c r="X529" s="319"/>
      <c r="Y529" s="319"/>
      <c r="Z529" s="319"/>
      <c r="AA529" s="319"/>
      <c r="AB529" s="319"/>
      <c r="AC529" s="319"/>
      <c r="AD529" s="319"/>
      <c r="AE529" s="319"/>
      <c r="AF529" s="319"/>
      <c r="AG529" s="319"/>
      <c r="AH529" s="319"/>
      <c r="AI529" s="319"/>
      <c r="AJ529" s="319"/>
      <c r="AK529" s="319"/>
      <c r="AL529" s="319"/>
      <c r="AM529" s="319"/>
      <c r="AN529" s="319"/>
      <c r="AO529" s="319">
        <v>2050008</v>
      </c>
      <c r="AP529" s="319"/>
      <c r="AQ529" s="319"/>
      <c r="AR529" s="319"/>
      <c r="AS529" s="319"/>
      <c r="AT529" s="319"/>
      <c r="AU529" s="319"/>
      <c r="AV529" s="319"/>
      <c r="AW529" s="319"/>
      <c r="AX529" s="319"/>
      <c r="AY529" s="319"/>
      <c r="AZ529" s="319"/>
      <c r="BA529" s="319"/>
      <c r="BB529" s="319"/>
      <c r="BC529" s="319"/>
      <c r="BD529" s="319"/>
      <c r="BE529" s="319"/>
      <c r="BF529" s="319"/>
      <c r="BG529" s="319"/>
      <c r="BH529" s="319"/>
      <c r="BI529" s="319"/>
      <c r="BJ529" s="319"/>
      <c r="BK529" s="319"/>
      <c r="BL529" s="319"/>
      <c r="BM529" s="319"/>
      <c r="BN529" s="319"/>
      <c r="BO529" s="319"/>
      <c r="BP529" s="319"/>
      <c r="BQ529" s="319"/>
      <c r="BR529" s="319"/>
      <c r="BS529" s="319"/>
      <c r="BT529" s="319"/>
      <c r="BU529" s="319"/>
      <c r="BV529" s="319"/>
      <c r="BW529" s="319"/>
      <c r="BX529" s="319"/>
      <c r="BY529" s="319"/>
      <c r="BZ529" s="319"/>
      <c r="CA529" s="319"/>
      <c r="CB529" s="319"/>
      <c r="CC529" s="319"/>
      <c r="CD529" s="319"/>
      <c r="CE529" s="319"/>
      <c r="CF529" s="319"/>
    </row>
    <row r="530" spans="1:84" ht="12.75" hidden="1" customHeight="1">
      <c r="A530" s="14"/>
      <c r="B530" s="380" t="str">
        <f>$B$95</f>
        <v>Eletricidade exportada p/ rede</v>
      </c>
      <c r="C530" s="33" t="str">
        <f>R14</f>
        <v>MWh</v>
      </c>
      <c r="D530" s="34">
        <f>IF(HideCodeES_PSS=1,$J$1107,IF($C$854=$E$1094,$J$1107,$J$1108))</f>
        <v>5.3903325633948667</v>
      </c>
      <c r="E530" s="15"/>
      <c r="F530" s="15"/>
      <c r="G530" s="15"/>
      <c r="H530" s="15"/>
      <c r="I530" s="15"/>
      <c r="J530" s="15"/>
      <c r="K530" s="11"/>
      <c r="L530" s="1"/>
      <c r="M530" s="319"/>
      <c r="N530" s="319"/>
      <c r="O530" s="319"/>
      <c r="P530" s="319"/>
      <c r="Q530" s="319"/>
      <c r="R530" s="319"/>
      <c r="S530" s="319"/>
      <c r="T530" s="319"/>
      <c r="U530" s="319"/>
      <c r="V530" s="319"/>
      <c r="W530" s="319"/>
      <c r="X530" s="319"/>
      <c r="Y530" s="319"/>
      <c r="Z530" s="319"/>
      <c r="AA530" s="319"/>
      <c r="AB530" s="319"/>
      <c r="AC530" s="319"/>
      <c r="AD530" s="319"/>
      <c r="AE530" s="319"/>
      <c r="AF530" s="319"/>
      <c r="AG530" s="319"/>
      <c r="AH530" s="319"/>
      <c r="AI530" s="319"/>
      <c r="AJ530" s="319"/>
      <c r="AK530" s="319"/>
      <c r="AL530" s="319"/>
      <c r="AM530" s="319"/>
      <c r="AN530" s="319"/>
      <c r="AO530" s="319">
        <v>2050010</v>
      </c>
      <c r="AP530" s="319"/>
      <c r="AQ530" s="319"/>
      <c r="AR530" s="319"/>
      <c r="AS530" s="319"/>
      <c r="AT530" s="319"/>
      <c r="AU530" s="319"/>
      <c r="AV530" s="319"/>
      <c r="AW530" s="319"/>
      <c r="AX530" s="319"/>
      <c r="AY530" s="319"/>
      <c r="AZ530" s="319"/>
      <c r="BA530" s="319"/>
      <c r="BB530" s="319"/>
      <c r="BC530" s="319"/>
      <c r="BD530" s="319"/>
      <c r="BE530" s="319"/>
      <c r="BF530" s="319"/>
      <c r="BG530" s="319"/>
      <c r="BH530" s="319"/>
      <c r="BI530" s="319"/>
      <c r="BJ530" s="319"/>
      <c r="BK530" s="319"/>
      <c r="BL530" s="319"/>
      <c r="BM530" s="319"/>
      <c r="BN530" s="319"/>
      <c r="BO530" s="319"/>
      <c r="BP530" s="319"/>
      <c r="BQ530" s="319"/>
      <c r="BR530" s="319"/>
      <c r="BS530" s="319"/>
      <c r="BT530" s="319"/>
      <c r="BU530" s="319"/>
      <c r="BV530" s="319"/>
      <c r="BW530" s="319"/>
      <c r="BX530" s="319"/>
      <c r="BY530" s="319"/>
      <c r="BZ530" s="319"/>
      <c r="CA530" s="319"/>
      <c r="CB530" s="319"/>
      <c r="CC530" s="319"/>
      <c r="CD530" s="319"/>
      <c r="CE530" s="319"/>
      <c r="CF530" s="319"/>
    </row>
    <row r="531" spans="1:84" ht="12.75" hidden="1" customHeight="1">
      <c r="A531" s="50"/>
      <c r="B531" s="232"/>
      <c r="C531" s="21"/>
      <c r="D531" s="88"/>
      <c r="E531" s="227"/>
      <c r="F531" s="8"/>
      <c r="G531" s="8"/>
      <c r="H531" s="8"/>
      <c r="I531" s="8"/>
      <c r="J531" s="8"/>
      <c r="K531" s="6"/>
      <c r="L531" s="1"/>
      <c r="M531" s="319"/>
      <c r="N531" s="319"/>
      <c r="O531" s="319"/>
      <c r="P531" s="319"/>
      <c r="Q531" s="319"/>
      <c r="R531" s="319"/>
      <c r="S531" s="319"/>
      <c r="T531" s="319"/>
      <c r="U531" s="319"/>
      <c r="V531" s="319"/>
      <c r="W531" s="319"/>
      <c r="X531" s="319"/>
      <c r="Y531" s="319"/>
      <c r="Z531" s="319"/>
      <c r="AA531" s="319"/>
      <c r="AB531" s="319"/>
      <c r="AC531" s="319"/>
      <c r="AD531" s="319"/>
      <c r="AE531" s="319"/>
      <c r="AF531" s="319"/>
      <c r="AG531" s="319"/>
      <c r="AH531" s="319"/>
      <c r="AI531" s="319"/>
      <c r="AJ531" s="319"/>
      <c r="AK531" s="319"/>
      <c r="AL531" s="319"/>
      <c r="AM531" s="319"/>
      <c r="AN531" s="319"/>
      <c r="AO531" s="319">
        <v>2030000</v>
      </c>
      <c r="AP531" s="319"/>
      <c r="AQ531" s="319"/>
      <c r="AR531" s="319"/>
      <c r="AS531" s="319"/>
      <c r="AT531" s="319"/>
      <c r="AU531" s="319"/>
      <c r="AV531" s="319"/>
      <c r="AW531" s="319"/>
      <c r="AX531" s="319"/>
      <c r="AY531" s="319"/>
      <c r="AZ531" s="319"/>
      <c r="BA531" s="319"/>
      <c r="BB531" s="319"/>
      <c r="BC531" s="319"/>
      <c r="BD531" s="319"/>
      <c r="BE531" s="319"/>
      <c r="BF531" s="319"/>
      <c r="BG531" s="319"/>
      <c r="BH531" s="319"/>
      <c r="BI531" s="319"/>
      <c r="BJ531" s="319"/>
      <c r="BK531" s="319"/>
      <c r="BL531" s="319"/>
      <c r="BM531" s="319"/>
      <c r="BN531" s="319"/>
      <c r="BO531" s="319"/>
      <c r="BP531" s="319"/>
      <c r="BQ531" s="319"/>
      <c r="BR531" s="319"/>
      <c r="BS531" s="319"/>
      <c r="BT531" s="319"/>
      <c r="BU531" s="319"/>
      <c r="BV531" s="319"/>
      <c r="BW531" s="319"/>
      <c r="BX531" s="319"/>
      <c r="BY531" s="319"/>
      <c r="BZ531" s="319"/>
      <c r="CA531" s="319"/>
      <c r="CB531" s="319"/>
      <c r="CC531" s="319"/>
      <c r="CD531" s="319"/>
      <c r="CE531" s="319"/>
      <c r="CF531" s="319"/>
    </row>
    <row r="532" spans="1:84" ht="12.75" hidden="1" customHeight="1">
      <c r="A532" s="12"/>
      <c r="B532" s="751" t="str">
        <f>IF(HideCodeES_PSS=1,K1075,K1075&amp;" #1")</f>
        <v>Energia da onda</v>
      </c>
      <c r="C532" s="1"/>
      <c r="D532" s="88"/>
      <c r="E532" s="227"/>
      <c r="F532" s="8"/>
      <c r="G532" s="8"/>
      <c r="H532" s="8"/>
      <c r="I532" s="8"/>
      <c r="J532" s="8"/>
      <c r="K532" s="9"/>
      <c r="L532" s="1"/>
      <c r="M532" s="319"/>
      <c r="N532" s="319"/>
      <c r="O532" s="319"/>
      <c r="P532" s="319"/>
      <c r="Q532" s="319"/>
      <c r="R532" s="319"/>
      <c r="S532" s="319"/>
      <c r="T532" s="319"/>
      <c r="U532" s="319"/>
      <c r="V532" s="319"/>
      <c r="W532" s="319"/>
      <c r="X532" s="319"/>
      <c r="Y532" s="319"/>
      <c r="Z532" s="319"/>
      <c r="AA532" s="319"/>
      <c r="AB532" s="319"/>
      <c r="AC532" s="319"/>
      <c r="AD532" s="319"/>
      <c r="AE532" s="319"/>
      <c r="AF532" s="319"/>
      <c r="AG532" s="319"/>
      <c r="AH532" s="319"/>
      <c r="AI532" s="319"/>
      <c r="AJ532" s="319"/>
      <c r="AK532" s="319"/>
      <c r="AL532" s="319"/>
      <c r="AM532" s="319"/>
      <c r="AN532" s="319"/>
      <c r="AO532" s="319">
        <v>14220</v>
      </c>
      <c r="AP532" s="319"/>
      <c r="AQ532" s="319"/>
      <c r="AR532" s="319"/>
      <c r="AS532" s="319"/>
      <c r="AT532" s="319"/>
      <c r="AU532" s="319"/>
      <c r="AV532" s="319"/>
      <c r="AW532" s="319"/>
      <c r="AX532" s="319"/>
      <c r="AY532" s="319"/>
      <c r="AZ532" s="319"/>
      <c r="BA532" s="319"/>
      <c r="BB532" s="319"/>
      <c r="BC532" s="319"/>
      <c r="BD532" s="319"/>
      <c r="BE532" s="319"/>
      <c r="BF532" s="319"/>
      <c r="BG532" s="319"/>
      <c r="BH532" s="319"/>
      <c r="BI532" s="319"/>
      <c r="BJ532" s="319"/>
      <c r="BK532" s="319"/>
      <c r="BL532" s="319"/>
      <c r="BM532" s="319"/>
      <c r="BN532" s="319"/>
      <c r="BO532" s="319"/>
      <c r="BP532" s="319"/>
      <c r="BQ532" s="319"/>
      <c r="BR532" s="319"/>
      <c r="BS532" s="319"/>
      <c r="BT532" s="319"/>
      <c r="BU532" s="319"/>
      <c r="BV532" s="319"/>
      <c r="BW532" s="319"/>
      <c r="BX532" s="319"/>
      <c r="BY532" s="319"/>
      <c r="BZ532" s="319"/>
      <c r="CA532" s="319"/>
      <c r="CB532" s="319"/>
      <c r="CC532" s="319"/>
      <c r="CD532" s="319"/>
      <c r="CE532" s="319"/>
      <c r="CF532" s="319"/>
    </row>
    <row r="533" spans="1:84" ht="12.75" hidden="1" customHeight="1">
      <c r="A533" s="12"/>
      <c r="B533" s="329" t="str">
        <f>$B$92</f>
        <v>Potência elétrica</v>
      </c>
      <c r="C533" s="21" t="str">
        <f>$C$92</f>
        <v>kW</v>
      </c>
      <c r="D533" s="460"/>
      <c r="E533" s="80" t="str">
        <f>IF($P$866=0,"",D533/$P$866)</f>
        <v/>
      </c>
      <c r="F533" s="1"/>
      <c r="G533" s="8"/>
      <c r="H533" s="1346"/>
      <c r="I533" s="1252" t="str">
        <f>Language!C61</f>
        <v>Ver banco de dados de produtos</v>
      </c>
      <c r="J533" s="1191"/>
      <c r="K533" s="1210"/>
      <c r="L533" s="1"/>
      <c r="M533" s="319"/>
      <c r="N533" s="319"/>
      <c r="O533" s="319"/>
      <c r="P533" s="319"/>
      <c r="Q533" s="319"/>
      <c r="R533" s="319"/>
      <c r="S533" s="319"/>
      <c r="T533" s="319"/>
      <c r="U533" s="319"/>
      <c r="V533" s="319">
        <f>D533*D536</f>
        <v>0</v>
      </c>
      <c r="W533" s="319" t="s">
        <v>5700</v>
      </c>
      <c r="X533" s="319"/>
      <c r="Y533" s="319"/>
      <c r="Z533" s="319"/>
      <c r="AA533" s="319"/>
      <c r="AB533" s="319"/>
      <c r="AC533" s="319"/>
      <c r="AD533" s="319"/>
      <c r="AE533" s="319"/>
      <c r="AF533" s="319"/>
      <c r="AG533" s="319"/>
      <c r="AH533" s="319"/>
      <c r="AI533" s="319"/>
      <c r="AJ533" s="319"/>
      <c r="AK533" s="319"/>
      <c r="AL533" s="319"/>
      <c r="AM533" s="319"/>
      <c r="AN533" s="319"/>
      <c r="AO533" s="319">
        <v>2050002</v>
      </c>
      <c r="AP533" s="319"/>
      <c r="AQ533" s="319"/>
      <c r="AR533" s="319"/>
      <c r="AS533" s="319"/>
      <c r="AT533" s="319"/>
      <c r="AU533" s="319"/>
      <c r="AV533" s="319"/>
      <c r="AW533" s="319"/>
      <c r="AX533" s="319"/>
      <c r="AY533" s="319"/>
      <c r="AZ533" s="319"/>
      <c r="BA533" s="319"/>
      <c r="BB533" s="319"/>
      <c r="BC533" s="319"/>
      <c r="BD533" s="319"/>
      <c r="BE533" s="319"/>
      <c r="BF533" s="319"/>
      <c r="BG533" s="319"/>
      <c r="BH533" s="319"/>
      <c r="BI533" s="319"/>
      <c r="BJ533" s="319"/>
      <c r="BK533" s="319"/>
      <c r="BL533" s="319"/>
      <c r="BM533" s="319"/>
      <c r="BN533" s="319"/>
      <c r="BO533" s="319"/>
      <c r="BP533" s="319"/>
      <c r="BQ533" s="319"/>
      <c r="BR533" s="319"/>
      <c r="BS533" s="319"/>
      <c r="BT533" s="319"/>
      <c r="BU533" s="319"/>
      <c r="BV533" s="319"/>
      <c r="BW533" s="319"/>
      <c r="BX533" s="319"/>
      <c r="BY533" s="319"/>
      <c r="BZ533" s="319"/>
      <c r="CA533" s="319"/>
      <c r="CB533" s="319"/>
      <c r="CC533" s="319"/>
      <c r="CD533" s="319"/>
      <c r="CE533" s="319"/>
      <c r="CF533" s="319"/>
    </row>
    <row r="534" spans="1:84" ht="12.75" hidden="1" customHeight="1">
      <c r="A534" s="12"/>
      <c r="B534" s="329" t="str">
        <f>$B$12</f>
        <v>Fabricante</v>
      </c>
      <c r="C534" s="1152"/>
      <c r="D534" s="1153"/>
      <c r="E534" s="1154"/>
      <c r="F534" s="8"/>
      <c r="G534" s="8"/>
      <c r="H534" s="8"/>
      <c r="I534" s="8"/>
      <c r="J534" s="8"/>
      <c r="K534" s="9"/>
      <c r="L534" s="1"/>
      <c r="M534" s="319"/>
      <c r="N534" s="319"/>
      <c r="O534" s="319"/>
      <c r="P534" s="319"/>
      <c r="Q534" s="319"/>
      <c r="R534" s="319"/>
      <c r="S534" s="319"/>
      <c r="T534" s="319"/>
      <c r="U534" s="319"/>
      <c r="V534" s="319"/>
      <c r="W534" s="319"/>
      <c r="X534" s="319"/>
      <c r="Y534" s="319"/>
      <c r="Z534" s="319"/>
      <c r="AA534" s="319"/>
      <c r="AB534" s="319"/>
      <c r="AC534" s="319"/>
      <c r="AD534" s="319"/>
      <c r="AE534" s="319"/>
      <c r="AF534" s="319"/>
      <c r="AG534" s="319"/>
      <c r="AH534" s="319"/>
      <c r="AI534" s="319"/>
      <c r="AJ534" s="319"/>
      <c r="AK534" s="319"/>
      <c r="AL534" s="319"/>
      <c r="AM534" s="319"/>
      <c r="AN534" s="319"/>
      <c r="AO534" s="319">
        <v>2050012</v>
      </c>
      <c r="AP534" s="319"/>
      <c r="AQ534" s="319"/>
      <c r="AR534" s="319"/>
      <c r="AS534" s="319"/>
      <c r="AT534" s="319"/>
      <c r="AU534" s="319"/>
      <c r="AV534" s="319"/>
      <c r="AW534" s="319"/>
      <c r="AX534" s="319"/>
      <c r="AY534" s="319"/>
      <c r="AZ534" s="319"/>
      <c r="BA534" s="319"/>
      <c r="BB534" s="319"/>
      <c r="BC534" s="319"/>
      <c r="BD534" s="319"/>
      <c r="BE534" s="319"/>
      <c r="BF534" s="319"/>
      <c r="BG534" s="319"/>
      <c r="BH534" s="319"/>
      <c r="BI534" s="319"/>
      <c r="BJ534" s="319"/>
      <c r="BK534" s="319"/>
      <c r="BL534" s="319"/>
      <c r="BM534" s="319"/>
      <c r="BN534" s="319"/>
      <c r="BO534" s="319"/>
      <c r="BP534" s="319"/>
      <c r="BQ534" s="319"/>
      <c r="BR534" s="319"/>
      <c r="BS534" s="319"/>
      <c r="BT534" s="319"/>
      <c r="BU534" s="319"/>
      <c r="BV534" s="319"/>
      <c r="BW534" s="319"/>
      <c r="BX534" s="319"/>
      <c r="BY534" s="319"/>
      <c r="BZ534" s="319"/>
      <c r="CA534" s="319"/>
      <c r="CB534" s="319"/>
      <c r="CC534" s="319"/>
      <c r="CD534" s="319"/>
      <c r="CE534" s="319"/>
      <c r="CF534" s="319"/>
    </row>
    <row r="535" spans="1:84" ht="12.75" hidden="1" customHeight="1">
      <c r="A535" s="12"/>
      <c r="B535" s="329" t="str">
        <f>$B$13</f>
        <v>Modelo</v>
      </c>
      <c r="C535" s="1152"/>
      <c r="D535" s="1153"/>
      <c r="E535" s="1154"/>
      <c r="F535" s="8" t="str">
        <f>$J$1088 &amp; Lang_Unit</f>
        <v>0 unidade(s)</v>
      </c>
      <c r="G535" s="8"/>
      <c r="H535" s="8"/>
      <c r="I535" s="8"/>
      <c r="J535" s="8"/>
      <c r="K535" s="9"/>
      <c r="L535" s="1"/>
      <c r="M535" s="319"/>
      <c r="N535" s="319"/>
      <c r="O535" s="319"/>
      <c r="P535" s="319"/>
      <c r="Q535" s="319"/>
      <c r="R535" s="319"/>
      <c r="S535" s="319"/>
      <c r="T535" s="319"/>
      <c r="U535" s="319"/>
      <c r="V535" s="319"/>
      <c r="W535" s="319"/>
      <c r="X535" s="319"/>
      <c r="Y535" s="319"/>
      <c r="Z535" s="319"/>
      <c r="AA535" s="319"/>
      <c r="AB535" s="319"/>
      <c r="AC535" s="319"/>
      <c r="AD535" s="319"/>
      <c r="AE535" s="319"/>
      <c r="AF535" s="319"/>
      <c r="AG535" s="319"/>
      <c r="AH535" s="319"/>
      <c r="AI535" s="319"/>
      <c r="AJ535" s="319"/>
      <c r="AK535" s="319"/>
      <c r="AL535" s="319"/>
      <c r="AM535" s="319"/>
      <c r="AN535" s="319"/>
      <c r="AO535" s="319">
        <v>2050014</v>
      </c>
      <c r="AP535" s="319"/>
      <c r="AQ535" s="319"/>
      <c r="AR535" s="319"/>
      <c r="AS535" s="319"/>
      <c r="AT535" s="319"/>
      <c r="AU535" s="319"/>
      <c r="AV535" s="319"/>
      <c r="AW535" s="319"/>
      <c r="AX535" s="319"/>
      <c r="AY535" s="319"/>
      <c r="AZ535" s="319"/>
      <c r="BA535" s="319"/>
      <c r="BB535" s="319"/>
      <c r="BC535" s="319"/>
      <c r="BD535" s="319"/>
      <c r="BE535" s="319"/>
      <c r="BF535" s="319"/>
      <c r="BG535" s="319"/>
      <c r="BH535" s="319"/>
      <c r="BI535" s="319"/>
      <c r="BJ535" s="319"/>
      <c r="BK535" s="319"/>
      <c r="BL535" s="319"/>
      <c r="BM535" s="319"/>
      <c r="BN535" s="319"/>
      <c r="BO535" s="319"/>
      <c r="BP535" s="319"/>
      <c r="BQ535" s="319"/>
      <c r="BR535" s="319"/>
      <c r="BS535" s="319"/>
      <c r="BT535" s="319"/>
      <c r="BU535" s="319"/>
      <c r="BV535" s="319"/>
      <c r="BW535" s="319"/>
      <c r="BX535" s="319"/>
      <c r="BY535" s="319"/>
      <c r="BZ535" s="319"/>
      <c r="CA535" s="319"/>
      <c r="CB535" s="319"/>
      <c r="CC535" s="319"/>
      <c r="CD535" s="319"/>
      <c r="CE535" s="319"/>
      <c r="CF535" s="319"/>
    </row>
    <row r="536" spans="1:84" ht="12.75" hidden="1" customHeight="1">
      <c r="A536" s="12"/>
      <c r="B536" s="329" t="str">
        <f>$B$309</f>
        <v>Fator de Utilização</v>
      </c>
      <c r="C536" s="29" t="str">
        <f>$T$35</f>
        <v>%</v>
      </c>
      <c r="D536" s="422"/>
      <c r="E536" s="1"/>
      <c r="F536" s="8"/>
      <c r="G536" s="8"/>
      <c r="H536" s="8"/>
      <c r="I536" s="8"/>
      <c r="J536" s="8"/>
      <c r="K536" s="9"/>
      <c r="L536" s="1"/>
      <c r="M536" s="319"/>
      <c r="N536" s="319"/>
      <c r="O536" s="319"/>
      <c r="P536" s="319"/>
      <c r="Q536" s="319"/>
      <c r="R536" s="319"/>
      <c r="S536" s="319"/>
      <c r="T536" s="319"/>
      <c r="U536" s="319"/>
      <c r="V536" s="319"/>
      <c r="W536" s="319"/>
      <c r="X536" s="319"/>
      <c r="Y536" s="319"/>
      <c r="Z536" s="319"/>
      <c r="AA536" s="319"/>
      <c r="AB536" s="319"/>
      <c r="AC536" s="319"/>
      <c r="AD536" s="319"/>
      <c r="AE536" s="319"/>
      <c r="AF536" s="319"/>
      <c r="AG536" s="319"/>
      <c r="AH536" s="319"/>
      <c r="AI536" s="319"/>
      <c r="AJ536" s="319"/>
      <c r="AK536" s="319"/>
      <c r="AL536" s="319"/>
      <c r="AM536" s="319"/>
      <c r="AN536" s="319"/>
      <c r="AO536" s="319">
        <v>2070000</v>
      </c>
      <c r="AP536" s="319"/>
      <c r="AQ536" s="319"/>
      <c r="AR536" s="319"/>
      <c r="AS536" s="319"/>
      <c r="AT536" s="319"/>
      <c r="AU536" s="319"/>
      <c r="AV536" s="319"/>
      <c r="AW536" s="319"/>
      <c r="AX536" s="319"/>
      <c r="AY536" s="319"/>
      <c r="AZ536" s="319"/>
      <c r="BA536" s="319"/>
      <c r="BB536" s="319"/>
      <c r="BC536" s="319"/>
      <c r="BD536" s="319"/>
      <c r="BE536" s="319"/>
      <c r="BF536" s="319"/>
      <c r="BG536" s="319"/>
      <c r="BH536" s="319"/>
      <c r="BI536" s="319"/>
      <c r="BJ536" s="319"/>
      <c r="BK536" s="319"/>
      <c r="BL536" s="319"/>
      <c r="BM536" s="319"/>
      <c r="BN536" s="319"/>
      <c r="BO536" s="319"/>
      <c r="BP536" s="319"/>
      <c r="BQ536" s="319"/>
      <c r="BR536" s="319"/>
      <c r="BS536" s="319"/>
      <c r="BT536" s="319"/>
      <c r="BU536" s="319"/>
      <c r="BV536" s="319"/>
      <c r="BW536" s="319"/>
      <c r="BX536" s="319"/>
      <c r="BY536" s="319"/>
      <c r="BZ536" s="319"/>
      <c r="CA536" s="319"/>
      <c r="CB536" s="319"/>
      <c r="CC536" s="319"/>
      <c r="CD536" s="319"/>
      <c r="CE536" s="319"/>
      <c r="CF536" s="319"/>
    </row>
    <row r="537" spans="1:84" ht="12.75" hidden="1" customHeight="1">
      <c r="A537" s="12"/>
      <c r="B537" s="329" t="str">
        <f>$B$94</f>
        <v>Eletricidade fornecida à carga</v>
      </c>
      <c r="C537" s="29" t="str">
        <f>R14</f>
        <v>MWh</v>
      </c>
      <c r="D537" s="30">
        <f>IF(HideCodeES_PSS=1,$G$1107,IF($C$854=$E$1094,$G$1107,$G$1108))</f>
        <v>0</v>
      </c>
      <c r="E537" s="80" t="str">
        <f>IF($P$867=0,"",D537/$P$867)</f>
        <v/>
      </c>
      <c r="F537" s="8"/>
      <c r="G537" s="8"/>
      <c r="H537" s="8"/>
      <c r="I537" s="8"/>
      <c r="J537" s="8"/>
      <c r="K537" s="9"/>
      <c r="L537" s="1"/>
      <c r="M537" s="319"/>
      <c r="N537" s="319"/>
      <c r="O537" s="319"/>
      <c r="P537" s="319"/>
      <c r="Q537" s="319"/>
      <c r="R537" s="319"/>
      <c r="S537" s="319"/>
      <c r="T537" s="319"/>
      <c r="U537" s="319"/>
      <c r="V537" s="319"/>
      <c r="W537" s="319"/>
      <c r="X537" s="319"/>
      <c r="Y537" s="319"/>
      <c r="Z537" s="319"/>
      <c r="AA537" s="319"/>
      <c r="AB537" s="319"/>
      <c r="AC537" s="319"/>
      <c r="AD537" s="319"/>
      <c r="AE537" s="319"/>
      <c r="AF537" s="319"/>
      <c r="AG537" s="319"/>
      <c r="AH537" s="319"/>
      <c r="AI537" s="319"/>
      <c r="AJ537" s="319"/>
      <c r="AK537" s="319"/>
      <c r="AL537" s="319"/>
      <c r="AM537" s="319"/>
      <c r="AN537" s="319"/>
      <c r="AO537" s="319">
        <v>2050008</v>
      </c>
      <c r="AP537" s="319"/>
      <c r="AQ537" s="319"/>
      <c r="AR537" s="319"/>
      <c r="AS537" s="319"/>
      <c r="AT537" s="319"/>
      <c r="AU537" s="319"/>
      <c r="AV537" s="319"/>
      <c r="AW537" s="319"/>
      <c r="AX537" s="319"/>
      <c r="AY537" s="319"/>
      <c r="AZ537" s="319"/>
      <c r="BA537" s="319"/>
      <c r="BB537" s="319"/>
      <c r="BC537" s="319"/>
      <c r="BD537" s="319"/>
      <c r="BE537" s="319"/>
      <c r="BF537" s="319"/>
      <c r="BG537" s="319"/>
      <c r="BH537" s="319"/>
      <c r="BI537" s="319"/>
      <c r="BJ537" s="319"/>
      <c r="BK537" s="319"/>
      <c r="BL537" s="319"/>
      <c r="BM537" s="319"/>
      <c r="BN537" s="319"/>
      <c r="BO537" s="319"/>
      <c r="BP537" s="319"/>
      <c r="BQ537" s="319"/>
      <c r="BR537" s="319"/>
      <c r="BS537" s="319"/>
      <c r="BT537" s="319"/>
      <c r="BU537" s="319"/>
      <c r="BV537" s="319"/>
      <c r="BW537" s="319"/>
      <c r="BX537" s="319"/>
      <c r="BY537" s="319"/>
      <c r="BZ537" s="319"/>
      <c r="CA537" s="319"/>
      <c r="CB537" s="319"/>
      <c r="CC537" s="319"/>
      <c r="CD537" s="319"/>
      <c r="CE537" s="319"/>
      <c r="CF537" s="319"/>
    </row>
    <row r="538" spans="1:84" ht="12.75" hidden="1" customHeight="1">
      <c r="A538" s="14"/>
      <c r="B538" s="380" t="str">
        <f>$B$95</f>
        <v>Eletricidade exportada p/ rede</v>
      </c>
      <c r="C538" s="33" t="str">
        <f>R14</f>
        <v>MWh</v>
      </c>
      <c r="D538" s="34">
        <f>IF(HideCodeES_PSS=1,$J$1107,IF($C$854=$E$1094,$J$1107,$J$1108))</f>
        <v>5.3903325633948667</v>
      </c>
      <c r="E538" s="15"/>
      <c r="F538" s="15"/>
      <c r="G538" s="15"/>
      <c r="H538" s="15"/>
      <c r="I538" s="15"/>
      <c r="J538" s="15"/>
      <c r="K538" s="11"/>
      <c r="L538" s="1"/>
      <c r="M538" s="319"/>
      <c r="N538" s="319"/>
      <c r="O538" s="319"/>
      <c r="P538" s="319"/>
      <c r="Q538" s="319"/>
      <c r="R538" s="319"/>
      <c r="S538" s="319"/>
      <c r="T538" s="319"/>
      <c r="U538" s="319"/>
      <c r="V538" s="319"/>
      <c r="W538" s="319"/>
      <c r="X538" s="319"/>
      <c r="Y538" s="319"/>
      <c r="Z538" s="319"/>
      <c r="AA538" s="319"/>
      <c r="AB538" s="319"/>
      <c r="AC538" s="319"/>
      <c r="AD538" s="319"/>
      <c r="AE538" s="319"/>
      <c r="AF538" s="319"/>
      <c r="AG538" s="319"/>
      <c r="AH538" s="319"/>
      <c r="AI538" s="319"/>
      <c r="AJ538" s="319"/>
      <c r="AK538" s="319"/>
      <c r="AL538" s="319"/>
      <c r="AM538" s="319"/>
      <c r="AN538" s="319"/>
      <c r="AO538" s="319">
        <v>2050010</v>
      </c>
      <c r="AP538" s="319"/>
      <c r="AQ538" s="319"/>
      <c r="AR538" s="319"/>
      <c r="AS538" s="319"/>
      <c r="AT538" s="319"/>
      <c r="AU538" s="319"/>
      <c r="AV538" s="319"/>
      <c r="AW538" s="319"/>
      <c r="AX538" s="319"/>
      <c r="AY538" s="319"/>
      <c r="AZ538" s="319"/>
      <c r="BA538" s="319"/>
      <c r="BB538" s="319"/>
      <c r="BC538" s="319"/>
      <c r="BD538" s="319"/>
      <c r="BE538" s="319"/>
      <c r="BF538" s="319"/>
      <c r="BG538" s="319"/>
      <c r="BH538" s="319"/>
      <c r="BI538" s="319"/>
      <c r="BJ538" s="319"/>
      <c r="BK538" s="319"/>
      <c r="BL538" s="319"/>
      <c r="BM538" s="319"/>
      <c r="BN538" s="319"/>
      <c r="BO538" s="319"/>
      <c r="BP538" s="319"/>
      <c r="BQ538" s="319"/>
      <c r="BR538" s="319"/>
      <c r="BS538" s="319"/>
      <c r="BT538" s="319"/>
      <c r="BU538" s="319"/>
      <c r="BV538" s="319"/>
      <c r="BW538" s="319"/>
      <c r="BX538" s="319"/>
      <c r="BY538" s="319"/>
      <c r="BZ538" s="319"/>
      <c r="CA538" s="319"/>
      <c r="CB538" s="319"/>
      <c r="CC538" s="319"/>
      <c r="CD538" s="319"/>
      <c r="CE538" s="319"/>
      <c r="CF538" s="319"/>
    </row>
    <row r="539" spans="1:84" ht="12.75" hidden="1" customHeight="1">
      <c r="A539" s="50"/>
      <c r="B539" s="232"/>
      <c r="C539" s="21"/>
      <c r="D539" s="88"/>
      <c r="E539" s="227"/>
      <c r="F539" s="8"/>
      <c r="G539" s="8"/>
      <c r="H539" s="8"/>
      <c r="I539" s="8"/>
      <c r="J539" s="8"/>
      <c r="K539" s="6"/>
      <c r="L539" s="1"/>
      <c r="M539" s="319"/>
      <c r="N539" s="319"/>
      <c r="O539" s="319"/>
      <c r="P539" s="319"/>
      <c r="Q539" s="319"/>
      <c r="R539" s="319"/>
      <c r="S539" s="319"/>
      <c r="T539" s="319"/>
      <c r="U539" s="319"/>
      <c r="V539" s="319"/>
      <c r="W539" s="319"/>
      <c r="X539" s="319"/>
      <c r="Y539" s="319"/>
      <c r="Z539" s="319"/>
      <c r="AA539" s="319"/>
      <c r="AB539" s="319"/>
      <c r="AC539" s="319"/>
      <c r="AD539" s="319"/>
      <c r="AE539" s="319"/>
      <c r="AF539" s="319"/>
      <c r="AG539" s="319"/>
      <c r="AH539" s="319"/>
      <c r="AI539" s="319"/>
      <c r="AJ539" s="319"/>
      <c r="AK539" s="319"/>
      <c r="AL539" s="319"/>
      <c r="AM539" s="319"/>
      <c r="AN539" s="319"/>
      <c r="AO539" s="319">
        <v>2030000</v>
      </c>
      <c r="AP539" s="319"/>
      <c r="AQ539" s="319"/>
      <c r="AR539" s="319"/>
      <c r="AS539" s="319"/>
      <c r="AT539" s="319"/>
      <c r="AU539" s="319"/>
      <c r="AV539" s="319"/>
      <c r="AW539" s="319"/>
      <c r="AX539" s="319"/>
      <c r="AY539" s="319"/>
      <c r="AZ539" s="319"/>
      <c r="BA539" s="319"/>
      <c r="BB539" s="319"/>
      <c r="BC539" s="319"/>
      <c r="BD539" s="319"/>
      <c r="BE539" s="319"/>
      <c r="BF539" s="319"/>
      <c r="BG539" s="319"/>
      <c r="BH539" s="319"/>
      <c r="BI539" s="319"/>
      <c r="BJ539" s="319"/>
      <c r="BK539" s="319"/>
      <c r="BL539" s="319"/>
      <c r="BM539" s="319"/>
      <c r="BN539" s="319"/>
      <c r="BO539" s="319"/>
      <c r="BP539" s="319"/>
      <c r="BQ539" s="319"/>
      <c r="BR539" s="319"/>
      <c r="BS539" s="319"/>
      <c r="BT539" s="319"/>
      <c r="BU539" s="319"/>
      <c r="BV539" s="319"/>
      <c r="BW539" s="319"/>
      <c r="BX539" s="319"/>
      <c r="BY539" s="319"/>
      <c r="BZ539" s="319"/>
      <c r="CA539" s="319"/>
      <c r="CB539" s="319"/>
      <c r="CC539" s="319"/>
      <c r="CD539" s="319"/>
      <c r="CE539" s="319"/>
      <c r="CF539" s="319"/>
    </row>
    <row r="540" spans="1:84" ht="12.75" hidden="1" customHeight="1">
      <c r="A540" s="12"/>
      <c r="B540" s="751" t="str">
        <f>IF(HideCodeES_PSS=1,K1076,K1076&amp;" #1")</f>
        <v>Energia solar térmica</v>
      </c>
      <c r="C540" s="21"/>
      <c r="D540" s="88"/>
      <c r="E540" s="227"/>
      <c r="F540" s="8"/>
      <c r="G540" s="8"/>
      <c r="H540" s="8"/>
      <c r="I540" s="8"/>
      <c r="J540" s="8"/>
      <c r="K540" s="9"/>
      <c r="L540" s="1"/>
      <c r="M540" s="319"/>
      <c r="N540" s="319"/>
      <c r="O540" s="319"/>
      <c r="P540" s="319"/>
      <c r="Q540" s="319"/>
      <c r="R540" s="319"/>
      <c r="S540" s="319"/>
      <c r="T540" s="319"/>
      <c r="U540" s="319"/>
      <c r="V540" s="319"/>
      <c r="W540" s="319"/>
      <c r="X540" s="319"/>
      <c r="Y540" s="319"/>
      <c r="Z540" s="319"/>
      <c r="AA540" s="319"/>
      <c r="AB540" s="319"/>
      <c r="AC540" s="319"/>
      <c r="AD540" s="319"/>
      <c r="AE540" s="319"/>
      <c r="AF540" s="319"/>
      <c r="AG540" s="319"/>
      <c r="AH540" s="319"/>
      <c r="AI540" s="319"/>
      <c r="AJ540" s="319"/>
      <c r="AK540" s="319"/>
      <c r="AL540" s="319"/>
      <c r="AM540" s="319"/>
      <c r="AN540" s="319"/>
      <c r="AO540" s="319">
        <v>14190</v>
      </c>
      <c r="AP540" s="319"/>
      <c r="AQ540" s="319"/>
      <c r="AR540" s="319"/>
      <c r="AS540" s="319"/>
      <c r="AT540" s="319"/>
      <c r="AU540" s="319"/>
      <c r="AV540" s="319"/>
      <c r="AW540" s="319"/>
      <c r="AX540" s="319"/>
      <c r="AY540" s="319"/>
      <c r="AZ540" s="319"/>
      <c r="BA540" s="319"/>
      <c r="BB540" s="319"/>
      <c r="BC540" s="319"/>
      <c r="BD540" s="319"/>
      <c r="BE540" s="319"/>
      <c r="BF540" s="319"/>
      <c r="BG540" s="319"/>
      <c r="BH540" s="319"/>
      <c r="BI540" s="319"/>
      <c r="BJ540" s="319"/>
      <c r="BK540" s="319"/>
      <c r="BL540" s="319"/>
      <c r="BM540" s="319"/>
      <c r="BN540" s="319"/>
      <c r="BO540" s="319"/>
      <c r="BP540" s="319"/>
      <c r="BQ540" s="319"/>
      <c r="BR540" s="319"/>
      <c r="BS540" s="319"/>
      <c r="BT540" s="319"/>
      <c r="BU540" s="319"/>
      <c r="BV540" s="319"/>
      <c r="BW540" s="319"/>
      <c r="BX540" s="319"/>
      <c r="BY540" s="319"/>
      <c r="BZ540" s="319"/>
      <c r="CA540" s="319"/>
      <c r="CB540" s="319"/>
      <c r="CC540" s="319"/>
      <c r="CD540" s="319"/>
      <c r="CE540" s="319"/>
      <c r="CF540" s="319"/>
    </row>
    <row r="541" spans="1:84" ht="12.75" hidden="1" customHeight="1">
      <c r="A541" s="12"/>
      <c r="B541" s="329" t="str">
        <f>$B$92</f>
        <v>Potência elétrica</v>
      </c>
      <c r="C541" s="21" t="str">
        <f>$C$92</f>
        <v>kW</v>
      </c>
      <c r="D541" s="457"/>
      <c r="E541" s="80" t="str">
        <f>IF($P$866=0,"",D541/$P$866)</f>
        <v/>
      </c>
      <c r="F541" s="1"/>
      <c r="G541" s="8"/>
      <c r="H541" s="1346"/>
      <c r="I541" s="1252" t="str">
        <f>I533</f>
        <v>Ver banco de dados de produtos</v>
      </c>
      <c r="J541" s="1191"/>
      <c r="K541" s="1210"/>
      <c r="L541" s="1"/>
      <c r="M541" s="319"/>
      <c r="N541" s="319"/>
      <c r="O541" s="319"/>
      <c r="P541" s="319"/>
      <c r="Q541" s="319"/>
      <c r="R541" s="319"/>
      <c r="S541" s="319"/>
      <c r="T541" s="319"/>
      <c r="U541" s="319"/>
      <c r="V541" s="319"/>
      <c r="W541" s="319"/>
      <c r="X541" s="319"/>
      <c r="Y541" s="319"/>
      <c r="Z541" s="319"/>
      <c r="AA541" s="319"/>
      <c r="AB541" s="319"/>
      <c r="AC541" s="319"/>
      <c r="AD541" s="319"/>
      <c r="AE541" s="319"/>
      <c r="AF541" s="319"/>
      <c r="AG541" s="319"/>
      <c r="AH541" s="319"/>
      <c r="AI541" s="319"/>
      <c r="AJ541" s="319"/>
      <c r="AK541" s="319"/>
      <c r="AL541" s="319"/>
      <c r="AM541" s="319"/>
      <c r="AN541" s="319"/>
      <c r="AO541" s="319">
        <v>2050002</v>
      </c>
      <c r="AP541" s="319"/>
      <c r="AQ541" s="319"/>
      <c r="AR541" s="319"/>
      <c r="AS541" s="319"/>
      <c r="AT541" s="319"/>
      <c r="AU541" s="319"/>
      <c r="AV541" s="319"/>
      <c r="AW541" s="319"/>
      <c r="AX541" s="319"/>
      <c r="AY541" s="319"/>
      <c r="AZ541" s="319"/>
      <c r="BA541" s="319"/>
      <c r="BB541" s="319"/>
      <c r="BC541" s="319"/>
      <c r="BD541" s="319"/>
      <c r="BE541" s="319"/>
      <c r="BF541" s="319"/>
      <c r="BG541" s="319"/>
      <c r="BH541" s="319"/>
      <c r="BI541" s="319"/>
      <c r="BJ541" s="319"/>
      <c r="BK541" s="319"/>
      <c r="BL541" s="319"/>
      <c r="BM541" s="319"/>
      <c r="BN541" s="319"/>
      <c r="BO541" s="319"/>
      <c r="BP541" s="319"/>
      <c r="BQ541" s="319"/>
      <c r="BR541" s="319"/>
      <c r="BS541" s="319"/>
      <c r="BT541" s="319"/>
      <c r="BU541" s="319"/>
      <c r="BV541" s="319"/>
      <c r="BW541" s="319"/>
      <c r="BX541" s="319"/>
      <c r="BY541" s="319"/>
      <c r="BZ541" s="319"/>
      <c r="CA541" s="319"/>
      <c r="CB541" s="319"/>
      <c r="CC541" s="319"/>
      <c r="CD541" s="319"/>
      <c r="CE541" s="319"/>
      <c r="CF541" s="319"/>
    </row>
    <row r="542" spans="1:84" ht="12.75" hidden="1" customHeight="1">
      <c r="A542" s="12"/>
      <c r="B542" s="329" t="str">
        <f>$B$12</f>
        <v>Fabricante</v>
      </c>
      <c r="C542" s="1152"/>
      <c r="D542" s="1153"/>
      <c r="E542" s="1154"/>
      <c r="F542" s="8"/>
      <c r="G542" s="8"/>
      <c r="H542" s="8"/>
      <c r="I542" s="8"/>
      <c r="J542" s="8"/>
      <c r="K542" s="9"/>
      <c r="L542" s="1"/>
      <c r="M542" s="319"/>
      <c r="N542" s="319"/>
      <c r="O542" s="319"/>
      <c r="P542" s="319"/>
      <c r="Q542" s="319"/>
      <c r="R542" s="319"/>
      <c r="S542" s="319"/>
      <c r="T542" s="319"/>
      <c r="U542" s="319"/>
      <c r="V542" s="319"/>
      <c r="W542" s="319"/>
      <c r="X542" s="319"/>
      <c r="Y542" s="319"/>
      <c r="Z542" s="319"/>
      <c r="AA542" s="319"/>
      <c r="AB542" s="319"/>
      <c r="AC542" s="319"/>
      <c r="AD542" s="319"/>
      <c r="AE542" s="319"/>
      <c r="AF542" s="319"/>
      <c r="AG542" s="319"/>
      <c r="AH542" s="319"/>
      <c r="AI542" s="319"/>
      <c r="AJ542" s="319"/>
      <c r="AK542" s="319"/>
      <c r="AL542" s="319"/>
      <c r="AM542" s="319"/>
      <c r="AN542" s="319"/>
      <c r="AO542" s="319">
        <v>2050012</v>
      </c>
      <c r="AP542" s="319"/>
      <c r="AQ542" s="319"/>
      <c r="AR542" s="319"/>
      <c r="AS542" s="319"/>
      <c r="AT542" s="319"/>
      <c r="AU542" s="319"/>
      <c r="AV542" s="319"/>
      <c r="AW542" s="319"/>
      <c r="AX542" s="319"/>
      <c r="AY542" s="319"/>
      <c r="AZ542" s="319"/>
      <c r="BA542" s="319"/>
      <c r="BB542" s="319"/>
      <c r="BC542" s="319"/>
      <c r="BD542" s="319"/>
      <c r="BE542" s="319"/>
      <c r="BF542" s="319"/>
      <c r="BG542" s="319"/>
      <c r="BH542" s="319"/>
      <c r="BI542" s="319"/>
      <c r="BJ542" s="319"/>
      <c r="BK542" s="319"/>
      <c r="BL542" s="319"/>
      <c r="BM542" s="319"/>
      <c r="BN542" s="319"/>
      <c r="BO542" s="319"/>
      <c r="BP542" s="319"/>
      <c r="BQ542" s="319"/>
      <c r="BR542" s="319"/>
      <c r="BS542" s="319"/>
      <c r="BT542" s="319"/>
      <c r="BU542" s="319"/>
      <c r="BV542" s="319"/>
      <c r="BW542" s="319"/>
      <c r="BX542" s="319"/>
      <c r="BY542" s="319"/>
      <c r="BZ542" s="319"/>
      <c r="CA542" s="319"/>
      <c r="CB542" s="319"/>
      <c r="CC542" s="319"/>
      <c r="CD542" s="319"/>
      <c r="CE542" s="319"/>
      <c r="CF542" s="319"/>
    </row>
    <row r="543" spans="1:84" ht="12.75" hidden="1" customHeight="1">
      <c r="A543" s="12"/>
      <c r="B543" s="329" t="str">
        <f>$B$13</f>
        <v>Modelo</v>
      </c>
      <c r="C543" s="1152"/>
      <c r="D543" s="1153"/>
      <c r="E543" s="1154"/>
      <c r="F543" s="8"/>
      <c r="G543" s="8"/>
      <c r="H543" s="8"/>
      <c r="I543" s="8"/>
      <c r="J543" s="8"/>
      <c r="K543" s="9"/>
      <c r="L543" s="1"/>
      <c r="M543" s="319"/>
      <c r="N543" s="319"/>
      <c r="O543" s="319"/>
      <c r="P543" s="319"/>
      <c r="Q543" s="319"/>
      <c r="R543" s="319"/>
      <c r="S543" s="319"/>
      <c r="T543" s="319"/>
      <c r="U543" s="319"/>
      <c r="V543" s="319"/>
      <c r="W543" s="319"/>
      <c r="X543" s="319"/>
      <c r="Y543" s="319"/>
      <c r="Z543" s="319"/>
      <c r="AA543" s="319"/>
      <c r="AB543" s="319"/>
      <c r="AC543" s="319"/>
      <c r="AD543" s="319"/>
      <c r="AE543" s="319"/>
      <c r="AF543" s="319"/>
      <c r="AG543" s="319"/>
      <c r="AH543" s="319"/>
      <c r="AI543" s="319"/>
      <c r="AJ543" s="319"/>
      <c r="AK543" s="319"/>
      <c r="AL543" s="319"/>
      <c r="AM543" s="319"/>
      <c r="AN543" s="319"/>
      <c r="AO543" s="319">
        <v>2050014</v>
      </c>
      <c r="AP543" s="319"/>
      <c r="AQ543" s="319"/>
      <c r="AR543" s="319"/>
      <c r="AS543" s="319"/>
      <c r="AT543" s="319"/>
      <c r="AU543" s="319"/>
      <c r="AV543" s="319"/>
      <c r="AW543" s="319"/>
      <c r="AX543" s="319"/>
      <c r="AY543" s="319"/>
      <c r="AZ543" s="319"/>
      <c r="BA543" s="319"/>
      <c r="BB543" s="319"/>
      <c r="BC543" s="319"/>
      <c r="BD543" s="319"/>
      <c r="BE543" s="319"/>
      <c r="BF543" s="319"/>
      <c r="BG543" s="319"/>
      <c r="BH543" s="319"/>
      <c r="BI543" s="319"/>
      <c r="BJ543" s="319"/>
      <c r="BK543" s="319"/>
      <c r="BL543" s="319"/>
      <c r="BM543" s="319"/>
      <c r="BN543" s="319"/>
      <c r="BO543" s="319"/>
      <c r="BP543" s="319"/>
      <c r="BQ543" s="319"/>
      <c r="BR543" s="319"/>
      <c r="BS543" s="319"/>
      <c r="BT543" s="319"/>
      <c r="BU543" s="319"/>
      <c r="BV543" s="319"/>
      <c r="BW543" s="319"/>
      <c r="BX543" s="319"/>
      <c r="BY543" s="319"/>
      <c r="BZ543" s="319"/>
      <c r="CA543" s="319"/>
      <c r="CB543" s="319"/>
      <c r="CC543" s="319"/>
      <c r="CD543" s="319"/>
      <c r="CE543" s="319"/>
      <c r="CF543" s="319"/>
    </row>
    <row r="544" spans="1:84" ht="12.75" hidden="1" customHeight="1">
      <c r="A544" s="12"/>
      <c r="B544" s="329" t="str">
        <f>$B$309</f>
        <v>Fator de Utilização</v>
      </c>
      <c r="C544" s="29" t="str">
        <f>$T$35</f>
        <v>%</v>
      </c>
      <c r="D544" s="422"/>
      <c r="E544" s="1"/>
      <c r="F544" s="8"/>
      <c r="G544" s="8"/>
      <c r="H544" s="8"/>
      <c r="I544" s="8"/>
      <c r="J544" s="8"/>
      <c r="K544" s="9"/>
      <c r="L544" s="1"/>
      <c r="M544" s="319"/>
      <c r="N544" s="319"/>
      <c r="O544" s="319"/>
      <c r="P544" s="319"/>
      <c r="Q544" s="319"/>
      <c r="R544" s="319"/>
      <c r="S544" s="319"/>
      <c r="T544" s="319"/>
      <c r="U544" s="319"/>
      <c r="V544" s="319"/>
      <c r="W544" s="319"/>
      <c r="X544" s="319"/>
      <c r="Y544" s="319"/>
      <c r="Z544" s="319"/>
      <c r="AA544" s="319"/>
      <c r="AB544" s="319"/>
      <c r="AC544" s="319"/>
      <c r="AD544" s="319"/>
      <c r="AE544" s="319"/>
      <c r="AF544" s="319"/>
      <c r="AG544" s="319"/>
      <c r="AH544" s="319"/>
      <c r="AI544" s="319"/>
      <c r="AJ544" s="319"/>
      <c r="AK544" s="319"/>
      <c r="AL544" s="319"/>
      <c r="AM544" s="319"/>
      <c r="AN544" s="319"/>
      <c r="AO544" s="319">
        <v>2070000</v>
      </c>
      <c r="AP544" s="319"/>
      <c r="AQ544" s="319"/>
      <c r="AR544" s="319"/>
      <c r="AS544" s="319"/>
      <c r="AT544" s="319"/>
      <c r="AU544" s="319"/>
      <c r="AV544" s="319"/>
      <c r="AW544" s="319"/>
      <c r="AX544" s="319"/>
      <c r="AY544" s="319"/>
      <c r="AZ544" s="319"/>
      <c r="BA544" s="319"/>
      <c r="BB544" s="319"/>
      <c r="BC544" s="319"/>
      <c r="BD544" s="319"/>
      <c r="BE544" s="319"/>
      <c r="BF544" s="319"/>
      <c r="BG544" s="319"/>
      <c r="BH544" s="319"/>
      <c r="BI544" s="319"/>
      <c r="BJ544" s="319"/>
      <c r="BK544" s="319"/>
      <c r="BL544" s="319"/>
      <c r="BM544" s="319"/>
      <c r="BN544" s="319"/>
      <c r="BO544" s="319"/>
      <c r="BP544" s="319"/>
      <c r="BQ544" s="319"/>
      <c r="BR544" s="319"/>
      <c r="BS544" s="319"/>
      <c r="BT544" s="319"/>
      <c r="BU544" s="319"/>
      <c r="BV544" s="319"/>
      <c r="BW544" s="319"/>
      <c r="BX544" s="319"/>
      <c r="BY544" s="319"/>
      <c r="BZ544" s="319"/>
      <c r="CA544" s="319"/>
      <c r="CB544" s="319"/>
      <c r="CC544" s="319"/>
      <c r="CD544" s="319"/>
      <c r="CE544" s="319"/>
      <c r="CF544" s="319"/>
    </row>
    <row r="545" spans="1:84" ht="12.75" hidden="1" customHeight="1">
      <c r="A545" s="12"/>
      <c r="B545" s="329" t="str">
        <f>$B$94</f>
        <v>Eletricidade fornecida à carga</v>
      </c>
      <c r="C545" s="29" t="str">
        <f>R14</f>
        <v>MWh</v>
      </c>
      <c r="D545" s="30">
        <f>IF(HideCodeES_PSS=1,$G$1107,IF($C$854=$E$1094,$G$1107,$G$1108))</f>
        <v>0</v>
      </c>
      <c r="E545" s="80" t="str">
        <f>IF($P$867=0,"",D545/$P$867)</f>
        <v/>
      </c>
      <c r="F545" s="8"/>
      <c r="G545" s="8"/>
      <c r="H545" s="8"/>
      <c r="I545" s="8"/>
      <c r="J545" s="8"/>
      <c r="K545" s="9"/>
      <c r="L545" s="1"/>
      <c r="M545" s="319"/>
      <c r="N545" s="319"/>
      <c r="O545" s="319"/>
      <c r="P545" s="319"/>
      <c r="Q545" s="319"/>
      <c r="R545" s="319"/>
      <c r="S545" s="319"/>
      <c r="T545" s="319"/>
      <c r="U545" s="319"/>
      <c r="V545" s="319"/>
      <c r="W545" s="319"/>
      <c r="X545" s="319"/>
      <c r="Y545" s="319"/>
      <c r="Z545" s="319"/>
      <c r="AA545" s="319"/>
      <c r="AB545" s="319"/>
      <c r="AC545" s="319"/>
      <c r="AD545" s="319"/>
      <c r="AE545" s="319"/>
      <c r="AF545" s="319"/>
      <c r="AG545" s="319"/>
      <c r="AH545" s="319"/>
      <c r="AI545" s="319"/>
      <c r="AJ545" s="319"/>
      <c r="AK545" s="319"/>
      <c r="AL545" s="319"/>
      <c r="AM545" s="319"/>
      <c r="AN545" s="319"/>
      <c r="AO545" s="319">
        <v>2050008</v>
      </c>
      <c r="AP545" s="319"/>
      <c r="AQ545" s="319"/>
      <c r="AR545" s="319"/>
      <c r="AS545" s="319"/>
      <c r="AT545" s="319"/>
      <c r="AU545" s="319"/>
      <c r="AV545" s="319"/>
      <c r="AW545" s="319"/>
      <c r="AX545" s="319"/>
      <c r="AY545" s="319"/>
      <c r="AZ545" s="319"/>
      <c r="BA545" s="319"/>
      <c r="BB545" s="319"/>
      <c r="BC545" s="319"/>
      <c r="BD545" s="319"/>
      <c r="BE545" s="319"/>
      <c r="BF545" s="319"/>
      <c r="BG545" s="319"/>
      <c r="BH545" s="319"/>
      <c r="BI545" s="319"/>
      <c r="BJ545" s="319"/>
      <c r="BK545" s="319"/>
      <c r="BL545" s="319"/>
      <c r="BM545" s="319"/>
      <c r="BN545" s="319"/>
      <c r="BO545" s="319"/>
      <c r="BP545" s="319"/>
      <c r="BQ545" s="319"/>
      <c r="BR545" s="319"/>
      <c r="BS545" s="319"/>
      <c r="BT545" s="319"/>
      <c r="BU545" s="319"/>
      <c r="BV545" s="319"/>
      <c r="BW545" s="319"/>
      <c r="BX545" s="319"/>
      <c r="BY545" s="319"/>
      <c r="BZ545" s="319"/>
      <c r="CA545" s="319"/>
      <c r="CB545" s="319"/>
      <c r="CC545" s="319"/>
      <c r="CD545" s="319"/>
      <c r="CE545" s="319"/>
      <c r="CF545" s="319"/>
    </row>
    <row r="546" spans="1:84" ht="12.75" hidden="1" customHeight="1">
      <c r="A546" s="12"/>
      <c r="B546" s="380" t="str">
        <f>$B$95</f>
        <v>Eletricidade exportada p/ rede</v>
      </c>
      <c r="C546" s="33" t="str">
        <f>R14</f>
        <v>MWh</v>
      </c>
      <c r="D546" s="34">
        <f>IF(HideCodeES_PSS=1,$J$1107,IF($C$854=$E$1094,$J$1107,$J$1108))</f>
        <v>5.3903325633948667</v>
      </c>
      <c r="E546" s="15"/>
      <c r="F546" s="8"/>
      <c r="G546" s="8"/>
      <c r="H546" s="8"/>
      <c r="I546" s="8"/>
      <c r="J546" s="8"/>
      <c r="K546" s="9"/>
      <c r="L546" s="1"/>
      <c r="M546" s="319"/>
      <c r="N546" s="319"/>
      <c r="O546" s="319"/>
      <c r="P546" s="319"/>
      <c r="Q546" s="319"/>
      <c r="R546" s="319"/>
      <c r="S546" s="319"/>
      <c r="T546" s="319"/>
      <c r="U546" s="319"/>
      <c r="V546" s="319"/>
      <c r="W546" s="319"/>
      <c r="X546" s="319"/>
      <c r="Y546" s="319"/>
      <c r="Z546" s="319"/>
      <c r="AA546" s="319"/>
      <c r="AB546" s="319"/>
      <c r="AC546" s="319"/>
      <c r="AD546" s="319"/>
      <c r="AE546" s="319"/>
      <c r="AF546" s="319"/>
      <c r="AG546" s="319"/>
      <c r="AH546" s="319"/>
      <c r="AI546" s="319"/>
      <c r="AJ546" s="319"/>
      <c r="AK546" s="319"/>
      <c r="AL546" s="319"/>
      <c r="AM546" s="319"/>
      <c r="AN546" s="319"/>
      <c r="AO546" s="319">
        <v>2050010</v>
      </c>
      <c r="AP546" s="319"/>
      <c r="AQ546" s="319"/>
      <c r="AR546" s="319"/>
      <c r="AS546" s="319"/>
      <c r="AT546" s="319"/>
      <c r="AU546" s="319"/>
      <c r="AV546" s="319"/>
      <c r="AW546" s="319"/>
      <c r="AX546" s="319"/>
      <c r="AY546" s="319"/>
      <c r="AZ546" s="319"/>
      <c r="BA546" s="319"/>
      <c r="BB546" s="319"/>
      <c r="BC546" s="319"/>
      <c r="BD546" s="319"/>
      <c r="BE546" s="319"/>
      <c r="BF546" s="319"/>
      <c r="BG546" s="319"/>
      <c r="BH546" s="319"/>
      <c r="BI546" s="319"/>
      <c r="BJ546" s="319"/>
      <c r="BK546" s="319"/>
      <c r="BL546" s="319"/>
      <c r="BM546" s="319"/>
      <c r="BN546" s="319"/>
      <c r="BO546" s="319"/>
      <c r="BP546" s="319"/>
      <c r="BQ546" s="319"/>
      <c r="BR546" s="319"/>
      <c r="BS546" s="319"/>
      <c r="BT546" s="319"/>
      <c r="BU546" s="319"/>
      <c r="BV546" s="319"/>
      <c r="BW546" s="319"/>
      <c r="BX546" s="319"/>
      <c r="BY546" s="319"/>
      <c r="BZ546" s="319"/>
      <c r="CA546" s="319"/>
      <c r="CB546" s="319"/>
      <c r="CC546" s="319"/>
      <c r="CD546" s="319"/>
      <c r="CE546" s="319"/>
      <c r="CF546" s="319"/>
    </row>
    <row r="547" spans="1:84" ht="13.5" hidden="1" customHeight="1" thickBot="1">
      <c r="A547" s="922"/>
      <c r="B547" s="43"/>
      <c r="C547" s="43"/>
      <c r="D547" s="43"/>
      <c r="E547" s="43"/>
      <c r="F547" s="43"/>
      <c r="G547" s="43"/>
      <c r="H547" s="43"/>
      <c r="I547" s="43"/>
      <c r="J547" s="43"/>
      <c r="K547" s="921"/>
      <c r="L547" s="1"/>
      <c r="M547" s="319"/>
      <c r="N547" s="319"/>
      <c r="O547" s="319"/>
      <c r="P547" s="319"/>
      <c r="Q547" s="319"/>
      <c r="R547" s="319"/>
      <c r="S547" s="319"/>
      <c r="T547" s="319"/>
      <c r="U547" s="319"/>
      <c r="V547" s="319"/>
      <c r="W547" s="319"/>
      <c r="X547" s="319"/>
      <c r="Y547" s="319"/>
      <c r="Z547" s="319"/>
      <c r="AA547" s="319"/>
      <c r="AB547" s="319"/>
      <c r="AC547" s="319"/>
      <c r="AD547" s="319"/>
      <c r="AE547" s="319"/>
      <c r="AF547" s="319"/>
      <c r="AG547" s="319"/>
      <c r="AH547" s="319"/>
      <c r="AI547" s="319"/>
      <c r="AJ547" s="319"/>
      <c r="AK547" s="319"/>
      <c r="AL547" s="319"/>
      <c r="AM547" s="319"/>
      <c r="AN547" s="319"/>
      <c r="AO547" s="319">
        <v>2020004</v>
      </c>
      <c r="AP547" s="319"/>
      <c r="AQ547" s="319"/>
      <c r="AR547" s="319"/>
      <c r="AS547" s="319"/>
      <c r="AT547" s="319"/>
      <c r="AU547" s="319"/>
      <c r="AV547" s="319"/>
      <c r="AW547" s="319"/>
      <c r="AX547" s="319"/>
      <c r="AY547" s="319"/>
      <c r="AZ547" s="319"/>
      <c r="BA547" s="319"/>
      <c r="BB547" s="319"/>
      <c r="BC547" s="319"/>
      <c r="BD547" s="319"/>
      <c r="BE547" s="319"/>
      <c r="BF547" s="319"/>
      <c r="BG547" s="319"/>
      <c r="BH547" s="319"/>
      <c r="BI547" s="319"/>
      <c r="BJ547" s="319"/>
      <c r="BK547" s="319"/>
      <c r="BL547" s="319"/>
      <c r="BM547" s="319"/>
      <c r="BN547" s="319"/>
      <c r="BO547" s="319"/>
      <c r="BP547" s="319"/>
      <c r="BQ547" s="319"/>
      <c r="BR547" s="319"/>
      <c r="BS547" s="319"/>
      <c r="BT547" s="319"/>
      <c r="BU547" s="319"/>
      <c r="BV547" s="319"/>
      <c r="BW547" s="319"/>
      <c r="BX547" s="319"/>
      <c r="BY547" s="319"/>
      <c r="BZ547" s="319"/>
      <c r="CA547" s="319"/>
      <c r="CB547" s="319"/>
      <c r="CC547" s="319"/>
      <c r="CD547" s="319"/>
      <c r="CE547" s="319"/>
      <c r="CF547" s="319"/>
    </row>
    <row r="548" spans="1:84" ht="12.75" hidden="1" customHeight="1" thickTop="1">
      <c r="A548" s="194"/>
      <c r="B548" s="28" t="str">
        <f>IF(OR(HideCode_projectType3=1,HideCode_projectType3=6),Language!C240,IF(C854=E1094,Language!C209,Language!C199))</f>
        <v>Carga intermediária do sistema elétrico</v>
      </c>
      <c r="C548" s="1"/>
      <c r="D548" s="1"/>
      <c r="E548" s="1"/>
      <c r="F548" s="1"/>
      <c r="G548" s="1"/>
      <c r="H548" s="1"/>
      <c r="I548" s="1"/>
      <c r="J548" s="1"/>
      <c r="K548" s="9"/>
      <c r="L548" s="1"/>
      <c r="M548" s="319"/>
      <c r="N548" s="319"/>
      <c r="O548" s="319"/>
      <c r="P548" s="319"/>
      <c r="Q548" s="319"/>
      <c r="R548" s="319"/>
      <c r="S548" s="319"/>
      <c r="T548" s="319"/>
      <c r="U548" s="319"/>
      <c r="V548" s="319"/>
      <c r="W548" s="319"/>
      <c r="X548" s="319"/>
      <c r="Y548" s="319"/>
      <c r="Z548" s="319"/>
      <c r="AA548" s="319"/>
      <c r="AB548" s="319"/>
      <c r="AC548" s="319"/>
      <c r="AD548" s="319"/>
      <c r="AE548" s="319"/>
      <c r="AF548" s="319"/>
      <c r="AG548" s="319"/>
      <c r="AH548" s="319"/>
      <c r="AI548" s="319"/>
      <c r="AJ548" s="319"/>
      <c r="AK548" s="319"/>
      <c r="AL548" s="319"/>
      <c r="AM548" s="319"/>
      <c r="AN548" s="319"/>
      <c r="AO548" s="319">
        <v>2020006</v>
      </c>
      <c r="AP548" s="319"/>
      <c r="AQ548" s="319"/>
      <c r="AR548" s="319"/>
      <c r="AS548" s="319"/>
      <c r="AT548" s="319"/>
      <c r="AU548" s="319"/>
      <c r="AV548" s="319"/>
      <c r="AW548" s="319"/>
      <c r="AX548" s="319"/>
      <c r="AY548" s="319"/>
      <c r="AZ548" s="319"/>
      <c r="BA548" s="319"/>
      <c r="BB548" s="319"/>
      <c r="BC548" s="319"/>
      <c r="BD548" s="319"/>
      <c r="BE548" s="319"/>
      <c r="BF548" s="319"/>
      <c r="BG548" s="319"/>
      <c r="BH548" s="319"/>
      <c r="BI548" s="319"/>
      <c r="BJ548" s="319"/>
      <c r="BK548" s="319"/>
      <c r="BL548" s="319"/>
      <c r="BM548" s="319"/>
      <c r="BN548" s="319"/>
      <c r="BO548" s="319"/>
      <c r="BP548" s="319"/>
      <c r="BQ548" s="319"/>
      <c r="BR548" s="319"/>
      <c r="BS548" s="319"/>
      <c r="BT548" s="319"/>
      <c r="BU548" s="319"/>
      <c r="BV548" s="319"/>
      <c r="BW548" s="319"/>
      <c r="BX548" s="319"/>
      <c r="BY548" s="319"/>
      <c r="BZ548" s="319"/>
      <c r="CA548" s="319"/>
      <c r="CB548" s="319"/>
      <c r="CC548" s="319"/>
      <c r="CD548" s="319"/>
      <c r="CE548" s="319"/>
      <c r="CF548" s="319"/>
    </row>
    <row r="549" spans="1:84" ht="12.75" hidden="1" customHeight="1">
      <c r="A549" s="12"/>
      <c r="B549" s="1" t="str">
        <f>B6</f>
        <v>Tecnologia</v>
      </c>
      <c r="C549" s="1133" t="s">
        <v>6409</v>
      </c>
      <c r="D549" s="1134"/>
      <c r="E549" s="1135"/>
      <c r="F549" s="1"/>
      <c r="G549" s="1"/>
      <c r="H549" s="1"/>
      <c r="I549" s="1"/>
      <c r="J549" s="1"/>
      <c r="K549" s="9"/>
      <c r="L549" s="1"/>
      <c r="M549" s="319">
        <f>IF(C549="",1,MATCH(C549,E1079:E1084,0))</f>
        <v>1</v>
      </c>
      <c r="N549" s="319"/>
      <c r="O549" s="319" t="s">
        <v>1070</v>
      </c>
      <c r="P549" s="319"/>
      <c r="Q549" s="319"/>
      <c r="R549" s="319"/>
      <c r="S549" s="319"/>
      <c r="T549" s="319"/>
      <c r="U549" s="319"/>
      <c r="V549" s="319"/>
      <c r="W549" s="319"/>
      <c r="X549" s="319"/>
      <c r="Y549" s="319"/>
      <c r="Z549" s="319"/>
      <c r="AA549" s="319"/>
      <c r="AB549" s="319"/>
      <c r="AC549" s="319"/>
      <c r="AD549" s="319"/>
      <c r="AE549" s="319"/>
      <c r="AF549" s="319"/>
      <c r="AG549" s="319"/>
      <c r="AH549" s="319"/>
      <c r="AI549" s="319"/>
      <c r="AJ549" s="319"/>
      <c r="AK549" s="319"/>
      <c r="AL549" s="319"/>
      <c r="AM549" s="319"/>
      <c r="AN549" s="319"/>
      <c r="AO549" s="319">
        <v>2020104</v>
      </c>
      <c r="AP549" s="319"/>
      <c r="AQ549" s="319"/>
      <c r="AR549" s="319"/>
      <c r="AS549" s="319"/>
      <c r="AT549" s="319"/>
      <c r="AU549" s="319"/>
      <c r="AV549" s="319"/>
      <c r="AW549" s="319"/>
      <c r="AX549" s="319"/>
      <c r="AY549" s="319"/>
      <c r="AZ549" s="319"/>
      <c r="BA549" s="319"/>
      <c r="BB549" s="319"/>
      <c r="BC549" s="319"/>
      <c r="BD549" s="319"/>
      <c r="BE549" s="319"/>
      <c r="BF549" s="319"/>
      <c r="BG549" s="319"/>
      <c r="BH549" s="319"/>
      <c r="BI549" s="319"/>
      <c r="BJ549" s="319"/>
      <c r="BK549" s="319"/>
      <c r="BL549" s="319"/>
      <c r="BM549" s="319"/>
      <c r="BN549" s="319"/>
      <c r="BO549" s="319"/>
      <c r="BP549" s="319"/>
      <c r="BQ549" s="319"/>
      <c r="BR549" s="319"/>
      <c r="BS549" s="319"/>
      <c r="BT549" s="319"/>
      <c r="BU549" s="319"/>
      <c r="BV549" s="319"/>
      <c r="BW549" s="319"/>
      <c r="BX549" s="319"/>
      <c r="BY549" s="319"/>
      <c r="BZ549" s="319"/>
      <c r="CA549" s="319"/>
      <c r="CB549" s="319"/>
      <c r="CC549" s="319"/>
      <c r="CD549" s="319"/>
      <c r="CE549" s="319"/>
      <c r="CF549" s="319"/>
    </row>
    <row r="550" spans="1:84" ht="12.75" hidden="1" customHeight="1">
      <c r="A550" s="12"/>
      <c r="B550" s="1" t="str">
        <f>B6</f>
        <v>Tecnologia</v>
      </c>
      <c r="C550" s="1133" t="s">
        <v>6145</v>
      </c>
      <c r="D550" s="1134"/>
      <c r="E550" s="1135"/>
      <c r="F550" s="1"/>
      <c r="G550" s="1"/>
      <c r="H550" s="1"/>
      <c r="I550" s="1"/>
      <c r="J550" s="1"/>
      <c r="K550" s="9"/>
      <c r="L550" s="1"/>
      <c r="M550" s="319">
        <f>IF(C550="",1,MATCH(C550,ES_PowerType,0))</f>
        <v>2</v>
      </c>
      <c r="N550" s="319"/>
      <c r="O550" s="319" t="s">
        <v>4856</v>
      </c>
      <c r="P550" s="319"/>
      <c r="Q550" s="319"/>
      <c r="R550" s="319"/>
      <c r="S550" s="319"/>
      <c r="T550" s="319"/>
      <c r="U550" s="319"/>
      <c r="V550" s="319"/>
      <c r="W550" s="319"/>
      <c r="X550" s="319"/>
      <c r="Y550" s="319"/>
      <c r="Z550" s="319"/>
      <c r="AA550" s="319"/>
      <c r="AB550" s="319"/>
      <c r="AC550" s="319"/>
      <c r="AD550" s="319"/>
      <c r="AE550" s="319"/>
      <c r="AF550" s="319"/>
      <c r="AG550" s="319"/>
      <c r="AH550" s="319"/>
      <c r="AI550" s="319"/>
      <c r="AJ550" s="319"/>
      <c r="AK550" s="319"/>
      <c r="AL550" s="319"/>
      <c r="AM550" s="319"/>
      <c r="AN550" s="319"/>
      <c r="AO550" s="319">
        <v>2030008</v>
      </c>
      <c r="AP550" s="319"/>
      <c r="AQ550" s="319"/>
      <c r="AR550" s="319"/>
      <c r="AS550" s="319"/>
      <c r="AT550" s="319"/>
      <c r="AU550" s="319"/>
      <c r="AV550" s="319"/>
      <c r="AW550" s="319"/>
      <c r="AX550" s="319"/>
      <c r="AY550" s="319"/>
      <c r="AZ550" s="319"/>
      <c r="BA550" s="319"/>
      <c r="BB550" s="319"/>
      <c r="BC550" s="319"/>
      <c r="BD550" s="319"/>
      <c r="BE550" s="319"/>
      <c r="BF550" s="319"/>
      <c r="BG550" s="319"/>
      <c r="BH550" s="319"/>
      <c r="BI550" s="319"/>
      <c r="BJ550" s="319"/>
      <c r="BK550" s="319"/>
      <c r="BL550" s="319"/>
      <c r="BM550" s="319"/>
      <c r="BN550" s="319"/>
      <c r="BO550" s="319"/>
      <c r="BP550" s="319"/>
      <c r="BQ550" s="319"/>
      <c r="BR550" s="319"/>
      <c r="BS550" s="319"/>
      <c r="BT550" s="319"/>
      <c r="BU550" s="319"/>
      <c r="BV550" s="319"/>
      <c r="BW550" s="319"/>
      <c r="BX550" s="319"/>
      <c r="BY550" s="319"/>
      <c r="BZ550" s="319"/>
      <c r="CA550" s="319"/>
      <c r="CB550" s="319"/>
      <c r="CC550" s="319"/>
      <c r="CD550" s="319"/>
      <c r="CE550" s="319"/>
      <c r="CF550" s="319"/>
    </row>
    <row r="551" spans="1:84" ht="13.2" hidden="1">
      <c r="A551" s="12"/>
      <c r="B551" s="1" t="str">
        <f>Language!C410</f>
        <v>Disponibilidade</v>
      </c>
      <c r="C551" s="303" t="s">
        <v>739</v>
      </c>
      <c r="D551" s="1000">
        <v>8300</v>
      </c>
      <c r="E551" s="422"/>
      <c r="F551" s="29" t="str">
        <f>IF(C551=$Z$1105,FIXED(U551*100,1)&amp;Language!C1306,FIXED(S551,0)&amp;" "&amp;Language!C1339)</f>
        <v>0 h</v>
      </c>
      <c r="G551" s="1"/>
      <c r="H551" s="1"/>
      <c r="I551" s="1"/>
      <c r="J551" s="1"/>
      <c r="K551" s="9"/>
      <c r="L551" s="1"/>
      <c r="M551" s="319"/>
      <c r="N551" s="319"/>
      <c r="O551" s="319"/>
      <c r="P551" s="319"/>
      <c r="Q551" s="319"/>
      <c r="R551" s="319" t="s">
        <v>2744</v>
      </c>
      <c r="S551" s="319">
        <f>IF(OR(HideCode_projectType3=1,HideCode_projectType3=6,M550=7,M550=8,M550=9,M550&gt;10),8760,IF(C551=$Z$1105,D551,E551*8760))</f>
        <v>0</v>
      </c>
      <c r="T551" s="319" t="s">
        <v>739</v>
      </c>
      <c r="U551" s="319">
        <f>S551/8760</f>
        <v>0</v>
      </c>
      <c r="V551" s="319"/>
      <c r="W551" s="319"/>
      <c r="X551" s="319"/>
      <c r="Y551" s="319"/>
      <c r="Z551" s="319"/>
      <c r="AA551" s="319"/>
      <c r="AB551" s="319"/>
      <c r="AC551" s="319"/>
      <c r="AD551" s="319"/>
      <c r="AE551" s="319"/>
      <c r="AF551" s="319"/>
      <c r="AG551" s="319"/>
      <c r="AH551" s="319"/>
      <c r="AI551" s="319"/>
      <c r="AJ551" s="319"/>
      <c r="AK551" s="319"/>
      <c r="AL551" s="319"/>
      <c r="AM551" s="319"/>
      <c r="AN551" s="319"/>
      <c r="AO551" s="319">
        <v>2030010</v>
      </c>
      <c r="AP551" s="319"/>
      <c r="AQ551" s="319"/>
      <c r="AR551" s="319"/>
      <c r="AS551" s="319"/>
      <c r="AT551" s="319"/>
      <c r="AU551" s="319"/>
      <c r="AV551" s="319"/>
      <c r="AW551" s="319"/>
      <c r="AX551" s="319"/>
      <c r="AY551" s="319"/>
      <c r="AZ551" s="319"/>
      <c r="BA551" s="319"/>
      <c r="BB551" s="319"/>
      <c r="BC551" s="319"/>
      <c r="BD551" s="319"/>
      <c r="BE551" s="319"/>
      <c r="BF551" s="319"/>
      <c r="BG551" s="319"/>
      <c r="BH551" s="319"/>
      <c r="BI551" s="319"/>
      <c r="BJ551" s="319"/>
      <c r="BK551" s="319"/>
      <c r="BL551" s="319"/>
      <c r="BM551" s="319"/>
      <c r="BN551" s="319"/>
      <c r="BO551" s="319"/>
      <c r="BP551" s="319"/>
      <c r="BQ551" s="319"/>
      <c r="BR551" s="319"/>
      <c r="BS551" s="319"/>
      <c r="BT551" s="319"/>
      <c r="BU551" s="319"/>
      <c r="BV551" s="319"/>
      <c r="BW551" s="319"/>
      <c r="BX551" s="319"/>
      <c r="BY551" s="319"/>
      <c r="BZ551" s="319"/>
      <c r="CA551" s="319"/>
      <c r="CB551" s="319"/>
      <c r="CC551" s="319"/>
      <c r="CD551" s="319"/>
      <c r="CE551" s="319"/>
      <c r="CF551" s="319"/>
    </row>
    <row r="552" spans="1:84" ht="12.75" hidden="1" customHeight="1">
      <c r="A552" s="12"/>
      <c r="B552" s="1"/>
      <c r="C552" s="1"/>
      <c r="D552" s="1"/>
      <c r="E552" s="1"/>
      <c r="F552" s="1"/>
      <c r="G552" s="1"/>
      <c r="H552" s="1"/>
      <c r="I552" s="1"/>
      <c r="J552" s="1"/>
      <c r="K552" s="9"/>
      <c r="L552" s="1"/>
      <c r="M552" s="319">
        <f>M553*100</f>
        <v>100</v>
      </c>
      <c r="N552" s="319"/>
      <c r="O552" s="319"/>
      <c r="P552" s="319"/>
      <c r="Q552" s="319"/>
      <c r="R552" s="319"/>
      <c r="S552" s="319"/>
      <c r="T552" s="319"/>
      <c r="U552" s="319"/>
      <c r="V552" s="319"/>
      <c r="W552" s="319"/>
      <c r="X552" s="319"/>
      <c r="Y552" s="319"/>
      <c r="Z552" s="319"/>
      <c r="AA552" s="319"/>
      <c r="AB552" s="319"/>
      <c r="AC552" s="319"/>
      <c r="AD552" s="319"/>
      <c r="AE552" s="319"/>
      <c r="AF552" s="319"/>
      <c r="AG552" s="319"/>
      <c r="AH552" s="319"/>
      <c r="AI552" s="319"/>
      <c r="AJ552" s="319"/>
      <c r="AK552" s="319"/>
      <c r="AL552" s="319"/>
      <c r="AM552" s="319"/>
      <c r="AN552" s="319"/>
      <c r="AO552" s="319">
        <v>2030100</v>
      </c>
      <c r="AP552" s="319"/>
      <c r="AQ552" s="319"/>
      <c r="AR552" s="319"/>
      <c r="AS552" s="319"/>
      <c r="AT552" s="319"/>
      <c r="AU552" s="319"/>
      <c r="AV552" s="319"/>
      <c r="AW552" s="319"/>
      <c r="AX552" s="319"/>
      <c r="AY552" s="319"/>
      <c r="AZ552" s="319"/>
      <c r="BA552" s="319"/>
      <c r="BB552" s="319"/>
      <c r="BC552" s="319"/>
      <c r="BD552" s="319"/>
      <c r="BE552" s="319"/>
      <c r="BF552" s="319"/>
      <c r="BG552" s="319"/>
      <c r="BH552" s="319"/>
      <c r="BI552" s="319"/>
      <c r="BJ552" s="319"/>
      <c r="BK552" s="319"/>
      <c r="BL552" s="319"/>
      <c r="BM552" s="319"/>
      <c r="BN552" s="319"/>
      <c r="BO552" s="319"/>
      <c r="BP552" s="319"/>
      <c r="BQ552" s="319"/>
      <c r="BR552" s="319"/>
      <c r="BS552" s="319"/>
      <c r="BT552" s="319"/>
      <c r="BU552" s="319"/>
      <c r="BV552" s="319"/>
      <c r="BW552" s="319"/>
      <c r="BX552" s="319"/>
      <c r="BY552" s="319"/>
      <c r="BZ552" s="319"/>
      <c r="CA552" s="319"/>
      <c r="CB552" s="319"/>
      <c r="CC552" s="319"/>
      <c r="CD552" s="319"/>
      <c r="CE552" s="319"/>
      <c r="CF552" s="319"/>
    </row>
    <row r="553" spans="1:84" ht="12.75" hidden="1" customHeight="1">
      <c r="A553" s="12"/>
      <c r="B553" s="1" t="str">
        <f>Language!C411</f>
        <v>Método-seleção de combustível</v>
      </c>
      <c r="C553" s="1133" t="s">
        <v>6154</v>
      </c>
      <c r="D553" s="1134"/>
      <c r="E553" s="1135"/>
      <c r="F553" s="1"/>
      <c r="G553" s="1"/>
      <c r="H553" s="1"/>
      <c r="I553" s="1"/>
      <c r="J553" s="1"/>
      <c r="K553" s="788" t="str">
        <f>IF(Ferramentas!E411&lt;1,G1097,"")</f>
        <v/>
      </c>
      <c r="L553" s="1"/>
      <c r="M553" s="319">
        <f>IF(C553="",1,MATCH(C553,ES_FuelMethod,0))</f>
        <v>1</v>
      </c>
      <c r="N553" s="319"/>
      <c r="O553" s="319" t="s">
        <v>1597</v>
      </c>
      <c r="P553" s="319"/>
      <c r="Q553" s="319"/>
      <c r="R553" s="319">
        <f>SUMIF($B$1102:$B$1105,C554,$A$1102:$A$1105)</f>
        <v>0</v>
      </c>
      <c r="S553" s="319"/>
      <c r="T553" s="319"/>
      <c r="U553" s="319"/>
      <c r="V553" s="319"/>
      <c r="W553" s="319"/>
      <c r="X553" s="319"/>
      <c r="Y553" s="319"/>
      <c r="Z553" s="319"/>
      <c r="AA553" s="319"/>
      <c r="AB553" s="319"/>
      <c r="AC553" s="319"/>
      <c r="AD553" s="319"/>
      <c r="AE553" s="319"/>
      <c r="AF553" s="319"/>
      <c r="AG553" s="319"/>
      <c r="AH553" s="319"/>
      <c r="AI553" s="319"/>
      <c r="AJ553" s="319"/>
      <c r="AK553" s="319"/>
      <c r="AL553" s="319"/>
      <c r="AM553" s="319"/>
      <c r="AN553" s="319"/>
      <c r="AO553" s="319">
        <v>2030100</v>
      </c>
      <c r="AP553" s="319"/>
      <c r="AQ553" s="319"/>
      <c r="AR553" s="319"/>
      <c r="AS553" s="319"/>
      <c r="AT553" s="319"/>
      <c r="AU553" s="319"/>
      <c r="AV553" s="319"/>
      <c r="AW553" s="319"/>
      <c r="AX553" s="319"/>
      <c r="AY553" s="319"/>
      <c r="AZ553" s="319"/>
      <c r="BA553" s="319"/>
      <c r="BB553" s="319"/>
      <c r="BC553" s="319"/>
      <c r="BD553" s="319"/>
      <c r="BE553" s="319"/>
      <c r="BF553" s="319"/>
      <c r="BG553" s="319"/>
      <c r="BH553" s="319"/>
      <c r="BI553" s="319"/>
      <c r="BJ553" s="319"/>
      <c r="BK553" s="319"/>
      <c r="BL553" s="319"/>
      <c r="BM553" s="319"/>
      <c r="BN553" s="319"/>
      <c r="BO553" s="319"/>
      <c r="BP553" s="319"/>
      <c r="BQ553" s="319"/>
      <c r="BR553" s="319"/>
      <c r="BS553" s="319"/>
      <c r="BT553" s="319"/>
      <c r="BU553" s="319"/>
      <c r="BV553" s="319"/>
      <c r="BW553" s="319"/>
      <c r="BX553" s="319"/>
      <c r="BY553" s="319"/>
      <c r="BZ553" s="319"/>
      <c r="CA553" s="319"/>
      <c r="CB553" s="319"/>
      <c r="CC553" s="319"/>
      <c r="CD553" s="319"/>
      <c r="CE553" s="319"/>
      <c r="CF553" s="319"/>
    </row>
    <row r="554" spans="1:84" ht="12.75" hidden="1" customHeight="1">
      <c r="A554" s="12"/>
      <c r="B554" s="1" t="str">
        <f>B8</f>
        <v>Tipo de Combustível</v>
      </c>
      <c r="C554" s="1133" t="s">
        <v>7046</v>
      </c>
      <c r="D554" s="1134"/>
      <c r="E554" s="1135"/>
      <c r="F554" s="1"/>
      <c r="G554" s="1"/>
      <c r="H554" s="1"/>
      <c r="I554" s="1"/>
      <c r="J554" s="1"/>
      <c r="K554" s="785" t="str">
        <f>K38</f>
        <v>Completar planilha Ferramentas</v>
      </c>
      <c r="L554" s="1"/>
      <c r="M554" s="319"/>
      <c r="N554" s="319"/>
      <c r="O554" s="319"/>
      <c r="P554" s="319"/>
      <c r="Q554" s="319"/>
      <c r="R554" s="319" t="s">
        <v>5376</v>
      </c>
      <c r="S554" s="319">
        <f>VLOOKUP(C554,$B$1176:$F$1289,4,FALSE)</f>
        <v>47.856000000000002</v>
      </c>
      <c r="T554" s="319" t="str">
        <f>$T$132</f>
        <v>Btu/lb</v>
      </c>
      <c r="U554" s="319">
        <f>S554*$AA$1092</f>
        <v>20574.37661220981</v>
      </c>
      <c r="V554" s="319"/>
      <c r="W554" s="319"/>
      <c r="X554" s="319"/>
      <c r="Y554" s="319"/>
      <c r="Z554" s="319"/>
      <c r="AA554" s="319"/>
      <c r="AB554" s="319"/>
      <c r="AC554" s="319"/>
      <c r="AD554" s="319"/>
      <c r="AE554" s="319"/>
      <c r="AF554" s="319"/>
      <c r="AG554" s="319"/>
      <c r="AH554" s="319"/>
      <c r="AI554" s="319"/>
      <c r="AJ554" s="319"/>
      <c r="AK554" s="319"/>
      <c r="AL554" s="319"/>
      <c r="AM554" s="319"/>
      <c r="AN554" s="319"/>
      <c r="AO554" s="319">
        <v>2010106</v>
      </c>
      <c r="AP554" s="319"/>
      <c r="AQ554" s="319"/>
      <c r="AR554" s="319"/>
      <c r="AS554" s="319"/>
      <c r="AT554" s="319"/>
      <c r="AU554" s="319"/>
      <c r="AV554" s="319"/>
      <c r="AW554" s="319"/>
      <c r="AX554" s="319"/>
      <c r="AY554" s="319"/>
      <c r="AZ554" s="319"/>
      <c r="BA554" s="319"/>
      <c r="BB554" s="319"/>
      <c r="BC554" s="319"/>
      <c r="BD554" s="319"/>
      <c r="BE554" s="319"/>
      <c r="BF554" s="319"/>
      <c r="BG554" s="319"/>
      <c r="BH554" s="319"/>
      <c r="BI554" s="319"/>
      <c r="BJ554" s="319"/>
      <c r="BK554" s="319"/>
      <c r="BL554" s="319"/>
      <c r="BM554" s="319"/>
      <c r="BN554" s="319"/>
      <c r="BO554" s="319"/>
      <c r="BP554" s="319"/>
      <c r="BQ554" s="319"/>
      <c r="BR554" s="319"/>
      <c r="BS554" s="319"/>
      <c r="BT554" s="319"/>
      <c r="BU554" s="319"/>
      <c r="BV554" s="319"/>
      <c r="BW554" s="319"/>
      <c r="BX554" s="319"/>
      <c r="BY554" s="319"/>
      <c r="BZ554" s="319"/>
      <c r="CA554" s="319"/>
      <c r="CB554" s="319"/>
      <c r="CC554" s="319"/>
      <c r="CD554" s="319"/>
      <c r="CE554" s="319"/>
      <c r="CF554" s="319"/>
    </row>
    <row r="555" spans="1:84" ht="12.75" hidden="1" customHeight="1">
      <c r="A555" s="12"/>
      <c r="B555" s="1" t="str">
        <f>I42</f>
        <v>Preço do combustível</v>
      </c>
      <c r="C555" s="29" t="str">
        <f>VLOOKUP(C554,$B$1176:$F$1289,3,FALSE)</f>
        <v>€/m³</v>
      </c>
      <c r="D555" s="399"/>
      <c r="E555" s="1"/>
      <c r="F555" s="1"/>
      <c r="G555" s="1"/>
      <c r="H555" s="1"/>
      <c r="I555" s="1"/>
      <c r="J555" s="1"/>
      <c r="K555" s="9"/>
      <c r="L555" s="1"/>
      <c r="M555" s="319"/>
      <c r="N555" s="319"/>
      <c r="O555" s="319"/>
      <c r="P555" s="319"/>
      <c r="Q555" s="319"/>
      <c r="R555" s="319"/>
      <c r="S555" s="319"/>
      <c r="T555" s="319"/>
      <c r="U555" s="319"/>
      <c r="V555" s="319">
        <f>1000/S554/VLOOKUP(C554,$B$1176:$F$1289,5,FALSE)*D555*3.6</f>
        <v>0</v>
      </c>
      <c r="W555" s="319" t="s">
        <v>5915</v>
      </c>
      <c r="X555" s="319"/>
      <c r="Y555" s="319"/>
      <c r="Z555" s="319"/>
      <c r="AA555" s="319"/>
      <c r="AB555" s="319"/>
      <c r="AC555" s="319"/>
      <c r="AD555" s="319"/>
      <c r="AE555" s="319"/>
      <c r="AF555" s="319"/>
      <c r="AG555" s="319"/>
      <c r="AH555" s="319"/>
      <c r="AI555" s="319"/>
      <c r="AJ555" s="319"/>
      <c r="AK555" s="319"/>
      <c r="AL555" s="319"/>
      <c r="AM555" s="319"/>
      <c r="AN555" s="319"/>
      <c r="AO555" s="319">
        <v>2010108</v>
      </c>
      <c r="AP555" s="319"/>
      <c r="AQ555" s="319"/>
      <c r="AR555" s="319"/>
      <c r="AS555" s="319"/>
      <c r="AT555" s="319"/>
      <c r="AU555" s="319"/>
      <c r="AV555" s="319"/>
      <c r="AW555" s="319"/>
      <c r="AX555" s="319"/>
      <c r="AY555" s="319"/>
      <c r="AZ555" s="319"/>
      <c r="BA555" s="319"/>
      <c r="BB555" s="319"/>
      <c r="BC555" s="319"/>
      <c r="BD555" s="319"/>
      <c r="BE555" s="319"/>
      <c r="BF555" s="319"/>
      <c r="BG555" s="319"/>
      <c r="BH555" s="319"/>
      <c r="BI555" s="319"/>
      <c r="BJ555" s="319"/>
      <c r="BK555" s="319"/>
      <c r="BL555" s="319"/>
      <c r="BM555" s="319"/>
      <c r="BN555" s="319"/>
      <c r="BO555" s="319"/>
      <c r="BP555" s="319"/>
      <c r="BQ555" s="319"/>
      <c r="BR555" s="319"/>
      <c r="BS555" s="319"/>
      <c r="BT555" s="319"/>
      <c r="BU555" s="319"/>
      <c r="BV555" s="319"/>
      <c r="BW555" s="319"/>
      <c r="BX555" s="319"/>
      <c r="BY555" s="319"/>
      <c r="BZ555" s="319"/>
      <c r="CA555" s="319"/>
      <c r="CB555" s="319"/>
      <c r="CC555" s="319"/>
      <c r="CD555" s="319"/>
      <c r="CE555" s="319"/>
      <c r="CF555" s="319"/>
    </row>
    <row r="556" spans="1:84" ht="12.75" hidden="1" customHeight="1">
      <c r="A556" s="12"/>
      <c r="B556" s="1"/>
      <c r="C556" s="1"/>
      <c r="D556" s="1"/>
      <c r="E556" s="1"/>
      <c r="F556" s="1"/>
      <c r="G556" s="1"/>
      <c r="H556" s="1"/>
      <c r="I556" s="1"/>
      <c r="J556" s="1"/>
      <c r="K556" s="9"/>
      <c r="L556" s="1"/>
      <c r="M556" s="319"/>
      <c r="N556" s="319"/>
      <c r="O556" s="319"/>
      <c r="P556" s="319"/>
      <c r="Q556" s="319"/>
      <c r="R556" s="319"/>
      <c r="S556" s="319"/>
      <c r="T556" s="319"/>
      <c r="U556" s="319"/>
      <c r="V556" s="319"/>
      <c r="W556" s="319"/>
      <c r="X556" s="319"/>
      <c r="Y556" s="319"/>
      <c r="Z556" s="319"/>
      <c r="AA556" s="319"/>
      <c r="AB556" s="319"/>
      <c r="AC556" s="319"/>
      <c r="AD556" s="319"/>
      <c r="AE556" s="319"/>
      <c r="AF556" s="319"/>
      <c r="AG556" s="319"/>
      <c r="AH556" s="319"/>
      <c r="AI556" s="319"/>
      <c r="AJ556" s="319"/>
      <c r="AK556" s="319"/>
      <c r="AL556" s="319"/>
      <c r="AM556" s="319"/>
      <c r="AN556" s="319"/>
      <c r="AO556" s="319">
        <v>2030100</v>
      </c>
      <c r="AP556" s="319"/>
      <c r="AQ556" s="319"/>
      <c r="AR556" s="319"/>
      <c r="AS556" s="319"/>
      <c r="AT556" s="319"/>
      <c r="AU556" s="319"/>
      <c r="AV556" s="319"/>
      <c r="AW556" s="319"/>
      <c r="AX556" s="319"/>
      <c r="AY556" s="319"/>
      <c r="AZ556" s="319"/>
      <c r="BA556" s="319"/>
      <c r="BB556" s="319"/>
      <c r="BC556" s="319"/>
      <c r="BD556" s="319"/>
      <c r="BE556" s="319"/>
      <c r="BF556" s="319"/>
      <c r="BG556" s="319"/>
      <c r="BH556" s="319"/>
      <c r="BI556" s="319"/>
      <c r="BJ556" s="319"/>
      <c r="BK556" s="319"/>
      <c r="BL556" s="319"/>
      <c r="BM556" s="319"/>
      <c r="BN556" s="319"/>
      <c r="BO556" s="319"/>
      <c r="BP556" s="319"/>
      <c r="BQ556" s="319"/>
      <c r="BR556" s="319"/>
      <c r="BS556" s="319"/>
      <c r="BT556" s="319"/>
      <c r="BU556" s="319"/>
      <c r="BV556" s="319"/>
      <c r="BW556" s="319"/>
      <c r="BX556" s="319"/>
      <c r="BY556" s="319"/>
      <c r="BZ556" s="319"/>
      <c r="CA556" s="319"/>
      <c r="CB556" s="319"/>
      <c r="CC556" s="319"/>
      <c r="CD556" s="319"/>
      <c r="CE556" s="319"/>
      <c r="CF556" s="319"/>
    </row>
    <row r="557" spans="1:84" ht="12.75" hidden="1" customHeight="1">
      <c r="A557" s="12"/>
      <c r="B557" s="1"/>
      <c r="C557" s="1"/>
      <c r="D557" s="1"/>
      <c r="E557" s="1"/>
      <c r="F557" s="1"/>
      <c r="G557" s="1"/>
      <c r="H557" s="1"/>
      <c r="I557" s="1"/>
      <c r="J557" s="1"/>
      <c r="K557" s="9"/>
      <c r="L557" s="1"/>
      <c r="M557" s="319"/>
      <c r="N557" s="319"/>
      <c r="O557" s="319"/>
      <c r="P557" s="319"/>
      <c r="Q557" s="319"/>
      <c r="R557" s="319"/>
      <c r="S557" s="319"/>
      <c r="T557" s="319"/>
      <c r="U557" s="319"/>
      <c r="V557" s="319"/>
      <c r="W557" s="319"/>
      <c r="X557" s="319"/>
      <c r="Y557" s="319"/>
      <c r="Z557" s="319"/>
      <c r="AA557" s="319"/>
      <c r="AB557" s="319"/>
      <c r="AC557" s="319"/>
      <c r="AD557" s="319"/>
      <c r="AE557" s="319"/>
      <c r="AF557" s="319"/>
      <c r="AG557" s="319"/>
      <c r="AH557" s="319"/>
      <c r="AI557" s="319"/>
      <c r="AJ557" s="319"/>
      <c r="AK557" s="319"/>
      <c r="AL557" s="319"/>
      <c r="AM557" s="319"/>
      <c r="AN557" s="319"/>
      <c r="AO557" s="319">
        <v>2030200</v>
      </c>
      <c r="AP557" s="319"/>
      <c r="AQ557" s="319"/>
      <c r="AR557" s="319"/>
      <c r="AS557" s="319"/>
      <c r="AT557" s="319"/>
      <c r="AU557" s="319"/>
      <c r="AV557" s="319"/>
      <c r="AW557" s="319"/>
      <c r="AX557" s="319"/>
      <c r="AY557" s="319"/>
      <c r="AZ557" s="319"/>
      <c r="BA557" s="319"/>
      <c r="BB557" s="319"/>
      <c r="BC557" s="319"/>
      <c r="BD557" s="319"/>
      <c r="BE557" s="319"/>
      <c r="BF557" s="319"/>
      <c r="BG557" s="319"/>
      <c r="BH557" s="319"/>
      <c r="BI557" s="319"/>
      <c r="BJ557" s="319"/>
      <c r="BK557" s="319"/>
      <c r="BL557" s="319"/>
      <c r="BM557" s="319"/>
      <c r="BN557" s="319"/>
      <c r="BO557" s="319"/>
      <c r="BP557" s="319"/>
      <c r="BQ557" s="319"/>
      <c r="BR557" s="319"/>
      <c r="BS557" s="319"/>
      <c r="BT557" s="319"/>
      <c r="BU557" s="319"/>
      <c r="BV557" s="319"/>
      <c r="BW557" s="319"/>
      <c r="BX557" s="319"/>
      <c r="BY557" s="319"/>
      <c r="BZ557" s="319"/>
      <c r="CA557" s="319"/>
      <c r="CB557" s="319"/>
      <c r="CC557" s="319"/>
      <c r="CD557" s="319"/>
      <c r="CE557" s="319"/>
      <c r="CF557" s="319"/>
    </row>
    <row r="558" spans="1:84" ht="38.25" hidden="1" customHeight="1">
      <c r="A558" s="12"/>
      <c r="B558" s="1"/>
      <c r="C558" s="1208" t="str">
        <f>B8</f>
        <v>Tipo de Combustível</v>
      </c>
      <c r="D558" s="1253"/>
      <c r="E558" s="82" t="str">
        <f t="shared" ref="E558:J558" si="60">E42</f>
        <v>Mix do combustível</v>
      </c>
      <c r="F558" s="82" t="str">
        <f t="shared" si="60"/>
        <v>Consumo de combustível - unitário</v>
      </c>
      <c r="G558" s="142" t="str">
        <f t="shared" si="60"/>
        <v>Consumo de combustível</v>
      </c>
      <c r="H558" s="82" t="str">
        <f>H42</f>
        <v>Preço combustível - unidade</v>
      </c>
      <c r="I558" s="82" t="str">
        <f t="shared" si="60"/>
        <v>Preço do combustível</v>
      </c>
      <c r="J558" s="82" t="str">
        <f t="shared" si="60"/>
        <v>Custo do combustível</v>
      </c>
      <c r="K558" s="9"/>
      <c r="L558" s="1"/>
      <c r="M558" s="319"/>
      <c r="N558" s="319"/>
      <c r="O558" s="319" t="s">
        <v>5205</v>
      </c>
      <c r="P558" s="319" t="s">
        <v>611</v>
      </c>
      <c r="Q558" s="319" t="s">
        <v>5865</v>
      </c>
      <c r="R558" s="319"/>
      <c r="S558" s="319"/>
      <c r="T558" s="319"/>
      <c r="U558" s="319"/>
      <c r="V558" s="319"/>
      <c r="W558" s="319"/>
      <c r="X558" s="319"/>
      <c r="Y558" s="319"/>
      <c r="Z558" s="319"/>
      <c r="AA558" s="319"/>
      <c r="AB558" s="319"/>
      <c r="AC558" s="319"/>
      <c r="AD558" s="319"/>
      <c r="AE558" s="319"/>
      <c r="AF558" s="319"/>
      <c r="AG558" s="319"/>
      <c r="AH558" s="319"/>
      <c r="AI558" s="319"/>
      <c r="AJ558" s="319"/>
      <c r="AK558" s="319"/>
      <c r="AL558" s="319"/>
      <c r="AM558" s="319"/>
      <c r="AN558" s="319"/>
      <c r="AO558" s="319">
        <v>2030200</v>
      </c>
      <c r="AP558" s="319"/>
      <c r="AQ558" s="319"/>
      <c r="AR558" s="319"/>
      <c r="AS558" s="319"/>
      <c r="AT558" s="319"/>
      <c r="AU558" s="319"/>
      <c r="AV558" s="319"/>
      <c r="AW558" s="319"/>
      <c r="AX558" s="319"/>
      <c r="AY558" s="319"/>
      <c r="AZ558" s="319"/>
      <c r="BA558" s="319"/>
      <c r="BB558" s="319"/>
      <c r="BC558" s="319"/>
      <c r="BD558" s="319"/>
      <c r="BE558" s="319"/>
      <c r="BF558" s="319"/>
      <c r="BG558" s="319"/>
      <c r="BH558" s="319"/>
      <c r="BI558" s="319"/>
      <c r="BJ558" s="319"/>
      <c r="BK558" s="319"/>
      <c r="BL558" s="319"/>
      <c r="BM558" s="319"/>
      <c r="BN558" s="319"/>
      <c r="BO558" s="319"/>
      <c r="BP558" s="319"/>
      <c r="BQ558" s="319"/>
      <c r="BR558" s="319"/>
      <c r="BS558" s="319"/>
      <c r="BT558" s="319"/>
      <c r="BU558" s="319"/>
      <c r="BV558" s="319"/>
      <c r="BW558" s="319"/>
      <c r="BX558" s="319"/>
      <c r="BY558" s="319"/>
      <c r="BZ558" s="319"/>
      <c r="CA558" s="319"/>
      <c r="CB558" s="319"/>
      <c r="CC558" s="319"/>
      <c r="CD558" s="319"/>
      <c r="CE558" s="319"/>
      <c r="CF558" s="319"/>
    </row>
    <row r="559" spans="1:84" ht="12.75" hidden="1" customHeight="1">
      <c r="A559" s="12"/>
      <c r="B559" s="83" t="str">
        <f>B43</f>
        <v>Combustível #1</v>
      </c>
      <c r="C559" s="1226" t="s">
        <v>7152</v>
      </c>
      <c r="D559" s="1226"/>
      <c r="E559" s="443" t="str">
        <f>IF(Q559=0,"",Q559/Q562)</f>
        <v/>
      </c>
      <c r="F559" s="85" t="str">
        <f>IF(O559="","",VLOOKUP($C559,$B$1176:$F$1289,2,FALSE))</f>
        <v>t</v>
      </c>
      <c r="G559" s="88" t="str">
        <f>IF(OR(C559="",E559=""),"",Q559*1000/O559/VLOOKUP($C559,$B$1176:$F$1289,5,FALSE))</f>
        <v/>
      </c>
      <c r="H559" s="85" t="str">
        <f>IF(F559="","",VLOOKUP($C559,$B$1176:$F$1289,3,FALSE))</f>
        <v>€/t</v>
      </c>
      <c r="I559" s="399"/>
      <c r="J559" s="1374" t="str">
        <f>IF(OR(O559="",G559=""),"",G559*I559)</f>
        <v/>
      </c>
      <c r="K559" s="1256" t="str">
        <f>Language!C62</f>
        <v>Completar planilha Ferramentas</v>
      </c>
      <c r="L559" s="1"/>
      <c r="M559" s="319"/>
      <c r="N559" s="319"/>
      <c r="O559" s="319">
        <f>IF(C559="","",VLOOKUP($C559,$B$1176:$F$1289,4,FALSE))</f>
        <v>18.444143599999997</v>
      </c>
      <c r="P559" s="319">
        <f>O559*$AA$1092</f>
        <v>7929.5544282029241</v>
      </c>
      <c r="Q559" s="319">
        <f>IF(SUM($S$565:$S$576)=0,SUM(S565:S578),SUMIF($C$565:$C$576,B559,$S$565:$S$576)*$U$551*SUM($S$565:$S$578)/SUM($S$565:$S$576))</f>
        <v>0</v>
      </c>
      <c r="R559" s="319">
        <f>SUMIF($B$1102:$B$1105,C559,$A$1102:$A$1105)</f>
        <v>0</v>
      </c>
      <c r="S559" s="319"/>
      <c r="T559" s="319"/>
      <c r="U559" s="319"/>
      <c r="V559" s="319"/>
      <c r="W559" s="319"/>
      <c r="X559" s="319"/>
      <c r="Y559" s="319"/>
      <c r="Z559" s="319"/>
      <c r="AA559" s="319"/>
      <c r="AB559" s="319"/>
      <c r="AC559" s="319"/>
      <c r="AD559" s="319"/>
      <c r="AE559" s="319"/>
      <c r="AF559" s="319"/>
      <c r="AG559" s="319"/>
      <c r="AH559" s="319"/>
      <c r="AI559" s="319"/>
      <c r="AJ559" s="319"/>
      <c r="AK559" s="319"/>
      <c r="AL559" s="319"/>
      <c r="AM559" s="319"/>
      <c r="AN559" s="319"/>
      <c r="AO559" s="319">
        <v>2030200</v>
      </c>
      <c r="AP559" s="319"/>
      <c r="AQ559" s="319"/>
      <c r="AR559" s="319"/>
      <c r="AS559" s="319"/>
      <c r="AT559" s="319"/>
      <c r="AU559" s="319"/>
      <c r="AV559" s="319"/>
      <c r="AW559" s="319"/>
      <c r="AX559" s="319"/>
      <c r="AY559" s="319"/>
      <c r="AZ559" s="319"/>
      <c r="BA559" s="319"/>
      <c r="BB559" s="319"/>
      <c r="BC559" s="319"/>
      <c r="BD559" s="319"/>
      <c r="BE559" s="319"/>
      <c r="BF559" s="319"/>
      <c r="BG559" s="319"/>
      <c r="BH559" s="319"/>
      <c r="BI559" s="319"/>
      <c r="BJ559" s="319"/>
      <c r="BK559" s="319"/>
      <c r="BL559" s="319"/>
      <c r="BM559" s="319"/>
      <c r="BN559" s="319"/>
      <c r="BO559" s="319"/>
      <c r="BP559" s="319"/>
      <c r="BQ559" s="319"/>
      <c r="BR559" s="319"/>
      <c r="BS559" s="319"/>
      <c r="BT559" s="319"/>
      <c r="BU559" s="319"/>
      <c r="BV559" s="319"/>
      <c r="BW559" s="319"/>
      <c r="BX559" s="319"/>
      <c r="BY559" s="319"/>
      <c r="BZ559" s="319"/>
      <c r="CA559" s="319"/>
      <c r="CB559" s="319"/>
      <c r="CC559" s="319"/>
      <c r="CD559" s="319"/>
      <c r="CE559" s="319"/>
      <c r="CF559" s="319"/>
    </row>
    <row r="560" spans="1:84" ht="12.75" hidden="1" customHeight="1">
      <c r="A560" s="12"/>
      <c r="B560" s="83" t="str">
        <f>B44</f>
        <v>Combustível #2</v>
      </c>
      <c r="C560" s="1226"/>
      <c r="D560" s="1226"/>
      <c r="E560" s="233" t="str">
        <f>IF(Q560=0,"",Q560/Q562)</f>
        <v/>
      </c>
      <c r="F560" s="21" t="str">
        <f>IF(O560="","",VLOOKUP($C560,$B$1176:$F$1289,2,FALSE))</f>
        <v/>
      </c>
      <c r="G560" s="88" t="str">
        <f>IF(OR(C560="",E560=""),"",Q560*1000/O560/VLOOKUP($C560,$B$1176:$F$1289,5,FALSE))</f>
        <v/>
      </c>
      <c r="H560" s="21" t="str">
        <f>IF(F560="","",VLOOKUP($C560,$B$1176:$F$1289,3,FALSE))</f>
        <v/>
      </c>
      <c r="I560" s="399"/>
      <c r="J560" s="1370" t="str">
        <f>IF(OR(O560="",G560=""),"",G560*I560)</f>
        <v/>
      </c>
      <c r="K560" s="1256"/>
      <c r="L560" s="1"/>
      <c r="M560" s="319"/>
      <c r="N560" s="319"/>
      <c r="O560" s="319" t="str">
        <f>IF(C560="","",VLOOKUP($C560,$B$1176:$F$1289,4,FALSE))</f>
        <v/>
      </c>
      <c r="P560" s="319" t="e">
        <f>O560*$AA$1092</f>
        <v>#VALUE!</v>
      </c>
      <c r="Q560" s="319">
        <f>IF(SUM($S$565:$S$576)=0,0,SUMIF($C$565:$C$576,B560,$S$565:$S$576)*$U$551*SUM($S$565:$S$578)/SUM($S$565:$S$576))</f>
        <v>0</v>
      </c>
      <c r="R560" s="319">
        <f>SUMIF($B$1102:$B$1105,C560,$A$1102:$A$1105)</f>
        <v>0</v>
      </c>
      <c r="S560" s="319"/>
      <c r="T560" s="319"/>
      <c r="U560" s="319"/>
      <c r="V560" s="319"/>
      <c r="W560" s="319"/>
      <c r="X560" s="319"/>
      <c r="Y560" s="319"/>
      <c r="Z560" s="319"/>
      <c r="AA560" s="319"/>
      <c r="AB560" s="319"/>
      <c r="AC560" s="319"/>
      <c r="AD560" s="319"/>
      <c r="AE560" s="319"/>
      <c r="AF560" s="319"/>
      <c r="AG560" s="319"/>
      <c r="AH560" s="319"/>
      <c r="AI560" s="319"/>
      <c r="AJ560" s="319"/>
      <c r="AK560" s="319"/>
      <c r="AL560" s="319"/>
      <c r="AM560" s="319"/>
      <c r="AN560" s="319"/>
      <c r="AO560" s="319">
        <v>2030200</v>
      </c>
      <c r="AP560" s="319"/>
      <c r="AQ560" s="319"/>
      <c r="AR560" s="319"/>
      <c r="AS560" s="319"/>
      <c r="AT560" s="319"/>
      <c r="AU560" s="319"/>
      <c r="AV560" s="319"/>
      <c r="AW560" s="319"/>
      <c r="AX560" s="319"/>
      <c r="AY560" s="319"/>
      <c r="AZ560" s="319"/>
      <c r="BA560" s="319"/>
      <c r="BB560" s="319"/>
      <c r="BC560" s="319"/>
      <c r="BD560" s="319"/>
      <c r="BE560" s="319"/>
      <c r="BF560" s="319"/>
      <c r="BG560" s="319"/>
      <c r="BH560" s="319"/>
      <c r="BI560" s="319"/>
      <c r="BJ560" s="319"/>
      <c r="BK560" s="319"/>
      <c r="BL560" s="319"/>
      <c r="BM560" s="319"/>
      <c r="BN560" s="319"/>
      <c r="BO560" s="319"/>
      <c r="BP560" s="319"/>
      <c r="BQ560" s="319"/>
      <c r="BR560" s="319"/>
      <c r="BS560" s="319"/>
      <c r="BT560" s="319"/>
      <c r="BU560" s="319"/>
      <c r="BV560" s="319"/>
      <c r="BW560" s="319"/>
      <c r="BX560" s="319"/>
      <c r="BY560" s="319"/>
      <c r="BZ560" s="319"/>
      <c r="CA560" s="319"/>
      <c r="CB560" s="319"/>
      <c r="CC560" s="319"/>
      <c r="CD560" s="319"/>
      <c r="CE560" s="319"/>
      <c r="CF560" s="319"/>
    </row>
    <row r="561" spans="1:84" ht="12.75" hidden="1" customHeight="1">
      <c r="A561" s="12"/>
      <c r="B561" s="83" t="str">
        <f>B45</f>
        <v>Combustível #3</v>
      </c>
      <c r="C561" s="1226"/>
      <c r="D561" s="1226"/>
      <c r="E561" s="403" t="str">
        <f>IF(Q561=0,"",Q561/Q562)</f>
        <v/>
      </c>
      <c r="F561" s="33" t="str">
        <f>IF(O561="","",VLOOKUP($C561,$B$1176:$F$1289,2,FALSE))</f>
        <v/>
      </c>
      <c r="G561" s="34" t="str">
        <f>IF(OR(C561="",E561=""),"",Q561*1000/O561/VLOOKUP($C561,$B$1176:$F$1289,5,FALSE))</f>
        <v/>
      </c>
      <c r="H561" s="33" t="str">
        <f>IF(F561="","",VLOOKUP($C561,$B$1176:$F$1289,3,FALSE))</f>
        <v/>
      </c>
      <c r="I561" s="399"/>
      <c r="J561" s="1383" t="str">
        <f>IF(OR(O561="",G561=""),"",G561*I561)</f>
        <v/>
      </c>
      <c r="K561" s="1256"/>
      <c r="L561" s="1"/>
      <c r="M561" s="319"/>
      <c r="N561" s="319"/>
      <c r="O561" s="319" t="str">
        <f>IF(C561="","",VLOOKUP($C561,$B$1176:$F$1289,4,FALSE))</f>
        <v/>
      </c>
      <c r="P561" s="319" t="e">
        <f>O561*$AA$1092</f>
        <v>#VALUE!</v>
      </c>
      <c r="Q561" s="319">
        <f>IF(SUM($S$565:$S$576)=0,0,SUMIF($C$565:$C$576,B561,$S$565:$S$576)*$U$551*SUM($S$565:$S$578)/SUM($S$565:$S$576))</f>
        <v>0</v>
      </c>
      <c r="R561" s="319">
        <f>SUMIF($B$1102:$B$1105,C561,$A$1102:$A$1105)</f>
        <v>0</v>
      </c>
      <c r="S561" s="319"/>
      <c r="T561" s="319"/>
      <c r="U561" s="319"/>
      <c r="V561" s="319"/>
      <c r="W561" s="319"/>
      <c r="X561" s="319"/>
      <c r="Y561" s="319"/>
      <c r="Z561" s="319"/>
      <c r="AA561" s="319"/>
      <c r="AB561" s="319"/>
      <c r="AC561" s="319"/>
      <c r="AD561" s="319"/>
      <c r="AE561" s="319"/>
      <c r="AF561" s="319"/>
      <c r="AG561" s="319"/>
      <c r="AH561" s="319"/>
      <c r="AI561" s="319"/>
      <c r="AJ561" s="319"/>
      <c r="AK561" s="319"/>
      <c r="AL561" s="319"/>
      <c r="AM561" s="319"/>
      <c r="AN561" s="319"/>
      <c r="AO561" s="319">
        <v>2030200</v>
      </c>
      <c r="AP561" s="319"/>
      <c r="AQ561" s="319"/>
      <c r="AR561" s="319"/>
      <c r="AS561" s="319"/>
      <c r="AT561" s="319"/>
      <c r="AU561" s="319"/>
      <c r="AV561" s="319"/>
      <c r="AW561" s="319"/>
      <c r="AX561" s="319"/>
      <c r="AY561" s="319"/>
      <c r="AZ561" s="319"/>
      <c r="BA561" s="319"/>
      <c r="BB561" s="319"/>
      <c r="BC561" s="319"/>
      <c r="BD561" s="319"/>
      <c r="BE561" s="319"/>
      <c r="BF561" s="319"/>
      <c r="BG561" s="319"/>
      <c r="BH561" s="319"/>
      <c r="BI561" s="319"/>
      <c r="BJ561" s="319"/>
      <c r="BK561" s="319"/>
      <c r="BL561" s="319"/>
      <c r="BM561" s="319"/>
      <c r="BN561" s="319"/>
      <c r="BO561" s="319"/>
      <c r="BP561" s="319"/>
      <c r="BQ561" s="319"/>
      <c r="BR561" s="319"/>
      <c r="BS561" s="319"/>
      <c r="BT561" s="319"/>
      <c r="BU561" s="319"/>
      <c r="BV561" s="319"/>
      <c r="BW561" s="319"/>
      <c r="BX561" s="319"/>
      <c r="BY561" s="319"/>
      <c r="BZ561" s="319"/>
      <c r="CA561" s="319"/>
      <c r="CB561" s="319"/>
      <c r="CC561" s="319"/>
      <c r="CD561" s="319"/>
      <c r="CE561" s="319"/>
      <c r="CF561" s="319"/>
    </row>
    <row r="562" spans="1:84" ht="12.75" hidden="1" customHeight="1">
      <c r="A562" s="12"/>
      <c r="B562" s="1"/>
      <c r="C562" s="1"/>
      <c r="D562" s="1"/>
      <c r="E562" s="96">
        <f>SUM(E559:E561)</f>
        <v>0</v>
      </c>
      <c r="F562" s="1"/>
      <c r="G562" s="1"/>
      <c r="H562" s="29" t="str">
        <f>H46</f>
        <v>€/MWh</v>
      </c>
      <c r="I562" s="124">
        <f>IF(Q562=0,0,J562/Q562)*3.6</f>
        <v>0</v>
      </c>
      <c r="J562" s="1358">
        <f>SUM(J559:J561)</f>
        <v>0</v>
      </c>
      <c r="K562" s="9"/>
      <c r="L562" s="1"/>
      <c r="M562" s="319"/>
      <c r="N562" s="319"/>
      <c r="O562" s="319"/>
      <c r="P562" s="319"/>
      <c r="Q562" s="319">
        <f>SUM(Q559:Q561)</f>
        <v>0</v>
      </c>
      <c r="R562" s="319">
        <f>SUM(R559:R561)</f>
        <v>0</v>
      </c>
      <c r="S562" s="319"/>
      <c r="T562" s="319"/>
      <c r="U562" s="319"/>
      <c r="V562" s="319"/>
      <c r="W562" s="319"/>
      <c r="X562" s="319"/>
      <c r="Y562" s="319"/>
      <c r="Z562" s="319"/>
      <c r="AA562" s="319"/>
      <c r="AB562" s="319"/>
      <c r="AC562" s="319"/>
      <c r="AD562" s="319"/>
      <c r="AE562" s="319"/>
      <c r="AF562" s="319"/>
      <c r="AG562" s="319"/>
      <c r="AH562" s="319"/>
      <c r="AI562" s="319"/>
      <c r="AJ562" s="319"/>
      <c r="AK562" s="319"/>
      <c r="AL562" s="319"/>
      <c r="AM562" s="319"/>
      <c r="AN562" s="319"/>
      <c r="AO562" s="319">
        <v>2030200</v>
      </c>
      <c r="AP562" s="319"/>
      <c r="AQ562" s="319"/>
      <c r="AR562" s="319"/>
      <c r="AS562" s="319"/>
      <c r="AT562" s="319"/>
      <c r="AU562" s="319"/>
      <c r="AV562" s="319"/>
      <c r="AW562" s="319"/>
      <c r="AX562" s="319"/>
      <c r="AY562" s="319"/>
      <c r="AZ562" s="319"/>
      <c r="BA562" s="319"/>
      <c r="BB562" s="319"/>
      <c r="BC562" s="319"/>
      <c r="BD562" s="319"/>
      <c r="BE562" s="319"/>
      <c r="BF562" s="319"/>
      <c r="BG562" s="319"/>
      <c r="BH562" s="319"/>
      <c r="BI562" s="319"/>
      <c r="BJ562" s="319"/>
      <c r="BK562" s="319"/>
      <c r="BL562" s="319"/>
      <c r="BM562" s="319"/>
      <c r="BN562" s="319"/>
      <c r="BO562" s="319"/>
      <c r="BP562" s="319"/>
      <c r="BQ562" s="319"/>
      <c r="BR562" s="319"/>
      <c r="BS562" s="319"/>
      <c r="BT562" s="319"/>
      <c r="BU562" s="319"/>
      <c r="BV562" s="319"/>
      <c r="BW562" s="319"/>
      <c r="BX562" s="319"/>
      <c r="BY562" s="319"/>
      <c r="BZ562" s="319"/>
      <c r="CA562" s="319"/>
      <c r="CB562" s="319"/>
      <c r="CC562" s="319"/>
      <c r="CD562" s="319"/>
      <c r="CE562" s="319"/>
      <c r="CF562" s="319"/>
    </row>
    <row r="563" spans="1:84" ht="12.75" hidden="1" customHeight="1">
      <c r="A563" s="12"/>
      <c r="B563" s="1"/>
      <c r="C563" s="1"/>
      <c r="D563" s="1"/>
      <c r="E563" s="1"/>
      <c r="F563" s="1"/>
      <c r="G563" s="1"/>
      <c r="H563" s="1"/>
      <c r="I563" s="1"/>
      <c r="J563" s="1"/>
      <c r="K563" s="9"/>
      <c r="L563" s="1"/>
      <c r="M563" s="319"/>
      <c r="N563" s="319"/>
      <c r="O563" s="319"/>
      <c r="P563" s="319"/>
      <c r="Q563" s="319"/>
      <c r="R563" s="319"/>
      <c r="S563" s="319"/>
      <c r="T563" s="319"/>
      <c r="U563" s="319"/>
      <c r="V563" s="319"/>
      <c r="W563" s="319"/>
      <c r="X563" s="319"/>
      <c r="Y563" s="319"/>
      <c r="Z563" s="319"/>
      <c r="AA563" s="319"/>
      <c r="AB563" s="319"/>
      <c r="AC563" s="319"/>
      <c r="AD563" s="319"/>
      <c r="AE563" s="319"/>
      <c r="AF563" s="319"/>
      <c r="AG563" s="319"/>
      <c r="AH563" s="319"/>
      <c r="AI563" s="319"/>
      <c r="AJ563" s="319"/>
      <c r="AK563" s="319"/>
      <c r="AL563" s="319"/>
      <c r="AM563" s="319"/>
      <c r="AN563" s="319"/>
      <c r="AO563" s="319">
        <v>2030200</v>
      </c>
      <c r="AP563" s="319"/>
      <c r="AQ563" s="319"/>
      <c r="AR563" s="319"/>
      <c r="AS563" s="319"/>
      <c r="AT563" s="319"/>
      <c r="AU563" s="319"/>
      <c r="AV563" s="319"/>
      <c r="AW563" s="319"/>
      <c r="AX563" s="319"/>
      <c r="AY563" s="319"/>
      <c r="AZ563" s="319"/>
      <c r="BA563" s="319"/>
      <c r="BB563" s="319"/>
      <c r="BC563" s="319"/>
      <c r="BD563" s="319"/>
      <c r="BE563" s="319"/>
      <c r="BF563" s="319"/>
      <c r="BG563" s="319"/>
      <c r="BH563" s="319"/>
      <c r="BI563" s="319"/>
      <c r="BJ563" s="319"/>
      <c r="BK563" s="319"/>
      <c r="BL563" s="319"/>
      <c r="BM563" s="319"/>
      <c r="BN563" s="319"/>
      <c r="BO563" s="319"/>
      <c r="BP563" s="319"/>
      <c r="BQ563" s="319"/>
      <c r="BR563" s="319"/>
      <c r="BS563" s="319"/>
      <c r="BT563" s="319"/>
      <c r="BU563" s="319"/>
      <c r="BV563" s="319"/>
      <c r="BW563" s="319"/>
      <c r="BX563" s="319"/>
      <c r="BY563" s="319"/>
      <c r="BZ563" s="319"/>
      <c r="CA563" s="319"/>
      <c r="CB563" s="319"/>
      <c r="CC563" s="319"/>
      <c r="CD563" s="319"/>
      <c r="CE563" s="319"/>
      <c r="CF563" s="319"/>
    </row>
    <row r="564" spans="1:84" ht="38.25" hidden="1" customHeight="1">
      <c r="A564" s="12"/>
      <c r="B564" s="1"/>
      <c r="C564" s="82" t="str">
        <f>B8</f>
        <v>Tipo de Combustível</v>
      </c>
      <c r="D564" s="82" t="str">
        <f>D48</f>
        <v>Consumo
de combustível
MWh</v>
      </c>
      <c r="E564" s="1"/>
      <c r="F564" s="1"/>
      <c r="G564" s="1"/>
      <c r="H564" s="1"/>
      <c r="I564" s="1"/>
      <c r="J564" s="1"/>
      <c r="K564" s="9"/>
      <c r="L564" s="1"/>
      <c r="M564" s="319"/>
      <c r="N564" s="319"/>
      <c r="O564" s="319" t="s">
        <v>1382</v>
      </c>
      <c r="P564" s="319"/>
      <c r="Q564" s="319" t="s">
        <v>4374</v>
      </c>
      <c r="R564" s="319"/>
      <c r="S564" s="319" t="str">
        <f>Language!C415</f>
        <v>Consumo
de combustível
MWh</v>
      </c>
      <c r="T564" s="319"/>
      <c r="U564" s="319"/>
      <c r="V564" s="319"/>
      <c r="W564" s="319"/>
      <c r="X564" s="319"/>
      <c r="Y564" s="319"/>
      <c r="Z564" s="319"/>
      <c r="AA564" s="319"/>
      <c r="AB564" s="319"/>
      <c r="AC564" s="319"/>
      <c r="AD564" s="319"/>
      <c r="AE564" s="319"/>
      <c r="AF564" s="319"/>
      <c r="AG564" s="319"/>
      <c r="AH564" s="319"/>
      <c r="AI564" s="319"/>
      <c r="AJ564" s="319"/>
      <c r="AK564" s="319"/>
      <c r="AL564" s="319"/>
      <c r="AM564" s="319"/>
      <c r="AN564" s="319"/>
      <c r="AO564" s="319">
        <v>2030200</v>
      </c>
      <c r="AP564" s="319"/>
      <c r="AQ564" s="319"/>
      <c r="AR564" s="319"/>
      <c r="AS564" s="319"/>
      <c r="AT564" s="319"/>
      <c r="AU564" s="319"/>
      <c r="AV564" s="319"/>
      <c r="AW564" s="319"/>
      <c r="AX564" s="319"/>
      <c r="AY564" s="319"/>
      <c r="AZ564" s="319"/>
      <c r="BA564" s="319"/>
      <c r="BB564" s="319"/>
      <c r="BC564" s="319"/>
      <c r="BD564" s="319"/>
      <c r="BE564" s="319"/>
      <c r="BF564" s="319"/>
      <c r="BG564" s="319"/>
      <c r="BH564" s="319"/>
      <c r="BI564" s="319"/>
      <c r="BJ564" s="319"/>
      <c r="BK564" s="319"/>
      <c r="BL564" s="319"/>
      <c r="BM564" s="319"/>
      <c r="BN564" s="319"/>
      <c r="BO564" s="319"/>
      <c r="BP564" s="319"/>
      <c r="BQ564" s="319"/>
      <c r="BR564" s="319"/>
      <c r="BS564" s="319"/>
      <c r="BT564" s="319"/>
      <c r="BU564" s="319"/>
      <c r="BV564" s="319"/>
      <c r="BW564" s="319"/>
      <c r="BX564" s="319"/>
      <c r="BY564" s="319"/>
      <c r="BZ564" s="319"/>
      <c r="CA564" s="319"/>
      <c r="CB564" s="319"/>
      <c r="CC564" s="319"/>
      <c r="CD564" s="319"/>
      <c r="CE564" s="319"/>
      <c r="CF564" s="319"/>
    </row>
    <row r="565" spans="1:84" ht="12.75" hidden="1" customHeight="1">
      <c r="A565" s="12"/>
      <c r="B565" s="83" t="str">
        <f>B49</f>
        <v>Janeiro</v>
      </c>
      <c r="C565" s="303" t="s">
        <v>6157</v>
      </c>
      <c r="D565" s="90">
        <f t="shared" ref="D565:D576" si="61">S565/3.6</f>
        <v>0</v>
      </c>
      <c r="E565" s="1"/>
      <c r="F565" s="1"/>
      <c r="G565" s="1"/>
      <c r="H565" s="1"/>
      <c r="I565" s="1"/>
      <c r="J565" s="1"/>
      <c r="K565" s="9"/>
      <c r="L565" s="1"/>
      <c r="M565" s="319"/>
      <c r="N565" s="319"/>
      <c r="O565" s="319">
        <v>8</v>
      </c>
      <c r="P565" s="319"/>
      <c r="Q565" s="319">
        <f t="shared" ref="Q565:Q576" si="62">IF(OR(HideCode_projectType3=1,HideCode_projectType3=6)=TRUE,IF($N$1110=0,0,K1139/$N$1110*3.6),IF($C$30=$G$1073,0,IF($G$1120=2,$D$1127,HLOOKUP($N$863,$T$1132:$BZ$1151,O565,FALSE))))</f>
        <v>0</v>
      </c>
      <c r="R565" s="319"/>
      <c r="S565" s="319">
        <f t="shared" ref="S565:S576" si="63">Q565*C1139/1000</f>
        <v>0</v>
      </c>
      <c r="T565" s="319"/>
      <c r="U565" s="319"/>
      <c r="V565" s="319"/>
      <c r="W565" s="319"/>
      <c r="X565" s="319"/>
      <c r="Y565" s="319"/>
      <c r="Z565" s="319"/>
      <c r="AA565" s="319"/>
      <c r="AB565" s="319"/>
      <c r="AC565" s="319"/>
      <c r="AD565" s="319"/>
      <c r="AE565" s="319"/>
      <c r="AF565" s="319"/>
      <c r="AG565" s="319"/>
      <c r="AH565" s="319"/>
      <c r="AI565" s="319"/>
      <c r="AJ565" s="319"/>
      <c r="AK565" s="319"/>
      <c r="AL565" s="319"/>
      <c r="AM565" s="319"/>
      <c r="AN565" s="319"/>
      <c r="AO565" s="319">
        <v>2030200</v>
      </c>
      <c r="AP565" s="319"/>
      <c r="AQ565" s="319"/>
      <c r="AR565" s="319"/>
      <c r="AS565" s="319"/>
      <c r="AT565" s="319"/>
      <c r="AU565" s="319"/>
      <c r="AV565" s="319"/>
      <c r="AW565" s="319"/>
      <c r="AX565" s="319"/>
      <c r="AY565" s="319"/>
      <c r="AZ565" s="319"/>
      <c r="BA565" s="319"/>
      <c r="BB565" s="319"/>
      <c r="BC565" s="319"/>
      <c r="BD565" s="319"/>
      <c r="BE565" s="319"/>
      <c r="BF565" s="319"/>
      <c r="BG565" s="319"/>
      <c r="BH565" s="319"/>
      <c r="BI565" s="319"/>
      <c r="BJ565" s="319"/>
      <c r="BK565" s="319"/>
      <c r="BL565" s="319"/>
      <c r="BM565" s="319"/>
      <c r="BN565" s="319"/>
      <c r="BO565" s="319"/>
      <c r="BP565" s="319"/>
      <c r="BQ565" s="319"/>
      <c r="BR565" s="319"/>
      <c r="BS565" s="319"/>
      <c r="BT565" s="319"/>
      <c r="BU565" s="319"/>
      <c r="BV565" s="319"/>
      <c r="BW565" s="319"/>
      <c r="BX565" s="319"/>
      <c r="BY565" s="319"/>
      <c r="BZ565" s="319"/>
      <c r="CA565" s="319"/>
      <c r="CB565" s="319"/>
      <c r="CC565" s="319"/>
      <c r="CD565" s="319"/>
      <c r="CE565" s="319"/>
      <c r="CF565" s="319"/>
    </row>
    <row r="566" spans="1:84" ht="12.75" hidden="1" customHeight="1">
      <c r="A566" s="12"/>
      <c r="B566" s="83" t="str">
        <f t="shared" ref="B566:B576" si="64">B50</f>
        <v>Fevereiro</v>
      </c>
      <c r="C566" s="303" t="s">
        <v>6157</v>
      </c>
      <c r="D566" s="37">
        <f t="shared" si="61"/>
        <v>0</v>
      </c>
      <c r="E566" s="1"/>
      <c r="F566" s="1"/>
      <c r="G566" s="1"/>
      <c r="H566" s="1"/>
      <c r="I566" s="1"/>
      <c r="J566" s="1"/>
      <c r="K566" s="9"/>
      <c r="L566" s="1"/>
      <c r="M566" s="319"/>
      <c r="N566" s="319"/>
      <c r="O566" s="319">
        <v>9</v>
      </c>
      <c r="P566" s="319"/>
      <c r="Q566" s="319">
        <f t="shared" si="62"/>
        <v>0</v>
      </c>
      <c r="R566" s="319"/>
      <c r="S566" s="319">
        <f t="shared" si="63"/>
        <v>0</v>
      </c>
      <c r="T566" s="319"/>
      <c r="U566" s="319"/>
      <c r="V566" s="319"/>
      <c r="W566" s="319"/>
      <c r="X566" s="319"/>
      <c r="Y566" s="319"/>
      <c r="Z566" s="319"/>
      <c r="AA566" s="319"/>
      <c r="AB566" s="319"/>
      <c r="AC566" s="319"/>
      <c r="AD566" s="319"/>
      <c r="AE566" s="319"/>
      <c r="AF566" s="319"/>
      <c r="AG566" s="319"/>
      <c r="AH566" s="319"/>
      <c r="AI566" s="319"/>
      <c r="AJ566" s="319"/>
      <c r="AK566" s="319"/>
      <c r="AL566" s="319"/>
      <c r="AM566" s="319"/>
      <c r="AN566" s="319"/>
      <c r="AO566" s="319">
        <v>2030200</v>
      </c>
      <c r="AP566" s="319"/>
      <c r="AQ566" s="319"/>
      <c r="AR566" s="319"/>
      <c r="AS566" s="319"/>
      <c r="AT566" s="319"/>
      <c r="AU566" s="319"/>
      <c r="AV566" s="319"/>
      <c r="AW566" s="319"/>
      <c r="AX566" s="319"/>
      <c r="AY566" s="319"/>
      <c r="AZ566" s="319"/>
      <c r="BA566" s="319"/>
      <c r="BB566" s="319"/>
      <c r="BC566" s="319"/>
      <c r="BD566" s="319"/>
      <c r="BE566" s="319"/>
      <c r="BF566" s="319"/>
      <c r="BG566" s="319"/>
      <c r="BH566" s="319"/>
      <c r="BI566" s="319"/>
      <c r="BJ566" s="319"/>
      <c r="BK566" s="319"/>
      <c r="BL566" s="319"/>
      <c r="BM566" s="319"/>
      <c r="BN566" s="319"/>
      <c r="BO566" s="319"/>
      <c r="BP566" s="319"/>
      <c r="BQ566" s="319"/>
      <c r="BR566" s="319"/>
      <c r="BS566" s="319"/>
      <c r="BT566" s="319"/>
      <c r="BU566" s="319"/>
      <c r="BV566" s="319"/>
      <c r="BW566" s="319"/>
      <c r="BX566" s="319"/>
      <c r="BY566" s="319"/>
      <c r="BZ566" s="319"/>
      <c r="CA566" s="319"/>
      <c r="CB566" s="319"/>
      <c r="CC566" s="319"/>
      <c r="CD566" s="319"/>
      <c r="CE566" s="319"/>
      <c r="CF566" s="319"/>
    </row>
    <row r="567" spans="1:84" ht="12.75" hidden="1" customHeight="1">
      <c r="A567" s="12"/>
      <c r="B567" s="83" t="str">
        <f t="shared" si="64"/>
        <v>Março</v>
      </c>
      <c r="C567" s="303" t="s">
        <v>6157</v>
      </c>
      <c r="D567" s="37">
        <f t="shared" si="61"/>
        <v>0</v>
      </c>
      <c r="E567" s="1"/>
      <c r="F567" s="1"/>
      <c r="G567" s="1"/>
      <c r="H567" s="1"/>
      <c r="I567" s="1"/>
      <c r="J567" s="1"/>
      <c r="K567" s="9"/>
      <c r="L567" s="1"/>
      <c r="M567" s="319"/>
      <c r="N567" s="319"/>
      <c r="O567" s="319">
        <v>10</v>
      </c>
      <c r="P567" s="319"/>
      <c r="Q567" s="319">
        <f t="shared" si="62"/>
        <v>0</v>
      </c>
      <c r="R567" s="319"/>
      <c r="S567" s="319">
        <f t="shared" si="63"/>
        <v>0</v>
      </c>
      <c r="T567" s="319"/>
      <c r="U567" s="319"/>
      <c r="V567" s="319"/>
      <c r="W567" s="319"/>
      <c r="X567" s="319"/>
      <c r="Y567" s="319"/>
      <c r="Z567" s="319"/>
      <c r="AA567" s="319"/>
      <c r="AB567" s="319"/>
      <c r="AC567" s="319"/>
      <c r="AD567" s="319"/>
      <c r="AE567" s="319"/>
      <c r="AF567" s="319"/>
      <c r="AG567" s="319"/>
      <c r="AH567" s="319"/>
      <c r="AI567" s="319"/>
      <c r="AJ567" s="319"/>
      <c r="AK567" s="319"/>
      <c r="AL567" s="319"/>
      <c r="AM567" s="319"/>
      <c r="AN567" s="319"/>
      <c r="AO567" s="319">
        <v>2030200</v>
      </c>
      <c r="AP567" s="319"/>
      <c r="AQ567" s="319"/>
      <c r="AR567" s="319"/>
      <c r="AS567" s="319"/>
      <c r="AT567" s="319"/>
      <c r="AU567" s="319"/>
      <c r="AV567" s="319"/>
      <c r="AW567" s="319"/>
      <c r="AX567" s="319"/>
      <c r="AY567" s="319"/>
      <c r="AZ567" s="319"/>
      <c r="BA567" s="319"/>
      <c r="BB567" s="319"/>
      <c r="BC567" s="319"/>
      <c r="BD567" s="319"/>
      <c r="BE567" s="319"/>
      <c r="BF567" s="319"/>
      <c r="BG567" s="319"/>
      <c r="BH567" s="319"/>
      <c r="BI567" s="319"/>
      <c r="BJ567" s="319"/>
      <c r="BK567" s="319"/>
      <c r="BL567" s="319"/>
      <c r="BM567" s="319"/>
      <c r="BN567" s="319"/>
      <c r="BO567" s="319"/>
      <c r="BP567" s="319"/>
      <c r="BQ567" s="319"/>
      <c r="BR567" s="319"/>
      <c r="BS567" s="319"/>
      <c r="BT567" s="319"/>
      <c r="BU567" s="319"/>
      <c r="BV567" s="319"/>
      <c r="BW567" s="319"/>
      <c r="BX567" s="319"/>
      <c r="BY567" s="319"/>
      <c r="BZ567" s="319"/>
      <c r="CA567" s="319"/>
      <c r="CB567" s="319"/>
      <c r="CC567" s="319"/>
      <c r="CD567" s="319"/>
      <c r="CE567" s="319"/>
      <c r="CF567" s="319"/>
    </row>
    <row r="568" spans="1:84" ht="12.75" hidden="1" customHeight="1">
      <c r="A568" s="12"/>
      <c r="B568" s="83" t="str">
        <f t="shared" si="64"/>
        <v>Abril</v>
      </c>
      <c r="C568" s="303" t="s">
        <v>6157</v>
      </c>
      <c r="D568" s="37">
        <f t="shared" si="61"/>
        <v>0</v>
      </c>
      <c r="E568" s="1"/>
      <c r="F568" s="1"/>
      <c r="G568" s="1"/>
      <c r="H568" s="1"/>
      <c r="I568" s="1"/>
      <c r="J568" s="1"/>
      <c r="K568" s="9"/>
      <c r="L568" s="1"/>
      <c r="M568" s="319"/>
      <c r="N568" s="319"/>
      <c r="O568" s="319">
        <v>11</v>
      </c>
      <c r="P568" s="319"/>
      <c r="Q568" s="319">
        <f t="shared" si="62"/>
        <v>0</v>
      </c>
      <c r="R568" s="319"/>
      <c r="S568" s="319">
        <f t="shared" si="63"/>
        <v>0</v>
      </c>
      <c r="T568" s="319"/>
      <c r="U568" s="319"/>
      <c r="V568" s="319"/>
      <c r="W568" s="319"/>
      <c r="X568" s="319"/>
      <c r="Y568" s="319"/>
      <c r="Z568" s="319"/>
      <c r="AA568" s="319"/>
      <c r="AB568" s="319"/>
      <c r="AC568" s="319"/>
      <c r="AD568" s="319"/>
      <c r="AE568" s="319"/>
      <c r="AF568" s="319"/>
      <c r="AG568" s="319"/>
      <c r="AH568" s="319"/>
      <c r="AI568" s="319"/>
      <c r="AJ568" s="319"/>
      <c r="AK568" s="319"/>
      <c r="AL568" s="319"/>
      <c r="AM568" s="319"/>
      <c r="AN568" s="319"/>
      <c r="AO568" s="319">
        <v>2030200</v>
      </c>
      <c r="AP568" s="319"/>
      <c r="AQ568" s="319"/>
      <c r="AR568" s="319"/>
      <c r="AS568" s="319"/>
      <c r="AT568" s="319"/>
      <c r="AU568" s="319"/>
      <c r="AV568" s="319"/>
      <c r="AW568" s="319"/>
      <c r="AX568" s="319"/>
      <c r="AY568" s="319"/>
      <c r="AZ568" s="319"/>
      <c r="BA568" s="319"/>
      <c r="BB568" s="319"/>
      <c r="BC568" s="319"/>
      <c r="BD568" s="319"/>
      <c r="BE568" s="319"/>
      <c r="BF568" s="319"/>
      <c r="BG568" s="319"/>
      <c r="BH568" s="319"/>
      <c r="BI568" s="319"/>
      <c r="BJ568" s="319"/>
      <c r="BK568" s="319"/>
      <c r="BL568" s="319"/>
      <c r="BM568" s="319"/>
      <c r="BN568" s="319"/>
      <c r="BO568" s="319"/>
      <c r="BP568" s="319"/>
      <c r="BQ568" s="319"/>
      <c r="BR568" s="319"/>
      <c r="BS568" s="319"/>
      <c r="BT568" s="319"/>
      <c r="BU568" s="319"/>
      <c r="BV568" s="319"/>
      <c r="BW568" s="319"/>
      <c r="BX568" s="319"/>
      <c r="BY568" s="319"/>
      <c r="BZ568" s="319"/>
      <c r="CA568" s="319"/>
      <c r="CB568" s="319"/>
      <c r="CC568" s="319"/>
      <c r="CD568" s="319"/>
      <c r="CE568" s="319"/>
      <c r="CF568" s="319"/>
    </row>
    <row r="569" spans="1:84" ht="12.75" hidden="1" customHeight="1">
      <c r="A569" s="12"/>
      <c r="B569" s="83" t="str">
        <f t="shared" si="64"/>
        <v>Maio</v>
      </c>
      <c r="C569" s="303" t="s">
        <v>6157</v>
      </c>
      <c r="D569" s="37">
        <f t="shared" si="61"/>
        <v>0</v>
      </c>
      <c r="E569" s="1"/>
      <c r="F569" s="1"/>
      <c r="G569" s="1"/>
      <c r="H569" s="1"/>
      <c r="I569" s="1"/>
      <c r="J569" s="1"/>
      <c r="K569" s="9"/>
      <c r="L569" s="1"/>
      <c r="M569" s="319"/>
      <c r="N569" s="319"/>
      <c r="O569" s="319">
        <v>12</v>
      </c>
      <c r="P569" s="319"/>
      <c r="Q569" s="319">
        <f t="shared" si="62"/>
        <v>0</v>
      </c>
      <c r="R569" s="319"/>
      <c r="S569" s="319">
        <f t="shared" si="63"/>
        <v>0</v>
      </c>
      <c r="T569" s="319"/>
      <c r="U569" s="319"/>
      <c r="V569" s="319"/>
      <c r="W569" s="319"/>
      <c r="X569" s="319"/>
      <c r="Y569" s="319"/>
      <c r="Z569" s="319"/>
      <c r="AA569" s="319"/>
      <c r="AB569" s="319"/>
      <c r="AC569" s="319"/>
      <c r="AD569" s="319"/>
      <c r="AE569" s="319"/>
      <c r="AF569" s="319"/>
      <c r="AG569" s="319"/>
      <c r="AH569" s="319"/>
      <c r="AI569" s="319"/>
      <c r="AJ569" s="319"/>
      <c r="AK569" s="319"/>
      <c r="AL569" s="319"/>
      <c r="AM569" s="319"/>
      <c r="AN569" s="319"/>
      <c r="AO569" s="319">
        <v>2030200</v>
      </c>
      <c r="AP569" s="319"/>
      <c r="AQ569" s="319"/>
      <c r="AR569" s="319"/>
      <c r="AS569" s="319"/>
      <c r="AT569" s="319"/>
      <c r="AU569" s="319"/>
      <c r="AV569" s="319"/>
      <c r="AW569" s="319"/>
      <c r="AX569" s="319"/>
      <c r="AY569" s="319"/>
      <c r="AZ569" s="319"/>
      <c r="BA569" s="319"/>
      <c r="BB569" s="319"/>
      <c r="BC569" s="319"/>
      <c r="BD569" s="319"/>
      <c r="BE569" s="319"/>
      <c r="BF569" s="319"/>
      <c r="BG569" s="319"/>
      <c r="BH569" s="319"/>
      <c r="BI569" s="319"/>
      <c r="BJ569" s="319"/>
      <c r="BK569" s="319"/>
      <c r="BL569" s="319"/>
      <c r="BM569" s="319"/>
      <c r="BN569" s="319"/>
      <c r="BO569" s="319"/>
      <c r="BP569" s="319"/>
      <c r="BQ569" s="319"/>
      <c r="BR569" s="319"/>
      <c r="BS569" s="319"/>
      <c r="BT569" s="319"/>
      <c r="BU569" s="319"/>
      <c r="BV569" s="319"/>
      <c r="BW569" s="319"/>
      <c r="BX569" s="319"/>
      <c r="BY569" s="319"/>
      <c r="BZ569" s="319"/>
      <c r="CA569" s="319"/>
      <c r="CB569" s="319"/>
      <c r="CC569" s="319"/>
      <c r="CD569" s="319"/>
      <c r="CE569" s="319"/>
      <c r="CF569" s="319"/>
    </row>
    <row r="570" spans="1:84" ht="12.75" hidden="1" customHeight="1">
      <c r="A570" s="12"/>
      <c r="B570" s="83" t="str">
        <f t="shared" si="64"/>
        <v>Junho</v>
      </c>
      <c r="C570" s="303" t="s">
        <v>6157</v>
      </c>
      <c r="D570" s="37">
        <f t="shared" si="61"/>
        <v>0</v>
      </c>
      <c r="E570" s="1"/>
      <c r="F570" s="1"/>
      <c r="G570" s="1"/>
      <c r="H570" s="1"/>
      <c r="I570" s="1"/>
      <c r="J570" s="1"/>
      <c r="K570" s="9"/>
      <c r="L570" s="1"/>
      <c r="M570" s="319"/>
      <c r="N570" s="319"/>
      <c r="O570" s="319">
        <v>13</v>
      </c>
      <c r="P570" s="319"/>
      <c r="Q570" s="319">
        <f t="shared" si="62"/>
        <v>0</v>
      </c>
      <c r="R570" s="319"/>
      <c r="S570" s="319">
        <f t="shared" si="63"/>
        <v>0</v>
      </c>
      <c r="T570" s="319"/>
      <c r="U570" s="319"/>
      <c r="V570" s="319"/>
      <c r="W570" s="319"/>
      <c r="X570" s="319"/>
      <c r="Y570" s="319"/>
      <c r="Z570" s="319"/>
      <c r="AA570" s="319"/>
      <c r="AB570" s="319"/>
      <c r="AC570" s="319"/>
      <c r="AD570" s="319"/>
      <c r="AE570" s="319"/>
      <c r="AF570" s="319"/>
      <c r="AG570" s="319"/>
      <c r="AH570" s="319"/>
      <c r="AI570" s="319"/>
      <c r="AJ570" s="319"/>
      <c r="AK570" s="319"/>
      <c r="AL570" s="319"/>
      <c r="AM570" s="319"/>
      <c r="AN570" s="319"/>
      <c r="AO570" s="319">
        <v>2030200</v>
      </c>
      <c r="AP570" s="319"/>
      <c r="AQ570" s="319"/>
      <c r="AR570" s="319"/>
      <c r="AS570" s="319"/>
      <c r="AT570" s="319"/>
      <c r="AU570" s="319"/>
      <c r="AV570" s="319"/>
      <c r="AW570" s="319"/>
      <c r="AX570" s="319"/>
      <c r="AY570" s="319"/>
      <c r="AZ570" s="319"/>
      <c r="BA570" s="319"/>
      <c r="BB570" s="319"/>
      <c r="BC570" s="319"/>
      <c r="BD570" s="319"/>
      <c r="BE570" s="319"/>
      <c r="BF570" s="319"/>
      <c r="BG570" s="319"/>
      <c r="BH570" s="319"/>
      <c r="BI570" s="319"/>
      <c r="BJ570" s="319"/>
      <c r="BK570" s="319"/>
      <c r="BL570" s="319"/>
      <c r="BM570" s="319"/>
      <c r="BN570" s="319"/>
      <c r="BO570" s="319"/>
      <c r="BP570" s="319"/>
      <c r="BQ570" s="319"/>
      <c r="BR570" s="319"/>
      <c r="BS570" s="319"/>
      <c r="BT570" s="319"/>
      <c r="BU570" s="319"/>
      <c r="BV570" s="319"/>
      <c r="BW570" s="319"/>
      <c r="BX570" s="319"/>
      <c r="BY570" s="319"/>
      <c r="BZ570" s="319"/>
      <c r="CA570" s="319"/>
      <c r="CB570" s="319"/>
      <c r="CC570" s="319"/>
      <c r="CD570" s="319"/>
      <c r="CE570" s="319"/>
      <c r="CF570" s="319"/>
    </row>
    <row r="571" spans="1:84" ht="12.75" hidden="1" customHeight="1">
      <c r="A571" s="12"/>
      <c r="B571" s="83" t="str">
        <f t="shared" si="64"/>
        <v>Julho</v>
      </c>
      <c r="C571" s="303" t="s">
        <v>6157</v>
      </c>
      <c r="D571" s="37">
        <f t="shared" si="61"/>
        <v>0</v>
      </c>
      <c r="E571" s="1"/>
      <c r="F571" s="1"/>
      <c r="G571" s="1"/>
      <c r="H571" s="1"/>
      <c r="I571" s="1"/>
      <c r="J571" s="1"/>
      <c r="K571" s="9"/>
      <c r="L571" s="1"/>
      <c r="M571" s="319"/>
      <c r="N571" s="319"/>
      <c r="O571" s="319">
        <v>14</v>
      </c>
      <c r="P571" s="319"/>
      <c r="Q571" s="319">
        <f t="shared" si="62"/>
        <v>0</v>
      </c>
      <c r="R571" s="319"/>
      <c r="S571" s="319">
        <f t="shared" si="63"/>
        <v>0</v>
      </c>
      <c r="T571" s="319"/>
      <c r="U571" s="319"/>
      <c r="V571" s="319"/>
      <c r="W571" s="319"/>
      <c r="X571" s="319"/>
      <c r="Y571" s="319"/>
      <c r="Z571" s="319"/>
      <c r="AA571" s="319"/>
      <c r="AB571" s="319"/>
      <c r="AC571" s="319"/>
      <c r="AD571" s="319"/>
      <c r="AE571" s="319"/>
      <c r="AF571" s="319"/>
      <c r="AG571" s="319"/>
      <c r="AH571" s="319"/>
      <c r="AI571" s="319"/>
      <c r="AJ571" s="319"/>
      <c r="AK571" s="319"/>
      <c r="AL571" s="319"/>
      <c r="AM571" s="319"/>
      <c r="AN571" s="319"/>
      <c r="AO571" s="319">
        <v>2030200</v>
      </c>
      <c r="AP571" s="319"/>
      <c r="AQ571" s="319"/>
      <c r="AR571" s="319"/>
      <c r="AS571" s="319"/>
      <c r="AT571" s="319"/>
      <c r="AU571" s="319"/>
      <c r="AV571" s="319"/>
      <c r="AW571" s="319"/>
      <c r="AX571" s="319"/>
      <c r="AY571" s="319"/>
      <c r="AZ571" s="319"/>
      <c r="BA571" s="319"/>
      <c r="BB571" s="319"/>
      <c r="BC571" s="319"/>
      <c r="BD571" s="319"/>
      <c r="BE571" s="319"/>
      <c r="BF571" s="319"/>
      <c r="BG571" s="319"/>
      <c r="BH571" s="319"/>
      <c r="BI571" s="319"/>
      <c r="BJ571" s="319"/>
      <c r="BK571" s="319"/>
      <c r="BL571" s="319"/>
      <c r="BM571" s="319"/>
      <c r="BN571" s="319"/>
      <c r="BO571" s="319"/>
      <c r="BP571" s="319"/>
      <c r="BQ571" s="319"/>
      <c r="BR571" s="319"/>
      <c r="BS571" s="319"/>
      <c r="BT571" s="319"/>
      <c r="BU571" s="319"/>
      <c r="BV571" s="319"/>
      <c r="BW571" s="319"/>
      <c r="BX571" s="319"/>
      <c r="BY571" s="319"/>
      <c r="BZ571" s="319"/>
      <c r="CA571" s="319"/>
      <c r="CB571" s="319"/>
      <c r="CC571" s="319"/>
      <c r="CD571" s="319"/>
      <c r="CE571" s="319"/>
      <c r="CF571" s="319"/>
    </row>
    <row r="572" spans="1:84" ht="12.75" hidden="1" customHeight="1">
      <c r="A572" s="12"/>
      <c r="B572" s="83" t="str">
        <f t="shared" si="64"/>
        <v>Agosto</v>
      </c>
      <c r="C572" s="303" t="s">
        <v>6157</v>
      </c>
      <c r="D572" s="37">
        <f t="shared" si="61"/>
        <v>0</v>
      </c>
      <c r="E572" s="1"/>
      <c r="F572" s="1"/>
      <c r="G572" s="1"/>
      <c r="H572" s="1"/>
      <c r="I572" s="1"/>
      <c r="J572" s="1"/>
      <c r="K572" s="9"/>
      <c r="L572" s="1"/>
      <c r="M572" s="319"/>
      <c r="N572" s="319"/>
      <c r="O572" s="319">
        <v>15</v>
      </c>
      <c r="P572" s="319"/>
      <c r="Q572" s="319">
        <f t="shared" si="62"/>
        <v>0</v>
      </c>
      <c r="R572" s="319"/>
      <c r="S572" s="319">
        <f t="shared" si="63"/>
        <v>0</v>
      </c>
      <c r="T572" s="319"/>
      <c r="U572" s="319"/>
      <c r="V572" s="319"/>
      <c r="W572" s="319"/>
      <c r="X572" s="319"/>
      <c r="Y572" s="319"/>
      <c r="Z572" s="319"/>
      <c r="AA572" s="319"/>
      <c r="AB572" s="319"/>
      <c r="AC572" s="319"/>
      <c r="AD572" s="319"/>
      <c r="AE572" s="319"/>
      <c r="AF572" s="319"/>
      <c r="AG572" s="319"/>
      <c r="AH572" s="319"/>
      <c r="AI572" s="319"/>
      <c r="AJ572" s="319"/>
      <c r="AK572" s="319"/>
      <c r="AL572" s="319"/>
      <c r="AM572" s="319"/>
      <c r="AN572" s="319"/>
      <c r="AO572" s="319">
        <v>2030200</v>
      </c>
      <c r="AP572" s="319"/>
      <c r="AQ572" s="319"/>
      <c r="AR572" s="319"/>
      <c r="AS572" s="319"/>
      <c r="AT572" s="319"/>
      <c r="AU572" s="319"/>
      <c r="AV572" s="319"/>
      <c r="AW572" s="319"/>
      <c r="AX572" s="319"/>
      <c r="AY572" s="319"/>
      <c r="AZ572" s="319"/>
      <c r="BA572" s="319"/>
      <c r="BB572" s="319"/>
      <c r="BC572" s="319"/>
      <c r="BD572" s="319"/>
      <c r="BE572" s="319"/>
      <c r="BF572" s="319"/>
      <c r="BG572" s="319"/>
      <c r="BH572" s="319"/>
      <c r="BI572" s="319"/>
      <c r="BJ572" s="319"/>
      <c r="BK572" s="319"/>
      <c r="BL572" s="319"/>
      <c r="BM572" s="319"/>
      <c r="BN572" s="319"/>
      <c r="BO572" s="319"/>
      <c r="BP572" s="319"/>
      <c r="BQ572" s="319"/>
      <c r="BR572" s="319"/>
      <c r="BS572" s="319"/>
      <c r="BT572" s="319"/>
      <c r="BU572" s="319"/>
      <c r="BV572" s="319"/>
      <c r="BW572" s="319"/>
      <c r="BX572" s="319"/>
      <c r="BY572" s="319"/>
      <c r="BZ572" s="319"/>
      <c r="CA572" s="319"/>
      <c r="CB572" s="319"/>
      <c r="CC572" s="319"/>
      <c r="CD572" s="319"/>
      <c r="CE572" s="319"/>
      <c r="CF572" s="319"/>
    </row>
    <row r="573" spans="1:84" ht="13.2" hidden="1">
      <c r="A573" s="12"/>
      <c r="B573" s="83" t="str">
        <f t="shared" si="64"/>
        <v>Setembro</v>
      </c>
      <c r="C573" s="303" t="s">
        <v>6157</v>
      </c>
      <c r="D573" s="37">
        <f t="shared" si="61"/>
        <v>0</v>
      </c>
      <c r="E573" s="1"/>
      <c r="F573" s="1"/>
      <c r="G573" s="1"/>
      <c r="H573" s="1"/>
      <c r="I573" s="1"/>
      <c r="J573" s="1"/>
      <c r="K573" s="9"/>
      <c r="L573" s="1"/>
      <c r="M573" s="319"/>
      <c r="N573" s="319"/>
      <c r="O573" s="319">
        <v>16</v>
      </c>
      <c r="P573" s="319"/>
      <c r="Q573" s="319">
        <f t="shared" si="62"/>
        <v>0</v>
      </c>
      <c r="R573" s="319"/>
      <c r="S573" s="319">
        <f t="shared" si="63"/>
        <v>0</v>
      </c>
      <c r="T573" s="319"/>
      <c r="U573" s="319"/>
      <c r="V573" s="319"/>
      <c r="W573" s="319"/>
      <c r="X573" s="319"/>
      <c r="Y573" s="319"/>
      <c r="Z573" s="319"/>
      <c r="AA573" s="319"/>
      <c r="AB573" s="319"/>
      <c r="AC573" s="319"/>
      <c r="AD573" s="319"/>
      <c r="AE573" s="319"/>
      <c r="AF573" s="319"/>
      <c r="AG573" s="319"/>
      <c r="AH573" s="319"/>
      <c r="AI573" s="319"/>
      <c r="AJ573" s="319"/>
      <c r="AK573" s="319"/>
      <c r="AL573" s="319"/>
      <c r="AM573" s="319"/>
      <c r="AN573" s="319"/>
      <c r="AO573" s="319">
        <v>2030200</v>
      </c>
      <c r="AP573" s="319"/>
      <c r="AQ573" s="319"/>
      <c r="AR573" s="319"/>
      <c r="AS573" s="319"/>
      <c r="AT573" s="319"/>
      <c r="AU573" s="319"/>
      <c r="AV573" s="319"/>
      <c r="AW573" s="319"/>
      <c r="AX573" s="319"/>
      <c r="AY573" s="319"/>
      <c r="AZ573" s="319"/>
      <c r="BA573" s="319"/>
      <c r="BB573" s="319"/>
      <c r="BC573" s="319"/>
      <c r="BD573" s="319"/>
      <c r="BE573" s="319"/>
      <c r="BF573" s="319"/>
      <c r="BG573" s="319"/>
      <c r="BH573" s="319"/>
      <c r="BI573" s="319"/>
      <c r="BJ573" s="319"/>
      <c r="BK573" s="319"/>
      <c r="BL573" s="319"/>
      <c r="BM573" s="319"/>
      <c r="BN573" s="319"/>
      <c r="BO573" s="319"/>
      <c r="BP573" s="319"/>
      <c r="BQ573" s="319"/>
      <c r="BR573" s="319"/>
      <c r="BS573" s="319"/>
      <c r="BT573" s="319"/>
      <c r="BU573" s="319"/>
      <c r="BV573" s="319"/>
      <c r="BW573" s="319"/>
      <c r="BX573" s="319"/>
      <c r="BY573" s="319"/>
      <c r="BZ573" s="319"/>
      <c r="CA573" s="319"/>
      <c r="CB573" s="319"/>
      <c r="CC573" s="319"/>
      <c r="CD573" s="319"/>
      <c r="CE573" s="319"/>
      <c r="CF573" s="319"/>
    </row>
    <row r="574" spans="1:84" ht="12.75" hidden="1" customHeight="1">
      <c r="A574" s="12"/>
      <c r="B574" s="83" t="str">
        <f t="shared" si="64"/>
        <v>Outubro</v>
      </c>
      <c r="C574" s="303" t="s">
        <v>6157</v>
      </c>
      <c r="D574" s="37">
        <f t="shared" si="61"/>
        <v>0</v>
      </c>
      <c r="E574" s="1"/>
      <c r="F574" s="1"/>
      <c r="G574" s="1"/>
      <c r="H574" s="1"/>
      <c r="I574" s="1"/>
      <c r="J574" s="1"/>
      <c r="K574" s="9"/>
      <c r="L574" s="1"/>
      <c r="M574" s="319"/>
      <c r="N574" s="319"/>
      <c r="O574" s="319">
        <v>17</v>
      </c>
      <c r="P574" s="319"/>
      <c r="Q574" s="319">
        <f t="shared" si="62"/>
        <v>0</v>
      </c>
      <c r="R574" s="319"/>
      <c r="S574" s="319">
        <f t="shared" si="63"/>
        <v>0</v>
      </c>
      <c r="T574" s="319"/>
      <c r="U574" s="319"/>
      <c r="V574" s="319"/>
      <c r="W574" s="319"/>
      <c r="X574" s="319"/>
      <c r="Y574" s="319"/>
      <c r="Z574" s="319"/>
      <c r="AA574" s="319"/>
      <c r="AB574" s="319"/>
      <c r="AC574" s="319"/>
      <c r="AD574" s="319"/>
      <c r="AE574" s="319"/>
      <c r="AF574" s="319"/>
      <c r="AG574" s="319"/>
      <c r="AH574" s="319"/>
      <c r="AI574" s="319"/>
      <c r="AJ574" s="319"/>
      <c r="AK574" s="319"/>
      <c r="AL574" s="319"/>
      <c r="AM574" s="319"/>
      <c r="AN574" s="319"/>
      <c r="AO574" s="319">
        <v>2030200</v>
      </c>
      <c r="AP574" s="319"/>
      <c r="AQ574" s="319"/>
      <c r="AR574" s="319"/>
      <c r="AS574" s="319"/>
      <c r="AT574" s="319"/>
      <c r="AU574" s="319"/>
      <c r="AV574" s="319"/>
      <c r="AW574" s="319"/>
      <c r="AX574" s="319"/>
      <c r="AY574" s="319"/>
      <c r="AZ574" s="319"/>
      <c r="BA574" s="319"/>
      <c r="BB574" s="319"/>
      <c r="BC574" s="319"/>
      <c r="BD574" s="319"/>
      <c r="BE574" s="319"/>
      <c r="BF574" s="319"/>
      <c r="BG574" s="319"/>
      <c r="BH574" s="319"/>
      <c r="BI574" s="319"/>
      <c r="BJ574" s="319"/>
      <c r="BK574" s="319"/>
      <c r="BL574" s="319"/>
      <c r="BM574" s="319"/>
      <c r="BN574" s="319"/>
      <c r="BO574" s="319"/>
      <c r="BP574" s="319"/>
      <c r="BQ574" s="319"/>
      <c r="BR574" s="319"/>
      <c r="BS574" s="319"/>
      <c r="BT574" s="319"/>
      <c r="BU574" s="319"/>
      <c r="BV574" s="319"/>
      <c r="BW574" s="319"/>
      <c r="BX574" s="319"/>
      <c r="BY574" s="319"/>
      <c r="BZ574" s="319"/>
      <c r="CA574" s="319"/>
      <c r="CB574" s="319"/>
      <c r="CC574" s="319"/>
      <c r="CD574" s="319"/>
      <c r="CE574" s="319"/>
      <c r="CF574" s="319"/>
    </row>
    <row r="575" spans="1:84" ht="12.75" hidden="1" customHeight="1">
      <c r="A575" s="12"/>
      <c r="B575" s="83" t="str">
        <f t="shared" si="64"/>
        <v>Novembro</v>
      </c>
      <c r="C575" s="303" t="s">
        <v>6157</v>
      </c>
      <c r="D575" s="37">
        <f t="shared" si="61"/>
        <v>0</v>
      </c>
      <c r="E575" s="1"/>
      <c r="F575" s="1"/>
      <c r="G575" s="1"/>
      <c r="H575" s="1"/>
      <c r="I575" s="1"/>
      <c r="J575" s="1"/>
      <c r="K575" s="9"/>
      <c r="L575" s="1"/>
      <c r="M575" s="319"/>
      <c r="N575" s="319"/>
      <c r="O575" s="319">
        <v>18</v>
      </c>
      <c r="P575" s="319"/>
      <c r="Q575" s="319">
        <f t="shared" si="62"/>
        <v>0</v>
      </c>
      <c r="R575" s="319"/>
      <c r="S575" s="319">
        <f t="shared" si="63"/>
        <v>0</v>
      </c>
      <c r="T575" s="319"/>
      <c r="U575" s="319"/>
      <c r="V575" s="319"/>
      <c r="W575" s="319"/>
      <c r="X575" s="319"/>
      <c r="Y575" s="319"/>
      <c r="Z575" s="319"/>
      <c r="AA575" s="319"/>
      <c r="AB575" s="319"/>
      <c r="AC575" s="319"/>
      <c r="AD575" s="319"/>
      <c r="AE575" s="319"/>
      <c r="AF575" s="319"/>
      <c r="AG575" s="319"/>
      <c r="AH575" s="319"/>
      <c r="AI575" s="319"/>
      <c r="AJ575" s="319"/>
      <c r="AK575" s="319"/>
      <c r="AL575" s="319"/>
      <c r="AM575" s="319"/>
      <c r="AN575" s="319"/>
      <c r="AO575" s="319">
        <v>2030200</v>
      </c>
      <c r="AP575" s="319"/>
      <c r="AQ575" s="319"/>
      <c r="AR575" s="319"/>
      <c r="AS575" s="319"/>
      <c r="AT575" s="319"/>
      <c r="AU575" s="319"/>
      <c r="AV575" s="319"/>
      <c r="AW575" s="319"/>
      <c r="AX575" s="319"/>
      <c r="AY575" s="319"/>
      <c r="AZ575" s="319"/>
      <c r="BA575" s="319"/>
      <c r="BB575" s="319"/>
      <c r="BC575" s="319"/>
      <c r="BD575" s="319"/>
      <c r="BE575" s="319"/>
      <c r="BF575" s="319"/>
      <c r="BG575" s="319"/>
      <c r="BH575" s="319"/>
      <c r="BI575" s="319"/>
      <c r="BJ575" s="319"/>
      <c r="BK575" s="319"/>
      <c r="BL575" s="319"/>
      <c r="BM575" s="319"/>
      <c r="BN575" s="319"/>
      <c r="BO575" s="319"/>
      <c r="BP575" s="319"/>
      <c r="BQ575" s="319"/>
      <c r="BR575" s="319"/>
      <c r="BS575" s="319"/>
      <c r="BT575" s="319"/>
      <c r="BU575" s="319"/>
      <c r="BV575" s="319"/>
      <c r="BW575" s="319"/>
      <c r="BX575" s="319"/>
      <c r="BY575" s="319"/>
      <c r="BZ575" s="319"/>
      <c r="CA575" s="319"/>
      <c r="CB575" s="319"/>
      <c r="CC575" s="319"/>
      <c r="CD575" s="319"/>
      <c r="CE575" s="319"/>
      <c r="CF575" s="319"/>
    </row>
    <row r="576" spans="1:84" ht="12.75" hidden="1" customHeight="1">
      <c r="A576" s="12"/>
      <c r="B576" s="83" t="str">
        <f t="shared" si="64"/>
        <v>Dezembro</v>
      </c>
      <c r="C576" s="303" t="s">
        <v>6157</v>
      </c>
      <c r="D576" s="42">
        <f t="shared" si="61"/>
        <v>0</v>
      </c>
      <c r="E576" s="1"/>
      <c r="F576" s="1"/>
      <c r="G576" s="1"/>
      <c r="H576" s="1"/>
      <c r="I576" s="1"/>
      <c r="J576" s="1"/>
      <c r="K576" s="9"/>
      <c r="L576" s="1"/>
      <c r="M576" s="319"/>
      <c r="N576" s="319"/>
      <c r="O576" s="319">
        <v>19</v>
      </c>
      <c r="P576" s="319"/>
      <c r="Q576" s="319">
        <f t="shared" si="62"/>
        <v>0</v>
      </c>
      <c r="R576" s="319"/>
      <c r="S576" s="319">
        <f t="shared" si="63"/>
        <v>0</v>
      </c>
      <c r="T576" s="319"/>
      <c r="U576" s="319"/>
      <c r="V576" s="319"/>
      <c r="W576" s="319"/>
      <c r="X576" s="319"/>
      <c r="Y576" s="319"/>
      <c r="Z576" s="319"/>
      <c r="AA576" s="319"/>
      <c r="AB576" s="319"/>
      <c r="AC576" s="319"/>
      <c r="AD576" s="319"/>
      <c r="AE576" s="319"/>
      <c r="AF576" s="319"/>
      <c r="AG576" s="319"/>
      <c r="AH576" s="319"/>
      <c r="AI576" s="319"/>
      <c r="AJ576" s="319"/>
      <c r="AK576" s="319"/>
      <c r="AL576" s="319"/>
      <c r="AM576" s="319"/>
      <c r="AN576" s="319"/>
      <c r="AO576" s="319">
        <v>2030200</v>
      </c>
      <c r="AP576" s="319"/>
      <c r="AQ576" s="319"/>
      <c r="AR576" s="319"/>
      <c r="AS576" s="319"/>
      <c r="AT576" s="319"/>
      <c r="AU576" s="319"/>
      <c r="AV576" s="319"/>
      <c r="AW576" s="319"/>
      <c r="AX576" s="319"/>
      <c r="AY576" s="319"/>
      <c r="AZ576" s="319"/>
      <c r="BA576" s="319"/>
      <c r="BB576" s="319"/>
      <c r="BC576" s="319"/>
      <c r="BD576" s="319"/>
      <c r="BE576" s="319"/>
      <c r="BF576" s="319"/>
      <c r="BG576" s="319"/>
      <c r="BH576" s="319"/>
      <c r="BI576" s="319"/>
      <c r="BJ576" s="319"/>
      <c r="BK576" s="319"/>
      <c r="BL576" s="319"/>
      <c r="BM576" s="319"/>
      <c r="BN576" s="319"/>
      <c r="BO576" s="319"/>
      <c r="BP576" s="319"/>
      <c r="BQ576" s="319"/>
      <c r="BR576" s="319"/>
      <c r="BS576" s="319"/>
      <c r="BT576" s="319"/>
      <c r="BU576" s="319"/>
      <c r="BV576" s="319"/>
      <c r="BW576" s="319"/>
      <c r="BX576" s="319"/>
      <c r="BY576" s="319"/>
      <c r="BZ576" s="319"/>
      <c r="CA576" s="319"/>
      <c r="CB576" s="319"/>
      <c r="CC576" s="319"/>
      <c r="CD576" s="319"/>
      <c r="CE576" s="319"/>
      <c r="CF576" s="319"/>
    </row>
    <row r="577" spans="1:84" ht="12.75" hidden="1" customHeight="1">
      <c r="A577" s="12"/>
      <c r="B577" s="1"/>
      <c r="C577" s="1" t="str">
        <f>C61</f>
        <v>Total</v>
      </c>
      <c r="D577" s="30">
        <f>SUM(D565:D576)</f>
        <v>0</v>
      </c>
      <c r="E577" s="1"/>
      <c r="F577" s="1"/>
      <c r="G577" s="1"/>
      <c r="H577" s="1"/>
      <c r="I577" s="1"/>
      <c r="J577" s="1"/>
      <c r="K577" s="9"/>
      <c r="L577" s="1"/>
      <c r="M577" s="319"/>
      <c r="N577" s="319"/>
      <c r="O577" s="319">
        <v>20</v>
      </c>
      <c r="P577" s="319"/>
      <c r="Q577" s="319"/>
      <c r="R577" s="319"/>
      <c r="S577" s="319"/>
      <c r="T577" s="319"/>
      <c r="U577" s="319"/>
      <c r="V577" s="319"/>
      <c r="W577" s="319"/>
      <c r="X577" s="319"/>
      <c r="Y577" s="319"/>
      <c r="Z577" s="319"/>
      <c r="AA577" s="319"/>
      <c r="AB577" s="319"/>
      <c r="AC577" s="319"/>
      <c r="AD577" s="319"/>
      <c r="AE577" s="319"/>
      <c r="AF577" s="319"/>
      <c r="AG577" s="319"/>
      <c r="AH577" s="319"/>
      <c r="AI577" s="319"/>
      <c r="AJ577" s="319"/>
      <c r="AK577" s="319"/>
      <c r="AL577" s="319"/>
      <c r="AM577" s="319"/>
      <c r="AN577" s="319"/>
      <c r="AO577" s="319">
        <v>2030200</v>
      </c>
      <c r="AP577" s="319"/>
      <c r="AQ577" s="319"/>
      <c r="AR577" s="319"/>
      <c r="AS577" s="319"/>
      <c r="AT577" s="319"/>
      <c r="AU577" s="319"/>
      <c r="AV577" s="319"/>
      <c r="AW577" s="319"/>
      <c r="AX577" s="319"/>
      <c r="AY577" s="319"/>
      <c r="AZ577" s="319"/>
      <c r="BA577" s="319"/>
      <c r="BB577" s="319"/>
      <c r="BC577" s="319"/>
      <c r="BD577" s="319"/>
      <c r="BE577" s="319"/>
      <c r="BF577" s="319"/>
      <c r="BG577" s="319"/>
      <c r="BH577" s="319"/>
      <c r="BI577" s="319"/>
      <c r="BJ577" s="319"/>
      <c r="BK577" s="319"/>
      <c r="BL577" s="319"/>
      <c r="BM577" s="319"/>
      <c r="BN577" s="319"/>
      <c r="BO577" s="319"/>
      <c r="BP577" s="319"/>
      <c r="BQ577" s="319"/>
      <c r="BR577" s="319"/>
      <c r="BS577" s="319"/>
      <c r="BT577" s="319"/>
      <c r="BU577" s="319"/>
      <c r="BV577" s="319"/>
      <c r="BW577" s="319"/>
      <c r="BX577" s="319"/>
      <c r="BY577" s="319"/>
      <c r="BZ577" s="319"/>
      <c r="CA577" s="319"/>
      <c r="CB577" s="319"/>
      <c r="CC577" s="319"/>
      <c r="CD577" s="319"/>
      <c r="CE577" s="319"/>
      <c r="CF577" s="319"/>
    </row>
    <row r="578" spans="1:84" ht="12.75" hidden="1" customHeight="1">
      <c r="A578" s="12"/>
      <c r="B578" s="1"/>
      <c r="C578" s="1"/>
      <c r="D578" s="1"/>
      <c r="E578" s="1"/>
      <c r="F578" s="1"/>
      <c r="G578" s="1"/>
      <c r="H578" s="1"/>
      <c r="I578" s="1"/>
      <c r="J578" s="1"/>
      <c r="K578" s="9"/>
      <c r="L578" s="1"/>
      <c r="M578" s="319"/>
      <c r="N578" s="319"/>
      <c r="O578" s="319">
        <v>20</v>
      </c>
      <c r="P578" s="319"/>
      <c r="Q578" s="319">
        <f>IF(OR(HideCode_projectType3=1,HideCode_projectType3=6)=TRUE,IF($N$1110=0,0,K1151/$N$1110*3.6),IF($C$30=$G$1073,0,IF($G$1120=2,$D$1127,HLOOKUP($N$863,$T$1132:$BZ$1151,O577,FALSE))))</f>
        <v>0</v>
      </c>
      <c r="R578" s="319"/>
      <c r="S578" s="319">
        <f>Q578*C1151/1000</f>
        <v>0</v>
      </c>
      <c r="T578" s="319"/>
      <c r="U578" s="319"/>
      <c r="V578" s="319"/>
      <c r="W578" s="319"/>
      <c r="X578" s="319"/>
      <c r="Y578" s="319"/>
      <c r="Z578" s="319"/>
      <c r="AA578" s="319"/>
      <c r="AB578" s="319"/>
      <c r="AC578" s="319"/>
      <c r="AD578" s="319"/>
      <c r="AE578" s="319"/>
      <c r="AF578" s="319"/>
      <c r="AG578" s="319"/>
      <c r="AH578" s="319"/>
      <c r="AI578" s="319"/>
      <c r="AJ578" s="319"/>
      <c r="AK578" s="319"/>
      <c r="AL578" s="319"/>
      <c r="AM578" s="319"/>
      <c r="AN578" s="319"/>
      <c r="AO578" s="319">
        <v>2030200</v>
      </c>
      <c r="AP578" s="319"/>
      <c r="AQ578" s="319"/>
      <c r="AR578" s="319"/>
      <c r="AS578" s="319"/>
      <c r="AT578" s="319"/>
      <c r="AU578" s="319"/>
      <c r="AV578" s="319"/>
      <c r="AW578" s="319"/>
      <c r="AX578" s="319"/>
      <c r="AY578" s="319"/>
      <c r="AZ578" s="319"/>
      <c r="BA578" s="319"/>
      <c r="BB578" s="319"/>
      <c r="BC578" s="319"/>
      <c r="BD578" s="319"/>
      <c r="BE578" s="319"/>
      <c r="BF578" s="319"/>
      <c r="BG578" s="319"/>
      <c r="BH578" s="319"/>
      <c r="BI578" s="319"/>
      <c r="BJ578" s="319"/>
      <c r="BK578" s="319"/>
      <c r="BL578" s="319"/>
      <c r="BM578" s="319"/>
      <c r="BN578" s="319"/>
      <c r="BO578" s="319"/>
      <c r="BP578" s="319"/>
      <c r="BQ578" s="319"/>
      <c r="BR578" s="319"/>
      <c r="BS578" s="319"/>
      <c r="BT578" s="319"/>
      <c r="BU578" s="319"/>
      <c r="BV578" s="319"/>
      <c r="BW578" s="319"/>
      <c r="BX578" s="319"/>
      <c r="BY578" s="319"/>
      <c r="BZ578" s="319"/>
      <c r="CA578" s="319"/>
      <c r="CB578" s="319"/>
      <c r="CC578" s="319"/>
      <c r="CD578" s="319"/>
      <c r="CE578" s="319"/>
      <c r="CF578" s="319"/>
    </row>
    <row r="579" spans="1:84" ht="12.75" hidden="1" customHeight="1">
      <c r="A579" s="12"/>
      <c r="B579" s="1"/>
      <c r="C579" s="1"/>
      <c r="D579" s="1"/>
      <c r="E579" s="1"/>
      <c r="F579" s="1"/>
      <c r="G579" s="1"/>
      <c r="H579" s="1"/>
      <c r="I579" s="1"/>
      <c r="J579" s="1"/>
      <c r="K579" s="9"/>
      <c r="L579" s="1"/>
      <c r="M579" s="319"/>
      <c r="N579" s="319"/>
      <c r="O579" s="319"/>
      <c r="P579" s="319"/>
      <c r="Q579" s="319"/>
      <c r="R579" s="319"/>
      <c r="S579" s="319"/>
      <c r="T579" s="319"/>
      <c r="U579" s="319"/>
      <c r="V579" s="319"/>
      <c r="W579" s="319"/>
      <c r="X579" s="319"/>
      <c r="Y579" s="319"/>
      <c r="Z579" s="319"/>
      <c r="AA579" s="319"/>
      <c r="AB579" s="319"/>
      <c r="AC579" s="319"/>
      <c r="AD579" s="319"/>
      <c r="AE579" s="319"/>
      <c r="AF579" s="319"/>
      <c r="AG579" s="319"/>
      <c r="AH579" s="319"/>
      <c r="AI579" s="319"/>
      <c r="AJ579" s="319"/>
      <c r="AK579" s="319"/>
      <c r="AL579" s="319"/>
      <c r="AM579" s="319"/>
      <c r="AN579" s="319"/>
      <c r="AO579" s="319">
        <v>2030300</v>
      </c>
      <c r="AP579" s="319"/>
      <c r="AQ579" s="319"/>
      <c r="AR579" s="319"/>
      <c r="AS579" s="319"/>
      <c r="AT579" s="319"/>
      <c r="AU579" s="319"/>
      <c r="AV579" s="319"/>
      <c r="AW579" s="319"/>
      <c r="AX579" s="319"/>
      <c r="AY579" s="319"/>
      <c r="AZ579" s="319"/>
      <c r="BA579" s="319"/>
      <c r="BB579" s="319"/>
      <c r="BC579" s="319"/>
      <c r="BD579" s="319"/>
      <c r="BE579" s="319"/>
      <c r="BF579" s="319"/>
      <c r="BG579" s="319"/>
      <c r="BH579" s="319"/>
      <c r="BI579" s="319"/>
      <c r="BJ579" s="319"/>
      <c r="BK579" s="319"/>
      <c r="BL579" s="319"/>
      <c r="BM579" s="319"/>
      <c r="BN579" s="319"/>
      <c r="BO579" s="319"/>
      <c r="BP579" s="319"/>
      <c r="BQ579" s="319"/>
      <c r="BR579" s="319"/>
      <c r="BS579" s="319"/>
      <c r="BT579" s="319"/>
      <c r="BU579" s="319"/>
      <c r="BV579" s="319"/>
      <c r="BW579" s="319"/>
      <c r="BX579" s="319"/>
      <c r="BY579" s="319"/>
      <c r="BZ579" s="319"/>
      <c r="CA579" s="319"/>
      <c r="CB579" s="319"/>
      <c r="CC579" s="319"/>
      <c r="CD579" s="319"/>
      <c r="CE579" s="319"/>
      <c r="CF579" s="319"/>
    </row>
    <row r="580" spans="1:84" ht="38.25" hidden="1" customHeight="1">
      <c r="A580" s="12"/>
      <c r="B580" s="1"/>
      <c r="C580" s="1208" t="str">
        <f>B8</f>
        <v>Tipo de Combustível</v>
      </c>
      <c r="D580" s="1253"/>
      <c r="E580" s="82" t="str">
        <f t="shared" ref="E580:J580" si="65">E42</f>
        <v>Mix do combustível</v>
      </c>
      <c r="F580" s="82" t="str">
        <f t="shared" si="65"/>
        <v>Consumo de combustível - unitário</v>
      </c>
      <c r="G580" s="142" t="str">
        <f t="shared" si="65"/>
        <v>Consumo de combustível</v>
      </c>
      <c r="H580" s="82" t="str">
        <f t="shared" si="65"/>
        <v>Preço combustível - unidade</v>
      </c>
      <c r="I580" s="82" t="str">
        <f t="shared" si="65"/>
        <v>Preço do combustível</v>
      </c>
      <c r="J580" s="82" t="str">
        <f t="shared" si="65"/>
        <v>Custo do combustível</v>
      </c>
      <c r="K580" s="9"/>
      <c r="L580" s="1"/>
      <c r="M580" s="319"/>
      <c r="N580" s="319"/>
      <c r="O580" s="319" t="s">
        <v>5205</v>
      </c>
      <c r="P580" s="319" t="s">
        <v>611</v>
      </c>
      <c r="Q580" s="319"/>
      <c r="R580" s="319"/>
      <c r="S580" s="319"/>
      <c r="T580" s="319"/>
      <c r="U580" s="319"/>
      <c r="V580" s="319"/>
      <c r="W580" s="319"/>
      <c r="X580" s="319"/>
      <c r="Y580" s="319"/>
      <c r="Z580" s="319"/>
      <c r="AA580" s="319"/>
      <c r="AB580" s="319"/>
      <c r="AC580" s="319"/>
      <c r="AD580" s="319"/>
      <c r="AE580" s="319"/>
      <c r="AF580" s="319"/>
      <c r="AG580" s="319"/>
      <c r="AH580" s="319"/>
      <c r="AI580" s="319"/>
      <c r="AJ580" s="319"/>
      <c r="AK580" s="319"/>
      <c r="AL580" s="319"/>
      <c r="AM580" s="319"/>
      <c r="AN580" s="319"/>
      <c r="AO580" s="319">
        <v>2030300</v>
      </c>
      <c r="AP580" s="319"/>
      <c r="AQ580" s="319"/>
      <c r="AR580" s="319"/>
      <c r="AS580" s="319"/>
      <c r="AT580" s="319"/>
      <c r="AU580" s="319"/>
      <c r="AV580" s="319"/>
      <c r="AW580" s="319"/>
      <c r="AX580" s="319"/>
      <c r="AY580" s="319"/>
      <c r="AZ580" s="319"/>
      <c r="BA580" s="319"/>
      <c r="BB580" s="319"/>
      <c r="BC580" s="319"/>
      <c r="BD580" s="319"/>
      <c r="BE580" s="319"/>
      <c r="BF580" s="319"/>
      <c r="BG580" s="319"/>
      <c r="BH580" s="319"/>
      <c r="BI580" s="319"/>
      <c r="BJ580" s="319"/>
      <c r="BK580" s="319"/>
      <c r="BL580" s="319"/>
      <c r="BM580" s="319"/>
      <c r="BN580" s="319"/>
      <c r="BO580" s="319"/>
      <c r="BP580" s="319"/>
      <c r="BQ580" s="319"/>
      <c r="BR580" s="319"/>
      <c r="BS580" s="319"/>
      <c r="BT580" s="319"/>
      <c r="BU580" s="319"/>
      <c r="BV580" s="319"/>
      <c r="BW580" s="319"/>
      <c r="BX580" s="319"/>
      <c r="BY580" s="319"/>
      <c r="BZ580" s="319"/>
      <c r="CA580" s="319"/>
      <c r="CB580" s="319"/>
      <c r="CC580" s="319"/>
      <c r="CD580" s="319"/>
      <c r="CE580" s="319"/>
      <c r="CF580" s="319"/>
    </row>
    <row r="581" spans="1:84" ht="12.75" hidden="1" customHeight="1">
      <c r="A581" s="12"/>
      <c r="B581" s="83" t="str">
        <f>B559</f>
        <v>Combustível #1</v>
      </c>
      <c r="C581" s="1133" t="s">
        <v>7152</v>
      </c>
      <c r="D581" s="1135"/>
      <c r="E581" s="422"/>
      <c r="F581" s="85" t="str">
        <f>IF(O581="","",VLOOKUP($C581,$B$1176:$F$1289,2,FALSE))</f>
        <v>t</v>
      </c>
      <c r="G581" s="88" t="str">
        <f>IF(OR(C581="",E581=""),"",$Q$562*E581*1000/O581/VLOOKUP($C581,$B$1176:$F$1289,5,FALSE))</f>
        <v/>
      </c>
      <c r="H581" s="85" t="str">
        <f>IF(F581="","",VLOOKUP($C581,$B$1176:$F$1289,3,FALSE))</f>
        <v>€/t</v>
      </c>
      <c r="I581" s="399"/>
      <c r="J581" s="1374" t="str">
        <f>IF(OR(O581="",G581=0,G581=""),"",G581*I581)</f>
        <v/>
      </c>
      <c r="K581" s="1256" t="str">
        <f>Language!C62</f>
        <v>Completar planilha Ferramentas</v>
      </c>
      <c r="L581" s="1"/>
      <c r="M581" s="319"/>
      <c r="N581" s="319"/>
      <c r="O581" s="319">
        <f>IF(C581="","",VLOOKUP($C581,$B$1176:$F$1289,4,FALSE))</f>
        <v>18.444143599999997</v>
      </c>
      <c r="P581" s="319">
        <f>O581*$AA$1092</f>
        <v>7929.5544282029241</v>
      </c>
      <c r="Q581" s="319"/>
      <c r="R581" s="319">
        <f>SUMIF($B$1102:$B$1105,C581,$A$1102:$A$1105)</f>
        <v>0</v>
      </c>
      <c r="S581" s="319"/>
      <c r="T581" s="319"/>
      <c r="U581" s="319"/>
      <c r="V581" s="319"/>
      <c r="W581" s="319"/>
      <c r="X581" s="319"/>
      <c r="Y581" s="319"/>
      <c r="Z581" s="319"/>
      <c r="AA581" s="319"/>
      <c r="AB581" s="319"/>
      <c r="AC581" s="319"/>
      <c r="AD581" s="319"/>
      <c r="AE581" s="319"/>
      <c r="AF581" s="319"/>
      <c r="AG581" s="319"/>
      <c r="AH581" s="319"/>
      <c r="AI581" s="319"/>
      <c r="AJ581" s="319"/>
      <c r="AK581" s="319"/>
      <c r="AL581" s="319"/>
      <c r="AM581" s="319"/>
      <c r="AN581" s="319"/>
      <c r="AO581" s="319">
        <v>2030300</v>
      </c>
      <c r="AP581" s="319"/>
      <c r="AQ581" s="319"/>
      <c r="AR581" s="319"/>
      <c r="AS581" s="319"/>
      <c r="AT581" s="319"/>
      <c r="AU581" s="319"/>
      <c r="AV581" s="319"/>
      <c r="AW581" s="319"/>
      <c r="AX581" s="319"/>
      <c r="AY581" s="319"/>
      <c r="AZ581" s="319"/>
      <c r="BA581" s="319"/>
      <c r="BB581" s="319"/>
      <c r="BC581" s="319"/>
      <c r="BD581" s="319"/>
      <c r="BE581" s="319"/>
      <c r="BF581" s="319"/>
      <c r="BG581" s="319"/>
      <c r="BH581" s="319"/>
      <c r="BI581" s="319"/>
      <c r="BJ581" s="319"/>
      <c r="BK581" s="319"/>
      <c r="BL581" s="319"/>
      <c r="BM581" s="319"/>
      <c r="BN581" s="319"/>
      <c r="BO581" s="319"/>
      <c r="BP581" s="319"/>
      <c r="BQ581" s="319"/>
      <c r="BR581" s="319"/>
      <c r="BS581" s="319"/>
      <c r="BT581" s="319"/>
      <c r="BU581" s="319"/>
      <c r="BV581" s="319"/>
      <c r="BW581" s="319"/>
      <c r="BX581" s="319"/>
      <c r="BY581" s="319"/>
      <c r="BZ581" s="319"/>
      <c r="CA581" s="319"/>
      <c r="CB581" s="319"/>
      <c r="CC581" s="319"/>
      <c r="CD581" s="319"/>
      <c r="CE581" s="319"/>
      <c r="CF581" s="319"/>
    </row>
    <row r="582" spans="1:84" ht="12.75" hidden="1" customHeight="1">
      <c r="A582" s="12"/>
      <c r="B582" s="83" t="str">
        <f>B560</f>
        <v>Combustível #2</v>
      </c>
      <c r="C582" s="1133"/>
      <c r="D582" s="1135"/>
      <c r="E582" s="422"/>
      <c r="F582" s="21" t="str">
        <f>IF(O582="","",VLOOKUP($C582,$B$1176:$F$1289,2,FALSE))</f>
        <v/>
      </c>
      <c r="G582" s="88" t="str">
        <f>IF(OR(C582="",E582=""),"",$Q$562*E582*1000/O582/VLOOKUP($C582,$B$1176:$F$1289,5,FALSE))</f>
        <v/>
      </c>
      <c r="H582" s="21" t="str">
        <f>IF(F582="","",VLOOKUP($C582,$B$1176:$F$1289,3,FALSE))</f>
        <v/>
      </c>
      <c r="I582" s="399"/>
      <c r="J582" s="1370" t="str">
        <f>IF(OR(O582="",G582=0,G582=""),"",G582*I582)</f>
        <v/>
      </c>
      <c r="K582" s="1256"/>
      <c r="L582" s="1"/>
      <c r="M582" s="319"/>
      <c r="N582" s="319"/>
      <c r="O582" s="319" t="str">
        <f>IF(C582="","",VLOOKUP($C582,$B$1176:$F$1289,4,FALSE))</f>
        <v/>
      </c>
      <c r="P582" s="319" t="e">
        <f>O582*$AA$1092</f>
        <v>#VALUE!</v>
      </c>
      <c r="Q582" s="319"/>
      <c r="R582" s="319">
        <f>SUMIF($B$1102:$B$1105,C582,$A$1102:$A$1105)</f>
        <v>0</v>
      </c>
      <c r="S582" s="319"/>
      <c r="T582" s="319"/>
      <c r="U582" s="319"/>
      <c r="V582" s="319"/>
      <c r="W582" s="319"/>
      <c r="X582" s="319"/>
      <c r="Y582" s="319"/>
      <c r="Z582" s="319"/>
      <c r="AA582" s="319"/>
      <c r="AB582" s="319"/>
      <c r="AC582" s="319"/>
      <c r="AD582" s="319"/>
      <c r="AE582" s="319"/>
      <c r="AF582" s="319"/>
      <c r="AG582" s="319"/>
      <c r="AH582" s="319"/>
      <c r="AI582" s="319"/>
      <c r="AJ582" s="319"/>
      <c r="AK582" s="319"/>
      <c r="AL582" s="319"/>
      <c r="AM582" s="319"/>
      <c r="AN582" s="319"/>
      <c r="AO582" s="319">
        <v>2030300</v>
      </c>
      <c r="AP582" s="319"/>
      <c r="AQ582" s="319"/>
      <c r="AR582" s="319"/>
      <c r="AS582" s="319"/>
      <c r="AT582" s="319"/>
      <c r="AU582" s="319"/>
      <c r="AV582" s="319"/>
      <c r="AW582" s="319"/>
      <c r="AX582" s="319"/>
      <c r="AY582" s="319"/>
      <c r="AZ582" s="319"/>
      <c r="BA582" s="319"/>
      <c r="BB582" s="319"/>
      <c r="BC582" s="319"/>
      <c r="BD582" s="319"/>
      <c r="BE582" s="319"/>
      <c r="BF582" s="319"/>
      <c r="BG582" s="319"/>
      <c r="BH582" s="319"/>
      <c r="BI582" s="319"/>
      <c r="BJ582" s="319"/>
      <c r="BK582" s="319"/>
      <c r="BL582" s="319"/>
      <c r="BM582" s="319"/>
      <c r="BN582" s="319"/>
      <c r="BO582" s="319"/>
      <c r="BP582" s="319"/>
      <c r="BQ582" s="319"/>
      <c r="BR582" s="319"/>
      <c r="BS582" s="319"/>
      <c r="BT582" s="319"/>
      <c r="BU582" s="319"/>
      <c r="BV582" s="319"/>
      <c r="BW582" s="319"/>
      <c r="BX582" s="319"/>
      <c r="BY582" s="319"/>
      <c r="BZ582" s="319"/>
      <c r="CA582" s="319"/>
      <c r="CB582" s="319"/>
      <c r="CC582" s="319"/>
      <c r="CD582" s="319"/>
      <c r="CE582" s="319"/>
      <c r="CF582" s="319"/>
    </row>
    <row r="583" spans="1:84" ht="12.75" hidden="1" customHeight="1">
      <c r="A583" s="12"/>
      <c r="B583" s="83" t="str">
        <f>B561</f>
        <v>Combustível #3</v>
      </c>
      <c r="C583" s="1133"/>
      <c r="D583" s="1135"/>
      <c r="E583" s="422"/>
      <c r="F583" s="33" t="str">
        <f>IF(O583="","",VLOOKUP($C583,$B$1176:$F$1289,2,FALSE))</f>
        <v/>
      </c>
      <c r="G583" s="34" t="str">
        <f>IF(OR(C583="",E583=""),"",$Q$562*E583*1000/O583/VLOOKUP($C583,$B$1176:$F$1289,5,FALSE))</f>
        <v/>
      </c>
      <c r="H583" s="33" t="str">
        <f>IF(F583="","",VLOOKUP($C583,$B$1176:$F$1289,3,FALSE))</f>
        <v/>
      </c>
      <c r="I583" s="399"/>
      <c r="J583" s="1383" t="str">
        <f>IF(OR(O583="",G583=0,G583=""),"",G583*I583)</f>
        <v/>
      </c>
      <c r="K583" s="1256"/>
      <c r="L583" s="1"/>
      <c r="M583" s="319"/>
      <c r="N583" s="319"/>
      <c r="O583" s="319" t="str">
        <f>IF(C583="","",VLOOKUP($C583,$B$1176:$F$1289,4,FALSE))</f>
        <v/>
      </c>
      <c r="P583" s="319" t="e">
        <f>O583*$AA$1092</f>
        <v>#VALUE!</v>
      </c>
      <c r="Q583" s="319"/>
      <c r="R583" s="319">
        <f>SUMIF($B$1102:$B$1105,C583,$A$1102:$A$1105)</f>
        <v>0</v>
      </c>
      <c r="S583" s="319"/>
      <c r="T583" s="319"/>
      <c r="U583" s="319"/>
      <c r="V583" s="319"/>
      <c r="W583" s="319"/>
      <c r="X583" s="319"/>
      <c r="Y583" s="319"/>
      <c r="Z583" s="319"/>
      <c r="AA583" s="319"/>
      <c r="AB583" s="319"/>
      <c r="AC583" s="319"/>
      <c r="AD583" s="319"/>
      <c r="AE583" s="319"/>
      <c r="AF583" s="319"/>
      <c r="AG583" s="319"/>
      <c r="AH583" s="319"/>
      <c r="AI583" s="319"/>
      <c r="AJ583" s="319"/>
      <c r="AK583" s="319"/>
      <c r="AL583" s="319"/>
      <c r="AM583" s="319"/>
      <c r="AN583" s="319"/>
      <c r="AO583" s="319">
        <v>2030300</v>
      </c>
      <c r="AP583" s="319"/>
      <c r="AQ583" s="319"/>
      <c r="AR583" s="319"/>
      <c r="AS583" s="319"/>
      <c r="AT583" s="319"/>
      <c r="AU583" s="319"/>
      <c r="AV583" s="319"/>
      <c r="AW583" s="319"/>
      <c r="AX583" s="319"/>
      <c r="AY583" s="319"/>
      <c r="AZ583" s="319"/>
      <c r="BA583" s="319"/>
      <c r="BB583" s="319"/>
      <c r="BC583" s="319"/>
      <c r="BD583" s="319"/>
      <c r="BE583" s="319"/>
      <c r="BF583" s="319"/>
      <c r="BG583" s="319"/>
      <c r="BH583" s="319"/>
      <c r="BI583" s="319"/>
      <c r="BJ583" s="319"/>
      <c r="BK583" s="319"/>
      <c r="BL583" s="319"/>
      <c r="BM583" s="319"/>
      <c r="BN583" s="319"/>
      <c r="BO583" s="319"/>
      <c r="BP583" s="319"/>
      <c r="BQ583" s="319"/>
      <c r="BR583" s="319"/>
      <c r="BS583" s="319"/>
      <c r="BT583" s="319"/>
      <c r="BU583" s="319"/>
      <c r="BV583" s="319"/>
      <c r="BW583" s="319"/>
      <c r="BX583" s="319"/>
      <c r="BY583" s="319"/>
      <c r="BZ583" s="319"/>
      <c r="CA583" s="319"/>
      <c r="CB583" s="319"/>
      <c r="CC583" s="319"/>
      <c r="CD583" s="319"/>
      <c r="CE583" s="319"/>
      <c r="CF583" s="319"/>
    </row>
    <row r="584" spans="1:84" ht="12.75" hidden="1" customHeight="1">
      <c r="A584" s="12"/>
      <c r="B584" s="1"/>
      <c r="C584" s="1"/>
      <c r="D584" s="1"/>
      <c r="E584" s="40">
        <f>SUM(E581:E583)</f>
        <v>0</v>
      </c>
      <c r="F584" s="1"/>
      <c r="G584" s="1"/>
      <c r="H584" s="29" t="str">
        <f>H46</f>
        <v>€/MWh</v>
      </c>
      <c r="I584" s="124">
        <f>IF(Q562=0,0,J584/Q562)*3.6</f>
        <v>0</v>
      </c>
      <c r="J584" s="1358">
        <f>SUM(J581:J583)</f>
        <v>0</v>
      </c>
      <c r="K584" s="9"/>
      <c r="L584" s="1"/>
      <c r="M584" s="319"/>
      <c r="N584" s="319"/>
      <c r="O584" s="319"/>
      <c r="P584" s="319"/>
      <c r="Q584" s="319"/>
      <c r="R584" s="319">
        <f>SUM(R581:R583)</f>
        <v>0</v>
      </c>
      <c r="S584" s="319"/>
      <c r="T584" s="319"/>
      <c r="U584" s="319"/>
      <c r="V584" s="319"/>
      <c r="W584" s="319"/>
      <c r="X584" s="319"/>
      <c r="Y584" s="319"/>
      <c r="Z584" s="319"/>
      <c r="AA584" s="319"/>
      <c r="AB584" s="319"/>
      <c r="AC584" s="319"/>
      <c r="AD584" s="319"/>
      <c r="AE584" s="319"/>
      <c r="AF584" s="319"/>
      <c r="AG584" s="319"/>
      <c r="AH584" s="319"/>
      <c r="AI584" s="319"/>
      <c r="AJ584" s="319"/>
      <c r="AK584" s="319"/>
      <c r="AL584" s="319"/>
      <c r="AM584" s="319"/>
      <c r="AN584" s="319"/>
      <c r="AO584" s="319">
        <v>2030300</v>
      </c>
      <c r="AP584" s="319"/>
      <c r="AQ584" s="319"/>
      <c r="AR584" s="319"/>
      <c r="AS584" s="319"/>
      <c r="AT584" s="319"/>
      <c r="AU584" s="319"/>
      <c r="AV584" s="319"/>
      <c r="AW584" s="319"/>
      <c r="AX584" s="319"/>
      <c r="AY584" s="319"/>
      <c r="AZ584" s="319"/>
      <c r="BA584" s="319"/>
      <c r="BB584" s="319"/>
      <c r="BC584" s="319"/>
      <c r="BD584" s="319"/>
      <c r="BE584" s="319"/>
      <c r="BF584" s="319"/>
      <c r="BG584" s="319"/>
      <c r="BH584" s="319"/>
      <c r="BI584" s="319"/>
      <c r="BJ584" s="319"/>
      <c r="BK584" s="319"/>
      <c r="BL584" s="319"/>
      <c r="BM584" s="319"/>
      <c r="BN584" s="319"/>
      <c r="BO584" s="319"/>
      <c r="BP584" s="319"/>
      <c r="BQ584" s="319"/>
      <c r="BR584" s="319"/>
      <c r="BS584" s="319"/>
      <c r="BT584" s="319"/>
      <c r="BU584" s="319"/>
      <c r="BV584" s="319"/>
      <c r="BW584" s="319"/>
      <c r="BX584" s="319"/>
      <c r="BY584" s="319"/>
      <c r="BZ584" s="319"/>
      <c r="CA584" s="319"/>
      <c r="CB584" s="319"/>
      <c r="CC584" s="319"/>
      <c r="CD584" s="319"/>
      <c r="CE584" s="319"/>
      <c r="CF584" s="319"/>
    </row>
    <row r="585" spans="1:84" ht="12.75" hidden="1" customHeight="1">
      <c r="A585" s="12"/>
      <c r="B585" s="1"/>
      <c r="C585" s="1"/>
      <c r="D585" s="1"/>
      <c r="E585" s="1"/>
      <c r="F585" s="1"/>
      <c r="G585" s="1"/>
      <c r="H585" s="1"/>
      <c r="I585" s="1"/>
      <c r="J585" s="1"/>
      <c r="K585" s="9"/>
      <c r="L585" s="1"/>
      <c r="M585" s="319"/>
      <c r="N585" s="319"/>
      <c r="O585" s="319"/>
      <c r="P585" s="319"/>
      <c r="Q585" s="319"/>
      <c r="R585" s="319"/>
      <c r="S585" s="319"/>
      <c r="T585" s="319"/>
      <c r="U585" s="319"/>
      <c r="V585" s="319"/>
      <c r="W585" s="319"/>
      <c r="X585" s="319"/>
      <c r="Y585" s="319"/>
      <c r="Z585" s="319"/>
      <c r="AA585" s="319"/>
      <c r="AB585" s="319"/>
      <c r="AC585" s="319"/>
      <c r="AD585" s="319"/>
      <c r="AE585" s="319"/>
      <c r="AF585" s="319"/>
      <c r="AG585" s="319"/>
      <c r="AH585" s="319"/>
      <c r="AI585" s="319"/>
      <c r="AJ585" s="319"/>
      <c r="AK585" s="319"/>
      <c r="AL585" s="319"/>
      <c r="AM585" s="319"/>
      <c r="AN585" s="319"/>
      <c r="AO585" s="319">
        <v>2030300</v>
      </c>
      <c r="AP585" s="319"/>
      <c r="AQ585" s="319"/>
      <c r="AR585" s="319"/>
      <c r="AS585" s="319"/>
      <c r="AT585" s="319"/>
      <c r="AU585" s="319"/>
      <c r="AV585" s="319"/>
      <c r="AW585" s="319"/>
      <c r="AX585" s="319"/>
      <c r="AY585" s="319"/>
      <c r="AZ585" s="319"/>
      <c r="BA585" s="319"/>
      <c r="BB585" s="319"/>
      <c r="BC585" s="319"/>
      <c r="BD585" s="319"/>
      <c r="BE585" s="319"/>
      <c r="BF585" s="319"/>
      <c r="BG585" s="319"/>
      <c r="BH585" s="319"/>
      <c r="BI585" s="319"/>
      <c r="BJ585" s="319"/>
      <c r="BK585" s="319"/>
      <c r="BL585" s="319"/>
      <c r="BM585" s="319"/>
      <c r="BN585" s="319"/>
      <c r="BO585" s="319"/>
      <c r="BP585" s="319"/>
      <c r="BQ585" s="319"/>
      <c r="BR585" s="319"/>
      <c r="BS585" s="319"/>
      <c r="BT585" s="319"/>
      <c r="BU585" s="319"/>
      <c r="BV585" s="319"/>
      <c r="BW585" s="319"/>
      <c r="BX585" s="319"/>
      <c r="BY585" s="319"/>
      <c r="BZ585" s="319"/>
      <c r="CA585" s="319"/>
      <c r="CB585" s="319"/>
      <c r="CC585" s="319"/>
      <c r="CD585" s="319"/>
      <c r="CE585" s="319"/>
      <c r="CF585" s="319"/>
    </row>
    <row r="586" spans="1:84" ht="12.75" hidden="1" customHeight="1">
      <c r="A586" s="12" t="s">
        <v>708</v>
      </c>
      <c r="B586" s="28" t="str">
        <f>C549</f>
        <v>Sistema à biomassa</v>
      </c>
      <c r="C586" s="1"/>
      <c r="D586" s="1"/>
      <c r="E586" s="1"/>
      <c r="F586" s="1"/>
      <c r="G586" s="1"/>
      <c r="H586" s="1"/>
      <c r="I586" s="1"/>
      <c r="J586" s="1"/>
      <c r="K586" s="9"/>
      <c r="L586" s="1"/>
      <c r="M586" s="319"/>
      <c r="N586" s="319"/>
      <c r="O586" s="319"/>
      <c r="P586" s="319"/>
      <c r="Q586" s="319"/>
      <c r="R586" s="319"/>
      <c r="S586" s="319"/>
      <c r="T586" s="319"/>
      <c r="U586" s="319"/>
      <c r="V586" s="319"/>
      <c r="W586" s="319"/>
      <c r="X586" s="319"/>
      <c r="Y586" s="319"/>
      <c r="Z586" s="319"/>
      <c r="AA586" s="319"/>
      <c r="AB586" s="319"/>
      <c r="AC586" s="319"/>
      <c r="AD586" s="319"/>
      <c r="AE586" s="319"/>
      <c r="AF586" s="319"/>
      <c r="AG586" s="319"/>
      <c r="AH586" s="319"/>
      <c r="AI586" s="319"/>
      <c r="AJ586" s="319"/>
      <c r="AK586" s="319"/>
      <c r="AL586" s="319"/>
      <c r="AM586" s="319"/>
      <c r="AN586" s="319"/>
      <c r="AO586" s="319">
        <v>2020104</v>
      </c>
      <c r="AP586" s="319"/>
      <c r="AQ586" s="319"/>
      <c r="AR586" s="319"/>
      <c r="AS586" s="319"/>
      <c r="AT586" s="319"/>
      <c r="AU586" s="319"/>
      <c r="AV586" s="319"/>
      <c r="AW586" s="319"/>
      <c r="AX586" s="319"/>
      <c r="AY586" s="319"/>
      <c r="AZ586" s="319"/>
      <c r="BA586" s="319"/>
      <c r="BB586" s="319"/>
      <c r="BC586" s="319"/>
      <c r="BD586" s="319"/>
      <c r="BE586" s="319"/>
      <c r="BF586" s="319"/>
      <c r="BG586" s="319"/>
      <c r="BH586" s="319"/>
      <c r="BI586" s="319"/>
      <c r="BJ586" s="319"/>
      <c r="BK586" s="319"/>
      <c r="BL586" s="319"/>
      <c r="BM586" s="319"/>
      <c r="BN586" s="319"/>
      <c r="BO586" s="319"/>
      <c r="BP586" s="319"/>
      <c r="BQ586" s="319"/>
      <c r="BR586" s="319"/>
      <c r="BS586" s="319"/>
      <c r="BT586" s="319"/>
      <c r="BU586" s="319"/>
      <c r="BV586" s="319"/>
      <c r="BW586" s="319"/>
      <c r="BX586" s="319"/>
      <c r="BY586" s="319"/>
      <c r="BZ586" s="319"/>
      <c r="CA586" s="319"/>
      <c r="CB586" s="319"/>
      <c r="CC586" s="319"/>
      <c r="CD586" s="319"/>
      <c r="CE586" s="319"/>
      <c r="CF586" s="319"/>
    </row>
    <row r="587" spans="1:84" ht="12.75" hidden="1" customHeight="1">
      <c r="A587" s="12"/>
      <c r="B587" s="329" t="str">
        <f>Language!C202</f>
        <v>Capacidade</v>
      </c>
      <c r="C587" s="303" t="s">
        <v>5700</v>
      </c>
      <c r="D587" s="412"/>
      <c r="E587" s="80" t="e">
        <f>S587/$Q$866</f>
        <v>#DIV/0!</v>
      </c>
      <c r="F587" s="1"/>
      <c r="G587" s="1"/>
      <c r="H587" s="1346">
        <v>0</v>
      </c>
      <c r="I587" s="1252" t="str">
        <f>$I$79</f>
        <v>Ver banco de dados de produtos</v>
      </c>
      <c r="J587" s="1191"/>
      <c r="K587" s="1210"/>
      <c r="L587" s="1"/>
      <c r="M587" s="319"/>
      <c r="N587" s="319"/>
      <c r="O587" s="319"/>
      <c r="P587" s="319"/>
      <c r="Q587" s="319"/>
      <c r="R587" s="319" t="s">
        <v>5700</v>
      </c>
      <c r="S587" s="319">
        <f>IF(C587=$Z$1086,D587,D587/$AA$1087)</f>
        <v>0</v>
      </c>
      <c r="T587" s="319"/>
      <c r="U587" s="319"/>
      <c r="V587" s="319"/>
      <c r="W587" s="319"/>
      <c r="X587" s="319"/>
      <c r="Y587" s="319"/>
      <c r="Z587" s="319"/>
      <c r="AA587" s="319"/>
      <c r="AB587" s="319"/>
      <c r="AC587" s="319"/>
      <c r="AD587" s="319"/>
      <c r="AE587" s="319"/>
      <c r="AF587" s="319"/>
      <c r="AG587" s="319"/>
      <c r="AH587" s="319"/>
      <c r="AI587" s="319"/>
      <c r="AJ587" s="319"/>
      <c r="AK587" s="319"/>
      <c r="AL587" s="319"/>
      <c r="AM587" s="319"/>
      <c r="AN587" s="319"/>
      <c r="AO587" s="319">
        <v>2020200</v>
      </c>
      <c r="AP587" s="319"/>
      <c r="AQ587" s="319"/>
      <c r="AR587" s="319"/>
      <c r="AS587" s="319"/>
      <c r="AT587" s="319"/>
      <c r="AU587" s="319"/>
      <c r="AV587" s="319"/>
      <c r="AW587" s="319"/>
      <c r="AX587" s="319"/>
      <c r="AY587" s="319"/>
      <c r="AZ587" s="319"/>
      <c r="BA587" s="319"/>
      <c r="BB587" s="319"/>
      <c r="BC587" s="319"/>
      <c r="BD587" s="319"/>
      <c r="BE587" s="319"/>
      <c r="BF587" s="319"/>
      <c r="BG587" s="319"/>
      <c r="BH587" s="319"/>
      <c r="BI587" s="319"/>
      <c r="BJ587" s="319"/>
      <c r="BK587" s="319"/>
      <c r="BL587" s="319"/>
      <c r="BM587" s="319"/>
      <c r="BN587" s="319"/>
      <c r="BO587" s="319"/>
      <c r="BP587" s="319"/>
      <c r="BQ587" s="319"/>
      <c r="BR587" s="319"/>
      <c r="BS587" s="319"/>
      <c r="BT587" s="319"/>
      <c r="BU587" s="319"/>
      <c r="BV587" s="319"/>
      <c r="BW587" s="319"/>
      <c r="BX587" s="319"/>
      <c r="BY587" s="319"/>
      <c r="BZ587" s="319"/>
      <c r="CA587" s="319"/>
      <c r="CB587" s="319"/>
      <c r="CC587" s="319"/>
      <c r="CD587" s="319"/>
      <c r="CE587" s="319"/>
      <c r="CF587" s="319"/>
    </row>
    <row r="588" spans="1:84" ht="12.75" hidden="1" customHeight="1">
      <c r="A588" s="12"/>
      <c r="B588" s="329" t="str">
        <f>B73</f>
        <v>Calor fornecido</v>
      </c>
      <c r="C588" s="29" t="str">
        <f>IF(Unit=TRUE,R588,T588)</f>
        <v>MWh</v>
      </c>
      <c r="D588" s="30">
        <f>IF(Unit=TRUE,S588,U588)</f>
        <v>0</v>
      </c>
      <c r="E588" s="80" t="e">
        <f>S588/$Q$867</f>
        <v>#DIV/0!</v>
      </c>
      <c r="F588" s="29" t="str">
        <f>IF($M$3=FALSE,"",IF(Unit=FALSE,R588,T588))</f>
        <v/>
      </c>
      <c r="G588" s="140" t="str">
        <f>IF($M$3=FALSE,"",IF(Unit=FALSE,S588,U588))</f>
        <v/>
      </c>
      <c r="H588" s="1"/>
      <c r="I588" s="1"/>
      <c r="J588" s="1"/>
      <c r="K588" s="9"/>
      <c r="L588" s="1"/>
      <c r="M588" s="319"/>
      <c r="N588" s="319"/>
      <c r="O588" s="319"/>
      <c r="P588" s="319"/>
      <c r="Q588" s="319"/>
      <c r="R588" s="319" t="str">
        <f>$R$25</f>
        <v>MWh</v>
      </c>
      <c r="S588" s="319">
        <f>G1110</f>
        <v>0</v>
      </c>
      <c r="T588" s="319" t="str">
        <f>$T$73</f>
        <v>milhão Btu</v>
      </c>
      <c r="U588" s="319">
        <f>S588*$AB$1087</f>
        <v>0</v>
      </c>
      <c r="V588" s="319"/>
      <c r="W588" s="319"/>
      <c r="X588" s="319"/>
      <c r="Y588" s="319"/>
      <c r="Z588" s="319"/>
      <c r="AA588" s="319"/>
      <c r="AB588" s="319"/>
      <c r="AC588" s="319"/>
      <c r="AD588" s="319"/>
      <c r="AE588" s="319"/>
      <c r="AF588" s="319"/>
      <c r="AG588" s="319"/>
      <c r="AH588" s="319"/>
      <c r="AI588" s="319"/>
      <c r="AJ588" s="319"/>
      <c r="AK588" s="319"/>
      <c r="AL588" s="319"/>
      <c r="AM588" s="319"/>
      <c r="AN588" s="319"/>
      <c r="AO588" s="319">
        <v>2020202</v>
      </c>
      <c r="AP588" s="319"/>
      <c r="AQ588" s="319"/>
      <c r="AR588" s="319"/>
      <c r="AS588" s="319"/>
      <c r="AT588" s="319"/>
      <c r="AU588" s="319"/>
      <c r="AV588" s="319"/>
      <c r="AW588" s="319"/>
      <c r="AX588" s="319"/>
      <c r="AY588" s="319"/>
      <c r="AZ588" s="319"/>
      <c r="BA588" s="319"/>
      <c r="BB588" s="319"/>
      <c r="BC588" s="319"/>
      <c r="BD588" s="319"/>
      <c r="BE588" s="319"/>
      <c r="BF588" s="319"/>
      <c r="BG588" s="319"/>
      <c r="BH588" s="319"/>
      <c r="BI588" s="319"/>
      <c r="BJ588" s="319"/>
      <c r="BK588" s="319"/>
      <c r="BL588" s="319"/>
      <c r="BM588" s="319"/>
      <c r="BN588" s="319"/>
      <c r="BO588" s="319"/>
      <c r="BP588" s="319"/>
      <c r="BQ588" s="319"/>
      <c r="BR588" s="319"/>
      <c r="BS588" s="319"/>
      <c r="BT588" s="319"/>
      <c r="BU588" s="319"/>
      <c r="BV588" s="319"/>
      <c r="BW588" s="319"/>
      <c r="BX588" s="319"/>
      <c r="BY588" s="319"/>
      <c r="BZ588" s="319"/>
      <c r="CA588" s="319"/>
      <c r="CB588" s="319"/>
      <c r="CC588" s="319"/>
      <c r="CD588" s="319"/>
      <c r="CE588" s="319"/>
      <c r="CF588" s="319"/>
    </row>
    <row r="589" spans="1:84" ht="12.75" hidden="1" customHeight="1">
      <c r="A589" s="12"/>
      <c r="B589" s="329" t="str">
        <f>B12</f>
        <v>Fabricante</v>
      </c>
      <c r="C589" s="1152"/>
      <c r="D589" s="1153"/>
      <c r="E589" s="1154"/>
      <c r="F589" s="1"/>
      <c r="G589" s="1"/>
      <c r="H589" s="1"/>
      <c r="I589" s="1"/>
      <c r="J589" s="1"/>
      <c r="K589" s="9"/>
      <c r="L589" s="1"/>
      <c r="M589" s="319"/>
      <c r="N589" s="319"/>
      <c r="O589" s="319"/>
      <c r="P589" s="319"/>
      <c r="Q589" s="319"/>
      <c r="R589" s="319"/>
      <c r="S589" s="319"/>
      <c r="T589" s="319"/>
      <c r="U589" s="319"/>
      <c r="V589" s="319"/>
      <c r="W589" s="319"/>
      <c r="X589" s="319"/>
      <c r="Y589" s="319"/>
      <c r="Z589" s="319"/>
      <c r="AA589" s="319"/>
      <c r="AB589" s="319"/>
      <c r="AC589" s="319"/>
      <c r="AD589" s="319"/>
      <c r="AE589" s="319"/>
      <c r="AF589" s="319"/>
      <c r="AG589" s="319"/>
      <c r="AH589" s="319"/>
      <c r="AI589" s="319"/>
      <c r="AJ589" s="319"/>
      <c r="AK589" s="319"/>
      <c r="AL589" s="319"/>
      <c r="AM589" s="319"/>
      <c r="AN589" s="319"/>
      <c r="AO589" s="319">
        <v>2050012</v>
      </c>
      <c r="AP589" s="319"/>
      <c r="AQ589" s="319"/>
      <c r="AR589" s="319"/>
      <c r="AS589" s="319"/>
      <c r="AT589" s="319"/>
      <c r="AU589" s="319"/>
      <c r="AV589" s="319"/>
      <c r="AW589" s="319"/>
      <c r="AX589" s="319"/>
      <c r="AY589" s="319"/>
      <c r="AZ589" s="319"/>
      <c r="BA589" s="319"/>
      <c r="BB589" s="319"/>
      <c r="BC589" s="319"/>
      <c r="BD589" s="319"/>
      <c r="BE589" s="319"/>
      <c r="BF589" s="319"/>
      <c r="BG589" s="319"/>
      <c r="BH589" s="319"/>
      <c r="BI589" s="319"/>
      <c r="BJ589" s="319"/>
      <c r="BK589" s="319"/>
      <c r="BL589" s="319"/>
      <c r="BM589" s="319"/>
      <c r="BN589" s="319"/>
      <c r="BO589" s="319"/>
      <c r="BP589" s="319"/>
      <c r="BQ589" s="319"/>
      <c r="BR589" s="319"/>
      <c r="BS589" s="319"/>
      <c r="BT589" s="319"/>
      <c r="BU589" s="319"/>
      <c r="BV589" s="319"/>
      <c r="BW589" s="319"/>
      <c r="BX589" s="319"/>
      <c r="BY589" s="319"/>
      <c r="BZ589" s="319"/>
      <c r="CA589" s="319"/>
      <c r="CB589" s="319"/>
      <c r="CC589" s="319"/>
      <c r="CD589" s="319"/>
      <c r="CE589" s="319"/>
      <c r="CF589" s="319"/>
    </row>
    <row r="590" spans="1:84" ht="12.75" hidden="1" customHeight="1">
      <c r="A590" s="12"/>
      <c r="B590" s="329" t="str">
        <f>B13</f>
        <v>Modelo</v>
      </c>
      <c r="C590" s="1152"/>
      <c r="D590" s="1153"/>
      <c r="E590" s="1154"/>
      <c r="F590" s="1" t="str">
        <f>$J$1085 &amp; Lang_Unit</f>
        <v xml:space="preserve"> unidade(s)</v>
      </c>
      <c r="G590" s="1"/>
      <c r="H590" s="1"/>
      <c r="I590" s="1"/>
      <c r="J590" s="1"/>
      <c r="K590" s="9"/>
      <c r="L590" s="1"/>
      <c r="M590" s="319"/>
      <c r="N590" s="319"/>
      <c r="O590" s="319"/>
      <c r="P590" s="319"/>
      <c r="Q590" s="319"/>
      <c r="R590" s="319"/>
      <c r="S590" s="319"/>
      <c r="T590" s="319"/>
      <c r="U590" s="319"/>
      <c r="V590" s="319"/>
      <c r="W590" s="319"/>
      <c r="X590" s="319"/>
      <c r="Y590" s="319"/>
      <c r="Z590" s="319"/>
      <c r="AA590" s="319"/>
      <c r="AB590" s="319"/>
      <c r="AC590" s="319"/>
      <c r="AD590" s="319"/>
      <c r="AE590" s="319"/>
      <c r="AF590" s="319"/>
      <c r="AG590" s="319"/>
      <c r="AH590" s="319"/>
      <c r="AI590" s="319"/>
      <c r="AJ590" s="319"/>
      <c r="AK590" s="319"/>
      <c r="AL590" s="319"/>
      <c r="AM590" s="319"/>
      <c r="AN590" s="319"/>
      <c r="AO590" s="319">
        <v>2050014</v>
      </c>
      <c r="AP590" s="319"/>
      <c r="AQ590" s="319"/>
      <c r="AR590" s="319"/>
      <c r="AS590" s="319"/>
      <c r="AT590" s="319"/>
      <c r="AU590" s="319"/>
      <c r="AV590" s="319"/>
      <c r="AW590" s="319"/>
      <c r="AX590" s="319"/>
      <c r="AY590" s="319"/>
      <c r="AZ590" s="319"/>
      <c r="BA590" s="319"/>
      <c r="BB590" s="319"/>
      <c r="BC590" s="319"/>
      <c r="BD590" s="319"/>
      <c r="BE590" s="319"/>
      <c r="BF590" s="319"/>
      <c r="BG590" s="319"/>
      <c r="BH590" s="319"/>
      <c r="BI590" s="319"/>
      <c r="BJ590" s="319"/>
      <c r="BK590" s="319"/>
      <c r="BL590" s="319"/>
      <c r="BM590" s="319"/>
      <c r="BN590" s="319"/>
      <c r="BO590" s="319"/>
      <c r="BP590" s="319"/>
      <c r="BQ590" s="319"/>
      <c r="BR590" s="319"/>
      <c r="BS590" s="319"/>
      <c r="BT590" s="319"/>
      <c r="BU590" s="319"/>
      <c r="BV590" s="319"/>
      <c r="BW590" s="319"/>
      <c r="BX590" s="319"/>
      <c r="BY590" s="319"/>
      <c r="BZ590" s="319"/>
      <c r="CA590" s="319"/>
      <c r="CB590" s="319"/>
      <c r="CC590" s="319"/>
      <c r="CD590" s="319"/>
      <c r="CE590" s="319"/>
      <c r="CF590" s="319"/>
    </row>
    <row r="591" spans="1:84" ht="12.75" hidden="1" customHeight="1">
      <c r="A591" s="12"/>
      <c r="B591" s="329" t="str">
        <f>B909</f>
        <v>Eficiência Sazonal</v>
      </c>
      <c r="C591" s="29" t="str">
        <f>$T$35</f>
        <v>%</v>
      </c>
      <c r="D591" s="422"/>
      <c r="E591" s="1"/>
      <c r="F591" s="1"/>
      <c r="G591" s="1"/>
      <c r="H591" s="1"/>
      <c r="I591" s="1"/>
      <c r="J591" s="1"/>
      <c r="K591" s="9"/>
      <c r="L591" s="1"/>
      <c r="M591" s="319"/>
      <c r="N591" s="319"/>
      <c r="O591" s="319"/>
      <c r="P591" s="319"/>
      <c r="Q591" s="319"/>
      <c r="R591" s="319"/>
      <c r="S591" s="319"/>
      <c r="T591" s="319"/>
      <c r="U591" s="319"/>
      <c r="V591" s="319"/>
      <c r="W591" s="319"/>
      <c r="X591" s="319"/>
      <c r="Y591" s="319"/>
      <c r="Z591" s="319"/>
      <c r="AA591" s="319"/>
      <c r="AB591" s="319"/>
      <c r="AC591" s="319"/>
      <c r="AD591" s="319"/>
      <c r="AE591" s="319"/>
      <c r="AF591" s="319"/>
      <c r="AG591" s="319"/>
      <c r="AH591" s="319"/>
      <c r="AI591" s="319"/>
      <c r="AJ591" s="319"/>
      <c r="AK591" s="319"/>
      <c r="AL591" s="319"/>
      <c r="AM591" s="319"/>
      <c r="AN591" s="319"/>
      <c r="AO591" s="319">
        <v>2020208</v>
      </c>
      <c r="AP591" s="319"/>
      <c r="AQ591" s="319"/>
      <c r="AR591" s="319"/>
      <c r="AS591" s="319"/>
      <c r="AT591" s="319"/>
      <c r="AU591" s="319"/>
      <c r="AV591" s="319"/>
      <c r="AW591" s="319"/>
      <c r="AX591" s="319"/>
      <c r="AY591" s="319"/>
      <c r="AZ591" s="319"/>
      <c r="BA591" s="319"/>
      <c r="BB591" s="319"/>
      <c r="BC591" s="319"/>
      <c r="BD591" s="319"/>
      <c r="BE591" s="319"/>
      <c r="BF591" s="319"/>
      <c r="BG591" s="319"/>
      <c r="BH591" s="319"/>
      <c r="BI591" s="319"/>
      <c r="BJ591" s="319"/>
      <c r="BK591" s="319"/>
      <c r="BL591" s="319"/>
      <c r="BM591" s="319"/>
      <c r="BN591" s="319"/>
      <c r="BO591" s="319"/>
      <c r="BP591" s="319"/>
      <c r="BQ591" s="319"/>
      <c r="BR591" s="319"/>
      <c r="BS591" s="319"/>
      <c r="BT591" s="319"/>
      <c r="BU591" s="319"/>
      <c r="BV591" s="319"/>
      <c r="BW591" s="319"/>
      <c r="BX591" s="319"/>
      <c r="BY591" s="319"/>
      <c r="BZ591" s="319"/>
      <c r="CA591" s="319"/>
      <c r="CB591" s="319"/>
      <c r="CC591" s="319"/>
      <c r="CD591" s="319"/>
      <c r="CE591" s="319"/>
      <c r="CF591" s="319"/>
    </row>
    <row r="592" spans="1:84" ht="12.75" hidden="1" customHeight="1">
      <c r="A592" s="14"/>
      <c r="B592" s="380" t="str">
        <f>B77</f>
        <v>Combustível necessário</v>
      </c>
      <c r="C592" s="33" t="str">
        <f>IF(Unit=TRUE,R592,T592)</f>
        <v>GJ/h</v>
      </c>
      <c r="D592" s="34" t="e">
        <f>IF(Unit=TRUE,S592,U592)</f>
        <v>#DIV/0!</v>
      </c>
      <c r="E592" s="15"/>
      <c r="F592" s="33" t="str">
        <f>IF($M$3=FALSE,"",IF(Unit=FALSE,R592,T592))</f>
        <v/>
      </c>
      <c r="G592" s="245" t="str">
        <f>IF($M$3=FALSE,"",IF(Unit=FALSE,S592,U592))</f>
        <v/>
      </c>
      <c r="H592" s="15"/>
      <c r="I592" s="15"/>
      <c r="J592" s="15"/>
      <c r="K592" s="11"/>
      <c r="L592" s="1"/>
      <c r="M592" s="319"/>
      <c r="N592" s="319"/>
      <c r="O592" s="319"/>
      <c r="P592" s="319"/>
      <c r="Q592" s="319"/>
      <c r="R592" s="319" t="str">
        <f>$R$77</f>
        <v>GJ/h</v>
      </c>
      <c r="S592" s="319" t="e">
        <f>S587/D591*3.6/1000</f>
        <v>#DIV/0!</v>
      </c>
      <c r="T592" s="319" t="str">
        <f>$T$77</f>
        <v>milhão Btu/h</v>
      </c>
      <c r="U592" s="319" t="e">
        <f>S592/$AA$1082</f>
        <v>#DIV/0!</v>
      </c>
      <c r="V592" s="319"/>
      <c r="W592" s="319"/>
      <c r="X592" s="319"/>
      <c r="Y592" s="319"/>
      <c r="Z592" s="319"/>
      <c r="AA592" s="319"/>
      <c r="AB592" s="319"/>
      <c r="AC592" s="319"/>
      <c r="AD592" s="319"/>
      <c r="AE592" s="319"/>
      <c r="AF592" s="319"/>
      <c r="AG592" s="319"/>
      <c r="AH592" s="319"/>
      <c r="AI592" s="319"/>
      <c r="AJ592" s="319"/>
      <c r="AK592" s="319"/>
      <c r="AL592" s="319"/>
      <c r="AM592" s="319"/>
      <c r="AN592" s="319"/>
      <c r="AO592" s="319">
        <v>2020222</v>
      </c>
      <c r="AP592" s="319"/>
      <c r="AQ592" s="319"/>
      <c r="AR592" s="319"/>
      <c r="AS592" s="319"/>
      <c r="AT592" s="319"/>
      <c r="AU592" s="319"/>
      <c r="AV592" s="319"/>
      <c r="AW592" s="319"/>
      <c r="AX592" s="319"/>
      <c r="AY592" s="319"/>
      <c r="AZ592" s="319"/>
      <c r="BA592" s="319"/>
      <c r="BB592" s="319"/>
      <c r="BC592" s="319"/>
      <c r="BD592" s="319"/>
      <c r="BE592" s="319"/>
      <c r="BF592" s="319"/>
      <c r="BG592" s="319"/>
      <c r="BH592" s="319"/>
      <c r="BI592" s="319"/>
      <c r="BJ592" s="319"/>
      <c r="BK592" s="319"/>
      <c r="BL592" s="319"/>
      <c r="BM592" s="319"/>
      <c r="BN592" s="319"/>
      <c r="BO592" s="319"/>
      <c r="BP592" s="319"/>
      <c r="BQ592" s="319"/>
      <c r="BR592" s="319"/>
      <c r="BS592" s="319"/>
      <c r="BT592" s="319"/>
      <c r="BU592" s="319"/>
      <c r="BV592" s="319"/>
      <c r="BW592" s="319"/>
      <c r="BX592" s="319"/>
      <c r="BY592" s="319"/>
      <c r="BZ592" s="319"/>
      <c r="CA592" s="319"/>
      <c r="CB592" s="319"/>
      <c r="CC592" s="319"/>
      <c r="CD592" s="319"/>
      <c r="CE592" s="319"/>
      <c r="CF592" s="319"/>
    </row>
    <row r="593" spans="1:84" ht="12.75" hidden="1" customHeight="1">
      <c r="A593" s="12"/>
      <c r="B593" s="1"/>
      <c r="C593" s="1"/>
      <c r="D593" s="1"/>
      <c r="E593" s="1"/>
      <c r="F593" s="1"/>
      <c r="G593" s="1"/>
      <c r="H593" s="1"/>
      <c r="I593" s="1"/>
      <c r="J593" s="1"/>
      <c r="K593" s="9"/>
      <c r="L593" s="1"/>
      <c r="M593" s="319"/>
      <c r="N593" s="319"/>
      <c r="O593" s="319"/>
      <c r="P593" s="319"/>
      <c r="Q593" s="319"/>
      <c r="R593" s="319"/>
      <c r="S593" s="319"/>
      <c r="T593" s="319"/>
      <c r="U593" s="319"/>
      <c r="V593" s="319"/>
      <c r="W593" s="319"/>
      <c r="X593" s="319"/>
      <c r="Y593" s="319"/>
      <c r="Z593" s="319"/>
      <c r="AA593" s="319"/>
      <c r="AB593" s="319"/>
      <c r="AC593" s="319"/>
      <c r="AD593" s="319"/>
      <c r="AE593" s="319"/>
      <c r="AF593" s="319"/>
      <c r="AG593" s="319"/>
      <c r="AH593" s="319"/>
      <c r="AI593" s="319"/>
      <c r="AJ593" s="319"/>
      <c r="AK593" s="319"/>
      <c r="AL593" s="319"/>
      <c r="AM593" s="319"/>
      <c r="AN593" s="319"/>
      <c r="AO593" s="319">
        <v>2000000</v>
      </c>
      <c r="AP593" s="319"/>
      <c r="AQ593" s="319"/>
      <c r="AR593" s="319"/>
      <c r="AS593" s="319"/>
      <c r="AT593" s="319"/>
      <c r="AU593" s="319"/>
      <c r="AV593" s="319"/>
      <c r="AW593" s="319"/>
      <c r="AX593" s="319"/>
      <c r="AY593" s="319"/>
      <c r="AZ593" s="319"/>
      <c r="BA593" s="319"/>
      <c r="BB593" s="319"/>
      <c r="BC593" s="319"/>
      <c r="BD593" s="319"/>
      <c r="BE593" s="319"/>
      <c r="BF593" s="319"/>
      <c r="BG593" s="319"/>
      <c r="BH593" s="319"/>
      <c r="BI593" s="319"/>
      <c r="BJ593" s="319"/>
      <c r="BK593" s="319"/>
      <c r="BL593" s="319"/>
      <c r="BM593" s="319"/>
      <c r="BN593" s="319"/>
      <c r="BO593" s="319"/>
      <c r="BP593" s="319"/>
      <c r="BQ593" s="319"/>
      <c r="BR593" s="319"/>
      <c r="BS593" s="319"/>
      <c r="BT593" s="319"/>
      <c r="BU593" s="319"/>
      <c r="BV593" s="319"/>
      <c r="BW593" s="319"/>
      <c r="BX593" s="319"/>
      <c r="BY593" s="319"/>
      <c r="BZ593" s="319"/>
      <c r="CA593" s="319"/>
      <c r="CB593" s="319"/>
      <c r="CC593" s="319"/>
      <c r="CD593" s="319"/>
      <c r="CE593" s="319"/>
      <c r="CF593" s="319"/>
    </row>
    <row r="594" spans="1:84" ht="12.75" hidden="1" customHeight="1">
      <c r="A594" s="12" t="s">
        <v>708</v>
      </c>
      <c r="B594" s="28" t="str">
        <f>EquipHeatingType2</f>
        <v>Sistema à biomassa</v>
      </c>
      <c r="C594" s="1"/>
      <c r="D594" s="1"/>
      <c r="E594" s="1"/>
      <c r="F594" s="1"/>
      <c r="G594" s="1"/>
      <c r="H594" s="1"/>
      <c r="I594" s="1"/>
      <c r="J594" s="1"/>
      <c r="K594" s="9"/>
      <c r="L594" s="1"/>
      <c r="M594" s="319"/>
      <c r="N594" s="319"/>
      <c r="O594" s="319"/>
      <c r="P594" s="319"/>
      <c r="Q594" s="319"/>
      <c r="R594" s="319"/>
      <c r="S594" s="319"/>
      <c r="T594" s="319"/>
      <c r="U594" s="319"/>
      <c r="V594" s="319"/>
      <c r="W594" s="319"/>
      <c r="X594" s="319"/>
      <c r="Y594" s="319"/>
      <c r="Z594" s="319"/>
      <c r="AA594" s="319"/>
      <c r="AB594" s="319"/>
      <c r="AC594" s="319"/>
      <c r="AD594" s="319"/>
      <c r="AE594" s="319"/>
      <c r="AF594" s="319"/>
      <c r="AG594" s="319"/>
      <c r="AH594" s="319"/>
      <c r="AI594" s="319"/>
      <c r="AJ594" s="319"/>
      <c r="AK594" s="319"/>
      <c r="AL594" s="319"/>
      <c r="AM594" s="319"/>
      <c r="AN594" s="319"/>
      <c r="AO594" s="319">
        <v>2020104</v>
      </c>
      <c r="AP594" s="319"/>
      <c r="AQ594" s="319"/>
      <c r="AR594" s="319"/>
      <c r="AS594" s="319"/>
      <c r="AT594" s="319"/>
      <c r="AU594" s="319"/>
      <c r="AV594" s="319"/>
      <c r="AW594" s="319"/>
      <c r="AX594" s="319"/>
      <c r="AY594" s="319"/>
      <c r="AZ594" s="319"/>
      <c r="BA594" s="319"/>
      <c r="BB594" s="319"/>
      <c r="BC594" s="319"/>
      <c r="BD594" s="319"/>
      <c r="BE594" s="319"/>
      <c r="BF594" s="319"/>
      <c r="BG594" s="319"/>
      <c r="BH594" s="319"/>
      <c r="BI594" s="319"/>
      <c r="BJ594" s="319"/>
      <c r="BK594" s="319"/>
      <c r="BL594" s="319"/>
      <c r="BM594" s="319"/>
      <c r="BN594" s="319"/>
      <c r="BO594" s="319"/>
      <c r="BP594" s="319"/>
      <c r="BQ594" s="319"/>
      <c r="BR594" s="319"/>
      <c r="BS594" s="319"/>
      <c r="BT594" s="319"/>
      <c r="BU594" s="319"/>
      <c r="BV594" s="319"/>
      <c r="BW594" s="319"/>
      <c r="BX594" s="319"/>
      <c r="BY594" s="319"/>
      <c r="BZ594" s="319"/>
      <c r="CA594" s="319"/>
      <c r="CB594" s="319"/>
      <c r="CC594" s="319"/>
      <c r="CD594" s="319"/>
      <c r="CE594" s="319"/>
      <c r="CF594" s="319"/>
    </row>
    <row r="595" spans="1:84" ht="12.75" hidden="1" customHeight="1">
      <c r="A595" s="12"/>
      <c r="B595" s="329" t="str">
        <f>Language!C202</f>
        <v>Capacidade</v>
      </c>
      <c r="C595" s="303" t="s">
        <v>5700</v>
      </c>
      <c r="D595" s="427"/>
      <c r="E595" s="80" t="e">
        <f>S595/$Q$866</f>
        <v>#DIV/0!</v>
      </c>
      <c r="F595" s="1"/>
      <c r="G595" s="1"/>
      <c r="H595" s="1346">
        <v>0</v>
      </c>
      <c r="I595" s="1252" t="str">
        <f>Language!C61</f>
        <v>Ver banco de dados de produtos</v>
      </c>
      <c r="J595" s="1191"/>
      <c r="K595" s="1210"/>
      <c r="L595" s="1"/>
      <c r="M595" s="319"/>
      <c r="N595" s="319"/>
      <c r="O595" s="319"/>
      <c r="P595" s="319"/>
      <c r="Q595" s="319"/>
      <c r="R595" s="319" t="s">
        <v>5700</v>
      </c>
      <c r="S595" s="319">
        <f>IF(C595=$Z$1086,D595,D595/$AA$1087)</f>
        <v>0</v>
      </c>
      <c r="T595" s="319"/>
      <c r="U595" s="319"/>
      <c r="V595" s="319"/>
      <c r="W595" s="319"/>
      <c r="X595" s="319"/>
      <c r="Y595" s="319"/>
      <c r="Z595" s="319"/>
      <c r="AA595" s="319"/>
      <c r="AB595" s="319"/>
      <c r="AC595" s="319"/>
      <c r="AD595" s="319"/>
      <c r="AE595" s="319"/>
      <c r="AF595" s="319"/>
      <c r="AG595" s="319"/>
      <c r="AH595" s="319"/>
      <c r="AI595" s="319"/>
      <c r="AJ595" s="319"/>
      <c r="AK595" s="319"/>
      <c r="AL595" s="319"/>
      <c r="AM595" s="319"/>
      <c r="AN595" s="319"/>
      <c r="AO595" s="319">
        <v>2020200</v>
      </c>
      <c r="AP595" s="319"/>
      <c r="AQ595" s="319"/>
      <c r="AR595" s="319"/>
      <c r="AS595" s="319"/>
      <c r="AT595" s="319"/>
      <c r="AU595" s="319"/>
      <c r="AV595" s="319"/>
      <c r="AW595" s="319"/>
      <c r="AX595" s="319"/>
      <c r="AY595" s="319"/>
      <c r="AZ595" s="319"/>
      <c r="BA595" s="319"/>
      <c r="BB595" s="319"/>
      <c r="BC595" s="319"/>
      <c r="BD595" s="319"/>
      <c r="BE595" s="319"/>
      <c r="BF595" s="319"/>
      <c r="BG595" s="319"/>
      <c r="BH595" s="319"/>
      <c r="BI595" s="319"/>
      <c r="BJ595" s="319"/>
      <c r="BK595" s="319"/>
      <c r="BL595" s="319"/>
      <c r="BM595" s="319"/>
      <c r="BN595" s="319"/>
      <c r="BO595" s="319"/>
      <c r="BP595" s="319"/>
      <c r="BQ595" s="319"/>
      <c r="BR595" s="319"/>
      <c r="BS595" s="319"/>
      <c r="BT595" s="319"/>
      <c r="BU595" s="319"/>
      <c r="BV595" s="319"/>
      <c r="BW595" s="319"/>
      <c r="BX595" s="319"/>
      <c r="BY595" s="319"/>
      <c r="BZ595" s="319"/>
      <c r="CA595" s="319"/>
      <c r="CB595" s="319"/>
      <c r="CC595" s="319"/>
      <c r="CD595" s="319"/>
      <c r="CE595" s="319"/>
      <c r="CF595" s="319"/>
    </row>
    <row r="596" spans="1:84" ht="12.75" hidden="1" customHeight="1">
      <c r="A596" s="12"/>
      <c r="B596" s="329" t="str">
        <f>B73</f>
        <v>Calor fornecido</v>
      </c>
      <c r="C596" s="29" t="str">
        <f>IF(Unit=TRUE,R596,T596)</f>
        <v>MWh</v>
      </c>
      <c r="D596" s="30">
        <f>IF(Unit=TRUE,S596,U596)</f>
        <v>0</v>
      </c>
      <c r="E596" s="80" t="e">
        <f>S596/$Q$867</f>
        <v>#DIV/0!</v>
      </c>
      <c r="F596" s="29" t="str">
        <f>IF($M$3=FALSE,"",IF(Unit=FALSE,R596,T596))</f>
        <v/>
      </c>
      <c r="G596" s="140" t="str">
        <f>IF($M$3=FALSE,"",IF(Unit=FALSE,S596,U596))</f>
        <v/>
      </c>
      <c r="H596" s="1"/>
      <c r="I596" s="1"/>
      <c r="J596" s="1"/>
      <c r="K596" s="9"/>
      <c r="L596" s="1"/>
      <c r="M596" s="319"/>
      <c r="N596" s="319"/>
      <c r="O596" s="319"/>
      <c r="P596" s="319"/>
      <c r="Q596" s="319"/>
      <c r="R596" s="319" t="str">
        <f>$R$25</f>
        <v>MWh</v>
      </c>
      <c r="S596" s="319">
        <f>G1110</f>
        <v>0</v>
      </c>
      <c r="T596" s="319" t="str">
        <f>$T$73</f>
        <v>milhão Btu</v>
      </c>
      <c r="U596" s="319">
        <f>S596*$AB$1087</f>
        <v>0</v>
      </c>
      <c r="V596" s="319"/>
      <c r="W596" s="319"/>
      <c r="X596" s="319"/>
      <c r="Y596" s="319"/>
      <c r="Z596" s="319"/>
      <c r="AA596" s="319"/>
      <c r="AB596" s="319"/>
      <c r="AC596" s="319"/>
      <c r="AD596" s="319"/>
      <c r="AE596" s="319"/>
      <c r="AF596" s="319"/>
      <c r="AG596" s="319"/>
      <c r="AH596" s="319"/>
      <c r="AI596" s="319"/>
      <c r="AJ596" s="319"/>
      <c r="AK596" s="319"/>
      <c r="AL596" s="319"/>
      <c r="AM596" s="319"/>
      <c r="AN596" s="319"/>
      <c r="AO596" s="319">
        <v>2020202</v>
      </c>
      <c r="AP596" s="319"/>
      <c r="AQ596" s="319"/>
      <c r="AR596" s="319"/>
      <c r="AS596" s="319"/>
      <c r="AT596" s="319"/>
      <c r="AU596" s="319"/>
      <c r="AV596" s="319"/>
      <c r="AW596" s="319"/>
      <c r="AX596" s="319"/>
      <c r="AY596" s="319"/>
      <c r="AZ596" s="319"/>
      <c r="BA596" s="319"/>
      <c r="BB596" s="319"/>
      <c r="BC596" s="319"/>
      <c r="BD596" s="319"/>
      <c r="BE596" s="319"/>
      <c r="BF596" s="319"/>
      <c r="BG596" s="319"/>
      <c r="BH596" s="319"/>
      <c r="BI596" s="319"/>
      <c r="BJ596" s="319"/>
      <c r="BK596" s="319"/>
      <c r="BL596" s="319"/>
      <c r="BM596" s="319"/>
      <c r="BN596" s="319"/>
      <c r="BO596" s="319"/>
      <c r="BP596" s="319"/>
      <c r="BQ596" s="319"/>
      <c r="BR596" s="319"/>
      <c r="BS596" s="319"/>
      <c r="BT596" s="319"/>
      <c r="BU596" s="319"/>
      <c r="BV596" s="319"/>
      <c r="BW596" s="319"/>
      <c r="BX596" s="319"/>
      <c r="BY596" s="319"/>
      <c r="BZ596" s="319"/>
      <c r="CA596" s="319"/>
      <c r="CB596" s="319"/>
      <c r="CC596" s="319"/>
      <c r="CD596" s="319"/>
      <c r="CE596" s="319"/>
      <c r="CF596" s="319"/>
    </row>
    <row r="597" spans="1:84" ht="12.75" hidden="1" customHeight="1">
      <c r="A597" s="12"/>
      <c r="B597" s="329" t="str">
        <f>B12</f>
        <v>Fabricante</v>
      </c>
      <c r="C597" s="1152"/>
      <c r="D597" s="1153"/>
      <c r="E597" s="1154"/>
      <c r="F597" s="1"/>
      <c r="G597" s="1"/>
      <c r="H597" s="1"/>
      <c r="I597" s="1"/>
      <c r="J597" s="1"/>
      <c r="K597" s="9"/>
      <c r="L597" s="1"/>
      <c r="M597" s="319"/>
      <c r="N597" s="319"/>
      <c r="O597" s="319"/>
      <c r="P597" s="319"/>
      <c r="Q597" s="319"/>
      <c r="R597" s="319"/>
      <c r="S597" s="319"/>
      <c r="T597" s="319"/>
      <c r="U597" s="319"/>
      <c r="V597" s="319"/>
      <c r="W597" s="319"/>
      <c r="X597" s="319"/>
      <c r="Y597" s="319"/>
      <c r="Z597" s="319"/>
      <c r="AA597" s="319"/>
      <c r="AB597" s="319"/>
      <c r="AC597" s="319"/>
      <c r="AD597" s="319"/>
      <c r="AE597" s="319"/>
      <c r="AF597" s="319"/>
      <c r="AG597" s="319"/>
      <c r="AH597" s="319"/>
      <c r="AI597" s="319"/>
      <c r="AJ597" s="319"/>
      <c r="AK597" s="319"/>
      <c r="AL597" s="319"/>
      <c r="AM597" s="319"/>
      <c r="AN597" s="319"/>
      <c r="AO597" s="319">
        <v>2050012</v>
      </c>
      <c r="AP597" s="319"/>
      <c r="AQ597" s="319"/>
      <c r="AR597" s="319"/>
      <c r="AS597" s="319"/>
      <c r="AT597" s="319"/>
      <c r="AU597" s="319"/>
      <c r="AV597" s="319"/>
      <c r="AW597" s="319"/>
      <c r="AX597" s="319"/>
      <c r="AY597" s="319"/>
      <c r="AZ597" s="319"/>
      <c r="BA597" s="319"/>
      <c r="BB597" s="319"/>
      <c r="BC597" s="319"/>
      <c r="BD597" s="319"/>
      <c r="BE597" s="319"/>
      <c r="BF597" s="319"/>
      <c r="BG597" s="319"/>
      <c r="BH597" s="319"/>
      <c r="BI597" s="319"/>
      <c r="BJ597" s="319"/>
      <c r="BK597" s="319"/>
      <c r="BL597" s="319"/>
      <c r="BM597" s="319"/>
      <c r="BN597" s="319"/>
      <c r="BO597" s="319"/>
      <c r="BP597" s="319"/>
      <c r="BQ597" s="319"/>
      <c r="BR597" s="319"/>
      <c r="BS597" s="319"/>
      <c r="BT597" s="319"/>
      <c r="BU597" s="319"/>
      <c r="BV597" s="319"/>
      <c r="BW597" s="319"/>
      <c r="BX597" s="319"/>
      <c r="BY597" s="319"/>
      <c r="BZ597" s="319"/>
      <c r="CA597" s="319"/>
      <c r="CB597" s="319"/>
      <c r="CC597" s="319"/>
      <c r="CD597" s="319"/>
      <c r="CE597" s="319"/>
      <c r="CF597" s="319"/>
    </row>
    <row r="598" spans="1:84" ht="12.75" hidden="1" customHeight="1">
      <c r="A598" s="12"/>
      <c r="B598" s="329" t="str">
        <f>B13</f>
        <v>Modelo</v>
      </c>
      <c r="C598" s="1152"/>
      <c r="D598" s="1153"/>
      <c r="E598" s="1154"/>
      <c r="F598" s="1" t="str">
        <f>$J$1066 &amp; Lang_Unit</f>
        <v>1 unidade(s)</v>
      </c>
      <c r="G598" s="1"/>
      <c r="H598" s="1"/>
      <c r="I598" s="1"/>
      <c r="J598" s="1"/>
      <c r="K598" s="9"/>
      <c r="L598" s="1"/>
      <c r="M598" s="319"/>
      <c r="N598" s="319"/>
      <c r="O598" s="319"/>
      <c r="P598" s="319"/>
      <c r="Q598" s="319"/>
      <c r="R598" s="319"/>
      <c r="S598" s="319"/>
      <c r="T598" s="319"/>
      <c r="U598" s="319"/>
      <c r="V598" s="319"/>
      <c r="W598" s="319"/>
      <c r="X598" s="319"/>
      <c r="Y598" s="319"/>
      <c r="Z598" s="319"/>
      <c r="AA598" s="319"/>
      <c r="AB598" s="319"/>
      <c r="AC598" s="319"/>
      <c r="AD598" s="319"/>
      <c r="AE598" s="319"/>
      <c r="AF598" s="319"/>
      <c r="AG598" s="319"/>
      <c r="AH598" s="319"/>
      <c r="AI598" s="319"/>
      <c r="AJ598" s="319"/>
      <c r="AK598" s="319"/>
      <c r="AL598" s="319"/>
      <c r="AM598" s="319"/>
      <c r="AN598" s="319"/>
      <c r="AO598" s="319">
        <v>2050014</v>
      </c>
      <c r="AP598" s="319"/>
      <c r="AQ598" s="319"/>
      <c r="AR598" s="319"/>
      <c r="AS598" s="319"/>
      <c r="AT598" s="319"/>
      <c r="AU598" s="319"/>
      <c r="AV598" s="319"/>
      <c r="AW598" s="319"/>
      <c r="AX598" s="319"/>
      <c r="AY598" s="319"/>
      <c r="AZ598" s="319"/>
      <c r="BA598" s="319"/>
      <c r="BB598" s="319"/>
      <c r="BC598" s="319"/>
      <c r="BD598" s="319"/>
      <c r="BE598" s="319"/>
      <c r="BF598" s="319"/>
      <c r="BG598" s="319"/>
      <c r="BH598" s="319"/>
      <c r="BI598" s="319"/>
      <c r="BJ598" s="319"/>
      <c r="BK598" s="319"/>
      <c r="BL598" s="319"/>
      <c r="BM598" s="319"/>
      <c r="BN598" s="319"/>
      <c r="BO598" s="319"/>
      <c r="BP598" s="319"/>
      <c r="BQ598" s="319"/>
      <c r="BR598" s="319"/>
      <c r="BS598" s="319"/>
      <c r="BT598" s="319"/>
      <c r="BU598" s="319"/>
      <c r="BV598" s="319"/>
      <c r="BW598" s="319"/>
      <c r="BX598" s="319"/>
      <c r="BY598" s="319"/>
      <c r="BZ598" s="319"/>
      <c r="CA598" s="319"/>
      <c r="CB598" s="319"/>
      <c r="CC598" s="319"/>
      <c r="CD598" s="319"/>
      <c r="CE598" s="319"/>
      <c r="CF598" s="319"/>
    </row>
    <row r="599" spans="1:84" ht="12.75" hidden="1" customHeight="1">
      <c r="A599" s="12"/>
      <c r="B599" s="329" t="str">
        <f>B83</f>
        <v>Eficiência Sazonal</v>
      </c>
      <c r="C599" s="29" t="str">
        <f>$T$35</f>
        <v>%</v>
      </c>
      <c r="D599" s="339"/>
      <c r="E599" s="1"/>
      <c r="F599" s="1"/>
      <c r="G599" s="1"/>
      <c r="H599" s="1"/>
      <c r="I599" s="1"/>
      <c r="J599" s="1"/>
      <c r="K599" s="9"/>
      <c r="L599" s="1"/>
      <c r="M599" s="319"/>
      <c r="N599" s="319"/>
      <c r="O599" s="319"/>
      <c r="P599" s="319"/>
      <c r="Q599" s="319"/>
      <c r="R599" s="319"/>
      <c r="S599" s="319"/>
      <c r="T599" s="319"/>
      <c r="U599" s="319"/>
      <c r="V599" s="319"/>
      <c r="W599" s="319"/>
      <c r="X599" s="319"/>
      <c r="Y599" s="319"/>
      <c r="Z599" s="319"/>
      <c r="AA599" s="319"/>
      <c r="AB599" s="319"/>
      <c r="AC599" s="319"/>
      <c r="AD599" s="319"/>
      <c r="AE599" s="319"/>
      <c r="AF599" s="319"/>
      <c r="AG599" s="319"/>
      <c r="AH599" s="319"/>
      <c r="AI599" s="319"/>
      <c r="AJ599" s="319"/>
      <c r="AK599" s="319"/>
      <c r="AL599" s="319"/>
      <c r="AM599" s="319"/>
      <c r="AN599" s="319"/>
      <c r="AO599" s="319">
        <v>2020208</v>
      </c>
      <c r="AP599" s="319"/>
      <c r="AQ599" s="319"/>
      <c r="AR599" s="319"/>
      <c r="AS599" s="319"/>
      <c r="AT599" s="319"/>
      <c r="AU599" s="319"/>
      <c r="AV599" s="319"/>
      <c r="AW599" s="319"/>
      <c r="AX599" s="319"/>
      <c r="AY599" s="319"/>
      <c r="AZ599" s="319"/>
      <c r="BA599" s="319"/>
      <c r="BB599" s="319"/>
      <c r="BC599" s="319"/>
      <c r="BD599" s="319"/>
      <c r="BE599" s="319"/>
      <c r="BF599" s="319"/>
      <c r="BG599" s="319"/>
      <c r="BH599" s="319"/>
      <c r="BI599" s="319"/>
      <c r="BJ599" s="319"/>
      <c r="BK599" s="319"/>
      <c r="BL599" s="319"/>
      <c r="BM599" s="319"/>
      <c r="BN599" s="319"/>
      <c r="BO599" s="319"/>
      <c r="BP599" s="319"/>
      <c r="BQ599" s="319"/>
      <c r="BR599" s="319"/>
      <c r="BS599" s="319"/>
      <c r="BT599" s="319"/>
      <c r="BU599" s="319"/>
      <c r="BV599" s="319"/>
      <c r="BW599" s="319"/>
      <c r="BX599" s="319"/>
      <c r="BY599" s="319"/>
      <c r="BZ599" s="319"/>
      <c r="CA599" s="319"/>
      <c r="CB599" s="319"/>
      <c r="CC599" s="319"/>
      <c r="CD599" s="319"/>
      <c r="CE599" s="319"/>
      <c r="CF599" s="319"/>
    </row>
    <row r="600" spans="1:84" ht="12.75" hidden="1" customHeight="1">
      <c r="A600" s="12"/>
      <c r="B600" s="329" t="str">
        <f>Language!C422</f>
        <v>Tipo de Caldeira</v>
      </c>
      <c r="C600" s="1"/>
      <c r="D600" s="303" t="s">
        <v>6160</v>
      </c>
      <c r="E600" s="1"/>
      <c r="F600" s="1"/>
      <c r="G600" s="1"/>
      <c r="H600" s="1"/>
      <c r="I600" s="1"/>
      <c r="J600" s="1"/>
      <c r="K600" s="9"/>
      <c r="L600" s="1"/>
      <c r="M600" s="319">
        <f>IF(D600="",1,MATCH(D600,ES_BoilerT,0))</f>
        <v>1</v>
      </c>
      <c r="N600" s="319"/>
      <c r="O600" s="319" t="s">
        <v>1458</v>
      </c>
      <c r="P600" s="319"/>
      <c r="Q600" s="319"/>
      <c r="R600" s="319"/>
      <c r="S600" s="319"/>
      <c r="T600" s="319"/>
      <c r="U600" s="319"/>
      <c r="V600" s="319"/>
      <c r="W600" s="319"/>
      <c r="X600" s="319"/>
      <c r="Y600" s="319"/>
      <c r="Z600" s="319"/>
      <c r="AA600" s="319"/>
      <c r="AB600" s="319"/>
      <c r="AC600" s="319"/>
      <c r="AD600" s="319"/>
      <c r="AE600" s="319"/>
      <c r="AF600" s="319"/>
      <c r="AG600" s="319"/>
      <c r="AH600" s="319"/>
      <c r="AI600" s="319"/>
      <c r="AJ600" s="319"/>
      <c r="AK600" s="319"/>
      <c r="AL600" s="319"/>
      <c r="AM600" s="319"/>
      <c r="AN600" s="319"/>
      <c r="AO600" s="319">
        <v>2020210</v>
      </c>
      <c r="AP600" s="319"/>
      <c r="AQ600" s="319"/>
      <c r="AR600" s="319"/>
      <c r="AS600" s="319"/>
      <c r="AT600" s="319"/>
      <c r="AU600" s="319"/>
      <c r="AV600" s="319"/>
      <c r="AW600" s="319"/>
      <c r="AX600" s="319"/>
      <c r="AY600" s="319"/>
      <c r="AZ600" s="319"/>
      <c r="BA600" s="319"/>
      <c r="BB600" s="319"/>
      <c r="BC600" s="319"/>
      <c r="BD600" s="319"/>
      <c r="BE600" s="319"/>
      <c r="BF600" s="319"/>
      <c r="BG600" s="319"/>
      <c r="BH600" s="319"/>
      <c r="BI600" s="319"/>
      <c r="BJ600" s="319"/>
      <c r="BK600" s="319"/>
      <c r="BL600" s="319"/>
      <c r="BM600" s="319"/>
      <c r="BN600" s="319"/>
      <c r="BO600" s="319"/>
      <c r="BP600" s="319"/>
      <c r="BQ600" s="319"/>
      <c r="BR600" s="319"/>
      <c r="BS600" s="319"/>
      <c r="BT600" s="319"/>
      <c r="BU600" s="319"/>
      <c r="BV600" s="319"/>
      <c r="BW600" s="319"/>
      <c r="BX600" s="319"/>
      <c r="BY600" s="319"/>
      <c r="BZ600" s="319"/>
      <c r="CA600" s="319"/>
      <c r="CB600" s="319"/>
      <c r="CC600" s="319"/>
      <c r="CD600" s="319"/>
      <c r="CE600" s="319"/>
      <c r="CF600" s="319"/>
    </row>
    <row r="601" spans="1:84" ht="12.75" hidden="1" customHeight="1">
      <c r="A601" s="12"/>
      <c r="B601" s="329" t="str">
        <f>B85</f>
        <v>Pressão de Operação</v>
      </c>
      <c r="C601" s="303" t="s">
        <v>2791</v>
      </c>
      <c r="D601" s="307"/>
      <c r="E601" s="1"/>
      <c r="F601" s="1"/>
      <c r="G601" s="1"/>
      <c r="H601" s="1"/>
      <c r="I601" s="1"/>
      <c r="J601" s="1"/>
      <c r="K601" s="9"/>
      <c r="L601" s="1"/>
      <c r="M601" s="319"/>
      <c r="N601" s="319"/>
      <c r="O601" s="319"/>
      <c r="P601" s="319"/>
      <c r="Q601" s="319"/>
      <c r="R601" s="319"/>
      <c r="S601" s="319"/>
      <c r="T601" s="319"/>
      <c r="U601" s="319"/>
      <c r="V601" s="319"/>
      <c r="W601" s="319"/>
      <c r="X601" s="319"/>
      <c r="Y601" s="319"/>
      <c r="Z601" s="319"/>
      <c r="AA601" s="319"/>
      <c r="AB601" s="319"/>
      <c r="AC601" s="319"/>
      <c r="AD601" s="319"/>
      <c r="AE601" s="319"/>
      <c r="AF601" s="319"/>
      <c r="AG601" s="319"/>
      <c r="AH601" s="319"/>
      <c r="AI601" s="319"/>
      <c r="AJ601" s="319"/>
      <c r="AK601" s="319"/>
      <c r="AL601" s="319"/>
      <c r="AM601" s="319"/>
      <c r="AN601" s="319"/>
      <c r="AO601" s="319">
        <v>2020212</v>
      </c>
      <c r="AP601" s="319"/>
      <c r="AQ601" s="319"/>
      <c r="AR601" s="319"/>
      <c r="AS601" s="319"/>
      <c r="AT601" s="319"/>
      <c r="AU601" s="319"/>
      <c r="AV601" s="319"/>
      <c r="AW601" s="319"/>
      <c r="AX601" s="319"/>
      <c r="AY601" s="319"/>
      <c r="AZ601" s="319"/>
      <c r="BA601" s="319"/>
      <c r="BB601" s="319"/>
      <c r="BC601" s="319"/>
      <c r="BD601" s="319"/>
      <c r="BE601" s="319"/>
      <c r="BF601" s="319"/>
      <c r="BG601" s="319"/>
      <c r="BH601" s="319"/>
      <c r="BI601" s="319"/>
      <c r="BJ601" s="319"/>
      <c r="BK601" s="319"/>
      <c r="BL601" s="319"/>
      <c r="BM601" s="319"/>
      <c r="BN601" s="319"/>
      <c r="BO601" s="319"/>
      <c r="BP601" s="319"/>
      <c r="BQ601" s="319"/>
      <c r="BR601" s="319"/>
      <c r="BS601" s="319"/>
      <c r="BT601" s="319"/>
      <c r="BU601" s="319"/>
      <c r="BV601" s="319"/>
      <c r="BW601" s="319"/>
      <c r="BX601" s="319"/>
      <c r="BY601" s="319"/>
      <c r="BZ601" s="319"/>
      <c r="CA601" s="319"/>
      <c r="CB601" s="319"/>
      <c r="CC601" s="319"/>
      <c r="CD601" s="319"/>
      <c r="CE601" s="319"/>
      <c r="CF601" s="319"/>
    </row>
    <row r="602" spans="1:84" ht="12.75" hidden="1" customHeight="1">
      <c r="A602" s="12"/>
      <c r="B602" s="329" t="str">
        <f>B86</f>
        <v>Temperatura de saturação</v>
      </c>
      <c r="C602" s="29" t="str">
        <f>IF(Unit=TRUE,R602,T602)</f>
        <v>°C</v>
      </c>
      <c r="D602" s="30">
        <f>IF(Unit=TRUE,S602,U602)</f>
        <v>-273.14999999999998</v>
      </c>
      <c r="E602" s="1"/>
      <c r="F602" s="29" t="str">
        <f>IF($M$3=FALSE,"",IF(Unit=FALSE,R602,T602))</f>
        <v/>
      </c>
      <c r="G602" s="140" t="str">
        <f>IF($M$3=FALSE,"",IF(Unit=FALSE,S602,U602))</f>
        <v/>
      </c>
      <c r="H602" s="1"/>
      <c r="I602" s="1"/>
      <c r="J602" s="1"/>
      <c r="K602" s="9"/>
      <c r="L602" s="1"/>
      <c r="M602" s="319"/>
      <c r="N602" s="319"/>
      <c r="O602" s="319"/>
      <c r="P602" s="319"/>
      <c r="Q602" s="319"/>
      <c r="R602" s="319" t="str">
        <f>$R$86</f>
        <v>°C</v>
      </c>
      <c r="S602" s="319">
        <f>Tsat(V602/1000)-$AA$1090</f>
        <v>-273.14999999999998</v>
      </c>
      <c r="T602" s="319" t="str">
        <f>$T$86</f>
        <v>°F</v>
      </c>
      <c r="U602" s="319">
        <f>S602*1.8+32</f>
        <v>-459.66999999999996</v>
      </c>
      <c r="V602" s="319">
        <f>IF(IF(C601=$Z$1067,D601,IF(C601=$Z$1068,D601*100,IF(C601=$Z$1069,(D601+$AA$1069)/$Y$1069*100,IF(C601=$Z$1070,D601/$Y$1069*100))))&lt;SteamP,SteamP,IF(C601=$Z$1067,D601,IF(C601=$Z$1068,D601*100,IF(C601=$Z$1069,(D601+$AA$1069)/$Y$1069*100,IF(C601=$Z$1070,D601/$Y$1069*100)))))</f>
        <v>1.1100000000000001E-3</v>
      </c>
      <c r="W602" s="319" t="s">
        <v>741</v>
      </c>
      <c r="X602" s="319"/>
      <c r="Y602" s="319"/>
      <c r="Z602" s="319"/>
      <c r="AA602" s="319"/>
      <c r="AB602" s="319"/>
      <c r="AC602" s="319"/>
      <c r="AD602" s="319"/>
      <c r="AE602" s="319"/>
      <c r="AF602" s="319"/>
      <c r="AG602" s="319"/>
      <c r="AH602" s="319"/>
      <c r="AI602" s="319"/>
      <c r="AJ602" s="319"/>
      <c r="AK602" s="319"/>
      <c r="AL602" s="319"/>
      <c r="AM602" s="319"/>
      <c r="AN602" s="319"/>
      <c r="AO602" s="319">
        <v>2060010</v>
      </c>
      <c r="AP602" s="319"/>
      <c r="AQ602" s="319"/>
      <c r="AR602" s="319"/>
      <c r="AS602" s="319"/>
      <c r="AT602" s="319"/>
      <c r="AU602" s="319"/>
      <c r="AV602" s="319"/>
      <c r="AW602" s="319"/>
      <c r="AX602" s="319"/>
      <c r="AY602" s="319"/>
      <c r="AZ602" s="319"/>
      <c r="BA602" s="319"/>
      <c r="BB602" s="319"/>
      <c r="BC602" s="319"/>
      <c r="BD602" s="319"/>
      <c r="BE602" s="319"/>
      <c r="BF602" s="319"/>
      <c r="BG602" s="319"/>
      <c r="BH602" s="319"/>
      <c r="BI602" s="319"/>
      <c r="BJ602" s="319"/>
      <c r="BK602" s="319"/>
      <c r="BL602" s="319"/>
      <c r="BM602" s="319"/>
      <c r="BN602" s="319"/>
      <c r="BO602" s="319"/>
      <c r="BP602" s="319"/>
      <c r="BQ602" s="319"/>
      <c r="BR602" s="319"/>
      <c r="BS602" s="319"/>
      <c r="BT602" s="319"/>
      <c r="BU602" s="319"/>
      <c r="BV602" s="319"/>
      <c r="BW602" s="319"/>
      <c r="BX602" s="319"/>
      <c r="BY602" s="319"/>
      <c r="BZ602" s="319"/>
      <c r="CA602" s="319"/>
      <c r="CB602" s="319"/>
      <c r="CC602" s="319"/>
      <c r="CD602" s="319"/>
      <c r="CE602" s="319"/>
      <c r="CF602" s="319"/>
    </row>
    <row r="603" spans="1:84" ht="12.75" hidden="1" customHeight="1">
      <c r="A603" s="12"/>
      <c r="B603" s="329" t="str">
        <f>B87</f>
        <v>Temperatura superaquecimento</v>
      </c>
      <c r="C603" s="303" t="s">
        <v>5568</v>
      </c>
      <c r="D603" s="307"/>
      <c r="E603" s="1"/>
      <c r="F603" s="1"/>
      <c r="G603" s="1"/>
      <c r="H603" s="1"/>
      <c r="I603" s="1"/>
      <c r="J603" s="1"/>
      <c r="K603" s="9"/>
      <c r="L603" s="1"/>
      <c r="M603" s="319"/>
      <c r="N603" s="319"/>
      <c r="O603" s="319"/>
      <c r="P603" s="319"/>
      <c r="Q603" s="319"/>
      <c r="R603" s="319">
        <f>IF(C603=$Z$1107,D603,(D603-32)/1.8)</f>
        <v>0</v>
      </c>
      <c r="S603" s="319" t="s">
        <v>144</v>
      </c>
      <c r="T603" s="319"/>
      <c r="U603" s="319"/>
      <c r="V603" s="319">
        <f>EnthalpyV(IF(V602/1000&lt;SteamP,SteamP,V602/1000),R603+$AA$1090)</f>
        <v>2500.3977354876192</v>
      </c>
      <c r="W603" s="319" t="s">
        <v>2922</v>
      </c>
      <c r="X603" s="319"/>
      <c r="Y603" s="319"/>
      <c r="Z603" s="319"/>
      <c r="AA603" s="319"/>
      <c r="AB603" s="319"/>
      <c r="AC603" s="319"/>
      <c r="AD603" s="319"/>
      <c r="AE603" s="319"/>
      <c r="AF603" s="319"/>
      <c r="AG603" s="319"/>
      <c r="AH603" s="319"/>
      <c r="AI603" s="319"/>
      <c r="AJ603" s="319"/>
      <c r="AK603" s="319"/>
      <c r="AL603" s="319"/>
      <c r="AM603" s="319"/>
      <c r="AN603" s="319"/>
      <c r="AO603" s="319">
        <v>2020216</v>
      </c>
      <c r="AP603" s="319"/>
      <c r="AQ603" s="319"/>
      <c r="AR603" s="319"/>
      <c r="AS603" s="319"/>
      <c r="AT603" s="319"/>
      <c r="AU603" s="319"/>
      <c r="AV603" s="319"/>
      <c r="AW603" s="319"/>
      <c r="AX603" s="319"/>
      <c r="AY603" s="319"/>
      <c r="AZ603" s="319"/>
      <c r="BA603" s="319"/>
      <c r="BB603" s="319"/>
      <c r="BC603" s="319"/>
      <c r="BD603" s="319"/>
      <c r="BE603" s="319"/>
      <c r="BF603" s="319"/>
      <c r="BG603" s="319"/>
      <c r="BH603" s="319"/>
      <c r="BI603" s="319"/>
      <c r="BJ603" s="319"/>
      <c r="BK603" s="319"/>
      <c r="BL603" s="319"/>
      <c r="BM603" s="319"/>
      <c r="BN603" s="319"/>
      <c r="BO603" s="319"/>
      <c r="BP603" s="319"/>
      <c r="BQ603" s="319"/>
      <c r="BR603" s="319"/>
      <c r="BS603" s="319"/>
      <c r="BT603" s="319"/>
      <c r="BU603" s="319"/>
      <c r="BV603" s="319"/>
      <c r="BW603" s="319"/>
      <c r="BX603" s="319"/>
      <c r="BY603" s="319"/>
      <c r="BZ603" s="319"/>
      <c r="CA603" s="319"/>
      <c r="CB603" s="319"/>
      <c r="CC603" s="319"/>
      <c r="CD603" s="319"/>
      <c r="CE603" s="319"/>
      <c r="CF603" s="319"/>
    </row>
    <row r="604" spans="1:84" ht="12.75" hidden="1" customHeight="1">
      <c r="A604" s="12"/>
      <c r="B604" s="329" t="str">
        <f>B156</f>
        <v>Temp. de retorno</v>
      </c>
      <c r="C604" s="303" t="s">
        <v>5568</v>
      </c>
      <c r="D604" s="307"/>
      <c r="E604" s="1"/>
      <c r="F604" s="1"/>
      <c r="G604" s="1"/>
      <c r="H604" s="1"/>
      <c r="I604" s="1"/>
      <c r="J604" s="1"/>
      <c r="K604" s="9"/>
      <c r="L604" s="1"/>
      <c r="M604" s="319"/>
      <c r="N604" s="319"/>
      <c r="O604" s="319"/>
      <c r="P604" s="319"/>
      <c r="Q604" s="319"/>
      <c r="R604" s="319">
        <f>IF(C604=$Z$1107,D604,(D604-32)/1.8)</f>
        <v>0</v>
      </c>
      <c r="S604" s="319" t="s">
        <v>144</v>
      </c>
      <c r="T604" s="319"/>
      <c r="U604" s="319"/>
      <c r="V604" s="319">
        <f>EnthalpyF(0.1,R604+$AA$1090)</f>
        <v>5.9662252247094469E-2</v>
      </c>
      <c r="W604" s="319" t="s">
        <v>2922</v>
      </c>
      <c r="X604" s="319"/>
      <c r="Y604" s="319"/>
      <c r="Z604" s="319"/>
      <c r="AA604" s="319"/>
      <c r="AB604" s="319"/>
      <c r="AC604" s="319"/>
      <c r="AD604" s="319"/>
      <c r="AE604" s="319"/>
      <c r="AF604" s="319"/>
      <c r="AG604" s="319"/>
      <c r="AH604" s="319"/>
      <c r="AI604" s="319"/>
      <c r="AJ604" s="319"/>
      <c r="AK604" s="319"/>
      <c r="AL604" s="319"/>
      <c r="AM604" s="319"/>
      <c r="AN604" s="319"/>
      <c r="AO604" s="319">
        <v>2020218</v>
      </c>
      <c r="AP604" s="319"/>
      <c r="AQ604" s="319"/>
      <c r="AR604" s="319"/>
      <c r="AS604" s="319"/>
      <c r="AT604" s="319"/>
      <c r="AU604" s="319"/>
      <c r="AV604" s="319"/>
      <c r="AW604" s="319"/>
      <c r="AX604" s="319"/>
      <c r="AY604" s="319"/>
      <c r="AZ604" s="319"/>
      <c r="BA604" s="319"/>
      <c r="BB604" s="319"/>
      <c r="BC604" s="319"/>
      <c r="BD604" s="319"/>
      <c r="BE604" s="319"/>
      <c r="BF604" s="319"/>
      <c r="BG604" s="319"/>
      <c r="BH604" s="319"/>
      <c r="BI604" s="319"/>
      <c r="BJ604" s="319"/>
      <c r="BK604" s="319"/>
      <c r="BL604" s="319"/>
      <c r="BM604" s="319"/>
      <c r="BN604" s="319"/>
      <c r="BO604" s="319"/>
      <c r="BP604" s="319"/>
      <c r="BQ604" s="319"/>
      <c r="BR604" s="319"/>
      <c r="BS604" s="319"/>
      <c r="BT604" s="319"/>
      <c r="BU604" s="319"/>
      <c r="BV604" s="319"/>
      <c r="BW604" s="319"/>
      <c r="BX604" s="319"/>
      <c r="BY604" s="319"/>
      <c r="BZ604" s="319"/>
      <c r="CA604" s="319"/>
      <c r="CB604" s="319"/>
      <c r="CC604" s="319"/>
      <c r="CD604" s="319"/>
      <c r="CE604" s="319"/>
      <c r="CF604" s="319"/>
    </row>
    <row r="605" spans="1:84" ht="12.75" hidden="1" customHeight="1">
      <c r="A605" s="12"/>
      <c r="B605" s="329" t="str">
        <f>B131</f>
        <v>Fluxo de vapor</v>
      </c>
      <c r="C605" s="29" t="str">
        <f>IF(Unit=TRUE,R605,T605)</f>
        <v>kg/h</v>
      </c>
      <c r="D605" s="30">
        <f>IF(Unit=TRUE,S605,U605)</f>
        <v>0</v>
      </c>
      <c r="E605" s="1"/>
      <c r="F605" s="29" t="str">
        <f>IF($M$3=FALSE,"",IF(Unit=FALSE,R605,T605))</f>
        <v/>
      </c>
      <c r="G605" s="140" t="str">
        <f>IF($M$3=FALSE,"",IF(Unit=FALSE,S605,U605))</f>
        <v/>
      </c>
      <c r="H605" s="1"/>
      <c r="I605" s="1"/>
      <c r="J605" s="1"/>
      <c r="K605" s="9"/>
      <c r="L605" s="1"/>
      <c r="M605" s="319"/>
      <c r="N605" s="319"/>
      <c r="O605" s="319"/>
      <c r="P605" s="319"/>
      <c r="Q605" s="319"/>
      <c r="R605" s="319" t="str">
        <f>$R$89</f>
        <v>kg/h</v>
      </c>
      <c r="S605" s="319">
        <f>S595/V605*3600</f>
        <v>0</v>
      </c>
      <c r="T605" s="319" t="str">
        <f>$T$89</f>
        <v>lb/h</v>
      </c>
      <c r="U605" s="319">
        <f>S605/$AA$1085</f>
        <v>0</v>
      </c>
      <c r="V605" s="319">
        <f>V603-V604</f>
        <v>2500.3380732353721</v>
      </c>
      <c r="W605" s="319" t="s">
        <v>2922</v>
      </c>
      <c r="X605" s="319"/>
      <c r="Y605" s="319"/>
      <c r="Z605" s="319"/>
      <c r="AA605" s="319"/>
      <c r="AB605" s="319"/>
      <c r="AC605" s="319"/>
      <c r="AD605" s="319"/>
      <c r="AE605" s="319"/>
      <c r="AF605" s="319"/>
      <c r="AG605" s="319"/>
      <c r="AH605" s="319"/>
      <c r="AI605" s="319"/>
      <c r="AJ605" s="319"/>
      <c r="AK605" s="319"/>
      <c r="AL605" s="319"/>
      <c r="AM605" s="319"/>
      <c r="AN605" s="319"/>
      <c r="AO605" s="319">
        <v>2020220</v>
      </c>
      <c r="AP605" s="319"/>
      <c r="AQ605" s="319"/>
      <c r="AR605" s="319"/>
      <c r="AS605" s="319"/>
      <c r="AT605" s="319"/>
      <c r="AU605" s="319"/>
      <c r="AV605" s="319"/>
      <c r="AW605" s="319"/>
      <c r="AX605" s="319"/>
      <c r="AY605" s="319"/>
      <c r="AZ605" s="319"/>
      <c r="BA605" s="319"/>
      <c r="BB605" s="319"/>
      <c r="BC605" s="319"/>
      <c r="BD605" s="319"/>
      <c r="BE605" s="319"/>
      <c r="BF605" s="319"/>
      <c r="BG605" s="319"/>
      <c r="BH605" s="319"/>
      <c r="BI605" s="319"/>
      <c r="BJ605" s="319"/>
      <c r="BK605" s="319"/>
      <c r="BL605" s="319"/>
      <c r="BM605" s="319"/>
      <c r="BN605" s="319"/>
      <c r="BO605" s="319"/>
      <c r="BP605" s="319"/>
      <c r="BQ605" s="319"/>
      <c r="BR605" s="319"/>
      <c r="BS605" s="319"/>
      <c r="BT605" s="319"/>
      <c r="BU605" s="319"/>
      <c r="BV605" s="319"/>
      <c r="BW605" s="319"/>
      <c r="BX605" s="319"/>
      <c r="BY605" s="319"/>
      <c r="BZ605" s="319"/>
      <c r="CA605" s="319"/>
      <c r="CB605" s="319"/>
      <c r="CC605" s="319"/>
      <c r="CD605" s="319"/>
      <c r="CE605" s="319"/>
      <c r="CF605" s="319"/>
    </row>
    <row r="606" spans="1:84" ht="12.75" hidden="1" customHeight="1">
      <c r="A606" s="14"/>
      <c r="B606" s="380" t="str">
        <f>B77</f>
        <v>Combustível necessário</v>
      </c>
      <c r="C606" s="33" t="str">
        <f>IF(Unit=TRUE,R606,T606)</f>
        <v>GJ/h</v>
      </c>
      <c r="D606" s="245" t="e">
        <f>IF(Unit=TRUE,S606,U606)</f>
        <v>#DIV/0!</v>
      </c>
      <c r="E606" s="15"/>
      <c r="F606" s="33" t="str">
        <f>IF($M$3=FALSE,"",IF(Unit=FALSE,R606,T606))</f>
        <v/>
      </c>
      <c r="G606" s="245" t="str">
        <f>IF($M$3=FALSE,"",IF(Unit=FALSE,S606,U606))</f>
        <v/>
      </c>
      <c r="H606" s="15"/>
      <c r="I606" s="15"/>
      <c r="J606" s="15"/>
      <c r="K606" s="11"/>
      <c r="L606" s="1"/>
      <c r="M606" s="319"/>
      <c r="N606" s="319"/>
      <c r="O606" s="319"/>
      <c r="P606" s="319"/>
      <c r="Q606" s="319"/>
      <c r="R606" s="319" t="str">
        <f>$R$77</f>
        <v>GJ/h</v>
      </c>
      <c r="S606" s="319" t="e">
        <f>S595/D599*3.6/1000</f>
        <v>#DIV/0!</v>
      </c>
      <c r="T606" s="319" t="str">
        <f>$T$77</f>
        <v>milhão Btu/h</v>
      </c>
      <c r="U606" s="319" t="e">
        <f>S606/$AA$1082</f>
        <v>#DIV/0!</v>
      </c>
      <c r="V606" s="319"/>
      <c r="W606" s="319"/>
      <c r="X606" s="319"/>
      <c r="Y606" s="319"/>
      <c r="Z606" s="319"/>
      <c r="AA606" s="319"/>
      <c r="AB606" s="319"/>
      <c r="AC606" s="319"/>
      <c r="AD606" s="319"/>
      <c r="AE606" s="319"/>
      <c r="AF606" s="319"/>
      <c r="AG606" s="319"/>
      <c r="AH606" s="319"/>
      <c r="AI606" s="319"/>
      <c r="AJ606" s="319"/>
      <c r="AK606" s="319"/>
      <c r="AL606" s="319"/>
      <c r="AM606" s="319"/>
      <c r="AN606" s="319"/>
      <c r="AO606" s="319">
        <v>2020222</v>
      </c>
      <c r="AP606" s="319"/>
      <c r="AQ606" s="319"/>
      <c r="AR606" s="319"/>
      <c r="AS606" s="319"/>
      <c r="AT606" s="319"/>
      <c r="AU606" s="319"/>
      <c r="AV606" s="319"/>
      <c r="AW606" s="319"/>
      <c r="AX606" s="319"/>
      <c r="AY606" s="319"/>
      <c r="AZ606" s="319"/>
      <c r="BA606" s="319"/>
      <c r="BB606" s="319"/>
      <c r="BC606" s="319"/>
      <c r="BD606" s="319"/>
      <c r="BE606" s="319"/>
      <c r="BF606" s="319"/>
      <c r="BG606" s="319"/>
      <c r="BH606" s="319"/>
      <c r="BI606" s="319"/>
      <c r="BJ606" s="319"/>
      <c r="BK606" s="319"/>
      <c r="BL606" s="319"/>
      <c r="BM606" s="319"/>
      <c r="BN606" s="319"/>
      <c r="BO606" s="319"/>
      <c r="BP606" s="319"/>
      <c r="BQ606" s="319"/>
      <c r="BR606" s="319"/>
      <c r="BS606" s="319"/>
      <c r="BT606" s="319"/>
      <c r="BU606" s="319"/>
      <c r="BV606" s="319"/>
      <c r="BW606" s="319"/>
      <c r="BX606" s="319"/>
      <c r="BY606" s="319"/>
      <c r="BZ606" s="319"/>
      <c r="CA606" s="319"/>
      <c r="CB606" s="319"/>
      <c r="CC606" s="319"/>
      <c r="CD606" s="319"/>
      <c r="CE606" s="319"/>
      <c r="CF606" s="319"/>
    </row>
    <row r="607" spans="1:84" ht="12.75" hidden="1" customHeight="1">
      <c r="A607" s="12"/>
      <c r="B607" s="1"/>
      <c r="C607" s="1"/>
      <c r="D607" s="1"/>
      <c r="E607" s="1"/>
      <c r="F607" s="1"/>
      <c r="G607" s="1"/>
      <c r="H607" s="1"/>
      <c r="I607" s="1"/>
      <c r="J607" s="1"/>
      <c r="K607" s="9"/>
      <c r="L607" s="1"/>
      <c r="M607" s="319"/>
      <c r="N607" s="319"/>
      <c r="O607" s="319"/>
      <c r="P607" s="319"/>
      <c r="Q607" s="319"/>
      <c r="R607" s="319"/>
      <c r="S607" s="319"/>
      <c r="T607" s="319"/>
      <c r="U607" s="319"/>
      <c r="V607" s="319"/>
      <c r="W607" s="319"/>
      <c r="X607" s="319"/>
      <c r="Y607" s="319"/>
      <c r="Z607" s="319"/>
      <c r="AA607" s="319"/>
      <c r="AB607" s="319"/>
      <c r="AC607" s="319"/>
      <c r="AD607" s="319"/>
      <c r="AE607" s="319"/>
      <c r="AF607" s="319"/>
      <c r="AG607" s="319"/>
      <c r="AH607" s="319"/>
      <c r="AI607" s="319"/>
      <c r="AJ607" s="319"/>
      <c r="AK607" s="319"/>
      <c r="AL607" s="319"/>
      <c r="AM607" s="319"/>
      <c r="AN607" s="319"/>
      <c r="AO607" s="319">
        <v>2000000</v>
      </c>
      <c r="AP607" s="319"/>
      <c r="AQ607" s="319"/>
      <c r="AR607" s="319"/>
      <c r="AS607" s="319"/>
      <c r="AT607" s="319"/>
      <c r="AU607" s="319"/>
      <c r="AV607" s="319"/>
      <c r="AW607" s="319"/>
      <c r="AX607" s="319"/>
      <c r="AY607" s="319"/>
      <c r="AZ607" s="319"/>
      <c r="BA607" s="319"/>
      <c r="BB607" s="319"/>
      <c r="BC607" s="319"/>
      <c r="BD607" s="319"/>
      <c r="BE607" s="319"/>
      <c r="BF607" s="319"/>
      <c r="BG607" s="319"/>
      <c r="BH607" s="319"/>
      <c r="BI607" s="319"/>
      <c r="BJ607" s="319"/>
      <c r="BK607" s="319"/>
      <c r="BL607" s="319"/>
      <c r="BM607" s="319"/>
      <c r="BN607" s="319"/>
      <c r="BO607" s="319"/>
      <c r="BP607" s="319"/>
      <c r="BQ607" s="319"/>
      <c r="BR607" s="319"/>
      <c r="BS607" s="319"/>
      <c r="BT607" s="319"/>
      <c r="BU607" s="319"/>
      <c r="BV607" s="319"/>
      <c r="BW607" s="319"/>
      <c r="BX607" s="319"/>
      <c r="BY607" s="319"/>
      <c r="BZ607" s="319"/>
      <c r="CA607" s="319"/>
      <c r="CB607" s="319"/>
      <c r="CC607" s="319"/>
      <c r="CD607" s="319"/>
      <c r="CE607" s="319"/>
      <c r="CF607" s="319"/>
    </row>
    <row r="608" spans="1:84" ht="12.75" hidden="1" customHeight="1">
      <c r="A608" s="12"/>
      <c r="B608" s="28" t="str">
        <f>Language!C133&amp;" #2"</f>
        <v>Motor recíproco #2</v>
      </c>
      <c r="C608" s="1"/>
      <c r="D608" s="1"/>
      <c r="E608" s="1"/>
      <c r="F608" s="1"/>
      <c r="G608" s="1"/>
      <c r="H608" s="1"/>
      <c r="I608" s="1"/>
      <c r="J608" s="1"/>
      <c r="K608" s="9"/>
      <c r="L608" s="1"/>
      <c r="M608" s="319"/>
      <c r="N608" s="319"/>
      <c r="O608" s="319"/>
      <c r="P608" s="319"/>
      <c r="Q608" s="319"/>
      <c r="R608" s="319"/>
      <c r="S608" s="319"/>
      <c r="T608" s="319"/>
      <c r="U608" s="319"/>
      <c r="V608" s="319"/>
      <c r="W608" s="319"/>
      <c r="X608" s="319"/>
      <c r="Y608" s="319"/>
      <c r="Z608" s="319"/>
      <c r="AA608" s="319"/>
      <c r="AB608" s="319"/>
      <c r="AC608" s="319"/>
      <c r="AD608" s="319"/>
      <c r="AE608" s="319"/>
      <c r="AF608" s="319"/>
      <c r="AG608" s="319"/>
      <c r="AH608" s="319"/>
      <c r="AI608" s="319"/>
      <c r="AJ608" s="319"/>
      <c r="AK608" s="319"/>
      <c r="AL608" s="319"/>
      <c r="AM608" s="319"/>
      <c r="AN608" s="319"/>
      <c r="AO608" s="319">
        <v>2040022</v>
      </c>
      <c r="AP608" s="319"/>
      <c r="AQ608" s="319"/>
      <c r="AR608" s="319"/>
      <c r="AS608" s="319"/>
      <c r="AT608" s="319"/>
      <c r="AU608" s="319"/>
      <c r="AV608" s="319"/>
      <c r="AW608" s="319"/>
      <c r="AX608" s="319"/>
      <c r="AY608" s="319"/>
      <c r="AZ608" s="319"/>
      <c r="BA608" s="319"/>
      <c r="BB608" s="319"/>
      <c r="BC608" s="319"/>
      <c r="BD608" s="319"/>
      <c r="BE608" s="319"/>
      <c r="BF608" s="319"/>
      <c r="BG608" s="319"/>
      <c r="BH608" s="319"/>
      <c r="BI608" s="319"/>
      <c r="BJ608" s="319"/>
      <c r="BK608" s="319"/>
      <c r="BL608" s="319"/>
      <c r="BM608" s="319"/>
      <c r="BN608" s="319"/>
      <c r="BO608" s="319"/>
      <c r="BP608" s="319"/>
      <c r="BQ608" s="319"/>
      <c r="BR608" s="319"/>
      <c r="BS608" s="319"/>
      <c r="BT608" s="319"/>
      <c r="BU608" s="319"/>
      <c r="BV608" s="319"/>
      <c r="BW608" s="319"/>
      <c r="BX608" s="319"/>
      <c r="BY608" s="319"/>
      <c r="BZ608" s="319"/>
      <c r="CA608" s="319"/>
      <c r="CB608" s="319"/>
      <c r="CC608" s="319"/>
      <c r="CD608" s="319"/>
      <c r="CE608" s="319"/>
      <c r="CF608" s="319"/>
    </row>
    <row r="609" spans="1:84" ht="12.75" hidden="1" customHeight="1">
      <c r="A609" s="12"/>
      <c r="B609" s="329" t="str">
        <f>Language!C427</f>
        <v>Potência elétrica</v>
      </c>
      <c r="C609" s="29" t="str">
        <f>$C$92</f>
        <v>kW</v>
      </c>
      <c r="D609" s="412"/>
      <c r="E609" s="80" t="str">
        <f>IF($P$866=0,"",D609/$P$866)</f>
        <v/>
      </c>
      <c r="F609" s="1"/>
      <c r="G609" s="1"/>
      <c r="H609" s="1346"/>
      <c r="I609" s="1252" t="str">
        <f>Language!C61</f>
        <v>Ver banco de dados de produtos</v>
      </c>
      <c r="J609" s="1191"/>
      <c r="K609" s="1210"/>
      <c r="L609" s="1"/>
      <c r="M609" s="319"/>
      <c r="N609" s="319"/>
      <c r="O609" s="319"/>
      <c r="P609" s="319"/>
      <c r="Q609" s="319"/>
      <c r="R609" s="319"/>
      <c r="S609" s="319"/>
      <c r="T609" s="319"/>
      <c r="U609" s="319"/>
      <c r="V609" s="319"/>
      <c r="W609" s="319"/>
      <c r="X609" s="319"/>
      <c r="Y609" s="319"/>
      <c r="Z609" s="319"/>
      <c r="AA609" s="319"/>
      <c r="AB609" s="319"/>
      <c r="AC609" s="319"/>
      <c r="AD609" s="319"/>
      <c r="AE609" s="319"/>
      <c r="AF609" s="319"/>
      <c r="AG609" s="319"/>
      <c r="AH609" s="319"/>
      <c r="AI609" s="319"/>
      <c r="AJ609" s="319"/>
      <c r="AK609" s="319"/>
      <c r="AL609" s="319"/>
      <c r="AM609" s="319"/>
      <c r="AN609" s="319"/>
      <c r="AO609" s="319">
        <v>2050002</v>
      </c>
      <c r="AP609" s="319"/>
      <c r="AQ609" s="319"/>
      <c r="AR609" s="319"/>
      <c r="AS609" s="319"/>
      <c r="AT609" s="319"/>
      <c r="AU609" s="319"/>
      <c r="AV609" s="319"/>
      <c r="AW609" s="319"/>
      <c r="AX609" s="319"/>
      <c r="AY609" s="319"/>
      <c r="AZ609" s="319"/>
      <c r="BA609" s="319"/>
      <c r="BB609" s="319"/>
      <c r="BC609" s="319"/>
      <c r="BD609" s="319"/>
      <c r="BE609" s="319"/>
      <c r="BF609" s="319"/>
      <c r="BG609" s="319"/>
      <c r="BH609" s="319"/>
      <c r="BI609" s="319"/>
      <c r="BJ609" s="319"/>
      <c r="BK609" s="319"/>
      <c r="BL609" s="319"/>
      <c r="BM609" s="319"/>
      <c r="BN609" s="319"/>
      <c r="BO609" s="319"/>
      <c r="BP609" s="319"/>
      <c r="BQ609" s="319"/>
      <c r="BR609" s="319"/>
      <c r="BS609" s="319"/>
      <c r="BT609" s="319"/>
      <c r="BU609" s="319"/>
      <c r="BV609" s="319"/>
      <c r="BW609" s="319"/>
      <c r="BX609" s="319"/>
      <c r="BY609" s="319"/>
      <c r="BZ609" s="319"/>
      <c r="CA609" s="319"/>
      <c r="CB609" s="319"/>
      <c r="CC609" s="319"/>
      <c r="CD609" s="319"/>
      <c r="CE609" s="319"/>
      <c r="CF609" s="319"/>
    </row>
    <row r="610" spans="1:84" ht="12.75" hidden="1" customHeight="1">
      <c r="A610" s="12"/>
      <c r="B610" s="329" t="str">
        <f>Language!C429</f>
        <v>Capac. Mínima</v>
      </c>
      <c r="C610" s="29" t="str">
        <f>$T$35</f>
        <v>%</v>
      </c>
      <c r="D610" s="366"/>
      <c r="E610" s="1"/>
      <c r="F610" s="1"/>
      <c r="G610" s="1"/>
      <c r="H610" s="1"/>
      <c r="I610" s="1"/>
      <c r="J610" s="1"/>
      <c r="K610" s="788" t="str">
        <f>IF(V610&gt;0,$G$1095&amp;V610&amp;$G$1096,"")</f>
        <v/>
      </c>
      <c r="L610" s="1"/>
      <c r="M610" s="319"/>
      <c r="N610" s="319"/>
      <c r="O610" s="319"/>
      <c r="P610" s="319"/>
      <c r="Q610" s="319"/>
      <c r="R610" s="319"/>
      <c r="S610" s="319"/>
      <c r="T610" s="319"/>
      <c r="U610" s="319"/>
      <c r="V610" s="319">
        <f t="array" ref="V610">IF(AND(HideCodeES_PSS=2,$C$854=$E$1095),SUM(IF($D$1139:$D$1150&lt;D609*S1114,1,0)),SUM(IF($I$1139:$I$1150&lt;D609*S1114,1,0)))*IF(SUM($D$1139:$D$1150)=0,0,1)</f>
        <v>0</v>
      </c>
      <c r="W610" s="319" t="s">
        <v>4372</v>
      </c>
      <c r="X610" s="319"/>
      <c r="Y610" s="319"/>
      <c r="Z610" s="319"/>
      <c r="AA610" s="319"/>
      <c r="AB610" s="319"/>
      <c r="AC610" s="319"/>
      <c r="AD610" s="319"/>
      <c r="AE610" s="319"/>
      <c r="AF610" s="319"/>
      <c r="AG610" s="319"/>
      <c r="AH610" s="319"/>
      <c r="AI610" s="319"/>
      <c r="AJ610" s="319"/>
      <c r="AK610" s="319"/>
      <c r="AL610" s="319"/>
      <c r="AM610" s="319"/>
      <c r="AN610" s="319"/>
      <c r="AO610" s="319">
        <v>2050006</v>
      </c>
      <c r="AP610" s="319"/>
      <c r="AQ610" s="319"/>
      <c r="AR610" s="319"/>
      <c r="AS610" s="319"/>
      <c r="AT610" s="319"/>
      <c r="AU610" s="319"/>
      <c r="AV610" s="319"/>
      <c r="AW610" s="319"/>
      <c r="AX610" s="319"/>
      <c r="AY610" s="319"/>
      <c r="AZ610" s="319"/>
      <c r="BA610" s="319"/>
      <c r="BB610" s="319"/>
      <c r="BC610" s="319"/>
      <c r="BD610" s="319"/>
      <c r="BE610" s="319"/>
      <c r="BF610" s="319"/>
      <c r="BG610" s="319"/>
      <c r="BH610" s="319"/>
      <c r="BI610" s="319"/>
      <c r="BJ610" s="319"/>
      <c r="BK610" s="319"/>
      <c r="BL610" s="319"/>
      <c r="BM610" s="319"/>
      <c r="BN610" s="319"/>
      <c r="BO610" s="319"/>
      <c r="BP610" s="319"/>
      <c r="BQ610" s="319"/>
      <c r="BR610" s="319"/>
      <c r="BS610" s="319"/>
      <c r="BT610" s="319"/>
      <c r="BU610" s="319"/>
      <c r="BV610" s="319"/>
      <c r="BW610" s="319"/>
      <c r="BX610" s="319"/>
      <c r="BY610" s="319"/>
      <c r="BZ610" s="319"/>
      <c r="CA610" s="319"/>
      <c r="CB610" s="319"/>
      <c r="CC610" s="319"/>
      <c r="CD610" s="319"/>
      <c r="CE610" s="319"/>
      <c r="CF610" s="319"/>
    </row>
    <row r="611" spans="1:84" ht="12.75" hidden="1" customHeight="1">
      <c r="A611" s="12"/>
      <c r="B611" s="329" t="str">
        <f>$B$94</f>
        <v>Eletricidade fornecida à carga</v>
      </c>
      <c r="C611" s="29" t="str">
        <f>R14</f>
        <v>MWh</v>
      </c>
      <c r="D611" s="30">
        <f>IF(HideCodeES_PSS=1,$G$1107,IF($C$854=$E$1094,$G$1108,$G$1107))</f>
        <v>0</v>
      </c>
      <c r="E611" s="80" t="str">
        <f>IF($P$867=0,"",D611/$P$867)</f>
        <v/>
      </c>
      <c r="F611" s="1"/>
      <c r="G611" s="1"/>
      <c r="H611" s="1"/>
      <c r="I611" s="1"/>
      <c r="J611" s="1"/>
      <c r="K611" s="9"/>
      <c r="L611" s="1"/>
      <c r="M611" s="319"/>
      <c r="N611" s="319"/>
      <c r="O611" s="319"/>
      <c r="P611" s="319"/>
      <c r="Q611" s="319"/>
      <c r="R611" s="319"/>
      <c r="S611" s="319"/>
      <c r="T611" s="319"/>
      <c r="U611" s="319"/>
      <c r="V611" s="319"/>
      <c r="W611" s="319"/>
      <c r="X611" s="319"/>
      <c r="Y611" s="319"/>
      <c r="Z611" s="319"/>
      <c r="AA611" s="319"/>
      <c r="AB611" s="319"/>
      <c r="AC611" s="319"/>
      <c r="AD611" s="319"/>
      <c r="AE611" s="319"/>
      <c r="AF611" s="319"/>
      <c r="AG611" s="319"/>
      <c r="AH611" s="319"/>
      <c r="AI611" s="319"/>
      <c r="AJ611" s="319"/>
      <c r="AK611" s="319"/>
      <c r="AL611" s="319"/>
      <c r="AM611" s="319"/>
      <c r="AN611" s="319"/>
      <c r="AO611" s="319">
        <v>2050008</v>
      </c>
      <c r="AP611" s="319"/>
      <c r="AQ611" s="319"/>
      <c r="AR611" s="319"/>
      <c r="AS611" s="319"/>
      <c r="AT611" s="319"/>
      <c r="AU611" s="319"/>
      <c r="AV611" s="319"/>
      <c r="AW611" s="319"/>
      <c r="AX611" s="319"/>
      <c r="AY611" s="319"/>
      <c r="AZ611" s="319"/>
      <c r="BA611" s="319"/>
      <c r="BB611" s="319"/>
      <c r="BC611" s="319"/>
      <c r="BD611" s="319"/>
      <c r="BE611" s="319"/>
      <c r="BF611" s="319"/>
      <c r="BG611" s="319"/>
      <c r="BH611" s="319"/>
      <c r="BI611" s="319"/>
      <c r="BJ611" s="319"/>
      <c r="BK611" s="319"/>
      <c r="BL611" s="319"/>
      <c r="BM611" s="319"/>
      <c r="BN611" s="319"/>
      <c r="BO611" s="319"/>
      <c r="BP611" s="319"/>
      <c r="BQ611" s="319"/>
      <c r="BR611" s="319"/>
      <c r="BS611" s="319"/>
      <c r="BT611" s="319"/>
      <c r="BU611" s="319"/>
      <c r="BV611" s="319"/>
      <c r="BW611" s="319"/>
      <c r="BX611" s="319"/>
      <c r="BY611" s="319"/>
      <c r="BZ611" s="319"/>
      <c r="CA611" s="319"/>
      <c r="CB611" s="319"/>
      <c r="CC611" s="319"/>
      <c r="CD611" s="319"/>
      <c r="CE611" s="319"/>
      <c r="CF611" s="319"/>
    </row>
    <row r="612" spans="1:84" ht="12.75" hidden="1" customHeight="1">
      <c r="A612" s="12"/>
      <c r="B612" s="329" t="str">
        <f>$B$95</f>
        <v>Eletricidade exportada p/ rede</v>
      </c>
      <c r="C612" s="29" t="str">
        <f>R14</f>
        <v>MWh</v>
      </c>
      <c r="D612" s="30">
        <f>IF(HideCodeES_PSS=1,$J$1107,IF($C$854=$E$1094,$J$1108,$J$1107))</f>
        <v>5.3903325633948667</v>
      </c>
      <c r="E612" s="1"/>
      <c r="F612" s="1"/>
      <c r="G612" s="1"/>
      <c r="H612" s="1"/>
      <c r="I612" s="1"/>
      <c r="J612" s="1"/>
      <c r="K612" s="9"/>
      <c r="L612" s="1"/>
      <c r="M612" s="319"/>
      <c r="N612" s="319"/>
      <c r="O612" s="319"/>
      <c r="P612" s="319"/>
      <c r="Q612" s="319"/>
      <c r="R612" s="319"/>
      <c r="S612" s="319"/>
      <c r="T612" s="319"/>
      <c r="U612" s="319"/>
      <c r="V612" s="319"/>
      <c r="W612" s="319"/>
      <c r="X612" s="319"/>
      <c r="Y612" s="319"/>
      <c r="Z612" s="319"/>
      <c r="AA612" s="319"/>
      <c r="AB612" s="319"/>
      <c r="AC612" s="319"/>
      <c r="AD612" s="319"/>
      <c r="AE612" s="319"/>
      <c r="AF612" s="319"/>
      <c r="AG612" s="319"/>
      <c r="AH612" s="319"/>
      <c r="AI612" s="319"/>
      <c r="AJ612" s="319"/>
      <c r="AK612" s="319"/>
      <c r="AL612" s="319"/>
      <c r="AM612" s="319"/>
      <c r="AN612" s="319"/>
      <c r="AO612" s="319">
        <v>2050010</v>
      </c>
      <c r="AP612" s="319"/>
      <c r="AQ612" s="319"/>
      <c r="AR612" s="319"/>
      <c r="AS612" s="319"/>
      <c r="AT612" s="319"/>
      <c r="AU612" s="319"/>
      <c r="AV612" s="319"/>
      <c r="AW612" s="319"/>
      <c r="AX612" s="319"/>
      <c r="AY612" s="319"/>
      <c r="AZ612" s="319"/>
      <c r="BA612" s="319"/>
      <c r="BB612" s="319"/>
      <c r="BC612" s="319"/>
      <c r="BD612" s="319"/>
      <c r="BE612" s="319"/>
      <c r="BF612" s="319"/>
      <c r="BG612" s="319"/>
      <c r="BH612" s="319"/>
      <c r="BI612" s="319"/>
      <c r="BJ612" s="319"/>
      <c r="BK612" s="319"/>
      <c r="BL612" s="319"/>
      <c r="BM612" s="319"/>
      <c r="BN612" s="319"/>
      <c r="BO612" s="319"/>
      <c r="BP612" s="319"/>
      <c r="BQ612" s="319"/>
      <c r="BR612" s="319"/>
      <c r="BS612" s="319"/>
      <c r="BT612" s="319"/>
      <c r="BU612" s="319"/>
      <c r="BV612" s="319"/>
      <c r="BW612" s="319"/>
      <c r="BX612" s="319"/>
      <c r="BY612" s="319"/>
      <c r="BZ612" s="319"/>
      <c r="CA612" s="319"/>
      <c r="CB612" s="319"/>
      <c r="CC612" s="319"/>
      <c r="CD612" s="319"/>
      <c r="CE612" s="319"/>
      <c r="CF612" s="319"/>
    </row>
    <row r="613" spans="1:84" ht="12.75" hidden="1" customHeight="1">
      <c r="A613" s="12"/>
      <c r="B613" s="329" t="str">
        <f>B12</f>
        <v>Fabricante</v>
      </c>
      <c r="C613" s="1152"/>
      <c r="D613" s="1153"/>
      <c r="E613" s="1154"/>
      <c r="F613" s="1"/>
      <c r="G613" s="1"/>
      <c r="H613" s="1"/>
      <c r="I613" s="1"/>
      <c r="J613" s="1"/>
      <c r="K613" s="9"/>
      <c r="L613" s="1"/>
      <c r="M613" s="319"/>
      <c r="N613" s="319"/>
      <c r="O613" s="319"/>
      <c r="P613" s="319"/>
      <c r="Q613" s="319"/>
      <c r="R613" s="319"/>
      <c r="S613" s="319"/>
      <c r="T613" s="319"/>
      <c r="U613" s="319"/>
      <c r="V613" s="319"/>
      <c r="W613" s="319"/>
      <c r="X613" s="319"/>
      <c r="Y613" s="319"/>
      <c r="Z613" s="319"/>
      <c r="AA613" s="319"/>
      <c r="AB613" s="319"/>
      <c r="AC613" s="319"/>
      <c r="AD613" s="319"/>
      <c r="AE613" s="319"/>
      <c r="AF613" s="319"/>
      <c r="AG613" s="319"/>
      <c r="AH613" s="319"/>
      <c r="AI613" s="319"/>
      <c r="AJ613" s="319"/>
      <c r="AK613" s="319"/>
      <c r="AL613" s="319"/>
      <c r="AM613" s="319"/>
      <c r="AN613" s="319"/>
      <c r="AO613" s="319">
        <v>2050012</v>
      </c>
      <c r="AP613" s="319"/>
      <c r="AQ613" s="319"/>
      <c r="AR613" s="319"/>
      <c r="AS613" s="319"/>
      <c r="AT613" s="319"/>
      <c r="AU613" s="319"/>
      <c r="AV613" s="319"/>
      <c r="AW613" s="319"/>
      <c r="AX613" s="319"/>
      <c r="AY613" s="319"/>
      <c r="AZ613" s="319"/>
      <c r="BA613" s="319"/>
      <c r="BB613" s="319"/>
      <c r="BC613" s="319"/>
      <c r="BD613" s="319"/>
      <c r="BE613" s="319"/>
      <c r="BF613" s="319"/>
      <c r="BG613" s="319"/>
      <c r="BH613" s="319"/>
      <c r="BI613" s="319"/>
      <c r="BJ613" s="319"/>
      <c r="BK613" s="319"/>
      <c r="BL613" s="319"/>
      <c r="BM613" s="319"/>
      <c r="BN613" s="319"/>
      <c r="BO613" s="319"/>
      <c r="BP613" s="319"/>
      <c r="BQ613" s="319"/>
      <c r="BR613" s="319"/>
      <c r="BS613" s="319"/>
      <c r="BT613" s="319"/>
      <c r="BU613" s="319"/>
      <c r="BV613" s="319"/>
      <c r="BW613" s="319"/>
      <c r="BX613" s="319"/>
      <c r="BY613" s="319"/>
      <c r="BZ613" s="319"/>
      <c r="CA613" s="319"/>
      <c r="CB613" s="319"/>
      <c r="CC613" s="319"/>
      <c r="CD613" s="319"/>
      <c r="CE613" s="319"/>
      <c r="CF613" s="319"/>
    </row>
    <row r="614" spans="1:84" ht="12.75" hidden="1" customHeight="1">
      <c r="A614" s="12"/>
      <c r="B614" s="329" t="str">
        <f>B13</f>
        <v>Modelo</v>
      </c>
      <c r="C614" s="1152"/>
      <c r="D614" s="1153"/>
      <c r="E614" s="1154"/>
      <c r="F614" s="1" t="str">
        <f>$J$1079 &amp; Lang_Unit</f>
        <v>1 unidade(s)</v>
      </c>
      <c r="G614" s="1"/>
      <c r="H614" s="1"/>
      <c r="I614" s="1"/>
      <c r="J614" s="1"/>
      <c r="K614" s="9"/>
      <c r="L614" s="1"/>
      <c r="M614" s="319"/>
      <c r="N614" s="319"/>
      <c r="O614" s="319"/>
      <c r="P614" s="319"/>
      <c r="Q614" s="319"/>
      <c r="R614" s="319"/>
      <c r="S614" s="319"/>
      <c r="T614" s="319"/>
      <c r="U614" s="319"/>
      <c r="V614" s="319"/>
      <c r="W614" s="319"/>
      <c r="X614" s="319"/>
      <c r="Y614" s="319"/>
      <c r="Z614" s="319"/>
      <c r="AA614" s="319"/>
      <c r="AB614" s="319"/>
      <c r="AC614" s="319"/>
      <c r="AD614" s="319"/>
      <c r="AE614" s="319"/>
      <c r="AF614" s="319"/>
      <c r="AG614" s="319"/>
      <c r="AH614" s="319"/>
      <c r="AI614" s="319"/>
      <c r="AJ614" s="319"/>
      <c r="AK614" s="319"/>
      <c r="AL614" s="319"/>
      <c r="AM614" s="319"/>
      <c r="AN614" s="319"/>
      <c r="AO614" s="319">
        <v>2050014</v>
      </c>
      <c r="AP614" s="319"/>
      <c r="AQ614" s="319"/>
      <c r="AR614" s="319"/>
      <c r="AS614" s="319"/>
      <c r="AT614" s="319"/>
      <c r="AU614" s="319"/>
      <c r="AV614" s="319"/>
      <c r="AW614" s="319"/>
      <c r="AX614" s="319"/>
      <c r="AY614" s="319"/>
      <c r="AZ614" s="319"/>
      <c r="BA614" s="319"/>
      <c r="BB614" s="319"/>
      <c r="BC614" s="319"/>
      <c r="BD614" s="319"/>
      <c r="BE614" s="319"/>
      <c r="BF614" s="319"/>
      <c r="BG614" s="319"/>
      <c r="BH614" s="319"/>
      <c r="BI614" s="319"/>
      <c r="BJ614" s="319"/>
      <c r="BK614" s="319"/>
      <c r="BL614" s="319"/>
      <c r="BM614" s="319"/>
      <c r="BN614" s="319"/>
      <c r="BO614" s="319"/>
      <c r="BP614" s="319"/>
      <c r="BQ614" s="319"/>
      <c r="BR614" s="319"/>
      <c r="BS614" s="319"/>
      <c r="BT614" s="319"/>
      <c r="BU614" s="319"/>
      <c r="BV614" s="319"/>
      <c r="BW614" s="319"/>
      <c r="BX614" s="319"/>
      <c r="BY614" s="319"/>
      <c r="BZ614" s="319"/>
      <c r="CA614" s="319"/>
      <c r="CB614" s="319"/>
      <c r="CC614" s="319"/>
      <c r="CD614" s="319"/>
      <c r="CE614" s="319"/>
      <c r="CF614" s="319"/>
    </row>
    <row r="615" spans="1:84" ht="12.75" hidden="1" customHeight="1">
      <c r="A615" s="12"/>
      <c r="B615" s="329" t="str">
        <f>B98</f>
        <v>Preço do calor</v>
      </c>
      <c r="C615" s="303" t="s">
        <v>4213</v>
      </c>
      <c r="D615" s="307"/>
      <c r="E615" s="29"/>
      <c r="F615" s="1"/>
      <c r="G615" s="1"/>
      <c r="H615" s="1"/>
      <c r="I615" s="1"/>
      <c r="J615" s="1"/>
      <c r="K615" s="9"/>
      <c r="L615" s="1"/>
      <c r="M615" s="319"/>
      <c r="N615" s="319"/>
      <c r="O615" s="319"/>
      <c r="P615" s="319"/>
      <c r="Q615" s="319"/>
      <c r="R615" s="319" t="s">
        <v>4213</v>
      </c>
      <c r="S615" s="319">
        <f>IF(C615=$Z$1081,D615,D615*$AA$1082)</f>
        <v>0</v>
      </c>
      <c r="T615" s="319"/>
      <c r="U615" s="319"/>
      <c r="V615" s="319"/>
      <c r="W615" s="319"/>
      <c r="X615" s="319"/>
      <c r="Y615" s="319"/>
      <c r="Z615" s="319"/>
      <c r="AA615" s="319"/>
      <c r="AB615" s="319"/>
      <c r="AC615" s="319"/>
      <c r="AD615" s="319"/>
      <c r="AE615" s="319"/>
      <c r="AF615" s="319"/>
      <c r="AG615" s="319"/>
      <c r="AH615" s="319"/>
      <c r="AI615" s="319"/>
      <c r="AJ615" s="319"/>
      <c r="AK615" s="319"/>
      <c r="AL615" s="319"/>
      <c r="AM615" s="319"/>
      <c r="AN615" s="319"/>
      <c r="AO615" s="319">
        <v>2050018</v>
      </c>
      <c r="AP615" s="319"/>
      <c r="AQ615" s="319"/>
      <c r="AR615" s="319"/>
      <c r="AS615" s="319"/>
      <c r="AT615" s="319"/>
      <c r="AU615" s="319"/>
      <c r="AV615" s="319"/>
      <c r="AW615" s="319"/>
      <c r="AX615" s="319"/>
      <c r="AY615" s="319"/>
      <c r="AZ615" s="319"/>
      <c r="BA615" s="319"/>
      <c r="BB615" s="319"/>
      <c r="BC615" s="319"/>
      <c r="BD615" s="319"/>
      <c r="BE615" s="319"/>
      <c r="BF615" s="319"/>
      <c r="BG615" s="319"/>
      <c r="BH615" s="319"/>
      <c r="BI615" s="319"/>
      <c r="BJ615" s="319"/>
      <c r="BK615" s="319"/>
      <c r="BL615" s="319"/>
      <c r="BM615" s="319"/>
      <c r="BN615" s="319"/>
      <c r="BO615" s="319"/>
      <c r="BP615" s="319"/>
      <c r="BQ615" s="319"/>
      <c r="BR615" s="319"/>
      <c r="BS615" s="319"/>
      <c r="BT615" s="319"/>
      <c r="BU615" s="319"/>
      <c r="BV615" s="319"/>
      <c r="BW615" s="319"/>
      <c r="BX615" s="319"/>
      <c r="BY615" s="319"/>
      <c r="BZ615" s="319"/>
      <c r="CA615" s="319"/>
      <c r="CB615" s="319"/>
      <c r="CC615" s="319"/>
      <c r="CD615" s="319"/>
      <c r="CE615" s="319"/>
      <c r="CF615" s="319"/>
    </row>
    <row r="616" spans="1:84" ht="12.75" hidden="1" customHeight="1">
      <c r="A616" s="12"/>
      <c r="B616" s="329" t="str">
        <f>Language!C430</f>
        <v>Taxa de recuperação de calor</v>
      </c>
      <c r="C616" s="29" t="str">
        <f>$T$35</f>
        <v>%</v>
      </c>
      <c r="D616" s="422"/>
      <c r="E616" s="29"/>
      <c r="F616" s="1"/>
      <c r="G616" s="1"/>
      <c r="H616" s="1"/>
      <c r="I616" s="1"/>
      <c r="J616" s="1"/>
      <c r="K616" s="9"/>
      <c r="L616" s="1"/>
      <c r="M616" s="319"/>
      <c r="N616" s="319"/>
      <c r="O616" s="319"/>
      <c r="P616" s="319"/>
      <c r="Q616" s="319"/>
      <c r="R616" s="319"/>
      <c r="S616" s="319"/>
      <c r="T616" s="319"/>
      <c r="U616" s="319"/>
      <c r="V616" s="319"/>
      <c r="W616" s="319"/>
      <c r="X616" s="319"/>
      <c r="Y616" s="319"/>
      <c r="Z616" s="319"/>
      <c r="AA616" s="319"/>
      <c r="AB616" s="319"/>
      <c r="AC616" s="319"/>
      <c r="AD616" s="319"/>
      <c r="AE616" s="319"/>
      <c r="AF616" s="319"/>
      <c r="AG616" s="319"/>
      <c r="AH616" s="319"/>
      <c r="AI616" s="319"/>
      <c r="AJ616" s="319"/>
      <c r="AK616" s="319"/>
      <c r="AL616" s="319"/>
      <c r="AM616" s="319"/>
      <c r="AN616" s="319"/>
      <c r="AO616" s="319">
        <v>2050028</v>
      </c>
      <c r="AP616" s="319"/>
      <c r="AQ616" s="319"/>
      <c r="AR616" s="319"/>
      <c r="AS616" s="319"/>
      <c r="AT616" s="319"/>
      <c r="AU616" s="319"/>
      <c r="AV616" s="319"/>
      <c r="AW616" s="319"/>
      <c r="AX616" s="319"/>
      <c r="AY616" s="319"/>
      <c r="AZ616" s="319"/>
      <c r="BA616" s="319"/>
      <c r="BB616" s="319"/>
      <c r="BC616" s="319"/>
      <c r="BD616" s="319"/>
      <c r="BE616" s="319"/>
      <c r="BF616" s="319"/>
      <c r="BG616" s="319"/>
      <c r="BH616" s="319"/>
      <c r="BI616" s="319"/>
      <c r="BJ616" s="319"/>
      <c r="BK616" s="319"/>
      <c r="BL616" s="319"/>
      <c r="BM616" s="319"/>
      <c r="BN616" s="319"/>
      <c r="BO616" s="319"/>
      <c r="BP616" s="319"/>
      <c r="BQ616" s="319"/>
      <c r="BR616" s="319"/>
      <c r="BS616" s="319"/>
      <c r="BT616" s="319"/>
      <c r="BU616" s="319"/>
      <c r="BV616" s="319"/>
      <c r="BW616" s="319"/>
      <c r="BX616" s="319"/>
      <c r="BY616" s="319"/>
      <c r="BZ616" s="319"/>
      <c r="CA616" s="319"/>
      <c r="CB616" s="319"/>
      <c r="CC616" s="319"/>
      <c r="CD616" s="319"/>
      <c r="CE616" s="319"/>
      <c r="CF616" s="319"/>
    </row>
    <row r="617" spans="1:84" ht="12.75" hidden="1" customHeight="1">
      <c r="A617" s="12"/>
      <c r="B617" s="329" t="str">
        <f>B77</f>
        <v>Combustível necessário</v>
      </c>
      <c r="C617" s="29" t="str">
        <f>IF(Unit=TRUE,R617,T617)</f>
        <v>GJ/h</v>
      </c>
      <c r="D617" s="236">
        <f>IF(Unit=TRUE,S617,U617)</f>
        <v>0</v>
      </c>
      <c r="E617" s="29"/>
      <c r="F617" s="29" t="str">
        <f>IF($M$3=FALSE,"",IF(Unit=FALSE,R617,T617))</f>
        <v/>
      </c>
      <c r="G617" s="140" t="str">
        <f>IF($M$3=FALSE,"",IF(Unit=FALSE,S617,U617))</f>
        <v/>
      </c>
      <c r="H617" s="1"/>
      <c r="I617" s="1"/>
      <c r="J617" s="1"/>
      <c r="K617" s="9"/>
      <c r="L617" s="1"/>
      <c r="M617" s="319"/>
      <c r="N617" s="319"/>
      <c r="O617" s="319"/>
      <c r="P617" s="319"/>
      <c r="Q617" s="319"/>
      <c r="R617" s="319" t="str">
        <f>$R$77</f>
        <v>GJ/h</v>
      </c>
      <c r="S617" s="319">
        <f>D609*S615/10^6</f>
        <v>0</v>
      </c>
      <c r="T617" s="319" t="str">
        <f>$T$77</f>
        <v>milhão Btu/h</v>
      </c>
      <c r="U617" s="319">
        <f>S617/$AA$1082</f>
        <v>0</v>
      </c>
      <c r="V617" s="319"/>
      <c r="W617" s="319"/>
      <c r="X617" s="319"/>
      <c r="Y617" s="319"/>
      <c r="Z617" s="319"/>
      <c r="AA617" s="319"/>
      <c r="AB617" s="319"/>
      <c r="AC617" s="319"/>
      <c r="AD617" s="319"/>
      <c r="AE617" s="319"/>
      <c r="AF617" s="319"/>
      <c r="AG617" s="319"/>
      <c r="AH617" s="319"/>
      <c r="AI617" s="319"/>
      <c r="AJ617" s="319"/>
      <c r="AK617" s="319"/>
      <c r="AL617" s="319"/>
      <c r="AM617" s="319"/>
      <c r="AN617" s="319"/>
      <c r="AO617" s="319">
        <v>2050032</v>
      </c>
      <c r="AP617" s="319"/>
      <c r="AQ617" s="319"/>
      <c r="AR617" s="319"/>
      <c r="AS617" s="319"/>
      <c r="AT617" s="319"/>
      <c r="AU617" s="319"/>
      <c r="AV617" s="319"/>
      <c r="AW617" s="319"/>
      <c r="AX617" s="319"/>
      <c r="AY617" s="319"/>
      <c r="AZ617" s="319"/>
      <c r="BA617" s="319"/>
      <c r="BB617" s="319"/>
      <c r="BC617" s="319"/>
      <c r="BD617" s="319"/>
      <c r="BE617" s="319"/>
      <c r="BF617" s="319"/>
      <c r="BG617" s="319"/>
      <c r="BH617" s="319"/>
      <c r="BI617" s="319"/>
      <c r="BJ617" s="319"/>
      <c r="BK617" s="319"/>
      <c r="BL617" s="319"/>
      <c r="BM617" s="319"/>
      <c r="BN617" s="319"/>
      <c r="BO617" s="319"/>
      <c r="BP617" s="319"/>
      <c r="BQ617" s="319"/>
      <c r="BR617" s="319"/>
      <c r="BS617" s="319"/>
      <c r="BT617" s="319"/>
      <c r="BU617" s="319"/>
      <c r="BV617" s="319"/>
      <c r="BW617" s="319"/>
      <c r="BX617" s="319"/>
      <c r="BY617" s="319"/>
      <c r="BZ617" s="319"/>
      <c r="CA617" s="319"/>
      <c r="CB617" s="319"/>
      <c r="CC617" s="319"/>
      <c r="CD617" s="319"/>
      <c r="CE617" s="319"/>
      <c r="CF617" s="319"/>
    </row>
    <row r="618" spans="1:84" ht="12.75" hidden="1" customHeight="1">
      <c r="A618" s="14"/>
      <c r="B618" s="380" t="str">
        <f>Language!C431</f>
        <v>Capacidade térmica</v>
      </c>
      <c r="C618" s="33" t="str">
        <f>IF(Unit=TRUE,R618,T618)</f>
        <v>kW</v>
      </c>
      <c r="D618" s="245">
        <f>IF(Unit=TRUE,S618,U618)</f>
        <v>0</v>
      </c>
      <c r="E618" s="81" t="str">
        <f>IF(OR(HideCode_projectType3=2,HideCode_projectType3=5),"",S618/$Q$866)</f>
        <v/>
      </c>
      <c r="F618" s="33" t="str">
        <f>IF($M$3=FALSE,"",IF(Unit=FALSE,R618,T618))</f>
        <v/>
      </c>
      <c r="G618" s="245" t="str">
        <f>IF($M$3=FALSE,"",IF(Unit=FALSE,S618,U618))</f>
        <v/>
      </c>
      <c r="H618" s="15"/>
      <c r="I618" s="15"/>
      <c r="J618" s="15"/>
      <c r="K618" s="11"/>
      <c r="L618" s="1"/>
      <c r="M618" s="319"/>
      <c r="N618" s="319"/>
      <c r="O618" s="319"/>
      <c r="P618" s="319"/>
      <c r="Q618" s="319"/>
      <c r="R618" s="319" t="str">
        <f>$R$20</f>
        <v>kW</v>
      </c>
      <c r="S618" s="319">
        <f>(S615*D609/10^3/3.6-D609)*D616</f>
        <v>0</v>
      </c>
      <c r="T618" s="319" t="str">
        <f>$T$77</f>
        <v>milhão Btu/h</v>
      </c>
      <c r="U618" s="319">
        <f>S618*$AB$1087/1000</f>
        <v>0</v>
      </c>
      <c r="V618" s="319"/>
      <c r="W618" s="319"/>
      <c r="X618" s="319"/>
      <c r="Y618" s="319"/>
      <c r="Z618" s="319"/>
      <c r="AA618" s="319"/>
      <c r="AB618" s="319"/>
      <c r="AC618" s="319"/>
      <c r="AD618" s="319"/>
      <c r="AE618" s="319"/>
      <c r="AF618" s="319"/>
      <c r="AG618" s="319"/>
      <c r="AH618" s="319"/>
      <c r="AI618" s="319"/>
      <c r="AJ618" s="319"/>
      <c r="AK618" s="319"/>
      <c r="AL618" s="319"/>
      <c r="AM618" s="319"/>
      <c r="AN618" s="319"/>
      <c r="AO618" s="319">
        <v>2050034</v>
      </c>
      <c r="AP618" s="319"/>
      <c r="AQ618" s="319"/>
      <c r="AR618" s="319"/>
      <c r="AS618" s="319"/>
      <c r="AT618" s="319"/>
      <c r="AU618" s="319"/>
      <c r="AV618" s="319"/>
      <c r="AW618" s="319"/>
      <c r="AX618" s="319"/>
      <c r="AY618" s="319"/>
      <c r="AZ618" s="319"/>
      <c r="BA618" s="319"/>
      <c r="BB618" s="319"/>
      <c r="BC618" s="319"/>
      <c r="BD618" s="319"/>
      <c r="BE618" s="319"/>
      <c r="BF618" s="319"/>
      <c r="BG618" s="319"/>
      <c r="BH618" s="319"/>
      <c r="BI618" s="319"/>
      <c r="BJ618" s="319"/>
      <c r="BK618" s="319"/>
      <c r="BL618" s="319"/>
      <c r="BM618" s="319"/>
      <c r="BN618" s="319"/>
      <c r="BO618" s="319"/>
      <c r="BP618" s="319"/>
      <c r="BQ618" s="319"/>
      <c r="BR618" s="319"/>
      <c r="BS618" s="319"/>
      <c r="BT618" s="319"/>
      <c r="BU618" s="319"/>
      <c r="BV618" s="319"/>
      <c r="BW618" s="319"/>
      <c r="BX618" s="319"/>
      <c r="BY618" s="319"/>
      <c r="BZ618" s="319"/>
      <c r="CA618" s="319"/>
      <c r="CB618" s="319"/>
      <c r="CC618" s="319"/>
      <c r="CD618" s="319"/>
      <c r="CE618" s="319"/>
      <c r="CF618" s="319"/>
    </row>
    <row r="619" spans="1:84" ht="12.75" hidden="1" customHeight="1">
      <c r="A619" s="12"/>
      <c r="B619" s="1"/>
      <c r="C619" s="1"/>
      <c r="D619" s="1"/>
      <c r="E619" s="1"/>
      <c r="F619" s="1"/>
      <c r="G619" s="1"/>
      <c r="H619" s="1"/>
      <c r="I619" s="1"/>
      <c r="J619" s="1"/>
      <c r="K619" s="9"/>
      <c r="L619" s="1"/>
      <c r="M619" s="319"/>
      <c r="N619" s="319"/>
      <c r="O619" s="319"/>
      <c r="P619" s="319"/>
      <c r="Q619" s="319"/>
      <c r="R619" s="319"/>
      <c r="S619" s="319"/>
      <c r="T619" s="319"/>
      <c r="U619" s="319"/>
      <c r="V619" s="319"/>
      <c r="W619" s="319"/>
      <c r="X619" s="319"/>
      <c r="Y619" s="319"/>
      <c r="Z619" s="319"/>
      <c r="AA619" s="319"/>
      <c r="AB619" s="319"/>
      <c r="AC619" s="319"/>
      <c r="AD619" s="319"/>
      <c r="AE619" s="319"/>
      <c r="AF619" s="319"/>
      <c r="AG619" s="319"/>
      <c r="AH619" s="319"/>
      <c r="AI619" s="319"/>
      <c r="AJ619" s="319"/>
      <c r="AK619" s="319"/>
      <c r="AL619" s="319"/>
      <c r="AM619" s="319"/>
      <c r="AN619" s="319"/>
      <c r="AO619" s="319">
        <v>2030000</v>
      </c>
      <c r="AP619" s="319"/>
      <c r="AQ619" s="319"/>
      <c r="AR619" s="319"/>
      <c r="AS619" s="319"/>
      <c r="AT619" s="319"/>
      <c r="AU619" s="319"/>
      <c r="AV619" s="319"/>
      <c r="AW619" s="319"/>
      <c r="AX619" s="319"/>
      <c r="AY619" s="319"/>
      <c r="AZ619" s="319"/>
      <c r="BA619" s="319"/>
      <c r="BB619" s="319"/>
      <c r="BC619" s="319"/>
      <c r="BD619" s="319"/>
      <c r="BE619" s="319"/>
      <c r="BF619" s="319"/>
      <c r="BG619" s="319"/>
      <c r="BH619" s="319"/>
      <c r="BI619" s="319"/>
      <c r="BJ619" s="319"/>
      <c r="BK619" s="319"/>
      <c r="BL619" s="319"/>
      <c r="BM619" s="319"/>
      <c r="BN619" s="319"/>
      <c r="BO619" s="319"/>
      <c r="BP619" s="319"/>
      <c r="BQ619" s="319"/>
      <c r="BR619" s="319"/>
      <c r="BS619" s="319"/>
      <c r="BT619" s="319"/>
      <c r="BU619" s="319"/>
      <c r="BV619" s="319"/>
      <c r="BW619" s="319"/>
      <c r="BX619" s="319"/>
      <c r="BY619" s="319"/>
      <c r="BZ619" s="319"/>
      <c r="CA619" s="319"/>
      <c r="CB619" s="319"/>
      <c r="CC619" s="319"/>
      <c r="CD619" s="319"/>
      <c r="CE619" s="319"/>
      <c r="CF619" s="319"/>
    </row>
    <row r="620" spans="1:84" ht="12.75" hidden="1" customHeight="1">
      <c r="A620" s="12"/>
      <c r="B620" s="28" t="str">
        <f>Language!C134&amp;" #2"</f>
        <v>Turbina à gas #2</v>
      </c>
      <c r="C620" s="1"/>
      <c r="D620" s="1"/>
      <c r="E620" s="1"/>
      <c r="F620" s="1"/>
      <c r="G620" s="1"/>
      <c r="H620" s="1"/>
      <c r="I620" s="1"/>
      <c r="J620" s="1"/>
      <c r="K620" s="9"/>
      <c r="L620" s="1"/>
      <c r="M620" s="319"/>
      <c r="N620" s="319"/>
      <c r="O620" s="319"/>
      <c r="P620" s="319"/>
      <c r="Q620" s="319"/>
      <c r="R620" s="319"/>
      <c r="S620" s="319"/>
      <c r="T620" s="319"/>
      <c r="U620" s="319"/>
      <c r="V620" s="319"/>
      <c r="W620" s="319"/>
      <c r="X620" s="319"/>
      <c r="Y620" s="319"/>
      <c r="Z620" s="319"/>
      <c r="AA620" s="319"/>
      <c r="AB620" s="319"/>
      <c r="AC620" s="319"/>
      <c r="AD620" s="319"/>
      <c r="AE620" s="319"/>
      <c r="AF620" s="319"/>
      <c r="AG620" s="319"/>
      <c r="AH620" s="319"/>
      <c r="AI620" s="319"/>
      <c r="AJ620" s="319"/>
      <c r="AK620" s="319"/>
      <c r="AL620" s="319"/>
      <c r="AM620" s="319"/>
      <c r="AN620" s="319"/>
      <c r="AO620" s="319">
        <v>14110</v>
      </c>
      <c r="AP620" s="319"/>
      <c r="AQ620" s="319"/>
      <c r="AR620" s="319"/>
      <c r="AS620" s="319"/>
      <c r="AT620" s="319"/>
      <c r="AU620" s="319"/>
      <c r="AV620" s="319"/>
      <c r="AW620" s="319"/>
      <c r="AX620" s="319"/>
      <c r="AY620" s="319"/>
      <c r="AZ620" s="319"/>
      <c r="BA620" s="319"/>
      <c r="BB620" s="319"/>
      <c r="BC620" s="319"/>
      <c r="BD620" s="319"/>
      <c r="BE620" s="319"/>
      <c r="BF620" s="319"/>
      <c r="BG620" s="319"/>
      <c r="BH620" s="319"/>
      <c r="BI620" s="319"/>
      <c r="BJ620" s="319"/>
      <c r="BK620" s="319"/>
      <c r="BL620" s="319"/>
      <c r="BM620" s="319"/>
      <c r="BN620" s="319"/>
      <c r="BO620" s="319"/>
      <c r="BP620" s="319"/>
      <c r="BQ620" s="319"/>
      <c r="BR620" s="319"/>
      <c r="BS620" s="319"/>
      <c r="BT620" s="319"/>
      <c r="BU620" s="319"/>
      <c r="BV620" s="319"/>
      <c r="BW620" s="319"/>
      <c r="BX620" s="319"/>
      <c r="BY620" s="319"/>
      <c r="BZ620" s="319"/>
      <c r="CA620" s="319"/>
      <c r="CB620" s="319"/>
      <c r="CC620" s="319"/>
      <c r="CD620" s="319"/>
      <c r="CE620" s="319"/>
      <c r="CF620" s="319"/>
    </row>
    <row r="621" spans="1:84" ht="12.75" hidden="1" customHeight="1">
      <c r="A621" s="12"/>
      <c r="B621" s="329" t="str">
        <f>Language!C427</f>
        <v>Potência elétrica</v>
      </c>
      <c r="C621" s="29" t="str">
        <f>$C$92</f>
        <v>kW</v>
      </c>
      <c r="D621" s="412"/>
      <c r="E621" s="80" t="str">
        <f>IF($P$866=0,"",D621/$P$866)</f>
        <v/>
      </c>
      <c r="F621" s="1"/>
      <c r="G621" s="1"/>
      <c r="H621" s="1346"/>
      <c r="I621" s="1252" t="str">
        <f>Language!C61</f>
        <v>Ver banco de dados de produtos</v>
      </c>
      <c r="J621" s="1191"/>
      <c r="K621" s="1210"/>
      <c r="L621" s="1"/>
      <c r="M621" s="319"/>
      <c r="N621" s="319"/>
      <c r="O621" s="319"/>
      <c r="P621" s="319"/>
      <c r="Q621" s="319"/>
      <c r="R621" s="319"/>
      <c r="S621" s="319"/>
      <c r="T621" s="319"/>
      <c r="U621" s="319"/>
      <c r="V621" s="319"/>
      <c r="W621" s="319"/>
      <c r="X621" s="319"/>
      <c r="Y621" s="319"/>
      <c r="Z621" s="319"/>
      <c r="AA621" s="319"/>
      <c r="AB621" s="319" t="s">
        <v>1750</v>
      </c>
      <c r="AC621" s="319" t="s">
        <v>2799</v>
      </c>
      <c r="AD621" s="319"/>
      <c r="AE621" s="319"/>
      <c r="AF621" s="319"/>
      <c r="AG621" s="319"/>
      <c r="AH621" s="319"/>
      <c r="AI621" s="319"/>
      <c r="AJ621" s="319"/>
      <c r="AK621" s="319"/>
      <c r="AL621" s="319"/>
      <c r="AM621" s="319"/>
      <c r="AN621" s="319"/>
      <c r="AO621" s="319">
        <v>2050002</v>
      </c>
      <c r="AP621" s="319"/>
      <c r="AQ621" s="319"/>
      <c r="AR621" s="319"/>
      <c r="AS621" s="319"/>
      <c r="AT621" s="319"/>
      <c r="AU621" s="319"/>
      <c r="AV621" s="319"/>
      <c r="AW621" s="319"/>
      <c r="AX621" s="319"/>
      <c r="AY621" s="319"/>
      <c r="AZ621" s="319"/>
      <c r="BA621" s="319"/>
      <c r="BB621" s="319"/>
      <c r="BC621" s="319"/>
      <c r="BD621" s="319"/>
      <c r="BE621" s="319"/>
      <c r="BF621" s="319"/>
      <c r="BG621" s="319"/>
      <c r="BH621" s="319"/>
      <c r="BI621" s="319"/>
      <c r="BJ621" s="319"/>
      <c r="BK621" s="319"/>
      <c r="BL621" s="319"/>
      <c r="BM621" s="319"/>
      <c r="BN621" s="319"/>
      <c r="BO621" s="319"/>
      <c r="BP621" s="319"/>
      <c r="BQ621" s="319"/>
      <c r="BR621" s="319"/>
      <c r="BS621" s="319"/>
      <c r="BT621" s="319"/>
      <c r="BU621" s="319"/>
      <c r="BV621" s="319"/>
      <c r="BW621" s="319"/>
      <c r="BX621" s="319"/>
      <c r="BY621" s="319"/>
      <c r="BZ621" s="319"/>
      <c r="CA621" s="319"/>
      <c r="CB621" s="319"/>
      <c r="CC621" s="319"/>
      <c r="CD621" s="319"/>
      <c r="CE621" s="319"/>
      <c r="CF621" s="319"/>
    </row>
    <row r="622" spans="1:84" ht="12.75" hidden="1" customHeight="1">
      <c r="A622" s="12"/>
      <c r="B622" s="329" t="str">
        <f>Language!C429</f>
        <v>Capac. Mínima</v>
      </c>
      <c r="C622" s="29" t="str">
        <f>$T$35</f>
        <v>%</v>
      </c>
      <c r="D622" s="422"/>
      <c r="E622" s="1"/>
      <c r="F622" s="1"/>
      <c r="G622" s="1"/>
      <c r="H622" s="1"/>
      <c r="I622" s="1"/>
      <c r="J622" s="1"/>
      <c r="K622" s="788" t="str">
        <f>IF(V622&gt;0,$G$1095&amp;V622&amp;$G$1096,"")</f>
        <v/>
      </c>
      <c r="L622" s="1"/>
      <c r="M622" s="319"/>
      <c r="N622" s="319"/>
      <c r="O622" s="319"/>
      <c r="P622" s="319"/>
      <c r="Q622" s="319"/>
      <c r="R622" s="319"/>
      <c r="S622" s="319"/>
      <c r="T622" s="319"/>
      <c r="U622" s="319"/>
      <c r="V622" s="319">
        <f t="array" ref="V622">IF(AND(HideCodeES_PSS=2,$C$854=$E$1095),SUM(IF($D$1139:$D$1150&lt;D621*S1115,1,0)),SUM(IF($I$1139:$I$1150&lt;D621*S1115,1,0)))*IF(SUM($D$1139:$D$1150)=0,0,1)</f>
        <v>0</v>
      </c>
      <c r="W622" s="319" t="s">
        <v>4372</v>
      </c>
      <c r="X622" s="319"/>
      <c r="Y622" s="319"/>
      <c r="Z622" s="319"/>
      <c r="AA622" s="319"/>
      <c r="AB622" s="319"/>
      <c r="AC622" s="319"/>
      <c r="AD622" s="319"/>
      <c r="AE622" s="319"/>
      <c r="AF622" s="319"/>
      <c r="AG622" s="319"/>
      <c r="AH622" s="319"/>
      <c r="AI622" s="319"/>
      <c r="AJ622" s="319"/>
      <c r="AK622" s="319"/>
      <c r="AL622" s="319"/>
      <c r="AM622" s="319"/>
      <c r="AN622" s="319"/>
      <c r="AO622" s="319">
        <v>2050006</v>
      </c>
      <c r="AP622" s="319"/>
      <c r="AQ622" s="319"/>
      <c r="AR622" s="319"/>
      <c r="AS622" s="319"/>
      <c r="AT622" s="319"/>
      <c r="AU622" s="319"/>
      <c r="AV622" s="319"/>
      <c r="AW622" s="319"/>
      <c r="AX622" s="319"/>
      <c r="AY622" s="319"/>
      <c r="AZ622" s="319"/>
      <c r="BA622" s="319"/>
      <c r="BB622" s="319"/>
      <c r="BC622" s="319"/>
      <c r="BD622" s="319"/>
      <c r="BE622" s="319"/>
      <c r="BF622" s="319"/>
      <c r="BG622" s="319"/>
      <c r="BH622" s="319"/>
      <c r="BI622" s="319"/>
      <c r="BJ622" s="319"/>
      <c r="BK622" s="319"/>
      <c r="BL622" s="319"/>
      <c r="BM622" s="319"/>
      <c r="BN622" s="319"/>
      <c r="BO622" s="319"/>
      <c r="BP622" s="319"/>
      <c r="BQ622" s="319"/>
      <c r="BR622" s="319"/>
      <c r="BS622" s="319"/>
      <c r="BT622" s="319"/>
      <c r="BU622" s="319"/>
      <c r="BV622" s="319"/>
      <c r="BW622" s="319"/>
      <c r="BX622" s="319"/>
      <c r="BY622" s="319"/>
      <c r="BZ622" s="319"/>
      <c r="CA622" s="319"/>
      <c r="CB622" s="319"/>
      <c r="CC622" s="319"/>
      <c r="CD622" s="319"/>
      <c r="CE622" s="319"/>
      <c r="CF622" s="319"/>
    </row>
    <row r="623" spans="1:84" ht="12.75" hidden="1" customHeight="1">
      <c r="A623" s="12"/>
      <c r="B623" s="329" t="str">
        <f>$B$94</f>
        <v>Eletricidade fornecida à carga</v>
      </c>
      <c r="C623" s="29" t="str">
        <f>R14</f>
        <v>MWh</v>
      </c>
      <c r="D623" s="30">
        <f>IF(HideCodeES_PSS=1,$G$1107,IF($C$854=$E$1094,$G$1108,$G$1107))</f>
        <v>0</v>
      </c>
      <c r="E623" s="80" t="str">
        <f>IF($P$867=0,"",D623/$P$867)</f>
        <v/>
      </c>
      <c r="F623" s="1"/>
      <c r="G623" s="1"/>
      <c r="H623" s="1"/>
      <c r="I623" s="1"/>
      <c r="J623" s="1"/>
      <c r="K623" s="9"/>
      <c r="L623" s="1"/>
      <c r="M623" s="319"/>
      <c r="N623" s="319"/>
      <c r="O623" s="319"/>
      <c r="P623" s="319"/>
      <c r="Q623" s="319"/>
      <c r="R623" s="319"/>
      <c r="S623" s="319"/>
      <c r="T623" s="319"/>
      <c r="U623" s="319"/>
      <c r="V623" s="319"/>
      <c r="W623" s="319"/>
      <c r="X623" s="319"/>
      <c r="Y623" s="319"/>
      <c r="Z623" s="319"/>
      <c r="AA623" s="319"/>
      <c r="AB623" s="319"/>
      <c r="AC623" s="319"/>
      <c r="AD623" s="319"/>
      <c r="AE623" s="319"/>
      <c r="AF623" s="319"/>
      <c r="AG623" s="319"/>
      <c r="AH623" s="319"/>
      <c r="AI623" s="319"/>
      <c r="AJ623" s="319"/>
      <c r="AK623" s="319"/>
      <c r="AL623" s="319"/>
      <c r="AM623" s="319"/>
      <c r="AN623" s="319"/>
      <c r="AO623" s="319">
        <v>2050008</v>
      </c>
      <c r="AP623" s="319"/>
      <c r="AQ623" s="319"/>
      <c r="AR623" s="319"/>
      <c r="AS623" s="319"/>
      <c r="AT623" s="319"/>
      <c r="AU623" s="319"/>
      <c r="AV623" s="319"/>
      <c r="AW623" s="319"/>
      <c r="AX623" s="319"/>
      <c r="AY623" s="319"/>
      <c r="AZ623" s="319"/>
      <c r="BA623" s="319"/>
      <c r="BB623" s="319"/>
      <c r="BC623" s="319"/>
      <c r="BD623" s="319"/>
      <c r="BE623" s="319"/>
      <c r="BF623" s="319"/>
      <c r="BG623" s="319"/>
      <c r="BH623" s="319"/>
      <c r="BI623" s="319"/>
      <c r="BJ623" s="319"/>
      <c r="BK623" s="319"/>
      <c r="BL623" s="319"/>
      <c r="BM623" s="319"/>
      <c r="BN623" s="319"/>
      <c r="BO623" s="319"/>
      <c r="BP623" s="319"/>
      <c r="BQ623" s="319"/>
      <c r="BR623" s="319"/>
      <c r="BS623" s="319"/>
      <c r="BT623" s="319"/>
      <c r="BU623" s="319"/>
      <c r="BV623" s="319"/>
      <c r="BW623" s="319"/>
      <c r="BX623" s="319"/>
      <c r="BY623" s="319"/>
      <c r="BZ623" s="319"/>
      <c r="CA623" s="319"/>
      <c r="CB623" s="319"/>
      <c r="CC623" s="319"/>
      <c r="CD623" s="319"/>
      <c r="CE623" s="319"/>
      <c r="CF623" s="319"/>
    </row>
    <row r="624" spans="1:84" ht="12.75" hidden="1" customHeight="1">
      <c r="A624" s="12"/>
      <c r="B624" s="329" t="str">
        <f>$B$95</f>
        <v>Eletricidade exportada p/ rede</v>
      </c>
      <c r="C624" s="29" t="str">
        <f>R14</f>
        <v>MWh</v>
      </c>
      <c r="D624" s="30">
        <f>IF(HideCodeES_PSS=1,$J$1107,IF($C$854=$E$1094,$J$1108,$J$1107))</f>
        <v>5.3903325633948667</v>
      </c>
      <c r="E624" s="1"/>
      <c r="F624" s="1"/>
      <c r="G624" s="1"/>
      <c r="H624" s="1"/>
      <c r="I624" s="1"/>
      <c r="J624" s="1"/>
      <c r="K624" s="9"/>
      <c r="L624" s="1"/>
      <c r="M624" s="319"/>
      <c r="N624" s="319"/>
      <c r="O624" s="319"/>
      <c r="P624" s="319"/>
      <c r="Q624" s="319"/>
      <c r="R624" s="319"/>
      <c r="S624" s="319"/>
      <c r="T624" s="319"/>
      <c r="U624" s="319"/>
      <c r="V624" s="319"/>
      <c r="W624" s="319"/>
      <c r="X624" s="319"/>
      <c r="Y624" s="319"/>
      <c r="Z624" s="319"/>
      <c r="AA624" s="319"/>
      <c r="AB624" s="319"/>
      <c r="AC624" s="319"/>
      <c r="AD624" s="319"/>
      <c r="AE624" s="319"/>
      <c r="AF624" s="319"/>
      <c r="AG624" s="319"/>
      <c r="AH624" s="319"/>
      <c r="AI624" s="319"/>
      <c r="AJ624" s="319"/>
      <c r="AK624" s="319"/>
      <c r="AL624" s="319"/>
      <c r="AM624" s="319"/>
      <c r="AN624" s="319"/>
      <c r="AO624" s="319">
        <v>2050010</v>
      </c>
      <c r="AP624" s="319"/>
      <c r="AQ624" s="319"/>
      <c r="AR624" s="319"/>
      <c r="AS624" s="319"/>
      <c r="AT624" s="319"/>
      <c r="AU624" s="319"/>
      <c r="AV624" s="319"/>
      <c r="AW624" s="319"/>
      <c r="AX624" s="319"/>
      <c r="AY624" s="319"/>
      <c r="AZ624" s="319"/>
      <c r="BA624" s="319"/>
      <c r="BB624" s="319"/>
      <c r="BC624" s="319"/>
      <c r="BD624" s="319"/>
      <c r="BE624" s="319"/>
      <c r="BF624" s="319"/>
      <c r="BG624" s="319"/>
      <c r="BH624" s="319"/>
      <c r="BI624" s="319"/>
      <c r="BJ624" s="319"/>
      <c r="BK624" s="319"/>
      <c r="BL624" s="319"/>
      <c r="BM624" s="319"/>
      <c r="BN624" s="319"/>
      <c r="BO624" s="319"/>
      <c r="BP624" s="319"/>
      <c r="BQ624" s="319"/>
      <c r="BR624" s="319"/>
      <c r="BS624" s="319"/>
      <c r="BT624" s="319"/>
      <c r="BU624" s="319"/>
      <c r="BV624" s="319"/>
      <c r="BW624" s="319"/>
      <c r="BX624" s="319"/>
      <c r="BY624" s="319"/>
      <c r="BZ624" s="319"/>
      <c r="CA624" s="319"/>
      <c r="CB624" s="319"/>
      <c r="CC624" s="319"/>
      <c r="CD624" s="319"/>
      <c r="CE624" s="319"/>
      <c r="CF624" s="319"/>
    </row>
    <row r="625" spans="1:84" ht="12.75" hidden="1" customHeight="1">
      <c r="A625" s="12"/>
      <c r="B625" s="329" t="str">
        <f>B12</f>
        <v>Fabricante</v>
      </c>
      <c r="C625" s="1152"/>
      <c r="D625" s="1153"/>
      <c r="E625" s="1154"/>
      <c r="F625" s="1"/>
      <c r="G625" s="1"/>
      <c r="H625" s="1"/>
      <c r="I625" s="1"/>
      <c r="J625" s="1"/>
      <c r="K625" s="9"/>
      <c r="L625" s="1"/>
      <c r="M625" s="319"/>
      <c r="N625" s="319"/>
      <c r="O625" s="319"/>
      <c r="P625" s="319"/>
      <c r="Q625" s="319"/>
      <c r="R625" s="319"/>
      <c r="S625" s="319"/>
      <c r="T625" s="319"/>
      <c r="U625" s="319"/>
      <c r="V625" s="319"/>
      <c r="W625" s="319"/>
      <c r="X625" s="319"/>
      <c r="Y625" s="319"/>
      <c r="Z625" s="319"/>
      <c r="AA625" s="319"/>
      <c r="AB625" s="319"/>
      <c r="AC625" s="319"/>
      <c r="AD625" s="319"/>
      <c r="AE625" s="319"/>
      <c r="AF625" s="319"/>
      <c r="AG625" s="319"/>
      <c r="AH625" s="319"/>
      <c r="AI625" s="319"/>
      <c r="AJ625" s="319"/>
      <c r="AK625" s="319"/>
      <c r="AL625" s="319"/>
      <c r="AM625" s="319"/>
      <c r="AN625" s="319"/>
      <c r="AO625" s="319">
        <v>2050012</v>
      </c>
      <c r="AP625" s="319"/>
      <c r="AQ625" s="319"/>
      <c r="AR625" s="319"/>
      <c r="AS625" s="319"/>
      <c r="AT625" s="319"/>
      <c r="AU625" s="319"/>
      <c r="AV625" s="319"/>
      <c r="AW625" s="319"/>
      <c r="AX625" s="319"/>
      <c r="AY625" s="319"/>
      <c r="AZ625" s="319"/>
      <c r="BA625" s="319"/>
      <c r="BB625" s="319"/>
      <c r="BC625" s="319"/>
      <c r="BD625" s="319"/>
      <c r="BE625" s="319"/>
      <c r="BF625" s="319"/>
      <c r="BG625" s="319"/>
      <c r="BH625" s="319"/>
      <c r="BI625" s="319"/>
      <c r="BJ625" s="319"/>
      <c r="BK625" s="319"/>
      <c r="BL625" s="319"/>
      <c r="BM625" s="319"/>
      <c r="BN625" s="319"/>
      <c r="BO625" s="319"/>
      <c r="BP625" s="319"/>
      <c r="BQ625" s="319"/>
      <c r="BR625" s="319"/>
      <c r="BS625" s="319"/>
      <c r="BT625" s="319"/>
      <c r="BU625" s="319"/>
      <c r="BV625" s="319"/>
      <c r="BW625" s="319"/>
      <c r="BX625" s="319"/>
      <c r="BY625" s="319"/>
      <c r="BZ625" s="319"/>
      <c r="CA625" s="319"/>
      <c r="CB625" s="319"/>
      <c r="CC625" s="319"/>
      <c r="CD625" s="319"/>
      <c r="CE625" s="319"/>
      <c r="CF625" s="319"/>
    </row>
    <row r="626" spans="1:84" ht="12.75" hidden="1" customHeight="1">
      <c r="A626" s="12"/>
      <c r="B626" s="329" t="str">
        <f>B13</f>
        <v>Modelo</v>
      </c>
      <c r="C626" s="1152"/>
      <c r="D626" s="1153"/>
      <c r="E626" s="1154"/>
      <c r="F626" s="1" t="str">
        <f>$J$1075 &amp; Lang_Unit</f>
        <v>1 unidade(s)</v>
      </c>
      <c r="G626" s="1"/>
      <c r="H626" s="1"/>
      <c r="I626" s="1"/>
      <c r="J626" s="1"/>
      <c r="K626" s="9"/>
      <c r="L626" s="1"/>
      <c r="M626" s="319"/>
      <c r="N626" s="319"/>
      <c r="O626" s="319"/>
      <c r="P626" s="319"/>
      <c r="Q626" s="319"/>
      <c r="R626" s="319"/>
      <c r="S626" s="319"/>
      <c r="T626" s="319"/>
      <c r="U626" s="319"/>
      <c r="V626" s="319"/>
      <c r="W626" s="319"/>
      <c r="X626" s="319"/>
      <c r="Y626" s="319"/>
      <c r="Z626" s="319"/>
      <c r="AA626" s="319"/>
      <c r="AB626" s="319"/>
      <c r="AC626" s="319"/>
      <c r="AD626" s="319"/>
      <c r="AE626" s="319"/>
      <c r="AF626" s="319"/>
      <c r="AG626" s="319"/>
      <c r="AH626" s="319"/>
      <c r="AI626" s="319"/>
      <c r="AJ626" s="319"/>
      <c r="AK626" s="319"/>
      <c r="AL626" s="319"/>
      <c r="AM626" s="319"/>
      <c r="AN626" s="319"/>
      <c r="AO626" s="319">
        <v>2050014</v>
      </c>
      <c r="AP626" s="319"/>
      <c r="AQ626" s="319"/>
      <c r="AR626" s="319"/>
      <c r="AS626" s="319"/>
      <c r="AT626" s="319"/>
      <c r="AU626" s="319"/>
      <c r="AV626" s="319"/>
      <c r="AW626" s="319"/>
      <c r="AX626" s="319"/>
      <c r="AY626" s="319"/>
      <c r="AZ626" s="319"/>
      <c r="BA626" s="319"/>
      <c r="BB626" s="319"/>
      <c r="BC626" s="319"/>
      <c r="BD626" s="319"/>
      <c r="BE626" s="319"/>
      <c r="BF626" s="319"/>
      <c r="BG626" s="319"/>
      <c r="BH626" s="319"/>
      <c r="BI626" s="319"/>
      <c r="BJ626" s="319"/>
      <c r="BK626" s="319"/>
      <c r="BL626" s="319"/>
      <c r="BM626" s="319"/>
      <c r="BN626" s="319"/>
      <c r="BO626" s="319"/>
      <c r="BP626" s="319"/>
      <c r="BQ626" s="319"/>
      <c r="BR626" s="319"/>
      <c r="BS626" s="319"/>
      <c r="BT626" s="319"/>
      <c r="BU626" s="319"/>
      <c r="BV626" s="319"/>
      <c r="BW626" s="319"/>
      <c r="BX626" s="319"/>
      <c r="BY626" s="319"/>
      <c r="BZ626" s="319"/>
      <c r="CA626" s="319"/>
      <c r="CB626" s="319"/>
      <c r="CC626" s="319"/>
      <c r="CD626" s="319"/>
      <c r="CE626" s="319"/>
      <c r="CF626" s="319"/>
    </row>
    <row r="627" spans="1:84" ht="12.75" hidden="1" customHeight="1">
      <c r="A627" s="12"/>
      <c r="B627" s="329" t="str">
        <f>B98</f>
        <v>Preço do calor</v>
      </c>
      <c r="C627" s="303" t="s">
        <v>4213</v>
      </c>
      <c r="D627" s="307"/>
      <c r="E627" s="1"/>
      <c r="F627" s="1"/>
      <c r="G627" s="1"/>
      <c r="H627" s="1"/>
      <c r="I627" s="1"/>
      <c r="J627" s="1"/>
      <c r="K627" s="9"/>
      <c r="L627" s="1"/>
      <c r="M627" s="319"/>
      <c r="N627" s="319"/>
      <c r="O627" s="319"/>
      <c r="P627" s="319"/>
      <c r="Q627" s="319"/>
      <c r="R627" s="319" t="s">
        <v>4213</v>
      </c>
      <c r="S627" s="319">
        <f>IF(C627=$Z$1081,D627,D627*$AA$1082)</f>
        <v>0</v>
      </c>
      <c r="T627" s="319"/>
      <c r="U627" s="319"/>
      <c r="V627" s="319"/>
      <c r="W627" s="319"/>
      <c r="X627" s="319"/>
      <c r="Y627" s="319"/>
      <c r="Z627" s="319"/>
      <c r="AA627" s="319"/>
      <c r="AB627" s="319"/>
      <c r="AC627" s="319"/>
      <c r="AD627" s="319"/>
      <c r="AE627" s="319"/>
      <c r="AF627" s="319"/>
      <c r="AG627" s="319"/>
      <c r="AH627" s="319"/>
      <c r="AI627" s="319"/>
      <c r="AJ627" s="319"/>
      <c r="AK627" s="319"/>
      <c r="AL627" s="319"/>
      <c r="AM627" s="319"/>
      <c r="AN627" s="319"/>
      <c r="AO627" s="319">
        <v>2050018</v>
      </c>
      <c r="AP627" s="319"/>
      <c r="AQ627" s="319"/>
      <c r="AR627" s="319"/>
      <c r="AS627" s="319"/>
      <c r="AT627" s="319"/>
      <c r="AU627" s="319"/>
      <c r="AV627" s="319"/>
      <c r="AW627" s="319"/>
      <c r="AX627" s="319"/>
      <c r="AY627" s="319"/>
      <c r="AZ627" s="319"/>
      <c r="BA627" s="319"/>
      <c r="BB627" s="319"/>
      <c r="BC627" s="319"/>
      <c r="BD627" s="319"/>
      <c r="BE627" s="319"/>
      <c r="BF627" s="319"/>
      <c r="BG627" s="319"/>
      <c r="BH627" s="319"/>
      <c r="BI627" s="319"/>
      <c r="BJ627" s="319"/>
      <c r="BK627" s="319"/>
      <c r="BL627" s="319"/>
      <c r="BM627" s="319"/>
      <c r="BN627" s="319"/>
      <c r="BO627" s="319"/>
      <c r="BP627" s="319"/>
      <c r="BQ627" s="319"/>
      <c r="BR627" s="319"/>
      <c r="BS627" s="319"/>
      <c r="BT627" s="319"/>
      <c r="BU627" s="319"/>
      <c r="BV627" s="319"/>
      <c r="BW627" s="319"/>
      <c r="BX627" s="319"/>
      <c r="BY627" s="319"/>
      <c r="BZ627" s="319"/>
      <c r="CA627" s="319"/>
      <c r="CB627" s="319"/>
      <c r="CC627" s="319"/>
      <c r="CD627" s="319"/>
      <c r="CE627" s="319"/>
      <c r="CF627" s="319"/>
    </row>
    <row r="628" spans="1:84" ht="12.75" hidden="1" customHeight="1">
      <c r="A628" s="12"/>
      <c r="B628" s="329" t="str">
        <f>Language!C430</f>
        <v>Taxa de recuperação de calor</v>
      </c>
      <c r="C628" s="29" t="str">
        <f>$T$35</f>
        <v>%</v>
      </c>
      <c r="D628" s="422"/>
      <c r="E628" s="1"/>
      <c r="F628" s="1"/>
      <c r="G628" s="1"/>
      <c r="H628" s="1"/>
      <c r="I628" s="1"/>
      <c r="J628" s="1"/>
      <c r="K628" s="9"/>
      <c r="L628" s="1"/>
      <c r="M628" s="319"/>
      <c r="N628" s="319"/>
      <c r="O628" s="319"/>
      <c r="P628" s="319"/>
      <c r="Q628" s="319"/>
      <c r="R628" s="319"/>
      <c r="S628" s="319"/>
      <c r="T628" s="319"/>
      <c r="U628" s="319"/>
      <c r="V628" s="319"/>
      <c r="W628" s="319"/>
      <c r="X628" s="319"/>
      <c r="Y628" s="319"/>
      <c r="Z628" s="319"/>
      <c r="AA628" s="319"/>
      <c r="AB628" s="319"/>
      <c r="AC628" s="319"/>
      <c r="AD628" s="319"/>
      <c r="AE628" s="319"/>
      <c r="AF628" s="319"/>
      <c r="AG628" s="319"/>
      <c r="AH628" s="319"/>
      <c r="AI628" s="319"/>
      <c r="AJ628" s="319"/>
      <c r="AK628" s="319"/>
      <c r="AL628" s="319"/>
      <c r="AM628" s="319"/>
      <c r="AN628" s="319"/>
      <c r="AO628" s="319">
        <v>2050028</v>
      </c>
      <c r="AP628" s="319"/>
      <c r="AQ628" s="319"/>
      <c r="AR628" s="319"/>
      <c r="AS628" s="319"/>
      <c r="AT628" s="319"/>
      <c r="AU628" s="319"/>
      <c r="AV628" s="319"/>
      <c r="AW628" s="319"/>
      <c r="AX628" s="319"/>
      <c r="AY628" s="319"/>
      <c r="AZ628" s="319"/>
      <c r="BA628" s="319"/>
      <c r="BB628" s="319"/>
      <c r="BC628" s="319"/>
      <c r="BD628" s="319"/>
      <c r="BE628" s="319"/>
      <c r="BF628" s="319"/>
      <c r="BG628" s="319"/>
      <c r="BH628" s="319"/>
      <c r="BI628" s="319"/>
      <c r="BJ628" s="319"/>
      <c r="BK628" s="319"/>
      <c r="BL628" s="319"/>
      <c r="BM628" s="319"/>
      <c r="BN628" s="319"/>
      <c r="BO628" s="319"/>
      <c r="BP628" s="319"/>
      <c r="BQ628" s="319"/>
      <c r="BR628" s="319"/>
      <c r="BS628" s="319"/>
      <c r="BT628" s="319"/>
      <c r="BU628" s="319"/>
      <c r="BV628" s="319"/>
      <c r="BW628" s="319"/>
      <c r="BX628" s="319"/>
      <c r="BY628" s="319"/>
      <c r="BZ628" s="319"/>
      <c r="CA628" s="319"/>
      <c r="CB628" s="319"/>
      <c r="CC628" s="319"/>
      <c r="CD628" s="319"/>
      <c r="CE628" s="319"/>
      <c r="CF628" s="319"/>
    </row>
    <row r="629" spans="1:84" ht="12.75" hidden="1" customHeight="1">
      <c r="A629" s="12"/>
      <c r="B629" s="329" t="str">
        <f>B77</f>
        <v>Combustível necessário</v>
      </c>
      <c r="C629" s="29" t="str">
        <f>IF(Unit=TRUE,R629,T629)</f>
        <v>GJ/h</v>
      </c>
      <c r="D629" s="140">
        <f>IF(Unit=TRUE,S629,U629)</f>
        <v>0</v>
      </c>
      <c r="E629" s="1"/>
      <c r="F629" s="29" t="str">
        <f>IF($M$3=FALSE,"",IF(Unit=FALSE,R629,T629))</f>
        <v/>
      </c>
      <c r="G629" s="140" t="str">
        <f>IF($M$3=FALSE,"",IF(Unit=FALSE,S629,U629))</f>
        <v/>
      </c>
      <c r="H629" s="1"/>
      <c r="I629" s="1"/>
      <c r="J629" s="1"/>
      <c r="K629" s="9"/>
      <c r="L629" s="1"/>
      <c r="M629" s="319"/>
      <c r="N629" s="319"/>
      <c r="O629" s="319"/>
      <c r="P629" s="319"/>
      <c r="Q629" s="319"/>
      <c r="R629" s="319" t="str">
        <f>$R$77</f>
        <v>GJ/h</v>
      </c>
      <c r="S629" s="319">
        <f>D621*S627/10^6</f>
        <v>0</v>
      </c>
      <c r="T629" s="319" t="str">
        <f>$T$77</f>
        <v>milhão Btu/h</v>
      </c>
      <c r="U629" s="319">
        <f>S629/$AA$1082</f>
        <v>0</v>
      </c>
      <c r="V629" s="319"/>
      <c r="W629" s="319"/>
      <c r="X629" s="319"/>
      <c r="Y629" s="319"/>
      <c r="Z629" s="319"/>
      <c r="AA629" s="319"/>
      <c r="AB629" s="319"/>
      <c r="AC629" s="319"/>
      <c r="AD629" s="319"/>
      <c r="AE629" s="319"/>
      <c r="AF629" s="319"/>
      <c r="AG629" s="319"/>
      <c r="AH629" s="319"/>
      <c r="AI629" s="319"/>
      <c r="AJ629" s="319"/>
      <c r="AK629" s="319"/>
      <c r="AL629" s="319"/>
      <c r="AM629" s="319"/>
      <c r="AN629" s="319"/>
      <c r="AO629" s="319">
        <v>2050032</v>
      </c>
      <c r="AP629" s="319"/>
      <c r="AQ629" s="319"/>
      <c r="AR629" s="319"/>
      <c r="AS629" s="319"/>
      <c r="AT629" s="319"/>
      <c r="AU629" s="319"/>
      <c r="AV629" s="319"/>
      <c r="AW629" s="319"/>
      <c r="AX629" s="319"/>
      <c r="AY629" s="319"/>
      <c r="AZ629" s="319"/>
      <c r="BA629" s="319"/>
      <c r="BB629" s="319"/>
      <c r="BC629" s="319"/>
      <c r="BD629" s="319"/>
      <c r="BE629" s="319"/>
      <c r="BF629" s="319"/>
      <c r="BG629" s="319"/>
      <c r="BH629" s="319"/>
      <c r="BI629" s="319"/>
      <c r="BJ629" s="319"/>
      <c r="BK629" s="319"/>
      <c r="BL629" s="319"/>
      <c r="BM629" s="319"/>
      <c r="BN629" s="319"/>
      <c r="BO629" s="319"/>
      <c r="BP629" s="319"/>
      <c r="BQ629" s="319"/>
      <c r="BR629" s="319"/>
      <c r="BS629" s="319"/>
      <c r="BT629" s="319"/>
      <c r="BU629" s="319"/>
      <c r="BV629" s="319"/>
      <c r="BW629" s="319"/>
      <c r="BX629" s="319"/>
      <c r="BY629" s="319"/>
      <c r="BZ629" s="319"/>
      <c r="CA629" s="319"/>
      <c r="CB629" s="319"/>
      <c r="CC629" s="319"/>
      <c r="CD629" s="319"/>
      <c r="CE629" s="319"/>
      <c r="CF629" s="319"/>
    </row>
    <row r="630" spans="1:84" ht="12.75" hidden="1" customHeight="1">
      <c r="A630" s="14"/>
      <c r="B630" s="380" t="str">
        <f>Language!C431</f>
        <v>Capacidade térmica</v>
      </c>
      <c r="C630" s="33" t="str">
        <f>IF(Unit=TRUE,R630,T630)</f>
        <v>kW</v>
      </c>
      <c r="D630" s="245">
        <f>IF(Unit=TRUE,S630,U630)</f>
        <v>0</v>
      </c>
      <c r="E630" s="81" t="str">
        <f>IF(OR(HideCode_projectType3=2,HideCode_projectType3=5),"",S630/$Q$866)</f>
        <v/>
      </c>
      <c r="F630" s="33" t="str">
        <f>IF($M$3=FALSE,"",IF(Unit=FALSE,R618,T618))</f>
        <v/>
      </c>
      <c r="G630" s="245" t="str">
        <f>IF($M$3=FALSE,"",IF(Unit=FALSE,S618,U618))</f>
        <v/>
      </c>
      <c r="H630" s="15"/>
      <c r="I630" s="15"/>
      <c r="J630" s="15"/>
      <c r="K630" s="11"/>
      <c r="L630" s="1"/>
      <c r="M630" s="319"/>
      <c r="N630" s="319"/>
      <c r="O630" s="319"/>
      <c r="P630" s="319"/>
      <c r="Q630" s="319"/>
      <c r="R630" s="319" t="str">
        <f>$R$20</f>
        <v>kW</v>
      </c>
      <c r="S630" s="319">
        <f>(S629-D621/1000*3.6)*(D628)/0.0036</f>
        <v>0</v>
      </c>
      <c r="T630" s="319" t="str">
        <f>$T$77</f>
        <v>milhão Btu/h</v>
      </c>
      <c r="U630" s="319">
        <f>S630*$AB$1087/1000</f>
        <v>0</v>
      </c>
      <c r="V630" s="319"/>
      <c r="W630" s="319"/>
      <c r="X630" s="319"/>
      <c r="Y630" s="319"/>
      <c r="Z630" s="319"/>
      <c r="AA630" s="319"/>
      <c r="AB630" s="319"/>
      <c r="AC630" s="319"/>
      <c r="AD630" s="319"/>
      <c r="AE630" s="319"/>
      <c r="AF630" s="319"/>
      <c r="AG630" s="319"/>
      <c r="AH630" s="319"/>
      <c r="AI630" s="319"/>
      <c r="AJ630" s="319"/>
      <c r="AK630" s="319"/>
      <c r="AL630" s="319"/>
      <c r="AM630" s="319"/>
      <c r="AN630" s="319"/>
      <c r="AO630" s="319">
        <v>2050034</v>
      </c>
      <c r="AP630" s="319"/>
      <c r="AQ630" s="319"/>
      <c r="AR630" s="319"/>
      <c r="AS630" s="319"/>
      <c r="AT630" s="319"/>
      <c r="AU630" s="319"/>
      <c r="AV630" s="319"/>
      <c r="AW630" s="319"/>
      <c r="AX630" s="319"/>
      <c r="AY630" s="319"/>
      <c r="AZ630" s="319"/>
      <c r="BA630" s="319"/>
      <c r="BB630" s="319"/>
      <c r="BC630" s="319"/>
      <c r="BD630" s="319"/>
      <c r="BE630" s="319"/>
      <c r="BF630" s="319"/>
      <c r="BG630" s="319"/>
      <c r="BH630" s="319"/>
      <c r="BI630" s="319"/>
      <c r="BJ630" s="319"/>
      <c r="BK630" s="319"/>
      <c r="BL630" s="319"/>
      <c r="BM630" s="319"/>
      <c r="BN630" s="319"/>
      <c r="BO630" s="319"/>
      <c r="BP630" s="319"/>
      <c r="BQ630" s="319"/>
      <c r="BR630" s="319"/>
      <c r="BS630" s="319"/>
      <c r="BT630" s="319"/>
      <c r="BU630" s="319"/>
      <c r="BV630" s="319"/>
      <c r="BW630" s="319"/>
      <c r="BX630" s="319"/>
      <c r="BY630" s="319"/>
      <c r="BZ630" s="319"/>
      <c r="CA630" s="319"/>
      <c r="CB630" s="319"/>
      <c r="CC630" s="319"/>
      <c r="CD630" s="319"/>
      <c r="CE630" s="319"/>
      <c r="CF630" s="319"/>
    </row>
    <row r="631" spans="1:84" ht="12.75" hidden="1" customHeight="1">
      <c r="A631" s="12"/>
      <c r="B631" s="1"/>
      <c r="C631" s="1"/>
      <c r="D631" s="1"/>
      <c r="E631" s="1"/>
      <c r="F631" s="29"/>
      <c r="G631" s="1"/>
      <c r="H631" s="1"/>
      <c r="I631" s="1"/>
      <c r="J631" s="1"/>
      <c r="K631" s="9"/>
      <c r="L631" s="1"/>
      <c r="M631" s="319"/>
      <c r="N631" s="319"/>
      <c r="O631" s="319"/>
      <c r="P631" s="319"/>
      <c r="Q631" s="319"/>
      <c r="R631" s="319"/>
      <c r="S631" s="319"/>
      <c r="T631" s="319"/>
      <c r="U631" s="319"/>
      <c r="V631" s="319"/>
      <c r="W631" s="319"/>
      <c r="X631" s="319"/>
      <c r="Y631" s="319"/>
      <c r="Z631" s="319"/>
      <c r="AA631" s="319"/>
      <c r="AB631" s="319"/>
      <c r="AC631" s="319"/>
      <c r="AD631" s="319"/>
      <c r="AE631" s="319"/>
      <c r="AF631" s="319"/>
      <c r="AG631" s="319"/>
      <c r="AH631" s="319"/>
      <c r="AI631" s="319"/>
      <c r="AJ631" s="319"/>
      <c r="AK631" s="319"/>
      <c r="AL631" s="319"/>
      <c r="AM631" s="319"/>
      <c r="AN631" s="319"/>
      <c r="AO631" s="319">
        <v>2030000</v>
      </c>
      <c r="AP631" s="319"/>
      <c r="AQ631" s="319"/>
      <c r="AR631" s="319"/>
      <c r="AS631" s="319"/>
      <c r="AT631" s="319"/>
      <c r="AU631" s="319"/>
      <c r="AV631" s="319"/>
      <c r="AW631" s="319"/>
      <c r="AX631" s="319"/>
      <c r="AY631" s="319"/>
      <c r="AZ631" s="319"/>
      <c r="BA631" s="319"/>
      <c r="BB631" s="319"/>
      <c r="BC631" s="319"/>
      <c r="BD631" s="319"/>
      <c r="BE631" s="319"/>
      <c r="BF631" s="319"/>
      <c r="BG631" s="319"/>
      <c r="BH631" s="319"/>
      <c r="BI631" s="319"/>
      <c r="BJ631" s="319"/>
      <c r="BK631" s="319"/>
      <c r="BL631" s="319"/>
      <c r="BM631" s="319"/>
      <c r="BN631" s="319"/>
      <c r="BO631" s="319"/>
      <c r="BP631" s="319"/>
      <c r="BQ631" s="319"/>
      <c r="BR631" s="319"/>
      <c r="BS631" s="319"/>
      <c r="BT631" s="319"/>
      <c r="BU631" s="319"/>
      <c r="BV631" s="319"/>
      <c r="BW631" s="319"/>
      <c r="BX631" s="319"/>
      <c r="BY631" s="319"/>
      <c r="BZ631" s="319"/>
      <c r="CA631" s="319"/>
      <c r="CB631" s="319"/>
      <c r="CC631" s="319"/>
      <c r="CD631" s="319"/>
      <c r="CE631" s="319"/>
      <c r="CF631" s="319"/>
    </row>
    <row r="632" spans="1:84" ht="12.75" hidden="1" customHeight="1">
      <c r="A632" s="12"/>
      <c r="B632" s="28" t="str">
        <f>Language!C135&amp;" #2"</f>
        <v>Turbina à gas-ciclo combinado #2</v>
      </c>
      <c r="C632" s="1"/>
      <c r="D632" s="1"/>
      <c r="E632" s="1"/>
      <c r="F632" s="1"/>
      <c r="G632" s="1"/>
      <c r="H632" s="1"/>
      <c r="I632" s="1"/>
      <c r="J632" s="1"/>
      <c r="K632" s="9"/>
      <c r="L632" s="1"/>
      <c r="M632" s="319"/>
      <c r="N632" s="319"/>
      <c r="O632" s="319"/>
      <c r="P632" s="319"/>
      <c r="Q632" s="319"/>
      <c r="R632" s="319"/>
      <c r="S632" s="319"/>
      <c r="T632" s="319"/>
      <c r="U632" s="319"/>
      <c r="V632" s="319"/>
      <c r="W632" s="319"/>
      <c r="X632" s="319"/>
      <c r="Y632" s="319"/>
      <c r="Z632" s="319"/>
      <c r="AA632" s="319"/>
      <c r="AB632" s="319"/>
      <c r="AC632" s="319"/>
      <c r="AD632" s="319"/>
      <c r="AE632" s="319"/>
      <c r="AF632" s="319"/>
      <c r="AG632" s="319"/>
      <c r="AH632" s="319"/>
      <c r="AI632" s="319"/>
      <c r="AJ632" s="319"/>
      <c r="AK632" s="319"/>
      <c r="AL632" s="319"/>
      <c r="AM632" s="319"/>
      <c r="AN632" s="319"/>
      <c r="AO632" s="319">
        <v>14120</v>
      </c>
      <c r="AP632" s="319"/>
      <c r="AQ632" s="319"/>
      <c r="AR632" s="319"/>
      <c r="AS632" s="319"/>
      <c r="AT632" s="319"/>
      <c r="AU632" s="319"/>
      <c r="AV632" s="319"/>
      <c r="AW632" s="319"/>
      <c r="AX632" s="319"/>
      <c r="AY632" s="319"/>
      <c r="AZ632" s="319"/>
      <c r="BA632" s="319"/>
      <c r="BB632" s="319"/>
      <c r="BC632" s="319"/>
      <c r="BD632" s="319"/>
      <c r="BE632" s="319"/>
      <c r="BF632" s="319"/>
      <c r="BG632" s="319"/>
      <c r="BH632" s="319"/>
      <c r="BI632" s="319"/>
      <c r="BJ632" s="319"/>
      <c r="BK632" s="319"/>
      <c r="BL632" s="319"/>
      <c r="BM632" s="319"/>
      <c r="BN632" s="319"/>
      <c r="BO632" s="319"/>
      <c r="BP632" s="319"/>
      <c r="BQ632" s="319"/>
      <c r="BR632" s="319"/>
      <c r="BS632" s="319"/>
      <c r="BT632" s="319"/>
      <c r="BU632" s="319"/>
      <c r="BV632" s="319"/>
      <c r="BW632" s="319"/>
      <c r="BX632" s="319"/>
      <c r="BY632" s="319"/>
      <c r="BZ632" s="319"/>
      <c r="CA632" s="319"/>
      <c r="CB632" s="319"/>
      <c r="CC632" s="319"/>
      <c r="CD632" s="319"/>
      <c r="CE632" s="319"/>
      <c r="CF632" s="319"/>
    </row>
    <row r="633" spans="1:84" ht="12.75" hidden="1" customHeight="1">
      <c r="A633" s="12"/>
      <c r="B633" s="329" t="str">
        <f>B116</f>
        <v>Potência elétrica (TG)</v>
      </c>
      <c r="C633" s="29" t="str">
        <f>$C$92</f>
        <v>kW</v>
      </c>
      <c r="D633" s="412"/>
      <c r="E633" s="109" t="str">
        <f>IF($P$866=0,"",D633/$P$866)</f>
        <v/>
      </c>
      <c r="F633" s="1"/>
      <c r="G633" s="1"/>
      <c r="H633" s="1346"/>
      <c r="I633" s="1252" t="str">
        <f>Language!C61</f>
        <v>Ver banco de dados de produtos</v>
      </c>
      <c r="J633" s="1191"/>
      <c r="K633" s="1210"/>
      <c r="L633" s="1"/>
      <c r="M633" s="319"/>
      <c r="N633" s="319"/>
      <c r="O633" s="319"/>
      <c r="P633" s="319"/>
      <c r="Q633" s="319"/>
      <c r="R633" s="319"/>
      <c r="S633" s="319"/>
      <c r="T633" s="319"/>
      <c r="U633" s="319"/>
      <c r="V633" s="319"/>
      <c r="W633" s="319"/>
      <c r="X633" s="319"/>
      <c r="Y633" s="319"/>
      <c r="Z633" s="319"/>
      <c r="AA633" s="319"/>
      <c r="AB633" s="319"/>
      <c r="AC633" s="319"/>
      <c r="AD633" s="319"/>
      <c r="AE633" s="319"/>
      <c r="AF633" s="319"/>
      <c r="AG633" s="319"/>
      <c r="AH633" s="319"/>
      <c r="AI633" s="319"/>
      <c r="AJ633" s="319"/>
      <c r="AK633" s="319"/>
      <c r="AL633" s="319"/>
      <c r="AM633" s="319"/>
      <c r="AN633" s="319"/>
      <c r="AO633" s="319">
        <v>2050004</v>
      </c>
      <c r="AP633" s="319"/>
      <c r="AQ633" s="319"/>
      <c r="AR633" s="319"/>
      <c r="AS633" s="319"/>
      <c r="AT633" s="319"/>
      <c r="AU633" s="319"/>
      <c r="AV633" s="319"/>
      <c r="AW633" s="319"/>
      <c r="AX633" s="319"/>
      <c r="AY633" s="319"/>
      <c r="AZ633" s="319"/>
      <c r="BA633" s="319"/>
      <c r="BB633" s="319"/>
      <c r="BC633" s="319"/>
      <c r="BD633" s="319"/>
      <c r="BE633" s="319"/>
      <c r="BF633" s="319"/>
      <c r="BG633" s="319"/>
      <c r="BH633" s="319"/>
      <c r="BI633" s="319"/>
      <c r="BJ633" s="319"/>
      <c r="BK633" s="319"/>
      <c r="BL633" s="319"/>
      <c r="BM633" s="319"/>
      <c r="BN633" s="319"/>
      <c r="BO633" s="319"/>
      <c r="BP633" s="319"/>
      <c r="BQ633" s="319"/>
      <c r="BR633" s="319"/>
      <c r="BS633" s="319"/>
      <c r="BT633" s="319"/>
      <c r="BU633" s="319"/>
      <c r="BV633" s="319"/>
      <c r="BW633" s="319"/>
      <c r="BX633" s="319"/>
      <c r="BY633" s="319"/>
      <c r="BZ633" s="319"/>
      <c r="CA633" s="319"/>
      <c r="CB633" s="319"/>
      <c r="CC633" s="319"/>
      <c r="CD633" s="319"/>
      <c r="CE633" s="319"/>
      <c r="CF633" s="319"/>
    </row>
    <row r="634" spans="1:84" ht="12.75" hidden="1" customHeight="1">
      <c r="A634" s="12"/>
      <c r="B634" s="329" t="str">
        <f>Language!C429</f>
        <v>Capac. Mínima</v>
      </c>
      <c r="C634" s="29" t="str">
        <f>$T$35</f>
        <v>%</v>
      </c>
      <c r="D634" s="339"/>
      <c r="E634" s="1"/>
      <c r="F634" s="1"/>
      <c r="G634" s="1"/>
      <c r="H634" s="1"/>
      <c r="I634" s="1"/>
      <c r="J634" s="1"/>
      <c r="K634" s="788" t="e">
        <f>IF(V634&gt;0,$G$1095&amp;V634&amp;$G$1096,"")</f>
        <v>#DIV/0!</v>
      </c>
      <c r="L634" s="1"/>
      <c r="M634" s="319"/>
      <c r="N634" s="319"/>
      <c r="O634" s="319"/>
      <c r="P634" s="319"/>
      <c r="Q634" s="319"/>
      <c r="R634" s="319"/>
      <c r="S634" s="319"/>
      <c r="T634" s="319"/>
      <c r="U634" s="319"/>
      <c r="V634" s="319" t="e">
        <f t="array" ref="V634">IF(AND(HideCodeES_PSS=2,$C$854=$E$1095),SUM(IF($D$1139:$D$1150&lt;D670*#REF!,1,0)),SUM(IF($I$1139:$I$1150&lt;D670*S1116,1,0)))*IF(SUM($D$1139:$D$1150)=0,0,1)</f>
        <v>#DIV/0!</v>
      </c>
      <c r="W634" s="319" t="s">
        <v>4372</v>
      </c>
      <c r="X634" s="319"/>
      <c r="Y634" s="319"/>
      <c r="Z634" s="319"/>
      <c r="AA634" s="319"/>
      <c r="AB634" s="319"/>
      <c r="AC634" s="319"/>
      <c r="AD634" s="319"/>
      <c r="AE634" s="319"/>
      <c r="AF634" s="319"/>
      <c r="AG634" s="319"/>
      <c r="AH634" s="319"/>
      <c r="AI634" s="319"/>
      <c r="AJ634" s="319"/>
      <c r="AK634" s="319"/>
      <c r="AL634" s="319"/>
      <c r="AM634" s="319"/>
      <c r="AN634" s="319"/>
      <c r="AO634" s="319">
        <v>2050006</v>
      </c>
      <c r="AP634" s="319"/>
      <c r="AQ634" s="319"/>
      <c r="AR634" s="319"/>
      <c r="AS634" s="319"/>
      <c r="AT634" s="319"/>
      <c r="AU634" s="319"/>
      <c r="AV634" s="319"/>
      <c r="AW634" s="319"/>
      <c r="AX634" s="319"/>
      <c r="AY634" s="319"/>
      <c r="AZ634" s="319"/>
      <c r="BA634" s="319"/>
      <c r="BB634" s="319"/>
      <c r="BC634" s="319"/>
      <c r="BD634" s="319"/>
      <c r="BE634" s="319"/>
      <c r="BF634" s="319"/>
      <c r="BG634" s="319"/>
      <c r="BH634" s="319"/>
      <c r="BI634" s="319"/>
      <c r="BJ634" s="319"/>
      <c r="BK634" s="319"/>
      <c r="BL634" s="319"/>
      <c r="BM634" s="319"/>
      <c r="BN634" s="319"/>
      <c r="BO634" s="319"/>
      <c r="BP634" s="319"/>
      <c r="BQ634" s="319"/>
      <c r="BR634" s="319"/>
      <c r="BS634" s="319"/>
      <c r="BT634" s="319"/>
      <c r="BU634" s="319"/>
      <c r="BV634" s="319"/>
      <c r="BW634" s="319"/>
      <c r="BX634" s="319"/>
      <c r="BY634" s="319"/>
      <c r="BZ634" s="319"/>
      <c r="CA634" s="319"/>
      <c r="CB634" s="319"/>
      <c r="CC634" s="319"/>
      <c r="CD634" s="319"/>
      <c r="CE634" s="319"/>
      <c r="CF634" s="319"/>
    </row>
    <row r="635" spans="1:84" ht="12.75" hidden="1" customHeight="1">
      <c r="A635" s="12"/>
      <c r="B635" s="329" t="str">
        <f>B12</f>
        <v>Fabricante</v>
      </c>
      <c r="C635" s="1152"/>
      <c r="D635" s="1153"/>
      <c r="E635" s="1154"/>
      <c r="F635" s="1"/>
      <c r="G635" s="1"/>
      <c r="H635" s="1"/>
      <c r="I635" s="1"/>
      <c r="J635" s="1"/>
      <c r="K635" s="9"/>
      <c r="L635" s="1"/>
      <c r="M635" s="319"/>
      <c r="N635" s="319"/>
      <c r="O635" s="319"/>
      <c r="P635" s="319"/>
      <c r="Q635" s="319"/>
      <c r="R635" s="319"/>
      <c r="S635" s="319"/>
      <c r="T635" s="319"/>
      <c r="U635" s="319"/>
      <c r="V635" s="319"/>
      <c r="W635" s="319"/>
      <c r="X635" s="319"/>
      <c r="Y635" s="319"/>
      <c r="Z635" s="319"/>
      <c r="AA635" s="319"/>
      <c r="AB635" s="319"/>
      <c r="AC635" s="319"/>
      <c r="AD635" s="319"/>
      <c r="AE635" s="319"/>
      <c r="AF635" s="319"/>
      <c r="AG635" s="319"/>
      <c r="AH635" s="319"/>
      <c r="AI635" s="319"/>
      <c r="AJ635" s="319"/>
      <c r="AK635" s="319"/>
      <c r="AL635" s="319"/>
      <c r="AM635" s="319"/>
      <c r="AN635" s="319"/>
      <c r="AO635" s="319">
        <v>2050012</v>
      </c>
      <c r="AP635" s="319"/>
      <c r="AQ635" s="319"/>
      <c r="AR635" s="319"/>
      <c r="AS635" s="319"/>
      <c r="AT635" s="319"/>
      <c r="AU635" s="319"/>
      <c r="AV635" s="319"/>
      <c r="AW635" s="319"/>
      <c r="AX635" s="319"/>
      <c r="AY635" s="319"/>
      <c r="AZ635" s="319"/>
      <c r="BA635" s="319"/>
      <c r="BB635" s="319"/>
      <c r="BC635" s="319"/>
      <c r="BD635" s="319"/>
      <c r="BE635" s="319"/>
      <c r="BF635" s="319"/>
      <c r="BG635" s="319"/>
      <c r="BH635" s="319"/>
      <c r="BI635" s="319"/>
      <c r="BJ635" s="319"/>
      <c r="BK635" s="319"/>
      <c r="BL635" s="319"/>
      <c r="BM635" s="319"/>
      <c r="BN635" s="319"/>
      <c r="BO635" s="319"/>
      <c r="BP635" s="319"/>
      <c r="BQ635" s="319"/>
      <c r="BR635" s="319"/>
      <c r="BS635" s="319"/>
      <c r="BT635" s="319"/>
      <c r="BU635" s="319"/>
      <c r="BV635" s="319"/>
      <c r="BW635" s="319"/>
      <c r="BX635" s="319"/>
      <c r="BY635" s="319"/>
      <c r="BZ635" s="319"/>
      <c r="CA635" s="319"/>
      <c r="CB635" s="319"/>
      <c r="CC635" s="319"/>
      <c r="CD635" s="319"/>
      <c r="CE635" s="319"/>
      <c r="CF635" s="319"/>
    </row>
    <row r="636" spans="1:84" ht="12.75" hidden="1" customHeight="1">
      <c r="A636" s="12"/>
      <c r="B636" s="329" t="str">
        <f>B13</f>
        <v>Modelo</v>
      </c>
      <c r="C636" s="1152"/>
      <c r="D636" s="1153"/>
      <c r="E636" s="1154"/>
      <c r="F636" s="1" t="str">
        <f>$J$1076 &amp; Lang_Unit</f>
        <v>1 unidade(s)</v>
      </c>
      <c r="G636" s="1"/>
      <c r="H636" s="1"/>
      <c r="I636" s="1"/>
      <c r="J636" s="1"/>
      <c r="K636" s="9"/>
      <c r="L636" s="1"/>
      <c r="M636" s="319"/>
      <c r="N636" s="319"/>
      <c r="O636" s="319"/>
      <c r="P636" s="319"/>
      <c r="Q636" s="319"/>
      <c r="R636" s="319"/>
      <c r="S636" s="319"/>
      <c r="T636" s="319"/>
      <c r="U636" s="319"/>
      <c r="V636" s="319"/>
      <c r="W636" s="319"/>
      <c r="X636" s="319"/>
      <c r="Y636" s="319"/>
      <c r="Z636" s="319"/>
      <c r="AA636" s="319"/>
      <c r="AB636" s="319"/>
      <c r="AC636" s="319"/>
      <c r="AD636" s="319"/>
      <c r="AE636" s="319"/>
      <c r="AF636" s="319"/>
      <c r="AG636" s="319"/>
      <c r="AH636" s="319"/>
      <c r="AI636" s="319"/>
      <c r="AJ636" s="319"/>
      <c r="AK636" s="319"/>
      <c r="AL636" s="319"/>
      <c r="AM636" s="319"/>
      <c r="AN636" s="319"/>
      <c r="AO636" s="319">
        <v>2050014</v>
      </c>
      <c r="AP636" s="319"/>
      <c r="AQ636" s="319"/>
      <c r="AR636" s="319"/>
      <c r="AS636" s="319"/>
      <c r="AT636" s="319"/>
      <c r="AU636" s="319"/>
      <c r="AV636" s="319"/>
      <c r="AW636" s="319"/>
      <c r="AX636" s="319"/>
      <c r="AY636" s="319"/>
      <c r="AZ636" s="319"/>
      <c r="BA636" s="319"/>
      <c r="BB636" s="319"/>
      <c r="BC636" s="319"/>
      <c r="BD636" s="319"/>
      <c r="BE636" s="319"/>
      <c r="BF636" s="319"/>
      <c r="BG636" s="319"/>
      <c r="BH636" s="319"/>
      <c r="BI636" s="319"/>
      <c r="BJ636" s="319"/>
      <c r="BK636" s="319"/>
      <c r="BL636" s="319"/>
      <c r="BM636" s="319"/>
      <c r="BN636" s="319"/>
      <c r="BO636" s="319"/>
      <c r="BP636" s="319"/>
      <c r="BQ636" s="319"/>
      <c r="BR636" s="319"/>
      <c r="BS636" s="319"/>
      <c r="BT636" s="319"/>
      <c r="BU636" s="319"/>
      <c r="BV636" s="319"/>
      <c r="BW636" s="319"/>
      <c r="BX636" s="319"/>
      <c r="BY636" s="319"/>
      <c r="BZ636" s="319"/>
      <c r="CA636" s="319"/>
      <c r="CB636" s="319"/>
      <c r="CC636" s="319"/>
      <c r="CD636" s="319"/>
      <c r="CE636" s="319"/>
      <c r="CF636" s="319"/>
    </row>
    <row r="637" spans="1:84" ht="12.75" hidden="1" customHeight="1">
      <c r="A637" s="12"/>
      <c r="B637" s="329" t="str">
        <f>B98</f>
        <v>Preço do calor</v>
      </c>
      <c r="C637" s="303" t="s">
        <v>4213</v>
      </c>
      <c r="D637" s="307"/>
      <c r="E637" s="1"/>
      <c r="F637" s="1"/>
      <c r="G637" s="1"/>
      <c r="H637" s="1"/>
      <c r="I637" s="1"/>
      <c r="J637" s="1"/>
      <c r="K637" s="9"/>
      <c r="L637" s="1"/>
      <c r="M637" s="319"/>
      <c r="N637" s="319"/>
      <c r="O637" s="319"/>
      <c r="P637" s="319"/>
      <c r="Q637" s="319"/>
      <c r="R637" s="319" t="s">
        <v>4213</v>
      </c>
      <c r="S637" s="319">
        <f>IF(C637=$Z$1081,D637,D637*$AA$1082)</f>
        <v>0</v>
      </c>
      <c r="T637" s="319"/>
      <c r="U637" s="319"/>
      <c r="V637" s="319"/>
      <c r="W637" s="319"/>
      <c r="X637" s="319"/>
      <c r="Y637" s="319"/>
      <c r="Z637" s="319"/>
      <c r="AA637" s="319"/>
      <c r="AB637" s="319"/>
      <c r="AC637" s="319"/>
      <c r="AD637" s="319"/>
      <c r="AE637" s="319"/>
      <c r="AF637" s="319"/>
      <c r="AG637" s="319"/>
      <c r="AH637" s="319"/>
      <c r="AI637" s="319"/>
      <c r="AJ637" s="319"/>
      <c r="AK637" s="319"/>
      <c r="AL637" s="319"/>
      <c r="AM637" s="319"/>
      <c r="AN637" s="319"/>
      <c r="AO637" s="319">
        <v>2050018</v>
      </c>
      <c r="AP637" s="319"/>
      <c r="AQ637" s="319"/>
      <c r="AR637" s="319"/>
      <c r="AS637" s="319"/>
      <c r="AT637" s="319"/>
      <c r="AU637" s="319"/>
      <c r="AV637" s="319"/>
      <c r="AW637" s="319"/>
      <c r="AX637" s="319"/>
      <c r="AY637" s="319"/>
      <c r="AZ637" s="319"/>
      <c r="BA637" s="319"/>
      <c r="BB637" s="319"/>
      <c r="BC637" s="319"/>
      <c r="BD637" s="319"/>
      <c r="BE637" s="319"/>
      <c r="BF637" s="319"/>
      <c r="BG637" s="319"/>
      <c r="BH637" s="319"/>
      <c r="BI637" s="319"/>
      <c r="BJ637" s="319"/>
      <c r="BK637" s="319"/>
      <c r="BL637" s="319"/>
      <c r="BM637" s="319"/>
      <c r="BN637" s="319"/>
      <c r="BO637" s="319"/>
      <c r="BP637" s="319"/>
      <c r="BQ637" s="319"/>
      <c r="BR637" s="319"/>
      <c r="BS637" s="319"/>
      <c r="BT637" s="319"/>
      <c r="BU637" s="319"/>
      <c r="BV637" s="319"/>
      <c r="BW637" s="319"/>
      <c r="BX637" s="319"/>
      <c r="BY637" s="319"/>
      <c r="BZ637" s="319"/>
      <c r="CA637" s="319"/>
      <c r="CB637" s="319"/>
      <c r="CC637" s="319"/>
      <c r="CD637" s="319"/>
      <c r="CE637" s="319"/>
      <c r="CF637" s="319"/>
    </row>
    <row r="638" spans="1:84" ht="12.75" hidden="1" customHeight="1">
      <c r="A638" s="12"/>
      <c r="B638" s="329" t="str">
        <f>Language!C430</f>
        <v>Taxa de recuperação de calor</v>
      </c>
      <c r="C638" s="29" t="str">
        <f>$T$35</f>
        <v>%</v>
      </c>
      <c r="D638" s="422"/>
      <c r="E638" s="1"/>
      <c r="F638" s="1"/>
      <c r="G638" s="1"/>
      <c r="H638" s="1"/>
      <c r="I638" s="1"/>
      <c r="J638" s="1"/>
      <c r="K638" s="9"/>
      <c r="L638" s="1"/>
      <c r="M638" s="319"/>
      <c r="N638" s="319"/>
      <c r="O638" s="319"/>
      <c r="P638" s="319"/>
      <c r="Q638" s="319"/>
      <c r="R638" s="319"/>
      <c r="S638" s="319"/>
      <c r="T638" s="319"/>
      <c r="U638" s="319"/>
      <c r="V638" s="319"/>
      <c r="W638" s="319"/>
      <c r="X638" s="319"/>
      <c r="Y638" s="319"/>
      <c r="Z638" s="319"/>
      <c r="AA638" s="319"/>
      <c r="AB638" s="319"/>
      <c r="AC638" s="319"/>
      <c r="AD638" s="319"/>
      <c r="AE638" s="319"/>
      <c r="AF638" s="319"/>
      <c r="AG638" s="319"/>
      <c r="AH638" s="319"/>
      <c r="AI638" s="319"/>
      <c r="AJ638" s="319"/>
      <c r="AK638" s="319"/>
      <c r="AL638" s="319"/>
      <c r="AM638" s="319"/>
      <c r="AN638" s="319"/>
      <c r="AO638" s="319">
        <v>2050028</v>
      </c>
      <c r="AP638" s="319"/>
      <c r="AQ638" s="319"/>
      <c r="AR638" s="319"/>
      <c r="AS638" s="319"/>
      <c r="AT638" s="319"/>
      <c r="AU638" s="319"/>
      <c r="AV638" s="319"/>
      <c r="AW638" s="319"/>
      <c r="AX638" s="319"/>
      <c r="AY638" s="319"/>
      <c r="AZ638" s="319"/>
      <c r="BA638" s="319"/>
      <c r="BB638" s="319"/>
      <c r="BC638" s="319"/>
      <c r="BD638" s="319"/>
      <c r="BE638" s="319"/>
      <c r="BF638" s="319"/>
      <c r="BG638" s="319"/>
      <c r="BH638" s="319"/>
      <c r="BI638" s="319"/>
      <c r="BJ638" s="319"/>
      <c r="BK638" s="319"/>
      <c r="BL638" s="319"/>
      <c r="BM638" s="319"/>
      <c r="BN638" s="319"/>
      <c r="BO638" s="319"/>
      <c r="BP638" s="319"/>
      <c r="BQ638" s="319"/>
      <c r="BR638" s="319"/>
      <c r="BS638" s="319"/>
      <c r="BT638" s="319"/>
      <c r="BU638" s="319"/>
      <c r="BV638" s="319"/>
      <c r="BW638" s="319"/>
      <c r="BX638" s="319"/>
      <c r="BY638" s="319"/>
      <c r="BZ638" s="319"/>
      <c r="CA638" s="319"/>
      <c r="CB638" s="319"/>
      <c r="CC638" s="319"/>
      <c r="CD638" s="319"/>
      <c r="CE638" s="319"/>
      <c r="CF638" s="319"/>
    </row>
    <row r="639" spans="1:84" ht="12.75" hidden="1" customHeight="1">
      <c r="A639" s="12"/>
      <c r="B639" s="329" t="str">
        <f>B77</f>
        <v>Combustível necessário</v>
      </c>
      <c r="C639" s="29" t="str">
        <f>IF(Unit=TRUE,R639,T639)</f>
        <v>GJ/h</v>
      </c>
      <c r="D639" s="30">
        <f>IF(Unit=TRUE,S639,U639)</f>
        <v>0</v>
      </c>
      <c r="E639" s="1"/>
      <c r="F639" s="29" t="str">
        <f>IF($M$3=FALSE,"",IF(Unit=FALSE,R639,T639))</f>
        <v/>
      </c>
      <c r="G639" s="140" t="str">
        <f>IF($M$3=FALSE,"",IF(Unit=FALSE,S639,U639))</f>
        <v/>
      </c>
      <c r="H639" s="1"/>
      <c r="I639" s="1"/>
      <c r="J639" s="1"/>
      <c r="K639" s="9"/>
      <c r="L639" s="1"/>
      <c r="M639" s="319"/>
      <c r="N639" s="319"/>
      <c r="O639" s="319"/>
      <c r="P639" s="319"/>
      <c r="Q639" s="319"/>
      <c r="R639" s="319" t="str">
        <f>$R$77</f>
        <v>GJ/h</v>
      </c>
      <c r="S639" s="319">
        <f>IF(D641=E1096,D633*S637/10^6+S642*3.6/1000,D633*S637/10^6)</f>
        <v>0</v>
      </c>
      <c r="T639" s="319" t="str">
        <f>$T$77</f>
        <v>milhão Btu/h</v>
      </c>
      <c r="U639" s="319">
        <f>S639/$AA$1082</f>
        <v>0</v>
      </c>
      <c r="V639" s="319"/>
      <c r="W639" s="319"/>
      <c r="X639" s="319"/>
      <c r="Y639" s="319"/>
      <c r="Z639" s="319"/>
      <c r="AA639" s="319"/>
      <c r="AB639" s="319"/>
      <c r="AC639" s="319"/>
      <c r="AD639" s="319"/>
      <c r="AE639" s="319"/>
      <c r="AF639" s="319"/>
      <c r="AG639" s="319"/>
      <c r="AH639" s="319"/>
      <c r="AI639" s="319"/>
      <c r="AJ639" s="319"/>
      <c r="AK639" s="319"/>
      <c r="AL639" s="319"/>
      <c r="AM639" s="319"/>
      <c r="AN639" s="319"/>
      <c r="AO639" s="319">
        <v>2050032</v>
      </c>
      <c r="AP639" s="319"/>
      <c r="AQ639" s="319"/>
      <c r="AR639" s="319"/>
      <c r="AS639" s="319"/>
      <c r="AT639" s="319"/>
      <c r="AU639" s="319"/>
      <c r="AV639" s="319"/>
      <c r="AW639" s="319"/>
      <c r="AX639" s="319"/>
      <c r="AY639" s="319"/>
      <c r="AZ639" s="319"/>
      <c r="BA639" s="319"/>
      <c r="BB639" s="319"/>
      <c r="BC639" s="319"/>
      <c r="BD639" s="319"/>
      <c r="BE639" s="319"/>
      <c r="BF639" s="319"/>
      <c r="BG639" s="319"/>
      <c r="BH639" s="319"/>
      <c r="BI639" s="319"/>
      <c r="BJ639" s="319"/>
      <c r="BK639" s="319"/>
      <c r="BL639" s="319"/>
      <c r="BM639" s="319"/>
      <c r="BN639" s="319"/>
      <c r="BO639" s="319"/>
      <c r="BP639" s="319"/>
      <c r="BQ639" s="319"/>
      <c r="BR639" s="319"/>
      <c r="BS639" s="319"/>
      <c r="BT639" s="319"/>
      <c r="BU639" s="319"/>
      <c r="BV639" s="319"/>
      <c r="BW639" s="319"/>
      <c r="BX639" s="319"/>
      <c r="BY639" s="319"/>
      <c r="BZ639" s="319"/>
      <c r="CA639" s="319"/>
      <c r="CB639" s="319"/>
      <c r="CC639" s="319"/>
      <c r="CD639" s="319"/>
      <c r="CE639" s="319"/>
      <c r="CF639" s="319"/>
    </row>
    <row r="640" spans="1:84" ht="12.75" hidden="1" customHeight="1">
      <c r="A640" s="12"/>
      <c r="B640" s="329" t="str">
        <f>Language!C431</f>
        <v>Capacidade térmica</v>
      </c>
      <c r="C640" s="29" t="str">
        <f>IF(Unit=TRUE,R640,T640)</f>
        <v>kW</v>
      </c>
      <c r="D640" s="30">
        <f>IF(Unit=TRUE,S640,U640)</f>
        <v>0</v>
      </c>
      <c r="E640" s="1"/>
      <c r="F640" s="29" t="str">
        <f>IF($M$3=FALSE,"",IF(Unit=FALSE,R640,T640))</f>
        <v/>
      </c>
      <c r="G640" s="140" t="str">
        <f>IF($M$3=FALSE,"",IF(Unit=FALSE,S640,U640))</f>
        <v/>
      </c>
      <c r="H640" s="1"/>
      <c r="I640" s="1"/>
      <c r="J640" s="1"/>
      <c r="K640" s="9"/>
      <c r="L640" s="1"/>
      <c r="M640" s="319"/>
      <c r="N640" s="319"/>
      <c r="O640" s="319"/>
      <c r="P640" s="319"/>
      <c r="Q640" s="319"/>
      <c r="R640" s="319" t="str">
        <f>$R$20</f>
        <v>kW</v>
      </c>
      <c r="S640" s="319">
        <f>(D633*S637/10^6-D633/1000*3.6)*(D638)/0.0036</f>
        <v>0</v>
      </c>
      <c r="T640" s="319" t="str">
        <f>$T$77</f>
        <v>milhão Btu/h</v>
      </c>
      <c r="U640" s="319">
        <f>S640*$AB$1087/1000</f>
        <v>0</v>
      </c>
      <c r="V640" s="319"/>
      <c r="W640" s="319"/>
      <c r="X640" s="319"/>
      <c r="Y640" s="319"/>
      <c r="Z640" s="319"/>
      <c r="AA640" s="319"/>
      <c r="AB640" s="319"/>
      <c r="AC640" s="319"/>
      <c r="AD640" s="319"/>
      <c r="AE640" s="319"/>
      <c r="AF640" s="319"/>
      <c r="AG640" s="319"/>
      <c r="AH640" s="319"/>
      <c r="AI640" s="319"/>
      <c r="AJ640" s="319"/>
      <c r="AK640" s="319"/>
      <c r="AL640" s="319"/>
      <c r="AM640" s="319"/>
      <c r="AN640" s="319"/>
      <c r="AO640" s="319">
        <v>2050036</v>
      </c>
      <c r="AP640" s="319"/>
      <c r="AQ640" s="319"/>
      <c r="AR640" s="319"/>
      <c r="AS640" s="319"/>
      <c r="AT640" s="319"/>
      <c r="AU640" s="319"/>
      <c r="AV640" s="319"/>
      <c r="AW640" s="319"/>
      <c r="AX640" s="319"/>
      <c r="AY640" s="319"/>
      <c r="AZ640" s="319"/>
      <c r="BA640" s="319"/>
      <c r="BB640" s="319"/>
      <c r="BC640" s="319"/>
      <c r="BD640" s="319"/>
      <c r="BE640" s="319"/>
      <c r="BF640" s="319"/>
      <c r="BG640" s="319"/>
      <c r="BH640" s="319"/>
      <c r="BI640" s="319"/>
      <c r="BJ640" s="319"/>
      <c r="BK640" s="319"/>
      <c r="BL640" s="319"/>
      <c r="BM640" s="319"/>
      <c r="BN640" s="319"/>
      <c r="BO640" s="319"/>
      <c r="BP640" s="319"/>
      <c r="BQ640" s="319"/>
      <c r="BR640" s="319"/>
      <c r="BS640" s="319"/>
      <c r="BT640" s="319"/>
      <c r="BU640" s="319"/>
      <c r="BV640" s="319"/>
      <c r="BW640" s="319"/>
      <c r="BX640" s="319"/>
      <c r="BY640" s="319"/>
      <c r="BZ640" s="319"/>
      <c r="CA640" s="319"/>
      <c r="CB640" s="319"/>
      <c r="CC640" s="319"/>
      <c r="CD640" s="319"/>
      <c r="CE640" s="319"/>
      <c r="CF640" s="319"/>
    </row>
    <row r="641" spans="1:84" ht="12.75" hidden="1" customHeight="1">
      <c r="A641" s="12"/>
      <c r="B641" s="28" t="str">
        <f>Language!C434</f>
        <v>Ignição do duto</v>
      </c>
      <c r="C641" s="1"/>
      <c r="D641" s="303" t="s">
        <v>6132</v>
      </c>
      <c r="E641" s="1"/>
      <c r="F641" s="1"/>
      <c r="G641" s="1"/>
      <c r="H641" s="1"/>
      <c r="I641" s="1"/>
      <c r="J641" s="1"/>
      <c r="K641" s="9"/>
      <c r="L641" s="1"/>
      <c r="M641" s="319">
        <f>IF(D641="",1,MATCH(D641,YesNo,0))</f>
        <v>2</v>
      </c>
      <c r="N641" s="319"/>
      <c r="O641" s="319" t="s">
        <v>2525</v>
      </c>
      <c r="P641" s="319"/>
      <c r="Q641" s="319"/>
      <c r="R641" s="319"/>
      <c r="S641" s="319"/>
      <c r="T641" s="319"/>
      <c r="U641" s="319"/>
      <c r="V641" s="319"/>
      <c r="W641" s="319"/>
      <c r="X641" s="319"/>
      <c r="Y641" s="319"/>
      <c r="Z641" s="319"/>
      <c r="AA641" s="319"/>
      <c r="AB641" s="319"/>
      <c r="AC641" s="319"/>
      <c r="AD641" s="319"/>
      <c r="AE641" s="319"/>
      <c r="AF641" s="319"/>
      <c r="AG641" s="319"/>
      <c r="AH641" s="319"/>
      <c r="AI641" s="319"/>
      <c r="AJ641" s="319"/>
      <c r="AK641" s="319"/>
      <c r="AL641" s="319"/>
      <c r="AM641" s="319"/>
      <c r="AN641" s="319"/>
      <c r="AO641" s="319">
        <v>2060000</v>
      </c>
      <c r="AP641" s="319"/>
      <c r="AQ641" s="319"/>
      <c r="AR641" s="319"/>
      <c r="AS641" s="319"/>
      <c r="AT641" s="319"/>
      <c r="AU641" s="319"/>
      <c r="AV641" s="319"/>
      <c r="AW641" s="319"/>
      <c r="AX641" s="319"/>
      <c r="AY641" s="319"/>
      <c r="AZ641" s="319"/>
      <c r="BA641" s="319"/>
      <c r="BB641" s="319"/>
      <c r="BC641" s="319"/>
      <c r="BD641" s="319"/>
      <c r="BE641" s="319"/>
      <c r="BF641" s="319"/>
      <c r="BG641" s="319"/>
      <c r="BH641" s="319"/>
      <c r="BI641" s="319"/>
      <c r="BJ641" s="319"/>
      <c r="BK641" s="319"/>
      <c r="BL641" s="319"/>
      <c r="BM641" s="319"/>
      <c r="BN641" s="319"/>
      <c r="BO641" s="319"/>
      <c r="BP641" s="319"/>
      <c r="BQ641" s="319"/>
      <c r="BR641" s="319"/>
      <c r="BS641" s="319"/>
      <c r="BT641" s="319"/>
      <c r="BU641" s="319"/>
      <c r="BV641" s="319"/>
      <c r="BW641" s="319"/>
      <c r="BX641" s="319"/>
      <c r="BY641" s="319"/>
      <c r="BZ641" s="319"/>
      <c r="CA641" s="319"/>
      <c r="CB641" s="319"/>
      <c r="CC641" s="319"/>
      <c r="CD641" s="319"/>
      <c r="CE641" s="319"/>
      <c r="CF641" s="319"/>
    </row>
    <row r="642" spans="1:84" ht="12.75" hidden="1" customHeight="1">
      <c r="A642" s="12"/>
      <c r="B642" s="329" t="str">
        <f>Language!C435</f>
        <v>Capacidade térmica da ignição do duto</v>
      </c>
      <c r="C642" s="303" t="s">
        <v>5700</v>
      </c>
      <c r="D642" s="307"/>
      <c r="E642" s="1"/>
      <c r="F642" s="1"/>
      <c r="G642" s="1"/>
      <c r="H642" s="1"/>
      <c r="I642" s="1"/>
      <c r="J642" s="1"/>
      <c r="K642" s="9"/>
      <c r="L642" s="1"/>
      <c r="M642" s="319"/>
      <c r="N642" s="319"/>
      <c r="O642" s="319"/>
      <c r="P642" s="319"/>
      <c r="Q642" s="319"/>
      <c r="R642" s="319" t="s">
        <v>5700</v>
      </c>
      <c r="S642" s="319">
        <f>IF(C642=$Z$1086,D642,D642/$AA$1087)</f>
        <v>0</v>
      </c>
      <c r="T642" s="319"/>
      <c r="U642" s="319"/>
      <c r="V642" s="319"/>
      <c r="W642" s="319"/>
      <c r="X642" s="319"/>
      <c r="Y642" s="319"/>
      <c r="Z642" s="319"/>
      <c r="AA642" s="319"/>
      <c r="AB642" s="319"/>
      <c r="AC642" s="319"/>
      <c r="AD642" s="319"/>
      <c r="AE642" s="319"/>
      <c r="AF642" s="319"/>
      <c r="AG642" s="319"/>
      <c r="AH642" s="319"/>
      <c r="AI642" s="319"/>
      <c r="AJ642" s="319"/>
      <c r="AK642" s="319"/>
      <c r="AL642" s="319"/>
      <c r="AM642" s="319"/>
      <c r="AN642" s="319"/>
      <c r="AO642" s="319">
        <v>2060002</v>
      </c>
      <c r="AP642" s="319"/>
      <c r="AQ642" s="319"/>
      <c r="AR642" s="319"/>
      <c r="AS642" s="319"/>
      <c r="AT642" s="319"/>
      <c r="AU642" s="319"/>
      <c r="AV642" s="319"/>
      <c r="AW642" s="319"/>
      <c r="AX642" s="319"/>
      <c r="AY642" s="319"/>
      <c r="AZ642" s="319"/>
      <c r="BA642" s="319"/>
      <c r="BB642" s="319"/>
      <c r="BC642" s="319"/>
      <c r="BD642" s="319"/>
      <c r="BE642" s="319"/>
      <c r="BF642" s="319"/>
      <c r="BG642" s="319"/>
      <c r="BH642" s="319"/>
      <c r="BI642" s="319"/>
      <c r="BJ642" s="319"/>
      <c r="BK642" s="319"/>
      <c r="BL642" s="319"/>
      <c r="BM642" s="319"/>
      <c r="BN642" s="319"/>
      <c r="BO642" s="319"/>
      <c r="BP642" s="319"/>
      <c r="BQ642" s="319"/>
      <c r="BR642" s="319"/>
      <c r="BS642" s="319"/>
      <c r="BT642" s="319"/>
      <c r="BU642" s="319"/>
      <c r="BV642" s="319"/>
      <c r="BW642" s="319"/>
      <c r="BX642" s="319"/>
      <c r="BY642" s="319"/>
      <c r="BZ642" s="319"/>
      <c r="CA642" s="319"/>
      <c r="CB642" s="319"/>
      <c r="CC642" s="319"/>
      <c r="CD642" s="319"/>
      <c r="CE642" s="319"/>
      <c r="CF642" s="319"/>
    </row>
    <row r="643" spans="1:84" ht="12.75" hidden="1" customHeight="1">
      <c r="A643" s="12"/>
      <c r="B643" s="329" t="str">
        <f>Language!C436</f>
        <v>Capacidade térmica após ignição do duto</v>
      </c>
      <c r="C643" s="29" t="str">
        <f>IF(Unit=TRUE,R643,T643)</f>
        <v>kW</v>
      </c>
      <c r="D643" s="30">
        <f>IF(Unit=TRUE,S643,U643)</f>
        <v>0</v>
      </c>
      <c r="E643" s="1"/>
      <c r="F643" s="29" t="str">
        <f>IF($M$3=FALSE,"",IF(Unit=FALSE,R643,T643))</f>
        <v/>
      </c>
      <c r="G643" s="140" t="str">
        <f>IF($M$3=FALSE,"",IF(Unit=FALSE,S643,U643))</f>
        <v/>
      </c>
      <c r="H643" s="1"/>
      <c r="I643" s="1"/>
      <c r="J643" s="1"/>
      <c r="K643" s="9"/>
      <c r="L643" s="1"/>
      <c r="M643" s="319"/>
      <c r="N643" s="319"/>
      <c r="O643" s="319"/>
      <c r="P643" s="319"/>
      <c r="Q643" s="319"/>
      <c r="R643" s="319" t="str">
        <f>$R$20</f>
        <v>kW</v>
      </c>
      <c r="S643" s="319">
        <f>S640+S642</f>
        <v>0</v>
      </c>
      <c r="T643" s="319" t="str">
        <f>$T$77</f>
        <v>milhão Btu/h</v>
      </c>
      <c r="U643" s="319">
        <f>S643*$AA$1087</f>
        <v>0</v>
      </c>
      <c r="V643" s="319"/>
      <c r="W643" s="319"/>
      <c r="X643" s="319"/>
      <c r="Y643" s="319"/>
      <c r="Z643" s="319"/>
      <c r="AA643" s="319"/>
      <c r="AB643" s="319"/>
      <c r="AC643" s="319"/>
      <c r="AD643" s="319"/>
      <c r="AE643" s="319"/>
      <c r="AF643" s="319"/>
      <c r="AG643" s="319"/>
      <c r="AH643" s="319"/>
      <c r="AI643" s="319"/>
      <c r="AJ643" s="319"/>
      <c r="AK643" s="319"/>
      <c r="AL643" s="319"/>
      <c r="AM643" s="319"/>
      <c r="AN643" s="319"/>
      <c r="AO643" s="319">
        <v>2060004</v>
      </c>
      <c r="AP643" s="319"/>
      <c r="AQ643" s="319"/>
      <c r="AR643" s="319"/>
      <c r="AS643" s="319"/>
      <c r="AT643" s="319"/>
      <c r="AU643" s="319"/>
      <c r="AV643" s="319"/>
      <c r="AW643" s="319"/>
      <c r="AX643" s="319"/>
      <c r="AY643" s="319"/>
      <c r="AZ643" s="319"/>
      <c r="BA643" s="319"/>
      <c r="BB643" s="319"/>
      <c r="BC643" s="319"/>
      <c r="BD643" s="319"/>
      <c r="BE643" s="319"/>
      <c r="BF643" s="319"/>
      <c r="BG643" s="319"/>
      <c r="BH643" s="319"/>
      <c r="BI643" s="319"/>
      <c r="BJ643" s="319"/>
      <c r="BK643" s="319"/>
      <c r="BL643" s="319"/>
      <c r="BM643" s="319"/>
      <c r="BN643" s="319"/>
      <c r="BO643" s="319"/>
      <c r="BP643" s="319"/>
      <c r="BQ643" s="319"/>
      <c r="BR643" s="319"/>
      <c r="BS643" s="319"/>
      <c r="BT643" s="319"/>
      <c r="BU643" s="319"/>
      <c r="BV643" s="319"/>
      <c r="BW643" s="319"/>
      <c r="BX643" s="319"/>
      <c r="BY643" s="319"/>
      <c r="BZ643" s="319"/>
      <c r="CA643" s="319"/>
      <c r="CB643" s="319"/>
      <c r="CC643" s="319"/>
      <c r="CD643" s="319"/>
      <c r="CE643" s="319"/>
      <c r="CF643" s="319"/>
    </row>
    <row r="644" spans="1:84" ht="12.75" hidden="1" customHeight="1">
      <c r="A644" s="12"/>
      <c r="B644" s="28" t="str">
        <f>B127</f>
        <v>Turbina à vapor</v>
      </c>
      <c r="C644" s="1"/>
      <c r="D644" s="1"/>
      <c r="E644" s="1"/>
      <c r="F644" s="1"/>
      <c r="G644" s="1"/>
      <c r="H644" s="1"/>
      <c r="I644" s="1"/>
      <c r="J644" s="1"/>
      <c r="K644" s="9"/>
      <c r="L644" s="1"/>
      <c r="M644" s="319"/>
      <c r="N644" s="319"/>
      <c r="O644" s="319"/>
      <c r="P644" s="319"/>
      <c r="Q644" s="319"/>
      <c r="R644" s="319"/>
      <c r="S644" s="319"/>
      <c r="T644" s="319"/>
      <c r="U644" s="319"/>
      <c r="V644" s="319"/>
      <c r="W644" s="319"/>
      <c r="X644" s="319"/>
      <c r="Y644" s="319"/>
      <c r="Z644" s="319"/>
      <c r="AA644" s="319"/>
      <c r="AB644" s="319"/>
      <c r="AC644" s="319"/>
      <c r="AD644" s="319"/>
      <c r="AE644" s="319"/>
      <c r="AF644" s="319"/>
      <c r="AG644" s="319"/>
      <c r="AH644" s="319"/>
      <c r="AI644" s="319"/>
      <c r="AJ644" s="319"/>
      <c r="AK644" s="319"/>
      <c r="AL644" s="319"/>
      <c r="AM644" s="319"/>
      <c r="AN644" s="319"/>
      <c r="AO644" s="319">
        <v>2060006</v>
      </c>
      <c r="AP644" s="319"/>
      <c r="AQ644" s="319"/>
      <c r="AR644" s="319"/>
      <c r="AS644" s="319"/>
      <c r="AT644" s="319"/>
      <c r="AU644" s="319"/>
      <c r="AV644" s="319"/>
      <c r="AW644" s="319"/>
      <c r="AX644" s="319"/>
      <c r="AY644" s="319"/>
      <c r="AZ644" s="319"/>
      <c r="BA644" s="319"/>
      <c r="BB644" s="319"/>
      <c r="BC644" s="319"/>
      <c r="BD644" s="319"/>
      <c r="BE644" s="319"/>
      <c r="BF644" s="319"/>
      <c r="BG644" s="319"/>
      <c r="BH644" s="319"/>
      <c r="BI644" s="319"/>
      <c r="BJ644" s="319"/>
      <c r="BK644" s="319"/>
      <c r="BL644" s="319"/>
      <c r="BM644" s="319"/>
      <c r="BN644" s="319"/>
      <c r="BO644" s="319"/>
      <c r="BP644" s="319"/>
      <c r="BQ644" s="319"/>
      <c r="BR644" s="319"/>
      <c r="BS644" s="319"/>
      <c r="BT644" s="319"/>
      <c r="BU644" s="319"/>
      <c r="BV644" s="319"/>
      <c r="BW644" s="319"/>
      <c r="BX644" s="319"/>
      <c r="BY644" s="319"/>
      <c r="BZ644" s="319"/>
      <c r="CA644" s="319"/>
      <c r="CB644" s="319"/>
      <c r="CC644" s="319"/>
      <c r="CD644" s="319"/>
      <c r="CE644" s="319"/>
      <c r="CF644" s="319"/>
    </row>
    <row r="645" spans="1:84" ht="12.75" hidden="1" customHeight="1">
      <c r="A645" s="12"/>
      <c r="B645" s="329" t="str">
        <f>B85</f>
        <v>Pressão de Operação</v>
      </c>
      <c r="C645" s="303" t="s">
        <v>2791</v>
      </c>
      <c r="D645" s="307"/>
      <c r="E645" s="1"/>
      <c r="F645" s="1"/>
      <c r="G645" s="1"/>
      <c r="H645" s="1"/>
      <c r="I645" s="1"/>
      <c r="J645" s="1"/>
      <c r="K645" s="9"/>
      <c r="L645" s="1"/>
      <c r="M645" s="319"/>
      <c r="N645" s="319"/>
      <c r="O645" s="319"/>
      <c r="P645" s="319"/>
      <c r="Q645" s="319"/>
      <c r="R645" s="319"/>
      <c r="S645" s="319"/>
      <c r="T645" s="319"/>
      <c r="U645" s="319"/>
      <c r="V645" s="319">
        <f>IF(IF(C645=$Z$1067,D645/1000,IF(C645=$Z$1068,D645/10,IF(C645=$Z$1069,(D645+$AA$1069)/$Y$1069/10,IF(C645=$Z$1070,D645/$Y$1069/10))))&lt;SteamP,SteamP,IF(C645=$Z$1067,D645/1000,IF(C645=$Z$1068,D645/10,IF(C645=$Z$1069,(D645+$AA$1069)/$Y$1069/10,IF(C645=$Z$1070,D645/$Y$1069/10)))))</f>
        <v>1.1100000000000001E-3</v>
      </c>
      <c r="W645" s="319" t="s">
        <v>3345</v>
      </c>
      <c r="X645" s="319"/>
      <c r="Y645" s="319"/>
      <c r="Z645" s="319"/>
      <c r="AA645" s="319"/>
      <c r="AB645" s="319"/>
      <c r="AC645" s="319"/>
      <c r="AD645" s="319"/>
      <c r="AE645" s="319"/>
      <c r="AF645" s="319"/>
      <c r="AG645" s="319"/>
      <c r="AH645" s="319"/>
      <c r="AI645" s="319"/>
      <c r="AJ645" s="319"/>
      <c r="AK645" s="319"/>
      <c r="AL645" s="319"/>
      <c r="AM645" s="319"/>
      <c r="AN645" s="319"/>
      <c r="AO645" s="319">
        <v>2060008</v>
      </c>
      <c r="AP645" s="319"/>
      <c r="AQ645" s="319"/>
      <c r="AR645" s="319"/>
      <c r="AS645" s="319"/>
      <c r="AT645" s="319"/>
      <c r="AU645" s="319"/>
      <c r="AV645" s="319"/>
      <c r="AW645" s="319"/>
      <c r="AX645" s="319"/>
      <c r="AY645" s="319"/>
      <c r="AZ645" s="319"/>
      <c r="BA645" s="319"/>
      <c r="BB645" s="319"/>
      <c r="BC645" s="319"/>
      <c r="BD645" s="319"/>
      <c r="BE645" s="319"/>
      <c r="BF645" s="319"/>
      <c r="BG645" s="319"/>
      <c r="BH645" s="319"/>
      <c r="BI645" s="319"/>
      <c r="BJ645" s="319"/>
      <c r="BK645" s="319"/>
      <c r="BL645" s="319"/>
      <c r="BM645" s="319"/>
      <c r="BN645" s="319"/>
      <c r="BO645" s="319"/>
      <c r="BP645" s="319"/>
      <c r="BQ645" s="319"/>
      <c r="BR645" s="319"/>
      <c r="BS645" s="319"/>
      <c r="BT645" s="319"/>
      <c r="BU645" s="319"/>
      <c r="BV645" s="319"/>
      <c r="BW645" s="319"/>
      <c r="BX645" s="319"/>
      <c r="BY645" s="319"/>
      <c r="BZ645" s="319"/>
      <c r="CA645" s="319"/>
      <c r="CB645" s="319"/>
      <c r="CC645" s="319"/>
      <c r="CD645" s="319"/>
      <c r="CE645" s="319"/>
      <c r="CF645" s="319"/>
    </row>
    <row r="646" spans="1:84" ht="12.75" hidden="1" customHeight="1">
      <c r="A646" s="12"/>
      <c r="B646" s="329" t="str">
        <f>B86</f>
        <v>Temperatura de saturação</v>
      </c>
      <c r="C646" s="29" t="str">
        <f>IF(Unit=TRUE,R646,T646)</f>
        <v>°C</v>
      </c>
      <c r="D646" s="30">
        <f>IF(Unit=TRUE,S646,U646)</f>
        <v>8.4990758364950239</v>
      </c>
      <c r="E646" s="1"/>
      <c r="F646" s="29" t="str">
        <f>IF($M$3=FALSE,"",IF(Unit=FALSE,R646,T646))</f>
        <v/>
      </c>
      <c r="G646" s="140" t="str">
        <f>IF($M$3=FALSE,"",IF(Unit=FALSE,S646,U646))</f>
        <v/>
      </c>
      <c r="H646" s="1"/>
      <c r="I646" s="1"/>
      <c r="J646" s="1"/>
      <c r="K646" s="9"/>
      <c r="L646" s="1"/>
      <c r="M646" s="319"/>
      <c r="N646" s="319"/>
      <c r="O646" s="319"/>
      <c r="P646" s="319"/>
      <c r="Q646" s="319"/>
      <c r="R646" s="319" t="str">
        <f>$R$86</f>
        <v>°C</v>
      </c>
      <c r="S646" s="319">
        <f>V646-$AA$1090</f>
        <v>8.4990758364950239</v>
      </c>
      <c r="T646" s="319" t="str">
        <f>$T$86</f>
        <v>°F</v>
      </c>
      <c r="U646" s="319">
        <f>S646*1.8+32</f>
        <v>47.29833650569104</v>
      </c>
      <c r="V646" s="319">
        <f>Tsat(V645)</f>
        <v>281.649075836495</v>
      </c>
      <c r="W646" s="319" t="s">
        <v>143</v>
      </c>
      <c r="X646" s="319"/>
      <c r="Y646" s="319"/>
      <c r="Z646" s="319"/>
      <c r="AA646" s="319"/>
      <c r="AB646" s="319"/>
      <c r="AC646" s="319"/>
      <c r="AD646" s="319"/>
      <c r="AE646" s="319"/>
      <c r="AF646" s="319"/>
      <c r="AG646" s="319"/>
      <c r="AH646" s="319"/>
      <c r="AI646" s="319"/>
      <c r="AJ646" s="319"/>
      <c r="AK646" s="319"/>
      <c r="AL646" s="319"/>
      <c r="AM646" s="319"/>
      <c r="AN646" s="319"/>
      <c r="AO646" s="319">
        <v>2060010</v>
      </c>
      <c r="AP646" s="319"/>
      <c r="AQ646" s="319"/>
      <c r="AR646" s="319"/>
      <c r="AS646" s="319"/>
      <c r="AT646" s="319"/>
      <c r="AU646" s="319"/>
      <c r="AV646" s="319"/>
      <c r="AW646" s="319"/>
      <c r="AX646" s="319"/>
      <c r="AY646" s="319"/>
      <c r="AZ646" s="319"/>
      <c r="BA646" s="319"/>
      <c r="BB646" s="319"/>
      <c r="BC646" s="319"/>
      <c r="BD646" s="319"/>
      <c r="BE646" s="319"/>
      <c r="BF646" s="319"/>
      <c r="BG646" s="319"/>
      <c r="BH646" s="319"/>
      <c r="BI646" s="319"/>
      <c r="BJ646" s="319"/>
      <c r="BK646" s="319"/>
      <c r="BL646" s="319"/>
      <c r="BM646" s="319"/>
      <c r="BN646" s="319"/>
      <c r="BO646" s="319"/>
      <c r="BP646" s="319"/>
      <c r="BQ646" s="319"/>
      <c r="BR646" s="319"/>
      <c r="BS646" s="319"/>
      <c r="BT646" s="319"/>
      <c r="BU646" s="319"/>
      <c r="BV646" s="319"/>
      <c r="BW646" s="319"/>
      <c r="BX646" s="319"/>
      <c r="BY646" s="319"/>
      <c r="BZ646" s="319"/>
      <c r="CA646" s="319"/>
      <c r="CB646" s="319"/>
      <c r="CC646" s="319"/>
      <c r="CD646" s="319"/>
      <c r="CE646" s="319"/>
      <c r="CF646" s="319"/>
    </row>
    <row r="647" spans="1:84" ht="12.75" hidden="1" customHeight="1">
      <c r="A647" s="12"/>
      <c r="B647" s="329" t="str">
        <f>B87</f>
        <v>Temperatura superaquecimento</v>
      </c>
      <c r="C647" s="303" t="s">
        <v>5568</v>
      </c>
      <c r="D647" s="307"/>
      <c r="E647" s="1"/>
      <c r="F647" s="1"/>
      <c r="G647" s="1"/>
      <c r="H647" s="1"/>
      <c r="I647" s="1"/>
      <c r="J647" s="1"/>
      <c r="K647" s="788" t="str">
        <f>IF(S647&lt;S646,$G$1089,IF(S647&gt;800,$G$1090,""))</f>
        <v>Temp do vapor abaixo do ponto de saturação</v>
      </c>
      <c r="L647" s="1"/>
      <c r="M647" s="319"/>
      <c r="N647" s="319"/>
      <c r="O647" s="319"/>
      <c r="P647" s="319"/>
      <c r="Q647" s="319"/>
      <c r="R647" s="319" t="str">
        <f>$R$86</f>
        <v>°C</v>
      </c>
      <c r="S647" s="319">
        <f>IF(C647=$Z$1107,D647,(D647-32)/1.8)</f>
        <v>0</v>
      </c>
      <c r="T647" s="319"/>
      <c r="U647" s="319"/>
      <c r="V647" s="319">
        <f>S647+$AA$1090</f>
        <v>273.14999999999998</v>
      </c>
      <c r="W647" s="319" t="s">
        <v>143</v>
      </c>
      <c r="X647" s="319"/>
      <c r="Y647" s="319"/>
      <c r="Z647" s="319"/>
      <c r="AA647" s="319"/>
      <c r="AB647" s="319"/>
      <c r="AC647" s="319"/>
      <c r="AD647" s="319"/>
      <c r="AE647" s="319"/>
      <c r="AF647" s="319"/>
      <c r="AG647" s="319"/>
      <c r="AH647" s="319"/>
      <c r="AI647" s="319"/>
      <c r="AJ647" s="319"/>
      <c r="AK647" s="319"/>
      <c r="AL647" s="319"/>
      <c r="AM647" s="319"/>
      <c r="AN647" s="319"/>
      <c r="AO647" s="319">
        <v>2060012</v>
      </c>
      <c r="AP647" s="319"/>
      <c r="AQ647" s="319"/>
      <c r="AR647" s="319"/>
      <c r="AS647" s="319"/>
      <c r="AT647" s="319"/>
      <c r="AU647" s="319"/>
      <c r="AV647" s="319"/>
      <c r="AW647" s="319"/>
      <c r="AX647" s="319"/>
      <c r="AY647" s="319"/>
      <c r="AZ647" s="319"/>
      <c r="BA647" s="319"/>
      <c r="BB647" s="319"/>
      <c r="BC647" s="319"/>
      <c r="BD647" s="319"/>
      <c r="BE647" s="319"/>
      <c r="BF647" s="319"/>
      <c r="BG647" s="319"/>
      <c r="BH647" s="319"/>
      <c r="BI647" s="319"/>
      <c r="BJ647" s="319"/>
      <c r="BK647" s="319"/>
      <c r="BL647" s="319"/>
      <c r="BM647" s="319"/>
      <c r="BN647" s="319"/>
      <c r="BO647" s="319"/>
      <c r="BP647" s="319"/>
      <c r="BQ647" s="319"/>
      <c r="BR647" s="319"/>
      <c r="BS647" s="319"/>
      <c r="BT647" s="319"/>
      <c r="BU647" s="319"/>
      <c r="BV647" s="319"/>
      <c r="BW647" s="319"/>
      <c r="BX647" s="319"/>
      <c r="BY647" s="319"/>
      <c r="BZ647" s="319"/>
      <c r="CA647" s="319"/>
      <c r="CB647" s="319"/>
      <c r="CC647" s="319"/>
      <c r="CD647" s="319"/>
      <c r="CE647" s="319"/>
      <c r="CF647" s="319"/>
    </row>
    <row r="648" spans="1:84" ht="12.75" hidden="1" customHeight="1">
      <c r="A648" s="12"/>
      <c r="B648" s="329" t="str">
        <f>B131</f>
        <v>Fluxo de vapor</v>
      </c>
      <c r="C648" s="29" t="str">
        <f t="shared" ref="C648:D650" si="66">IF(Unit=TRUE,R648,T648)</f>
        <v>kg/h</v>
      </c>
      <c r="D648" s="30">
        <f t="shared" si="66"/>
        <v>0</v>
      </c>
      <c r="E648" s="1"/>
      <c r="F648" s="29" t="str">
        <f t="shared" ref="F648:G650" si="67">IF($M$3=FALSE,"",IF(Unit=FALSE,R648,T648))</f>
        <v/>
      </c>
      <c r="G648" s="140" t="str">
        <f t="shared" si="67"/>
        <v/>
      </c>
      <c r="H648" s="1"/>
      <c r="I648" s="1"/>
      <c r="J648" s="1"/>
      <c r="K648" s="9"/>
      <c r="L648" s="1"/>
      <c r="M648" s="319"/>
      <c r="N648" s="319"/>
      <c r="O648" s="319"/>
      <c r="P648" s="319"/>
      <c r="Q648" s="319"/>
      <c r="R648" s="319" t="str">
        <f>$R$89</f>
        <v>kg/h</v>
      </c>
      <c r="S648" s="319">
        <f>IF(D641=E1096,S643*3.6/V649*1000,S640*3.6/V649*1000)</f>
        <v>0</v>
      </c>
      <c r="T648" s="319" t="str">
        <f>$T$89</f>
        <v>lb/h</v>
      </c>
      <c r="U648" s="319">
        <f>S648/$AA$1085</f>
        <v>0</v>
      </c>
      <c r="V648" s="319"/>
      <c r="W648" s="319"/>
      <c r="X648" s="319"/>
      <c r="Y648" s="319"/>
      <c r="Z648" s="319"/>
      <c r="AA648" s="319"/>
      <c r="AB648" s="319"/>
      <c r="AC648" s="319"/>
      <c r="AD648" s="319"/>
      <c r="AE648" s="319"/>
      <c r="AF648" s="319"/>
      <c r="AG648" s="319"/>
      <c r="AH648" s="319"/>
      <c r="AI648" s="319"/>
      <c r="AJ648" s="319"/>
      <c r="AK648" s="319"/>
      <c r="AL648" s="319"/>
      <c r="AM648" s="319"/>
      <c r="AN648" s="319"/>
      <c r="AO648" s="319">
        <v>2060014</v>
      </c>
      <c r="AP648" s="319"/>
      <c r="AQ648" s="319"/>
      <c r="AR648" s="319"/>
      <c r="AS648" s="319"/>
      <c r="AT648" s="319"/>
      <c r="AU648" s="319"/>
      <c r="AV648" s="319"/>
      <c r="AW648" s="319"/>
      <c r="AX648" s="319"/>
      <c r="AY648" s="319"/>
      <c r="AZ648" s="319"/>
      <c r="BA648" s="319"/>
      <c r="BB648" s="319"/>
      <c r="BC648" s="319"/>
      <c r="BD648" s="319"/>
      <c r="BE648" s="319"/>
      <c r="BF648" s="319"/>
      <c r="BG648" s="319"/>
      <c r="BH648" s="319"/>
      <c r="BI648" s="319"/>
      <c r="BJ648" s="319"/>
      <c r="BK648" s="319"/>
      <c r="BL648" s="319"/>
      <c r="BM648" s="319"/>
      <c r="BN648" s="319"/>
      <c r="BO648" s="319"/>
      <c r="BP648" s="319"/>
      <c r="BQ648" s="319"/>
      <c r="BR648" s="319"/>
      <c r="BS648" s="319"/>
      <c r="BT648" s="319"/>
      <c r="BU648" s="319"/>
      <c r="BV648" s="319"/>
      <c r="BW648" s="319"/>
      <c r="BX648" s="319"/>
      <c r="BY648" s="319"/>
      <c r="BZ648" s="319"/>
      <c r="CA648" s="319"/>
      <c r="CB648" s="319"/>
      <c r="CC648" s="319"/>
      <c r="CD648" s="319"/>
      <c r="CE648" s="319"/>
      <c r="CF648" s="319"/>
    </row>
    <row r="649" spans="1:84" ht="12.75" hidden="1" customHeight="1">
      <c r="A649" s="12"/>
      <c r="B649" s="329" t="str">
        <f>B132</f>
        <v>Entalpia</v>
      </c>
      <c r="C649" s="29" t="str">
        <f t="shared" si="66"/>
        <v>kJ/kg</v>
      </c>
      <c r="D649" s="30">
        <f t="shared" si="66"/>
        <v>2500.3977354876192</v>
      </c>
      <c r="E649" s="1"/>
      <c r="F649" s="29" t="str">
        <f t="shared" si="67"/>
        <v/>
      </c>
      <c r="G649" s="140" t="str">
        <f t="shared" si="67"/>
        <v/>
      </c>
      <c r="H649" s="1"/>
      <c r="I649" s="1"/>
      <c r="J649" s="1"/>
      <c r="K649" s="9"/>
      <c r="L649" s="1"/>
      <c r="M649" s="319"/>
      <c r="N649" s="319"/>
      <c r="O649" s="319"/>
      <c r="P649" s="319"/>
      <c r="Q649" s="319"/>
      <c r="R649" s="319" t="str">
        <f>$R$132</f>
        <v>kJ/kg</v>
      </c>
      <c r="S649" s="319">
        <f>V650</f>
        <v>2500.3977354876192</v>
      </c>
      <c r="T649" s="319" t="str">
        <f>$T$132</f>
        <v>Btu/lb</v>
      </c>
      <c r="U649" s="319">
        <f>S649*$AA$1073</f>
        <v>1074.9775303042218</v>
      </c>
      <c r="V649" s="319">
        <f>S649-V664</f>
        <v>2464.5791646450202</v>
      </c>
      <c r="W649" s="319" t="s">
        <v>2922</v>
      </c>
      <c r="X649" s="319"/>
      <c r="Y649" s="319"/>
      <c r="Z649" s="319"/>
      <c r="AA649" s="319"/>
      <c r="AB649" s="319"/>
      <c r="AC649" s="319"/>
      <c r="AD649" s="319"/>
      <c r="AE649" s="319"/>
      <c r="AF649" s="319"/>
      <c r="AG649" s="319"/>
      <c r="AH649" s="319"/>
      <c r="AI649" s="319"/>
      <c r="AJ649" s="319"/>
      <c r="AK649" s="319"/>
      <c r="AL649" s="319"/>
      <c r="AM649" s="319"/>
      <c r="AN649" s="319"/>
      <c r="AO649" s="319">
        <v>2060018</v>
      </c>
      <c r="AP649" s="319"/>
      <c r="AQ649" s="319"/>
      <c r="AR649" s="319"/>
      <c r="AS649" s="319"/>
      <c r="AT649" s="319"/>
      <c r="AU649" s="319"/>
      <c r="AV649" s="319"/>
      <c r="AW649" s="319"/>
      <c r="AX649" s="319"/>
      <c r="AY649" s="319"/>
      <c r="AZ649" s="319"/>
      <c r="BA649" s="319"/>
      <c r="BB649" s="319"/>
      <c r="BC649" s="319"/>
      <c r="BD649" s="319"/>
      <c r="BE649" s="319"/>
      <c r="BF649" s="319"/>
      <c r="BG649" s="319"/>
      <c r="BH649" s="319"/>
      <c r="BI649" s="319"/>
      <c r="BJ649" s="319"/>
      <c r="BK649" s="319"/>
      <c r="BL649" s="319"/>
      <c r="BM649" s="319"/>
      <c r="BN649" s="319"/>
      <c r="BO649" s="319"/>
      <c r="BP649" s="319"/>
      <c r="BQ649" s="319"/>
      <c r="BR649" s="319"/>
      <c r="BS649" s="319"/>
      <c r="BT649" s="319"/>
      <c r="BU649" s="319"/>
      <c r="BV649" s="319"/>
      <c r="BW649" s="319"/>
      <c r="BX649" s="319"/>
      <c r="BY649" s="319"/>
      <c r="BZ649" s="319"/>
      <c r="CA649" s="319"/>
      <c r="CB649" s="319"/>
      <c r="CC649" s="319"/>
      <c r="CD649" s="319"/>
      <c r="CE649" s="319"/>
      <c r="CF649" s="319"/>
    </row>
    <row r="650" spans="1:84" ht="12.75" hidden="1" customHeight="1">
      <c r="A650" s="12"/>
      <c r="B650" s="329" t="str">
        <f>Language!C438</f>
        <v>Entropia</v>
      </c>
      <c r="C650" s="29" t="str">
        <f t="shared" si="66"/>
        <v>kJ/kg/K</v>
      </c>
      <c r="D650" s="100">
        <f t="shared" si="66"/>
        <v>8.8787178819601049</v>
      </c>
      <c r="E650" s="1"/>
      <c r="F650" s="29" t="str">
        <f t="shared" si="67"/>
        <v/>
      </c>
      <c r="G650" s="140" t="str">
        <f t="shared" si="67"/>
        <v/>
      </c>
      <c r="H650" s="1"/>
      <c r="I650" s="1"/>
      <c r="J650" s="1"/>
      <c r="K650" s="9"/>
      <c r="L650" s="1"/>
      <c r="M650" s="319"/>
      <c r="N650" s="319"/>
      <c r="O650" s="319"/>
      <c r="P650" s="319"/>
      <c r="Q650" s="319"/>
      <c r="R650" s="319" t="str">
        <f>R133</f>
        <v>kJ/kg/K</v>
      </c>
      <c r="S650" s="319">
        <f>V651</f>
        <v>8.8787178819601049</v>
      </c>
      <c r="T650" s="319" t="str">
        <f>T133</f>
        <v>Btu/lb/°R</v>
      </c>
      <c r="U650" s="319">
        <f>S650*$AA$1075</f>
        <v>2.1206453334193434</v>
      </c>
      <c r="V650" s="319">
        <f>EnthalpyV(V645,V647)</f>
        <v>2500.3977354876192</v>
      </c>
      <c r="W650" s="319" t="s">
        <v>2922</v>
      </c>
      <c r="X650" s="319"/>
      <c r="Y650" s="319"/>
      <c r="Z650" s="319"/>
      <c r="AA650" s="319"/>
      <c r="AB650" s="319"/>
      <c r="AC650" s="319"/>
      <c r="AD650" s="319"/>
      <c r="AE650" s="319"/>
      <c r="AF650" s="319"/>
      <c r="AG650" s="319"/>
      <c r="AH650" s="319"/>
      <c r="AI650" s="319"/>
      <c r="AJ650" s="319"/>
      <c r="AK650" s="319"/>
      <c r="AL650" s="319"/>
      <c r="AM650" s="319"/>
      <c r="AN650" s="319"/>
      <c r="AO650" s="319">
        <v>2060020</v>
      </c>
      <c r="AP650" s="319"/>
      <c r="AQ650" s="319"/>
      <c r="AR650" s="319"/>
      <c r="AS650" s="319"/>
      <c r="AT650" s="319"/>
      <c r="AU650" s="319"/>
      <c r="AV650" s="319"/>
      <c r="AW650" s="319"/>
      <c r="AX650" s="319"/>
      <c r="AY650" s="319"/>
      <c r="AZ650" s="319"/>
      <c r="BA650" s="319"/>
      <c r="BB650" s="319"/>
      <c r="BC650" s="319"/>
      <c r="BD650" s="319"/>
      <c r="BE650" s="319"/>
      <c r="BF650" s="319"/>
      <c r="BG650" s="319"/>
      <c r="BH650" s="319"/>
      <c r="BI650" s="319"/>
      <c r="BJ650" s="319"/>
      <c r="BK650" s="319"/>
      <c r="BL650" s="319"/>
      <c r="BM650" s="319"/>
      <c r="BN650" s="319"/>
      <c r="BO650" s="319"/>
      <c r="BP650" s="319"/>
      <c r="BQ650" s="319"/>
      <c r="BR650" s="319"/>
      <c r="BS650" s="319"/>
      <c r="BT650" s="319"/>
      <c r="BU650" s="319"/>
      <c r="BV650" s="319"/>
      <c r="BW650" s="319"/>
      <c r="BX650" s="319"/>
      <c r="BY650" s="319"/>
      <c r="BZ650" s="319"/>
      <c r="CA650" s="319"/>
      <c r="CB650" s="319"/>
      <c r="CC650" s="319"/>
      <c r="CD650" s="319"/>
      <c r="CE650" s="319"/>
      <c r="CF650" s="319"/>
    </row>
    <row r="651" spans="1:84" ht="12.75" hidden="1" customHeight="1">
      <c r="A651" s="12"/>
      <c r="B651" s="28" t="str">
        <f>Language!C439</f>
        <v>Porta de extração</v>
      </c>
      <c r="C651" s="1"/>
      <c r="D651" s="303" t="s">
        <v>6132</v>
      </c>
      <c r="E651" s="1"/>
      <c r="F651" s="1"/>
      <c r="G651" s="1"/>
      <c r="H651" s="1"/>
      <c r="I651" s="1"/>
      <c r="J651" s="1"/>
      <c r="K651" s="9"/>
      <c r="L651" s="1"/>
      <c r="M651" s="319">
        <f>IF(D651="",1,MATCH(D651,YesNo,0))</f>
        <v>2</v>
      </c>
      <c r="N651" s="319"/>
      <c r="O651" s="319" t="s">
        <v>5084</v>
      </c>
      <c r="P651" s="319"/>
      <c r="Q651" s="319"/>
      <c r="R651" s="319"/>
      <c r="S651" s="319"/>
      <c r="T651" s="319"/>
      <c r="U651" s="319"/>
      <c r="V651" s="319">
        <f>entropyV(V645,V647)</f>
        <v>8.8787178819601049</v>
      </c>
      <c r="W651" s="319" t="s">
        <v>2923</v>
      </c>
      <c r="X651" s="319"/>
      <c r="Y651" s="319"/>
      <c r="Z651" s="319"/>
      <c r="AA651" s="319"/>
      <c r="AB651" s="319"/>
      <c r="AC651" s="319"/>
      <c r="AD651" s="319"/>
      <c r="AE651" s="319"/>
      <c r="AF651" s="319"/>
      <c r="AG651" s="319"/>
      <c r="AH651" s="319"/>
      <c r="AI651" s="319"/>
      <c r="AJ651" s="319"/>
      <c r="AK651" s="319"/>
      <c r="AL651" s="319"/>
      <c r="AM651" s="319"/>
      <c r="AN651" s="319"/>
      <c r="AO651" s="319">
        <v>2060022</v>
      </c>
      <c r="AP651" s="319"/>
      <c r="AQ651" s="319"/>
      <c r="AR651" s="319"/>
      <c r="AS651" s="319"/>
      <c r="AT651" s="319"/>
      <c r="AU651" s="319"/>
      <c r="AV651" s="319"/>
      <c r="AW651" s="319"/>
      <c r="AX651" s="319"/>
      <c r="AY651" s="319"/>
      <c r="AZ651" s="319"/>
      <c r="BA651" s="319"/>
      <c r="BB651" s="319"/>
      <c r="BC651" s="319"/>
      <c r="BD651" s="319"/>
      <c r="BE651" s="319"/>
      <c r="BF651" s="319"/>
      <c r="BG651" s="319"/>
      <c r="BH651" s="319"/>
      <c r="BI651" s="319"/>
      <c r="BJ651" s="319"/>
      <c r="BK651" s="319"/>
      <c r="BL651" s="319"/>
      <c r="BM651" s="319"/>
      <c r="BN651" s="319"/>
      <c r="BO651" s="319"/>
      <c r="BP651" s="319"/>
      <c r="BQ651" s="319"/>
      <c r="BR651" s="319"/>
      <c r="BS651" s="319"/>
      <c r="BT651" s="319"/>
      <c r="BU651" s="319"/>
      <c r="BV651" s="319"/>
      <c r="BW651" s="319"/>
      <c r="BX651" s="319"/>
      <c r="BY651" s="319"/>
      <c r="BZ651" s="319"/>
      <c r="CA651" s="319"/>
      <c r="CB651" s="319"/>
      <c r="CC651" s="319"/>
      <c r="CD651" s="319"/>
      <c r="CE651" s="319"/>
      <c r="CF651" s="319"/>
    </row>
    <row r="652" spans="1:84" ht="12.75" hidden="1" customHeight="1">
      <c r="A652" s="12"/>
      <c r="B652" s="329" t="str">
        <f>Language!C440</f>
        <v>Extração máxima</v>
      </c>
      <c r="C652" s="29" t="str">
        <f>$T$35</f>
        <v>%</v>
      </c>
      <c r="D652" s="422"/>
      <c r="E652" s="1"/>
      <c r="F652" s="1"/>
      <c r="G652" s="1"/>
      <c r="H652" s="1"/>
      <c r="I652" s="1"/>
      <c r="J652" s="1"/>
      <c r="K652" s="9"/>
      <c r="L652" s="1"/>
      <c r="M652" s="319"/>
      <c r="N652" s="319"/>
      <c r="O652" s="319"/>
      <c r="P652" s="319"/>
      <c r="Q652" s="319"/>
      <c r="R652" s="319"/>
      <c r="S652" s="319"/>
      <c r="T652" s="319"/>
      <c r="U652" s="319"/>
      <c r="V652" s="319">
        <f>IF(HideCodeES_Extract_GTCC2=1,D652,0)</f>
        <v>0</v>
      </c>
      <c r="W652" s="319"/>
      <c r="X652" s="319"/>
      <c r="Y652" s="319"/>
      <c r="Z652" s="319"/>
      <c r="AA652" s="319"/>
      <c r="AB652" s="319"/>
      <c r="AC652" s="319"/>
      <c r="AD652" s="319"/>
      <c r="AE652" s="319"/>
      <c r="AF652" s="319"/>
      <c r="AG652" s="319"/>
      <c r="AH652" s="319"/>
      <c r="AI652" s="319"/>
      <c r="AJ652" s="319"/>
      <c r="AK652" s="319"/>
      <c r="AL652" s="319"/>
      <c r="AM652" s="319"/>
      <c r="AN652" s="319"/>
      <c r="AO652" s="319">
        <v>2060024</v>
      </c>
      <c r="AP652" s="319"/>
      <c r="AQ652" s="319"/>
      <c r="AR652" s="319"/>
      <c r="AS652" s="319"/>
      <c r="AT652" s="319"/>
      <c r="AU652" s="319"/>
      <c r="AV652" s="319"/>
      <c r="AW652" s="319"/>
      <c r="AX652" s="319"/>
      <c r="AY652" s="319"/>
      <c r="AZ652" s="319"/>
      <c r="BA652" s="319"/>
      <c r="BB652" s="319"/>
      <c r="BC652" s="319"/>
      <c r="BD652" s="319"/>
      <c r="BE652" s="319"/>
      <c r="BF652" s="319"/>
      <c r="BG652" s="319"/>
      <c r="BH652" s="319"/>
      <c r="BI652" s="319"/>
      <c r="BJ652" s="319"/>
      <c r="BK652" s="319"/>
      <c r="BL652" s="319"/>
      <c r="BM652" s="319"/>
      <c r="BN652" s="319"/>
      <c r="BO652" s="319"/>
      <c r="BP652" s="319"/>
      <c r="BQ652" s="319"/>
      <c r="BR652" s="319"/>
      <c r="BS652" s="319"/>
      <c r="BT652" s="319"/>
      <c r="BU652" s="319"/>
      <c r="BV652" s="319"/>
      <c r="BW652" s="319"/>
      <c r="BX652" s="319"/>
      <c r="BY652" s="319"/>
      <c r="BZ652" s="319"/>
      <c r="CA652" s="319"/>
      <c r="CB652" s="319"/>
      <c r="CC652" s="319"/>
      <c r="CD652" s="319"/>
      <c r="CE652" s="319"/>
      <c r="CF652" s="319"/>
    </row>
    <row r="653" spans="1:84" ht="12.75" hidden="1" customHeight="1">
      <c r="A653" s="12"/>
      <c r="B653" s="329" t="str">
        <f>Language!C441</f>
        <v>Extração</v>
      </c>
      <c r="C653" s="29" t="str">
        <f>IF(Unit=TRUE,R653,T653)</f>
        <v>kg/h</v>
      </c>
      <c r="D653" s="30">
        <f>IF(Unit=TRUE,S653,U653)</f>
        <v>0</v>
      </c>
      <c r="E653" s="1"/>
      <c r="F653" s="29" t="str">
        <f>IF($M$3=FALSE,"",IF(Unit=FALSE,R653,T653))</f>
        <v/>
      </c>
      <c r="G653" s="140" t="str">
        <f>IF($M$3=FALSE,"",IF(Unit=FALSE,S653,U653))</f>
        <v/>
      </c>
      <c r="H653" s="1"/>
      <c r="I653" s="1"/>
      <c r="J653" s="1"/>
      <c r="K653" s="9"/>
      <c r="L653" s="1"/>
      <c r="M653" s="319"/>
      <c r="N653" s="319"/>
      <c r="O653" s="319"/>
      <c r="P653" s="319"/>
      <c r="Q653" s="319"/>
      <c r="R653" s="319" t="str">
        <f>$R$89</f>
        <v>kg/h</v>
      </c>
      <c r="S653" s="319">
        <f>V652*S648</f>
        <v>0</v>
      </c>
      <c r="T653" s="319" t="str">
        <f>$T$89</f>
        <v>lb/h</v>
      </c>
      <c r="U653" s="319">
        <f>S653/$AA$1085</f>
        <v>0</v>
      </c>
      <c r="V653" s="319"/>
      <c r="W653" s="319"/>
      <c r="X653" s="319"/>
      <c r="Y653" s="319"/>
      <c r="Z653" s="319"/>
      <c r="AA653" s="319"/>
      <c r="AB653" s="319"/>
      <c r="AC653" s="319"/>
      <c r="AD653" s="319"/>
      <c r="AE653" s="319"/>
      <c r="AF653" s="319"/>
      <c r="AG653" s="319"/>
      <c r="AH653" s="319"/>
      <c r="AI653" s="319"/>
      <c r="AJ653" s="319"/>
      <c r="AK653" s="319"/>
      <c r="AL653" s="319"/>
      <c r="AM653" s="319"/>
      <c r="AN653" s="319"/>
      <c r="AO653" s="319">
        <v>2060026</v>
      </c>
      <c r="AP653" s="319"/>
      <c r="AQ653" s="319"/>
      <c r="AR653" s="319"/>
      <c r="AS653" s="319"/>
      <c r="AT653" s="319"/>
      <c r="AU653" s="319"/>
      <c r="AV653" s="319"/>
      <c r="AW653" s="319"/>
      <c r="AX653" s="319"/>
      <c r="AY653" s="319"/>
      <c r="AZ653" s="319"/>
      <c r="BA653" s="319"/>
      <c r="BB653" s="319"/>
      <c r="BC653" s="319"/>
      <c r="BD653" s="319"/>
      <c r="BE653" s="319"/>
      <c r="BF653" s="319"/>
      <c r="BG653" s="319"/>
      <c r="BH653" s="319"/>
      <c r="BI653" s="319"/>
      <c r="BJ653" s="319"/>
      <c r="BK653" s="319"/>
      <c r="BL653" s="319"/>
      <c r="BM653" s="319"/>
      <c r="BN653" s="319"/>
      <c r="BO653" s="319"/>
      <c r="BP653" s="319"/>
      <c r="BQ653" s="319"/>
      <c r="BR653" s="319"/>
      <c r="BS653" s="319"/>
      <c r="BT653" s="319"/>
      <c r="BU653" s="319"/>
      <c r="BV653" s="319"/>
      <c r="BW653" s="319"/>
      <c r="BX653" s="319"/>
      <c r="BY653" s="319"/>
      <c r="BZ653" s="319"/>
      <c r="CA653" s="319"/>
      <c r="CB653" s="319"/>
      <c r="CC653" s="319"/>
      <c r="CD653" s="319"/>
      <c r="CE653" s="319"/>
      <c r="CF653" s="319"/>
    </row>
    <row r="654" spans="1:84" ht="12.75" hidden="1" customHeight="1">
      <c r="A654" s="12"/>
      <c r="B654" s="329" t="str">
        <f>Language!C442</f>
        <v>Pressão da extração</v>
      </c>
      <c r="C654" s="303" t="s">
        <v>741</v>
      </c>
      <c r="D654" s="307"/>
      <c r="E654" s="1"/>
      <c r="F654" s="1"/>
      <c r="G654" s="1"/>
      <c r="H654" s="1"/>
      <c r="I654" s="1"/>
      <c r="J654" s="1"/>
      <c r="K654" s="788" t="str">
        <f>IF(V654=SteamP,$G$1088,IF(V654&lt;=V659,Language!C485,""))</f>
        <v>Pressão está fora do intervalo válido</v>
      </c>
      <c r="L654" s="1"/>
      <c r="M654" s="319"/>
      <c r="N654" s="319"/>
      <c r="O654" s="319"/>
      <c r="P654" s="319"/>
      <c r="Q654" s="319"/>
      <c r="R654" s="319"/>
      <c r="S654" s="319"/>
      <c r="T654" s="319"/>
      <c r="U654" s="319"/>
      <c r="V654" s="319">
        <f>IF(IF(C654=$Z$1061,D654/1000,IF(C654=$Z$1062,(D654+$AA$1069)/$Y$1069/10,IF(C654=$Z$1063,D654/$Y$1069/10,IF(C654=$Z$1064,D654/$AA$1064,D654/$AA$1065/10))))&lt;SteamP,SteamP,IF(C654=$Z$1061,D654/1000,IF(C654=$Z$1062,(D654+$AA$1069)/$Y$1069/10,IF(C654=$Z$1063,D654/$Y$1069/10,IF(C654=$Z$1064,D654/$AA$1064,D654/$AA$1065/10)))))</f>
        <v>1.1100000000000001E-3</v>
      </c>
      <c r="W654" s="319" t="s">
        <v>3345</v>
      </c>
      <c r="X654" s="319"/>
      <c r="Y654" s="319"/>
      <c r="Z654" s="319"/>
      <c r="AA654" s="319"/>
      <c r="AB654" s="319"/>
      <c r="AC654" s="319"/>
      <c r="AD654" s="319"/>
      <c r="AE654" s="319"/>
      <c r="AF654" s="319"/>
      <c r="AG654" s="319"/>
      <c r="AH654" s="319"/>
      <c r="AI654" s="319"/>
      <c r="AJ654" s="319"/>
      <c r="AK654" s="319"/>
      <c r="AL654" s="319"/>
      <c r="AM654" s="319"/>
      <c r="AN654" s="319"/>
      <c r="AO654" s="319">
        <v>2060028</v>
      </c>
      <c r="AP654" s="319"/>
      <c r="AQ654" s="319"/>
      <c r="AR654" s="319"/>
      <c r="AS654" s="319"/>
      <c r="AT654" s="319"/>
      <c r="AU654" s="319"/>
      <c r="AV654" s="319"/>
      <c r="AW654" s="319"/>
      <c r="AX654" s="319"/>
      <c r="AY654" s="319"/>
      <c r="AZ654" s="319"/>
      <c r="BA654" s="319"/>
      <c r="BB654" s="319"/>
      <c r="BC654" s="319"/>
      <c r="BD654" s="319"/>
      <c r="BE654" s="319"/>
      <c r="BF654" s="319"/>
      <c r="BG654" s="319"/>
      <c r="BH654" s="319"/>
      <c r="BI654" s="319"/>
      <c r="BJ654" s="319"/>
      <c r="BK654" s="319"/>
      <c r="BL654" s="319"/>
      <c r="BM654" s="319"/>
      <c r="BN654" s="319"/>
      <c r="BO654" s="319"/>
      <c r="BP654" s="319"/>
      <c r="BQ654" s="319"/>
      <c r="BR654" s="319"/>
      <c r="BS654" s="319"/>
      <c r="BT654" s="319"/>
      <c r="BU654" s="319"/>
      <c r="BV654" s="319"/>
      <c r="BW654" s="319"/>
      <c r="BX654" s="319"/>
      <c r="BY654" s="319"/>
      <c r="BZ654" s="319"/>
      <c r="CA654" s="319"/>
      <c r="CB654" s="319"/>
      <c r="CC654" s="319"/>
      <c r="CD654" s="319"/>
      <c r="CE654" s="319"/>
      <c r="CF654" s="319"/>
    </row>
    <row r="655" spans="1:84" ht="12.75" hidden="1" customHeight="1">
      <c r="A655" s="12"/>
      <c r="B655" s="329" t="str">
        <f>B138</f>
        <v>Temperatura</v>
      </c>
      <c r="C655" s="29" t="str">
        <f>IF(Unit=TRUE,R655,T655)</f>
        <v>°C</v>
      </c>
      <c r="D655" s="30">
        <f>IF(Unit=TRUE,S655,U655)</f>
        <v>8.4990758364950239</v>
      </c>
      <c r="E655" s="1"/>
      <c r="F655" s="29" t="str">
        <f>IF($M$3=FALSE,"",IF(Unit=FALSE,R655,T655))</f>
        <v/>
      </c>
      <c r="G655" s="140" t="str">
        <f>IF($M$3=FALSE,"",IF(Unit=FALSE,S655,U655))</f>
        <v/>
      </c>
      <c r="H655" s="1"/>
      <c r="I655" s="1"/>
      <c r="J655" s="1"/>
      <c r="K655" s="9"/>
      <c r="L655" s="1"/>
      <c r="M655" s="319"/>
      <c r="N655" s="319"/>
      <c r="O655" s="319"/>
      <c r="P655" s="319"/>
      <c r="Q655" s="319"/>
      <c r="R655" s="319" t="str">
        <f>$R$86</f>
        <v>°C</v>
      </c>
      <c r="S655" s="319">
        <f>V655-$AA$1090</f>
        <v>8.4990758364950239</v>
      </c>
      <c r="T655" s="319" t="str">
        <f>$T$86</f>
        <v>°F</v>
      </c>
      <c r="U655" s="319">
        <f>S655*1.8+32</f>
        <v>47.29833650569104</v>
      </c>
      <c r="V655" s="319">
        <f>Tsat(V654)</f>
        <v>281.649075836495</v>
      </c>
      <c r="W655" s="319" t="s">
        <v>143</v>
      </c>
      <c r="X655" s="319"/>
      <c r="Y655" s="319"/>
      <c r="Z655" s="319"/>
      <c r="AA655" s="319"/>
      <c r="AB655" s="319"/>
      <c r="AC655" s="319"/>
      <c r="AD655" s="319"/>
      <c r="AE655" s="319"/>
      <c r="AF655" s="319"/>
      <c r="AG655" s="319"/>
      <c r="AH655" s="319"/>
      <c r="AI655" s="319"/>
      <c r="AJ655" s="319"/>
      <c r="AK655" s="319"/>
      <c r="AL655" s="319"/>
      <c r="AM655" s="319"/>
      <c r="AN655" s="319"/>
      <c r="AO655" s="319">
        <v>2060030</v>
      </c>
      <c r="AP655" s="319"/>
      <c r="AQ655" s="319"/>
      <c r="AR655" s="319"/>
      <c r="AS655" s="319"/>
      <c r="AT655" s="319"/>
      <c r="AU655" s="319"/>
      <c r="AV655" s="319"/>
      <c r="AW655" s="319"/>
      <c r="AX655" s="319"/>
      <c r="AY655" s="319"/>
      <c r="AZ655" s="319"/>
      <c r="BA655" s="319"/>
      <c r="BB655" s="319"/>
      <c r="BC655" s="319"/>
      <c r="BD655" s="319"/>
      <c r="BE655" s="319"/>
      <c r="BF655" s="319"/>
      <c r="BG655" s="319"/>
      <c r="BH655" s="319"/>
      <c r="BI655" s="319"/>
      <c r="BJ655" s="319"/>
      <c r="BK655" s="319"/>
      <c r="BL655" s="319"/>
      <c r="BM655" s="319"/>
      <c r="BN655" s="319"/>
      <c r="BO655" s="319"/>
      <c r="BP655" s="319"/>
      <c r="BQ655" s="319"/>
      <c r="BR655" s="319"/>
      <c r="BS655" s="319"/>
      <c r="BT655" s="319"/>
      <c r="BU655" s="319"/>
      <c r="BV655" s="319"/>
      <c r="BW655" s="319"/>
      <c r="BX655" s="319"/>
      <c r="BY655" s="319"/>
      <c r="BZ655" s="319"/>
      <c r="CA655" s="319"/>
      <c r="CB655" s="319"/>
      <c r="CC655" s="319"/>
      <c r="CD655" s="319"/>
      <c r="CE655" s="319"/>
      <c r="CF655" s="319"/>
    </row>
    <row r="656" spans="1:84" ht="12.75" hidden="1" customHeight="1">
      <c r="A656" s="12"/>
      <c r="B656" s="329" t="str">
        <f>B139</f>
        <v>Qualidade da mistura</v>
      </c>
      <c r="C656" s="29" t="s">
        <v>637</v>
      </c>
      <c r="D656" s="284">
        <f>V656</f>
        <v>0.9934117547612823</v>
      </c>
      <c r="E656" s="1"/>
      <c r="F656" s="1"/>
      <c r="G656" s="1"/>
      <c r="H656" s="1"/>
      <c r="I656" s="1"/>
      <c r="J656" s="1"/>
      <c r="K656" s="788" t="str">
        <f>IF(D656&lt;1,$G$1091,"")</f>
        <v>Vapor está húmido</v>
      </c>
      <c r="L656" s="1"/>
      <c r="M656" s="319"/>
      <c r="N656" s="319"/>
      <c r="O656" s="319"/>
      <c r="P656" s="319"/>
      <c r="Q656" s="319"/>
      <c r="R656" s="319"/>
      <c r="S656" s="319"/>
      <c r="T656" s="319"/>
      <c r="U656" s="319"/>
      <c r="V656" s="319">
        <f>(entropyV(V645,V647)-entropyF(V654,V655))/(entropyV(V654,V655)-entropyF(V654,V655))</f>
        <v>0.9934117547612823</v>
      </c>
      <c r="W656" s="319"/>
      <c r="X656" s="319"/>
      <c r="Y656" s="319"/>
      <c r="Z656" s="319"/>
      <c r="AA656" s="319"/>
      <c r="AB656" s="319"/>
      <c r="AC656" s="319"/>
      <c r="AD656" s="319"/>
      <c r="AE656" s="319"/>
      <c r="AF656" s="319"/>
      <c r="AG656" s="319"/>
      <c r="AH656" s="319"/>
      <c r="AI656" s="319"/>
      <c r="AJ656" s="319"/>
      <c r="AK656" s="319"/>
      <c r="AL656" s="319"/>
      <c r="AM656" s="319"/>
      <c r="AN656" s="319"/>
      <c r="AO656" s="319">
        <v>2060032</v>
      </c>
      <c r="AP656" s="319"/>
      <c r="AQ656" s="319"/>
      <c r="AR656" s="319"/>
      <c r="AS656" s="319"/>
      <c r="AT656" s="319"/>
      <c r="AU656" s="319"/>
      <c r="AV656" s="319"/>
      <c r="AW656" s="319"/>
      <c r="AX656" s="319"/>
      <c r="AY656" s="319"/>
      <c r="AZ656" s="319"/>
      <c r="BA656" s="319"/>
      <c r="BB656" s="319"/>
      <c r="BC656" s="319"/>
      <c r="BD656" s="319"/>
      <c r="BE656" s="319"/>
      <c r="BF656" s="319"/>
      <c r="BG656" s="319"/>
      <c r="BH656" s="319"/>
      <c r="BI656" s="319"/>
      <c r="BJ656" s="319"/>
      <c r="BK656" s="319"/>
      <c r="BL656" s="319"/>
      <c r="BM656" s="319"/>
      <c r="BN656" s="319"/>
      <c r="BO656" s="319"/>
      <c r="BP656" s="319"/>
      <c r="BQ656" s="319"/>
      <c r="BR656" s="319"/>
      <c r="BS656" s="319"/>
      <c r="BT656" s="319"/>
      <c r="BU656" s="319"/>
      <c r="BV656" s="319"/>
      <c r="BW656" s="319"/>
      <c r="BX656" s="319"/>
      <c r="BY656" s="319"/>
      <c r="BZ656" s="319"/>
      <c r="CA656" s="319"/>
      <c r="CB656" s="319"/>
      <c r="CC656" s="319"/>
      <c r="CD656" s="319"/>
      <c r="CE656" s="319"/>
      <c r="CF656" s="319"/>
    </row>
    <row r="657" spans="1:84" ht="12.75" hidden="1" customHeight="1">
      <c r="A657" s="12"/>
      <c r="B657" s="329" t="str">
        <f>B132</f>
        <v>Entalpia</v>
      </c>
      <c r="C657" s="29" t="str">
        <f>IF(Unit=TRUE,R657,T657)</f>
        <v>kJ/kg</v>
      </c>
      <c r="D657" s="30">
        <f>IF(Unit=TRUE,S657,U657)</f>
        <v>2500.1495435522315</v>
      </c>
      <c r="E657" s="1"/>
      <c r="F657" s="29" t="str">
        <f>IF($M$3=FALSE,"",IF(Unit=FALSE,R657,T657))</f>
        <v/>
      </c>
      <c r="G657" s="140" t="str">
        <f>IF($M$3=FALSE,"",IF(Unit=FALSE,S657,U657))</f>
        <v/>
      </c>
      <c r="H657" s="1"/>
      <c r="I657" s="1"/>
      <c r="J657" s="1"/>
      <c r="K657" s="9"/>
      <c r="L657" s="1"/>
      <c r="M657" s="319"/>
      <c r="N657" s="319"/>
      <c r="O657" s="319"/>
      <c r="P657" s="319"/>
      <c r="Q657" s="319"/>
      <c r="R657" s="319" t="str">
        <f>$R$132</f>
        <v>kJ/kg</v>
      </c>
      <c r="S657" s="319">
        <f>V657</f>
        <v>2500.1495435522315</v>
      </c>
      <c r="T657" s="319" t="str">
        <f>$T$132</f>
        <v>Btu/lb</v>
      </c>
      <c r="U657" s="319">
        <f>S657*$AA$1073</f>
        <v>1074.8708269786036</v>
      </c>
      <c r="V657" s="319">
        <f>EnthalpyF(V654,V655)+V656*(EnthalpyV(V654,V655)-EnthalpyF(V654,V655))</f>
        <v>2500.1495435522315</v>
      </c>
      <c r="W657" s="319" t="s">
        <v>2922</v>
      </c>
      <c r="X657" s="319"/>
      <c r="Y657" s="319"/>
      <c r="Z657" s="319"/>
      <c r="AA657" s="319"/>
      <c r="AB657" s="319"/>
      <c r="AC657" s="319"/>
      <c r="AD657" s="319"/>
      <c r="AE657" s="319"/>
      <c r="AF657" s="319"/>
      <c r="AG657" s="319"/>
      <c r="AH657" s="319"/>
      <c r="AI657" s="319"/>
      <c r="AJ657" s="319"/>
      <c r="AK657" s="319"/>
      <c r="AL657" s="319"/>
      <c r="AM657" s="319"/>
      <c r="AN657" s="319"/>
      <c r="AO657" s="319">
        <v>2060034</v>
      </c>
      <c r="AP657" s="319"/>
      <c r="AQ657" s="319"/>
      <c r="AR657" s="319"/>
      <c r="AS657" s="319"/>
      <c r="AT657" s="319"/>
      <c r="AU657" s="319"/>
      <c r="AV657" s="319"/>
      <c r="AW657" s="319"/>
      <c r="AX657" s="319"/>
      <c r="AY657" s="319"/>
      <c r="AZ657" s="319"/>
      <c r="BA657" s="319"/>
      <c r="BB657" s="319"/>
      <c r="BC657" s="319"/>
      <c r="BD657" s="319"/>
      <c r="BE657" s="319"/>
      <c r="BF657" s="319"/>
      <c r="BG657" s="319"/>
      <c r="BH657" s="319"/>
      <c r="BI657" s="319"/>
      <c r="BJ657" s="319"/>
      <c r="BK657" s="319"/>
      <c r="BL657" s="319"/>
      <c r="BM657" s="319"/>
      <c r="BN657" s="319"/>
      <c r="BO657" s="319"/>
      <c r="BP657" s="319"/>
      <c r="BQ657" s="319"/>
      <c r="BR657" s="319"/>
      <c r="BS657" s="319"/>
      <c r="BT657" s="319"/>
      <c r="BU657" s="319"/>
      <c r="BV657" s="319"/>
      <c r="BW657" s="319"/>
      <c r="BX657" s="319"/>
      <c r="BY657" s="319"/>
      <c r="BZ657" s="319"/>
      <c r="CA657" s="319"/>
      <c r="CB657" s="319"/>
      <c r="CC657" s="319"/>
      <c r="CD657" s="319"/>
      <c r="CE657" s="319"/>
      <c r="CF657" s="319"/>
    </row>
    <row r="658" spans="1:84" ht="12.75" hidden="1" customHeight="1">
      <c r="A658" s="12"/>
      <c r="B658" s="329" t="str">
        <f>B141</f>
        <v>Taxa teórica de produção do vapor</v>
      </c>
      <c r="C658" s="29" t="str">
        <f>IF(Unit=TRUE,R658,T658)</f>
        <v>kg/kWh</v>
      </c>
      <c r="D658" s="100">
        <f>IF(Unit=TRUE,S658,U658)</f>
        <v>14504.903208786885</v>
      </c>
      <c r="E658" s="1"/>
      <c r="F658" s="29" t="str">
        <f>IF($M$3=FALSE,"",IF(Unit=FALSE,R658,T658))</f>
        <v/>
      </c>
      <c r="G658" s="140" t="str">
        <f>IF($M$3=FALSE,"",IF(Unit=FALSE,S658,U658))</f>
        <v/>
      </c>
      <c r="H658" s="1"/>
      <c r="I658" s="1"/>
      <c r="J658" s="1"/>
      <c r="K658" s="9"/>
      <c r="L658" s="1"/>
      <c r="M658" s="319"/>
      <c r="N658" s="319"/>
      <c r="O658" s="319"/>
      <c r="P658" s="319"/>
      <c r="Q658" s="319"/>
      <c r="R658" s="319" t="str">
        <f>$R$141</f>
        <v>kg/kWh</v>
      </c>
      <c r="S658" s="319">
        <f>$V658</f>
        <v>14504.903208786885</v>
      </c>
      <c r="T658" s="319" t="str">
        <f>$T$141</f>
        <v>lb/kWh</v>
      </c>
      <c r="U658" s="319">
        <f>S658/$AA$1085</f>
        <v>31977.837741818465</v>
      </c>
      <c r="V658" s="319">
        <f>3600/(V650-V657)</f>
        <v>14504.903208786885</v>
      </c>
      <c r="W658" s="319" t="s">
        <v>5699</v>
      </c>
      <c r="X658" s="319"/>
      <c r="Y658" s="319"/>
      <c r="Z658" s="319"/>
      <c r="AA658" s="319"/>
      <c r="AB658" s="319"/>
      <c r="AC658" s="319"/>
      <c r="AD658" s="319"/>
      <c r="AE658" s="319"/>
      <c r="AF658" s="319"/>
      <c r="AG658" s="319"/>
      <c r="AH658" s="319"/>
      <c r="AI658" s="319"/>
      <c r="AJ658" s="319"/>
      <c r="AK658" s="319"/>
      <c r="AL658" s="319"/>
      <c r="AM658" s="319"/>
      <c r="AN658" s="319"/>
      <c r="AO658" s="319">
        <v>2060036</v>
      </c>
      <c r="AP658" s="319"/>
      <c r="AQ658" s="319"/>
      <c r="AR658" s="319"/>
      <c r="AS658" s="319"/>
      <c r="AT658" s="319"/>
      <c r="AU658" s="319"/>
      <c r="AV658" s="319"/>
      <c r="AW658" s="319"/>
      <c r="AX658" s="319"/>
      <c r="AY658" s="319"/>
      <c r="AZ658" s="319"/>
      <c r="BA658" s="319"/>
      <c r="BB658" s="319"/>
      <c r="BC658" s="319"/>
      <c r="BD658" s="319"/>
      <c r="BE658" s="319"/>
      <c r="BF658" s="319"/>
      <c r="BG658" s="319"/>
      <c r="BH658" s="319"/>
      <c r="BI658" s="319"/>
      <c r="BJ658" s="319"/>
      <c r="BK658" s="319"/>
      <c r="BL658" s="319"/>
      <c r="BM658" s="319"/>
      <c r="BN658" s="319"/>
      <c r="BO658" s="319"/>
      <c r="BP658" s="319"/>
      <c r="BQ658" s="319"/>
      <c r="BR658" s="319"/>
      <c r="BS658" s="319"/>
      <c r="BT658" s="319"/>
      <c r="BU658" s="319"/>
      <c r="BV658" s="319"/>
      <c r="BW658" s="319"/>
      <c r="BX658" s="319"/>
      <c r="BY658" s="319"/>
      <c r="BZ658" s="319"/>
      <c r="CA658" s="319"/>
      <c r="CB658" s="319"/>
      <c r="CC658" s="319"/>
      <c r="CD658" s="319"/>
      <c r="CE658" s="319"/>
      <c r="CF658" s="319"/>
    </row>
    <row r="659" spans="1:84" ht="12.75" hidden="1" customHeight="1">
      <c r="A659" s="12"/>
      <c r="B659" s="28" t="str">
        <f>Language!C446</f>
        <v>Saída da turbina - pressão de vapor</v>
      </c>
      <c r="C659" s="303" t="s">
        <v>741</v>
      </c>
      <c r="D659" s="382"/>
      <c r="E659" s="1"/>
      <c r="F659" s="1"/>
      <c r="G659" s="1"/>
      <c r="H659" s="1"/>
      <c r="I659" s="1"/>
      <c r="J659" s="1"/>
      <c r="K659" s="789" t="str">
        <f>IF(R659&gt;O654,$G$1092,"")</f>
        <v/>
      </c>
      <c r="L659" s="1"/>
      <c r="M659" s="319"/>
      <c r="N659" s="319"/>
      <c r="O659" s="319"/>
      <c r="P659" s="319"/>
      <c r="Q659" s="319"/>
      <c r="R659" s="319"/>
      <c r="S659" s="319"/>
      <c r="T659" s="319"/>
      <c r="U659" s="319"/>
      <c r="V659" s="319">
        <f>IF(IF(C659=$Z$1061,D659/1000,IF(C659=$Z$1062,(D659+$AA$1069)/$Y$1069/10,IF(C659=$Z$1063,D659/$Y$1069/10,IF(C659=$Z$1064,D659/$AA$1064,D659/$AA$1065/10))))&lt;SteamP,SteamP,IF(C659=$Z$1061,D659/1000,IF(C659=$Z$1062,(D659+$AA$1069)/$Y$1069/10,IF(C659=$Z$1063,D659/$Y$1069/10,IF(C659=$Z$1064,D659/$AA$1064,D659/$AA$1065/10)))))</f>
        <v>1.1100000000000001E-3</v>
      </c>
      <c r="W659" s="319" t="s">
        <v>3345</v>
      </c>
      <c r="X659" s="319"/>
      <c r="Y659" s="319"/>
      <c r="Z659" s="319"/>
      <c r="AA659" s="319"/>
      <c r="AB659" s="319"/>
      <c r="AC659" s="319"/>
      <c r="AD659" s="319"/>
      <c r="AE659" s="319"/>
      <c r="AF659" s="319"/>
      <c r="AG659" s="319"/>
      <c r="AH659" s="319"/>
      <c r="AI659" s="319"/>
      <c r="AJ659" s="319"/>
      <c r="AK659" s="319"/>
      <c r="AL659" s="319"/>
      <c r="AM659" s="319"/>
      <c r="AN659" s="319"/>
      <c r="AO659" s="319">
        <v>2060038</v>
      </c>
      <c r="AP659" s="319"/>
      <c r="AQ659" s="319"/>
      <c r="AR659" s="319"/>
      <c r="AS659" s="319"/>
      <c r="AT659" s="319"/>
      <c r="AU659" s="319"/>
      <c r="AV659" s="319"/>
      <c r="AW659" s="319"/>
      <c r="AX659" s="319"/>
      <c r="AY659" s="319"/>
      <c r="AZ659" s="319"/>
      <c r="BA659" s="319"/>
      <c r="BB659" s="319"/>
      <c r="BC659" s="319"/>
      <c r="BD659" s="319"/>
      <c r="BE659" s="319"/>
      <c r="BF659" s="319"/>
      <c r="BG659" s="319"/>
      <c r="BH659" s="319"/>
      <c r="BI659" s="319"/>
      <c r="BJ659" s="319"/>
      <c r="BK659" s="319"/>
      <c r="BL659" s="319"/>
      <c r="BM659" s="319"/>
      <c r="BN659" s="319"/>
      <c r="BO659" s="319"/>
      <c r="BP659" s="319"/>
      <c r="BQ659" s="319"/>
      <c r="BR659" s="319"/>
      <c r="BS659" s="319"/>
      <c r="BT659" s="319"/>
      <c r="BU659" s="319"/>
      <c r="BV659" s="319"/>
      <c r="BW659" s="319"/>
      <c r="BX659" s="319"/>
      <c r="BY659" s="319"/>
      <c r="BZ659" s="319"/>
      <c r="CA659" s="319"/>
      <c r="CB659" s="319"/>
      <c r="CC659" s="319"/>
      <c r="CD659" s="319"/>
      <c r="CE659" s="319"/>
      <c r="CF659" s="319"/>
    </row>
    <row r="660" spans="1:84" ht="12.75" hidden="1" customHeight="1">
      <c r="A660" s="12"/>
      <c r="B660" s="329" t="str">
        <f>B138</f>
        <v>Temperatura</v>
      </c>
      <c r="C660" s="29" t="str">
        <f>IF(Unit=TRUE,R660,T660)</f>
        <v>°C</v>
      </c>
      <c r="D660" s="30">
        <f>IF(Unit=TRUE,S660,U660)</f>
        <v>8.4990758364950239</v>
      </c>
      <c r="E660" s="1"/>
      <c r="F660" s="29" t="str">
        <f>IF($M$3=FALSE,"",IF(Unit=FALSE,R660,T660))</f>
        <v/>
      </c>
      <c r="G660" s="140" t="str">
        <f>IF($M$3=FALSE,"",IF(Unit=FALSE,S660,U660))</f>
        <v/>
      </c>
      <c r="H660" s="1"/>
      <c r="I660" s="1"/>
      <c r="J660" s="1"/>
      <c r="K660" s="9"/>
      <c r="L660" s="1"/>
      <c r="M660" s="319"/>
      <c r="N660" s="319"/>
      <c r="O660" s="319"/>
      <c r="P660" s="319"/>
      <c r="Q660" s="319"/>
      <c r="R660" s="319" t="str">
        <f>$R$86</f>
        <v>°C</v>
      </c>
      <c r="S660" s="319">
        <f>V660-$AA$1090</f>
        <v>8.4990758364950239</v>
      </c>
      <c r="T660" s="319" t="str">
        <f>$T$86</f>
        <v>°F</v>
      </c>
      <c r="U660" s="319">
        <f>S660*1.8+32</f>
        <v>47.29833650569104</v>
      </c>
      <c r="V660" s="319">
        <f>Tsat(V659)</f>
        <v>281.649075836495</v>
      </c>
      <c r="W660" s="319" t="s">
        <v>143</v>
      </c>
      <c r="X660" s="319"/>
      <c r="Y660" s="319"/>
      <c r="Z660" s="319"/>
      <c r="AA660" s="319"/>
      <c r="AB660" s="319"/>
      <c r="AC660" s="319"/>
      <c r="AD660" s="319"/>
      <c r="AE660" s="319"/>
      <c r="AF660" s="319"/>
      <c r="AG660" s="319"/>
      <c r="AH660" s="319"/>
      <c r="AI660" s="319"/>
      <c r="AJ660" s="319"/>
      <c r="AK660" s="319"/>
      <c r="AL660" s="319"/>
      <c r="AM660" s="319"/>
      <c r="AN660" s="319"/>
      <c r="AO660" s="319">
        <v>2060040</v>
      </c>
      <c r="AP660" s="319"/>
      <c r="AQ660" s="319"/>
      <c r="AR660" s="319"/>
      <c r="AS660" s="319"/>
      <c r="AT660" s="319"/>
      <c r="AU660" s="319"/>
      <c r="AV660" s="319"/>
      <c r="AW660" s="319"/>
      <c r="AX660" s="319"/>
      <c r="AY660" s="319"/>
      <c r="AZ660" s="319"/>
      <c r="BA660" s="319"/>
      <c r="BB660" s="319"/>
      <c r="BC660" s="319"/>
      <c r="BD660" s="319"/>
      <c r="BE660" s="319"/>
      <c r="BF660" s="319"/>
      <c r="BG660" s="319"/>
      <c r="BH660" s="319"/>
      <c r="BI660" s="319"/>
      <c r="BJ660" s="319"/>
      <c r="BK660" s="319"/>
      <c r="BL660" s="319"/>
      <c r="BM660" s="319"/>
      <c r="BN660" s="319"/>
      <c r="BO660" s="319"/>
      <c r="BP660" s="319"/>
      <c r="BQ660" s="319"/>
      <c r="BR660" s="319"/>
      <c r="BS660" s="319"/>
      <c r="BT660" s="319"/>
      <c r="BU660" s="319"/>
      <c r="BV660" s="319"/>
      <c r="BW660" s="319"/>
      <c r="BX660" s="319"/>
      <c r="BY660" s="319"/>
      <c r="BZ660" s="319"/>
      <c r="CA660" s="319"/>
      <c r="CB660" s="319"/>
      <c r="CC660" s="319"/>
      <c r="CD660" s="319"/>
      <c r="CE660" s="319"/>
      <c r="CF660" s="319"/>
    </row>
    <row r="661" spans="1:84" ht="12.75" hidden="1" customHeight="1">
      <c r="A661" s="12"/>
      <c r="B661" s="329" t="str">
        <f>B139</f>
        <v>Qualidade da mistura</v>
      </c>
      <c r="C661" s="29"/>
      <c r="D661" s="100">
        <f>V661</f>
        <v>0.9934117547612823</v>
      </c>
      <c r="E661" s="1"/>
      <c r="F661" s="1"/>
      <c r="G661" s="1"/>
      <c r="H661" s="1"/>
      <c r="I661" s="1"/>
      <c r="J661" s="1"/>
      <c r="K661" s="788" t="str">
        <f>IF(D661&lt;1,$G$1091,"")</f>
        <v>Vapor está húmido</v>
      </c>
      <c r="L661" s="1"/>
      <c r="M661" s="319"/>
      <c r="N661" s="319"/>
      <c r="O661" s="319"/>
      <c r="P661" s="319"/>
      <c r="Q661" s="319"/>
      <c r="R661" s="319"/>
      <c r="S661" s="319"/>
      <c r="T661" s="319"/>
      <c r="U661" s="319"/>
      <c r="V661" s="319">
        <f>(entropyV(V645,V647)-entropyF(V659,V660))/(entropyV(V659,V660)-entropyF(V659,V660))</f>
        <v>0.9934117547612823</v>
      </c>
      <c r="W661" s="319"/>
      <c r="X661" s="319"/>
      <c r="Y661" s="319"/>
      <c r="Z661" s="319"/>
      <c r="AA661" s="319"/>
      <c r="AB661" s="319"/>
      <c r="AC661" s="319"/>
      <c r="AD661" s="319"/>
      <c r="AE661" s="319"/>
      <c r="AF661" s="319"/>
      <c r="AG661" s="319"/>
      <c r="AH661" s="319"/>
      <c r="AI661" s="319"/>
      <c r="AJ661" s="319"/>
      <c r="AK661" s="319"/>
      <c r="AL661" s="319"/>
      <c r="AM661" s="319"/>
      <c r="AN661" s="319"/>
      <c r="AO661" s="319">
        <v>2060042</v>
      </c>
      <c r="AP661" s="319"/>
      <c r="AQ661" s="319"/>
      <c r="AR661" s="319"/>
      <c r="AS661" s="319"/>
      <c r="AT661" s="319"/>
      <c r="AU661" s="319"/>
      <c r="AV661" s="319"/>
      <c r="AW661" s="319"/>
      <c r="AX661" s="319"/>
      <c r="AY661" s="319"/>
      <c r="AZ661" s="319"/>
      <c r="BA661" s="319"/>
      <c r="BB661" s="319"/>
      <c r="BC661" s="319"/>
      <c r="BD661" s="319"/>
      <c r="BE661" s="319"/>
      <c r="BF661" s="319"/>
      <c r="BG661" s="319"/>
      <c r="BH661" s="319"/>
      <c r="BI661" s="319"/>
      <c r="BJ661" s="319"/>
      <c r="BK661" s="319"/>
      <c r="BL661" s="319"/>
      <c r="BM661" s="319"/>
      <c r="BN661" s="319"/>
      <c r="BO661" s="319"/>
      <c r="BP661" s="319"/>
      <c r="BQ661" s="319"/>
      <c r="BR661" s="319"/>
      <c r="BS661" s="319"/>
      <c r="BT661" s="319"/>
      <c r="BU661" s="319"/>
      <c r="BV661" s="319"/>
      <c r="BW661" s="319"/>
      <c r="BX661" s="319"/>
      <c r="BY661" s="319"/>
      <c r="BZ661" s="319"/>
      <c r="CA661" s="319"/>
      <c r="CB661" s="319"/>
      <c r="CC661" s="319"/>
      <c r="CD661" s="319"/>
      <c r="CE661" s="319"/>
      <c r="CF661" s="319"/>
    </row>
    <row r="662" spans="1:84" ht="12.75" hidden="1" customHeight="1">
      <c r="A662" s="12"/>
      <c r="B662" s="329" t="str">
        <f>B132</f>
        <v>Entalpia</v>
      </c>
      <c r="C662" s="29" t="str">
        <f>IF(Unit=TRUE,R662,T662)</f>
        <v>kJ/kg</v>
      </c>
      <c r="D662" s="30">
        <f>IF(Unit=TRUE,S662,U662)</f>
        <v>2500.1495435522315</v>
      </c>
      <c r="E662" s="1"/>
      <c r="F662" s="29" t="str">
        <f>IF($M$3=FALSE,"",IF(Unit=FALSE,R662,T662))</f>
        <v/>
      </c>
      <c r="G662" s="140" t="str">
        <f>IF($M$3=FALSE,"",IF(Unit=FALSE,S662,U662))</f>
        <v/>
      </c>
      <c r="H662" s="1"/>
      <c r="I662" s="1"/>
      <c r="J662" s="1"/>
      <c r="K662" s="9"/>
      <c r="L662" s="1"/>
      <c r="M662" s="319"/>
      <c r="N662" s="319"/>
      <c r="O662" s="319"/>
      <c r="P662" s="319"/>
      <c r="Q662" s="319"/>
      <c r="R662" s="319" t="str">
        <f>$R$132</f>
        <v>kJ/kg</v>
      </c>
      <c r="S662" s="319">
        <f>V662</f>
        <v>2500.1495435522315</v>
      </c>
      <c r="T662" s="319" t="str">
        <f>$T$132</f>
        <v>Btu/lb</v>
      </c>
      <c r="U662" s="319">
        <f>S662*$AA$1073</f>
        <v>1074.8708269786036</v>
      </c>
      <c r="V662" s="319">
        <f>EnthalpyF(V659,V660)+V661*(EnthalpyV(V659,V660)-EnthalpyF(V659,V660))</f>
        <v>2500.1495435522315</v>
      </c>
      <c r="W662" s="319" t="s">
        <v>2922</v>
      </c>
      <c r="X662" s="319"/>
      <c r="Y662" s="319"/>
      <c r="Z662" s="319"/>
      <c r="AA662" s="319"/>
      <c r="AB662" s="319"/>
      <c r="AC662" s="319"/>
      <c r="AD662" s="319"/>
      <c r="AE662" s="319"/>
      <c r="AF662" s="319"/>
      <c r="AG662" s="319"/>
      <c r="AH662" s="319"/>
      <c r="AI662" s="319"/>
      <c r="AJ662" s="319"/>
      <c r="AK662" s="319"/>
      <c r="AL662" s="319"/>
      <c r="AM662" s="319"/>
      <c r="AN662" s="319"/>
      <c r="AO662" s="319">
        <v>2060044</v>
      </c>
      <c r="AP662" s="319"/>
      <c r="AQ662" s="319"/>
      <c r="AR662" s="319"/>
      <c r="AS662" s="319"/>
      <c r="AT662" s="319"/>
      <c r="AU662" s="319"/>
      <c r="AV662" s="319"/>
      <c r="AW662" s="319"/>
      <c r="AX662" s="319"/>
      <c r="AY662" s="319"/>
      <c r="AZ662" s="319"/>
      <c r="BA662" s="319"/>
      <c r="BB662" s="319"/>
      <c r="BC662" s="319"/>
      <c r="BD662" s="319"/>
      <c r="BE662" s="319"/>
      <c r="BF662" s="319"/>
      <c r="BG662" s="319"/>
      <c r="BH662" s="319"/>
      <c r="BI662" s="319"/>
      <c r="BJ662" s="319"/>
      <c r="BK662" s="319"/>
      <c r="BL662" s="319"/>
      <c r="BM662" s="319"/>
      <c r="BN662" s="319"/>
      <c r="BO662" s="319"/>
      <c r="BP662" s="319"/>
      <c r="BQ662" s="319"/>
      <c r="BR662" s="319"/>
      <c r="BS662" s="319"/>
      <c r="BT662" s="319"/>
      <c r="BU662" s="319"/>
      <c r="BV662" s="319"/>
      <c r="BW662" s="319"/>
      <c r="BX662" s="319"/>
      <c r="BY662" s="319"/>
      <c r="BZ662" s="319"/>
      <c r="CA662" s="319"/>
      <c r="CB662" s="319"/>
      <c r="CC662" s="319"/>
      <c r="CD662" s="319"/>
      <c r="CE662" s="319"/>
      <c r="CF662" s="319"/>
    </row>
    <row r="663" spans="1:84" ht="12.75" hidden="1" customHeight="1">
      <c r="A663" s="12"/>
      <c r="B663" s="329" t="str">
        <f>B141</f>
        <v>Taxa teórica de produção do vapor</v>
      </c>
      <c r="C663" s="29" t="str">
        <f>IF(Unit=TRUE,R663,T663)</f>
        <v>kg/kWh</v>
      </c>
      <c r="D663" s="100">
        <f>IF(Unit=TRUE,S663,U663)</f>
        <v>14504.903208786885</v>
      </c>
      <c r="E663" s="1"/>
      <c r="F663" s="29" t="str">
        <f>IF($M$3=FALSE,"",IF(Unit=FALSE,R663,T663))</f>
        <v/>
      </c>
      <c r="G663" s="140" t="str">
        <f>IF($M$3=FALSE,"",IF(Unit=FALSE,S663,U663))</f>
        <v/>
      </c>
      <c r="H663" s="1"/>
      <c r="I663" s="1"/>
      <c r="J663" s="1"/>
      <c r="K663" s="9"/>
      <c r="L663" s="1"/>
      <c r="M663" s="319"/>
      <c r="N663" s="319"/>
      <c r="O663" s="319"/>
      <c r="P663" s="319"/>
      <c r="Q663" s="319"/>
      <c r="R663" s="319" t="str">
        <f>$R$141</f>
        <v>kg/kWh</v>
      </c>
      <c r="S663" s="319">
        <f>$V663</f>
        <v>14504.903208786885</v>
      </c>
      <c r="T663" s="319" t="str">
        <f>$T$141</f>
        <v>lb/kWh</v>
      </c>
      <c r="U663" s="319">
        <f>S663/$AA$1085</f>
        <v>31977.837741818465</v>
      </c>
      <c r="V663" s="319">
        <f>3600/(V650-V662)</f>
        <v>14504.903208786885</v>
      </c>
      <c r="W663" s="319" t="s">
        <v>5699</v>
      </c>
      <c r="X663" s="319"/>
      <c r="Y663" s="319"/>
      <c r="Z663" s="319"/>
      <c r="AA663" s="319"/>
      <c r="AB663" s="319"/>
      <c r="AC663" s="319"/>
      <c r="AD663" s="319"/>
      <c r="AE663" s="319"/>
      <c r="AF663" s="319"/>
      <c r="AG663" s="319"/>
      <c r="AH663" s="319"/>
      <c r="AI663" s="319"/>
      <c r="AJ663" s="319"/>
      <c r="AK663" s="319"/>
      <c r="AL663" s="319"/>
      <c r="AM663" s="319"/>
      <c r="AN663" s="319"/>
      <c r="AO663" s="319">
        <v>2060046</v>
      </c>
      <c r="AP663" s="319"/>
      <c r="AQ663" s="319"/>
      <c r="AR663" s="319"/>
      <c r="AS663" s="319"/>
      <c r="AT663" s="319"/>
      <c r="AU663" s="319"/>
      <c r="AV663" s="319"/>
      <c r="AW663" s="319"/>
      <c r="AX663" s="319"/>
      <c r="AY663" s="319"/>
      <c r="AZ663" s="319"/>
      <c r="BA663" s="319"/>
      <c r="BB663" s="319"/>
      <c r="BC663" s="319"/>
      <c r="BD663" s="319"/>
      <c r="BE663" s="319"/>
      <c r="BF663" s="319"/>
      <c r="BG663" s="319"/>
      <c r="BH663" s="319"/>
      <c r="BI663" s="319"/>
      <c r="BJ663" s="319"/>
      <c r="BK663" s="319"/>
      <c r="BL663" s="319"/>
      <c r="BM663" s="319"/>
      <c r="BN663" s="319"/>
      <c r="BO663" s="319"/>
      <c r="BP663" s="319"/>
      <c r="BQ663" s="319"/>
      <c r="BR663" s="319"/>
      <c r="BS663" s="319"/>
      <c r="BT663" s="319"/>
      <c r="BU663" s="319"/>
      <c r="BV663" s="319"/>
      <c r="BW663" s="319"/>
      <c r="BX663" s="319"/>
      <c r="BY663" s="319"/>
      <c r="BZ663" s="319"/>
      <c r="CA663" s="319"/>
      <c r="CB663" s="319"/>
      <c r="CC663" s="319"/>
      <c r="CD663" s="319"/>
      <c r="CE663" s="319"/>
      <c r="CF663" s="319"/>
    </row>
    <row r="664" spans="1:84" ht="12.75" hidden="1" customHeight="1">
      <c r="A664" s="12"/>
      <c r="B664" s="329" t="str">
        <f>B147</f>
        <v>Eficiência da turbina a vapor (TV)</v>
      </c>
      <c r="C664" s="29" t="str">
        <f>$T$35</f>
        <v>%</v>
      </c>
      <c r="D664" s="422"/>
      <c r="E664" s="1"/>
      <c r="F664" s="1"/>
      <c r="G664" s="1"/>
      <c r="H664" s="1"/>
      <c r="I664" s="1"/>
      <c r="J664" s="1"/>
      <c r="K664" s="9"/>
      <c r="L664" s="1"/>
      <c r="M664" s="319"/>
      <c r="N664" s="319"/>
      <c r="O664" s="319"/>
      <c r="P664" s="319"/>
      <c r="Q664" s="319"/>
      <c r="R664" s="319"/>
      <c r="S664" s="319"/>
      <c r="T664" s="319"/>
      <c r="U664" s="319"/>
      <c r="V664" s="319">
        <f>EnthalpyF(0.1,S660+$AA$1090)</f>
        <v>35.818570842599144</v>
      </c>
      <c r="W664" s="319" t="s">
        <v>2922</v>
      </c>
      <c r="X664" s="319"/>
      <c r="Y664" s="319"/>
      <c r="Z664" s="319"/>
      <c r="AA664" s="319"/>
      <c r="AB664" s="319"/>
      <c r="AC664" s="319"/>
      <c r="AD664" s="319"/>
      <c r="AE664" s="319"/>
      <c r="AF664" s="319"/>
      <c r="AG664" s="319"/>
      <c r="AH664" s="319"/>
      <c r="AI664" s="319"/>
      <c r="AJ664" s="319"/>
      <c r="AK664" s="319"/>
      <c r="AL664" s="319"/>
      <c r="AM664" s="319"/>
      <c r="AN664" s="319"/>
      <c r="AO664" s="319">
        <v>2060048</v>
      </c>
      <c r="AP664" s="319"/>
      <c r="AQ664" s="319"/>
      <c r="AR664" s="319"/>
      <c r="AS664" s="319"/>
      <c r="AT664" s="319"/>
      <c r="AU664" s="319"/>
      <c r="AV664" s="319"/>
      <c r="AW664" s="319"/>
      <c r="AX664" s="319"/>
      <c r="AY664" s="319"/>
      <c r="AZ664" s="319"/>
      <c r="BA664" s="319"/>
      <c r="BB664" s="319"/>
      <c r="BC664" s="319"/>
      <c r="BD664" s="319"/>
      <c r="BE664" s="319"/>
      <c r="BF664" s="319"/>
      <c r="BG664" s="319"/>
      <c r="BH664" s="319"/>
      <c r="BI664" s="319"/>
      <c r="BJ664" s="319"/>
      <c r="BK664" s="319"/>
      <c r="BL664" s="319"/>
      <c r="BM664" s="319"/>
      <c r="BN664" s="319"/>
      <c r="BO664" s="319"/>
      <c r="BP664" s="319"/>
      <c r="BQ664" s="319"/>
      <c r="BR664" s="319"/>
      <c r="BS664" s="319"/>
      <c r="BT664" s="319"/>
      <c r="BU664" s="319"/>
      <c r="BV664" s="319"/>
      <c r="BW664" s="319"/>
      <c r="BX664" s="319"/>
      <c r="BY664" s="319"/>
      <c r="BZ664" s="319"/>
      <c r="CA664" s="319"/>
      <c r="CB664" s="319"/>
      <c r="CC664" s="319"/>
      <c r="CD664" s="319"/>
      <c r="CE664" s="319"/>
      <c r="CF664" s="319"/>
    </row>
    <row r="665" spans="1:84" ht="12.75" hidden="1" customHeight="1">
      <c r="A665" s="12"/>
      <c r="B665" s="329" t="str">
        <f>Language!C448</f>
        <v>Taxa real de produção de vapor</v>
      </c>
      <c r="C665" s="29" t="str">
        <f>IF(Unit=TRUE,R665,T665)</f>
        <v>kg/kWh</v>
      </c>
      <c r="D665" s="100" t="e">
        <f>IF(Unit=TRUE,S665,U665)</f>
        <v>#DIV/0!</v>
      </c>
      <c r="E665" s="1"/>
      <c r="F665" s="29" t="str">
        <f>IF($M$3=FALSE,"",IF(Unit=FALSE,R665,T665))</f>
        <v/>
      </c>
      <c r="G665" s="140" t="str">
        <f>IF($M$3=FALSE,"",IF(Unit=FALSE,S665,U665))</f>
        <v/>
      </c>
      <c r="H665" s="1"/>
      <c r="I665" s="1"/>
      <c r="J665" s="1"/>
      <c r="K665" s="9"/>
      <c r="L665" s="1"/>
      <c r="M665" s="319"/>
      <c r="N665" s="319"/>
      <c r="O665" s="319"/>
      <c r="P665" s="319"/>
      <c r="Q665" s="319"/>
      <c r="R665" s="319" t="str">
        <f>$R$141</f>
        <v>kg/kWh</v>
      </c>
      <c r="S665" s="319" t="e">
        <f>((S648-S653)*S663/D664+S653*S658/D664)/S648</f>
        <v>#DIV/0!</v>
      </c>
      <c r="T665" s="319" t="str">
        <f>$T$141</f>
        <v>lb/kWh</v>
      </c>
      <c r="U665" s="319" t="e">
        <f>S665/$AA$1085</f>
        <v>#DIV/0!</v>
      </c>
      <c r="V665" s="319"/>
      <c r="W665" s="319"/>
      <c r="X665" s="319"/>
      <c r="Y665" s="319"/>
      <c r="Z665" s="319"/>
      <c r="AA665" s="319"/>
      <c r="AB665" s="319"/>
      <c r="AC665" s="319"/>
      <c r="AD665" s="319"/>
      <c r="AE665" s="319"/>
      <c r="AF665" s="319"/>
      <c r="AG665" s="319"/>
      <c r="AH665" s="319"/>
      <c r="AI665" s="319"/>
      <c r="AJ665" s="319"/>
      <c r="AK665" s="319"/>
      <c r="AL665" s="319"/>
      <c r="AM665" s="319"/>
      <c r="AN665" s="319"/>
      <c r="AO665" s="319">
        <v>2060050</v>
      </c>
      <c r="AP665" s="319"/>
      <c r="AQ665" s="319"/>
      <c r="AR665" s="319"/>
      <c r="AS665" s="319"/>
      <c r="AT665" s="319"/>
      <c r="AU665" s="319"/>
      <c r="AV665" s="319"/>
      <c r="AW665" s="319"/>
      <c r="AX665" s="319"/>
      <c r="AY665" s="319"/>
      <c r="AZ665" s="319"/>
      <c r="BA665" s="319"/>
      <c r="BB665" s="319"/>
      <c r="BC665" s="319"/>
      <c r="BD665" s="319"/>
      <c r="BE665" s="319"/>
      <c r="BF665" s="319"/>
      <c r="BG665" s="319"/>
      <c r="BH665" s="319"/>
      <c r="BI665" s="319"/>
      <c r="BJ665" s="319"/>
      <c r="BK665" s="319"/>
      <c r="BL665" s="319"/>
      <c r="BM665" s="319"/>
      <c r="BN665" s="319"/>
      <c r="BO665" s="319"/>
      <c r="BP665" s="319"/>
      <c r="BQ665" s="319"/>
      <c r="BR665" s="319"/>
      <c r="BS665" s="319"/>
      <c r="BT665" s="319"/>
      <c r="BU665" s="319"/>
      <c r="BV665" s="319"/>
      <c r="BW665" s="319"/>
      <c r="BX665" s="319"/>
      <c r="BY665" s="319"/>
      <c r="BZ665" s="319"/>
      <c r="CA665" s="319"/>
      <c r="CB665" s="319"/>
      <c r="CC665" s="319"/>
      <c r="CD665" s="319"/>
      <c r="CE665" s="319"/>
      <c r="CF665" s="319"/>
    </row>
    <row r="666" spans="1:84" ht="12.75" hidden="1" customHeight="1">
      <c r="A666" s="12"/>
      <c r="B666" s="28" t="str">
        <f>B149</f>
        <v>Resumo</v>
      </c>
      <c r="C666" s="1"/>
      <c r="D666" s="1"/>
      <c r="E666" s="1"/>
      <c r="F666" s="1"/>
      <c r="G666" s="1"/>
      <c r="H666" s="1"/>
      <c r="I666" s="1"/>
      <c r="J666" s="1"/>
      <c r="K666" s="9"/>
      <c r="L666" s="1"/>
      <c r="M666" s="319"/>
      <c r="N666" s="319"/>
      <c r="O666" s="319"/>
      <c r="P666" s="319"/>
      <c r="Q666" s="319"/>
      <c r="R666" s="319"/>
      <c r="S666" s="319"/>
      <c r="T666" s="319"/>
      <c r="U666" s="319"/>
      <c r="V666" s="319"/>
      <c r="W666" s="319"/>
      <c r="X666" s="319"/>
      <c r="Y666" s="319"/>
      <c r="Z666" s="319"/>
      <c r="AA666" s="319"/>
      <c r="AB666" s="319"/>
      <c r="AC666" s="319"/>
      <c r="AD666" s="319"/>
      <c r="AE666" s="319"/>
      <c r="AF666" s="319"/>
      <c r="AG666" s="319"/>
      <c r="AH666" s="319"/>
      <c r="AI666" s="319"/>
      <c r="AJ666" s="319"/>
      <c r="AK666" s="319"/>
      <c r="AL666" s="319"/>
      <c r="AM666" s="319"/>
      <c r="AN666" s="319"/>
      <c r="AO666" s="319">
        <v>2060052</v>
      </c>
      <c r="AP666" s="319"/>
      <c r="AQ666" s="319"/>
      <c r="AR666" s="319"/>
      <c r="AS666" s="319"/>
      <c r="AT666" s="319"/>
      <c r="AU666" s="319"/>
      <c r="AV666" s="319"/>
      <c r="AW666" s="319"/>
      <c r="AX666" s="319"/>
      <c r="AY666" s="319"/>
      <c r="AZ666" s="319"/>
      <c r="BA666" s="319"/>
      <c r="BB666" s="319"/>
      <c r="BC666" s="319"/>
      <c r="BD666" s="319"/>
      <c r="BE666" s="319"/>
      <c r="BF666" s="319"/>
      <c r="BG666" s="319"/>
      <c r="BH666" s="319"/>
      <c r="BI666" s="319"/>
      <c r="BJ666" s="319"/>
      <c r="BK666" s="319"/>
      <c r="BL666" s="319"/>
      <c r="BM666" s="319"/>
      <c r="BN666" s="319"/>
      <c r="BO666" s="319"/>
      <c r="BP666" s="319"/>
      <c r="BQ666" s="319"/>
      <c r="BR666" s="319"/>
      <c r="BS666" s="319"/>
      <c r="BT666" s="319"/>
      <c r="BU666" s="319"/>
      <c r="BV666" s="319"/>
      <c r="BW666" s="319"/>
      <c r="BX666" s="319"/>
      <c r="BY666" s="319"/>
      <c r="BZ666" s="319"/>
      <c r="CA666" s="319"/>
      <c r="CB666" s="319"/>
      <c r="CC666" s="319"/>
      <c r="CD666" s="319"/>
      <c r="CE666" s="319"/>
      <c r="CF666" s="319"/>
    </row>
    <row r="667" spans="1:84" ht="12.75" hidden="1" customHeight="1">
      <c r="A667" s="12"/>
      <c r="B667" s="329" t="str">
        <f>Language!C450</f>
        <v>Potência elétrica (TV) - com extração</v>
      </c>
      <c r="C667" s="29" t="str">
        <f>$C$92</f>
        <v>kW</v>
      </c>
      <c r="D667" s="30" t="e">
        <f>S648/S665</f>
        <v>#DIV/0!</v>
      </c>
      <c r="E667" s="40" t="str">
        <f>IF($P$866=0,"",D667/$P$866)</f>
        <v/>
      </c>
      <c r="F667" s="1"/>
      <c r="G667" s="1"/>
      <c r="H667" s="1"/>
      <c r="I667" s="1"/>
      <c r="J667" s="1"/>
      <c r="K667" s="9"/>
      <c r="L667" s="1"/>
      <c r="M667" s="319"/>
      <c r="N667" s="319"/>
      <c r="O667" s="319"/>
      <c r="P667" s="319"/>
      <c r="Q667" s="319"/>
      <c r="R667" s="319"/>
      <c r="S667" s="319"/>
      <c r="T667" s="319"/>
      <c r="U667" s="319"/>
      <c r="V667" s="319"/>
      <c r="W667" s="319"/>
      <c r="X667" s="319"/>
      <c r="Y667" s="319"/>
      <c r="Z667" s="319"/>
      <c r="AA667" s="319"/>
      <c r="AB667" s="319"/>
      <c r="AC667" s="319"/>
      <c r="AD667" s="319"/>
      <c r="AE667" s="319"/>
      <c r="AF667" s="319"/>
      <c r="AG667" s="319"/>
      <c r="AH667" s="319"/>
      <c r="AI667" s="319"/>
      <c r="AJ667" s="319"/>
      <c r="AK667" s="319"/>
      <c r="AL667" s="319"/>
      <c r="AM667" s="319"/>
      <c r="AN667" s="319"/>
      <c r="AO667" s="319">
        <v>2060054</v>
      </c>
      <c r="AP667" s="319"/>
      <c r="AQ667" s="319"/>
      <c r="AR667" s="319"/>
      <c r="AS667" s="319"/>
      <c r="AT667" s="319"/>
      <c r="AU667" s="319"/>
      <c r="AV667" s="319"/>
      <c r="AW667" s="319"/>
      <c r="AX667" s="319"/>
      <c r="AY667" s="319"/>
      <c r="AZ667" s="319"/>
      <c r="BA667" s="319"/>
      <c r="BB667" s="319"/>
      <c r="BC667" s="319"/>
      <c r="BD667" s="319"/>
      <c r="BE667" s="319"/>
      <c r="BF667" s="319"/>
      <c r="BG667" s="319"/>
      <c r="BH667" s="319"/>
      <c r="BI667" s="319"/>
      <c r="BJ667" s="319"/>
      <c r="BK667" s="319"/>
      <c r="BL667" s="319"/>
      <c r="BM667" s="319"/>
      <c r="BN667" s="319"/>
      <c r="BO667" s="319"/>
      <c r="BP667" s="319"/>
      <c r="BQ667" s="319"/>
      <c r="BR667" s="319"/>
      <c r="BS667" s="319"/>
      <c r="BT667" s="319"/>
      <c r="BU667" s="319"/>
      <c r="BV667" s="319"/>
      <c r="BW667" s="319"/>
      <c r="BX667" s="319"/>
      <c r="BY667" s="319"/>
      <c r="BZ667" s="319"/>
      <c r="CA667" s="319"/>
      <c r="CB667" s="319"/>
      <c r="CC667" s="319"/>
      <c r="CD667" s="319"/>
      <c r="CE667" s="319"/>
      <c r="CF667" s="319"/>
    </row>
    <row r="668" spans="1:84" ht="12.75" hidden="1" customHeight="1">
      <c r="A668" s="12"/>
      <c r="B668" s="329" t="str">
        <f>Language!C451</f>
        <v>Potência elétrica total - com extração</v>
      </c>
      <c r="C668" s="29" t="str">
        <f>$C$92</f>
        <v>kW</v>
      </c>
      <c r="D668" s="30" t="e">
        <f>D667+D633</f>
        <v>#DIV/0!</v>
      </c>
      <c r="E668" s="40" t="str">
        <f>IF($P$866=0,"",D668/$P$866)</f>
        <v/>
      </c>
      <c r="F668" s="1"/>
      <c r="G668" s="1"/>
      <c r="H668" s="1"/>
      <c r="I668" s="1"/>
      <c r="J668" s="1"/>
      <c r="K668" s="9"/>
      <c r="L668" s="1"/>
      <c r="M668" s="319"/>
      <c r="N668" s="319"/>
      <c r="O668" s="319"/>
      <c r="P668" s="319"/>
      <c r="Q668" s="319"/>
      <c r="R668" s="319"/>
      <c r="S668" s="319"/>
      <c r="T668" s="319"/>
      <c r="U668" s="319"/>
      <c r="V668" s="319"/>
      <c r="W668" s="319"/>
      <c r="X668" s="319"/>
      <c r="Y668" s="319"/>
      <c r="Z668" s="319"/>
      <c r="AA668" s="319"/>
      <c r="AB668" s="319"/>
      <c r="AC668" s="319"/>
      <c r="AD668" s="319"/>
      <c r="AE668" s="319"/>
      <c r="AF668" s="319"/>
      <c r="AG668" s="319"/>
      <c r="AH668" s="319"/>
      <c r="AI668" s="319"/>
      <c r="AJ668" s="319"/>
      <c r="AK668" s="319"/>
      <c r="AL668" s="319"/>
      <c r="AM668" s="319"/>
      <c r="AN668" s="319"/>
      <c r="AO668" s="319">
        <v>2060056</v>
      </c>
      <c r="AP668" s="319"/>
      <c r="AQ668" s="319"/>
      <c r="AR668" s="319"/>
      <c r="AS668" s="319"/>
      <c r="AT668" s="319"/>
      <c r="AU668" s="319"/>
      <c r="AV668" s="319"/>
      <c r="AW668" s="319"/>
      <c r="AX668" s="319"/>
      <c r="AY668" s="319"/>
      <c r="AZ668" s="319"/>
      <c r="BA668" s="319"/>
      <c r="BB668" s="319"/>
      <c r="BC668" s="319"/>
      <c r="BD668" s="319"/>
      <c r="BE668" s="319"/>
      <c r="BF668" s="319"/>
      <c r="BG668" s="319"/>
      <c r="BH668" s="319"/>
      <c r="BI668" s="319"/>
      <c r="BJ668" s="319"/>
      <c r="BK668" s="319"/>
      <c r="BL668" s="319"/>
      <c r="BM668" s="319"/>
      <c r="BN668" s="319"/>
      <c r="BO668" s="319"/>
      <c r="BP668" s="319"/>
      <c r="BQ668" s="319"/>
      <c r="BR668" s="319"/>
      <c r="BS668" s="319"/>
      <c r="BT668" s="319"/>
      <c r="BU668" s="319"/>
      <c r="BV668" s="319"/>
      <c r="BW668" s="319"/>
      <c r="BX668" s="319"/>
      <c r="BY668" s="319"/>
      <c r="BZ668" s="319"/>
      <c r="CA668" s="319"/>
      <c r="CB668" s="319"/>
      <c r="CC668" s="319"/>
      <c r="CD668" s="319"/>
      <c r="CE668" s="319"/>
      <c r="CF668" s="319"/>
    </row>
    <row r="669" spans="1:84" ht="12.75" hidden="1" customHeight="1">
      <c r="A669" s="12"/>
      <c r="B669" s="329" t="str">
        <f>IF(HideCodeES_Extract_GTCC2=2,Language!C455,Language!C453)</f>
        <v>Potência elétrica (TV)</v>
      </c>
      <c r="C669" s="29" t="str">
        <f>$C$92</f>
        <v>kW</v>
      </c>
      <c r="D669" s="30" t="e">
        <f>S648/(S663/D664)</f>
        <v>#DIV/0!</v>
      </c>
      <c r="E669" s="40" t="str">
        <f>IF($P$866=0,"",D669/$P$866)</f>
        <v/>
      </c>
      <c r="F669" s="1"/>
      <c r="G669" s="1"/>
      <c r="H669" s="1"/>
      <c r="I669" s="1"/>
      <c r="J669" s="1"/>
      <c r="K669" s="9"/>
      <c r="L669" s="1"/>
      <c r="M669" s="319"/>
      <c r="N669" s="319"/>
      <c r="O669" s="319"/>
      <c r="P669" s="319"/>
      <c r="Q669" s="319"/>
      <c r="R669" s="319"/>
      <c r="S669" s="319"/>
      <c r="T669" s="319"/>
      <c r="U669" s="319"/>
      <c r="V669" s="319" t="e">
        <f>S648/(S663/D664)+D633</f>
        <v>#DIV/0!</v>
      </c>
      <c r="W669" s="319"/>
      <c r="X669" s="319"/>
      <c r="Y669" s="319"/>
      <c r="Z669" s="319"/>
      <c r="AA669" s="319"/>
      <c r="AB669" s="319"/>
      <c r="AC669" s="319"/>
      <c r="AD669" s="319"/>
      <c r="AE669" s="319"/>
      <c r="AF669" s="319"/>
      <c r="AG669" s="319"/>
      <c r="AH669" s="319"/>
      <c r="AI669" s="319"/>
      <c r="AJ669" s="319"/>
      <c r="AK669" s="319"/>
      <c r="AL669" s="319"/>
      <c r="AM669" s="319"/>
      <c r="AN669" s="319"/>
      <c r="AO669" s="319">
        <v>2060058</v>
      </c>
      <c r="AP669" s="319"/>
      <c r="AQ669" s="319"/>
      <c r="AR669" s="319"/>
      <c r="AS669" s="319"/>
      <c r="AT669" s="319"/>
      <c r="AU669" s="319"/>
      <c r="AV669" s="319"/>
      <c r="AW669" s="319"/>
      <c r="AX669" s="319"/>
      <c r="AY669" s="319"/>
      <c r="AZ669" s="319"/>
      <c r="BA669" s="319"/>
      <c r="BB669" s="319"/>
      <c r="BC669" s="319"/>
      <c r="BD669" s="319"/>
      <c r="BE669" s="319"/>
      <c r="BF669" s="319"/>
      <c r="BG669" s="319"/>
      <c r="BH669" s="319"/>
      <c r="BI669" s="319"/>
      <c r="BJ669" s="319"/>
      <c r="BK669" s="319"/>
      <c r="BL669" s="319"/>
      <c r="BM669" s="319"/>
      <c r="BN669" s="319"/>
      <c r="BO669" s="319"/>
      <c r="BP669" s="319"/>
      <c r="BQ669" s="319"/>
      <c r="BR669" s="319"/>
      <c r="BS669" s="319"/>
      <c r="BT669" s="319"/>
      <c r="BU669" s="319"/>
      <c r="BV669" s="319"/>
      <c r="BW669" s="319"/>
      <c r="BX669" s="319"/>
      <c r="BY669" s="319"/>
      <c r="BZ669" s="319"/>
      <c r="CA669" s="319"/>
      <c r="CB669" s="319"/>
      <c r="CC669" s="319"/>
      <c r="CD669" s="319"/>
      <c r="CE669" s="319"/>
      <c r="CF669" s="319"/>
    </row>
    <row r="670" spans="1:84" ht="12.75" hidden="1" customHeight="1">
      <c r="A670" s="12"/>
      <c r="B670" s="329" t="str">
        <f>IF(HideCodeES_Extract_GTCC2=2,Language!C456,Language!C454)</f>
        <v>Potência elétrica total</v>
      </c>
      <c r="C670" s="29" t="str">
        <f>$C$92</f>
        <v>kW</v>
      </c>
      <c r="D670" s="30" t="e">
        <f>V669</f>
        <v>#DIV/0!</v>
      </c>
      <c r="E670" s="40" t="str">
        <f>IF($P$866=0,"",D670/$P$866)</f>
        <v/>
      </c>
      <c r="F670" s="1"/>
      <c r="G670" s="1"/>
      <c r="H670" s="1"/>
      <c r="I670" s="1"/>
      <c r="J670" s="1"/>
      <c r="K670" s="788" t="e">
        <f>K634</f>
        <v>#DIV/0!</v>
      </c>
      <c r="L670" s="1"/>
      <c r="M670" s="319"/>
      <c r="N670" s="319"/>
      <c r="O670" s="319"/>
      <c r="P670" s="319"/>
      <c r="Q670" s="319"/>
      <c r="R670" s="319"/>
      <c r="S670" s="319"/>
      <c r="T670" s="319"/>
      <c r="U670" s="319"/>
      <c r="V670" s="319" t="e">
        <f>IF(OR(M31=2,M31=10),IF(HideCodeES_Extract_GTCC2=1,D668,S648/(S663/D664)+D633),V669)</f>
        <v>#DIV/0!</v>
      </c>
      <c r="W670" s="319" t="s">
        <v>4945</v>
      </c>
      <c r="X670" s="319" t="s">
        <v>4013</v>
      </c>
      <c r="Y670" s="319"/>
      <c r="Z670" s="319"/>
      <c r="AA670" s="319"/>
      <c r="AB670" s="319"/>
      <c r="AC670" s="319"/>
      <c r="AD670" s="319"/>
      <c r="AE670" s="319"/>
      <c r="AF670" s="319"/>
      <c r="AG670" s="319"/>
      <c r="AH670" s="319"/>
      <c r="AI670" s="319"/>
      <c r="AJ670" s="319"/>
      <c r="AK670" s="319"/>
      <c r="AL670" s="319"/>
      <c r="AM670" s="319"/>
      <c r="AN670" s="319"/>
      <c r="AO670" s="319">
        <v>2060060</v>
      </c>
      <c r="AP670" s="319"/>
      <c r="AQ670" s="319"/>
      <c r="AR670" s="319"/>
      <c r="AS670" s="319"/>
      <c r="AT670" s="319"/>
      <c r="AU670" s="319"/>
      <c r="AV670" s="319"/>
      <c r="AW670" s="319"/>
      <c r="AX670" s="319"/>
      <c r="AY670" s="319"/>
      <c r="AZ670" s="319"/>
      <c r="BA670" s="319"/>
      <c r="BB670" s="319"/>
      <c r="BC670" s="319"/>
      <c r="BD670" s="319"/>
      <c r="BE670" s="319"/>
      <c r="BF670" s="319"/>
      <c r="BG670" s="319"/>
      <c r="BH670" s="319"/>
      <c r="BI670" s="319"/>
      <c r="BJ670" s="319"/>
      <c r="BK670" s="319"/>
      <c r="BL670" s="319"/>
      <c r="BM670" s="319"/>
      <c r="BN670" s="319"/>
      <c r="BO670" s="319"/>
      <c r="BP670" s="319"/>
      <c r="BQ670" s="319"/>
      <c r="BR670" s="319"/>
      <c r="BS670" s="319"/>
      <c r="BT670" s="319"/>
      <c r="BU670" s="319"/>
      <c r="BV670" s="319"/>
      <c r="BW670" s="319"/>
      <c r="BX670" s="319"/>
      <c r="BY670" s="319"/>
      <c r="BZ670" s="319"/>
      <c r="CA670" s="319"/>
      <c r="CB670" s="319"/>
      <c r="CC670" s="319"/>
      <c r="CD670" s="319"/>
      <c r="CE670" s="319"/>
      <c r="CF670" s="319"/>
    </row>
    <row r="671" spans="1:84" ht="12.75" hidden="1" customHeight="1">
      <c r="A671" s="12"/>
      <c r="B671" s="329" t="str">
        <f>$B$94</f>
        <v>Eletricidade fornecida à carga</v>
      </c>
      <c r="C671" s="29" t="str">
        <f>R14</f>
        <v>MWh</v>
      </c>
      <c r="D671" s="30">
        <f>IF(HideCodeES_PSS=1,$G$1107,IF($V$854=HideCodeES_OPS2,$G$1108,$G$1107))</f>
        <v>0</v>
      </c>
      <c r="E671" s="40" t="str">
        <f>IF($P$867=0,"",D671/$P$867)</f>
        <v/>
      </c>
      <c r="F671" s="1"/>
      <c r="G671" s="1"/>
      <c r="H671" s="1"/>
      <c r="I671" s="1"/>
      <c r="J671" s="1"/>
      <c r="K671" s="9"/>
      <c r="L671" s="1"/>
      <c r="M671" s="319"/>
      <c r="N671" s="319"/>
      <c r="O671" s="319"/>
      <c r="P671" s="319"/>
      <c r="Q671" s="319"/>
      <c r="R671" s="319"/>
      <c r="S671" s="319"/>
      <c r="T671" s="319"/>
      <c r="U671" s="319"/>
      <c r="V671" s="319"/>
      <c r="W671" s="319"/>
      <c r="X671" s="319"/>
      <c r="Y671" s="319"/>
      <c r="Z671" s="319"/>
      <c r="AA671" s="319"/>
      <c r="AB671" s="319"/>
      <c r="AC671" s="319"/>
      <c r="AD671" s="319"/>
      <c r="AE671" s="319"/>
      <c r="AF671" s="319"/>
      <c r="AG671" s="319"/>
      <c r="AH671" s="319"/>
      <c r="AI671" s="319"/>
      <c r="AJ671" s="319"/>
      <c r="AK671" s="319"/>
      <c r="AL671" s="319"/>
      <c r="AM671" s="319"/>
      <c r="AN671" s="319"/>
      <c r="AO671" s="319">
        <v>2050008</v>
      </c>
      <c r="AP671" s="319"/>
      <c r="AQ671" s="319"/>
      <c r="AR671" s="319"/>
      <c r="AS671" s="319"/>
      <c r="AT671" s="319"/>
      <c r="AU671" s="319"/>
      <c r="AV671" s="319"/>
      <c r="AW671" s="319"/>
      <c r="AX671" s="319"/>
      <c r="AY671" s="319"/>
      <c r="AZ671" s="319"/>
      <c r="BA671" s="319"/>
      <c r="BB671" s="319"/>
      <c r="BC671" s="319"/>
      <c r="BD671" s="319"/>
      <c r="BE671" s="319"/>
      <c r="BF671" s="319"/>
      <c r="BG671" s="319"/>
      <c r="BH671" s="319"/>
      <c r="BI671" s="319"/>
      <c r="BJ671" s="319"/>
      <c r="BK671" s="319"/>
      <c r="BL671" s="319"/>
      <c r="BM671" s="319"/>
      <c r="BN671" s="319"/>
      <c r="BO671" s="319"/>
      <c r="BP671" s="319"/>
      <c r="BQ671" s="319"/>
      <c r="BR671" s="319"/>
      <c r="BS671" s="319"/>
      <c r="BT671" s="319"/>
      <c r="BU671" s="319"/>
      <c r="BV671" s="319"/>
      <c r="BW671" s="319"/>
      <c r="BX671" s="319"/>
      <c r="BY671" s="319"/>
      <c r="BZ671" s="319"/>
      <c r="CA671" s="319"/>
      <c r="CB671" s="319"/>
      <c r="CC671" s="319"/>
      <c r="CD671" s="319"/>
      <c r="CE671" s="319"/>
      <c r="CF671" s="319"/>
    </row>
    <row r="672" spans="1:84" ht="12.75" hidden="1" customHeight="1">
      <c r="A672" s="12"/>
      <c r="B672" s="329" t="str">
        <f>$B$95</f>
        <v>Eletricidade exportada p/ rede</v>
      </c>
      <c r="C672" s="29" t="str">
        <f>R14</f>
        <v>MWh</v>
      </c>
      <c r="D672" s="30">
        <f>IF(HideCodeES_PSS=1,$J$1107,IF($V$854=HideCodeES_OPS2,$J$1108,$J$1107))</f>
        <v>5.3903325633948667</v>
      </c>
      <c r="E672" s="101"/>
      <c r="F672" s="1"/>
      <c r="G672" s="1"/>
      <c r="H672" s="1"/>
      <c r="I672" s="1"/>
      <c r="J672" s="1"/>
      <c r="K672" s="9"/>
      <c r="L672" s="1"/>
      <c r="M672" s="319"/>
      <c r="N672" s="319"/>
      <c r="O672" s="319"/>
      <c r="P672" s="319"/>
      <c r="Q672" s="319"/>
      <c r="R672" s="319"/>
      <c r="S672" s="319"/>
      <c r="T672" s="319"/>
      <c r="U672" s="319"/>
      <c r="V672" s="319"/>
      <c r="W672" s="319"/>
      <c r="X672" s="319"/>
      <c r="Y672" s="319"/>
      <c r="Z672" s="319"/>
      <c r="AA672" s="319"/>
      <c r="AB672" s="319"/>
      <c r="AC672" s="319"/>
      <c r="AD672" s="319"/>
      <c r="AE672" s="319"/>
      <c r="AF672" s="319"/>
      <c r="AG672" s="319"/>
      <c r="AH672" s="319"/>
      <c r="AI672" s="319"/>
      <c r="AJ672" s="319"/>
      <c r="AK672" s="319"/>
      <c r="AL672" s="319"/>
      <c r="AM672" s="319"/>
      <c r="AN672" s="319"/>
      <c r="AO672" s="319">
        <v>2050010</v>
      </c>
      <c r="AP672" s="319"/>
      <c r="AQ672" s="319"/>
      <c r="AR672" s="319"/>
      <c r="AS672" s="319"/>
      <c r="AT672" s="319"/>
      <c r="AU672" s="319"/>
      <c r="AV672" s="319"/>
      <c r="AW672" s="319"/>
      <c r="AX672" s="319"/>
      <c r="AY672" s="319"/>
      <c r="AZ672" s="319"/>
      <c r="BA672" s="319"/>
      <c r="BB672" s="319"/>
      <c r="BC672" s="319"/>
      <c r="BD672" s="319"/>
      <c r="BE672" s="319"/>
      <c r="BF672" s="319"/>
      <c r="BG672" s="319"/>
      <c r="BH672" s="319"/>
      <c r="BI672" s="319"/>
      <c r="BJ672" s="319"/>
      <c r="BK672" s="319"/>
      <c r="BL672" s="319"/>
      <c r="BM672" s="319"/>
      <c r="BN672" s="319"/>
      <c r="BO672" s="319"/>
      <c r="BP672" s="319"/>
      <c r="BQ672" s="319"/>
      <c r="BR672" s="319"/>
      <c r="BS672" s="319"/>
      <c r="BT672" s="319"/>
      <c r="BU672" s="319"/>
      <c r="BV672" s="319"/>
      <c r="BW672" s="319"/>
      <c r="BX672" s="319"/>
      <c r="BY672" s="319"/>
      <c r="BZ672" s="319"/>
      <c r="CA672" s="319"/>
      <c r="CB672" s="319"/>
      <c r="CC672" s="319"/>
      <c r="CD672" s="319"/>
      <c r="CE672" s="319"/>
      <c r="CF672" s="319"/>
    </row>
    <row r="673" spans="1:84" ht="12.75" hidden="1" customHeight="1">
      <c r="A673" s="12"/>
      <c r="B673" s="329" t="str">
        <f>Language!C457</f>
        <v>Temp. de retorno</v>
      </c>
      <c r="C673" s="303" t="s">
        <v>5568</v>
      </c>
      <c r="D673" s="307"/>
      <c r="E673" s="1"/>
      <c r="F673" s="1"/>
      <c r="G673" s="1"/>
      <c r="H673" s="1"/>
      <c r="I673" s="1"/>
      <c r="J673" s="1"/>
      <c r="K673" s="9"/>
      <c r="L673" s="1"/>
      <c r="M673" s="319"/>
      <c r="N673" s="319"/>
      <c r="O673" s="319"/>
      <c r="P673" s="319"/>
      <c r="Q673" s="319"/>
      <c r="R673" s="319" t="str">
        <f>$R$86</f>
        <v>°C</v>
      </c>
      <c r="S673" s="319">
        <f>IF(C673=$Z$1107,D673,(D673-32)/1.8)</f>
        <v>0</v>
      </c>
      <c r="T673" s="319"/>
      <c r="U673" s="319"/>
      <c r="V673" s="319">
        <f>IF(EnthalpyF(V659,S660+$AA$1090)-EnthalpyF(0.1,S673+$AA$1090)&lt;0,0,1)</f>
        <v>1</v>
      </c>
      <c r="W673" s="319" t="s">
        <v>4085</v>
      </c>
      <c r="X673" s="319"/>
      <c r="Y673" s="319"/>
      <c r="Z673" s="319"/>
      <c r="AA673" s="319"/>
      <c r="AB673" s="319"/>
      <c r="AC673" s="319"/>
      <c r="AD673" s="319"/>
      <c r="AE673" s="319"/>
      <c r="AF673" s="319"/>
      <c r="AG673" s="319"/>
      <c r="AH673" s="319"/>
      <c r="AI673" s="319"/>
      <c r="AJ673" s="319"/>
      <c r="AK673" s="319"/>
      <c r="AL673" s="319"/>
      <c r="AM673" s="319"/>
      <c r="AN673" s="319"/>
      <c r="AO673" s="319">
        <v>2060062</v>
      </c>
      <c r="AP673" s="319"/>
      <c r="AQ673" s="319"/>
      <c r="AR673" s="319"/>
      <c r="AS673" s="319"/>
      <c r="AT673" s="319"/>
      <c r="AU673" s="319"/>
      <c r="AV673" s="319"/>
      <c r="AW673" s="319"/>
      <c r="AX673" s="319"/>
      <c r="AY673" s="319"/>
      <c r="AZ673" s="319"/>
      <c r="BA673" s="319"/>
      <c r="BB673" s="319"/>
      <c r="BC673" s="319"/>
      <c r="BD673" s="319"/>
      <c r="BE673" s="319"/>
      <c r="BF673" s="319"/>
      <c r="BG673" s="319"/>
      <c r="BH673" s="319"/>
      <c r="BI673" s="319"/>
      <c r="BJ673" s="319"/>
      <c r="BK673" s="319"/>
      <c r="BL673" s="319"/>
      <c r="BM673" s="319"/>
      <c r="BN673" s="319"/>
      <c r="BO673" s="319"/>
      <c r="BP673" s="319"/>
      <c r="BQ673" s="319"/>
      <c r="BR673" s="319"/>
      <c r="BS673" s="319"/>
      <c r="BT673" s="319"/>
      <c r="BU673" s="319"/>
      <c r="BV673" s="319"/>
      <c r="BW673" s="319"/>
      <c r="BX673" s="319"/>
      <c r="BY673" s="319"/>
      <c r="BZ673" s="319"/>
      <c r="CA673" s="319"/>
      <c r="CB673" s="319"/>
      <c r="CC673" s="319"/>
      <c r="CD673" s="319"/>
      <c r="CE673" s="319"/>
      <c r="CF673" s="319"/>
    </row>
    <row r="674" spans="1:84" ht="12.75" hidden="1" customHeight="1">
      <c r="A674" s="12"/>
      <c r="B674" s="329" t="str">
        <f>B157</f>
        <v>Capacidade térmica - sem extração</v>
      </c>
      <c r="C674" s="29" t="str">
        <f>IF(Unit=TRUE,R674,T674)</f>
        <v>kW</v>
      </c>
      <c r="D674" s="140">
        <f>IF(Unit=TRUE,S674,U674)</f>
        <v>0</v>
      </c>
      <c r="E674" s="80" t="str">
        <f>IF(OR(HideCode_projectType3=2,HideCode_projectType3=5),"",S674/$Q$866)</f>
        <v/>
      </c>
      <c r="F674" s="29" t="str">
        <f>IF($M$3=FALSE,"",IF(Unit=FALSE,R674,T674))</f>
        <v/>
      </c>
      <c r="G674" s="140" t="str">
        <f>IF($M$3=FALSE,"",IF(Unit=FALSE,S674,U674))</f>
        <v/>
      </c>
      <c r="H674" s="1"/>
      <c r="I674" s="1"/>
      <c r="J674" s="1"/>
      <c r="K674" s="9"/>
      <c r="L674" s="1"/>
      <c r="M674" s="319"/>
      <c r="N674" s="319"/>
      <c r="O674" s="319"/>
      <c r="P674" s="319"/>
      <c r="Q674" s="319"/>
      <c r="R674" s="319" t="str">
        <f>$R$20</f>
        <v>kW</v>
      </c>
      <c r="S674" s="319">
        <f>(IF(V659&gt;0.1,EnthalpyV(V659,S660+$AA$1090)-EnthalpyF(0.1,S673+$AA$1090),EnthalpyF(V659,S660+$AA$1090)-EnthalpyF(0.1,S673+$AA$1090))*S648*V673)/3600</f>
        <v>0</v>
      </c>
      <c r="T674" s="319" t="str">
        <f>$T$77</f>
        <v>milhão Btu/h</v>
      </c>
      <c r="U674" s="319">
        <f>S674*$AA$1087</f>
        <v>0</v>
      </c>
      <c r="V674" s="319"/>
      <c r="W674" s="319"/>
      <c r="X674" s="319"/>
      <c r="Y674" s="319"/>
      <c r="Z674" s="319"/>
      <c r="AA674" s="319"/>
      <c r="AB674" s="319"/>
      <c r="AC674" s="319"/>
      <c r="AD674" s="319"/>
      <c r="AE674" s="319"/>
      <c r="AF674" s="319"/>
      <c r="AG674" s="319"/>
      <c r="AH674" s="319"/>
      <c r="AI674" s="319"/>
      <c r="AJ674" s="319"/>
      <c r="AK674" s="319"/>
      <c r="AL674" s="319"/>
      <c r="AM674" s="319"/>
      <c r="AN674" s="319"/>
      <c r="AO674" s="319">
        <v>2060064</v>
      </c>
      <c r="AP674" s="319"/>
      <c r="AQ674" s="319"/>
      <c r="AR674" s="319"/>
      <c r="AS674" s="319"/>
      <c r="AT674" s="319"/>
      <c r="AU674" s="319"/>
      <c r="AV674" s="319"/>
      <c r="AW674" s="319"/>
      <c r="AX674" s="319"/>
      <c r="AY674" s="319"/>
      <c r="AZ674" s="319"/>
      <c r="BA674" s="319"/>
      <c r="BB674" s="319"/>
      <c r="BC674" s="319"/>
      <c r="BD674" s="319"/>
      <c r="BE674" s="319"/>
      <c r="BF674" s="319"/>
      <c r="BG674" s="319"/>
      <c r="BH674" s="319"/>
      <c r="BI674" s="319"/>
      <c r="BJ674" s="319"/>
      <c r="BK674" s="319"/>
      <c r="BL674" s="319"/>
      <c r="BM674" s="319"/>
      <c r="BN674" s="319"/>
      <c r="BO674" s="319"/>
      <c r="BP674" s="319"/>
      <c r="BQ674" s="319"/>
      <c r="BR674" s="319"/>
      <c r="BS674" s="319"/>
      <c r="BT674" s="319"/>
      <c r="BU674" s="319"/>
      <c r="BV674" s="319"/>
      <c r="BW674" s="319"/>
      <c r="BX674" s="319"/>
      <c r="BY674" s="319"/>
      <c r="BZ674" s="319"/>
      <c r="CA674" s="319"/>
      <c r="CB674" s="319"/>
      <c r="CC674" s="319"/>
      <c r="CD674" s="319"/>
      <c r="CE674" s="319"/>
      <c r="CF674" s="319"/>
    </row>
    <row r="675" spans="1:84" ht="12.75" hidden="1" customHeight="1">
      <c r="A675" s="14"/>
      <c r="B675" s="380" t="str">
        <f>IF(HideCodeES_Extract_GTCC2=2,Language!C431,Language!C433)</f>
        <v>Capacidade térmica</v>
      </c>
      <c r="C675" s="33" t="str">
        <f>IF(Unit=TRUE,R675,T675)</f>
        <v>kW</v>
      </c>
      <c r="D675" s="245">
        <f>IF(Unit=TRUE,S675,U675)</f>
        <v>0</v>
      </c>
      <c r="E675" s="81" t="str">
        <f>IF(OR(HideCode_projectType3=2,HideCode_projectType3=5),"",S675/$Q$866)</f>
        <v/>
      </c>
      <c r="F675" s="33" t="str">
        <f>IF($M$3=FALSE,"",IF(Unit=FALSE,R675,T675))</f>
        <v/>
      </c>
      <c r="G675" s="245" t="str">
        <f>IF($M$3=FALSE,"",IF(Unit=FALSE,S675,U675))</f>
        <v/>
      </c>
      <c r="H675" s="15"/>
      <c r="I675" s="15"/>
      <c r="J675" s="15"/>
      <c r="K675" s="11"/>
      <c r="L675" s="1"/>
      <c r="M675" s="319"/>
      <c r="N675" s="319"/>
      <c r="O675" s="319"/>
      <c r="P675" s="319"/>
      <c r="Q675" s="319"/>
      <c r="R675" s="319" t="str">
        <f>$R$20</f>
        <v>kW</v>
      </c>
      <c r="S675" s="319">
        <f>(IF(V659&gt;0.1,EnthalpyV(V659,S660+$AA$1090)-EnthalpyF(0.1,S673+$AA$1090),EnthalpyF(V659,S660+$AA$1090)-EnthalpyF(0.1,S673+$AA$1090))*S648*(1-V652)*V673+IF(V654&gt;0.1,(S657-EnthalpyF(0.1,S673+$AA$1090)),(EnthalpyF(V654,S655+$AA$1090)-EnthalpyF(0.1,S673+$AA$1090)))*V652*S648)/3600</f>
        <v>0</v>
      </c>
      <c r="T675" s="319" t="str">
        <f>$T$77</f>
        <v>milhão Btu/h</v>
      </c>
      <c r="U675" s="319">
        <f>S675*$AA$1087</f>
        <v>0</v>
      </c>
      <c r="V675" s="319"/>
      <c r="W675" s="319"/>
      <c r="X675" s="319"/>
      <c r="Y675" s="319"/>
      <c r="Z675" s="319"/>
      <c r="AA675" s="319"/>
      <c r="AB675" s="319"/>
      <c r="AC675" s="319"/>
      <c r="AD675" s="319"/>
      <c r="AE675" s="319"/>
      <c r="AF675" s="319"/>
      <c r="AG675" s="319"/>
      <c r="AH675" s="319"/>
      <c r="AI675" s="319"/>
      <c r="AJ675" s="319"/>
      <c r="AK675" s="319"/>
      <c r="AL675" s="319"/>
      <c r="AM675" s="319"/>
      <c r="AN675" s="319"/>
      <c r="AO675" s="319">
        <v>2060066</v>
      </c>
      <c r="AP675" s="319"/>
      <c r="AQ675" s="319"/>
      <c r="AR675" s="319"/>
      <c r="AS675" s="319"/>
      <c r="AT675" s="319"/>
      <c r="AU675" s="319"/>
      <c r="AV675" s="319"/>
      <c r="AW675" s="319"/>
      <c r="AX675" s="319"/>
      <c r="AY675" s="319"/>
      <c r="AZ675" s="319"/>
      <c r="BA675" s="319"/>
      <c r="BB675" s="319"/>
      <c r="BC675" s="319"/>
      <c r="BD675" s="319"/>
      <c r="BE675" s="319"/>
      <c r="BF675" s="319"/>
      <c r="BG675" s="319"/>
      <c r="BH675" s="319"/>
      <c r="BI675" s="319"/>
      <c r="BJ675" s="319"/>
      <c r="BK675" s="319"/>
      <c r="BL675" s="319"/>
      <c r="BM675" s="319"/>
      <c r="BN675" s="319"/>
      <c r="BO675" s="319"/>
      <c r="BP675" s="319"/>
      <c r="BQ675" s="319"/>
      <c r="BR675" s="319"/>
      <c r="BS675" s="319"/>
      <c r="BT675" s="319"/>
      <c r="BU675" s="319"/>
      <c r="BV675" s="319"/>
      <c r="BW675" s="319"/>
      <c r="BX675" s="319"/>
      <c r="BY675" s="319"/>
      <c r="BZ675" s="319"/>
      <c r="CA675" s="319"/>
      <c r="CB675" s="319"/>
      <c r="CC675" s="319"/>
      <c r="CD675" s="319"/>
      <c r="CE675" s="319"/>
      <c r="CF675" s="319"/>
    </row>
    <row r="676" spans="1:84" ht="12.75" hidden="1" customHeight="1">
      <c r="A676" s="12"/>
      <c r="B676" s="1"/>
      <c r="C676" s="1"/>
      <c r="D676" s="1"/>
      <c r="E676" s="1"/>
      <c r="F676" s="1"/>
      <c r="G676" s="1"/>
      <c r="H676" s="1"/>
      <c r="I676" s="1"/>
      <c r="J676" s="1"/>
      <c r="K676" s="9"/>
      <c r="L676" s="1"/>
      <c r="M676" s="319"/>
      <c r="N676" s="319"/>
      <c r="O676" s="319"/>
      <c r="P676" s="319"/>
      <c r="Q676" s="319"/>
      <c r="R676" s="319"/>
      <c r="S676" s="319"/>
      <c r="T676" s="319"/>
      <c r="U676" s="319"/>
      <c r="V676" s="319"/>
      <c r="W676" s="319"/>
      <c r="X676" s="319"/>
      <c r="Y676" s="319"/>
      <c r="Z676" s="319"/>
      <c r="AA676" s="319"/>
      <c r="AB676" s="319"/>
      <c r="AC676" s="319"/>
      <c r="AD676" s="319"/>
      <c r="AE676" s="319"/>
      <c r="AF676" s="319"/>
      <c r="AG676" s="319"/>
      <c r="AH676" s="319"/>
      <c r="AI676" s="319"/>
      <c r="AJ676" s="319"/>
      <c r="AK676" s="319"/>
      <c r="AL676" s="319"/>
      <c r="AM676" s="319"/>
      <c r="AN676" s="319"/>
      <c r="AO676" s="319">
        <v>2030000</v>
      </c>
      <c r="AP676" s="319"/>
      <c r="AQ676" s="319"/>
      <c r="AR676" s="319"/>
      <c r="AS676" s="319"/>
      <c r="AT676" s="319"/>
      <c r="AU676" s="319"/>
      <c r="AV676" s="319"/>
      <c r="AW676" s="319"/>
      <c r="AX676" s="319"/>
      <c r="AY676" s="319"/>
      <c r="AZ676" s="319"/>
      <c r="BA676" s="319"/>
      <c r="BB676" s="319"/>
      <c r="BC676" s="319"/>
      <c r="BD676" s="319"/>
      <c r="BE676" s="319"/>
      <c r="BF676" s="319"/>
      <c r="BG676" s="319"/>
      <c r="BH676" s="319"/>
      <c r="BI676" s="319"/>
      <c r="BJ676" s="319"/>
      <c r="BK676" s="319"/>
      <c r="BL676" s="319"/>
      <c r="BM676" s="319"/>
      <c r="BN676" s="319"/>
      <c r="BO676" s="319"/>
      <c r="BP676" s="319"/>
      <c r="BQ676" s="319"/>
      <c r="BR676" s="319"/>
      <c r="BS676" s="319"/>
      <c r="BT676" s="319"/>
      <c r="BU676" s="319"/>
      <c r="BV676" s="319"/>
      <c r="BW676" s="319"/>
      <c r="BX676" s="319"/>
      <c r="BY676" s="319"/>
      <c r="BZ676" s="319"/>
      <c r="CA676" s="319"/>
      <c r="CB676" s="319"/>
      <c r="CC676" s="319"/>
      <c r="CD676" s="319"/>
      <c r="CE676" s="319"/>
      <c r="CF676" s="319"/>
    </row>
    <row r="677" spans="1:84" ht="12.75" hidden="1" customHeight="1">
      <c r="A677" s="12"/>
      <c r="B677" s="28" t="str">
        <f>B127&amp;" #2"</f>
        <v>Turbina à vapor #2</v>
      </c>
      <c r="C677" s="1"/>
      <c r="D677" s="1"/>
      <c r="E677" s="1"/>
      <c r="F677" s="1"/>
      <c r="G677" s="1"/>
      <c r="H677" s="1"/>
      <c r="I677" s="1"/>
      <c r="J677" s="1"/>
      <c r="K677" s="9"/>
      <c r="L677" s="1"/>
      <c r="M677" s="319"/>
      <c r="N677" s="319"/>
      <c r="O677" s="319"/>
      <c r="P677" s="319"/>
      <c r="Q677" s="319"/>
      <c r="R677" s="319"/>
      <c r="S677" s="319" t="s">
        <v>5432</v>
      </c>
      <c r="T677" s="319"/>
      <c r="U677" s="319" t="s">
        <v>3211</v>
      </c>
      <c r="V677" s="319"/>
      <c r="W677" s="319"/>
      <c r="X677" s="319"/>
      <c r="Y677" s="319"/>
      <c r="Z677" s="319"/>
      <c r="AA677" s="319"/>
      <c r="AB677" s="319"/>
      <c r="AC677" s="319"/>
      <c r="AD677" s="319"/>
      <c r="AE677" s="319"/>
      <c r="AF677" s="319"/>
      <c r="AG677" s="319"/>
      <c r="AH677" s="319"/>
      <c r="AI677" s="319"/>
      <c r="AJ677" s="319"/>
      <c r="AK677" s="319"/>
      <c r="AL677" s="319"/>
      <c r="AM677" s="319"/>
      <c r="AN677" s="319"/>
      <c r="AO677" s="319">
        <v>14200</v>
      </c>
      <c r="AP677" s="319"/>
      <c r="AQ677" s="319"/>
      <c r="AR677" s="319"/>
      <c r="AS677" s="319"/>
      <c r="AT677" s="319"/>
      <c r="AU677" s="319"/>
      <c r="AV677" s="319"/>
      <c r="AW677" s="319"/>
      <c r="AX677" s="319"/>
      <c r="AY677" s="319"/>
      <c r="AZ677" s="319"/>
      <c r="BA677" s="319"/>
      <c r="BB677" s="319"/>
      <c r="BC677" s="319"/>
      <c r="BD677" s="319"/>
      <c r="BE677" s="319"/>
      <c r="BF677" s="319"/>
      <c r="BG677" s="319"/>
      <c r="BH677" s="319"/>
      <c r="BI677" s="319"/>
      <c r="BJ677" s="319"/>
      <c r="BK677" s="319"/>
      <c r="BL677" s="319"/>
      <c r="BM677" s="319"/>
      <c r="BN677" s="319"/>
      <c r="BO677" s="319"/>
      <c r="BP677" s="319"/>
      <c r="BQ677" s="319"/>
      <c r="BR677" s="319"/>
      <c r="BS677" s="319"/>
      <c r="BT677" s="319"/>
      <c r="BU677" s="319"/>
      <c r="BV677" s="319"/>
      <c r="BW677" s="319"/>
      <c r="BX677" s="319"/>
      <c r="BY677" s="319"/>
      <c r="BZ677" s="319"/>
      <c r="CA677" s="319"/>
      <c r="CB677" s="319"/>
      <c r="CC677" s="319"/>
      <c r="CD677" s="319"/>
      <c r="CE677" s="319"/>
      <c r="CF677" s="319"/>
    </row>
    <row r="678" spans="1:84" ht="12.75" hidden="1" customHeight="1">
      <c r="A678" s="12"/>
      <c r="B678" s="329" t="str">
        <f>B131</f>
        <v>Fluxo de vapor</v>
      </c>
      <c r="C678" s="303" t="s">
        <v>4448</v>
      </c>
      <c r="D678" s="307"/>
      <c r="E678" s="1"/>
      <c r="F678" s="1"/>
      <c r="G678" s="1"/>
      <c r="H678" s="1346"/>
      <c r="I678" s="1"/>
      <c r="J678" s="1"/>
      <c r="K678" s="9"/>
      <c r="L678" s="1"/>
      <c r="M678" s="319"/>
      <c r="N678" s="319"/>
      <c r="O678" s="319"/>
      <c r="P678" s="319"/>
      <c r="Q678" s="319"/>
      <c r="R678" s="319" t="s">
        <v>4448</v>
      </c>
      <c r="S678" s="319">
        <f>IF(C678=$Z$1084,D678,D678*$AA$1085)</f>
        <v>0</v>
      </c>
      <c r="T678" s="319"/>
      <c r="U678" s="319"/>
      <c r="V678" s="319"/>
      <c r="W678" s="319"/>
      <c r="X678" s="319"/>
      <c r="Y678" s="319"/>
      <c r="Z678" s="319"/>
      <c r="AA678" s="319"/>
      <c r="AB678" s="319"/>
      <c r="AC678" s="319"/>
      <c r="AD678" s="319"/>
      <c r="AE678" s="319"/>
      <c r="AF678" s="319"/>
      <c r="AG678" s="319"/>
      <c r="AH678" s="319"/>
      <c r="AI678" s="319"/>
      <c r="AJ678" s="319"/>
      <c r="AK678" s="319"/>
      <c r="AL678" s="319"/>
      <c r="AM678" s="319"/>
      <c r="AN678" s="319"/>
      <c r="AO678" s="319">
        <v>2060016</v>
      </c>
      <c r="AP678" s="319"/>
      <c r="AQ678" s="319"/>
      <c r="AR678" s="319"/>
      <c r="AS678" s="319"/>
      <c r="AT678" s="319"/>
      <c r="AU678" s="319"/>
      <c r="AV678" s="319"/>
      <c r="AW678" s="319"/>
      <c r="AX678" s="319"/>
      <c r="AY678" s="319"/>
      <c r="AZ678" s="319"/>
      <c r="BA678" s="319"/>
      <c r="BB678" s="319"/>
      <c r="BC678" s="319"/>
      <c r="BD678" s="319"/>
      <c r="BE678" s="319"/>
      <c r="BF678" s="319"/>
      <c r="BG678" s="319"/>
      <c r="BH678" s="319"/>
      <c r="BI678" s="319"/>
      <c r="BJ678" s="319"/>
      <c r="BK678" s="319"/>
      <c r="BL678" s="319"/>
      <c r="BM678" s="319"/>
      <c r="BN678" s="319"/>
      <c r="BO678" s="319"/>
      <c r="BP678" s="319"/>
      <c r="BQ678" s="319"/>
      <c r="BR678" s="319"/>
      <c r="BS678" s="319"/>
      <c r="BT678" s="319"/>
      <c r="BU678" s="319"/>
      <c r="BV678" s="319"/>
      <c r="BW678" s="319"/>
      <c r="BX678" s="319"/>
      <c r="BY678" s="319"/>
      <c r="BZ678" s="319"/>
      <c r="CA678" s="319"/>
      <c r="CB678" s="319"/>
      <c r="CC678" s="319"/>
      <c r="CD678" s="319"/>
      <c r="CE678" s="319"/>
      <c r="CF678" s="319"/>
    </row>
    <row r="679" spans="1:84" ht="12.75" hidden="1" customHeight="1">
      <c r="A679" s="12"/>
      <c r="B679" s="329" t="str">
        <f>B85</f>
        <v>Pressão de Operação</v>
      </c>
      <c r="C679" s="303" t="s">
        <v>2791</v>
      </c>
      <c r="D679" s="307"/>
      <c r="E679" s="1"/>
      <c r="F679" s="1"/>
      <c r="G679" s="1"/>
      <c r="H679" s="1"/>
      <c r="I679" s="1"/>
      <c r="J679" s="1"/>
      <c r="K679" s="788" t="str">
        <f>IF(V679=SteamP,$G$1088,"")</f>
        <v>Pressão está fora do intervalo válido</v>
      </c>
      <c r="L679" s="1"/>
      <c r="M679" s="319"/>
      <c r="N679" s="319"/>
      <c r="O679" s="319"/>
      <c r="P679" s="319"/>
      <c r="Q679" s="319"/>
      <c r="R679" s="319"/>
      <c r="S679" s="319"/>
      <c r="T679" s="319"/>
      <c r="U679" s="319"/>
      <c r="V679" s="319">
        <f>IF(IF(C679=$Z$1067,D679/1000,IF(C679=$Z$1068,D679/10,IF(C679=$Z$1069,(D679+$AA$1069)/$Y$1069/10,IF(C679=$Z$1070,D679/$Y$1069/10))))&lt;SteamP,SteamP,IF(C679=$Z$1067,D679/1000,IF(C679=$Z$1068,D679/10,IF(C679=$Z$1069,(D679+$AA$1069)/$Y$1069/10,IF(C679=$Z$1070,D679/$Y$1069/10)))))</f>
        <v>1.1100000000000001E-3</v>
      </c>
      <c r="W679" s="319" t="s">
        <v>3345</v>
      </c>
      <c r="X679" s="319"/>
      <c r="Y679" s="319"/>
      <c r="Z679" s="319"/>
      <c r="AA679" s="319"/>
      <c r="AB679" s="319"/>
      <c r="AC679" s="319"/>
      <c r="AD679" s="319"/>
      <c r="AE679" s="319"/>
      <c r="AF679" s="319"/>
      <c r="AG679" s="319"/>
      <c r="AH679" s="319"/>
      <c r="AI679" s="319"/>
      <c r="AJ679" s="319"/>
      <c r="AK679" s="319"/>
      <c r="AL679" s="319"/>
      <c r="AM679" s="319"/>
      <c r="AN679" s="319"/>
      <c r="AO679" s="319">
        <v>2060008</v>
      </c>
      <c r="AP679" s="319"/>
      <c r="AQ679" s="319"/>
      <c r="AR679" s="319"/>
      <c r="AS679" s="319"/>
      <c r="AT679" s="319"/>
      <c r="AU679" s="319"/>
      <c r="AV679" s="319"/>
      <c r="AW679" s="319"/>
      <c r="AX679" s="319"/>
      <c r="AY679" s="319"/>
      <c r="AZ679" s="319"/>
      <c r="BA679" s="319"/>
      <c r="BB679" s="319"/>
      <c r="BC679" s="319"/>
      <c r="BD679" s="319"/>
      <c r="BE679" s="319"/>
      <c r="BF679" s="319"/>
      <c r="BG679" s="319"/>
      <c r="BH679" s="319"/>
      <c r="BI679" s="319"/>
      <c r="BJ679" s="319"/>
      <c r="BK679" s="319"/>
      <c r="BL679" s="319"/>
      <c r="BM679" s="319"/>
      <c r="BN679" s="319"/>
      <c r="BO679" s="319"/>
      <c r="BP679" s="319"/>
      <c r="BQ679" s="319"/>
      <c r="BR679" s="319"/>
      <c r="BS679" s="319"/>
      <c r="BT679" s="319"/>
      <c r="BU679" s="319"/>
      <c r="BV679" s="319"/>
      <c r="BW679" s="319"/>
      <c r="BX679" s="319"/>
      <c r="BY679" s="319"/>
      <c r="BZ679" s="319"/>
      <c r="CA679" s="319"/>
      <c r="CB679" s="319"/>
      <c r="CC679" s="319"/>
      <c r="CD679" s="319"/>
      <c r="CE679" s="319"/>
      <c r="CF679" s="319"/>
    </row>
    <row r="680" spans="1:84" ht="12.75" hidden="1" customHeight="1">
      <c r="A680" s="12"/>
      <c r="B680" s="329" t="str">
        <f>B86</f>
        <v>Temperatura de saturação</v>
      </c>
      <c r="C680" s="29" t="str">
        <f>IF(Unit=TRUE,R680,T680)</f>
        <v>°C</v>
      </c>
      <c r="D680" s="30">
        <f>IF(Unit=TRUE,S680,U680)</f>
        <v>8.4990758364950239</v>
      </c>
      <c r="E680" s="1"/>
      <c r="F680" s="29" t="str">
        <f>IF($M$3=FALSE,"",IF(Unit=FALSE,R680,T680))</f>
        <v/>
      </c>
      <c r="G680" s="140" t="str">
        <f>IF($M$3=FALSE,"",IF(Unit=FALSE,S680,U680))</f>
        <v/>
      </c>
      <c r="H680" s="1"/>
      <c r="I680" s="1"/>
      <c r="J680" s="1"/>
      <c r="K680" s="9"/>
      <c r="L680" s="1"/>
      <c r="M680" s="319"/>
      <c r="N680" s="319"/>
      <c r="O680" s="319"/>
      <c r="P680" s="319"/>
      <c r="Q680" s="319"/>
      <c r="R680" s="319" t="str">
        <f>$R$86</f>
        <v>°C</v>
      </c>
      <c r="S680" s="319">
        <f>V680-$AA$1090</f>
        <v>8.4990758364950239</v>
      </c>
      <c r="T680" s="319" t="str">
        <f>$T$86</f>
        <v>°F</v>
      </c>
      <c r="U680" s="319">
        <f>S680*1.8+32</f>
        <v>47.29833650569104</v>
      </c>
      <c r="V680" s="319">
        <f>Tsat(V679)</f>
        <v>281.649075836495</v>
      </c>
      <c r="W680" s="319" t="s">
        <v>143</v>
      </c>
      <c r="X680" s="319"/>
      <c r="Y680" s="319"/>
      <c r="Z680" s="319"/>
      <c r="AA680" s="319"/>
      <c r="AB680" s="319"/>
      <c r="AC680" s="319"/>
      <c r="AD680" s="319"/>
      <c r="AE680" s="319"/>
      <c r="AF680" s="319"/>
      <c r="AG680" s="319"/>
      <c r="AH680" s="319"/>
      <c r="AI680" s="319"/>
      <c r="AJ680" s="319"/>
      <c r="AK680" s="319"/>
      <c r="AL680" s="319"/>
      <c r="AM680" s="319"/>
      <c r="AN680" s="319"/>
      <c r="AO680" s="319">
        <v>2060010</v>
      </c>
      <c r="AP680" s="319"/>
      <c r="AQ680" s="319"/>
      <c r="AR680" s="319"/>
      <c r="AS680" s="319"/>
      <c r="AT680" s="319"/>
      <c r="AU680" s="319"/>
      <c r="AV680" s="319"/>
      <c r="AW680" s="319"/>
      <c r="AX680" s="319"/>
      <c r="AY680" s="319"/>
      <c r="AZ680" s="319"/>
      <c r="BA680" s="319"/>
      <c r="BB680" s="319"/>
      <c r="BC680" s="319"/>
      <c r="BD680" s="319"/>
      <c r="BE680" s="319"/>
      <c r="BF680" s="319"/>
      <c r="BG680" s="319"/>
      <c r="BH680" s="319"/>
      <c r="BI680" s="319"/>
      <c r="BJ680" s="319"/>
      <c r="BK680" s="319"/>
      <c r="BL680" s="319"/>
      <c r="BM680" s="319"/>
      <c r="BN680" s="319"/>
      <c r="BO680" s="319"/>
      <c r="BP680" s="319"/>
      <c r="BQ680" s="319"/>
      <c r="BR680" s="319"/>
      <c r="BS680" s="319"/>
      <c r="BT680" s="319"/>
      <c r="BU680" s="319"/>
      <c r="BV680" s="319"/>
      <c r="BW680" s="319"/>
      <c r="BX680" s="319"/>
      <c r="BY680" s="319"/>
      <c r="BZ680" s="319"/>
      <c r="CA680" s="319"/>
      <c r="CB680" s="319"/>
      <c r="CC680" s="319"/>
      <c r="CD680" s="319"/>
      <c r="CE680" s="319"/>
      <c r="CF680" s="319"/>
    </row>
    <row r="681" spans="1:84" ht="12.75" hidden="1" customHeight="1">
      <c r="A681" s="12"/>
      <c r="B681" s="329" t="str">
        <f>B87</f>
        <v>Temperatura superaquecimento</v>
      </c>
      <c r="C681" s="303" t="s">
        <v>5568</v>
      </c>
      <c r="D681" s="307"/>
      <c r="E681" s="1"/>
      <c r="F681" s="1"/>
      <c r="G681" s="1"/>
      <c r="H681" s="1"/>
      <c r="I681" s="1"/>
      <c r="J681" s="1"/>
      <c r="K681" s="788" t="str">
        <f>IF(S681&lt;S680,$G$1089,IF(S681&gt;800,$G$1090,""))</f>
        <v>Temp do vapor abaixo do ponto de saturação</v>
      </c>
      <c r="L681" s="1"/>
      <c r="M681" s="319"/>
      <c r="N681" s="319"/>
      <c r="O681" s="319"/>
      <c r="P681" s="319"/>
      <c r="Q681" s="319"/>
      <c r="R681" s="319" t="str">
        <f>$R$86</f>
        <v>°C</v>
      </c>
      <c r="S681" s="319">
        <f>IF(C681=$Z$1107,D681,(D681-32)/1.8)</f>
        <v>0</v>
      </c>
      <c r="T681" s="319"/>
      <c r="U681" s="319"/>
      <c r="V681" s="319">
        <f>S681+$AA$1090</f>
        <v>273.14999999999998</v>
      </c>
      <c r="W681" s="319" t="s">
        <v>143</v>
      </c>
      <c r="X681" s="319"/>
      <c r="Y681" s="319"/>
      <c r="Z681" s="319"/>
      <c r="AA681" s="319"/>
      <c r="AB681" s="319"/>
      <c r="AC681" s="319"/>
      <c r="AD681" s="319"/>
      <c r="AE681" s="319"/>
      <c r="AF681" s="319"/>
      <c r="AG681" s="319"/>
      <c r="AH681" s="319"/>
      <c r="AI681" s="319"/>
      <c r="AJ681" s="319"/>
      <c r="AK681" s="319"/>
      <c r="AL681" s="319"/>
      <c r="AM681" s="319"/>
      <c r="AN681" s="319"/>
      <c r="AO681" s="319">
        <v>2060012</v>
      </c>
      <c r="AP681" s="319"/>
      <c r="AQ681" s="319"/>
      <c r="AR681" s="319"/>
      <c r="AS681" s="319"/>
      <c r="AT681" s="319"/>
      <c r="AU681" s="319"/>
      <c r="AV681" s="319"/>
      <c r="AW681" s="319"/>
      <c r="AX681" s="319"/>
      <c r="AY681" s="319"/>
      <c r="AZ681" s="319"/>
      <c r="BA681" s="319"/>
      <c r="BB681" s="319"/>
      <c r="BC681" s="319"/>
      <c r="BD681" s="319"/>
      <c r="BE681" s="319"/>
      <c r="BF681" s="319"/>
      <c r="BG681" s="319"/>
      <c r="BH681" s="319"/>
      <c r="BI681" s="319"/>
      <c r="BJ681" s="319"/>
      <c r="BK681" s="319"/>
      <c r="BL681" s="319"/>
      <c r="BM681" s="319"/>
      <c r="BN681" s="319"/>
      <c r="BO681" s="319"/>
      <c r="BP681" s="319"/>
      <c r="BQ681" s="319"/>
      <c r="BR681" s="319"/>
      <c r="BS681" s="319"/>
      <c r="BT681" s="319"/>
      <c r="BU681" s="319"/>
      <c r="BV681" s="319"/>
      <c r="BW681" s="319"/>
      <c r="BX681" s="319"/>
      <c r="BY681" s="319"/>
      <c r="BZ681" s="319"/>
      <c r="CA681" s="319"/>
      <c r="CB681" s="319"/>
      <c r="CC681" s="319"/>
      <c r="CD681" s="319"/>
      <c r="CE681" s="319"/>
      <c r="CF681" s="319"/>
    </row>
    <row r="682" spans="1:84" ht="12.75" hidden="1" customHeight="1">
      <c r="A682" s="12"/>
      <c r="B682" s="329" t="str">
        <f>B132</f>
        <v>Entalpia</v>
      </c>
      <c r="C682" s="29" t="str">
        <f>IF(Unit=TRUE,R682,T682)</f>
        <v>kJ/kg</v>
      </c>
      <c r="D682" s="30">
        <f>IF(Unit=TRUE,S682,U682)</f>
        <v>2500.3977354876192</v>
      </c>
      <c r="E682" s="1"/>
      <c r="F682" s="29" t="str">
        <f>IF($M$3=FALSE,"",IF(Unit=FALSE,R682,T682))</f>
        <v/>
      </c>
      <c r="G682" s="140" t="str">
        <f>IF($M$3=FALSE,"",IF(Unit=FALSE,S682,U682))</f>
        <v/>
      </c>
      <c r="H682" s="1"/>
      <c r="I682" s="1"/>
      <c r="J682" s="1"/>
      <c r="K682" s="9"/>
      <c r="L682" s="1"/>
      <c r="M682" s="319"/>
      <c r="N682" s="319"/>
      <c r="O682" s="319"/>
      <c r="P682" s="319"/>
      <c r="Q682" s="319"/>
      <c r="R682" s="319" t="str">
        <f>$R$132</f>
        <v>kJ/kg</v>
      </c>
      <c r="S682" s="319">
        <f>V682</f>
        <v>2500.3977354876192</v>
      </c>
      <c r="T682" s="319" t="str">
        <f>$T$132</f>
        <v>Btu/lb</v>
      </c>
      <c r="U682" s="319">
        <f>S682*$AA$1073</f>
        <v>1074.9775303042218</v>
      </c>
      <c r="V682" s="319">
        <f>EnthalpyV(V679,V681)</f>
        <v>2500.3977354876192</v>
      </c>
      <c r="W682" s="319" t="s">
        <v>2922</v>
      </c>
      <c r="X682" s="319"/>
      <c r="Y682" s="319"/>
      <c r="Z682" s="319"/>
      <c r="AA682" s="319"/>
      <c r="AB682" s="319"/>
      <c r="AC682" s="319"/>
      <c r="AD682" s="319"/>
      <c r="AE682" s="319"/>
      <c r="AF682" s="319"/>
      <c r="AG682" s="319"/>
      <c r="AH682" s="319"/>
      <c r="AI682" s="319"/>
      <c r="AJ682" s="319"/>
      <c r="AK682" s="319"/>
      <c r="AL682" s="319"/>
      <c r="AM682" s="319"/>
      <c r="AN682" s="319"/>
      <c r="AO682" s="319">
        <v>2060018</v>
      </c>
      <c r="AP682" s="319"/>
      <c r="AQ682" s="319"/>
      <c r="AR682" s="319"/>
      <c r="AS682" s="319"/>
      <c r="AT682" s="319"/>
      <c r="AU682" s="319"/>
      <c r="AV682" s="319"/>
      <c r="AW682" s="319"/>
      <c r="AX682" s="319"/>
      <c r="AY682" s="319"/>
      <c r="AZ682" s="319"/>
      <c r="BA682" s="319"/>
      <c r="BB682" s="319"/>
      <c r="BC682" s="319"/>
      <c r="BD682" s="319"/>
      <c r="BE682" s="319"/>
      <c r="BF682" s="319"/>
      <c r="BG682" s="319"/>
      <c r="BH682" s="319"/>
      <c r="BI682" s="319"/>
      <c r="BJ682" s="319"/>
      <c r="BK682" s="319"/>
      <c r="BL682" s="319"/>
      <c r="BM682" s="319"/>
      <c r="BN682" s="319"/>
      <c r="BO682" s="319"/>
      <c r="BP682" s="319"/>
      <c r="BQ682" s="319"/>
      <c r="BR682" s="319"/>
      <c r="BS682" s="319"/>
      <c r="BT682" s="319"/>
      <c r="BU682" s="319"/>
      <c r="BV682" s="319"/>
      <c r="BW682" s="319"/>
      <c r="BX682" s="319"/>
      <c r="BY682" s="319"/>
      <c r="BZ682" s="319"/>
      <c r="CA682" s="319"/>
      <c r="CB682" s="319"/>
      <c r="CC682" s="319"/>
      <c r="CD682" s="319"/>
      <c r="CE682" s="319"/>
      <c r="CF682" s="319"/>
    </row>
    <row r="683" spans="1:84" ht="12.75" hidden="1" customHeight="1">
      <c r="A683" s="12"/>
      <c r="B683" s="329" t="str">
        <f>Language!C438</f>
        <v>Entropia</v>
      </c>
      <c r="C683" s="29" t="str">
        <f>IF(Unit=TRUE,R683,T683)</f>
        <v>kJ/kg/K</v>
      </c>
      <c r="D683" s="284">
        <f>IF(Unit=TRUE,S683,U683)</f>
        <v>8.8787178819601049</v>
      </c>
      <c r="E683" s="1"/>
      <c r="F683" s="29" t="str">
        <f>IF($M$3=FALSE,"",IF(Unit=FALSE,R683,T683))</f>
        <v/>
      </c>
      <c r="G683" s="140" t="str">
        <f>IF($M$3=FALSE,"",IF(Unit=FALSE,S683,U683))</f>
        <v/>
      </c>
      <c r="H683" s="1"/>
      <c r="I683" s="1"/>
      <c r="J683" s="1"/>
      <c r="K683" s="9"/>
      <c r="L683" s="1"/>
      <c r="M683" s="319"/>
      <c r="N683" s="319"/>
      <c r="O683" s="319"/>
      <c r="P683" s="319"/>
      <c r="Q683" s="319"/>
      <c r="R683" s="319" t="str">
        <f>R133</f>
        <v>kJ/kg/K</v>
      </c>
      <c r="S683" s="319">
        <f>V683</f>
        <v>8.8787178819601049</v>
      </c>
      <c r="T683" s="319" t="str">
        <f>T133</f>
        <v>Btu/lb/°R</v>
      </c>
      <c r="U683" s="319">
        <f>S683*$AA$1075</f>
        <v>2.1206453334193434</v>
      </c>
      <c r="V683" s="319">
        <f>entropyV(V679,V681)</f>
        <v>8.8787178819601049</v>
      </c>
      <c r="W683" s="319" t="s">
        <v>2923</v>
      </c>
      <c r="X683" s="319"/>
      <c r="Y683" s="319"/>
      <c r="Z683" s="319"/>
      <c r="AA683" s="319"/>
      <c r="AB683" s="319"/>
      <c r="AC683" s="319"/>
      <c r="AD683" s="319"/>
      <c r="AE683" s="319"/>
      <c r="AF683" s="319"/>
      <c r="AG683" s="319"/>
      <c r="AH683" s="319"/>
      <c r="AI683" s="319"/>
      <c r="AJ683" s="319"/>
      <c r="AK683" s="319"/>
      <c r="AL683" s="319"/>
      <c r="AM683" s="319"/>
      <c r="AN683" s="319"/>
      <c r="AO683" s="319">
        <v>2060020</v>
      </c>
      <c r="AP683" s="319"/>
      <c r="AQ683" s="319"/>
      <c r="AR683" s="319"/>
      <c r="AS683" s="319"/>
      <c r="AT683" s="319"/>
      <c r="AU683" s="319"/>
      <c r="AV683" s="319"/>
      <c r="AW683" s="319"/>
      <c r="AX683" s="319"/>
      <c r="AY683" s="319"/>
      <c r="AZ683" s="319"/>
      <c r="BA683" s="319"/>
      <c r="BB683" s="319"/>
      <c r="BC683" s="319"/>
      <c r="BD683" s="319"/>
      <c r="BE683" s="319"/>
      <c r="BF683" s="319"/>
      <c r="BG683" s="319"/>
      <c r="BH683" s="319"/>
      <c r="BI683" s="319"/>
      <c r="BJ683" s="319"/>
      <c r="BK683" s="319"/>
      <c r="BL683" s="319"/>
      <c r="BM683" s="319"/>
      <c r="BN683" s="319"/>
      <c r="BO683" s="319"/>
      <c r="BP683" s="319"/>
      <c r="BQ683" s="319"/>
      <c r="BR683" s="319"/>
      <c r="BS683" s="319"/>
      <c r="BT683" s="319"/>
      <c r="BU683" s="319"/>
      <c r="BV683" s="319"/>
      <c r="BW683" s="319"/>
      <c r="BX683" s="319"/>
      <c r="BY683" s="319"/>
      <c r="BZ683" s="319"/>
      <c r="CA683" s="319"/>
      <c r="CB683" s="319"/>
      <c r="CC683" s="319"/>
      <c r="CD683" s="319"/>
      <c r="CE683" s="319"/>
      <c r="CF683" s="319"/>
    </row>
    <row r="684" spans="1:84" ht="12.75" hidden="1" customHeight="1">
      <c r="A684" s="12"/>
      <c r="B684" s="28" t="str">
        <f>Language!C439</f>
        <v>Porta de extração</v>
      </c>
      <c r="C684" s="1"/>
      <c r="D684" s="303" t="s">
        <v>6132</v>
      </c>
      <c r="E684" s="1"/>
      <c r="F684" s="1"/>
      <c r="G684" s="1"/>
      <c r="H684" s="1"/>
      <c r="I684" s="1"/>
      <c r="J684" s="1"/>
      <c r="K684" s="9"/>
      <c r="L684" s="1"/>
      <c r="M684" s="319">
        <f>IF(D684="",1,MATCH(D684,YesNo,0))</f>
        <v>2</v>
      </c>
      <c r="N684" s="319"/>
      <c r="O684" s="319" t="s">
        <v>924</v>
      </c>
      <c r="P684" s="319"/>
      <c r="Q684" s="319"/>
      <c r="R684" s="319"/>
      <c r="S684" s="319"/>
      <c r="T684" s="319"/>
      <c r="U684" s="319"/>
      <c r="V684" s="319"/>
      <c r="W684" s="319"/>
      <c r="X684" s="319"/>
      <c r="Y684" s="319"/>
      <c r="Z684" s="319"/>
      <c r="AA684" s="319"/>
      <c r="AB684" s="319"/>
      <c r="AC684" s="319"/>
      <c r="AD684" s="319"/>
      <c r="AE684" s="319"/>
      <c r="AF684" s="319"/>
      <c r="AG684" s="319"/>
      <c r="AH684" s="319"/>
      <c r="AI684" s="319"/>
      <c r="AJ684" s="319"/>
      <c r="AK684" s="319"/>
      <c r="AL684" s="319"/>
      <c r="AM684" s="319"/>
      <c r="AN684" s="319"/>
      <c r="AO684" s="319">
        <v>2060022</v>
      </c>
      <c r="AP684" s="319"/>
      <c r="AQ684" s="319"/>
      <c r="AR684" s="319"/>
      <c r="AS684" s="319"/>
      <c r="AT684" s="319"/>
      <c r="AU684" s="319"/>
      <c r="AV684" s="319"/>
      <c r="AW684" s="319"/>
      <c r="AX684" s="319"/>
      <c r="AY684" s="319"/>
      <c r="AZ684" s="319"/>
      <c r="BA684" s="319"/>
      <c r="BB684" s="319"/>
      <c r="BC684" s="319"/>
      <c r="BD684" s="319"/>
      <c r="BE684" s="319"/>
      <c r="BF684" s="319"/>
      <c r="BG684" s="319"/>
      <c r="BH684" s="319"/>
      <c r="BI684" s="319"/>
      <c r="BJ684" s="319"/>
      <c r="BK684" s="319"/>
      <c r="BL684" s="319"/>
      <c r="BM684" s="319"/>
      <c r="BN684" s="319"/>
      <c r="BO684" s="319"/>
      <c r="BP684" s="319"/>
      <c r="BQ684" s="319"/>
      <c r="BR684" s="319"/>
      <c r="BS684" s="319"/>
      <c r="BT684" s="319"/>
      <c r="BU684" s="319"/>
      <c r="BV684" s="319"/>
      <c r="BW684" s="319"/>
      <c r="BX684" s="319"/>
      <c r="BY684" s="319"/>
      <c r="BZ684" s="319"/>
      <c r="CA684" s="319"/>
      <c r="CB684" s="319"/>
      <c r="CC684" s="319"/>
      <c r="CD684" s="319"/>
      <c r="CE684" s="319"/>
      <c r="CF684" s="319"/>
    </row>
    <row r="685" spans="1:84" ht="12.75" hidden="1" customHeight="1">
      <c r="A685" s="12"/>
      <c r="B685" s="329" t="str">
        <f>Language!C440</f>
        <v>Extração máxima</v>
      </c>
      <c r="C685" s="29" t="str">
        <f>$T$35</f>
        <v>%</v>
      </c>
      <c r="D685" s="422"/>
      <c r="E685" s="1"/>
      <c r="F685" s="1"/>
      <c r="G685" s="1"/>
      <c r="H685" s="1"/>
      <c r="I685" s="1"/>
      <c r="J685" s="1"/>
      <c r="K685" s="9"/>
      <c r="L685" s="1"/>
      <c r="M685" s="319"/>
      <c r="N685" s="319"/>
      <c r="O685" s="319"/>
      <c r="P685" s="319"/>
      <c r="Q685" s="319"/>
      <c r="R685" s="319"/>
      <c r="S685" s="319"/>
      <c r="T685" s="319"/>
      <c r="U685" s="319"/>
      <c r="V685" s="319">
        <f>IF(HideCodeES_Extract_ST2=1,D685,0)</f>
        <v>0</v>
      </c>
      <c r="W685" s="319" t="s">
        <v>2153</v>
      </c>
      <c r="X685" s="319"/>
      <c r="Y685" s="319"/>
      <c r="Z685" s="319"/>
      <c r="AA685" s="319"/>
      <c r="AB685" s="319"/>
      <c r="AC685" s="319"/>
      <c r="AD685" s="319"/>
      <c r="AE685" s="319"/>
      <c r="AF685" s="319"/>
      <c r="AG685" s="319"/>
      <c r="AH685" s="319"/>
      <c r="AI685" s="319"/>
      <c r="AJ685" s="319"/>
      <c r="AK685" s="319"/>
      <c r="AL685" s="319"/>
      <c r="AM685" s="319"/>
      <c r="AN685" s="319"/>
      <c r="AO685" s="319">
        <v>2060024</v>
      </c>
      <c r="AP685" s="319"/>
      <c r="AQ685" s="319"/>
      <c r="AR685" s="319"/>
      <c r="AS685" s="319"/>
      <c r="AT685" s="319"/>
      <c r="AU685" s="319"/>
      <c r="AV685" s="319"/>
      <c r="AW685" s="319"/>
      <c r="AX685" s="319"/>
      <c r="AY685" s="319"/>
      <c r="AZ685" s="319"/>
      <c r="BA685" s="319"/>
      <c r="BB685" s="319"/>
      <c r="BC685" s="319"/>
      <c r="BD685" s="319"/>
      <c r="BE685" s="319"/>
      <c r="BF685" s="319"/>
      <c r="BG685" s="319"/>
      <c r="BH685" s="319"/>
      <c r="BI685" s="319"/>
      <c r="BJ685" s="319"/>
      <c r="BK685" s="319"/>
      <c r="BL685" s="319"/>
      <c r="BM685" s="319"/>
      <c r="BN685" s="319"/>
      <c r="BO685" s="319"/>
      <c r="BP685" s="319"/>
      <c r="BQ685" s="319"/>
      <c r="BR685" s="319"/>
      <c r="BS685" s="319"/>
      <c r="BT685" s="319"/>
      <c r="BU685" s="319"/>
      <c r="BV685" s="319"/>
      <c r="BW685" s="319"/>
      <c r="BX685" s="319"/>
      <c r="BY685" s="319"/>
      <c r="BZ685" s="319"/>
      <c r="CA685" s="319"/>
      <c r="CB685" s="319"/>
      <c r="CC685" s="319"/>
      <c r="CD685" s="319"/>
      <c r="CE685" s="319"/>
      <c r="CF685" s="319"/>
    </row>
    <row r="686" spans="1:84" ht="12.75" hidden="1" customHeight="1">
      <c r="A686" s="12"/>
      <c r="B686" s="329" t="str">
        <f>Language!C441</f>
        <v>Extração</v>
      </c>
      <c r="C686" s="29" t="str">
        <f>IF(Unit=TRUE,R686,T686)</f>
        <v>kg/h</v>
      </c>
      <c r="D686" s="30">
        <f>IF(Unit=TRUE,S686,U686)</f>
        <v>0</v>
      </c>
      <c r="E686" s="1"/>
      <c r="F686" s="29" t="str">
        <f>IF($M$3=FALSE,"",IF(Unit=FALSE,R686,T686))</f>
        <v/>
      </c>
      <c r="G686" s="140" t="str">
        <f>IF($M$3=FALSE,"",IF(Unit=FALSE,S686,U686))</f>
        <v/>
      </c>
      <c r="H686" s="1"/>
      <c r="I686" s="1"/>
      <c r="J686" s="1"/>
      <c r="K686" s="9"/>
      <c r="L686" s="1"/>
      <c r="M686" s="319"/>
      <c r="N686" s="319"/>
      <c r="O686" s="319"/>
      <c r="P686" s="319"/>
      <c r="Q686" s="319"/>
      <c r="R686" s="319" t="str">
        <f>$R$89</f>
        <v>kg/h</v>
      </c>
      <c r="S686" s="319">
        <f>V685*S678</f>
        <v>0</v>
      </c>
      <c r="T686" s="319" t="str">
        <f>$T$89</f>
        <v>lb/h</v>
      </c>
      <c r="U686" s="319">
        <f>S686*$AA$1085</f>
        <v>0</v>
      </c>
      <c r="V686" s="319"/>
      <c r="W686" s="319"/>
      <c r="X686" s="319"/>
      <c r="Y686" s="319"/>
      <c r="Z686" s="319"/>
      <c r="AA686" s="319"/>
      <c r="AB686" s="319"/>
      <c r="AC686" s="319"/>
      <c r="AD686" s="319"/>
      <c r="AE686" s="319"/>
      <c r="AF686" s="319"/>
      <c r="AG686" s="319"/>
      <c r="AH686" s="319"/>
      <c r="AI686" s="319"/>
      <c r="AJ686" s="319"/>
      <c r="AK686" s="319"/>
      <c r="AL686" s="319"/>
      <c r="AM686" s="319"/>
      <c r="AN686" s="319"/>
      <c r="AO686" s="319">
        <v>2060026</v>
      </c>
      <c r="AP686" s="319"/>
      <c r="AQ686" s="319"/>
      <c r="AR686" s="319"/>
      <c r="AS686" s="319"/>
      <c r="AT686" s="319"/>
      <c r="AU686" s="319"/>
      <c r="AV686" s="319"/>
      <c r="AW686" s="319"/>
      <c r="AX686" s="319"/>
      <c r="AY686" s="319"/>
      <c r="AZ686" s="319"/>
      <c r="BA686" s="319"/>
      <c r="BB686" s="319"/>
      <c r="BC686" s="319"/>
      <c r="BD686" s="319"/>
      <c r="BE686" s="319"/>
      <c r="BF686" s="319"/>
      <c r="BG686" s="319"/>
      <c r="BH686" s="319"/>
      <c r="BI686" s="319"/>
      <c r="BJ686" s="319"/>
      <c r="BK686" s="319"/>
      <c r="BL686" s="319"/>
      <c r="BM686" s="319"/>
      <c r="BN686" s="319"/>
      <c r="BO686" s="319"/>
      <c r="BP686" s="319"/>
      <c r="BQ686" s="319"/>
      <c r="BR686" s="319"/>
      <c r="BS686" s="319"/>
      <c r="BT686" s="319"/>
      <c r="BU686" s="319"/>
      <c r="BV686" s="319"/>
      <c r="BW686" s="319"/>
      <c r="BX686" s="319"/>
      <c r="BY686" s="319"/>
      <c r="BZ686" s="319"/>
      <c r="CA686" s="319"/>
      <c r="CB686" s="319"/>
      <c r="CC686" s="319"/>
      <c r="CD686" s="319"/>
      <c r="CE686" s="319"/>
      <c r="CF686" s="319"/>
    </row>
    <row r="687" spans="1:84" ht="12.75" hidden="1" customHeight="1">
      <c r="A687" s="12"/>
      <c r="B687" s="329" t="str">
        <f>Language!C442</f>
        <v>Pressão da extração</v>
      </c>
      <c r="C687" s="303" t="s">
        <v>741</v>
      </c>
      <c r="D687" s="307"/>
      <c r="E687" s="1"/>
      <c r="F687" s="1"/>
      <c r="G687" s="1"/>
      <c r="H687" s="1"/>
      <c r="I687" s="1"/>
      <c r="J687" s="1"/>
      <c r="K687" s="788" t="str">
        <f>IF(V687=SteamP,$G$1088,IF(V687&lt;=V692,Language!C485,""))</f>
        <v>Pressão está fora do intervalo válido</v>
      </c>
      <c r="L687" s="1"/>
      <c r="M687" s="319"/>
      <c r="N687" s="319"/>
      <c r="O687" s="319"/>
      <c r="P687" s="319"/>
      <c r="Q687" s="319"/>
      <c r="R687" s="319"/>
      <c r="S687" s="319"/>
      <c r="T687" s="319"/>
      <c r="U687" s="319"/>
      <c r="V687" s="319">
        <f>IF(IF(C687=$Z$1061,D687/1000,IF(C687=$Z$1062,(D687+$AA$1069)/$Y$1069/10,IF(C687=$Z$1063,D687/$Y$1069/10,IF(C687=$Z$1064,D687/$AA$1064,D687/$AA$1065/10))))&lt;SteamP,SteamP,IF(C687=$Z$1061,D687/1000,IF(C687=$Z$1062,(D687+$AA$1069)/$Y$1069/10,IF(C687=$Z$1063,D687/$Y$1069/10,IF(C687=$Z$1064,D687/$AA$1064,D687/$AA$1065/10)))))</f>
        <v>1.1100000000000001E-3</v>
      </c>
      <c r="W687" s="319" t="s">
        <v>3345</v>
      </c>
      <c r="X687" s="319"/>
      <c r="Y687" s="319"/>
      <c r="Z687" s="319"/>
      <c r="AA687" s="319"/>
      <c r="AB687" s="319"/>
      <c r="AC687" s="319"/>
      <c r="AD687" s="319"/>
      <c r="AE687" s="319"/>
      <c r="AF687" s="319"/>
      <c r="AG687" s="319"/>
      <c r="AH687" s="319"/>
      <c r="AI687" s="319"/>
      <c r="AJ687" s="319"/>
      <c r="AK687" s="319"/>
      <c r="AL687" s="319"/>
      <c r="AM687" s="319"/>
      <c r="AN687" s="319"/>
      <c r="AO687" s="319">
        <v>2060028</v>
      </c>
      <c r="AP687" s="319"/>
      <c r="AQ687" s="319"/>
      <c r="AR687" s="319"/>
      <c r="AS687" s="319"/>
      <c r="AT687" s="319"/>
      <c r="AU687" s="319"/>
      <c r="AV687" s="319"/>
      <c r="AW687" s="319"/>
      <c r="AX687" s="319"/>
      <c r="AY687" s="319"/>
      <c r="AZ687" s="319"/>
      <c r="BA687" s="319"/>
      <c r="BB687" s="319"/>
      <c r="BC687" s="319"/>
      <c r="BD687" s="319"/>
      <c r="BE687" s="319"/>
      <c r="BF687" s="319"/>
      <c r="BG687" s="319"/>
      <c r="BH687" s="319"/>
      <c r="BI687" s="319"/>
      <c r="BJ687" s="319"/>
      <c r="BK687" s="319"/>
      <c r="BL687" s="319"/>
      <c r="BM687" s="319"/>
      <c r="BN687" s="319"/>
      <c r="BO687" s="319"/>
      <c r="BP687" s="319"/>
      <c r="BQ687" s="319"/>
      <c r="BR687" s="319"/>
      <c r="BS687" s="319"/>
      <c r="BT687" s="319"/>
      <c r="BU687" s="319"/>
      <c r="BV687" s="319"/>
      <c r="BW687" s="319"/>
      <c r="BX687" s="319"/>
      <c r="BY687" s="319"/>
      <c r="BZ687" s="319"/>
      <c r="CA687" s="319"/>
      <c r="CB687" s="319"/>
      <c r="CC687" s="319"/>
      <c r="CD687" s="319"/>
      <c r="CE687" s="319"/>
      <c r="CF687" s="319"/>
    </row>
    <row r="688" spans="1:84" ht="12.75" hidden="1" customHeight="1">
      <c r="A688" s="12"/>
      <c r="B688" s="329" t="str">
        <f>B138</f>
        <v>Temperatura</v>
      </c>
      <c r="C688" s="29" t="str">
        <f>IF(Unit=TRUE,R688,T688)</f>
        <v>°C</v>
      </c>
      <c r="D688" s="30">
        <f>IF(Unit=TRUE,S688,U688)</f>
        <v>8.4990758364950239</v>
      </c>
      <c r="E688" s="1"/>
      <c r="F688" s="29" t="str">
        <f>IF($M$3=FALSE,"",IF(Unit=FALSE,R688,T688))</f>
        <v/>
      </c>
      <c r="G688" s="140" t="str">
        <f>IF($M$3=FALSE,"",IF(Unit=FALSE,S688,U688))</f>
        <v/>
      </c>
      <c r="H688" s="1"/>
      <c r="I688" s="1"/>
      <c r="J688" s="1"/>
      <c r="K688" s="9"/>
      <c r="L688" s="1"/>
      <c r="M688" s="319"/>
      <c r="N688" s="319"/>
      <c r="O688" s="319"/>
      <c r="P688" s="319"/>
      <c r="Q688" s="319"/>
      <c r="R688" s="319" t="str">
        <f>$R$86</f>
        <v>°C</v>
      </c>
      <c r="S688" s="319">
        <f>V688-$AA$1090</f>
        <v>8.4990758364950239</v>
      </c>
      <c r="T688" s="319" t="str">
        <f>$T$86</f>
        <v>°F</v>
      </c>
      <c r="U688" s="319">
        <f>S688*1.8+32</f>
        <v>47.29833650569104</v>
      </c>
      <c r="V688" s="319">
        <f>Tsat(V687)</f>
        <v>281.649075836495</v>
      </c>
      <c r="W688" s="319" t="s">
        <v>143</v>
      </c>
      <c r="X688" s="319"/>
      <c r="Y688" s="319"/>
      <c r="Z688" s="319"/>
      <c r="AA688" s="319"/>
      <c r="AB688" s="319"/>
      <c r="AC688" s="319"/>
      <c r="AD688" s="319"/>
      <c r="AE688" s="319"/>
      <c r="AF688" s="319"/>
      <c r="AG688" s="319"/>
      <c r="AH688" s="319"/>
      <c r="AI688" s="319"/>
      <c r="AJ688" s="319"/>
      <c r="AK688" s="319"/>
      <c r="AL688" s="319"/>
      <c r="AM688" s="319"/>
      <c r="AN688" s="319"/>
      <c r="AO688" s="319">
        <v>2060030</v>
      </c>
      <c r="AP688" s="319"/>
      <c r="AQ688" s="319"/>
      <c r="AR688" s="319"/>
      <c r="AS688" s="319"/>
      <c r="AT688" s="319"/>
      <c r="AU688" s="319"/>
      <c r="AV688" s="319"/>
      <c r="AW688" s="319"/>
      <c r="AX688" s="319"/>
      <c r="AY688" s="319"/>
      <c r="AZ688" s="319"/>
      <c r="BA688" s="319"/>
      <c r="BB688" s="319"/>
      <c r="BC688" s="319"/>
      <c r="BD688" s="319"/>
      <c r="BE688" s="319"/>
      <c r="BF688" s="319"/>
      <c r="BG688" s="319"/>
      <c r="BH688" s="319"/>
      <c r="BI688" s="319"/>
      <c r="BJ688" s="319"/>
      <c r="BK688" s="319"/>
      <c r="BL688" s="319"/>
      <c r="BM688" s="319"/>
      <c r="BN688" s="319"/>
      <c r="BO688" s="319"/>
      <c r="BP688" s="319"/>
      <c r="BQ688" s="319"/>
      <c r="BR688" s="319"/>
      <c r="BS688" s="319"/>
      <c r="BT688" s="319"/>
      <c r="BU688" s="319"/>
      <c r="BV688" s="319"/>
      <c r="BW688" s="319"/>
      <c r="BX688" s="319"/>
      <c r="BY688" s="319"/>
      <c r="BZ688" s="319"/>
      <c r="CA688" s="319"/>
      <c r="CB688" s="319"/>
      <c r="CC688" s="319"/>
      <c r="CD688" s="319"/>
      <c r="CE688" s="319"/>
      <c r="CF688" s="319"/>
    </row>
    <row r="689" spans="1:84" ht="12.75" hidden="1" customHeight="1">
      <c r="A689" s="12"/>
      <c r="B689" s="329" t="str">
        <f>B139</f>
        <v>Qualidade da mistura</v>
      </c>
      <c r="C689" s="1"/>
      <c r="D689" s="100">
        <f>V689</f>
        <v>0.9934117547612823</v>
      </c>
      <c r="E689" s="1"/>
      <c r="F689" s="1"/>
      <c r="G689" s="1"/>
      <c r="H689" s="1"/>
      <c r="I689" s="1"/>
      <c r="J689" s="1"/>
      <c r="K689" s="788" t="str">
        <f>IF(D689&lt;1,$G$1091,"")</f>
        <v>Vapor está húmido</v>
      </c>
      <c r="L689" s="1"/>
      <c r="M689" s="319"/>
      <c r="N689" s="319"/>
      <c r="O689" s="319"/>
      <c r="P689" s="319"/>
      <c r="Q689" s="319"/>
      <c r="R689" s="319"/>
      <c r="S689" s="319"/>
      <c r="T689" s="319"/>
      <c r="U689" s="319"/>
      <c r="V689" s="319">
        <f>(entropyV(V679,V681)-entropyF(V687,V688))/(entropyV(V687,V688)-entropyF(V687,V688))</f>
        <v>0.9934117547612823</v>
      </c>
      <c r="W689" s="319"/>
      <c r="X689" s="319"/>
      <c r="Y689" s="319"/>
      <c r="Z689" s="319"/>
      <c r="AA689" s="319"/>
      <c r="AB689" s="319"/>
      <c r="AC689" s="319"/>
      <c r="AD689" s="319"/>
      <c r="AE689" s="319"/>
      <c r="AF689" s="319"/>
      <c r="AG689" s="319"/>
      <c r="AH689" s="319"/>
      <c r="AI689" s="319"/>
      <c r="AJ689" s="319"/>
      <c r="AK689" s="319"/>
      <c r="AL689" s="319"/>
      <c r="AM689" s="319"/>
      <c r="AN689" s="319"/>
      <c r="AO689" s="319">
        <v>2060032</v>
      </c>
      <c r="AP689" s="319"/>
      <c r="AQ689" s="319"/>
      <c r="AR689" s="319"/>
      <c r="AS689" s="319"/>
      <c r="AT689" s="319"/>
      <c r="AU689" s="319"/>
      <c r="AV689" s="319"/>
      <c r="AW689" s="319"/>
      <c r="AX689" s="319"/>
      <c r="AY689" s="319"/>
      <c r="AZ689" s="319"/>
      <c r="BA689" s="319"/>
      <c r="BB689" s="319"/>
      <c r="BC689" s="319"/>
      <c r="BD689" s="319"/>
      <c r="BE689" s="319"/>
      <c r="BF689" s="319"/>
      <c r="BG689" s="319"/>
      <c r="BH689" s="319"/>
      <c r="BI689" s="319"/>
      <c r="BJ689" s="319"/>
      <c r="BK689" s="319"/>
      <c r="BL689" s="319"/>
      <c r="BM689" s="319"/>
      <c r="BN689" s="319"/>
      <c r="BO689" s="319"/>
      <c r="BP689" s="319"/>
      <c r="BQ689" s="319"/>
      <c r="BR689" s="319"/>
      <c r="BS689" s="319"/>
      <c r="BT689" s="319"/>
      <c r="BU689" s="319"/>
      <c r="BV689" s="319"/>
      <c r="BW689" s="319"/>
      <c r="BX689" s="319"/>
      <c r="BY689" s="319"/>
      <c r="BZ689" s="319"/>
      <c r="CA689" s="319"/>
      <c r="CB689" s="319"/>
      <c r="CC689" s="319"/>
      <c r="CD689" s="319"/>
      <c r="CE689" s="319"/>
      <c r="CF689" s="319"/>
    </row>
    <row r="690" spans="1:84" ht="12.75" hidden="1" customHeight="1">
      <c r="A690" s="12"/>
      <c r="B690" s="329" t="str">
        <f>B132</f>
        <v>Entalpia</v>
      </c>
      <c r="C690" s="29" t="str">
        <f>IF(Unit=TRUE,R690,T690)</f>
        <v>kJ/kg</v>
      </c>
      <c r="D690" s="30">
        <f>IF(Unit=TRUE,S690,U690)</f>
        <v>2500.1495435522315</v>
      </c>
      <c r="E690" s="1"/>
      <c r="F690" s="29" t="str">
        <f>IF($M$3=FALSE,"",IF(Unit=FALSE,R690,T690))</f>
        <v/>
      </c>
      <c r="G690" s="140" t="str">
        <f>IF($M$3=FALSE,"",IF(Unit=FALSE,S690,U690))</f>
        <v/>
      </c>
      <c r="H690" s="1"/>
      <c r="I690" s="1"/>
      <c r="J690" s="1"/>
      <c r="K690" s="9"/>
      <c r="L690" s="1"/>
      <c r="M690" s="319"/>
      <c r="N690" s="319"/>
      <c r="O690" s="319"/>
      <c r="P690" s="319"/>
      <c r="Q690" s="319"/>
      <c r="R690" s="319" t="str">
        <f>$R$132</f>
        <v>kJ/kg</v>
      </c>
      <c r="S690" s="319">
        <f>V690</f>
        <v>2500.1495435522315</v>
      </c>
      <c r="T690" s="319" t="str">
        <f>$T$132</f>
        <v>Btu/lb</v>
      </c>
      <c r="U690" s="319">
        <f>S690*$AA$1073</f>
        <v>1074.8708269786036</v>
      </c>
      <c r="V690" s="319">
        <f>EnthalpyF(V687,V688)+V689*(EnthalpyV(V687,V688)-EnthalpyF(V687,V688))</f>
        <v>2500.1495435522315</v>
      </c>
      <c r="W690" s="319" t="s">
        <v>2922</v>
      </c>
      <c r="X690" s="319"/>
      <c r="Y690" s="319"/>
      <c r="Z690" s="319"/>
      <c r="AA690" s="319"/>
      <c r="AB690" s="319"/>
      <c r="AC690" s="319"/>
      <c r="AD690" s="319"/>
      <c r="AE690" s="319"/>
      <c r="AF690" s="319"/>
      <c r="AG690" s="319"/>
      <c r="AH690" s="319"/>
      <c r="AI690" s="319"/>
      <c r="AJ690" s="319"/>
      <c r="AK690" s="319"/>
      <c r="AL690" s="319"/>
      <c r="AM690" s="319"/>
      <c r="AN690" s="319"/>
      <c r="AO690" s="319">
        <v>2060034</v>
      </c>
      <c r="AP690" s="319"/>
      <c r="AQ690" s="319"/>
      <c r="AR690" s="319"/>
      <c r="AS690" s="319"/>
      <c r="AT690" s="319"/>
      <c r="AU690" s="319"/>
      <c r="AV690" s="319"/>
      <c r="AW690" s="319"/>
      <c r="AX690" s="319"/>
      <c r="AY690" s="319"/>
      <c r="AZ690" s="319"/>
      <c r="BA690" s="319"/>
      <c r="BB690" s="319"/>
      <c r="BC690" s="319"/>
      <c r="BD690" s="319"/>
      <c r="BE690" s="319"/>
      <c r="BF690" s="319"/>
      <c r="BG690" s="319"/>
      <c r="BH690" s="319"/>
      <c r="BI690" s="319"/>
      <c r="BJ690" s="319"/>
      <c r="BK690" s="319"/>
      <c r="BL690" s="319"/>
      <c r="BM690" s="319"/>
      <c r="BN690" s="319"/>
      <c r="BO690" s="319"/>
      <c r="BP690" s="319"/>
      <c r="BQ690" s="319"/>
      <c r="BR690" s="319"/>
      <c r="BS690" s="319"/>
      <c r="BT690" s="319"/>
      <c r="BU690" s="319"/>
      <c r="BV690" s="319"/>
      <c r="BW690" s="319"/>
      <c r="BX690" s="319"/>
      <c r="BY690" s="319"/>
      <c r="BZ690" s="319"/>
      <c r="CA690" s="319"/>
      <c r="CB690" s="319"/>
      <c r="CC690" s="319"/>
      <c r="CD690" s="319"/>
      <c r="CE690" s="319"/>
      <c r="CF690" s="319"/>
    </row>
    <row r="691" spans="1:84" ht="12.75" hidden="1" customHeight="1">
      <c r="A691" s="12"/>
      <c r="B691" s="329" t="str">
        <f>B141</f>
        <v>Taxa teórica de produção do vapor</v>
      </c>
      <c r="C691" s="29" t="str">
        <f>IF(Unit=TRUE,R691,T691)</f>
        <v>kg/kWh</v>
      </c>
      <c r="D691" s="30">
        <f>IF(Unit=TRUE,S691,U691)</f>
        <v>14504.903208786885</v>
      </c>
      <c r="E691" s="1"/>
      <c r="F691" s="29" t="str">
        <f>IF($M$3=FALSE,"",IF(Unit=FALSE,R691,T691))</f>
        <v/>
      </c>
      <c r="G691" s="140" t="str">
        <f>IF($M$3=FALSE,"",IF(Unit=FALSE,S691,U691))</f>
        <v/>
      </c>
      <c r="H691" s="1"/>
      <c r="I691" s="1"/>
      <c r="J691" s="1"/>
      <c r="K691" s="9"/>
      <c r="L691" s="1"/>
      <c r="M691" s="319"/>
      <c r="N691" s="319"/>
      <c r="O691" s="319"/>
      <c r="P691" s="319"/>
      <c r="Q691" s="319"/>
      <c r="R691" s="319" t="str">
        <f>$R$141</f>
        <v>kg/kWh</v>
      </c>
      <c r="S691" s="319">
        <f>$V691</f>
        <v>14504.903208786885</v>
      </c>
      <c r="T691" s="319" t="str">
        <f>$T$141</f>
        <v>lb/kWh</v>
      </c>
      <c r="U691" s="319">
        <f>S691/$AA$1085</f>
        <v>31977.837741818465</v>
      </c>
      <c r="V691" s="319">
        <f>3600/(V682-V690)</f>
        <v>14504.903208786885</v>
      </c>
      <c r="W691" s="319" t="s">
        <v>5699</v>
      </c>
      <c r="X691" s="319"/>
      <c r="Y691" s="319"/>
      <c r="Z691" s="319"/>
      <c r="AA691" s="319"/>
      <c r="AB691" s="319"/>
      <c r="AC691" s="319"/>
      <c r="AD691" s="319"/>
      <c r="AE691" s="319"/>
      <c r="AF691" s="319"/>
      <c r="AG691" s="319"/>
      <c r="AH691" s="319"/>
      <c r="AI691" s="319"/>
      <c r="AJ691" s="319"/>
      <c r="AK691" s="319"/>
      <c r="AL691" s="319"/>
      <c r="AM691" s="319"/>
      <c r="AN691" s="319"/>
      <c r="AO691" s="319">
        <v>2060036</v>
      </c>
      <c r="AP691" s="319"/>
      <c r="AQ691" s="319"/>
      <c r="AR691" s="319"/>
      <c r="AS691" s="319"/>
      <c r="AT691" s="319"/>
      <c r="AU691" s="319"/>
      <c r="AV691" s="319"/>
      <c r="AW691" s="319"/>
      <c r="AX691" s="319"/>
      <c r="AY691" s="319"/>
      <c r="AZ691" s="319"/>
      <c r="BA691" s="319"/>
      <c r="BB691" s="319"/>
      <c r="BC691" s="319"/>
      <c r="BD691" s="319"/>
      <c r="BE691" s="319"/>
      <c r="BF691" s="319"/>
      <c r="BG691" s="319"/>
      <c r="BH691" s="319"/>
      <c r="BI691" s="319"/>
      <c r="BJ691" s="319"/>
      <c r="BK691" s="319"/>
      <c r="BL691" s="319"/>
      <c r="BM691" s="319"/>
      <c r="BN691" s="319"/>
      <c r="BO691" s="319"/>
      <c r="BP691" s="319"/>
      <c r="BQ691" s="319"/>
      <c r="BR691" s="319"/>
      <c r="BS691" s="319"/>
      <c r="BT691" s="319"/>
      <c r="BU691" s="319"/>
      <c r="BV691" s="319"/>
      <c r="BW691" s="319"/>
      <c r="BX691" s="319"/>
      <c r="BY691" s="319"/>
      <c r="BZ691" s="319"/>
      <c r="CA691" s="319"/>
      <c r="CB691" s="319"/>
      <c r="CC691" s="319"/>
      <c r="CD691" s="319"/>
      <c r="CE691" s="319"/>
      <c r="CF691" s="319"/>
    </row>
    <row r="692" spans="1:84" ht="12.75" hidden="1" customHeight="1">
      <c r="A692" s="12"/>
      <c r="B692" s="28" t="str">
        <f>Language!C446</f>
        <v>Saída da turbina - pressão de vapor</v>
      </c>
      <c r="C692" s="303" t="s">
        <v>741</v>
      </c>
      <c r="D692" s="307"/>
      <c r="E692" s="1"/>
      <c r="F692" s="1"/>
      <c r="G692" s="1"/>
      <c r="H692" s="1"/>
      <c r="I692" s="1"/>
      <c r="J692" s="1"/>
      <c r="K692" s="788" t="str">
        <f>IF(V692=SteamP,$G$1088,"")</f>
        <v>Pressão está fora do intervalo válido</v>
      </c>
      <c r="L692" s="1"/>
      <c r="M692" s="319"/>
      <c r="N692" s="319"/>
      <c r="O692" s="319"/>
      <c r="P692" s="319"/>
      <c r="Q692" s="319"/>
      <c r="R692" s="319"/>
      <c r="S692" s="319"/>
      <c r="T692" s="319"/>
      <c r="U692" s="319"/>
      <c r="V692" s="319">
        <f>IF(IF(C692=$Z$1061,D692/1000,IF(C692=$Z$1062,(D692+$AA$1069)/$Y$1069/10,IF(C692=$Z$1063,D692/$Y$1069/10,IF(C692=$Z$1064,D692/$AA$1064,D692/$AA$1065/10))))&lt;SteamP,SteamP,IF(C692=$Z$1061,D692/1000,IF(C692=$Z$1062,(D692+$AA$1069)/$Y$1069/10,IF(C692=$Z$1063,D692/$Y$1069/10,IF(C692=$Z$1064,D692/$AA$1064,D692/$AA$1065/10)))))</f>
        <v>1.1100000000000001E-3</v>
      </c>
      <c r="W692" s="319" t="s">
        <v>3345</v>
      </c>
      <c r="X692" s="319"/>
      <c r="Y692" s="319"/>
      <c r="Z692" s="319"/>
      <c r="AA692" s="319"/>
      <c r="AB692" s="319"/>
      <c r="AC692" s="319"/>
      <c r="AD692" s="319"/>
      <c r="AE692" s="319"/>
      <c r="AF692" s="319"/>
      <c r="AG692" s="319"/>
      <c r="AH692" s="319"/>
      <c r="AI692" s="319"/>
      <c r="AJ692" s="319"/>
      <c r="AK692" s="319"/>
      <c r="AL692" s="319"/>
      <c r="AM692" s="319"/>
      <c r="AN692" s="319"/>
      <c r="AO692" s="319">
        <v>2060038</v>
      </c>
      <c r="AP692" s="319"/>
      <c r="AQ692" s="319"/>
      <c r="AR692" s="319"/>
      <c r="AS692" s="319"/>
      <c r="AT692" s="319"/>
      <c r="AU692" s="319"/>
      <c r="AV692" s="319"/>
      <c r="AW692" s="319"/>
      <c r="AX692" s="319"/>
      <c r="AY692" s="319"/>
      <c r="AZ692" s="319"/>
      <c r="BA692" s="319"/>
      <c r="BB692" s="319"/>
      <c r="BC692" s="319"/>
      <c r="BD692" s="319"/>
      <c r="BE692" s="319"/>
      <c r="BF692" s="319"/>
      <c r="BG692" s="319"/>
      <c r="BH692" s="319"/>
      <c r="BI692" s="319"/>
      <c r="BJ692" s="319"/>
      <c r="BK692" s="319"/>
      <c r="BL692" s="319"/>
      <c r="BM692" s="319"/>
      <c r="BN692" s="319"/>
      <c r="BO692" s="319"/>
      <c r="BP692" s="319"/>
      <c r="BQ692" s="319"/>
      <c r="BR692" s="319"/>
      <c r="BS692" s="319"/>
      <c r="BT692" s="319"/>
      <c r="BU692" s="319"/>
      <c r="BV692" s="319"/>
      <c r="BW692" s="319"/>
      <c r="BX692" s="319"/>
      <c r="BY692" s="319"/>
      <c r="BZ692" s="319"/>
      <c r="CA692" s="319"/>
      <c r="CB692" s="319"/>
      <c r="CC692" s="319"/>
      <c r="CD692" s="319"/>
      <c r="CE692" s="319"/>
      <c r="CF692" s="319"/>
    </row>
    <row r="693" spans="1:84" ht="12.75" hidden="1" customHeight="1">
      <c r="A693" s="12"/>
      <c r="B693" s="329" t="str">
        <f>B138</f>
        <v>Temperatura</v>
      </c>
      <c r="C693" s="29" t="str">
        <f>IF(Unit=TRUE,R693,T693)</f>
        <v>°C</v>
      </c>
      <c r="D693" s="30">
        <f>IF(Unit=TRUE,S693,U693)</f>
        <v>8.4990758364950239</v>
      </c>
      <c r="E693" s="1"/>
      <c r="F693" s="29" t="str">
        <f>IF($M$3=FALSE,"",IF(Unit=FALSE,R693,T693))</f>
        <v/>
      </c>
      <c r="G693" s="140" t="str">
        <f>IF($M$3=FALSE,"",IF(Unit=FALSE,S693,U693))</f>
        <v/>
      </c>
      <c r="H693" s="1"/>
      <c r="I693" s="1"/>
      <c r="J693" s="1"/>
      <c r="K693" s="9"/>
      <c r="L693" s="1"/>
      <c r="M693" s="319"/>
      <c r="N693" s="319"/>
      <c r="O693" s="319"/>
      <c r="P693" s="319"/>
      <c r="Q693" s="319"/>
      <c r="R693" s="319" t="str">
        <f>$R$86</f>
        <v>°C</v>
      </c>
      <c r="S693" s="319">
        <f>V693-$AA$1090</f>
        <v>8.4990758364950239</v>
      </c>
      <c r="T693" s="319" t="str">
        <f>$T$86</f>
        <v>°F</v>
      </c>
      <c r="U693" s="319">
        <f>S693*1.8+32</f>
        <v>47.29833650569104</v>
      </c>
      <c r="V693" s="319">
        <f>Tsat(V692)</f>
        <v>281.649075836495</v>
      </c>
      <c r="W693" s="319" t="s">
        <v>143</v>
      </c>
      <c r="X693" s="319"/>
      <c r="Y693" s="319"/>
      <c r="Z693" s="319"/>
      <c r="AA693" s="319"/>
      <c r="AB693" s="319"/>
      <c r="AC693" s="319"/>
      <c r="AD693" s="319"/>
      <c r="AE693" s="319"/>
      <c r="AF693" s="319"/>
      <c r="AG693" s="319"/>
      <c r="AH693" s="319"/>
      <c r="AI693" s="319"/>
      <c r="AJ693" s="319"/>
      <c r="AK693" s="319"/>
      <c r="AL693" s="319"/>
      <c r="AM693" s="319"/>
      <c r="AN693" s="319"/>
      <c r="AO693" s="319">
        <v>2060040</v>
      </c>
      <c r="AP693" s="319"/>
      <c r="AQ693" s="319"/>
      <c r="AR693" s="319"/>
      <c r="AS693" s="319"/>
      <c r="AT693" s="319"/>
      <c r="AU693" s="319"/>
      <c r="AV693" s="319"/>
      <c r="AW693" s="319"/>
      <c r="AX693" s="319"/>
      <c r="AY693" s="319"/>
      <c r="AZ693" s="319"/>
      <c r="BA693" s="319"/>
      <c r="BB693" s="319"/>
      <c r="BC693" s="319"/>
      <c r="BD693" s="319"/>
      <c r="BE693" s="319"/>
      <c r="BF693" s="319"/>
      <c r="BG693" s="319"/>
      <c r="BH693" s="319"/>
      <c r="BI693" s="319"/>
      <c r="BJ693" s="319"/>
      <c r="BK693" s="319"/>
      <c r="BL693" s="319"/>
      <c r="BM693" s="319"/>
      <c r="BN693" s="319"/>
      <c r="BO693" s="319"/>
      <c r="BP693" s="319"/>
      <c r="BQ693" s="319"/>
      <c r="BR693" s="319"/>
      <c r="BS693" s="319"/>
      <c r="BT693" s="319"/>
      <c r="BU693" s="319"/>
      <c r="BV693" s="319"/>
      <c r="BW693" s="319"/>
      <c r="BX693" s="319"/>
      <c r="BY693" s="319"/>
      <c r="BZ693" s="319"/>
      <c r="CA693" s="319"/>
      <c r="CB693" s="319"/>
      <c r="CC693" s="319"/>
      <c r="CD693" s="319"/>
      <c r="CE693" s="319"/>
      <c r="CF693" s="319"/>
    </row>
    <row r="694" spans="1:84" ht="12.75" hidden="1" customHeight="1">
      <c r="A694" s="12"/>
      <c r="B694" s="329" t="str">
        <f>B139</f>
        <v>Qualidade da mistura</v>
      </c>
      <c r="C694" s="1"/>
      <c r="D694" s="100">
        <f>V694</f>
        <v>0.9934117547612823</v>
      </c>
      <c r="E694" s="1"/>
      <c r="F694" s="1"/>
      <c r="G694" s="1"/>
      <c r="H694" s="1"/>
      <c r="I694" s="1"/>
      <c r="J694" s="1"/>
      <c r="K694" s="788" t="str">
        <f>IF(D694&lt;1,$G$1091,"")</f>
        <v>Vapor está húmido</v>
      </c>
      <c r="L694" s="1"/>
      <c r="M694" s="319"/>
      <c r="N694" s="319"/>
      <c r="O694" s="319"/>
      <c r="P694" s="319"/>
      <c r="Q694" s="319"/>
      <c r="R694" s="319"/>
      <c r="S694" s="319"/>
      <c r="T694" s="319"/>
      <c r="U694" s="319"/>
      <c r="V694" s="319">
        <f>(entropyV(V679,V681)-entropyF(V692,V693))/(entropyV(V692,V693)-entropyF(V692,V693))</f>
        <v>0.9934117547612823</v>
      </c>
      <c r="W694" s="319"/>
      <c r="X694" s="319"/>
      <c r="Y694" s="319"/>
      <c r="Z694" s="319"/>
      <c r="AA694" s="319"/>
      <c r="AB694" s="319"/>
      <c r="AC694" s="319"/>
      <c r="AD694" s="319"/>
      <c r="AE694" s="319"/>
      <c r="AF694" s="319"/>
      <c r="AG694" s="319"/>
      <c r="AH694" s="319"/>
      <c r="AI694" s="319"/>
      <c r="AJ694" s="319"/>
      <c r="AK694" s="319"/>
      <c r="AL694" s="319"/>
      <c r="AM694" s="319"/>
      <c r="AN694" s="319"/>
      <c r="AO694" s="319">
        <v>2060042</v>
      </c>
      <c r="AP694" s="319"/>
      <c r="AQ694" s="319"/>
      <c r="AR694" s="319"/>
      <c r="AS694" s="319"/>
      <c r="AT694" s="319"/>
      <c r="AU694" s="319"/>
      <c r="AV694" s="319"/>
      <c r="AW694" s="319"/>
      <c r="AX694" s="319"/>
      <c r="AY694" s="319"/>
      <c r="AZ694" s="319"/>
      <c r="BA694" s="319"/>
      <c r="BB694" s="319"/>
      <c r="BC694" s="319"/>
      <c r="BD694" s="319"/>
      <c r="BE694" s="319"/>
      <c r="BF694" s="319"/>
      <c r="BG694" s="319"/>
      <c r="BH694" s="319"/>
      <c r="BI694" s="319"/>
      <c r="BJ694" s="319"/>
      <c r="BK694" s="319"/>
      <c r="BL694" s="319"/>
      <c r="BM694" s="319"/>
      <c r="BN694" s="319"/>
      <c r="BO694" s="319"/>
      <c r="BP694" s="319"/>
      <c r="BQ694" s="319"/>
      <c r="BR694" s="319"/>
      <c r="BS694" s="319"/>
      <c r="BT694" s="319"/>
      <c r="BU694" s="319"/>
      <c r="BV694" s="319"/>
      <c r="BW694" s="319"/>
      <c r="BX694" s="319"/>
      <c r="BY694" s="319"/>
      <c r="BZ694" s="319"/>
      <c r="CA694" s="319"/>
      <c r="CB694" s="319"/>
      <c r="CC694" s="319"/>
      <c r="CD694" s="319"/>
      <c r="CE694" s="319"/>
      <c r="CF694" s="319"/>
    </row>
    <row r="695" spans="1:84" ht="12.75" hidden="1" customHeight="1">
      <c r="A695" s="12"/>
      <c r="B695" s="329" t="str">
        <f>B132</f>
        <v>Entalpia</v>
      </c>
      <c r="C695" s="29" t="str">
        <f>IF(Unit=TRUE,R695,T695)</f>
        <v>kJ/kg</v>
      </c>
      <c r="D695" s="30">
        <f>IF(Unit=TRUE,S695,U695)</f>
        <v>2500.1495435522315</v>
      </c>
      <c r="E695" s="1"/>
      <c r="F695" s="29" t="str">
        <f>IF($M$3=FALSE,"",IF(Unit=FALSE,R695,T695))</f>
        <v/>
      </c>
      <c r="G695" s="140" t="str">
        <f>IF($M$3=FALSE,"",IF(Unit=FALSE,S695,U695))</f>
        <v/>
      </c>
      <c r="H695" s="1"/>
      <c r="I695" s="1"/>
      <c r="J695" s="1"/>
      <c r="K695" s="9"/>
      <c r="L695" s="1"/>
      <c r="M695" s="319"/>
      <c r="N695" s="319"/>
      <c r="O695" s="319"/>
      <c r="P695" s="319"/>
      <c r="Q695" s="319"/>
      <c r="R695" s="319" t="str">
        <f>$R$132</f>
        <v>kJ/kg</v>
      </c>
      <c r="S695" s="319">
        <f>V695</f>
        <v>2500.1495435522315</v>
      </c>
      <c r="T695" s="319" t="str">
        <f>$T$132</f>
        <v>Btu/lb</v>
      </c>
      <c r="U695" s="319">
        <f>S695*$AA$1073</f>
        <v>1074.8708269786036</v>
      </c>
      <c r="V695" s="319">
        <f>EnthalpyF(V692,V693)+V694*(EnthalpyV(V692,V693)-EnthalpyF(V692,V693))</f>
        <v>2500.1495435522315</v>
      </c>
      <c r="W695" s="319" t="s">
        <v>2922</v>
      </c>
      <c r="X695" s="319"/>
      <c r="Y695" s="319"/>
      <c r="Z695" s="319"/>
      <c r="AA695" s="319"/>
      <c r="AB695" s="319"/>
      <c r="AC695" s="319"/>
      <c r="AD695" s="319"/>
      <c r="AE695" s="319"/>
      <c r="AF695" s="319"/>
      <c r="AG695" s="319"/>
      <c r="AH695" s="319"/>
      <c r="AI695" s="319"/>
      <c r="AJ695" s="319"/>
      <c r="AK695" s="319"/>
      <c r="AL695" s="319"/>
      <c r="AM695" s="319"/>
      <c r="AN695" s="319"/>
      <c r="AO695" s="319">
        <v>2060044</v>
      </c>
      <c r="AP695" s="319"/>
      <c r="AQ695" s="319"/>
      <c r="AR695" s="319"/>
      <c r="AS695" s="319"/>
      <c r="AT695" s="319"/>
      <c r="AU695" s="319"/>
      <c r="AV695" s="319"/>
      <c r="AW695" s="319"/>
      <c r="AX695" s="319"/>
      <c r="AY695" s="319"/>
      <c r="AZ695" s="319"/>
      <c r="BA695" s="319"/>
      <c r="BB695" s="319"/>
      <c r="BC695" s="319"/>
      <c r="BD695" s="319"/>
      <c r="BE695" s="319"/>
      <c r="BF695" s="319"/>
      <c r="BG695" s="319"/>
      <c r="BH695" s="319"/>
      <c r="BI695" s="319"/>
      <c r="BJ695" s="319"/>
      <c r="BK695" s="319"/>
      <c r="BL695" s="319"/>
      <c r="BM695" s="319"/>
      <c r="BN695" s="319"/>
      <c r="BO695" s="319"/>
      <c r="BP695" s="319"/>
      <c r="BQ695" s="319"/>
      <c r="BR695" s="319"/>
      <c r="BS695" s="319"/>
      <c r="BT695" s="319"/>
      <c r="BU695" s="319"/>
      <c r="BV695" s="319"/>
      <c r="BW695" s="319"/>
      <c r="BX695" s="319"/>
      <c r="BY695" s="319"/>
      <c r="BZ695" s="319"/>
      <c r="CA695" s="319"/>
      <c r="CB695" s="319"/>
      <c r="CC695" s="319"/>
      <c r="CD695" s="319"/>
      <c r="CE695" s="319"/>
      <c r="CF695" s="319"/>
    </row>
    <row r="696" spans="1:84" ht="12.75" hidden="1" customHeight="1">
      <c r="A696" s="12"/>
      <c r="B696" s="329" t="str">
        <f>B141</f>
        <v>Taxa teórica de produção do vapor</v>
      </c>
      <c r="C696" s="29" t="str">
        <f>IF(Unit=TRUE,R696,T696)</f>
        <v>kg/kWh</v>
      </c>
      <c r="D696" s="100">
        <f>IF(Unit=TRUE,S696,U696)</f>
        <v>14504.903208786885</v>
      </c>
      <c r="E696" s="1"/>
      <c r="F696" s="29" t="str">
        <f>IF($M$3=FALSE,"",IF(Unit=FALSE,R696,T696))</f>
        <v/>
      </c>
      <c r="G696" s="140" t="str">
        <f>IF($M$3=FALSE,"",IF(Unit=FALSE,S696,U696))</f>
        <v/>
      </c>
      <c r="H696" s="1"/>
      <c r="I696" s="1"/>
      <c r="J696" s="1"/>
      <c r="K696" s="9"/>
      <c r="L696" s="1"/>
      <c r="M696" s="319"/>
      <c r="N696" s="319"/>
      <c r="O696" s="319"/>
      <c r="P696" s="319"/>
      <c r="Q696" s="319"/>
      <c r="R696" s="319" t="str">
        <f>$R$141</f>
        <v>kg/kWh</v>
      </c>
      <c r="S696" s="319">
        <f>$V696</f>
        <v>14504.903208786885</v>
      </c>
      <c r="T696" s="319" t="str">
        <f>$T$141</f>
        <v>lb/kWh</v>
      </c>
      <c r="U696" s="319">
        <f>S696/$AA$1085</f>
        <v>31977.837741818465</v>
      </c>
      <c r="V696" s="319">
        <f>3600/(V682-V695)</f>
        <v>14504.903208786885</v>
      </c>
      <c r="W696" s="319" t="s">
        <v>5699</v>
      </c>
      <c r="X696" s="319"/>
      <c r="Y696" s="319"/>
      <c r="Z696" s="319"/>
      <c r="AA696" s="319"/>
      <c r="AB696" s="319"/>
      <c r="AC696" s="319"/>
      <c r="AD696" s="319"/>
      <c r="AE696" s="319"/>
      <c r="AF696" s="319"/>
      <c r="AG696" s="319"/>
      <c r="AH696" s="319"/>
      <c r="AI696" s="319"/>
      <c r="AJ696" s="319"/>
      <c r="AK696" s="319"/>
      <c r="AL696" s="319"/>
      <c r="AM696" s="319"/>
      <c r="AN696" s="319"/>
      <c r="AO696" s="319">
        <v>2060046</v>
      </c>
      <c r="AP696" s="319"/>
      <c r="AQ696" s="319"/>
      <c r="AR696" s="319"/>
      <c r="AS696" s="319"/>
      <c r="AT696" s="319"/>
      <c r="AU696" s="319"/>
      <c r="AV696" s="319"/>
      <c r="AW696" s="319"/>
      <c r="AX696" s="319"/>
      <c r="AY696" s="319"/>
      <c r="AZ696" s="319"/>
      <c r="BA696" s="319"/>
      <c r="BB696" s="319"/>
      <c r="BC696" s="319"/>
      <c r="BD696" s="319"/>
      <c r="BE696" s="319"/>
      <c r="BF696" s="319"/>
      <c r="BG696" s="319"/>
      <c r="BH696" s="319"/>
      <c r="BI696" s="319"/>
      <c r="BJ696" s="319"/>
      <c r="BK696" s="319"/>
      <c r="BL696" s="319"/>
      <c r="BM696" s="319"/>
      <c r="BN696" s="319"/>
      <c r="BO696" s="319"/>
      <c r="BP696" s="319"/>
      <c r="BQ696" s="319"/>
      <c r="BR696" s="319"/>
      <c r="BS696" s="319"/>
      <c r="BT696" s="319"/>
      <c r="BU696" s="319"/>
      <c r="BV696" s="319"/>
      <c r="BW696" s="319"/>
      <c r="BX696" s="319"/>
      <c r="BY696" s="319"/>
      <c r="BZ696" s="319"/>
      <c r="CA696" s="319"/>
      <c r="CB696" s="319"/>
      <c r="CC696" s="319"/>
      <c r="CD696" s="319"/>
      <c r="CE696" s="319"/>
      <c r="CF696" s="319"/>
    </row>
    <row r="697" spans="1:84" ht="12.75" hidden="1" customHeight="1">
      <c r="A697" s="12"/>
      <c r="B697" s="329" t="str">
        <f>B147</f>
        <v>Eficiência da turbina a vapor (TV)</v>
      </c>
      <c r="C697" s="29" t="str">
        <f>$T$35</f>
        <v>%</v>
      </c>
      <c r="D697" s="422"/>
      <c r="E697" s="1"/>
      <c r="F697" s="1"/>
      <c r="G697" s="1"/>
      <c r="H697" s="1"/>
      <c r="I697" s="1"/>
      <c r="J697" s="1"/>
      <c r="K697" s="9"/>
      <c r="L697" s="1"/>
      <c r="M697" s="319"/>
      <c r="N697" s="319"/>
      <c r="O697" s="319"/>
      <c r="P697" s="319"/>
      <c r="Q697" s="319"/>
      <c r="R697" s="319"/>
      <c r="S697" s="319"/>
      <c r="T697" s="319"/>
      <c r="U697" s="319"/>
      <c r="V697" s="319" t="e">
        <f>S678*S696/D697/S678</f>
        <v>#DIV/0!</v>
      </c>
      <c r="W697" s="319" t="s">
        <v>2802</v>
      </c>
      <c r="X697" s="319"/>
      <c r="Y697" s="319"/>
      <c r="Z697" s="319"/>
      <c r="AA697" s="319"/>
      <c r="AB697" s="319"/>
      <c r="AC697" s="319"/>
      <c r="AD697" s="319"/>
      <c r="AE697" s="319"/>
      <c r="AF697" s="319"/>
      <c r="AG697" s="319"/>
      <c r="AH697" s="319"/>
      <c r="AI697" s="319"/>
      <c r="AJ697" s="319"/>
      <c r="AK697" s="319"/>
      <c r="AL697" s="319"/>
      <c r="AM697" s="319"/>
      <c r="AN697" s="319"/>
      <c r="AO697" s="319">
        <v>2060048</v>
      </c>
      <c r="AP697" s="319"/>
      <c r="AQ697" s="319"/>
      <c r="AR697" s="319"/>
      <c r="AS697" s="319"/>
      <c r="AT697" s="319"/>
      <c r="AU697" s="319"/>
      <c r="AV697" s="319"/>
      <c r="AW697" s="319"/>
      <c r="AX697" s="319"/>
      <c r="AY697" s="319"/>
      <c r="AZ697" s="319"/>
      <c r="BA697" s="319"/>
      <c r="BB697" s="319"/>
      <c r="BC697" s="319"/>
      <c r="BD697" s="319"/>
      <c r="BE697" s="319"/>
      <c r="BF697" s="319"/>
      <c r="BG697" s="319"/>
      <c r="BH697" s="319"/>
      <c r="BI697" s="319"/>
      <c r="BJ697" s="319"/>
      <c r="BK697" s="319"/>
      <c r="BL697" s="319"/>
      <c r="BM697" s="319"/>
      <c r="BN697" s="319"/>
      <c r="BO697" s="319"/>
      <c r="BP697" s="319"/>
      <c r="BQ697" s="319"/>
      <c r="BR697" s="319"/>
      <c r="BS697" s="319"/>
      <c r="BT697" s="319"/>
      <c r="BU697" s="319"/>
      <c r="BV697" s="319"/>
      <c r="BW697" s="319"/>
      <c r="BX697" s="319"/>
      <c r="BY697" s="319"/>
      <c r="BZ697" s="319"/>
      <c r="CA697" s="319"/>
      <c r="CB697" s="319"/>
      <c r="CC697" s="319"/>
      <c r="CD697" s="319"/>
      <c r="CE697" s="319"/>
      <c r="CF697" s="319"/>
    </row>
    <row r="698" spans="1:84" ht="12.75" hidden="1" customHeight="1">
      <c r="A698" s="12"/>
      <c r="B698" s="329" t="str">
        <f>Language!C448</f>
        <v>Taxa real de produção de vapor</v>
      </c>
      <c r="C698" s="29" t="str">
        <f>IF(Unit=TRUE,R698,T698)</f>
        <v>kg/kWh</v>
      </c>
      <c r="D698" s="100" t="e">
        <f>IF(Unit=TRUE,S698,U698)</f>
        <v>#DIV/0!</v>
      </c>
      <c r="E698" s="1"/>
      <c r="F698" s="29" t="str">
        <f>IF($M$3=FALSE,"",IF(Unit=FALSE,R698,T698))</f>
        <v/>
      </c>
      <c r="G698" s="140" t="str">
        <f>IF($M$3=FALSE,"",IF(Unit=FALSE,S698,U698))</f>
        <v/>
      </c>
      <c r="H698" s="1"/>
      <c r="I698" s="1"/>
      <c r="J698" s="1"/>
      <c r="K698" s="9"/>
      <c r="L698" s="1"/>
      <c r="M698" s="319"/>
      <c r="N698" s="319"/>
      <c r="O698" s="319"/>
      <c r="P698" s="319"/>
      <c r="Q698" s="319"/>
      <c r="R698" s="319" t="str">
        <f>$R$141</f>
        <v>kg/kWh</v>
      </c>
      <c r="S698" s="319" t="e">
        <f>((S678-S686)*S696/D697+S686*S691/D697)/S678</f>
        <v>#DIV/0!</v>
      </c>
      <c r="T698" s="319" t="str">
        <f>$T$141</f>
        <v>lb/kWh</v>
      </c>
      <c r="U698" s="319" t="e">
        <f>S698/$AA$1085</f>
        <v>#DIV/0!</v>
      </c>
      <c r="V698" s="319"/>
      <c r="W698" s="319"/>
      <c r="X698" s="319"/>
      <c r="Y698" s="319"/>
      <c r="Z698" s="319"/>
      <c r="AA698" s="319"/>
      <c r="AB698" s="319"/>
      <c r="AC698" s="319"/>
      <c r="AD698" s="319"/>
      <c r="AE698" s="319"/>
      <c r="AF698" s="319"/>
      <c r="AG698" s="319"/>
      <c r="AH698" s="319"/>
      <c r="AI698" s="319"/>
      <c r="AJ698" s="319"/>
      <c r="AK698" s="319"/>
      <c r="AL698" s="319"/>
      <c r="AM698" s="319"/>
      <c r="AN698" s="319"/>
      <c r="AO698" s="319">
        <v>2060050</v>
      </c>
      <c r="AP698" s="319"/>
      <c r="AQ698" s="319"/>
      <c r="AR698" s="319"/>
      <c r="AS698" s="319"/>
      <c r="AT698" s="319"/>
      <c r="AU698" s="319"/>
      <c r="AV698" s="319"/>
      <c r="AW698" s="319"/>
      <c r="AX698" s="319"/>
      <c r="AY698" s="319"/>
      <c r="AZ698" s="319"/>
      <c r="BA698" s="319"/>
      <c r="BB698" s="319"/>
      <c r="BC698" s="319"/>
      <c r="BD698" s="319"/>
      <c r="BE698" s="319"/>
      <c r="BF698" s="319"/>
      <c r="BG698" s="319"/>
      <c r="BH698" s="319"/>
      <c r="BI698" s="319"/>
      <c r="BJ698" s="319"/>
      <c r="BK698" s="319"/>
      <c r="BL698" s="319"/>
      <c r="BM698" s="319"/>
      <c r="BN698" s="319"/>
      <c r="BO698" s="319"/>
      <c r="BP698" s="319"/>
      <c r="BQ698" s="319"/>
      <c r="BR698" s="319"/>
      <c r="BS698" s="319"/>
      <c r="BT698" s="319"/>
      <c r="BU698" s="319"/>
      <c r="BV698" s="319"/>
      <c r="BW698" s="319"/>
      <c r="BX698" s="319"/>
      <c r="BY698" s="319"/>
      <c r="BZ698" s="319"/>
      <c r="CA698" s="319"/>
      <c r="CB698" s="319"/>
      <c r="CC698" s="319"/>
      <c r="CD698" s="319"/>
      <c r="CE698" s="319"/>
      <c r="CF698" s="319"/>
    </row>
    <row r="699" spans="1:84" ht="12.75" hidden="1" customHeight="1">
      <c r="A699" s="12"/>
      <c r="B699" s="28" t="str">
        <f>B149</f>
        <v>Resumo</v>
      </c>
      <c r="C699" s="1"/>
      <c r="D699" s="1"/>
      <c r="E699" s="1"/>
      <c r="F699" s="1"/>
      <c r="G699" s="1"/>
      <c r="H699" s="1"/>
      <c r="I699" s="1"/>
      <c r="J699" s="1"/>
      <c r="K699" s="9"/>
      <c r="L699" s="1"/>
      <c r="M699" s="319"/>
      <c r="N699" s="319"/>
      <c r="O699" s="319"/>
      <c r="P699" s="319"/>
      <c r="Q699" s="319"/>
      <c r="R699" s="319"/>
      <c r="S699" s="319"/>
      <c r="T699" s="319"/>
      <c r="U699" s="319"/>
      <c r="V699" s="319"/>
      <c r="W699" s="319"/>
      <c r="X699" s="319"/>
      <c r="Y699" s="319"/>
      <c r="Z699" s="319"/>
      <c r="AA699" s="319"/>
      <c r="AB699" s="319"/>
      <c r="AC699" s="319"/>
      <c r="AD699" s="319"/>
      <c r="AE699" s="319"/>
      <c r="AF699" s="319"/>
      <c r="AG699" s="319"/>
      <c r="AH699" s="319"/>
      <c r="AI699" s="319"/>
      <c r="AJ699" s="319"/>
      <c r="AK699" s="319"/>
      <c r="AL699" s="319"/>
      <c r="AM699" s="319"/>
      <c r="AN699" s="319"/>
      <c r="AO699" s="319">
        <v>2060068</v>
      </c>
      <c r="AP699" s="319"/>
      <c r="AQ699" s="319"/>
      <c r="AR699" s="319"/>
      <c r="AS699" s="319"/>
      <c r="AT699" s="319"/>
      <c r="AU699" s="319"/>
      <c r="AV699" s="319"/>
      <c r="AW699" s="319"/>
      <c r="AX699" s="319"/>
      <c r="AY699" s="319"/>
      <c r="AZ699" s="319"/>
      <c r="BA699" s="319"/>
      <c r="BB699" s="319"/>
      <c r="BC699" s="319"/>
      <c r="BD699" s="319"/>
      <c r="BE699" s="319"/>
      <c r="BF699" s="319"/>
      <c r="BG699" s="319"/>
      <c r="BH699" s="319"/>
      <c r="BI699" s="319"/>
      <c r="BJ699" s="319"/>
      <c r="BK699" s="319"/>
      <c r="BL699" s="319"/>
      <c r="BM699" s="319"/>
      <c r="BN699" s="319"/>
      <c r="BO699" s="319"/>
      <c r="BP699" s="319"/>
      <c r="BQ699" s="319"/>
      <c r="BR699" s="319"/>
      <c r="BS699" s="319"/>
      <c r="BT699" s="319"/>
      <c r="BU699" s="319"/>
      <c r="BV699" s="319"/>
      <c r="BW699" s="319"/>
      <c r="BX699" s="319"/>
      <c r="BY699" s="319"/>
      <c r="BZ699" s="319"/>
      <c r="CA699" s="319"/>
      <c r="CB699" s="319"/>
      <c r="CC699" s="319"/>
      <c r="CD699" s="319"/>
      <c r="CE699" s="319"/>
      <c r="CF699" s="319"/>
    </row>
    <row r="700" spans="1:84" ht="12.75" hidden="1" customHeight="1">
      <c r="A700" s="12"/>
      <c r="B700" s="329" t="str">
        <f>Language!C449</f>
        <v>Potência elétrica - com extração</v>
      </c>
      <c r="C700" s="29" t="str">
        <f>$C$92</f>
        <v>kW</v>
      </c>
      <c r="D700" s="30" t="e">
        <f>S678/S698</f>
        <v>#DIV/0!</v>
      </c>
      <c r="E700" s="80" t="str">
        <f>IF($P$866=0,"",D700/$P$866)</f>
        <v/>
      </c>
      <c r="F700" s="1"/>
      <c r="G700" s="1"/>
      <c r="H700" s="1"/>
      <c r="I700" s="1"/>
      <c r="J700" s="1"/>
      <c r="K700" s="9"/>
      <c r="L700" s="1"/>
      <c r="M700" s="319"/>
      <c r="N700" s="319"/>
      <c r="O700" s="319"/>
      <c r="P700" s="319"/>
      <c r="Q700" s="319"/>
      <c r="R700" s="319"/>
      <c r="S700" s="319"/>
      <c r="T700" s="319"/>
      <c r="U700" s="319"/>
      <c r="V700" s="319"/>
      <c r="W700" s="319"/>
      <c r="X700" s="319"/>
      <c r="Y700" s="319"/>
      <c r="Z700" s="319"/>
      <c r="AA700" s="319"/>
      <c r="AB700" s="319"/>
      <c r="AC700" s="319"/>
      <c r="AD700" s="319"/>
      <c r="AE700" s="319"/>
      <c r="AF700" s="319"/>
      <c r="AG700" s="319"/>
      <c r="AH700" s="319"/>
      <c r="AI700" s="319"/>
      <c r="AJ700" s="319"/>
      <c r="AK700" s="319"/>
      <c r="AL700" s="319"/>
      <c r="AM700" s="319"/>
      <c r="AN700" s="319"/>
      <c r="AO700" s="319">
        <v>2060054</v>
      </c>
      <c r="AP700" s="319"/>
      <c r="AQ700" s="319"/>
      <c r="AR700" s="319"/>
      <c r="AS700" s="319"/>
      <c r="AT700" s="319"/>
      <c r="AU700" s="319"/>
      <c r="AV700" s="319"/>
      <c r="AW700" s="319"/>
      <c r="AX700" s="319"/>
      <c r="AY700" s="319"/>
      <c r="AZ700" s="319"/>
      <c r="BA700" s="319"/>
      <c r="BB700" s="319"/>
      <c r="BC700" s="319"/>
      <c r="BD700" s="319"/>
      <c r="BE700" s="319"/>
      <c r="BF700" s="319"/>
      <c r="BG700" s="319"/>
      <c r="BH700" s="319"/>
      <c r="BI700" s="319"/>
      <c r="BJ700" s="319"/>
      <c r="BK700" s="319"/>
      <c r="BL700" s="319"/>
      <c r="BM700" s="319"/>
      <c r="BN700" s="319"/>
      <c r="BO700" s="319"/>
      <c r="BP700" s="319"/>
      <c r="BQ700" s="319"/>
      <c r="BR700" s="319"/>
      <c r="BS700" s="319"/>
      <c r="BT700" s="319"/>
      <c r="BU700" s="319"/>
      <c r="BV700" s="319"/>
      <c r="BW700" s="319"/>
      <c r="BX700" s="319"/>
      <c r="BY700" s="319"/>
      <c r="BZ700" s="319"/>
      <c r="CA700" s="319"/>
      <c r="CB700" s="319"/>
      <c r="CC700" s="319"/>
      <c r="CD700" s="319"/>
      <c r="CE700" s="319"/>
      <c r="CF700" s="319"/>
    </row>
    <row r="701" spans="1:84" ht="12.75" hidden="1" customHeight="1">
      <c r="A701" s="12"/>
      <c r="B701" s="329" t="str">
        <f>IF(HideCodeES_Extract_ST2=2,Language!C427,Language!C452)</f>
        <v>Potência elétrica</v>
      </c>
      <c r="C701" s="29" t="str">
        <f>$C$92</f>
        <v>kW</v>
      </c>
      <c r="D701" s="30" t="e">
        <f>V701</f>
        <v>#DIV/0!</v>
      </c>
      <c r="E701" s="80" t="str">
        <f>IF($P$866=0,"",D701/$P$866)</f>
        <v/>
      </c>
      <c r="F701" s="1"/>
      <c r="G701" s="1"/>
      <c r="H701" s="1"/>
      <c r="I701" s="1"/>
      <c r="J701" s="1"/>
      <c r="K701" s="9"/>
      <c r="L701" s="1"/>
      <c r="M701" s="319"/>
      <c r="N701" s="319"/>
      <c r="O701" s="319"/>
      <c r="P701" s="319"/>
      <c r="Q701" s="319"/>
      <c r="R701" s="319"/>
      <c r="S701" s="319"/>
      <c r="T701" s="319"/>
      <c r="U701" s="319"/>
      <c r="V701" s="319" t="e">
        <f>S678/V697</f>
        <v>#DIV/0!</v>
      </c>
      <c r="W701" s="319" t="s">
        <v>1211</v>
      </c>
      <c r="X701" s="319"/>
      <c r="Y701" s="319"/>
      <c r="Z701" s="319"/>
      <c r="AA701" s="319"/>
      <c r="AB701" s="319"/>
      <c r="AC701" s="319"/>
      <c r="AD701" s="319"/>
      <c r="AE701" s="319"/>
      <c r="AF701" s="319"/>
      <c r="AG701" s="319"/>
      <c r="AH701" s="319"/>
      <c r="AI701" s="319"/>
      <c r="AJ701" s="319"/>
      <c r="AK701" s="319"/>
      <c r="AL701" s="319"/>
      <c r="AM701" s="319"/>
      <c r="AN701" s="319"/>
      <c r="AO701" s="319">
        <v>2060058</v>
      </c>
      <c r="AP701" s="319"/>
      <c r="AQ701" s="319"/>
      <c r="AR701" s="319"/>
      <c r="AS701" s="319"/>
      <c r="AT701" s="319"/>
      <c r="AU701" s="319"/>
      <c r="AV701" s="319"/>
      <c r="AW701" s="319"/>
      <c r="AX701" s="319"/>
      <c r="AY701" s="319"/>
      <c r="AZ701" s="319"/>
      <c r="BA701" s="319"/>
      <c r="BB701" s="319"/>
      <c r="BC701" s="319"/>
      <c r="BD701" s="319"/>
      <c r="BE701" s="319"/>
      <c r="BF701" s="319"/>
      <c r="BG701" s="319"/>
      <c r="BH701" s="319"/>
      <c r="BI701" s="319"/>
      <c r="BJ701" s="319"/>
      <c r="BK701" s="319"/>
      <c r="BL701" s="319"/>
      <c r="BM701" s="319"/>
      <c r="BN701" s="319"/>
      <c r="BO701" s="319"/>
      <c r="BP701" s="319"/>
      <c r="BQ701" s="319"/>
      <c r="BR701" s="319"/>
      <c r="BS701" s="319"/>
      <c r="BT701" s="319"/>
      <c r="BU701" s="319"/>
      <c r="BV701" s="319"/>
      <c r="BW701" s="319"/>
      <c r="BX701" s="319"/>
      <c r="BY701" s="319"/>
      <c r="BZ701" s="319"/>
      <c r="CA701" s="319"/>
      <c r="CB701" s="319"/>
      <c r="CC701" s="319"/>
      <c r="CD701" s="319"/>
      <c r="CE701" s="319"/>
      <c r="CF701" s="319"/>
    </row>
    <row r="702" spans="1:84" ht="12.75" hidden="1" customHeight="1">
      <c r="A702" s="12"/>
      <c r="B702" s="329" t="str">
        <f>B93</f>
        <v>Capac. Mínima</v>
      </c>
      <c r="C702" s="29" t="str">
        <f>C707</f>
        <v>%</v>
      </c>
      <c r="D702" s="422"/>
      <c r="E702" s="1"/>
      <c r="F702" s="1"/>
      <c r="G702" s="1"/>
      <c r="H702" s="1"/>
      <c r="I702" s="1"/>
      <c r="J702" s="1"/>
      <c r="K702" s="788" t="e">
        <f>IF(V702&gt;0,$G$1095&amp;V702&amp;$G$1096,"")</f>
        <v>#DIV/0!</v>
      </c>
      <c r="L702" s="1"/>
      <c r="M702" s="319"/>
      <c r="N702" s="319"/>
      <c r="O702" s="319"/>
      <c r="P702" s="319"/>
      <c r="Q702" s="319"/>
      <c r="R702" s="319"/>
      <c r="S702" s="319"/>
      <c r="T702" s="319"/>
      <c r="U702" s="319"/>
      <c r="V702" s="319" t="e">
        <f t="array" ref="V702">IF(AND(HideCodeES_PSS=2,$C$854=$E$1095),SUM(IF($D$1139:$D$1150&lt;D701*S1117,1,0)),SUM(IF($I$1139:$I$1150&lt;D701*S1117,1,0)))*IF(SUM($D$1139:$D$1150)=0,0,1)</f>
        <v>#DIV/0!</v>
      </c>
      <c r="W702" s="319" t="s">
        <v>4372</v>
      </c>
      <c r="X702" s="319"/>
      <c r="Y702" s="319"/>
      <c r="Z702" s="319"/>
      <c r="AA702" s="319"/>
      <c r="AB702" s="319"/>
      <c r="AC702" s="319"/>
      <c r="AD702" s="319"/>
      <c r="AE702" s="319"/>
      <c r="AF702" s="319"/>
      <c r="AG702" s="319"/>
      <c r="AH702" s="319"/>
      <c r="AI702" s="319"/>
      <c r="AJ702" s="319"/>
      <c r="AK702" s="319"/>
      <c r="AL702" s="319"/>
      <c r="AM702" s="319"/>
      <c r="AN702" s="319"/>
      <c r="AO702" s="319">
        <v>2050006</v>
      </c>
      <c r="AP702" s="319"/>
      <c r="AQ702" s="319"/>
      <c r="AR702" s="319"/>
      <c r="AS702" s="319"/>
      <c r="AT702" s="319"/>
      <c r="AU702" s="319"/>
      <c r="AV702" s="319"/>
      <c r="AW702" s="319"/>
      <c r="AX702" s="319"/>
      <c r="AY702" s="319"/>
      <c r="AZ702" s="319"/>
      <c r="BA702" s="319"/>
      <c r="BB702" s="319"/>
      <c r="BC702" s="319"/>
      <c r="BD702" s="319"/>
      <c r="BE702" s="319"/>
      <c r="BF702" s="319"/>
      <c r="BG702" s="319"/>
      <c r="BH702" s="319"/>
      <c r="BI702" s="319"/>
      <c r="BJ702" s="319"/>
      <c r="BK702" s="319"/>
      <c r="BL702" s="319"/>
      <c r="BM702" s="319"/>
      <c r="BN702" s="319"/>
      <c r="BO702" s="319"/>
      <c r="BP702" s="319"/>
      <c r="BQ702" s="319"/>
      <c r="BR702" s="319"/>
      <c r="BS702" s="319"/>
      <c r="BT702" s="319"/>
      <c r="BU702" s="319"/>
      <c r="BV702" s="319"/>
      <c r="BW702" s="319"/>
      <c r="BX702" s="319"/>
      <c r="BY702" s="319"/>
      <c r="BZ702" s="319"/>
      <c r="CA702" s="319"/>
      <c r="CB702" s="319"/>
      <c r="CC702" s="319"/>
      <c r="CD702" s="319"/>
      <c r="CE702" s="319"/>
      <c r="CF702" s="319"/>
    </row>
    <row r="703" spans="1:84" ht="12.75" hidden="1" customHeight="1">
      <c r="A703" s="12"/>
      <c r="B703" s="329" t="str">
        <f>B12</f>
        <v>Fabricante</v>
      </c>
      <c r="C703" s="1152"/>
      <c r="D703" s="1153"/>
      <c r="E703" s="1154"/>
      <c r="F703" s="1"/>
      <c r="G703" s="1"/>
      <c r="H703" s="1"/>
      <c r="I703" s="1209" t="str">
        <f>Language!C61</f>
        <v>Ver banco de dados de produtos</v>
      </c>
      <c r="J703" s="1191"/>
      <c r="K703" s="1210"/>
      <c r="L703" s="1"/>
      <c r="M703" s="319"/>
      <c r="N703" s="319"/>
      <c r="O703" s="319"/>
      <c r="P703" s="319"/>
      <c r="Q703" s="319"/>
      <c r="R703" s="319"/>
      <c r="S703" s="319"/>
      <c r="T703" s="319"/>
      <c r="U703" s="319"/>
      <c r="V703" s="319"/>
      <c r="W703" s="319"/>
      <c r="X703" s="319"/>
      <c r="Y703" s="319"/>
      <c r="Z703" s="319"/>
      <c r="AA703" s="319"/>
      <c r="AB703" s="319"/>
      <c r="AC703" s="319"/>
      <c r="AD703" s="319"/>
      <c r="AE703" s="319"/>
      <c r="AF703" s="319"/>
      <c r="AG703" s="319"/>
      <c r="AH703" s="319"/>
      <c r="AI703" s="319"/>
      <c r="AJ703" s="319"/>
      <c r="AK703" s="319"/>
      <c r="AL703" s="319"/>
      <c r="AM703" s="319"/>
      <c r="AN703" s="319"/>
      <c r="AO703" s="319">
        <v>2050012</v>
      </c>
      <c r="AP703" s="319"/>
      <c r="AQ703" s="319"/>
      <c r="AR703" s="319"/>
      <c r="AS703" s="319"/>
      <c r="AT703" s="319"/>
      <c r="AU703" s="319"/>
      <c r="AV703" s="319"/>
      <c r="AW703" s="319"/>
      <c r="AX703" s="319"/>
      <c r="AY703" s="319"/>
      <c r="AZ703" s="319"/>
      <c r="BA703" s="319"/>
      <c r="BB703" s="319"/>
      <c r="BC703" s="319"/>
      <c r="BD703" s="319"/>
      <c r="BE703" s="319"/>
      <c r="BF703" s="319"/>
      <c r="BG703" s="319"/>
      <c r="BH703" s="319"/>
      <c r="BI703" s="319"/>
      <c r="BJ703" s="319"/>
      <c r="BK703" s="319"/>
      <c r="BL703" s="319"/>
      <c r="BM703" s="319"/>
      <c r="BN703" s="319"/>
      <c r="BO703" s="319"/>
      <c r="BP703" s="319"/>
      <c r="BQ703" s="319"/>
      <c r="BR703" s="319"/>
      <c r="BS703" s="319"/>
      <c r="BT703" s="319"/>
      <c r="BU703" s="319"/>
      <c r="BV703" s="319"/>
      <c r="BW703" s="319"/>
      <c r="BX703" s="319"/>
      <c r="BY703" s="319"/>
      <c r="BZ703" s="319"/>
      <c r="CA703" s="319"/>
      <c r="CB703" s="319"/>
      <c r="CC703" s="319"/>
      <c r="CD703" s="319"/>
      <c r="CE703" s="319"/>
      <c r="CF703" s="319"/>
    </row>
    <row r="704" spans="1:84" ht="12.75" hidden="1" customHeight="1">
      <c r="A704" s="12"/>
      <c r="B704" s="329" t="str">
        <f>B187</f>
        <v>Modelo e capacidade</v>
      </c>
      <c r="C704" s="1152"/>
      <c r="D704" s="1153"/>
      <c r="E704" s="1154"/>
      <c r="F704" s="1"/>
      <c r="G704" s="1"/>
      <c r="H704" s="1"/>
      <c r="I704" s="1"/>
      <c r="J704" s="1"/>
      <c r="K704" s="9"/>
      <c r="L704" s="1"/>
      <c r="M704" s="319"/>
      <c r="N704" s="319"/>
      <c r="O704" s="319"/>
      <c r="P704" s="319"/>
      <c r="Q704" s="319"/>
      <c r="R704" s="319"/>
      <c r="S704" s="319"/>
      <c r="T704" s="319"/>
      <c r="U704" s="319"/>
      <c r="V704" s="319"/>
      <c r="W704" s="319"/>
      <c r="X704" s="319"/>
      <c r="Y704" s="319"/>
      <c r="Z704" s="319"/>
      <c r="AA704" s="319"/>
      <c r="AB704" s="319"/>
      <c r="AC704" s="319"/>
      <c r="AD704" s="319"/>
      <c r="AE704" s="319"/>
      <c r="AF704" s="319"/>
      <c r="AG704" s="319"/>
      <c r="AH704" s="319"/>
      <c r="AI704" s="319"/>
      <c r="AJ704" s="319"/>
      <c r="AK704" s="319"/>
      <c r="AL704" s="319"/>
      <c r="AM704" s="319"/>
      <c r="AN704" s="319"/>
      <c r="AO704" s="319">
        <v>2050016</v>
      </c>
      <c r="AP704" s="319"/>
      <c r="AQ704" s="319"/>
      <c r="AR704" s="319"/>
      <c r="AS704" s="319"/>
      <c r="AT704" s="319"/>
      <c r="AU704" s="319"/>
      <c r="AV704" s="319"/>
      <c r="AW704" s="319"/>
      <c r="AX704" s="319"/>
      <c r="AY704" s="319"/>
      <c r="AZ704" s="319"/>
      <c r="BA704" s="319"/>
      <c r="BB704" s="319"/>
      <c r="BC704" s="319"/>
      <c r="BD704" s="319"/>
      <c r="BE704" s="319"/>
      <c r="BF704" s="319"/>
      <c r="BG704" s="319"/>
      <c r="BH704" s="319"/>
      <c r="BI704" s="319"/>
      <c r="BJ704" s="319"/>
      <c r="BK704" s="319"/>
      <c r="BL704" s="319"/>
      <c r="BM704" s="319"/>
      <c r="BN704" s="319"/>
      <c r="BO704" s="319"/>
      <c r="BP704" s="319"/>
      <c r="BQ704" s="319"/>
      <c r="BR704" s="319"/>
      <c r="BS704" s="319"/>
      <c r="BT704" s="319"/>
      <c r="BU704" s="319"/>
      <c r="BV704" s="319"/>
      <c r="BW704" s="319"/>
      <c r="BX704" s="319"/>
      <c r="BY704" s="319"/>
      <c r="BZ704" s="319"/>
      <c r="CA704" s="319"/>
      <c r="CB704" s="319"/>
      <c r="CC704" s="319"/>
      <c r="CD704" s="319"/>
      <c r="CE704" s="319"/>
      <c r="CF704" s="319"/>
    </row>
    <row r="705" spans="1:84" ht="12.75" hidden="1" customHeight="1">
      <c r="A705" s="12"/>
      <c r="B705" s="329" t="str">
        <f>$B$94</f>
        <v>Eletricidade fornecida à carga</v>
      </c>
      <c r="C705" s="29" t="str">
        <f>R14</f>
        <v>MWh</v>
      </c>
      <c r="D705" s="30">
        <f>IF(HideCodeES_PSS=1,$G$1107,IF($C$854=$E$1094,$G$1108,$G$1107))</f>
        <v>0</v>
      </c>
      <c r="E705" s="80" t="str">
        <f>IF($P$867=0,"",D705/$P$867)</f>
        <v/>
      </c>
      <c r="F705" s="1"/>
      <c r="G705" s="1"/>
      <c r="H705" s="1"/>
      <c r="I705" s="1"/>
      <c r="J705" s="1"/>
      <c r="K705" s="9"/>
      <c r="L705" s="1"/>
      <c r="M705" s="319"/>
      <c r="N705" s="319"/>
      <c r="O705" s="319"/>
      <c r="P705" s="319"/>
      <c r="Q705" s="319"/>
      <c r="R705" s="319"/>
      <c r="S705" s="319"/>
      <c r="T705" s="319"/>
      <c r="U705" s="319"/>
      <c r="V705" s="319"/>
      <c r="W705" s="319"/>
      <c r="X705" s="319"/>
      <c r="Y705" s="319"/>
      <c r="Z705" s="319"/>
      <c r="AA705" s="319"/>
      <c r="AB705" s="319"/>
      <c r="AC705" s="319"/>
      <c r="AD705" s="319"/>
      <c r="AE705" s="319"/>
      <c r="AF705" s="319"/>
      <c r="AG705" s="319"/>
      <c r="AH705" s="319"/>
      <c r="AI705" s="319"/>
      <c r="AJ705" s="319"/>
      <c r="AK705" s="319"/>
      <c r="AL705" s="319"/>
      <c r="AM705" s="319"/>
      <c r="AN705" s="319"/>
      <c r="AO705" s="319">
        <v>2050008</v>
      </c>
      <c r="AP705" s="319"/>
      <c r="AQ705" s="319"/>
      <c r="AR705" s="319"/>
      <c r="AS705" s="319"/>
      <c r="AT705" s="319"/>
      <c r="AU705" s="319"/>
      <c r="AV705" s="319"/>
      <c r="AW705" s="319"/>
      <c r="AX705" s="319"/>
      <c r="AY705" s="319"/>
      <c r="AZ705" s="319"/>
      <c r="BA705" s="319"/>
      <c r="BB705" s="319"/>
      <c r="BC705" s="319"/>
      <c r="BD705" s="319"/>
      <c r="BE705" s="319"/>
      <c r="BF705" s="319"/>
      <c r="BG705" s="319"/>
      <c r="BH705" s="319"/>
      <c r="BI705" s="319"/>
      <c r="BJ705" s="319"/>
      <c r="BK705" s="319"/>
      <c r="BL705" s="319"/>
      <c r="BM705" s="319"/>
      <c r="BN705" s="319"/>
      <c r="BO705" s="319"/>
      <c r="BP705" s="319"/>
      <c r="BQ705" s="319"/>
      <c r="BR705" s="319"/>
      <c r="BS705" s="319"/>
      <c r="BT705" s="319"/>
      <c r="BU705" s="319"/>
      <c r="BV705" s="319"/>
      <c r="BW705" s="319"/>
      <c r="BX705" s="319"/>
      <c r="BY705" s="319"/>
      <c r="BZ705" s="319"/>
      <c r="CA705" s="319"/>
      <c r="CB705" s="319"/>
      <c r="CC705" s="319"/>
      <c r="CD705" s="319"/>
      <c r="CE705" s="319"/>
      <c r="CF705" s="319"/>
    </row>
    <row r="706" spans="1:84" ht="12.75" hidden="1" customHeight="1">
      <c r="A706" s="12"/>
      <c r="B706" s="329" t="str">
        <f>$B$95</f>
        <v>Eletricidade exportada p/ rede</v>
      </c>
      <c r="C706" s="29" t="str">
        <f>R14</f>
        <v>MWh</v>
      </c>
      <c r="D706" s="30">
        <f>IF(HideCodeES_PSS=1,$J$1107,IF($C$854=$E$1094,$J$1108,$J$1107))</f>
        <v>5.3903325633948667</v>
      </c>
      <c r="E706" s="1"/>
      <c r="F706" s="1"/>
      <c r="G706" s="1"/>
      <c r="H706" s="1"/>
      <c r="I706" s="1"/>
      <c r="J706" s="1"/>
      <c r="K706" s="9"/>
      <c r="L706" s="1"/>
      <c r="M706" s="319"/>
      <c r="N706" s="319"/>
      <c r="O706" s="319"/>
      <c r="P706" s="319"/>
      <c r="Q706" s="319"/>
      <c r="R706" s="319"/>
      <c r="S706" s="319"/>
      <c r="T706" s="319"/>
      <c r="U706" s="319"/>
      <c r="V706" s="319"/>
      <c r="W706" s="319"/>
      <c r="X706" s="319"/>
      <c r="Y706" s="319"/>
      <c r="Z706" s="319"/>
      <c r="AA706" s="319"/>
      <c r="AB706" s="319"/>
      <c r="AC706" s="319"/>
      <c r="AD706" s="319"/>
      <c r="AE706" s="319"/>
      <c r="AF706" s="319"/>
      <c r="AG706" s="319"/>
      <c r="AH706" s="319"/>
      <c r="AI706" s="319"/>
      <c r="AJ706" s="319"/>
      <c r="AK706" s="319"/>
      <c r="AL706" s="319"/>
      <c r="AM706" s="319"/>
      <c r="AN706" s="319"/>
      <c r="AO706" s="319">
        <v>2050010</v>
      </c>
      <c r="AP706" s="319"/>
      <c r="AQ706" s="319"/>
      <c r="AR706" s="319"/>
      <c r="AS706" s="319"/>
      <c r="AT706" s="319"/>
      <c r="AU706" s="319"/>
      <c r="AV706" s="319"/>
      <c r="AW706" s="319"/>
      <c r="AX706" s="319"/>
      <c r="AY706" s="319"/>
      <c r="AZ706" s="319"/>
      <c r="BA706" s="319"/>
      <c r="BB706" s="319"/>
      <c r="BC706" s="319"/>
      <c r="BD706" s="319"/>
      <c r="BE706" s="319"/>
      <c r="BF706" s="319"/>
      <c r="BG706" s="319"/>
      <c r="BH706" s="319"/>
      <c r="BI706" s="319"/>
      <c r="BJ706" s="319"/>
      <c r="BK706" s="319"/>
      <c r="BL706" s="319"/>
      <c r="BM706" s="319"/>
      <c r="BN706" s="319"/>
      <c r="BO706" s="319"/>
      <c r="BP706" s="319"/>
      <c r="BQ706" s="319"/>
      <c r="BR706" s="319"/>
      <c r="BS706" s="319"/>
      <c r="BT706" s="319"/>
      <c r="BU706" s="319"/>
      <c r="BV706" s="319"/>
      <c r="BW706" s="319"/>
      <c r="BX706" s="319"/>
      <c r="BY706" s="319"/>
      <c r="BZ706" s="319"/>
      <c r="CA706" s="319"/>
      <c r="CB706" s="319"/>
      <c r="CC706" s="319"/>
      <c r="CD706" s="319"/>
      <c r="CE706" s="319"/>
      <c r="CF706" s="319"/>
    </row>
    <row r="707" spans="1:84" ht="12.75" hidden="1" customHeight="1">
      <c r="A707" s="12"/>
      <c r="B707" s="329" t="str">
        <f>B83</f>
        <v>Eficiência Sazonal</v>
      </c>
      <c r="C707" s="29" t="str">
        <f>$T$35</f>
        <v>%</v>
      </c>
      <c r="D707" s="422"/>
      <c r="E707" s="1"/>
      <c r="F707" s="1"/>
      <c r="G707" s="1"/>
      <c r="H707" s="1"/>
      <c r="I707" s="1"/>
      <c r="J707" s="1"/>
      <c r="K707" s="9"/>
      <c r="L707" s="1"/>
      <c r="M707" s="319"/>
      <c r="N707" s="319"/>
      <c r="O707" s="319"/>
      <c r="P707" s="319"/>
      <c r="Q707" s="319"/>
      <c r="R707" s="319"/>
      <c r="S707" s="319"/>
      <c r="T707" s="319"/>
      <c r="U707" s="319"/>
      <c r="V707" s="319"/>
      <c r="W707" s="319"/>
      <c r="X707" s="319"/>
      <c r="Y707" s="319"/>
      <c r="Z707" s="319"/>
      <c r="AA707" s="319"/>
      <c r="AB707" s="319"/>
      <c r="AC707" s="319"/>
      <c r="AD707" s="319"/>
      <c r="AE707" s="319"/>
      <c r="AF707" s="319"/>
      <c r="AG707" s="319"/>
      <c r="AH707" s="319"/>
      <c r="AI707" s="319"/>
      <c r="AJ707" s="319"/>
      <c r="AK707" s="319"/>
      <c r="AL707" s="319"/>
      <c r="AM707" s="319"/>
      <c r="AN707" s="319"/>
      <c r="AO707" s="319">
        <v>2060070</v>
      </c>
      <c r="AP707" s="319"/>
      <c r="AQ707" s="319"/>
      <c r="AR707" s="319"/>
      <c r="AS707" s="319"/>
      <c r="AT707" s="319"/>
      <c r="AU707" s="319"/>
      <c r="AV707" s="319"/>
      <c r="AW707" s="319"/>
      <c r="AX707" s="319"/>
      <c r="AY707" s="319"/>
      <c r="AZ707" s="319"/>
      <c r="BA707" s="319"/>
      <c r="BB707" s="319"/>
      <c r="BC707" s="319"/>
      <c r="BD707" s="319"/>
      <c r="BE707" s="319"/>
      <c r="BF707" s="319"/>
      <c r="BG707" s="319"/>
      <c r="BH707" s="319"/>
      <c r="BI707" s="319"/>
      <c r="BJ707" s="319"/>
      <c r="BK707" s="319"/>
      <c r="BL707" s="319"/>
      <c r="BM707" s="319"/>
      <c r="BN707" s="319"/>
      <c r="BO707" s="319"/>
      <c r="BP707" s="319"/>
      <c r="BQ707" s="319"/>
      <c r="BR707" s="319"/>
      <c r="BS707" s="319"/>
      <c r="BT707" s="319"/>
      <c r="BU707" s="319"/>
      <c r="BV707" s="319"/>
      <c r="BW707" s="319"/>
      <c r="BX707" s="319"/>
      <c r="BY707" s="319"/>
      <c r="BZ707" s="319"/>
      <c r="CA707" s="319"/>
      <c r="CB707" s="319"/>
      <c r="CC707" s="319"/>
      <c r="CD707" s="319"/>
      <c r="CE707" s="319"/>
      <c r="CF707" s="319"/>
    </row>
    <row r="708" spans="1:84" ht="12.75" hidden="1" customHeight="1">
      <c r="A708" s="12"/>
      <c r="B708" s="329" t="str">
        <f>Language!C457</f>
        <v>Temp. de retorno</v>
      </c>
      <c r="C708" s="303" t="s">
        <v>5568</v>
      </c>
      <c r="D708" s="420"/>
      <c r="E708" s="1"/>
      <c r="F708" s="1"/>
      <c r="G708" s="1"/>
      <c r="H708" s="1"/>
      <c r="I708" s="1"/>
      <c r="J708" s="1"/>
      <c r="K708" s="9"/>
      <c r="L708" s="1"/>
      <c r="M708" s="319"/>
      <c r="N708" s="319"/>
      <c r="O708" s="319"/>
      <c r="P708" s="319"/>
      <c r="Q708" s="319"/>
      <c r="R708" s="319"/>
      <c r="S708" s="319"/>
      <c r="T708" s="319"/>
      <c r="U708" s="319"/>
      <c r="V708" s="319">
        <f>IF(C708=$Z$1107,D708,(D708-32)/1.8)</f>
        <v>0</v>
      </c>
      <c r="W708" s="319" t="s">
        <v>144</v>
      </c>
      <c r="X708" s="319"/>
      <c r="Y708" s="319"/>
      <c r="Z708" s="319"/>
      <c r="AA708" s="319"/>
      <c r="AB708" s="319"/>
      <c r="AC708" s="319"/>
      <c r="AD708" s="319"/>
      <c r="AE708" s="319"/>
      <c r="AF708" s="319"/>
      <c r="AG708" s="319"/>
      <c r="AH708" s="319"/>
      <c r="AI708" s="319"/>
      <c r="AJ708" s="319"/>
      <c r="AK708" s="319"/>
      <c r="AL708" s="319"/>
      <c r="AM708" s="319"/>
      <c r="AN708" s="319"/>
      <c r="AO708" s="319">
        <v>2060062</v>
      </c>
      <c r="AP708" s="319"/>
      <c r="AQ708" s="319"/>
      <c r="AR708" s="319"/>
      <c r="AS708" s="319"/>
      <c r="AT708" s="319"/>
      <c r="AU708" s="319"/>
      <c r="AV708" s="319"/>
      <c r="AW708" s="319"/>
      <c r="AX708" s="319"/>
      <c r="AY708" s="319"/>
      <c r="AZ708" s="319"/>
      <c r="BA708" s="319"/>
      <c r="BB708" s="319"/>
      <c r="BC708" s="319"/>
      <c r="BD708" s="319"/>
      <c r="BE708" s="319"/>
      <c r="BF708" s="319"/>
      <c r="BG708" s="319"/>
      <c r="BH708" s="319"/>
      <c r="BI708" s="319"/>
      <c r="BJ708" s="319"/>
      <c r="BK708" s="319"/>
      <c r="BL708" s="319"/>
      <c r="BM708" s="319"/>
      <c r="BN708" s="319"/>
      <c r="BO708" s="319"/>
      <c r="BP708" s="319"/>
      <c r="BQ708" s="319"/>
      <c r="BR708" s="319"/>
      <c r="BS708" s="319"/>
      <c r="BT708" s="319"/>
      <c r="BU708" s="319"/>
      <c r="BV708" s="319"/>
      <c r="BW708" s="319"/>
      <c r="BX708" s="319"/>
      <c r="BY708" s="319"/>
      <c r="BZ708" s="319"/>
      <c r="CA708" s="319"/>
      <c r="CB708" s="319"/>
      <c r="CC708" s="319"/>
      <c r="CD708" s="319"/>
      <c r="CE708" s="319"/>
      <c r="CF708" s="319"/>
    </row>
    <row r="709" spans="1:84" ht="12.75" hidden="1" customHeight="1">
      <c r="A709" s="12"/>
      <c r="B709" s="329" t="str">
        <f>B77</f>
        <v>Combustível necessário</v>
      </c>
      <c r="C709" s="29" t="str">
        <f t="shared" ref="C709:D711" si="68">IF(Unit=TRUE,R709,T709)</f>
        <v>GJ/h</v>
      </c>
      <c r="D709" s="140" t="e">
        <f t="shared" si="68"/>
        <v>#DIV/0!</v>
      </c>
      <c r="E709" s="1"/>
      <c r="F709" s="29" t="str">
        <f t="shared" ref="F709:G711" si="69">IF($M$3=FALSE,"",IF(Unit=FALSE,R709,T709))</f>
        <v/>
      </c>
      <c r="G709" s="140" t="str">
        <f t="shared" si="69"/>
        <v/>
      </c>
      <c r="H709" s="1"/>
      <c r="I709" s="1"/>
      <c r="J709" s="1"/>
      <c r="K709" s="9"/>
      <c r="L709" s="1"/>
      <c r="M709" s="319"/>
      <c r="N709" s="319"/>
      <c r="O709" s="319"/>
      <c r="P709" s="319"/>
      <c r="Q709" s="319"/>
      <c r="R709" s="319" t="str">
        <f>$R$77</f>
        <v>GJ/h</v>
      </c>
      <c r="S709" s="319" t="e">
        <f>(S682-EnthalpyF(0.1,V708+$AA$1090))*S678/D707/10^6</f>
        <v>#DIV/0!</v>
      </c>
      <c r="T709" s="319" t="str">
        <f>$T$77</f>
        <v>milhão Btu/h</v>
      </c>
      <c r="U709" s="319" t="e">
        <f>S709/$AA$1082</f>
        <v>#DIV/0!</v>
      </c>
      <c r="V709" s="319">
        <f>IF(EnthalpyF(V692,S693+$AA$1090)-EnthalpyF(0.1,V708+$AA$1090)&lt;0,0,1)</f>
        <v>1</v>
      </c>
      <c r="W709" s="319" t="s">
        <v>4085</v>
      </c>
      <c r="X709" s="319"/>
      <c r="Y709" s="319"/>
      <c r="Z709" s="319"/>
      <c r="AA709" s="319"/>
      <c r="AB709" s="319"/>
      <c r="AC709" s="319"/>
      <c r="AD709" s="319"/>
      <c r="AE709" s="319"/>
      <c r="AF709" s="319"/>
      <c r="AG709" s="319"/>
      <c r="AH709" s="319"/>
      <c r="AI709" s="319"/>
      <c r="AJ709" s="319"/>
      <c r="AK709" s="319"/>
      <c r="AL709" s="319"/>
      <c r="AM709" s="319"/>
      <c r="AN709" s="319"/>
      <c r="AO709" s="319">
        <v>2060072</v>
      </c>
      <c r="AP709" s="319"/>
      <c r="AQ709" s="319"/>
      <c r="AR709" s="319"/>
      <c r="AS709" s="319"/>
      <c r="AT709" s="319"/>
      <c r="AU709" s="319"/>
      <c r="AV709" s="319"/>
      <c r="AW709" s="319"/>
      <c r="AX709" s="319"/>
      <c r="AY709" s="319"/>
      <c r="AZ709" s="319"/>
      <c r="BA709" s="319"/>
      <c r="BB709" s="319"/>
      <c r="BC709" s="319"/>
      <c r="BD709" s="319"/>
      <c r="BE709" s="319"/>
      <c r="BF709" s="319"/>
      <c r="BG709" s="319"/>
      <c r="BH709" s="319"/>
      <c r="BI709" s="319"/>
      <c r="BJ709" s="319"/>
      <c r="BK709" s="319"/>
      <c r="BL709" s="319"/>
      <c r="BM709" s="319"/>
      <c r="BN709" s="319"/>
      <c r="BO709" s="319"/>
      <c r="BP709" s="319"/>
      <c r="BQ709" s="319"/>
      <c r="BR709" s="319"/>
      <c r="BS709" s="319"/>
      <c r="BT709" s="319"/>
      <c r="BU709" s="319"/>
      <c r="BV709" s="319"/>
      <c r="BW709" s="319"/>
      <c r="BX709" s="319"/>
      <c r="BY709" s="319"/>
      <c r="BZ709" s="319"/>
      <c r="CA709" s="319"/>
      <c r="CB709" s="319"/>
      <c r="CC709" s="319"/>
      <c r="CD709" s="319"/>
      <c r="CE709" s="319"/>
      <c r="CF709" s="319"/>
    </row>
    <row r="710" spans="1:84" ht="12.75" hidden="1" customHeight="1">
      <c r="A710" s="12"/>
      <c r="B710" s="329" t="str">
        <f>B157</f>
        <v>Capacidade térmica - sem extração</v>
      </c>
      <c r="C710" s="29" t="str">
        <f t="shared" si="68"/>
        <v>kW</v>
      </c>
      <c r="D710" s="140">
        <f t="shared" si="68"/>
        <v>0</v>
      </c>
      <c r="E710" s="80" t="str">
        <f>IF(OR(HideCode_projectType3=2,HideCode_projectType3=5),"",S710/$Q$866)</f>
        <v/>
      </c>
      <c r="F710" s="29" t="str">
        <f t="shared" si="69"/>
        <v/>
      </c>
      <c r="G710" s="140" t="str">
        <f t="shared" si="69"/>
        <v/>
      </c>
      <c r="H710" s="1"/>
      <c r="I710" s="1"/>
      <c r="J710" s="1"/>
      <c r="K710" s="9"/>
      <c r="L710" s="1"/>
      <c r="M710" s="319"/>
      <c r="N710" s="319"/>
      <c r="O710" s="319"/>
      <c r="P710" s="319"/>
      <c r="Q710" s="319"/>
      <c r="R710" s="319" t="str">
        <f>$R$20</f>
        <v>kW</v>
      </c>
      <c r="S710" s="319">
        <f>(IF(V692&gt;0.1,EnthalpyV(V692,S693+$AA$1090)-EnthalpyF(0.1,V708+$AA$1090),EnthalpyF(V692,S693+$AA$1090)-EnthalpyF(0.1,V708+$AA$1090))*S678*V709)/3600</f>
        <v>0</v>
      </c>
      <c r="T710" s="319" t="str">
        <f>$T$77</f>
        <v>milhão Btu/h</v>
      </c>
      <c r="U710" s="319">
        <f>S710*$AA$1087</f>
        <v>0</v>
      </c>
      <c r="V710" s="319" t="s">
        <v>1068</v>
      </c>
      <c r="W710" s="319"/>
      <c r="X710" s="319"/>
      <c r="Y710" s="319"/>
      <c r="Z710" s="319"/>
      <c r="AA710" s="319"/>
      <c r="AB710" s="319"/>
      <c r="AC710" s="319"/>
      <c r="AD710" s="319"/>
      <c r="AE710" s="319"/>
      <c r="AF710" s="319"/>
      <c r="AG710" s="319"/>
      <c r="AH710" s="319"/>
      <c r="AI710" s="319"/>
      <c r="AJ710" s="319"/>
      <c r="AK710" s="319"/>
      <c r="AL710" s="319"/>
      <c r="AM710" s="319"/>
      <c r="AN710" s="319"/>
      <c r="AO710" s="319">
        <v>2060064</v>
      </c>
      <c r="AP710" s="319"/>
      <c r="AQ710" s="319"/>
      <c r="AR710" s="319"/>
      <c r="AS710" s="319"/>
      <c r="AT710" s="319"/>
      <c r="AU710" s="319"/>
      <c r="AV710" s="319"/>
      <c r="AW710" s="319"/>
      <c r="AX710" s="319"/>
      <c r="AY710" s="319"/>
      <c r="AZ710" s="319"/>
      <c r="BA710" s="319"/>
      <c r="BB710" s="319"/>
      <c r="BC710" s="319"/>
      <c r="BD710" s="319"/>
      <c r="BE710" s="319"/>
      <c r="BF710" s="319"/>
      <c r="BG710" s="319"/>
      <c r="BH710" s="319"/>
      <c r="BI710" s="319"/>
      <c r="BJ710" s="319"/>
      <c r="BK710" s="319"/>
      <c r="BL710" s="319"/>
      <c r="BM710" s="319"/>
      <c r="BN710" s="319"/>
      <c r="BO710" s="319"/>
      <c r="BP710" s="319"/>
      <c r="BQ710" s="319"/>
      <c r="BR710" s="319"/>
      <c r="BS710" s="319"/>
      <c r="BT710" s="319"/>
      <c r="BU710" s="319"/>
      <c r="BV710" s="319"/>
      <c r="BW710" s="319"/>
      <c r="BX710" s="319"/>
      <c r="BY710" s="319"/>
      <c r="BZ710" s="319"/>
      <c r="CA710" s="319"/>
      <c r="CB710" s="319"/>
      <c r="CC710" s="319"/>
      <c r="CD710" s="319"/>
      <c r="CE710" s="319"/>
      <c r="CF710" s="319"/>
    </row>
    <row r="711" spans="1:84" ht="12.75" hidden="1" customHeight="1">
      <c r="A711" s="14"/>
      <c r="B711" s="380" t="str">
        <f>IF(HideCodeES_Extract_ST2=2,Language!C431,Language!C433)</f>
        <v>Capacidade térmica</v>
      </c>
      <c r="C711" s="33" t="str">
        <f t="shared" si="68"/>
        <v>kW</v>
      </c>
      <c r="D711" s="245">
        <f t="shared" si="68"/>
        <v>0</v>
      </c>
      <c r="E711" s="81" t="str">
        <f>IF(OR(HideCode_projectType3=2,HideCode_projectType3=5),"",S711/$Q$866)</f>
        <v/>
      </c>
      <c r="F711" s="33" t="str">
        <f t="shared" si="69"/>
        <v/>
      </c>
      <c r="G711" s="245" t="str">
        <f t="shared" si="69"/>
        <v/>
      </c>
      <c r="H711" s="15"/>
      <c r="I711" s="15"/>
      <c r="J711" s="15"/>
      <c r="K711" s="11"/>
      <c r="L711" s="1"/>
      <c r="M711" s="319"/>
      <c r="N711" s="319"/>
      <c r="O711" s="319"/>
      <c r="P711" s="319"/>
      <c r="Q711" s="319"/>
      <c r="R711" s="319" t="str">
        <f>$R$20</f>
        <v>kW</v>
      </c>
      <c r="S711" s="319">
        <f>(IF(V692&gt;0.1,EnthalpyV(V692,S693+$AA$1090)-EnthalpyF(0.1,V708+$AA$1090),EnthalpyF(V692,S693+$AA$1090)-EnthalpyF(0.1,V708+$AA$1090))*S678*(1-V685)*V709+IF(V687&gt;0.1,(S690-EnthalpyF(0.1,V708+$AA$1090)),(EnthalpyF(V687,S688+$AA$1090)-EnthalpyF(0.1,V708+$AA$1090)))*V685*S678)/3600</f>
        <v>0</v>
      </c>
      <c r="T711" s="319" t="str">
        <f>$T$77</f>
        <v>milhão Btu/h</v>
      </c>
      <c r="U711" s="319">
        <f>S711*$AA$1087</f>
        <v>0</v>
      </c>
      <c r="V711" s="319"/>
      <c r="W711" s="319"/>
      <c r="X711" s="319"/>
      <c r="Y711" s="319"/>
      <c r="Z711" s="319"/>
      <c r="AA711" s="319"/>
      <c r="AB711" s="319"/>
      <c r="AC711" s="319"/>
      <c r="AD711" s="319"/>
      <c r="AE711" s="319"/>
      <c r="AF711" s="319"/>
      <c r="AG711" s="319"/>
      <c r="AH711" s="319"/>
      <c r="AI711" s="319"/>
      <c r="AJ711" s="319"/>
      <c r="AK711" s="319"/>
      <c r="AL711" s="319"/>
      <c r="AM711" s="319"/>
      <c r="AN711" s="319"/>
      <c r="AO711" s="319">
        <v>2060066</v>
      </c>
      <c r="AP711" s="319"/>
      <c r="AQ711" s="319"/>
      <c r="AR711" s="319"/>
      <c r="AS711" s="319"/>
      <c r="AT711" s="319"/>
      <c r="AU711" s="319"/>
      <c r="AV711" s="319"/>
      <c r="AW711" s="319"/>
      <c r="AX711" s="319"/>
      <c r="AY711" s="319"/>
      <c r="AZ711" s="319"/>
      <c r="BA711" s="319"/>
      <c r="BB711" s="319"/>
      <c r="BC711" s="319"/>
      <c r="BD711" s="319"/>
      <c r="BE711" s="319"/>
      <c r="BF711" s="319"/>
      <c r="BG711" s="319"/>
      <c r="BH711" s="319"/>
      <c r="BI711" s="319"/>
      <c r="BJ711" s="319"/>
      <c r="BK711" s="319"/>
      <c r="BL711" s="319"/>
      <c r="BM711" s="319"/>
      <c r="BN711" s="319"/>
      <c r="BO711" s="319"/>
      <c r="BP711" s="319"/>
      <c r="BQ711" s="319"/>
      <c r="BR711" s="319"/>
      <c r="BS711" s="319"/>
      <c r="BT711" s="319"/>
      <c r="BU711" s="319"/>
      <c r="BV711" s="319"/>
      <c r="BW711" s="319"/>
      <c r="BX711" s="319"/>
      <c r="BY711" s="319"/>
      <c r="BZ711" s="319"/>
      <c r="CA711" s="319"/>
      <c r="CB711" s="319"/>
      <c r="CC711" s="319"/>
      <c r="CD711" s="319"/>
      <c r="CE711" s="319"/>
      <c r="CF711" s="319"/>
    </row>
    <row r="712" spans="1:84" ht="12.75" hidden="1" customHeight="1">
      <c r="A712" s="12"/>
      <c r="B712" s="1"/>
      <c r="C712" s="1"/>
      <c r="D712" s="1"/>
      <c r="E712" s="1"/>
      <c r="F712" s="1"/>
      <c r="G712" s="1"/>
      <c r="H712" s="1"/>
      <c r="I712" s="1"/>
      <c r="J712" s="1"/>
      <c r="K712" s="9"/>
      <c r="L712" s="1"/>
      <c r="M712" s="319"/>
      <c r="N712" s="319"/>
      <c r="O712" s="319"/>
      <c r="P712" s="319"/>
      <c r="Q712" s="319"/>
      <c r="R712" s="319"/>
      <c r="S712" s="319"/>
      <c r="T712" s="319"/>
      <c r="U712" s="319"/>
      <c r="V712" s="319"/>
      <c r="W712" s="319"/>
      <c r="X712" s="319"/>
      <c r="Y712" s="319"/>
      <c r="Z712" s="319"/>
      <c r="AA712" s="319"/>
      <c r="AB712" s="319"/>
      <c r="AC712" s="319"/>
      <c r="AD712" s="319"/>
      <c r="AE712" s="319"/>
      <c r="AF712" s="319"/>
      <c r="AG712" s="319"/>
      <c r="AH712" s="319"/>
      <c r="AI712" s="319"/>
      <c r="AJ712" s="319"/>
      <c r="AK712" s="319"/>
      <c r="AL712" s="319"/>
      <c r="AM712" s="319"/>
      <c r="AN712" s="319"/>
      <c r="AO712" s="319">
        <v>2030000</v>
      </c>
      <c r="AP712" s="319"/>
      <c r="AQ712" s="319"/>
      <c r="AR712" s="319"/>
      <c r="AS712" s="319"/>
      <c r="AT712" s="319"/>
      <c r="AU712" s="319"/>
      <c r="AV712" s="319"/>
      <c r="AW712" s="319"/>
      <c r="AX712" s="319"/>
      <c r="AY712" s="319"/>
      <c r="AZ712" s="319"/>
      <c r="BA712" s="319"/>
      <c r="BB712" s="319"/>
      <c r="BC712" s="319"/>
      <c r="BD712" s="319"/>
      <c r="BE712" s="319"/>
      <c r="BF712" s="319"/>
      <c r="BG712" s="319"/>
      <c r="BH712" s="319"/>
      <c r="BI712" s="319"/>
      <c r="BJ712" s="319"/>
      <c r="BK712" s="319"/>
      <c r="BL712" s="319"/>
      <c r="BM712" s="319"/>
      <c r="BN712" s="319"/>
      <c r="BO712" s="319"/>
      <c r="BP712" s="319"/>
      <c r="BQ712" s="319"/>
      <c r="BR712" s="319"/>
      <c r="BS712" s="319"/>
      <c r="BT712" s="319"/>
      <c r="BU712" s="319"/>
      <c r="BV712" s="319"/>
      <c r="BW712" s="319"/>
      <c r="BX712" s="319"/>
      <c r="BY712" s="319"/>
      <c r="BZ712" s="319"/>
      <c r="CA712" s="319"/>
      <c r="CB712" s="319"/>
      <c r="CC712" s="319"/>
      <c r="CD712" s="319"/>
      <c r="CE712" s="319"/>
      <c r="CF712" s="319"/>
    </row>
    <row r="713" spans="1:84" ht="12.75" hidden="1" customHeight="1">
      <c r="A713" s="12"/>
      <c r="B713" s="1"/>
      <c r="C713" s="1"/>
      <c r="D713" s="1"/>
      <c r="E713" s="1"/>
      <c r="F713" s="1"/>
      <c r="G713" s="1"/>
      <c r="H713" s="1"/>
      <c r="I713" s="1"/>
      <c r="J713" s="1"/>
      <c r="K713" s="9"/>
      <c r="L713" s="1"/>
      <c r="M713" s="319"/>
      <c r="N713" s="319"/>
      <c r="O713" s="319"/>
      <c r="P713" s="319"/>
      <c r="Q713" s="319"/>
      <c r="R713" s="319"/>
      <c r="S713" s="319"/>
      <c r="T713" s="319"/>
      <c r="U713" s="319"/>
      <c r="V713" s="319"/>
      <c r="W713" s="319"/>
      <c r="X713" s="319"/>
      <c r="Y713" s="319"/>
      <c r="Z713" s="319"/>
      <c r="AA713" s="319"/>
      <c r="AB713" s="319"/>
      <c r="AC713" s="319"/>
      <c r="AD713" s="319"/>
      <c r="AE713" s="319"/>
      <c r="AF713" s="319"/>
      <c r="AG713" s="319"/>
      <c r="AH713" s="319"/>
      <c r="AI713" s="319"/>
      <c r="AJ713" s="319"/>
      <c r="AK713" s="319"/>
      <c r="AL713" s="319"/>
      <c r="AM713" s="319"/>
      <c r="AN713" s="319"/>
      <c r="AO713" s="319">
        <v>2000000</v>
      </c>
      <c r="AP713" s="319"/>
      <c r="AQ713" s="319"/>
      <c r="AR713" s="319"/>
      <c r="AS713" s="319"/>
      <c r="AT713" s="319"/>
      <c r="AU713" s="319"/>
      <c r="AV713" s="319"/>
      <c r="AW713" s="319"/>
      <c r="AX713" s="319"/>
      <c r="AY713" s="319"/>
      <c r="AZ713" s="319"/>
      <c r="BA713" s="319"/>
      <c r="BB713" s="319"/>
      <c r="BC713" s="319"/>
      <c r="BD713" s="319"/>
      <c r="BE713" s="319"/>
      <c r="BF713" s="319"/>
      <c r="BG713" s="319"/>
      <c r="BH713" s="319"/>
      <c r="BI713" s="319"/>
      <c r="BJ713" s="319"/>
      <c r="BK713" s="319"/>
      <c r="BL713" s="319"/>
      <c r="BM713" s="319"/>
      <c r="BN713" s="319"/>
      <c r="BO713" s="319"/>
      <c r="BP713" s="319"/>
      <c r="BQ713" s="319"/>
      <c r="BR713" s="319"/>
      <c r="BS713" s="319"/>
      <c r="BT713" s="319"/>
      <c r="BU713" s="319"/>
      <c r="BV713" s="319"/>
      <c r="BW713" s="319"/>
      <c r="BX713" s="319"/>
      <c r="BY713" s="319"/>
      <c r="BZ713" s="319"/>
      <c r="CA713" s="319"/>
      <c r="CB713" s="319"/>
      <c r="CC713" s="319"/>
      <c r="CD713" s="319"/>
      <c r="CE713" s="319"/>
      <c r="CF713" s="319"/>
    </row>
    <row r="714" spans="1:84" ht="12.75" hidden="1" customHeight="1">
      <c r="A714" s="12"/>
      <c r="B714" s="28" t="str">
        <f>Language!C137&amp;" #2"</f>
        <v>Energia Geotérmica #2</v>
      </c>
      <c r="C714" s="1"/>
      <c r="D714" s="1"/>
      <c r="E714" s="1"/>
      <c r="F714" s="1"/>
      <c r="G714" s="1"/>
      <c r="H714" s="1"/>
      <c r="I714" s="1"/>
      <c r="J714" s="1"/>
      <c r="K714" s="9"/>
      <c r="L714" s="1"/>
      <c r="M714" s="319"/>
      <c r="N714" s="319"/>
      <c r="O714" s="319"/>
      <c r="P714" s="319"/>
      <c r="Q714" s="319"/>
      <c r="R714" s="319"/>
      <c r="S714" s="319"/>
      <c r="T714" s="319"/>
      <c r="U714" s="319"/>
      <c r="V714" s="319"/>
      <c r="W714" s="319"/>
      <c r="X714" s="319"/>
      <c r="Y714" s="319"/>
      <c r="Z714" s="319"/>
      <c r="AA714" s="319"/>
      <c r="AB714" s="319"/>
      <c r="AC714" s="319"/>
      <c r="AD714" s="319"/>
      <c r="AE714" s="319"/>
      <c r="AF714" s="319"/>
      <c r="AG714" s="319"/>
      <c r="AH714" s="319"/>
      <c r="AI714" s="319"/>
      <c r="AJ714" s="319"/>
      <c r="AK714" s="319"/>
      <c r="AL714" s="319"/>
      <c r="AM714" s="319"/>
      <c r="AN714" s="319"/>
      <c r="AO714" s="319">
        <v>14130</v>
      </c>
      <c r="AP714" s="319"/>
      <c r="AQ714" s="319"/>
      <c r="AR714" s="319"/>
      <c r="AS714" s="319"/>
      <c r="AT714" s="319"/>
      <c r="AU714" s="319"/>
      <c r="AV714" s="319"/>
      <c r="AW714" s="319"/>
      <c r="AX714" s="319"/>
      <c r="AY714" s="319"/>
      <c r="AZ714" s="319"/>
      <c r="BA714" s="319"/>
      <c r="BB714" s="319"/>
      <c r="BC714" s="319"/>
      <c r="BD714" s="319"/>
      <c r="BE714" s="319"/>
      <c r="BF714" s="319"/>
      <c r="BG714" s="319"/>
      <c r="BH714" s="319"/>
      <c r="BI714" s="319"/>
      <c r="BJ714" s="319"/>
      <c r="BK714" s="319"/>
      <c r="BL714" s="319"/>
      <c r="BM714" s="319"/>
      <c r="BN714" s="319"/>
      <c r="BO714" s="319"/>
      <c r="BP714" s="319"/>
      <c r="BQ714" s="319"/>
      <c r="BR714" s="319"/>
      <c r="BS714" s="319"/>
      <c r="BT714" s="319"/>
      <c r="BU714" s="319"/>
      <c r="BV714" s="319"/>
      <c r="BW714" s="319"/>
      <c r="BX714" s="319"/>
      <c r="BY714" s="319"/>
      <c r="BZ714" s="319"/>
      <c r="CA714" s="319"/>
      <c r="CB714" s="319"/>
      <c r="CC714" s="319"/>
      <c r="CD714" s="319"/>
      <c r="CE714" s="319"/>
      <c r="CF714" s="319"/>
    </row>
    <row r="715" spans="1:84" ht="12.75" hidden="1" customHeight="1">
      <c r="A715" s="12"/>
      <c r="B715" s="329" t="str">
        <f>Language!C460</f>
        <v>Fluxo de vapor</v>
      </c>
      <c r="C715" s="459" t="s">
        <v>4448</v>
      </c>
      <c r="D715" s="457"/>
      <c r="E715" s="1"/>
      <c r="F715" s="1"/>
      <c r="G715" s="1"/>
      <c r="H715" s="1346"/>
      <c r="I715" s="1"/>
      <c r="J715" s="1"/>
      <c r="K715" s="9"/>
      <c r="L715" s="1"/>
      <c r="M715" s="319"/>
      <c r="N715" s="319"/>
      <c r="O715" s="319"/>
      <c r="P715" s="319"/>
      <c r="Q715" s="319"/>
      <c r="R715" s="319" t="s">
        <v>4448</v>
      </c>
      <c r="S715" s="319">
        <f>IF(C715=$Z$1084,D715,D715*$AA$1085)</f>
        <v>0</v>
      </c>
      <c r="T715" s="319"/>
      <c r="U715" s="319"/>
      <c r="V715" s="319"/>
      <c r="W715" s="319"/>
      <c r="X715" s="319"/>
      <c r="Y715" s="319"/>
      <c r="Z715" s="319"/>
      <c r="AA715" s="319"/>
      <c r="AB715" s="319"/>
      <c r="AC715" s="319"/>
      <c r="AD715" s="319"/>
      <c r="AE715" s="319"/>
      <c r="AF715" s="319"/>
      <c r="AG715" s="319"/>
      <c r="AH715" s="319"/>
      <c r="AI715" s="319"/>
      <c r="AJ715" s="319"/>
      <c r="AK715" s="319"/>
      <c r="AL715" s="319"/>
      <c r="AM715" s="319"/>
      <c r="AN715" s="319"/>
      <c r="AO715" s="319">
        <v>2060016</v>
      </c>
      <c r="AP715" s="319"/>
      <c r="AQ715" s="319"/>
      <c r="AR715" s="319"/>
      <c r="AS715" s="319"/>
      <c r="AT715" s="319"/>
      <c r="AU715" s="319"/>
      <c r="AV715" s="319"/>
      <c r="AW715" s="319"/>
      <c r="AX715" s="319"/>
      <c r="AY715" s="319"/>
      <c r="AZ715" s="319"/>
      <c r="BA715" s="319"/>
      <c r="BB715" s="319"/>
      <c r="BC715" s="319"/>
      <c r="BD715" s="319"/>
      <c r="BE715" s="319"/>
      <c r="BF715" s="319"/>
      <c r="BG715" s="319"/>
      <c r="BH715" s="319"/>
      <c r="BI715" s="319"/>
      <c r="BJ715" s="319"/>
      <c r="BK715" s="319"/>
      <c r="BL715" s="319"/>
      <c r="BM715" s="319"/>
      <c r="BN715" s="319"/>
      <c r="BO715" s="319"/>
      <c r="BP715" s="319"/>
      <c r="BQ715" s="319"/>
      <c r="BR715" s="319"/>
      <c r="BS715" s="319"/>
      <c r="BT715" s="319"/>
      <c r="BU715" s="319"/>
      <c r="BV715" s="319"/>
      <c r="BW715" s="319"/>
      <c r="BX715" s="319"/>
      <c r="BY715" s="319"/>
      <c r="BZ715" s="319"/>
      <c r="CA715" s="319"/>
      <c r="CB715" s="319"/>
      <c r="CC715" s="319"/>
      <c r="CD715" s="319"/>
      <c r="CE715" s="319"/>
      <c r="CF715" s="319"/>
    </row>
    <row r="716" spans="1:84" ht="12.75" hidden="1" customHeight="1">
      <c r="A716" s="12"/>
      <c r="B716" s="329" t="str">
        <f>B12</f>
        <v>Fabricante</v>
      </c>
      <c r="C716" s="1152"/>
      <c r="D716" s="1153"/>
      <c r="E716" s="1154"/>
      <c r="F716" s="1"/>
      <c r="G716" s="1"/>
      <c r="H716" s="1"/>
      <c r="I716" s="1209" t="str">
        <f>Language!C61</f>
        <v>Ver banco de dados de produtos</v>
      </c>
      <c r="J716" s="1191"/>
      <c r="K716" s="1210"/>
      <c r="L716" s="1"/>
      <c r="M716" s="319"/>
      <c r="N716" s="319"/>
      <c r="O716" s="319"/>
      <c r="P716" s="319"/>
      <c r="Q716" s="319"/>
      <c r="R716" s="319"/>
      <c r="S716" s="319"/>
      <c r="T716" s="319"/>
      <c r="U716" s="319"/>
      <c r="V716" s="319">
        <f>Tsat(V721)</f>
        <v>281.649075836495</v>
      </c>
      <c r="W716" s="319" t="s">
        <v>143</v>
      </c>
      <c r="X716" s="319"/>
      <c r="Y716" s="319"/>
      <c r="Z716" s="319"/>
      <c r="AA716" s="319"/>
      <c r="AB716" s="319"/>
      <c r="AC716" s="319"/>
      <c r="AD716" s="319"/>
      <c r="AE716" s="319"/>
      <c r="AF716" s="319"/>
      <c r="AG716" s="319"/>
      <c r="AH716" s="319"/>
      <c r="AI716" s="319"/>
      <c r="AJ716" s="319"/>
      <c r="AK716" s="319"/>
      <c r="AL716" s="319"/>
      <c r="AM716" s="319"/>
      <c r="AN716" s="319"/>
      <c r="AO716" s="319">
        <v>2050012</v>
      </c>
      <c r="AP716" s="319"/>
      <c r="AQ716" s="319"/>
      <c r="AR716" s="319"/>
      <c r="AS716" s="319"/>
      <c r="AT716" s="319"/>
      <c r="AU716" s="319"/>
      <c r="AV716" s="319"/>
      <c r="AW716" s="319"/>
      <c r="AX716" s="319"/>
      <c r="AY716" s="319"/>
      <c r="AZ716" s="319"/>
      <c r="BA716" s="319"/>
      <c r="BB716" s="319"/>
      <c r="BC716" s="319"/>
      <c r="BD716" s="319"/>
      <c r="BE716" s="319"/>
      <c r="BF716" s="319"/>
      <c r="BG716" s="319"/>
      <c r="BH716" s="319"/>
      <c r="BI716" s="319"/>
      <c r="BJ716" s="319"/>
      <c r="BK716" s="319"/>
      <c r="BL716" s="319"/>
      <c r="BM716" s="319"/>
      <c r="BN716" s="319"/>
      <c r="BO716" s="319"/>
      <c r="BP716" s="319"/>
      <c r="BQ716" s="319"/>
      <c r="BR716" s="319"/>
      <c r="BS716" s="319"/>
      <c r="BT716" s="319"/>
      <c r="BU716" s="319"/>
      <c r="BV716" s="319"/>
      <c r="BW716" s="319"/>
      <c r="BX716" s="319"/>
      <c r="BY716" s="319"/>
      <c r="BZ716" s="319"/>
      <c r="CA716" s="319"/>
      <c r="CB716" s="319"/>
      <c r="CC716" s="319"/>
      <c r="CD716" s="319"/>
      <c r="CE716" s="319"/>
      <c r="CF716" s="319"/>
    </row>
    <row r="717" spans="1:84" ht="12.75" hidden="1" customHeight="1">
      <c r="A717" s="12"/>
      <c r="B717" s="329" t="str">
        <f>B187</f>
        <v>Modelo e capacidade</v>
      </c>
      <c r="C717" s="1152"/>
      <c r="D717" s="1153"/>
      <c r="E717" s="1154"/>
      <c r="F717" s="1"/>
      <c r="G717" s="1"/>
      <c r="H717" s="1"/>
      <c r="I717" s="1"/>
      <c r="J717" s="1"/>
      <c r="K717" s="9"/>
      <c r="L717" s="1"/>
      <c r="M717" s="319"/>
      <c r="N717" s="319"/>
      <c r="O717" s="319"/>
      <c r="P717" s="319"/>
      <c r="Q717" s="319"/>
      <c r="R717" s="319"/>
      <c r="S717" s="319"/>
      <c r="T717" s="319"/>
      <c r="U717" s="319"/>
      <c r="V717" s="319">
        <f>(entropyV(V718,V720)-entropyF(V721,V716))/(entropyV(V721,V716)-entropyF(V721,V716))</f>
        <v>0.9934117547612823</v>
      </c>
      <c r="W717" s="319" t="s">
        <v>3349</v>
      </c>
      <c r="X717" s="319"/>
      <c r="Y717" s="319"/>
      <c r="Z717" s="319"/>
      <c r="AA717" s="319"/>
      <c r="AB717" s="319"/>
      <c r="AC717" s="319"/>
      <c r="AD717" s="319"/>
      <c r="AE717" s="319"/>
      <c r="AF717" s="319"/>
      <c r="AG717" s="319"/>
      <c r="AH717" s="319"/>
      <c r="AI717" s="319"/>
      <c r="AJ717" s="319"/>
      <c r="AK717" s="319"/>
      <c r="AL717" s="319"/>
      <c r="AM717" s="319"/>
      <c r="AN717" s="319"/>
      <c r="AO717" s="319">
        <v>2050016</v>
      </c>
      <c r="AP717" s="319"/>
      <c r="AQ717" s="319"/>
      <c r="AR717" s="319"/>
      <c r="AS717" s="319"/>
      <c r="AT717" s="319"/>
      <c r="AU717" s="319"/>
      <c r="AV717" s="319"/>
      <c r="AW717" s="319"/>
      <c r="AX717" s="319"/>
      <c r="AY717" s="319"/>
      <c r="AZ717" s="319"/>
      <c r="BA717" s="319"/>
      <c r="BB717" s="319"/>
      <c r="BC717" s="319"/>
      <c r="BD717" s="319"/>
      <c r="BE717" s="319"/>
      <c r="BF717" s="319"/>
      <c r="BG717" s="319"/>
      <c r="BH717" s="319"/>
      <c r="BI717" s="319"/>
      <c r="BJ717" s="319"/>
      <c r="BK717" s="319"/>
      <c r="BL717" s="319"/>
      <c r="BM717" s="319"/>
      <c r="BN717" s="319"/>
      <c r="BO717" s="319"/>
      <c r="BP717" s="319"/>
      <c r="BQ717" s="319"/>
      <c r="BR717" s="319"/>
      <c r="BS717" s="319"/>
      <c r="BT717" s="319"/>
      <c r="BU717" s="319"/>
      <c r="BV717" s="319"/>
      <c r="BW717" s="319"/>
      <c r="BX717" s="319"/>
      <c r="BY717" s="319"/>
      <c r="BZ717" s="319"/>
      <c r="CA717" s="319"/>
      <c r="CB717" s="319"/>
      <c r="CC717" s="319"/>
      <c r="CD717" s="319"/>
      <c r="CE717" s="319"/>
      <c r="CF717" s="319"/>
    </row>
    <row r="718" spans="1:84" ht="12.75" hidden="1" customHeight="1">
      <c r="A718" s="12"/>
      <c r="B718" s="329" t="str">
        <f>B162</f>
        <v>Pressão de Operação</v>
      </c>
      <c r="C718" s="303" t="s">
        <v>2791</v>
      </c>
      <c r="D718" s="307"/>
      <c r="E718" s="1"/>
      <c r="F718" s="1"/>
      <c r="G718" s="1"/>
      <c r="H718" s="1"/>
      <c r="I718" s="1"/>
      <c r="J718" s="1"/>
      <c r="K718" s="9"/>
      <c r="L718" s="1"/>
      <c r="M718" s="319"/>
      <c r="N718" s="319"/>
      <c r="O718" s="319"/>
      <c r="P718" s="319"/>
      <c r="Q718" s="319"/>
      <c r="R718" s="319"/>
      <c r="S718" s="319"/>
      <c r="T718" s="319"/>
      <c r="U718" s="319"/>
      <c r="V718" s="319">
        <f>IF(IF(C718=$Z$1067,D718/1000,IF(C718=$Z$1068,D718/10,IF(C718=$Z$1069,(D718+$AA$1069)/$Y$1069/10,IF(C718=$Z$1070,D718/$Y$1069/10))))&lt;SteamP,SteamP,IF(C718=$Z$1067,D718/1000,IF(C718=$Z$1068,D718/10,IF(C718=$Z$1069,(D718+$AA$1069)/$Y$1069/10,IF(C718=$Z$1070,D718/$Y$1069/10)))))</f>
        <v>1.1100000000000001E-3</v>
      </c>
      <c r="W718" s="319" t="s">
        <v>3345</v>
      </c>
      <c r="X718" s="319"/>
      <c r="Y718" s="319"/>
      <c r="Z718" s="319"/>
      <c r="AA718" s="319"/>
      <c r="AB718" s="319"/>
      <c r="AC718" s="319"/>
      <c r="AD718" s="319"/>
      <c r="AE718" s="319"/>
      <c r="AF718" s="319"/>
      <c r="AG718" s="319"/>
      <c r="AH718" s="319"/>
      <c r="AI718" s="319"/>
      <c r="AJ718" s="319"/>
      <c r="AK718" s="319"/>
      <c r="AL718" s="319"/>
      <c r="AM718" s="319"/>
      <c r="AN718" s="319"/>
      <c r="AO718" s="319">
        <v>2060008</v>
      </c>
      <c r="AP718" s="319"/>
      <c r="AQ718" s="319"/>
      <c r="AR718" s="319"/>
      <c r="AS718" s="319"/>
      <c r="AT718" s="319"/>
      <c r="AU718" s="319"/>
      <c r="AV718" s="319"/>
      <c r="AW718" s="319"/>
      <c r="AX718" s="319"/>
      <c r="AY718" s="319"/>
      <c r="AZ718" s="319"/>
      <c r="BA718" s="319"/>
      <c r="BB718" s="319"/>
      <c r="BC718" s="319"/>
      <c r="BD718" s="319"/>
      <c r="BE718" s="319"/>
      <c r="BF718" s="319"/>
      <c r="BG718" s="319"/>
      <c r="BH718" s="319"/>
      <c r="BI718" s="319"/>
      <c r="BJ718" s="319"/>
      <c r="BK718" s="319"/>
      <c r="BL718" s="319"/>
      <c r="BM718" s="319"/>
      <c r="BN718" s="319"/>
      <c r="BO718" s="319"/>
      <c r="BP718" s="319"/>
      <c r="BQ718" s="319"/>
      <c r="BR718" s="319"/>
      <c r="BS718" s="319"/>
      <c r="BT718" s="319"/>
      <c r="BU718" s="319"/>
      <c r="BV718" s="319"/>
      <c r="BW718" s="319"/>
      <c r="BX718" s="319"/>
      <c r="BY718" s="319"/>
      <c r="BZ718" s="319"/>
      <c r="CA718" s="319"/>
      <c r="CB718" s="319"/>
      <c r="CC718" s="319"/>
      <c r="CD718" s="319"/>
      <c r="CE718" s="319"/>
      <c r="CF718" s="319"/>
    </row>
    <row r="719" spans="1:84" ht="12.75" hidden="1" customHeight="1">
      <c r="A719" s="12"/>
      <c r="B719" s="329" t="str">
        <f>B86</f>
        <v>Temperatura de saturação</v>
      </c>
      <c r="C719" s="29" t="str">
        <f>IF(Unit=TRUE,R719,T719)</f>
        <v>°C</v>
      </c>
      <c r="D719" s="30">
        <f>IF(Unit=TRUE,S719,U719)</f>
        <v>8.4990758364950239</v>
      </c>
      <c r="E719" s="1"/>
      <c r="F719" s="29" t="str">
        <f>IF($M$3=FALSE,"",IF(Unit=FALSE,R719,T719))</f>
        <v/>
      </c>
      <c r="G719" s="140" t="str">
        <f>IF($M$3=FALSE,"",IF(Unit=FALSE,S719,U719))</f>
        <v/>
      </c>
      <c r="H719" s="1"/>
      <c r="I719" s="1"/>
      <c r="J719" s="1"/>
      <c r="K719" s="9"/>
      <c r="L719" s="1"/>
      <c r="M719" s="319"/>
      <c r="N719" s="319"/>
      <c r="O719" s="319"/>
      <c r="P719" s="319"/>
      <c r="Q719" s="319"/>
      <c r="R719" s="319" t="str">
        <f>$R$86</f>
        <v>°C</v>
      </c>
      <c r="S719" s="319">
        <f>Tsat(V718)-$AA$1090</f>
        <v>8.4990758364950239</v>
      </c>
      <c r="T719" s="319" t="str">
        <f>$T$86</f>
        <v>°F</v>
      </c>
      <c r="U719" s="319">
        <f>S719*1.8+32</f>
        <v>47.29833650569104</v>
      </c>
      <c r="V719" s="319"/>
      <c r="W719" s="319"/>
      <c r="X719" s="319"/>
      <c r="Y719" s="319"/>
      <c r="Z719" s="319"/>
      <c r="AA719" s="319"/>
      <c r="AB719" s="319"/>
      <c r="AC719" s="319"/>
      <c r="AD719" s="319"/>
      <c r="AE719" s="319"/>
      <c r="AF719" s="319"/>
      <c r="AG719" s="319"/>
      <c r="AH719" s="319"/>
      <c r="AI719" s="319"/>
      <c r="AJ719" s="319"/>
      <c r="AK719" s="319"/>
      <c r="AL719" s="319"/>
      <c r="AM719" s="319"/>
      <c r="AN719" s="319"/>
      <c r="AO719" s="319">
        <v>2060010</v>
      </c>
      <c r="AP719" s="319"/>
      <c r="AQ719" s="319"/>
      <c r="AR719" s="319"/>
      <c r="AS719" s="319"/>
      <c r="AT719" s="319"/>
      <c r="AU719" s="319"/>
      <c r="AV719" s="319"/>
      <c r="AW719" s="319"/>
      <c r="AX719" s="319"/>
      <c r="AY719" s="319"/>
      <c r="AZ719" s="319"/>
      <c r="BA719" s="319"/>
      <c r="BB719" s="319"/>
      <c r="BC719" s="319"/>
      <c r="BD719" s="319"/>
      <c r="BE719" s="319"/>
      <c r="BF719" s="319"/>
      <c r="BG719" s="319"/>
      <c r="BH719" s="319"/>
      <c r="BI719" s="319"/>
      <c r="BJ719" s="319"/>
      <c r="BK719" s="319"/>
      <c r="BL719" s="319"/>
      <c r="BM719" s="319"/>
      <c r="BN719" s="319"/>
      <c r="BO719" s="319"/>
      <c r="BP719" s="319"/>
      <c r="BQ719" s="319"/>
      <c r="BR719" s="319"/>
      <c r="BS719" s="319"/>
      <c r="BT719" s="319"/>
      <c r="BU719" s="319"/>
      <c r="BV719" s="319"/>
      <c r="BW719" s="319"/>
      <c r="BX719" s="319"/>
      <c r="BY719" s="319"/>
      <c r="BZ719" s="319"/>
      <c r="CA719" s="319"/>
      <c r="CB719" s="319"/>
      <c r="CC719" s="319"/>
      <c r="CD719" s="319"/>
      <c r="CE719" s="319"/>
      <c r="CF719" s="319"/>
    </row>
    <row r="720" spans="1:84" ht="12.75" hidden="1" customHeight="1">
      <c r="A720" s="12"/>
      <c r="B720" s="329" t="str">
        <f>Language!C459</f>
        <v>Temperatura do vapor</v>
      </c>
      <c r="C720" s="303" t="s">
        <v>5568</v>
      </c>
      <c r="D720" s="307"/>
      <c r="E720" s="1"/>
      <c r="F720" s="1"/>
      <c r="G720" s="1"/>
      <c r="H720" s="1"/>
      <c r="I720" s="1"/>
      <c r="J720" s="1"/>
      <c r="K720" s="788" t="str">
        <f>IF(S720&lt;Tsat(V718)-$AA$1090,$G$1089,IF(S720&gt;800,$G$1090,""))</f>
        <v>Temp do vapor abaixo do ponto de saturação</v>
      </c>
      <c r="L720" s="1"/>
      <c r="M720" s="319"/>
      <c r="N720" s="319"/>
      <c r="O720" s="319"/>
      <c r="P720" s="319"/>
      <c r="Q720" s="319"/>
      <c r="R720" s="319" t="str">
        <f>$R$86</f>
        <v>°C</v>
      </c>
      <c r="S720" s="319">
        <f>IF(C720=$Z$1107,D720,(D720-32)/1.8)</f>
        <v>0</v>
      </c>
      <c r="T720" s="319"/>
      <c r="U720" s="319"/>
      <c r="V720" s="319">
        <f>S720+$AA$1090</f>
        <v>273.14999999999998</v>
      </c>
      <c r="W720" s="319" t="s">
        <v>143</v>
      </c>
      <c r="X720" s="319"/>
      <c r="Y720" s="319"/>
      <c r="Z720" s="319"/>
      <c r="AA720" s="319"/>
      <c r="AB720" s="319"/>
      <c r="AC720" s="319"/>
      <c r="AD720" s="319"/>
      <c r="AE720" s="319"/>
      <c r="AF720" s="319"/>
      <c r="AG720" s="319"/>
      <c r="AH720" s="319"/>
      <c r="AI720" s="319"/>
      <c r="AJ720" s="319"/>
      <c r="AK720" s="319"/>
      <c r="AL720" s="319"/>
      <c r="AM720" s="319"/>
      <c r="AN720" s="319"/>
      <c r="AO720" s="319">
        <v>2060074</v>
      </c>
      <c r="AP720" s="319"/>
      <c r="AQ720" s="319"/>
      <c r="AR720" s="319"/>
      <c r="AS720" s="319"/>
      <c r="AT720" s="319"/>
      <c r="AU720" s="319"/>
      <c r="AV720" s="319"/>
      <c r="AW720" s="319"/>
      <c r="AX720" s="319"/>
      <c r="AY720" s="319"/>
      <c r="AZ720" s="319"/>
      <c r="BA720" s="319"/>
      <c r="BB720" s="319"/>
      <c r="BC720" s="319"/>
      <c r="BD720" s="319"/>
      <c r="BE720" s="319"/>
      <c r="BF720" s="319"/>
      <c r="BG720" s="319"/>
      <c r="BH720" s="319"/>
      <c r="BI720" s="319"/>
      <c r="BJ720" s="319"/>
      <c r="BK720" s="319"/>
      <c r="BL720" s="319"/>
      <c r="BM720" s="319"/>
      <c r="BN720" s="319"/>
      <c r="BO720" s="319"/>
      <c r="BP720" s="319"/>
      <c r="BQ720" s="319"/>
      <c r="BR720" s="319"/>
      <c r="BS720" s="319"/>
      <c r="BT720" s="319"/>
      <c r="BU720" s="319"/>
      <c r="BV720" s="319"/>
      <c r="BW720" s="319"/>
      <c r="BX720" s="319"/>
      <c r="BY720" s="319"/>
      <c r="BZ720" s="319"/>
      <c r="CA720" s="319"/>
      <c r="CB720" s="319"/>
      <c r="CC720" s="319"/>
      <c r="CD720" s="319"/>
      <c r="CE720" s="319"/>
      <c r="CF720" s="319"/>
    </row>
    <row r="721" spans="1:84" ht="12.75" hidden="1" customHeight="1">
      <c r="A721" s="12"/>
      <c r="B721" s="329" t="str">
        <f>B175</f>
        <v>Saída da turbina - pressão de vapor</v>
      </c>
      <c r="C721" s="303" t="s">
        <v>741</v>
      </c>
      <c r="D721" s="307"/>
      <c r="E721" s="1"/>
      <c r="F721" s="1"/>
      <c r="G721" s="1"/>
      <c r="H721" s="1"/>
      <c r="I721" s="1"/>
      <c r="J721" s="1"/>
      <c r="K721" s="9"/>
      <c r="L721" s="1"/>
      <c r="M721" s="319"/>
      <c r="N721" s="319"/>
      <c r="O721" s="319"/>
      <c r="P721" s="319"/>
      <c r="Q721" s="319"/>
      <c r="R721" s="319"/>
      <c r="S721" s="319"/>
      <c r="T721" s="319"/>
      <c r="U721" s="319"/>
      <c r="V721" s="319">
        <f>IF(IF(C721=$Z$1061,D721/1000,IF(C721=$Z$1062,(D721+$AA$1069)/$Y$1069/10,IF(C721=$Z$1063,D721/$Y$1069/10,IF(C721=$Z$1064,D721/$AA$1064,D721/$AA$1065/10))))&lt;SteamP,SteamP,IF(C721=$Z$1061,D721/1000,IF(C721=$Z$1062,(D721+$AA$1069)/$Y$1069/10,IF(C721=$Z$1063,D721/$Y$1069/10,IF(C721=$Z$1064,D721/$AA$1064,D721/$AA$1065/10)))))</f>
        <v>1.1100000000000001E-3</v>
      </c>
      <c r="W721" s="319" t="s">
        <v>3345</v>
      </c>
      <c r="X721" s="319"/>
      <c r="Y721" s="319"/>
      <c r="Z721" s="319"/>
      <c r="AA721" s="319"/>
      <c r="AB721" s="319"/>
      <c r="AC721" s="319"/>
      <c r="AD721" s="319"/>
      <c r="AE721" s="319"/>
      <c r="AF721" s="319"/>
      <c r="AG721" s="319"/>
      <c r="AH721" s="319"/>
      <c r="AI721" s="319"/>
      <c r="AJ721" s="319"/>
      <c r="AK721" s="319"/>
      <c r="AL721" s="319"/>
      <c r="AM721" s="319"/>
      <c r="AN721" s="319"/>
      <c r="AO721" s="319">
        <v>2060076</v>
      </c>
      <c r="AP721" s="319"/>
      <c r="AQ721" s="319"/>
      <c r="AR721" s="319"/>
      <c r="AS721" s="319"/>
      <c r="AT721" s="319"/>
      <c r="AU721" s="319"/>
      <c r="AV721" s="319"/>
      <c r="AW721" s="319"/>
      <c r="AX721" s="319"/>
      <c r="AY721" s="319"/>
      <c r="AZ721" s="319"/>
      <c r="BA721" s="319"/>
      <c r="BB721" s="319"/>
      <c r="BC721" s="319"/>
      <c r="BD721" s="319"/>
      <c r="BE721" s="319"/>
      <c r="BF721" s="319"/>
      <c r="BG721" s="319"/>
      <c r="BH721" s="319"/>
      <c r="BI721" s="319"/>
      <c r="BJ721" s="319"/>
      <c r="BK721" s="319"/>
      <c r="BL721" s="319"/>
      <c r="BM721" s="319"/>
      <c r="BN721" s="319"/>
      <c r="BO721" s="319"/>
      <c r="BP721" s="319"/>
      <c r="BQ721" s="319"/>
      <c r="BR721" s="319"/>
      <c r="BS721" s="319"/>
      <c r="BT721" s="319"/>
      <c r="BU721" s="319"/>
      <c r="BV721" s="319"/>
      <c r="BW721" s="319"/>
      <c r="BX721" s="319"/>
      <c r="BY721" s="319"/>
      <c r="BZ721" s="319"/>
      <c r="CA721" s="319"/>
      <c r="CB721" s="319"/>
      <c r="CC721" s="319"/>
      <c r="CD721" s="319"/>
      <c r="CE721" s="319"/>
      <c r="CF721" s="319"/>
    </row>
    <row r="722" spans="1:84" ht="12.75" hidden="1" customHeight="1">
      <c r="A722" s="12"/>
      <c r="B722" s="329" t="str">
        <f>B147</f>
        <v>Eficiência da turbina a vapor (TV)</v>
      </c>
      <c r="C722" s="29" t="str">
        <f>$T$35</f>
        <v>%</v>
      </c>
      <c r="D722" s="339"/>
      <c r="E722" s="1"/>
      <c r="F722" s="1"/>
      <c r="G722" s="1"/>
      <c r="H722" s="1"/>
      <c r="I722" s="1"/>
      <c r="J722" s="1"/>
      <c r="K722" s="9"/>
      <c r="L722" s="1"/>
      <c r="M722" s="319"/>
      <c r="N722" s="319"/>
      <c r="O722" s="319"/>
      <c r="P722" s="319"/>
      <c r="Q722" s="319"/>
      <c r="R722" s="319"/>
      <c r="S722" s="319"/>
      <c r="T722" s="319"/>
      <c r="U722" s="319"/>
      <c r="V722" s="319">
        <f>EnthalpyF(V721,V716)+V717*(EnthalpyV(V721,V716)-EnthalpyF(V721,V716))</f>
        <v>2500.1495435522315</v>
      </c>
      <c r="W722" s="319" t="s">
        <v>2922</v>
      </c>
      <c r="X722" s="319"/>
      <c r="Y722" s="319"/>
      <c r="Z722" s="319"/>
      <c r="AA722" s="319"/>
      <c r="AB722" s="319"/>
      <c r="AC722" s="319"/>
      <c r="AD722" s="319"/>
      <c r="AE722" s="319"/>
      <c r="AF722" s="319"/>
      <c r="AG722" s="319"/>
      <c r="AH722" s="319"/>
      <c r="AI722" s="319"/>
      <c r="AJ722" s="319"/>
      <c r="AK722" s="319"/>
      <c r="AL722" s="319"/>
      <c r="AM722" s="319"/>
      <c r="AN722" s="319"/>
      <c r="AO722" s="319">
        <v>2060048</v>
      </c>
      <c r="AP722" s="319"/>
      <c r="AQ722" s="319"/>
      <c r="AR722" s="319"/>
      <c r="AS722" s="319"/>
      <c r="AT722" s="319"/>
      <c r="AU722" s="319"/>
      <c r="AV722" s="319"/>
      <c r="AW722" s="319"/>
      <c r="AX722" s="319"/>
      <c r="AY722" s="319"/>
      <c r="AZ722" s="319"/>
      <c r="BA722" s="319"/>
      <c r="BB722" s="319"/>
      <c r="BC722" s="319"/>
      <c r="BD722" s="319"/>
      <c r="BE722" s="319"/>
      <c r="BF722" s="319"/>
      <c r="BG722" s="319"/>
      <c r="BH722" s="319"/>
      <c r="BI722" s="319"/>
      <c r="BJ722" s="319"/>
      <c r="BK722" s="319"/>
      <c r="BL722" s="319"/>
      <c r="BM722" s="319"/>
      <c r="BN722" s="319"/>
      <c r="BO722" s="319"/>
      <c r="BP722" s="319"/>
      <c r="BQ722" s="319"/>
      <c r="BR722" s="319"/>
      <c r="BS722" s="319"/>
      <c r="BT722" s="319"/>
      <c r="BU722" s="319"/>
      <c r="BV722" s="319"/>
      <c r="BW722" s="319"/>
      <c r="BX722" s="319"/>
      <c r="BY722" s="319"/>
      <c r="BZ722" s="319"/>
      <c r="CA722" s="319"/>
      <c r="CB722" s="319"/>
      <c r="CC722" s="319"/>
      <c r="CD722" s="319"/>
      <c r="CE722" s="319"/>
      <c r="CF722" s="319"/>
    </row>
    <row r="723" spans="1:84" ht="12.75" hidden="1" customHeight="1">
      <c r="A723" s="12"/>
      <c r="B723" s="329" t="str">
        <f>Language!C448</f>
        <v>Taxa real de produção de vapor</v>
      </c>
      <c r="C723" s="29" t="str">
        <f>IF(Unit=TRUE,R723,T723)</f>
        <v>kg/kWh</v>
      </c>
      <c r="D723" s="284" t="e">
        <f>IF(Unit=TRUE,S723,U723)</f>
        <v>#DIV/0!</v>
      </c>
      <c r="E723" s="1"/>
      <c r="F723" s="29" t="str">
        <f>IF($M$3=FALSE,"",IF(Unit=FALSE,R723,T723))</f>
        <v/>
      </c>
      <c r="G723" s="140" t="str">
        <f>IF($M$3=FALSE,"",IF(Unit=FALSE,S723,U723))</f>
        <v/>
      </c>
      <c r="H723" s="1"/>
      <c r="I723" s="1"/>
      <c r="J723" s="1"/>
      <c r="K723" s="9"/>
      <c r="L723" s="1"/>
      <c r="M723" s="319"/>
      <c r="N723" s="319"/>
      <c r="O723" s="319"/>
      <c r="P723" s="319"/>
      <c r="Q723" s="319"/>
      <c r="R723" s="319" t="str">
        <f>$R$141</f>
        <v>kg/kWh</v>
      </c>
      <c r="S723" s="319" t="e">
        <f>V723/D722</f>
        <v>#DIV/0!</v>
      </c>
      <c r="T723" s="319" t="str">
        <f>$T$141</f>
        <v>lb/kWh</v>
      </c>
      <c r="U723" s="319" t="e">
        <f>S723/$AA$1085</f>
        <v>#DIV/0!</v>
      </c>
      <c r="V723" s="319">
        <f>3600/(EnthalpyV(V718,V720)-V722)</f>
        <v>14504.903208786885</v>
      </c>
      <c r="W723" s="319" t="s">
        <v>5699</v>
      </c>
      <c r="X723" s="319"/>
      <c r="Y723" s="319"/>
      <c r="Z723" s="319"/>
      <c r="AA723" s="319"/>
      <c r="AB723" s="319"/>
      <c r="AC723" s="319"/>
      <c r="AD723" s="319"/>
      <c r="AE723" s="319"/>
      <c r="AF723" s="319"/>
      <c r="AG723" s="319"/>
      <c r="AH723" s="319"/>
      <c r="AI723" s="319"/>
      <c r="AJ723" s="319"/>
      <c r="AK723" s="319"/>
      <c r="AL723" s="319"/>
      <c r="AM723" s="319"/>
      <c r="AN723" s="319"/>
      <c r="AO723" s="319">
        <v>2060050</v>
      </c>
      <c r="AP723" s="319"/>
      <c r="AQ723" s="319"/>
      <c r="AR723" s="319"/>
      <c r="AS723" s="319"/>
      <c r="AT723" s="319"/>
      <c r="AU723" s="319"/>
      <c r="AV723" s="319"/>
      <c r="AW723" s="319"/>
      <c r="AX723" s="319"/>
      <c r="AY723" s="319"/>
      <c r="AZ723" s="319"/>
      <c r="BA723" s="319"/>
      <c r="BB723" s="319"/>
      <c r="BC723" s="319"/>
      <c r="BD723" s="319"/>
      <c r="BE723" s="319"/>
      <c r="BF723" s="319"/>
      <c r="BG723" s="319"/>
      <c r="BH723" s="319"/>
      <c r="BI723" s="319"/>
      <c r="BJ723" s="319"/>
      <c r="BK723" s="319"/>
      <c r="BL723" s="319"/>
      <c r="BM723" s="319"/>
      <c r="BN723" s="319"/>
      <c r="BO723" s="319"/>
      <c r="BP723" s="319"/>
      <c r="BQ723" s="319"/>
      <c r="BR723" s="319"/>
      <c r="BS723" s="319"/>
      <c r="BT723" s="319"/>
      <c r="BU723" s="319"/>
      <c r="BV723" s="319"/>
      <c r="BW723" s="319"/>
      <c r="BX723" s="319"/>
      <c r="BY723" s="319"/>
      <c r="BZ723" s="319"/>
      <c r="CA723" s="319"/>
      <c r="CB723" s="319"/>
      <c r="CC723" s="319"/>
      <c r="CD723" s="319"/>
      <c r="CE723" s="319"/>
      <c r="CF723" s="319"/>
    </row>
    <row r="724" spans="1:84" ht="12.75" hidden="1" customHeight="1">
      <c r="A724" s="12"/>
      <c r="B724" s="329" t="str">
        <f>B93</f>
        <v>Capac. Mínima</v>
      </c>
      <c r="C724" s="29" t="str">
        <f>$T$35</f>
        <v>%</v>
      </c>
      <c r="D724" s="339"/>
      <c r="E724" s="1"/>
      <c r="F724" s="1"/>
      <c r="G724" s="1"/>
      <c r="H724" s="1"/>
      <c r="I724" s="1"/>
      <c r="J724" s="1"/>
      <c r="K724" s="788" t="str">
        <f>IF(V724&gt;0,$G$1095&amp;V724&amp;$G$1096,"")</f>
        <v/>
      </c>
      <c r="L724" s="1"/>
      <c r="M724" s="319"/>
      <c r="N724" s="319"/>
      <c r="O724" s="319"/>
      <c r="P724" s="319"/>
      <c r="Q724" s="319"/>
      <c r="R724" s="319"/>
      <c r="S724" s="319"/>
      <c r="T724" s="319"/>
      <c r="U724" s="319"/>
      <c r="V724" s="319">
        <f t="array" ref="V724">IF(AND(HideCodeES_PSS=2,$C$854=$E$1095),SUM(IF($D$1139:$D$1150&lt;D724*S1118,1,0)),SUM(IF($I$1139:$I$1150&lt;D724*S1118,1,0)))*IF(SUM($D$1139:$D$1150)=0,0,1)</f>
        <v>0</v>
      </c>
      <c r="W724" s="319" t="s">
        <v>4373</v>
      </c>
      <c r="X724" s="319"/>
      <c r="Y724" s="319"/>
      <c r="Z724" s="319"/>
      <c r="AA724" s="319"/>
      <c r="AB724" s="319"/>
      <c r="AC724" s="319"/>
      <c r="AD724" s="319"/>
      <c r="AE724" s="319"/>
      <c r="AF724" s="319"/>
      <c r="AG724" s="319"/>
      <c r="AH724" s="319"/>
      <c r="AI724" s="319"/>
      <c r="AJ724" s="319"/>
      <c r="AK724" s="319"/>
      <c r="AL724" s="319"/>
      <c r="AM724" s="319"/>
      <c r="AN724" s="319"/>
      <c r="AO724" s="319">
        <v>2050006</v>
      </c>
      <c r="AP724" s="319"/>
      <c r="AQ724" s="319"/>
      <c r="AR724" s="319"/>
      <c r="AS724" s="319"/>
      <c r="AT724" s="319"/>
      <c r="AU724" s="319"/>
      <c r="AV724" s="319"/>
      <c r="AW724" s="319"/>
      <c r="AX724" s="319"/>
      <c r="AY724" s="319"/>
      <c r="AZ724" s="319"/>
      <c r="BA724" s="319"/>
      <c r="BB724" s="319"/>
      <c r="BC724" s="319"/>
      <c r="BD724" s="319"/>
      <c r="BE724" s="319"/>
      <c r="BF724" s="319"/>
      <c r="BG724" s="319"/>
      <c r="BH724" s="319"/>
      <c r="BI724" s="319"/>
      <c r="BJ724" s="319"/>
      <c r="BK724" s="319"/>
      <c r="BL724" s="319"/>
      <c r="BM724" s="319"/>
      <c r="BN724" s="319"/>
      <c r="BO724" s="319"/>
      <c r="BP724" s="319"/>
      <c r="BQ724" s="319"/>
      <c r="BR724" s="319"/>
      <c r="BS724" s="319"/>
      <c r="BT724" s="319"/>
      <c r="BU724" s="319"/>
      <c r="BV724" s="319"/>
      <c r="BW724" s="319"/>
      <c r="BX724" s="319"/>
      <c r="BY724" s="319"/>
      <c r="BZ724" s="319"/>
      <c r="CA724" s="319"/>
      <c r="CB724" s="319"/>
      <c r="CC724" s="319"/>
      <c r="CD724" s="319"/>
      <c r="CE724" s="319"/>
      <c r="CF724" s="319"/>
    </row>
    <row r="725" spans="1:84" ht="12.75" hidden="1" customHeight="1">
      <c r="A725" s="12"/>
      <c r="B725" s="329" t="str">
        <f>Language!C427</f>
        <v>Potência elétrica</v>
      </c>
      <c r="C725" s="29" t="str">
        <f>$C$92</f>
        <v>kW</v>
      </c>
      <c r="D725" s="30" t="e">
        <f>S715/S723</f>
        <v>#DIV/0!</v>
      </c>
      <c r="E725" s="80" t="str">
        <f>IF($P$866=0,"",D725/$P$866)</f>
        <v/>
      </c>
      <c r="F725" s="1"/>
      <c r="G725" s="1"/>
      <c r="H725" s="1"/>
      <c r="I725" s="1"/>
      <c r="J725" s="1"/>
      <c r="K725" s="9"/>
      <c r="L725" s="1"/>
      <c r="M725" s="319"/>
      <c r="N725" s="319"/>
      <c r="O725" s="319"/>
      <c r="P725" s="319"/>
      <c r="Q725" s="319"/>
      <c r="R725" s="319"/>
      <c r="S725" s="319"/>
      <c r="T725" s="319"/>
      <c r="U725" s="319"/>
      <c r="V725" s="319"/>
      <c r="W725" s="319"/>
      <c r="X725" s="319"/>
      <c r="Y725" s="319"/>
      <c r="Z725" s="319"/>
      <c r="AA725" s="319"/>
      <c r="AB725" s="319"/>
      <c r="AC725" s="319"/>
      <c r="AD725" s="319"/>
      <c r="AE725" s="319"/>
      <c r="AF725" s="319"/>
      <c r="AG725" s="319"/>
      <c r="AH725" s="319"/>
      <c r="AI725" s="319"/>
      <c r="AJ725" s="319"/>
      <c r="AK725" s="319"/>
      <c r="AL725" s="319"/>
      <c r="AM725" s="319"/>
      <c r="AN725" s="319"/>
      <c r="AO725" s="319">
        <v>2060078</v>
      </c>
      <c r="AP725" s="319"/>
      <c r="AQ725" s="319"/>
      <c r="AR725" s="319"/>
      <c r="AS725" s="319"/>
      <c r="AT725" s="319"/>
      <c r="AU725" s="319"/>
      <c r="AV725" s="319"/>
      <c r="AW725" s="319"/>
      <c r="AX725" s="319"/>
      <c r="AY725" s="319"/>
      <c r="AZ725" s="319"/>
      <c r="BA725" s="319"/>
      <c r="BB725" s="319"/>
      <c r="BC725" s="319"/>
      <c r="BD725" s="319"/>
      <c r="BE725" s="319"/>
      <c r="BF725" s="319"/>
      <c r="BG725" s="319"/>
      <c r="BH725" s="319"/>
      <c r="BI725" s="319"/>
      <c r="BJ725" s="319"/>
      <c r="BK725" s="319"/>
      <c r="BL725" s="319"/>
      <c r="BM725" s="319"/>
      <c r="BN725" s="319"/>
      <c r="BO725" s="319"/>
      <c r="BP725" s="319"/>
      <c r="BQ725" s="319"/>
      <c r="BR725" s="319"/>
      <c r="BS725" s="319"/>
      <c r="BT725" s="319"/>
      <c r="BU725" s="319"/>
      <c r="BV725" s="319"/>
      <c r="BW725" s="319"/>
      <c r="BX725" s="319"/>
      <c r="BY725" s="319"/>
      <c r="BZ725" s="319"/>
      <c r="CA725" s="319"/>
      <c r="CB725" s="319"/>
      <c r="CC725" s="319"/>
      <c r="CD725" s="319"/>
      <c r="CE725" s="319"/>
      <c r="CF725" s="319"/>
    </row>
    <row r="726" spans="1:84" ht="12.75" hidden="1" customHeight="1">
      <c r="A726" s="12"/>
      <c r="B726" s="329" t="str">
        <f>$B$94</f>
        <v>Eletricidade fornecida à carga</v>
      </c>
      <c r="C726" s="29" t="str">
        <f>R14</f>
        <v>MWh</v>
      </c>
      <c r="D726" s="30">
        <f>IF(HideCodeES_PSS=1,$G$1107,IF($C$854=$E$1094,$G$1108,$G$1107))</f>
        <v>0</v>
      </c>
      <c r="E726" s="80" t="str">
        <f>IF($P$867=0,"",D726/$P$867)</f>
        <v/>
      </c>
      <c r="F726" s="1"/>
      <c r="G726" s="1"/>
      <c r="H726" s="1"/>
      <c r="I726" s="1"/>
      <c r="J726" s="1"/>
      <c r="K726" s="9"/>
      <c r="L726" s="1"/>
      <c r="M726" s="319"/>
      <c r="N726" s="319"/>
      <c r="O726" s="319"/>
      <c r="P726" s="319"/>
      <c r="Q726" s="319"/>
      <c r="R726" s="319"/>
      <c r="S726" s="319"/>
      <c r="T726" s="319"/>
      <c r="U726" s="319"/>
      <c r="V726" s="319"/>
      <c r="W726" s="319"/>
      <c r="X726" s="319"/>
      <c r="Y726" s="319"/>
      <c r="Z726" s="319"/>
      <c r="AA726" s="319"/>
      <c r="AB726" s="319"/>
      <c r="AC726" s="319"/>
      <c r="AD726" s="319"/>
      <c r="AE726" s="319"/>
      <c r="AF726" s="319"/>
      <c r="AG726" s="319"/>
      <c r="AH726" s="319"/>
      <c r="AI726" s="319"/>
      <c r="AJ726" s="319"/>
      <c r="AK726" s="319"/>
      <c r="AL726" s="319"/>
      <c r="AM726" s="319"/>
      <c r="AN726" s="319"/>
      <c r="AO726" s="319">
        <v>2050008</v>
      </c>
      <c r="AP726" s="319"/>
      <c r="AQ726" s="319"/>
      <c r="AR726" s="319"/>
      <c r="AS726" s="319"/>
      <c r="AT726" s="319"/>
      <c r="AU726" s="319"/>
      <c r="AV726" s="319"/>
      <c r="AW726" s="319"/>
      <c r="AX726" s="319"/>
      <c r="AY726" s="319"/>
      <c r="AZ726" s="319"/>
      <c r="BA726" s="319"/>
      <c r="BB726" s="319"/>
      <c r="BC726" s="319"/>
      <c r="BD726" s="319"/>
      <c r="BE726" s="319"/>
      <c r="BF726" s="319"/>
      <c r="BG726" s="319"/>
      <c r="BH726" s="319"/>
      <c r="BI726" s="319"/>
      <c r="BJ726" s="319"/>
      <c r="BK726" s="319"/>
      <c r="BL726" s="319"/>
      <c r="BM726" s="319"/>
      <c r="BN726" s="319"/>
      <c r="BO726" s="319"/>
      <c r="BP726" s="319"/>
      <c r="BQ726" s="319"/>
      <c r="BR726" s="319"/>
      <c r="BS726" s="319"/>
      <c r="BT726" s="319"/>
      <c r="BU726" s="319"/>
      <c r="BV726" s="319"/>
      <c r="BW726" s="319"/>
      <c r="BX726" s="319"/>
      <c r="BY726" s="319"/>
      <c r="BZ726" s="319"/>
      <c r="CA726" s="319"/>
      <c r="CB726" s="319"/>
      <c r="CC726" s="319"/>
      <c r="CD726" s="319"/>
      <c r="CE726" s="319"/>
      <c r="CF726" s="319"/>
    </row>
    <row r="727" spans="1:84" ht="12.75" hidden="1" customHeight="1">
      <c r="A727" s="14"/>
      <c r="B727" s="380" t="str">
        <f>$B$95</f>
        <v>Eletricidade exportada p/ rede</v>
      </c>
      <c r="C727" s="33" t="str">
        <f>R14</f>
        <v>MWh</v>
      </c>
      <c r="D727" s="34">
        <f>IF(HideCodeES_PSS=1,$J$1107,IF($C$854=$E$1094,$J$1108,$J$1107))</f>
        <v>5.3903325633948667</v>
      </c>
      <c r="E727" s="81" t="str">
        <f>IF($P$867=0,"",D727/$P$867)</f>
        <v/>
      </c>
      <c r="F727" s="15"/>
      <c r="G727" s="15"/>
      <c r="H727" s="15"/>
      <c r="I727" s="15"/>
      <c r="J727" s="15"/>
      <c r="K727" s="11"/>
      <c r="L727" s="1"/>
      <c r="M727" s="319"/>
      <c r="N727" s="319"/>
      <c r="O727" s="319"/>
      <c r="P727" s="319"/>
      <c r="Q727" s="319"/>
      <c r="R727" s="319"/>
      <c r="S727" s="319"/>
      <c r="T727" s="319"/>
      <c r="U727" s="319"/>
      <c r="V727" s="319"/>
      <c r="W727" s="319"/>
      <c r="X727" s="319"/>
      <c r="Y727" s="319"/>
      <c r="Z727" s="319"/>
      <c r="AA727" s="319"/>
      <c r="AB727" s="319"/>
      <c r="AC727" s="319"/>
      <c r="AD727" s="319"/>
      <c r="AE727" s="319"/>
      <c r="AF727" s="319"/>
      <c r="AG727" s="319"/>
      <c r="AH727" s="319"/>
      <c r="AI727" s="319"/>
      <c r="AJ727" s="319"/>
      <c r="AK727" s="319"/>
      <c r="AL727" s="319"/>
      <c r="AM727" s="319"/>
      <c r="AN727" s="319"/>
      <c r="AO727" s="319">
        <v>2050010</v>
      </c>
      <c r="AP727" s="319"/>
      <c r="AQ727" s="319"/>
      <c r="AR727" s="319"/>
      <c r="AS727" s="319"/>
      <c r="AT727" s="319"/>
      <c r="AU727" s="319"/>
      <c r="AV727" s="319"/>
      <c r="AW727" s="319"/>
      <c r="AX727" s="319"/>
      <c r="AY727" s="319"/>
      <c r="AZ727" s="319"/>
      <c r="BA727" s="319"/>
      <c r="BB727" s="319"/>
      <c r="BC727" s="319"/>
      <c r="BD727" s="319"/>
      <c r="BE727" s="319"/>
      <c r="BF727" s="319"/>
      <c r="BG727" s="319"/>
      <c r="BH727" s="319"/>
      <c r="BI727" s="319"/>
      <c r="BJ727" s="319"/>
      <c r="BK727" s="319"/>
      <c r="BL727" s="319"/>
      <c r="BM727" s="319"/>
      <c r="BN727" s="319"/>
      <c r="BO727" s="319"/>
      <c r="BP727" s="319"/>
      <c r="BQ727" s="319"/>
      <c r="BR727" s="319"/>
      <c r="BS727" s="319"/>
      <c r="BT727" s="319"/>
      <c r="BU727" s="319"/>
      <c r="BV727" s="319"/>
      <c r="BW727" s="319"/>
      <c r="BX727" s="319"/>
      <c r="BY727" s="319"/>
      <c r="BZ727" s="319"/>
      <c r="CA727" s="319"/>
      <c r="CB727" s="319"/>
      <c r="CC727" s="319"/>
      <c r="CD727" s="319"/>
      <c r="CE727" s="319"/>
      <c r="CF727" s="319"/>
    </row>
    <row r="728" spans="1:84" ht="12.75" hidden="1" customHeight="1">
      <c r="A728" s="12"/>
      <c r="B728" s="1"/>
      <c r="C728" s="1"/>
      <c r="D728" s="1"/>
      <c r="E728" s="1"/>
      <c r="F728" s="1"/>
      <c r="G728" s="1"/>
      <c r="H728" s="1"/>
      <c r="I728" s="1"/>
      <c r="J728" s="1"/>
      <c r="K728" s="9"/>
      <c r="L728" s="1"/>
      <c r="M728" s="319"/>
      <c r="N728" s="319"/>
      <c r="O728" s="319"/>
      <c r="P728" s="319"/>
      <c r="Q728" s="319"/>
      <c r="R728" s="319"/>
      <c r="S728" s="319"/>
      <c r="T728" s="319"/>
      <c r="U728" s="319"/>
      <c r="V728" s="319"/>
      <c r="W728" s="319"/>
      <c r="X728" s="319"/>
      <c r="Y728" s="319"/>
      <c r="Z728" s="319"/>
      <c r="AA728" s="319"/>
      <c r="AB728" s="319"/>
      <c r="AC728" s="319"/>
      <c r="AD728" s="319"/>
      <c r="AE728" s="319"/>
      <c r="AF728" s="319"/>
      <c r="AG728" s="319"/>
      <c r="AH728" s="319"/>
      <c r="AI728" s="319"/>
      <c r="AJ728" s="319"/>
      <c r="AK728" s="319"/>
      <c r="AL728" s="319"/>
      <c r="AM728" s="319"/>
      <c r="AN728" s="319"/>
      <c r="AO728" s="319">
        <v>2030000</v>
      </c>
      <c r="AP728" s="319"/>
      <c r="AQ728" s="319"/>
      <c r="AR728" s="319"/>
      <c r="AS728" s="319"/>
      <c r="AT728" s="319"/>
      <c r="AU728" s="319"/>
      <c r="AV728" s="319"/>
      <c r="AW728" s="319"/>
      <c r="AX728" s="319"/>
      <c r="AY728" s="319"/>
      <c r="AZ728" s="319"/>
      <c r="BA728" s="319"/>
      <c r="BB728" s="319"/>
      <c r="BC728" s="319"/>
      <c r="BD728" s="319"/>
      <c r="BE728" s="319"/>
      <c r="BF728" s="319"/>
      <c r="BG728" s="319"/>
      <c r="BH728" s="319"/>
      <c r="BI728" s="319"/>
      <c r="BJ728" s="319"/>
      <c r="BK728" s="319"/>
      <c r="BL728" s="319"/>
      <c r="BM728" s="319"/>
      <c r="BN728" s="319"/>
      <c r="BO728" s="319"/>
      <c r="BP728" s="319"/>
      <c r="BQ728" s="319"/>
      <c r="BR728" s="319"/>
      <c r="BS728" s="319"/>
      <c r="BT728" s="319"/>
      <c r="BU728" s="319"/>
      <c r="BV728" s="319"/>
      <c r="BW728" s="319"/>
      <c r="BX728" s="319"/>
      <c r="BY728" s="319"/>
      <c r="BZ728" s="319"/>
      <c r="CA728" s="319"/>
      <c r="CB728" s="319"/>
      <c r="CC728" s="319"/>
      <c r="CD728" s="319"/>
      <c r="CE728" s="319"/>
      <c r="CF728" s="319"/>
    </row>
    <row r="729" spans="1:84" ht="12.75" hidden="1" customHeight="1">
      <c r="A729" s="12"/>
      <c r="B729" s="28" t="str">
        <f>Language!C138&amp;" #2"</f>
        <v>Célula combustível #2</v>
      </c>
      <c r="C729" s="1"/>
      <c r="D729" s="1"/>
      <c r="E729" s="1"/>
      <c r="F729" s="1"/>
      <c r="G729" s="1"/>
      <c r="H729" s="1"/>
      <c r="I729" s="1"/>
      <c r="J729" s="1"/>
      <c r="K729" s="9"/>
      <c r="L729" s="1"/>
      <c r="M729" s="319"/>
      <c r="N729" s="319"/>
      <c r="O729" s="319"/>
      <c r="P729" s="319"/>
      <c r="Q729" s="319"/>
      <c r="R729" s="319"/>
      <c r="S729" s="319"/>
      <c r="T729" s="319"/>
      <c r="U729" s="319"/>
      <c r="V729" s="319"/>
      <c r="W729" s="319"/>
      <c r="X729" s="319"/>
      <c r="Y729" s="319"/>
      <c r="Z729" s="319"/>
      <c r="AA729" s="319"/>
      <c r="AB729" s="319"/>
      <c r="AC729" s="319"/>
      <c r="AD729" s="319"/>
      <c r="AE729" s="319"/>
      <c r="AF729" s="319"/>
      <c r="AG729" s="319"/>
      <c r="AH729" s="319"/>
      <c r="AI729" s="319"/>
      <c r="AJ729" s="319"/>
      <c r="AK729" s="319"/>
      <c r="AL729" s="319"/>
      <c r="AM729" s="319"/>
      <c r="AN729" s="319"/>
      <c r="AO729" s="319">
        <v>14100</v>
      </c>
      <c r="AP729" s="319"/>
      <c r="AQ729" s="319"/>
      <c r="AR729" s="319"/>
      <c r="AS729" s="319"/>
      <c r="AT729" s="319"/>
      <c r="AU729" s="319"/>
      <c r="AV729" s="319"/>
      <c r="AW729" s="319"/>
      <c r="AX729" s="319"/>
      <c r="AY729" s="319"/>
      <c r="AZ729" s="319"/>
      <c r="BA729" s="319"/>
      <c r="BB729" s="319"/>
      <c r="BC729" s="319"/>
      <c r="BD729" s="319"/>
      <c r="BE729" s="319"/>
      <c r="BF729" s="319"/>
      <c r="BG729" s="319"/>
      <c r="BH729" s="319"/>
      <c r="BI729" s="319"/>
      <c r="BJ729" s="319"/>
      <c r="BK729" s="319"/>
      <c r="BL729" s="319"/>
      <c r="BM729" s="319"/>
      <c r="BN729" s="319"/>
      <c r="BO729" s="319"/>
      <c r="BP729" s="319"/>
      <c r="BQ729" s="319"/>
      <c r="BR729" s="319"/>
      <c r="BS729" s="319"/>
      <c r="BT729" s="319"/>
      <c r="BU729" s="319"/>
      <c r="BV729" s="319"/>
      <c r="BW729" s="319"/>
      <c r="BX729" s="319"/>
      <c r="BY729" s="319"/>
      <c r="BZ729" s="319"/>
      <c r="CA729" s="319"/>
      <c r="CB729" s="319"/>
      <c r="CC729" s="319"/>
      <c r="CD729" s="319"/>
      <c r="CE729" s="319"/>
      <c r="CF729" s="319"/>
    </row>
    <row r="730" spans="1:84" ht="12.75" hidden="1" customHeight="1">
      <c r="A730" s="12"/>
      <c r="B730" s="329" t="str">
        <f>Language!C427</f>
        <v>Potência elétrica</v>
      </c>
      <c r="C730" s="29" t="str">
        <f>$C$92</f>
        <v>kW</v>
      </c>
      <c r="D730" s="412"/>
      <c r="E730" s="80" t="str">
        <f>IF($P$866=0,"",D730/$P$866)</f>
        <v/>
      </c>
      <c r="F730" s="1"/>
      <c r="G730" s="1"/>
      <c r="H730" s="1346"/>
      <c r="I730" s="1252" t="str">
        <f>Language!C61</f>
        <v>Ver banco de dados de produtos</v>
      </c>
      <c r="J730" s="1191"/>
      <c r="K730" s="1210"/>
      <c r="L730" s="1"/>
      <c r="M730" s="319"/>
      <c r="N730" s="319"/>
      <c r="O730" s="319"/>
      <c r="P730" s="319"/>
      <c r="Q730" s="319"/>
      <c r="R730" s="319"/>
      <c r="S730" s="319"/>
      <c r="T730" s="319"/>
      <c r="U730" s="319"/>
      <c r="V730" s="319"/>
      <c r="W730" s="319"/>
      <c r="X730" s="319"/>
      <c r="Y730" s="319"/>
      <c r="Z730" s="319"/>
      <c r="AA730" s="319"/>
      <c r="AB730" s="319"/>
      <c r="AC730" s="319"/>
      <c r="AD730" s="319"/>
      <c r="AE730" s="319"/>
      <c r="AF730" s="319"/>
      <c r="AG730" s="319"/>
      <c r="AH730" s="319"/>
      <c r="AI730" s="319"/>
      <c r="AJ730" s="319"/>
      <c r="AK730" s="319"/>
      <c r="AL730" s="319"/>
      <c r="AM730" s="319"/>
      <c r="AN730" s="319"/>
      <c r="AO730" s="319">
        <v>2050002</v>
      </c>
      <c r="AP730" s="319"/>
      <c r="AQ730" s="319"/>
      <c r="AR730" s="319"/>
      <c r="AS730" s="319"/>
      <c r="AT730" s="319"/>
      <c r="AU730" s="319"/>
      <c r="AV730" s="319"/>
      <c r="AW730" s="319"/>
      <c r="AX730" s="319"/>
      <c r="AY730" s="319"/>
      <c r="AZ730" s="319"/>
      <c r="BA730" s="319"/>
      <c r="BB730" s="319"/>
      <c r="BC730" s="319"/>
      <c r="BD730" s="319"/>
      <c r="BE730" s="319"/>
      <c r="BF730" s="319"/>
      <c r="BG730" s="319"/>
      <c r="BH730" s="319"/>
      <c r="BI730" s="319"/>
      <c r="BJ730" s="319"/>
      <c r="BK730" s="319"/>
      <c r="BL730" s="319"/>
      <c r="BM730" s="319"/>
      <c r="BN730" s="319"/>
      <c r="BO730" s="319"/>
      <c r="BP730" s="319"/>
      <c r="BQ730" s="319"/>
      <c r="BR730" s="319"/>
      <c r="BS730" s="319"/>
      <c r="BT730" s="319"/>
      <c r="BU730" s="319"/>
      <c r="BV730" s="319"/>
      <c r="BW730" s="319"/>
      <c r="BX730" s="319"/>
      <c r="BY730" s="319"/>
      <c r="BZ730" s="319"/>
      <c r="CA730" s="319"/>
      <c r="CB730" s="319"/>
      <c r="CC730" s="319"/>
      <c r="CD730" s="319"/>
      <c r="CE730" s="319"/>
      <c r="CF730" s="319"/>
    </row>
    <row r="731" spans="1:84" ht="12.75" hidden="1" customHeight="1">
      <c r="A731" s="12"/>
      <c r="B731" s="329" t="str">
        <f>Language!C429</f>
        <v>Capac. Mínima</v>
      </c>
      <c r="C731" s="29" t="str">
        <f>$T$35</f>
        <v>%</v>
      </c>
      <c r="D731" s="422"/>
      <c r="E731" s="1"/>
      <c r="F731" s="1"/>
      <c r="G731" s="1"/>
      <c r="H731" s="1"/>
      <c r="I731" s="1"/>
      <c r="J731" s="1"/>
      <c r="K731" s="788" t="str">
        <f>IF(V731&gt;0,$G$1095&amp;V731&amp;$G$1096,"")</f>
        <v/>
      </c>
      <c r="L731" s="1"/>
      <c r="M731" s="319"/>
      <c r="N731" s="319"/>
      <c r="O731" s="319"/>
      <c r="P731" s="319"/>
      <c r="Q731" s="319"/>
      <c r="R731" s="319"/>
      <c r="S731" s="319"/>
      <c r="T731" s="319"/>
      <c r="U731" s="319"/>
      <c r="V731" s="319">
        <f t="array" ref="V731">IF(AND(HideCodeES_PSS=2,$C$854=$E$1095),SUM(IF($D$1139:$D$1150&lt;D730*S1119,1,0)),SUM(IF($I$1139:$I$1150&lt;D730*S1119,1,0)))*IF(SUM($D$1139:$D$1150)=0,0,1)</f>
        <v>0</v>
      </c>
      <c r="W731" s="319" t="s">
        <v>4373</v>
      </c>
      <c r="X731" s="319"/>
      <c r="Y731" s="319"/>
      <c r="Z731" s="319"/>
      <c r="AA731" s="319"/>
      <c r="AB731" s="319"/>
      <c r="AC731" s="319"/>
      <c r="AD731" s="319"/>
      <c r="AE731" s="319"/>
      <c r="AF731" s="319"/>
      <c r="AG731" s="319"/>
      <c r="AH731" s="319"/>
      <c r="AI731" s="319"/>
      <c r="AJ731" s="319"/>
      <c r="AK731" s="319"/>
      <c r="AL731" s="319"/>
      <c r="AM731" s="319"/>
      <c r="AN731" s="319"/>
      <c r="AO731" s="319">
        <v>2050006</v>
      </c>
      <c r="AP731" s="319"/>
      <c r="AQ731" s="319"/>
      <c r="AR731" s="319"/>
      <c r="AS731" s="319"/>
      <c r="AT731" s="319"/>
      <c r="AU731" s="319"/>
      <c r="AV731" s="319"/>
      <c r="AW731" s="319"/>
      <c r="AX731" s="319"/>
      <c r="AY731" s="319"/>
      <c r="AZ731" s="319"/>
      <c r="BA731" s="319"/>
      <c r="BB731" s="319"/>
      <c r="BC731" s="319"/>
      <c r="BD731" s="319"/>
      <c r="BE731" s="319"/>
      <c r="BF731" s="319"/>
      <c r="BG731" s="319"/>
      <c r="BH731" s="319"/>
      <c r="BI731" s="319"/>
      <c r="BJ731" s="319"/>
      <c r="BK731" s="319"/>
      <c r="BL731" s="319"/>
      <c r="BM731" s="319"/>
      <c r="BN731" s="319"/>
      <c r="BO731" s="319"/>
      <c r="BP731" s="319"/>
      <c r="BQ731" s="319"/>
      <c r="BR731" s="319"/>
      <c r="BS731" s="319"/>
      <c r="BT731" s="319"/>
      <c r="BU731" s="319"/>
      <c r="BV731" s="319"/>
      <c r="BW731" s="319"/>
      <c r="BX731" s="319"/>
      <c r="BY731" s="319"/>
      <c r="BZ731" s="319"/>
      <c r="CA731" s="319"/>
      <c r="CB731" s="319"/>
      <c r="CC731" s="319"/>
      <c r="CD731" s="319"/>
      <c r="CE731" s="319"/>
      <c r="CF731" s="319"/>
    </row>
    <row r="732" spans="1:84" ht="12.75" hidden="1" customHeight="1">
      <c r="A732" s="12"/>
      <c r="B732" s="329" t="str">
        <f>$B$94</f>
        <v>Eletricidade fornecida à carga</v>
      </c>
      <c r="C732" s="29" t="str">
        <f>R14</f>
        <v>MWh</v>
      </c>
      <c r="D732" s="30">
        <f>IF(HideCodeES_PSS=1,$G$1107,IF($C$854=$E$1094,$G$1108,$G$1107))</f>
        <v>0</v>
      </c>
      <c r="E732" s="80" t="str">
        <f>IF($P$867=0,"",D732/$P$867)</f>
        <v/>
      </c>
      <c r="F732" s="1"/>
      <c r="G732" s="1"/>
      <c r="H732" s="1"/>
      <c r="I732" s="1"/>
      <c r="J732" s="1"/>
      <c r="K732" s="9"/>
      <c r="L732" s="1"/>
      <c r="M732" s="319"/>
      <c r="N732" s="319"/>
      <c r="O732" s="319"/>
      <c r="P732" s="319"/>
      <c r="Q732" s="319"/>
      <c r="R732" s="319"/>
      <c r="S732" s="319"/>
      <c r="T732" s="319"/>
      <c r="U732" s="319"/>
      <c r="V732" s="319"/>
      <c r="W732" s="319"/>
      <c r="X732" s="319"/>
      <c r="Y732" s="319"/>
      <c r="Z732" s="319"/>
      <c r="AA732" s="319"/>
      <c r="AB732" s="319"/>
      <c r="AC732" s="319"/>
      <c r="AD732" s="319"/>
      <c r="AE732" s="319"/>
      <c r="AF732" s="319"/>
      <c r="AG732" s="319"/>
      <c r="AH732" s="319"/>
      <c r="AI732" s="319"/>
      <c r="AJ732" s="319"/>
      <c r="AK732" s="319"/>
      <c r="AL732" s="319"/>
      <c r="AM732" s="319"/>
      <c r="AN732" s="319"/>
      <c r="AO732" s="319">
        <v>2050008</v>
      </c>
      <c r="AP732" s="319"/>
      <c r="AQ732" s="319"/>
      <c r="AR732" s="319"/>
      <c r="AS732" s="319"/>
      <c r="AT732" s="319"/>
      <c r="AU732" s="319"/>
      <c r="AV732" s="319"/>
      <c r="AW732" s="319"/>
      <c r="AX732" s="319"/>
      <c r="AY732" s="319"/>
      <c r="AZ732" s="319"/>
      <c r="BA732" s="319"/>
      <c r="BB732" s="319"/>
      <c r="BC732" s="319"/>
      <c r="BD732" s="319"/>
      <c r="BE732" s="319"/>
      <c r="BF732" s="319"/>
      <c r="BG732" s="319"/>
      <c r="BH732" s="319"/>
      <c r="BI732" s="319"/>
      <c r="BJ732" s="319"/>
      <c r="BK732" s="319"/>
      <c r="BL732" s="319"/>
      <c r="BM732" s="319"/>
      <c r="BN732" s="319"/>
      <c r="BO732" s="319"/>
      <c r="BP732" s="319"/>
      <c r="BQ732" s="319"/>
      <c r="BR732" s="319"/>
      <c r="BS732" s="319"/>
      <c r="BT732" s="319"/>
      <c r="BU732" s="319"/>
      <c r="BV732" s="319"/>
      <c r="BW732" s="319"/>
      <c r="BX732" s="319"/>
      <c r="BY732" s="319"/>
      <c r="BZ732" s="319"/>
      <c r="CA732" s="319"/>
      <c r="CB732" s="319"/>
      <c r="CC732" s="319"/>
      <c r="CD732" s="319"/>
      <c r="CE732" s="319"/>
      <c r="CF732" s="319"/>
    </row>
    <row r="733" spans="1:84" ht="12.75" hidden="1" customHeight="1">
      <c r="A733" s="12"/>
      <c r="B733" s="329" t="str">
        <f>$B$95</f>
        <v>Eletricidade exportada p/ rede</v>
      </c>
      <c r="C733" s="29" t="str">
        <f>R14</f>
        <v>MWh</v>
      </c>
      <c r="D733" s="30">
        <f>IF(HideCodeES_PSS=1,$J$1107,IF($C$854=$E$1094,$J$1108,$J$1107))</f>
        <v>5.3903325633948667</v>
      </c>
      <c r="E733" s="1"/>
      <c r="F733" s="1"/>
      <c r="G733" s="1"/>
      <c r="H733" s="1"/>
      <c r="I733" s="1"/>
      <c r="J733" s="1"/>
      <c r="K733" s="9"/>
      <c r="L733" s="1"/>
      <c r="M733" s="319"/>
      <c r="N733" s="319"/>
      <c r="O733" s="319"/>
      <c r="P733" s="319"/>
      <c r="Q733" s="319"/>
      <c r="R733" s="319"/>
      <c r="S733" s="319"/>
      <c r="T733" s="319"/>
      <c r="U733" s="319"/>
      <c r="V733" s="319"/>
      <c r="W733" s="319"/>
      <c r="X733" s="319"/>
      <c r="Y733" s="319"/>
      <c r="Z733" s="319"/>
      <c r="AA733" s="319"/>
      <c r="AB733" s="319"/>
      <c r="AC733" s="319"/>
      <c r="AD733" s="319"/>
      <c r="AE733" s="319"/>
      <c r="AF733" s="319"/>
      <c r="AG733" s="319"/>
      <c r="AH733" s="319"/>
      <c r="AI733" s="319"/>
      <c r="AJ733" s="319"/>
      <c r="AK733" s="319"/>
      <c r="AL733" s="319"/>
      <c r="AM733" s="319"/>
      <c r="AN733" s="319"/>
      <c r="AO733" s="319">
        <v>2050010</v>
      </c>
      <c r="AP733" s="319"/>
      <c r="AQ733" s="319"/>
      <c r="AR733" s="319"/>
      <c r="AS733" s="319"/>
      <c r="AT733" s="319"/>
      <c r="AU733" s="319"/>
      <c r="AV733" s="319"/>
      <c r="AW733" s="319"/>
      <c r="AX733" s="319"/>
      <c r="AY733" s="319"/>
      <c r="AZ733" s="319"/>
      <c r="BA733" s="319"/>
      <c r="BB733" s="319"/>
      <c r="BC733" s="319"/>
      <c r="BD733" s="319"/>
      <c r="BE733" s="319"/>
      <c r="BF733" s="319"/>
      <c r="BG733" s="319"/>
      <c r="BH733" s="319"/>
      <c r="BI733" s="319"/>
      <c r="BJ733" s="319"/>
      <c r="BK733" s="319"/>
      <c r="BL733" s="319"/>
      <c r="BM733" s="319"/>
      <c r="BN733" s="319"/>
      <c r="BO733" s="319"/>
      <c r="BP733" s="319"/>
      <c r="BQ733" s="319"/>
      <c r="BR733" s="319"/>
      <c r="BS733" s="319"/>
      <c r="BT733" s="319"/>
      <c r="BU733" s="319"/>
      <c r="BV733" s="319"/>
      <c r="BW733" s="319"/>
      <c r="BX733" s="319"/>
      <c r="BY733" s="319"/>
      <c r="BZ733" s="319"/>
      <c r="CA733" s="319"/>
      <c r="CB733" s="319"/>
      <c r="CC733" s="319"/>
      <c r="CD733" s="319"/>
      <c r="CE733" s="319"/>
      <c r="CF733" s="319"/>
    </row>
    <row r="734" spans="1:84" ht="12.75" hidden="1" customHeight="1">
      <c r="A734" s="12"/>
      <c r="B734" s="329" t="str">
        <f>B12</f>
        <v>Fabricante</v>
      </c>
      <c r="C734" s="1152"/>
      <c r="D734" s="1153"/>
      <c r="E734" s="1154"/>
      <c r="F734" s="1"/>
      <c r="G734" s="1"/>
      <c r="H734" s="1"/>
      <c r="I734" s="1"/>
      <c r="J734" s="1"/>
      <c r="K734" s="9"/>
      <c r="L734" s="1"/>
      <c r="M734" s="319"/>
      <c r="N734" s="319"/>
      <c r="O734" s="319"/>
      <c r="P734" s="319"/>
      <c r="Q734" s="319"/>
      <c r="R734" s="319"/>
      <c r="S734" s="319"/>
      <c r="T734" s="319"/>
      <c r="U734" s="319"/>
      <c r="V734" s="319"/>
      <c r="W734" s="319"/>
      <c r="X734" s="319"/>
      <c r="Y734" s="319"/>
      <c r="Z734" s="319"/>
      <c r="AA734" s="319"/>
      <c r="AB734" s="319"/>
      <c r="AC734" s="319"/>
      <c r="AD734" s="319"/>
      <c r="AE734" s="319"/>
      <c r="AF734" s="319"/>
      <c r="AG734" s="319"/>
      <c r="AH734" s="319"/>
      <c r="AI734" s="319"/>
      <c r="AJ734" s="319"/>
      <c r="AK734" s="319"/>
      <c r="AL734" s="319"/>
      <c r="AM734" s="319"/>
      <c r="AN734" s="319"/>
      <c r="AO734" s="319">
        <v>2050012</v>
      </c>
      <c r="AP734" s="319"/>
      <c r="AQ734" s="319"/>
      <c r="AR734" s="319"/>
      <c r="AS734" s="319"/>
      <c r="AT734" s="319"/>
      <c r="AU734" s="319"/>
      <c r="AV734" s="319"/>
      <c r="AW734" s="319"/>
      <c r="AX734" s="319"/>
      <c r="AY734" s="319"/>
      <c r="AZ734" s="319"/>
      <c r="BA734" s="319"/>
      <c r="BB734" s="319"/>
      <c r="BC734" s="319"/>
      <c r="BD734" s="319"/>
      <c r="BE734" s="319"/>
      <c r="BF734" s="319"/>
      <c r="BG734" s="319"/>
      <c r="BH734" s="319"/>
      <c r="BI734" s="319"/>
      <c r="BJ734" s="319"/>
      <c r="BK734" s="319"/>
      <c r="BL734" s="319"/>
      <c r="BM734" s="319"/>
      <c r="BN734" s="319"/>
      <c r="BO734" s="319"/>
      <c r="BP734" s="319"/>
      <c r="BQ734" s="319"/>
      <c r="BR734" s="319"/>
      <c r="BS734" s="319"/>
      <c r="BT734" s="319"/>
      <c r="BU734" s="319"/>
      <c r="BV734" s="319"/>
      <c r="BW734" s="319"/>
      <c r="BX734" s="319"/>
      <c r="BY734" s="319"/>
      <c r="BZ734" s="319"/>
      <c r="CA734" s="319"/>
      <c r="CB734" s="319"/>
      <c r="CC734" s="319"/>
      <c r="CD734" s="319"/>
      <c r="CE734" s="319"/>
      <c r="CF734" s="319"/>
    </row>
    <row r="735" spans="1:84" ht="12.75" hidden="1" customHeight="1">
      <c r="A735" s="12"/>
      <c r="B735" s="329" t="str">
        <f>B13</f>
        <v>Modelo</v>
      </c>
      <c r="C735" s="1152"/>
      <c r="D735" s="1153"/>
      <c r="E735" s="1154"/>
      <c r="F735" s="1" t="str">
        <f>$J$1074 &amp; Lang_Unit</f>
        <v>1 unidade(s)</v>
      </c>
      <c r="G735" s="1"/>
      <c r="H735" s="1"/>
      <c r="I735" s="1"/>
      <c r="J735" s="1"/>
      <c r="K735" s="9"/>
      <c r="L735" s="1"/>
      <c r="M735" s="319"/>
      <c r="N735" s="319"/>
      <c r="O735" s="319"/>
      <c r="P735" s="319"/>
      <c r="Q735" s="319"/>
      <c r="R735" s="319"/>
      <c r="S735" s="319"/>
      <c r="T735" s="319"/>
      <c r="U735" s="319"/>
      <c r="V735" s="319"/>
      <c r="W735" s="319"/>
      <c r="X735" s="319"/>
      <c r="Y735" s="319"/>
      <c r="Z735" s="319"/>
      <c r="AA735" s="319"/>
      <c r="AB735" s="319"/>
      <c r="AC735" s="319"/>
      <c r="AD735" s="319"/>
      <c r="AE735" s="319"/>
      <c r="AF735" s="319"/>
      <c r="AG735" s="319"/>
      <c r="AH735" s="319"/>
      <c r="AI735" s="319"/>
      <c r="AJ735" s="319"/>
      <c r="AK735" s="319"/>
      <c r="AL735" s="319"/>
      <c r="AM735" s="319"/>
      <c r="AN735" s="319"/>
      <c r="AO735" s="319">
        <v>2050014</v>
      </c>
      <c r="AP735" s="319"/>
      <c r="AQ735" s="319"/>
      <c r="AR735" s="319"/>
      <c r="AS735" s="319"/>
      <c r="AT735" s="319"/>
      <c r="AU735" s="319"/>
      <c r="AV735" s="319"/>
      <c r="AW735" s="319"/>
      <c r="AX735" s="319"/>
      <c r="AY735" s="319"/>
      <c r="AZ735" s="319"/>
      <c r="BA735" s="319"/>
      <c r="BB735" s="319"/>
      <c r="BC735" s="319"/>
      <c r="BD735" s="319"/>
      <c r="BE735" s="319"/>
      <c r="BF735" s="319"/>
      <c r="BG735" s="319"/>
      <c r="BH735" s="319"/>
      <c r="BI735" s="319"/>
      <c r="BJ735" s="319"/>
      <c r="BK735" s="319"/>
      <c r="BL735" s="319"/>
      <c r="BM735" s="319"/>
      <c r="BN735" s="319"/>
      <c r="BO735" s="319"/>
      <c r="BP735" s="319"/>
      <c r="BQ735" s="319"/>
      <c r="BR735" s="319"/>
      <c r="BS735" s="319"/>
      <c r="BT735" s="319"/>
      <c r="BU735" s="319"/>
      <c r="BV735" s="319"/>
      <c r="BW735" s="319"/>
      <c r="BX735" s="319"/>
      <c r="BY735" s="319"/>
      <c r="BZ735" s="319"/>
      <c r="CA735" s="319"/>
      <c r="CB735" s="319"/>
      <c r="CC735" s="319"/>
      <c r="CD735" s="319"/>
      <c r="CE735" s="319"/>
      <c r="CF735" s="319"/>
    </row>
    <row r="736" spans="1:84" ht="12.75" hidden="1" customHeight="1">
      <c r="A736" s="12"/>
      <c r="B736" s="329" t="str">
        <f>B98</f>
        <v>Preço do calor</v>
      </c>
      <c r="C736" s="303" t="s">
        <v>4213</v>
      </c>
      <c r="D736" s="307"/>
      <c r="E736" s="1"/>
      <c r="F736" s="1"/>
      <c r="G736" s="1"/>
      <c r="H736" s="1"/>
      <c r="I736" s="1"/>
      <c r="J736" s="1"/>
      <c r="K736" s="9"/>
      <c r="L736" s="1"/>
      <c r="M736" s="319"/>
      <c r="N736" s="319"/>
      <c r="O736" s="319"/>
      <c r="P736" s="319"/>
      <c r="Q736" s="319"/>
      <c r="R736" s="319" t="s">
        <v>4213</v>
      </c>
      <c r="S736" s="319">
        <f>IF(C736=$Z$1081,D736,D736*$AA$1082)</f>
        <v>0</v>
      </c>
      <c r="T736" s="319"/>
      <c r="U736" s="319"/>
      <c r="V736" s="319"/>
      <c r="W736" s="319"/>
      <c r="X736" s="319"/>
      <c r="Y736" s="319"/>
      <c r="Z736" s="319"/>
      <c r="AA736" s="319"/>
      <c r="AB736" s="319"/>
      <c r="AC736" s="319"/>
      <c r="AD736" s="319"/>
      <c r="AE736" s="319"/>
      <c r="AF736" s="319"/>
      <c r="AG736" s="319"/>
      <c r="AH736" s="319"/>
      <c r="AI736" s="319"/>
      <c r="AJ736" s="319"/>
      <c r="AK736" s="319"/>
      <c r="AL736" s="319"/>
      <c r="AM736" s="319"/>
      <c r="AN736" s="319"/>
      <c r="AO736" s="319">
        <v>2050018</v>
      </c>
      <c r="AP736" s="319"/>
      <c r="AQ736" s="319"/>
      <c r="AR736" s="319"/>
      <c r="AS736" s="319"/>
      <c r="AT736" s="319"/>
      <c r="AU736" s="319"/>
      <c r="AV736" s="319"/>
      <c r="AW736" s="319"/>
      <c r="AX736" s="319"/>
      <c r="AY736" s="319"/>
      <c r="AZ736" s="319"/>
      <c r="BA736" s="319"/>
      <c r="BB736" s="319"/>
      <c r="BC736" s="319"/>
      <c r="BD736" s="319"/>
      <c r="BE736" s="319"/>
      <c r="BF736" s="319"/>
      <c r="BG736" s="319"/>
      <c r="BH736" s="319"/>
      <c r="BI736" s="319"/>
      <c r="BJ736" s="319"/>
      <c r="BK736" s="319"/>
      <c r="BL736" s="319"/>
      <c r="BM736" s="319"/>
      <c r="BN736" s="319"/>
      <c r="BO736" s="319"/>
      <c r="BP736" s="319"/>
      <c r="BQ736" s="319"/>
      <c r="BR736" s="319"/>
      <c r="BS736" s="319"/>
      <c r="BT736" s="319"/>
      <c r="BU736" s="319"/>
      <c r="BV736" s="319"/>
      <c r="BW736" s="319"/>
      <c r="BX736" s="319"/>
      <c r="BY736" s="319"/>
      <c r="BZ736" s="319"/>
      <c r="CA736" s="319"/>
      <c r="CB736" s="319"/>
      <c r="CC736" s="319"/>
      <c r="CD736" s="319"/>
      <c r="CE736" s="319"/>
      <c r="CF736" s="319"/>
    </row>
    <row r="737" spans="1:84" ht="12.75" hidden="1" customHeight="1">
      <c r="A737" s="12"/>
      <c r="B737" s="329" t="str">
        <f>Language!C430</f>
        <v>Taxa de recuperação de calor</v>
      </c>
      <c r="C737" s="29" t="str">
        <f>$T$35</f>
        <v>%</v>
      </c>
      <c r="D737" s="422"/>
      <c r="E737" s="1"/>
      <c r="F737" s="1"/>
      <c r="G737" s="1"/>
      <c r="H737" s="1"/>
      <c r="I737" s="1"/>
      <c r="J737" s="1"/>
      <c r="K737" s="9"/>
      <c r="L737" s="1"/>
      <c r="M737" s="319"/>
      <c r="N737" s="319"/>
      <c r="O737" s="319"/>
      <c r="P737" s="319"/>
      <c r="Q737" s="319"/>
      <c r="R737" s="319"/>
      <c r="S737" s="319"/>
      <c r="T737" s="319"/>
      <c r="U737" s="319"/>
      <c r="V737" s="319"/>
      <c r="W737" s="319"/>
      <c r="X737" s="319"/>
      <c r="Y737" s="319"/>
      <c r="Z737" s="319"/>
      <c r="AA737" s="319"/>
      <c r="AB737" s="319"/>
      <c r="AC737" s="319"/>
      <c r="AD737" s="319"/>
      <c r="AE737" s="319"/>
      <c r="AF737" s="319"/>
      <c r="AG737" s="319"/>
      <c r="AH737" s="319"/>
      <c r="AI737" s="319"/>
      <c r="AJ737" s="319"/>
      <c r="AK737" s="319"/>
      <c r="AL737" s="319"/>
      <c r="AM737" s="319"/>
      <c r="AN737" s="319"/>
      <c r="AO737" s="319">
        <v>2050030</v>
      </c>
      <c r="AP737" s="319"/>
      <c r="AQ737" s="319"/>
      <c r="AR737" s="319"/>
      <c r="AS737" s="319"/>
      <c r="AT737" s="319"/>
      <c r="AU737" s="319"/>
      <c r="AV737" s="319"/>
      <c r="AW737" s="319"/>
      <c r="AX737" s="319"/>
      <c r="AY737" s="319"/>
      <c r="AZ737" s="319"/>
      <c r="BA737" s="319"/>
      <c r="BB737" s="319"/>
      <c r="BC737" s="319"/>
      <c r="BD737" s="319"/>
      <c r="BE737" s="319"/>
      <c r="BF737" s="319"/>
      <c r="BG737" s="319"/>
      <c r="BH737" s="319"/>
      <c r="BI737" s="319"/>
      <c r="BJ737" s="319"/>
      <c r="BK737" s="319"/>
      <c r="BL737" s="319"/>
      <c r="BM737" s="319"/>
      <c r="BN737" s="319"/>
      <c r="BO737" s="319"/>
      <c r="BP737" s="319"/>
      <c r="BQ737" s="319"/>
      <c r="BR737" s="319"/>
      <c r="BS737" s="319"/>
      <c r="BT737" s="319"/>
      <c r="BU737" s="319"/>
      <c r="BV737" s="319"/>
      <c r="BW737" s="319"/>
      <c r="BX737" s="319"/>
      <c r="BY737" s="319"/>
      <c r="BZ737" s="319"/>
      <c r="CA737" s="319"/>
      <c r="CB737" s="319"/>
      <c r="CC737" s="319"/>
      <c r="CD737" s="319"/>
      <c r="CE737" s="319"/>
      <c r="CF737" s="319"/>
    </row>
    <row r="738" spans="1:84" ht="12.75" hidden="1" customHeight="1">
      <c r="A738" s="12"/>
      <c r="B738" s="329" t="str">
        <f>B77</f>
        <v>Combustível necessário</v>
      </c>
      <c r="C738" s="29" t="str">
        <f>IF(Unit=TRUE,R738,T738)</f>
        <v>GJ/h</v>
      </c>
      <c r="D738" s="140">
        <f>IF(Unit=TRUE,S738,U738)</f>
        <v>0</v>
      </c>
      <c r="E738" s="1"/>
      <c r="F738" s="29" t="str">
        <f>IF($M$3=FALSE,"",IF(Unit=FALSE,R738,T738))</f>
        <v/>
      </c>
      <c r="G738" s="140" t="str">
        <f>IF($M$3=FALSE,"",IF(Unit=FALSE,S738,U738))</f>
        <v/>
      </c>
      <c r="H738" s="1"/>
      <c r="I738" s="1"/>
      <c r="J738" s="1"/>
      <c r="K738" s="9"/>
      <c r="L738" s="1"/>
      <c r="M738" s="319"/>
      <c r="N738" s="319"/>
      <c r="O738" s="319"/>
      <c r="P738" s="319"/>
      <c r="Q738" s="319"/>
      <c r="R738" s="319" t="str">
        <f>$R$77</f>
        <v>GJ/h</v>
      </c>
      <c r="S738" s="319">
        <f>D730*S736/10^6</f>
        <v>0</v>
      </c>
      <c r="T738" s="319" t="str">
        <f>$T$77</f>
        <v>milhão Btu/h</v>
      </c>
      <c r="U738" s="319">
        <f>S738/$AA$1082</f>
        <v>0</v>
      </c>
      <c r="V738" s="319"/>
      <c r="W738" s="319"/>
      <c r="X738" s="319"/>
      <c r="Y738" s="319"/>
      <c r="Z738" s="319"/>
      <c r="AA738" s="319"/>
      <c r="AB738" s="319"/>
      <c r="AC738" s="319"/>
      <c r="AD738" s="319"/>
      <c r="AE738" s="319"/>
      <c r="AF738" s="319"/>
      <c r="AG738" s="319"/>
      <c r="AH738" s="319"/>
      <c r="AI738" s="319"/>
      <c r="AJ738" s="319"/>
      <c r="AK738" s="319"/>
      <c r="AL738" s="319"/>
      <c r="AM738" s="319"/>
      <c r="AN738" s="319"/>
      <c r="AO738" s="319">
        <v>2050032</v>
      </c>
      <c r="AP738" s="319"/>
      <c r="AQ738" s="319"/>
      <c r="AR738" s="319"/>
      <c r="AS738" s="319"/>
      <c r="AT738" s="319"/>
      <c r="AU738" s="319"/>
      <c r="AV738" s="319"/>
      <c r="AW738" s="319"/>
      <c r="AX738" s="319"/>
      <c r="AY738" s="319"/>
      <c r="AZ738" s="319"/>
      <c r="BA738" s="319"/>
      <c r="BB738" s="319"/>
      <c r="BC738" s="319"/>
      <c r="BD738" s="319"/>
      <c r="BE738" s="319"/>
      <c r="BF738" s="319"/>
      <c r="BG738" s="319"/>
      <c r="BH738" s="319"/>
      <c r="BI738" s="319"/>
      <c r="BJ738" s="319"/>
      <c r="BK738" s="319"/>
      <c r="BL738" s="319"/>
      <c r="BM738" s="319"/>
      <c r="BN738" s="319"/>
      <c r="BO738" s="319"/>
      <c r="BP738" s="319"/>
      <c r="BQ738" s="319"/>
      <c r="BR738" s="319"/>
      <c r="BS738" s="319"/>
      <c r="BT738" s="319"/>
      <c r="BU738" s="319"/>
      <c r="BV738" s="319"/>
      <c r="BW738" s="319"/>
      <c r="BX738" s="319"/>
      <c r="BY738" s="319"/>
      <c r="BZ738" s="319"/>
      <c r="CA738" s="319"/>
      <c r="CB738" s="319"/>
      <c r="CC738" s="319"/>
      <c r="CD738" s="319"/>
      <c r="CE738" s="319"/>
      <c r="CF738" s="319"/>
    </row>
    <row r="739" spans="1:84" ht="12.75" hidden="1" customHeight="1">
      <c r="A739" s="14"/>
      <c r="B739" s="380" t="str">
        <f>Language!C431</f>
        <v>Capacidade térmica</v>
      </c>
      <c r="C739" s="33" t="str">
        <f>IF(Unit=TRUE,R739,T739)</f>
        <v>kW</v>
      </c>
      <c r="D739" s="245">
        <f>IF(Unit=TRUE,S739,U739)</f>
        <v>0</v>
      </c>
      <c r="E739" s="81" t="str">
        <f>IF(OR(HideCode_projectType3=2,HideCode_projectType3=5),"",S739/$Q$866)</f>
        <v/>
      </c>
      <c r="F739" s="33" t="str">
        <f>IF($M$3=FALSE,"",IF(Unit=FALSE,R739,T739))</f>
        <v/>
      </c>
      <c r="G739" s="245" t="str">
        <f>IF($M$3=FALSE,"",IF(Unit=FALSE,S739,U739))</f>
        <v/>
      </c>
      <c r="H739" s="15"/>
      <c r="I739" s="15"/>
      <c r="J739" s="15"/>
      <c r="K739" s="11"/>
      <c r="L739" s="1"/>
      <c r="M739" s="319"/>
      <c r="N739" s="319"/>
      <c r="O739" s="319"/>
      <c r="P739" s="319"/>
      <c r="Q739" s="319"/>
      <c r="R739" s="319" t="str">
        <f>$R$20</f>
        <v>kW</v>
      </c>
      <c r="S739" s="319">
        <f>(S738/3.6*1000-D730)*D737</f>
        <v>0</v>
      </c>
      <c r="T739" s="319" t="str">
        <f>$T$77</f>
        <v>milhão Btu/h</v>
      </c>
      <c r="U739" s="319">
        <f>S739*$AA$1087</f>
        <v>0</v>
      </c>
      <c r="V739" s="319"/>
      <c r="W739" s="319"/>
      <c r="X739" s="319"/>
      <c r="Y739" s="319"/>
      <c r="Z739" s="319"/>
      <c r="AA739" s="319"/>
      <c r="AB739" s="319"/>
      <c r="AC739" s="319"/>
      <c r="AD739" s="319"/>
      <c r="AE739" s="319"/>
      <c r="AF739" s="319"/>
      <c r="AG739" s="319"/>
      <c r="AH739" s="319"/>
      <c r="AI739" s="319"/>
      <c r="AJ739" s="319"/>
      <c r="AK739" s="319"/>
      <c r="AL739" s="319"/>
      <c r="AM739" s="319"/>
      <c r="AN739" s="319"/>
      <c r="AO739" s="319">
        <v>2050034</v>
      </c>
      <c r="AP739" s="319"/>
      <c r="AQ739" s="319"/>
      <c r="AR739" s="319"/>
      <c r="AS739" s="319"/>
      <c r="AT739" s="319"/>
      <c r="AU739" s="319"/>
      <c r="AV739" s="319"/>
      <c r="AW739" s="319"/>
      <c r="AX739" s="319"/>
      <c r="AY739" s="319"/>
      <c r="AZ739" s="319"/>
      <c r="BA739" s="319"/>
      <c r="BB739" s="319"/>
      <c r="BC739" s="319"/>
      <c r="BD739" s="319"/>
      <c r="BE739" s="319"/>
      <c r="BF739" s="319"/>
      <c r="BG739" s="319"/>
      <c r="BH739" s="319"/>
      <c r="BI739" s="319"/>
      <c r="BJ739" s="319"/>
      <c r="BK739" s="319"/>
      <c r="BL739" s="319"/>
      <c r="BM739" s="319"/>
      <c r="BN739" s="319"/>
      <c r="BO739" s="319"/>
      <c r="BP739" s="319"/>
      <c r="BQ739" s="319"/>
      <c r="BR739" s="319"/>
      <c r="BS739" s="319"/>
      <c r="BT739" s="319"/>
      <c r="BU739" s="319"/>
      <c r="BV739" s="319"/>
      <c r="BW739" s="319"/>
      <c r="BX739" s="319"/>
      <c r="BY739" s="319"/>
      <c r="BZ739" s="319"/>
      <c r="CA739" s="319"/>
      <c r="CB739" s="319"/>
      <c r="CC739" s="319"/>
      <c r="CD739" s="319"/>
      <c r="CE739" s="319"/>
      <c r="CF739" s="319"/>
    </row>
    <row r="740" spans="1:84" ht="12.75" hidden="1" customHeight="1">
      <c r="A740" s="12"/>
      <c r="B740" s="1"/>
      <c r="C740" s="1"/>
      <c r="D740" s="1"/>
      <c r="E740" s="1"/>
      <c r="F740" s="1"/>
      <c r="G740" s="1"/>
      <c r="H740" s="1"/>
      <c r="I740" s="1"/>
      <c r="J740" s="1"/>
      <c r="K740" s="9"/>
      <c r="L740" s="1"/>
      <c r="M740" s="319"/>
      <c r="N740" s="319"/>
      <c r="O740" s="319"/>
      <c r="P740" s="319"/>
      <c r="Q740" s="319"/>
      <c r="R740" s="319"/>
      <c r="S740" s="319"/>
      <c r="T740" s="319"/>
      <c r="U740" s="319"/>
      <c r="V740" s="319"/>
      <c r="W740" s="319"/>
      <c r="X740" s="319"/>
      <c r="Y740" s="319"/>
      <c r="Z740" s="319"/>
      <c r="AA740" s="319"/>
      <c r="AB740" s="319"/>
      <c r="AC740" s="319"/>
      <c r="AD740" s="319"/>
      <c r="AE740" s="319"/>
      <c r="AF740" s="319"/>
      <c r="AG740" s="319"/>
      <c r="AH740" s="319"/>
      <c r="AI740" s="319"/>
      <c r="AJ740" s="319"/>
      <c r="AK740" s="319"/>
      <c r="AL740" s="319"/>
      <c r="AM740" s="319"/>
      <c r="AN740" s="319"/>
      <c r="AO740" s="319">
        <v>2030000</v>
      </c>
      <c r="AP740" s="319"/>
      <c r="AQ740" s="319"/>
      <c r="AR740" s="319"/>
      <c r="AS740" s="319"/>
      <c r="AT740" s="319"/>
      <c r="AU740" s="319"/>
      <c r="AV740" s="319"/>
      <c r="AW740" s="319"/>
      <c r="AX740" s="319"/>
      <c r="AY740" s="319"/>
      <c r="AZ740" s="319"/>
      <c r="BA740" s="319"/>
      <c r="BB740" s="319"/>
      <c r="BC740" s="319"/>
      <c r="BD740" s="319"/>
      <c r="BE740" s="319"/>
      <c r="BF740" s="319"/>
      <c r="BG740" s="319"/>
      <c r="BH740" s="319"/>
      <c r="BI740" s="319"/>
      <c r="BJ740" s="319"/>
      <c r="BK740" s="319"/>
      <c r="BL740" s="319"/>
      <c r="BM740" s="319"/>
      <c r="BN740" s="319"/>
      <c r="BO740" s="319"/>
      <c r="BP740" s="319"/>
      <c r="BQ740" s="319"/>
      <c r="BR740" s="319"/>
      <c r="BS740" s="319"/>
      <c r="BT740" s="319"/>
      <c r="BU740" s="319"/>
      <c r="BV740" s="319"/>
      <c r="BW740" s="319"/>
      <c r="BX740" s="319"/>
      <c r="BY740" s="319"/>
      <c r="BZ740" s="319"/>
      <c r="CA740" s="319"/>
      <c r="CB740" s="319"/>
      <c r="CC740" s="319"/>
      <c r="CD740" s="319"/>
      <c r="CE740" s="319"/>
      <c r="CF740" s="319"/>
    </row>
    <row r="741" spans="1:84" ht="12.75" hidden="1" customHeight="1">
      <c r="A741" s="12"/>
      <c r="B741" s="28" t="str">
        <f>Language!C139&amp;" #2"</f>
        <v>Turbina eólica #2</v>
      </c>
      <c r="C741" s="1"/>
      <c r="D741" s="1"/>
      <c r="E741" s="1"/>
      <c r="F741" s="1"/>
      <c r="G741" s="1"/>
      <c r="H741" s="1"/>
      <c r="I741" s="1"/>
      <c r="J741" s="1"/>
      <c r="K741" s="9"/>
      <c r="L741" s="1"/>
      <c r="M741" s="319"/>
      <c r="N741" s="319"/>
      <c r="O741" s="319"/>
      <c r="P741" s="319"/>
      <c r="Q741" s="319"/>
      <c r="R741" s="319"/>
      <c r="S741" s="319"/>
      <c r="T741" s="319"/>
      <c r="U741" s="319"/>
      <c r="V741" s="319"/>
      <c r="W741" s="319"/>
      <c r="X741" s="319"/>
      <c r="Y741" s="319"/>
      <c r="Z741" s="319"/>
      <c r="AA741" s="319"/>
      <c r="AB741" s="319"/>
      <c r="AC741" s="319"/>
      <c r="AD741" s="319"/>
      <c r="AE741" s="319"/>
      <c r="AF741" s="319"/>
      <c r="AG741" s="319"/>
      <c r="AH741" s="319"/>
      <c r="AI741" s="319"/>
      <c r="AJ741" s="319"/>
      <c r="AK741" s="319"/>
      <c r="AL741" s="319"/>
      <c r="AM741" s="319"/>
      <c r="AN741" s="319"/>
      <c r="AO741" s="319">
        <v>2040036</v>
      </c>
      <c r="AP741" s="319"/>
      <c r="AQ741" s="319"/>
      <c r="AR741" s="319"/>
      <c r="AS741" s="319"/>
      <c r="AT741" s="319"/>
      <c r="AU741" s="319"/>
      <c r="AV741" s="319"/>
      <c r="AW741" s="319"/>
      <c r="AX741" s="319"/>
      <c r="AY741" s="319"/>
      <c r="AZ741" s="319"/>
      <c r="BA741" s="319"/>
      <c r="BB741" s="319"/>
      <c r="BC741" s="319"/>
      <c r="BD741" s="319"/>
      <c r="BE741" s="319"/>
      <c r="BF741" s="319"/>
      <c r="BG741" s="319"/>
      <c r="BH741" s="319"/>
      <c r="BI741" s="319"/>
      <c r="BJ741" s="319"/>
      <c r="BK741" s="319"/>
      <c r="BL741" s="319"/>
      <c r="BM741" s="319"/>
      <c r="BN741" s="319"/>
      <c r="BO741" s="319"/>
      <c r="BP741" s="319"/>
      <c r="BQ741" s="319"/>
      <c r="BR741" s="319"/>
      <c r="BS741" s="319"/>
      <c r="BT741" s="319"/>
      <c r="BU741" s="319"/>
      <c r="BV741" s="319"/>
      <c r="BW741" s="319"/>
      <c r="BX741" s="319"/>
      <c r="BY741" s="319"/>
      <c r="BZ741" s="319"/>
      <c r="CA741" s="319"/>
      <c r="CB741" s="319"/>
      <c r="CC741" s="319"/>
      <c r="CD741" s="319"/>
      <c r="CE741" s="319"/>
      <c r="CF741" s="319"/>
    </row>
    <row r="742" spans="1:84" ht="12.75" hidden="1" customHeight="1">
      <c r="A742" s="12"/>
      <c r="B742" s="329" t="str">
        <f>B92</f>
        <v>Potência elétrica</v>
      </c>
      <c r="C742" s="29" t="str">
        <f>$C$92</f>
        <v>kW</v>
      </c>
      <c r="D742" s="412"/>
      <c r="E742" s="80" t="str">
        <f>IF($P$866=0,"",D742/$P$866)</f>
        <v/>
      </c>
      <c r="F742" s="1"/>
      <c r="G742" s="1"/>
      <c r="H742" s="1346"/>
      <c r="I742" s="1252" t="str">
        <f>Language!$C$61</f>
        <v>Ver banco de dados de produtos</v>
      </c>
      <c r="J742" s="1191"/>
      <c r="K742" s="1210"/>
      <c r="L742" s="1"/>
      <c r="M742" s="319"/>
      <c r="N742" s="319"/>
      <c r="O742" s="319"/>
      <c r="P742" s="319"/>
      <c r="Q742" s="319"/>
      <c r="R742" s="319"/>
      <c r="S742" s="319"/>
      <c r="T742" s="319"/>
      <c r="U742" s="319"/>
      <c r="V742" s="319"/>
      <c r="W742" s="319"/>
      <c r="X742" s="319"/>
      <c r="Y742" s="319"/>
      <c r="Z742" s="319"/>
      <c r="AA742" s="319"/>
      <c r="AB742" s="319"/>
      <c r="AC742" s="319"/>
      <c r="AD742" s="319"/>
      <c r="AE742" s="319"/>
      <c r="AF742" s="319"/>
      <c r="AG742" s="319"/>
      <c r="AH742" s="319"/>
      <c r="AI742" s="319"/>
      <c r="AJ742" s="319"/>
      <c r="AK742" s="319"/>
      <c r="AL742" s="319"/>
      <c r="AM742" s="319"/>
      <c r="AN742" s="319"/>
      <c r="AO742" s="319">
        <v>2050002</v>
      </c>
      <c r="AP742" s="319"/>
      <c r="AQ742" s="319"/>
      <c r="AR742" s="319"/>
      <c r="AS742" s="319"/>
      <c r="AT742" s="319"/>
      <c r="AU742" s="319"/>
      <c r="AV742" s="319"/>
      <c r="AW742" s="319"/>
      <c r="AX742" s="319"/>
      <c r="AY742" s="319"/>
      <c r="AZ742" s="319"/>
      <c r="BA742" s="319"/>
      <c r="BB742" s="319"/>
      <c r="BC742" s="319"/>
      <c r="BD742" s="319"/>
      <c r="BE742" s="319"/>
      <c r="BF742" s="319"/>
      <c r="BG742" s="319"/>
      <c r="BH742" s="319"/>
      <c r="BI742" s="319"/>
      <c r="BJ742" s="319"/>
      <c r="BK742" s="319"/>
      <c r="BL742" s="319"/>
      <c r="BM742" s="319"/>
      <c r="BN742" s="319"/>
      <c r="BO742" s="319"/>
      <c r="BP742" s="319"/>
      <c r="BQ742" s="319"/>
      <c r="BR742" s="319"/>
      <c r="BS742" s="319"/>
      <c r="BT742" s="319"/>
      <c r="BU742" s="319"/>
      <c r="BV742" s="319"/>
      <c r="BW742" s="319"/>
      <c r="BX742" s="319"/>
      <c r="BY742" s="319"/>
      <c r="BZ742" s="319"/>
      <c r="CA742" s="319"/>
      <c r="CB742" s="319"/>
      <c r="CC742" s="319"/>
      <c r="CD742" s="319"/>
      <c r="CE742" s="319"/>
      <c r="CF742" s="319"/>
    </row>
    <row r="743" spans="1:84" ht="12.75" hidden="1" customHeight="1">
      <c r="A743" s="12"/>
      <c r="B743" s="329" t="str">
        <f>$B$12</f>
        <v>Fabricante</v>
      </c>
      <c r="C743" s="1152"/>
      <c r="D743" s="1153"/>
      <c r="E743" s="1154"/>
      <c r="F743" s="1"/>
      <c r="G743" s="1"/>
      <c r="H743" s="1"/>
      <c r="I743" s="1"/>
      <c r="J743" s="1"/>
      <c r="K743" s="9"/>
      <c r="L743" s="1"/>
      <c r="M743" s="319"/>
      <c r="N743" s="319"/>
      <c r="O743" s="319"/>
      <c r="P743" s="319"/>
      <c r="Q743" s="319"/>
      <c r="R743" s="319"/>
      <c r="S743" s="319"/>
      <c r="T743" s="319"/>
      <c r="U743" s="319"/>
      <c r="V743" s="319"/>
      <c r="W743" s="319"/>
      <c r="X743" s="319"/>
      <c r="Y743" s="319"/>
      <c r="Z743" s="319"/>
      <c r="AA743" s="319"/>
      <c r="AB743" s="319"/>
      <c r="AC743" s="319"/>
      <c r="AD743" s="319"/>
      <c r="AE743" s="319"/>
      <c r="AF743" s="319"/>
      <c r="AG743" s="319"/>
      <c r="AH743" s="319"/>
      <c r="AI743" s="319"/>
      <c r="AJ743" s="319"/>
      <c r="AK743" s="319"/>
      <c r="AL743" s="319"/>
      <c r="AM743" s="319"/>
      <c r="AN743" s="319"/>
      <c r="AO743" s="319">
        <v>2050012</v>
      </c>
      <c r="AP743" s="319"/>
      <c r="AQ743" s="319"/>
      <c r="AR743" s="319"/>
      <c r="AS743" s="319"/>
      <c r="AT743" s="319"/>
      <c r="AU743" s="319"/>
      <c r="AV743" s="319"/>
      <c r="AW743" s="319"/>
      <c r="AX743" s="319"/>
      <c r="AY743" s="319"/>
      <c r="AZ743" s="319"/>
      <c r="BA743" s="319"/>
      <c r="BB743" s="319"/>
      <c r="BC743" s="319"/>
      <c r="BD743" s="319"/>
      <c r="BE743" s="319"/>
      <c r="BF743" s="319"/>
      <c r="BG743" s="319"/>
      <c r="BH743" s="319"/>
      <c r="BI743" s="319"/>
      <c r="BJ743" s="319"/>
      <c r="BK743" s="319"/>
      <c r="BL743" s="319"/>
      <c r="BM743" s="319"/>
      <c r="BN743" s="319"/>
      <c r="BO743" s="319"/>
      <c r="BP743" s="319"/>
      <c r="BQ743" s="319"/>
      <c r="BR743" s="319"/>
      <c r="BS743" s="319"/>
      <c r="BT743" s="319"/>
      <c r="BU743" s="319"/>
      <c r="BV743" s="319"/>
      <c r="BW743" s="319"/>
      <c r="BX743" s="319"/>
      <c r="BY743" s="319"/>
      <c r="BZ743" s="319"/>
      <c r="CA743" s="319"/>
      <c r="CB743" s="319"/>
      <c r="CC743" s="319"/>
      <c r="CD743" s="319"/>
      <c r="CE743" s="319"/>
      <c r="CF743" s="319"/>
    </row>
    <row r="744" spans="1:84" ht="12.75" hidden="1" customHeight="1">
      <c r="A744" s="12"/>
      <c r="B744" s="329" t="str">
        <f>$B$13</f>
        <v>Modelo</v>
      </c>
      <c r="C744" s="1152"/>
      <c r="D744" s="1153"/>
      <c r="E744" s="1154"/>
      <c r="F744" s="1" t="str">
        <f>$J$1083 &amp; Lang_Unit</f>
        <v>1 unidade(s)</v>
      </c>
      <c r="G744" s="1"/>
      <c r="H744" s="1"/>
      <c r="I744" s="1"/>
      <c r="J744" s="1"/>
      <c r="K744" s="9"/>
      <c r="L744" s="1"/>
      <c r="M744" s="319"/>
      <c r="N744" s="319"/>
      <c r="O744" s="319"/>
      <c r="P744" s="319"/>
      <c r="Q744" s="319"/>
      <c r="R744" s="319"/>
      <c r="S744" s="319"/>
      <c r="T744" s="319"/>
      <c r="U744" s="319"/>
      <c r="V744" s="319"/>
      <c r="W744" s="319"/>
      <c r="X744" s="319"/>
      <c r="Y744" s="319"/>
      <c r="Z744" s="319"/>
      <c r="AA744" s="319"/>
      <c r="AB744" s="319"/>
      <c r="AC744" s="319"/>
      <c r="AD744" s="319"/>
      <c r="AE744" s="319"/>
      <c r="AF744" s="319"/>
      <c r="AG744" s="319"/>
      <c r="AH744" s="319"/>
      <c r="AI744" s="319"/>
      <c r="AJ744" s="319"/>
      <c r="AK744" s="319"/>
      <c r="AL744" s="319"/>
      <c r="AM744" s="319"/>
      <c r="AN744" s="319"/>
      <c r="AO744" s="319">
        <v>2050014</v>
      </c>
      <c r="AP744" s="319"/>
      <c r="AQ744" s="319"/>
      <c r="AR744" s="319"/>
      <c r="AS744" s="319"/>
      <c r="AT744" s="319"/>
      <c r="AU744" s="319"/>
      <c r="AV744" s="319"/>
      <c r="AW744" s="319"/>
      <c r="AX744" s="319"/>
      <c r="AY744" s="319"/>
      <c r="AZ744" s="319"/>
      <c r="BA744" s="319"/>
      <c r="BB744" s="319"/>
      <c r="BC744" s="319"/>
      <c r="BD744" s="319"/>
      <c r="BE744" s="319"/>
      <c r="BF744" s="319"/>
      <c r="BG744" s="319"/>
      <c r="BH744" s="319"/>
      <c r="BI744" s="319"/>
      <c r="BJ744" s="319"/>
      <c r="BK744" s="319"/>
      <c r="BL744" s="319"/>
      <c r="BM744" s="319"/>
      <c r="BN744" s="319"/>
      <c r="BO744" s="319"/>
      <c r="BP744" s="319"/>
      <c r="BQ744" s="319"/>
      <c r="BR744" s="319"/>
      <c r="BS744" s="319"/>
      <c r="BT744" s="319"/>
      <c r="BU744" s="319"/>
      <c r="BV744" s="319"/>
      <c r="BW744" s="319"/>
      <c r="BX744" s="319"/>
      <c r="BY744" s="319"/>
      <c r="BZ744" s="319"/>
      <c r="CA744" s="319"/>
      <c r="CB744" s="319"/>
      <c r="CC744" s="319"/>
      <c r="CD744" s="319"/>
      <c r="CE744" s="319"/>
      <c r="CF744" s="319"/>
    </row>
    <row r="745" spans="1:84" ht="12.75" hidden="1" customHeight="1">
      <c r="A745" s="12"/>
      <c r="B745" s="329" t="str">
        <f>Language!C462</f>
        <v>Fator de Utilização</v>
      </c>
      <c r="C745" s="29" t="str">
        <f>$T$35</f>
        <v>%</v>
      </c>
      <c r="D745" s="422"/>
      <c r="E745" s="1"/>
      <c r="F745" s="1"/>
      <c r="G745" s="1"/>
      <c r="H745" s="1"/>
      <c r="I745" s="1"/>
      <c r="J745" s="1"/>
      <c r="K745" s="9"/>
      <c r="L745" s="1"/>
      <c r="M745" s="319"/>
      <c r="N745" s="319"/>
      <c r="O745" s="319"/>
      <c r="P745" s="319"/>
      <c r="Q745" s="319"/>
      <c r="R745" s="319" t="str">
        <f>$C$92</f>
        <v>kW</v>
      </c>
      <c r="S745" s="319">
        <f>D742*D745</f>
        <v>0</v>
      </c>
      <c r="T745" s="319"/>
      <c r="U745" s="319"/>
      <c r="V745" s="319"/>
      <c r="W745" s="319"/>
      <c r="X745" s="319"/>
      <c r="Y745" s="319"/>
      <c r="Z745" s="319"/>
      <c r="AA745" s="319"/>
      <c r="AB745" s="319"/>
      <c r="AC745" s="319"/>
      <c r="AD745" s="319"/>
      <c r="AE745" s="319"/>
      <c r="AF745" s="319"/>
      <c r="AG745" s="319"/>
      <c r="AH745" s="319"/>
      <c r="AI745" s="319"/>
      <c r="AJ745" s="319"/>
      <c r="AK745" s="319"/>
      <c r="AL745" s="319"/>
      <c r="AM745" s="319"/>
      <c r="AN745" s="319"/>
      <c r="AO745" s="319">
        <v>2070000</v>
      </c>
      <c r="AP745" s="319"/>
      <c r="AQ745" s="319"/>
      <c r="AR745" s="319"/>
      <c r="AS745" s="319"/>
      <c r="AT745" s="319"/>
      <c r="AU745" s="319"/>
      <c r="AV745" s="319"/>
      <c r="AW745" s="319"/>
      <c r="AX745" s="319"/>
      <c r="AY745" s="319"/>
      <c r="AZ745" s="319"/>
      <c r="BA745" s="319"/>
      <c r="BB745" s="319"/>
      <c r="BC745" s="319"/>
      <c r="BD745" s="319"/>
      <c r="BE745" s="319"/>
      <c r="BF745" s="319"/>
      <c r="BG745" s="319"/>
      <c r="BH745" s="319"/>
      <c r="BI745" s="319"/>
      <c r="BJ745" s="319"/>
      <c r="BK745" s="319"/>
      <c r="BL745" s="319"/>
      <c r="BM745" s="319"/>
      <c r="BN745" s="319"/>
      <c r="BO745" s="319"/>
      <c r="BP745" s="319"/>
      <c r="BQ745" s="319"/>
      <c r="BR745" s="319"/>
      <c r="BS745" s="319"/>
      <c r="BT745" s="319"/>
      <c r="BU745" s="319"/>
      <c r="BV745" s="319"/>
      <c r="BW745" s="319"/>
      <c r="BX745" s="319"/>
      <c r="BY745" s="319"/>
      <c r="BZ745" s="319"/>
      <c r="CA745" s="319"/>
      <c r="CB745" s="319"/>
      <c r="CC745" s="319"/>
      <c r="CD745" s="319"/>
      <c r="CE745" s="319"/>
      <c r="CF745" s="319"/>
    </row>
    <row r="746" spans="1:84" ht="12.75" hidden="1" customHeight="1">
      <c r="A746" s="12"/>
      <c r="B746" s="329" t="str">
        <f>$B$94</f>
        <v>Eletricidade fornecida à carga</v>
      </c>
      <c r="C746" s="29" t="str">
        <f>R14</f>
        <v>MWh</v>
      </c>
      <c r="D746" s="30">
        <f>IF(HideCodeES_PSS=1,$G$1107,IF($C$854=$E$1094,$G$1108,$G$1107))</f>
        <v>0</v>
      </c>
      <c r="E746" s="80" t="str">
        <f>IF($P$867=0,"",D746/$P$867)</f>
        <v/>
      </c>
      <c r="F746" s="1"/>
      <c r="G746" s="1"/>
      <c r="H746" s="1"/>
      <c r="I746" s="1"/>
      <c r="J746" s="1"/>
      <c r="K746" s="9"/>
      <c r="L746" s="1"/>
      <c r="M746" s="319"/>
      <c r="N746" s="319"/>
      <c r="O746" s="319"/>
      <c r="P746" s="319"/>
      <c r="Q746" s="319"/>
      <c r="R746" s="319"/>
      <c r="S746" s="319"/>
      <c r="T746" s="319"/>
      <c r="U746" s="319"/>
      <c r="V746" s="319"/>
      <c r="W746" s="319"/>
      <c r="X746" s="319"/>
      <c r="Y746" s="319"/>
      <c r="Z746" s="319"/>
      <c r="AA746" s="319"/>
      <c r="AB746" s="319"/>
      <c r="AC746" s="319"/>
      <c r="AD746" s="319"/>
      <c r="AE746" s="319"/>
      <c r="AF746" s="319"/>
      <c r="AG746" s="319"/>
      <c r="AH746" s="319"/>
      <c r="AI746" s="319"/>
      <c r="AJ746" s="319"/>
      <c r="AK746" s="319"/>
      <c r="AL746" s="319"/>
      <c r="AM746" s="319"/>
      <c r="AN746" s="319"/>
      <c r="AO746" s="319">
        <v>2050008</v>
      </c>
      <c r="AP746" s="319"/>
      <c r="AQ746" s="319"/>
      <c r="AR746" s="319"/>
      <c r="AS746" s="319"/>
      <c r="AT746" s="319"/>
      <c r="AU746" s="319"/>
      <c r="AV746" s="319"/>
      <c r="AW746" s="319"/>
      <c r="AX746" s="319"/>
      <c r="AY746" s="319"/>
      <c r="AZ746" s="319"/>
      <c r="BA746" s="319"/>
      <c r="BB746" s="319"/>
      <c r="BC746" s="319"/>
      <c r="BD746" s="319"/>
      <c r="BE746" s="319"/>
      <c r="BF746" s="319"/>
      <c r="BG746" s="319"/>
      <c r="BH746" s="319"/>
      <c r="BI746" s="319"/>
      <c r="BJ746" s="319"/>
      <c r="BK746" s="319"/>
      <c r="BL746" s="319"/>
      <c r="BM746" s="319"/>
      <c r="BN746" s="319"/>
      <c r="BO746" s="319"/>
      <c r="BP746" s="319"/>
      <c r="BQ746" s="319"/>
      <c r="BR746" s="319"/>
      <c r="BS746" s="319"/>
      <c r="BT746" s="319"/>
      <c r="BU746" s="319"/>
      <c r="BV746" s="319"/>
      <c r="BW746" s="319"/>
      <c r="BX746" s="319"/>
      <c r="BY746" s="319"/>
      <c r="BZ746" s="319"/>
      <c r="CA746" s="319"/>
      <c r="CB746" s="319"/>
      <c r="CC746" s="319"/>
      <c r="CD746" s="319"/>
      <c r="CE746" s="319"/>
      <c r="CF746" s="319"/>
    </row>
    <row r="747" spans="1:84" ht="12.75" hidden="1" customHeight="1">
      <c r="A747" s="14"/>
      <c r="B747" s="380" t="str">
        <f>$B$95</f>
        <v>Eletricidade exportada p/ rede</v>
      </c>
      <c r="C747" s="33" t="str">
        <f>R14</f>
        <v>MWh</v>
      </c>
      <c r="D747" s="34">
        <f>IF(HideCodeES_PSS=1,$J$1107,IF($C$854=$E$1094,$J$1108,$J$1107))</f>
        <v>5.3903325633948667</v>
      </c>
      <c r="E747" s="15"/>
      <c r="F747" s="15"/>
      <c r="G747" s="15"/>
      <c r="H747" s="15"/>
      <c r="I747" s="15"/>
      <c r="J747" s="15"/>
      <c r="K747" s="11"/>
      <c r="L747" s="1"/>
      <c r="M747" s="319"/>
      <c r="N747" s="319"/>
      <c r="O747" s="319"/>
      <c r="P747" s="319"/>
      <c r="Q747" s="319"/>
      <c r="R747" s="319"/>
      <c r="S747" s="319"/>
      <c r="T747" s="319"/>
      <c r="U747" s="319"/>
      <c r="V747" s="319"/>
      <c r="W747" s="319"/>
      <c r="X747" s="319"/>
      <c r="Y747" s="319"/>
      <c r="Z747" s="319"/>
      <c r="AA747" s="319"/>
      <c r="AB747" s="319"/>
      <c r="AC747" s="319"/>
      <c r="AD747" s="319"/>
      <c r="AE747" s="319"/>
      <c r="AF747" s="319"/>
      <c r="AG747" s="319"/>
      <c r="AH747" s="319"/>
      <c r="AI747" s="319"/>
      <c r="AJ747" s="319"/>
      <c r="AK747" s="319"/>
      <c r="AL747" s="319"/>
      <c r="AM747" s="319"/>
      <c r="AN747" s="319"/>
      <c r="AO747" s="319">
        <v>2050010</v>
      </c>
      <c r="AP747" s="319"/>
      <c r="AQ747" s="319"/>
      <c r="AR747" s="319"/>
      <c r="AS747" s="319"/>
      <c r="AT747" s="319"/>
      <c r="AU747" s="319"/>
      <c r="AV747" s="319"/>
      <c r="AW747" s="319"/>
      <c r="AX747" s="319"/>
      <c r="AY747" s="319"/>
      <c r="AZ747" s="319"/>
      <c r="BA747" s="319"/>
      <c r="BB747" s="319"/>
      <c r="BC747" s="319"/>
      <c r="BD747" s="319"/>
      <c r="BE747" s="319"/>
      <c r="BF747" s="319"/>
      <c r="BG747" s="319"/>
      <c r="BH747" s="319"/>
      <c r="BI747" s="319"/>
      <c r="BJ747" s="319"/>
      <c r="BK747" s="319"/>
      <c r="BL747" s="319"/>
      <c r="BM747" s="319"/>
      <c r="BN747" s="319"/>
      <c r="BO747" s="319"/>
      <c r="BP747" s="319"/>
      <c r="BQ747" s="319"/>
      <c r="BR747" s="319"/>
      <c r="BS747" s="319"/>
      <c r="BT747" s="319"/>
      <c r="BU747" s="319"/>
      <c r="BV747" s="319"/>
      <c r="BW747" s="319"/>
      <c r="BX747" s="319"/>
      <c r="BY747" s="319"/>
      <c r="BZ747" s="319"/>
      <c r="CA747" s="319"/>
      <c r="CB747" s="319"/>
      <c r="CC747" s="319"/>
      <c r="CD747" s="319"/>
      <c r="CE747" s="319"/>
      <c r="CF747" s="319"/>
    </row>
    <row r="748" spans="1:84" ht="12.75" hidden="1" customHeight="1">
      <c r="A748" s="12"/>
      <c r="B748" s="1"/>
      <c r="C748" s="1"/>
      <c r="D748" s="1"/>
      <c r="E748" s="1"/>
      <c r="F748" s="1"/>
      <c r="G748" s="1"/>
      <c r="H748" s="1"/>
      <c r="I748" s="1"/>
      <c r="J748" s="1"/>
      <c r="K748" s="9"/>
      <c r="L748" s="1"/>
      <c r="M748" s="319"/>
      <c r="N748" s="319"/>
      <c r="O748" s="319"/>
      <c r="P748" s="319"/>
      <c r="Q748" s="319"/>
      <c r="R748" s="319"/>
      <c r="S748" s="319"/>
      <c r="T748" s="319"/>
      <c r="U748" s="319"/>
      <c r="V748" s="319"/>
      <c r="W748" s="319"/>
      <c r="X748" s="319"/>
      <c r="Y748" s="319"/>
      <c r="Z748" s="319"/>
      <c r="AA748" s="319"/>
      <c r="AB748" s="319"/>
      <c r="AC748" s="319"/>
      <c r="AD748" s="319"/>
      <c r="AE748" s="319"/>
      <c r="AF748" s="319"/>
      <c r="AG748" s="319"/>
      <c r="AH748" s="319"/>
      <c r="AI748" s="319"/>
      <c r="AJ748" s="319"/>
      <c r="AK748" s="319"/>
      <c r="AL748" s="319"/>
      <c r="AM748" s="319"/>
      <c r="AN748" s="319"/>
      <c r="AO748" s="319">
        <v>2030000</v>
      </c>
      <c r="AP748" s="319"/>
      <c r="AQ748" s="319"/>
      <c r="AR748" s="319"/>
      <c r="AS748" s="319"/>
      <c r="AT748" s="319"/>
      <c r="AU748" s="319"/>
      <c r="AV748" s="319"/>
      <c r="AW748" s="319"/>
      <c r="AX748" s="319"/>
      <c r="AY748" s="319"/>
      <c r="AZ748" s="319"/>
      <c r="BA748" s="319"/>
      <c r="BB748" s="319"/>
      <c r="BC748" s="319"/>
      <c r="BD748" s="319"/>
      <c r="BE748" s="319"/>
      <c r="BF748" s="319"/>
      <c r="BG748" s="319"/>
      <c r="BH748" s="319"/>
      <c r="BI748" s="319"/>
      <c r="BJ748" s="319"/>
      <c r="BK748" s="319"/>
      <c r="BL748" s="319"/>
      <c r="BM748" s="319"/>
      <c r="BN748" s="319"/>
      <c r="BO748" s="319"/>
      <c r="BP748" s="319"/>
      <c r="BQ748" s="319"/>
      <c r="BR748" s="319"/>
      <c r="BS748" s="319"/>
      <c r="BT748" s="319"/>
      <c r="BU748" s="319"/>
      <c r="BV748" s="319"/>
      <c r="BW748" s="319"/>
      <c r="BX748" s="319"/>
      <c r="BY748" s="319"/>
      <c r="BZ748" s="319"/>
      <c r="CA748" s="319"/>
      <c r="CB748" s="319"/>
      <c r="CC748" s="319"/>
      <c r="CD748" s="319"/>
      <c r="CE748" s="319"/>
      <c r="CF748" s="319"/>
    </row>
    <row r="749" spans="1:84" ht="12.75" hidden="1" customHeight="1">
      <c r="A749" s="12"/>
      <c r="B749" s="28" t="str">
        <f>Language!C140&amp;" #2"</f>
        <v>Turbina hidráulica #2</v>
      </c>
      <c r="C749" s="1"/>
      <c r="D749" s="1"/>
      <c r="E749" s="1"/>
      <c r="F749" s="1"/>
      <c r="G749" s="1"/>
      <c r="H749" s="1"/>
      <c r="I749" s="1"/>
      <c r="J749" s="1"/>
      <c r="K749" s="9"/>
      <c r="L749" s="1"/>
      <c r="M749" s="319"/>
      <c r="N749" s="319"/>
      <c r="O749" s="319"/>
      <c r="P749" s="319"/>
      <c r="Q749" s="319"/>
      <c r="R749" s="319"/>
      <c r="S749" s="319"/>
      <c r="T749" s="319"/>
      <c r="U749" s="319"/>
      <c r="V749" s="319"/>
      <c r="W749" s="319"/>
      <c r="X749" s="319"/>
      <c r="Y749" s="319"/>
      <c r="Z749" s="319"/>
      <c r="AA749" s="319"/>
      <c r="AB749" s="319"/>
      <c r="AC749" s="319"/>
      <c r="AD749" s="319"/>
      <c r="AE749" s="319"/>
      <c r="AF749" s="319"/>
      <c r="AG749" s="319"/>
      <c r="AH749" s="319"/>
      <c r="AI749" s="319"/>
      <c r="AJ749" s="319"/>
      <c r="AK749" s="319"/>
      <c r="AL749" s="319"/>
      <c r="AM749" s="319"/>
      <c r="AN749" s="319"/>
      <c r="AO749" s="319">
        <v>2040012</v>
      </c>
      <c r="AP749" s="319"/>
      <c r="AQ749" s="319"/>
      <c r="AR749" s="319"/>
      <c r="AS749" s="319"/>
      <c r="AT749" s="319"/>
      <c r="AU749" s="319"/>
      <c r="AV749" s="319"/>
      <c r="AW749" s="319"/>
      <c r="AX749" s="319"/>
      <c r="AY749" s="319"/>
      <c r="AZ749" s="319"/>
      <c r="BA749" s="319"/>
      <c r="BB749" s="319"/>
      <c r="BC749" s="319"/>
      <c r="BD749" s="319"/>
      <c r="BE749" s="319"/>
      <c r="BF749" s="319"/>
      <c r="BG749" s="319"/>
      <c r="BH749" s="319"/>
      <c r="BI749" s="319"/>
      <c r="BJ749" s="319"/>
      <c r="BK749" s="319"/>
      <c r="BL749" s="319"/>
      <c r="BM749" s="319"/>
      <c r="BN749" s="319"/>
      <c r="BO749" s="319"/>
      <c r="BP749" s="319"/>
      <c r="BQ749" s="319"/>
      <c r="BR749" s="319"/>
      <c r="BS749" s="319"/>
      <c r="BT749" s="319"/>
      <c r="BU749" s="319"/>
      <c r="BV749" s="319"/>
      <c r="BW749" s="319"/>
      <c r="BX749" s="319"/>
      <c r="BY749" s="319"/>
      <c r="BZ749" s="319"/>
      <c r="CA749" s="319"/>
      <c r="CB749" s="319"/>
      <c r="CC749" s="319"/>
      <c r="CD749" s="319"/>
      <c r="CE749" s="319"/>
      <c r="CF749" s="319"/>
    </row>
    <row r="750" spans="1:84" ht="12.75" hidden="1" customHeight="1">
      <c r="A750" s="12"/>
      <c r="B750" s="329" t="str">
        <f>B439</f>
        <v>Potência elétrica</v>
      </c>
      <c r="C750" s="29" t="str">
        <f>$C$92</f>
        <v>kW</v>
      </c>
      <c r="D750" s="307"/>
      <c r="E750" s="80" t="str">
        <f>IF($P$866=0,"",D750/$P$866)</f>
        <v/>
      </c>
      <c r="F750" s="1"/>
      <c r="G750" s="1"/>
      <c r="H750" s="1346"/>
      <c r="I750" s="1252" t="str">
        <f>Language!$C$61</f>
        <v>Ver banco de dados de produtos</v>
      </c>
      <c r="J750" s="1191"/>
      <c r="K750" s="1210"/>
      <c r="L750" s="1"/>
      <c r="M750" s="319"/>
      <c r="N750" s="319"/>
      <c r="O750" s="824"/>
      <c r="P750" s="319"/>
      <c r="Q750" s="319"/>
      <c r="R750" s="319"/>
      <c r="S750" s="319"/>
      <c r="T750" s="319"/>
      <c r="U750" s="319"/>
      <c r="V750" s="319"/>
      <c r="W750" s="319"/>
      <c r="X750" s="319"/>
      <c r="Y750" s="319"/>
      <c r="Z750" s="319"/>
      <c r="AA750" s="319"/>
      <c r="AB750" s="319"/>
      <c r="AC750" s="319"/>
      <c r="AD750" s="319"/>
      <c r="AE750" s="319"/>
      <c r="AF750" s="319"/>
      <c r="AG750" s="319"/>
      <c r="AH750" s="319"/>
      <c r="AI750" s="319"/>
      <c r="AJ750" s="319"/>
      <c r="AK750" s="319"/>
      <c r="AL750" s="319"/>
      <c r="AM750" s="319"/>
      <c r="AN750" s="319"/>
      <c r="AO750" s="319">
        <v>2050002</v>
      </c>
      <c r="AP750" s="319"/>
      <c r="AQ750" s="319"/>
      <c r="AR750" s="319"/>
      <c r="AS750" s="319"/>
      <c r="AT750" s="319"/>
      <c r="AU750" s="319"/>
      <c r="AV750" s="319"/>
      <c r="AW750" s="319"/>
      <c r="AX750" s="319"/>
      <c r="AY750" s="319"/>
      <c r="AZ750" s="319"/>
      <c r="BA750" s="319"/>
      <c r="BB750" s="319"/>
      <c r="BC750" s="319"/>
      <c r="BD750" s="319"/>
      <c r="BE750" s="319"/>
      <c r="BF750" s="319"/>
      <c r="BG750" s="319"/>
      <c r="BH750" s="319"/>
      <c r="BI750" s="319"/>
      <c r="BJ750" s="319"/>
      <c r="BK750" s="319"/>
      <c r="BL750" s="319"/>
      <c r="BM750" s="319"/>
      <c r="BN750" s="319"/>
      <c r="BO750" s="319"/>
      <c r="BP750" s="319"/>
      <c r="BQ750" s="319"/>
      <c r="BR750" s="319"/>
      <c r="BS750" s="319"/>
      <c r="BT750" s="319"/>
      <c r="BU750" s="319"/>
      <c r="BV750" s="319"/>
      <c r="BW750" s="319"/>
      <c r="BX750" s="319"/>
      <c r="BY750" s="319"/>
      <c r="BZ750" s="319"/>
      <c r="CA750" s="319"/>
      <c r="CB750" s="319"/>
      <c r="CC750" s="319"/>
      <c r="CD750" s="319"/>
      <c r="CE750" s="319"/>
      <c r="CF750" s="319"/>
    </row>
    <row r="751" spans="1:84" ht="12.75" hidden="1" customHeight="1">
      <c r="A751" s="12"/>
      <c r="B751" s="329" t="str">
        <f>$B$12</f>
        <v>Fabricante</v>
      </c>
      <c r="C751" s="1152"/>
      <c r="D751" s="1153"/>
      <c r="E751" s="1154"/>
      <c r="F751" s="1"/>
      <c r="G751" s="1"/>
      <c r="H751" s="1"/>
      <c r="I751" s="1"/>
      <c r="J751" s="1"/>
      <c r="K751" s="9"/>
      <c r="L751" s="1"/>
      <c r="M751" s="319"/>
      <c r="N751" s="319"/>
      <c r="O751" s="319"/>
      <c r="P751" s="319"/>
      <c r="Q751" s="319"/>
      <c r="R751" s="319"/>
      <c r="S751" s="319"/>
      <c r="T751" s="319"/>
      <c r="U751" s="319"/>
      <c r="V751" s="319"/>
      <c r="W751" s="319"/>
      <c r="X751" s="319"/>
      <c r="Y751" s="319"/>
      <c r="Z751" s="319"/>
      <c r="AA751" s="319"/>
      <c r="AB751" s="319"/>
      <c r="AC751" s="319"/>
      <c r="AD751" s="319"/>
      <c r="AE751" s="319"/>
      <c r="AF751" s="319"/>
      <c r="AG751" s="319"/>
      <c r="AH751" s="319"/>
      <c r="AI751" s="319"/>
      <c r="AJ751" s="319"/>
      <c r="AK751" s="319"/>
      <c r="AL751" s="319"/>
      <c r="AM751" s="319"/>
      <c r="AN751" s="319"/>
      <c r="AO751" s="319">
        <v>2050012</v>
      </c>
      <c r="AP751" s="319"/>
      <c r="AQ751" s="319"/>
      <c r="AR751" s="319"/>
      <c r="AS751" s="319"/>
      <c r="AT751" s="319"/>
      <c r="AU751" s="319"/>
      <c r="AV751" s="319"/>
      <c r="AW751" s="319"/>
      <c r="AX751" s="319"/>
      <c r="AY751" s="319"/>
      <c r="AZ751" s="319"/>
      <c r="BA751" s="319"/>
      <c r="BB751" s="319"/>
      <c r="BC751" s="319"/>
      <c r="BD751" s="319"/>
      <c r="BE751" s="319"/>
      <c r="BF751" s="319"/>
      <c r="BG751" s="319"/>
      <c r="BH751" s="319"/>
      <c r="BI751" s="319"/>
      <c r="BJ751" s="319"/>
      <c r="BK751" s="319"/>
      <c r="BL751" s="319"/>
      <c r="BM751" s="319"/>
      <c r="BN751" s="319"/>
      <c r="BO751" s="319"/>
      <c r="BP751" s="319"/>
      <c r="BQ751" s="319"/>
      <c r="BR751" s="319"/>
      <c r="BS751" s="319"/>
      <c r="BT751" s="319"/>
      <c r="BU751" s="319"/>
      <c r="BV751" s="319"/>
      <c r="BW751" s="319"/>
      <c r="BX751" s="319"/>
      <c r="BY751" s="319"/>
      <c r="BZ751" s="319"/>
      <c r="CA751" s="319"/>
      <c r="CB751" s="319"/>
      <c r="CC751" s="319"/>
      <c r="CD751" s="319"/>
      <c r="CE751" s="319"/>
      <c r="CF751" s="319"/>
    </row>
    <row r="752" spans="1:84" ht="12.75" hidden="1" customHeight="1">
      <c r="A752" s="12"/>
      <c r="B752" s="329" t="str">
        <f>$B$13</f>
        <v>Modelo</v>
      </c>
      <c r="C752" s="1152"/>
      <c r="D752" s="1153"/>
      <c r="E752" s="1154"/>
      <c r="F752" s="1"/>
      <c r="G752" s="1"/>
      <c r="H752" s="1"/>
      <c r="I752" s="1"/>
      <c r="J752" s="1"/>
      <c r="K752" s="9"/>
      <c r="L752" s="1"/>
      <c r="M752" s="319"/>
      <c r="N752" s="319"/>
      <c r="O752" s="319"/>
      <c r="P752" s="319"/>
      <c r="Q752" s="319"/>
      <c r="R752" s="319"/>
      <c r="S752" s="319"/>
      <c r="T752" s="319"/>
      <c r="U752" s="319"/>
      <c r="V752" s="319"/>
      <c r="W752" s="319"/>
      <c r="X752" s="319"/>
      <c r="Y752" s="319"/>
      <c r="Z752" s="319"/>
      <c r="AA752" s="319"/>
      <c r="AB752" s="319"/>
      <c r="AC752" s="319"/>
      <c r="AD752" s="319"/>
      <c r="AE752" s="319"/>
      <c r="AF752" s="319"/>
      <c r="AG752" s="319"/>
      <c r="AH752" s="319"/>
      <c r="AI752" s="319"/>
      <c r="AJ752" s="319"/>
      <c r="AK752" s="319"/>
      <c r="AL752" s="319"/>
      <c r="AM752" s="319"/>
      <c r="AN752" s="319"/>
      <c r="AO752" s="319">
        <v>2050014</v>
      </c>
      <c r="AP752" s="319"/>
      <c r="AQ752" s="319"/>
      <c r="AR752" s="319"/>
      <c r="AS752" s="319"/>
      <c r="AT752" s="319"/>
      <c r="AU752" s="319"/>
      <c r="AV752" s="319"/>
      <c r="AW752" s="319"/>
      <c r="AX752" s="319"/>
      <c r="AY752" s="319"/>
      <c r="AZ752" s="319"/>
      <c r="BA752" s="319"/>
      <c r="BB752" s="319"/>
      <c r="BC752" s="319"/>
      <c r="BD752" s="319"/>
      <c r="BE752" s="319"/>
      <c r="BF752" s="319"/>
      <c r="BG752" s="319"/>
      <c r="BH752" s="319"/>
      <c r="BI752" s="319"/>
      <c r="BJ752" s="319"/>
      <c r="BK752" s="319"/>
      <c r="BL752" s="319"/>
      <c r="BM752" s="319"/>
      <c r="BN752" s="319"/>
      <c r="BO752" s="319"/>
      <c r="BP752" s="319"/>
      <c r="BQ752" s="319"/>
      <c r="BR752" s="319"/>
      <c r="BS752" s="319"/>
      <c r="BT752" s="319"/>
      <c r="BU752" s="319"/>
      <c r="BV752" s="319"/>
      <c r="BW752" s="319"/>
      <c r="BX752" s="319"/>
      <c r="BY752" s="319"/>
      <c r="BZ752" s="319"/>
      <c r="CA752" s="319"/>
      <c r="CB752" s="319"/>
      <c r="CC752" s="319"/>
      <c r="CD752" s="319"/>
      <c r="CE752" s="319"/>
      <c r="CF752" s="319"/>
    </row>
    <row r="753" spans="1:84" ht="12.75" hidden="1" customHeight="1">
      <c r="A753" s="12"/>
      <c r="B753" s="329" t="str">
        <f>B442</f>
        <v>Fator de Utilização</v>
      </c>
      <c r="C753" s="29" t="str">
        <f>$T$35</f>
        <v>%</v>
      </c>
      <c r="D753" s="422"/>
      <c r="E753" s="1"/>
      <c r="F753" s="1"/>
      <c r="G753" s="1"/>
      <c r="H753" s="1"/>
      <c r="I753" s="1"/>
      <c r="J753" s="1"/>
      <c r="K753" s="9"/>
      <c r="L753" s="1"/>
      <c r="M753" s="319"/>
      <c r="N753" s="319"/>
      <c r="O753" s="319"/>
      <c r="P753" s="319"/>
      <c r="Q753" s="319"/>
      <c r="R753" s="319" t="str">
        <f>$C$92</f>
        <v>kW</v>
      </c>
      <c r="S753" s="319">
        <f>D750*D753</f>
        <v>0</v>
      </c>
      <c r="T753" s="319"/>
      <c r="U753" s="319"/>
      <c r="V753" s="319"/>
      <c r="W753" s="319"/>
      <c r="X753" s="319"/>
      <c r="Y753" s="319"/>
      <c r="Z753" s="319"/>
      <c r="AA753" s="319"/>
      <c r="AB753" s="319"/>
      <c r="AC753" s="319"/>
      <c r="AD753" s="319"/>
      <c r="AE753" s="319"/>
      <c r="AF753" s="319"/>
      <c r="AG753" s="319"/>
      <c r="AH753" s="319"/>
      <c r="AI753" s="319"/>
      <c r="AJ753" s="319"/>
      <c r="AK753" s="319"/>
      <c r="AL753" s="319"/>
      <c r="AM753" s="319"/>
      <c r="AN753" s="319"/>
      <c r="AO753" s="319">
        <v>2070000</v>
      </c>
      <c r="AP753" s="319"/>
      <c r="AQ753" s="319"/>
      <c r="AR753" s="319"/>
      <c r="AS753" s="319"/>
      <c r="AT753" s="319"/>
      <c r="AU753" s="319"/>
      <c r="AV753" s="319"/>
      <c r="AW753" s="319"/>
      <c r="AX753" s="319"/>
      <c r="AY753" s="319"/>
      <c r="AZ753" s="319"/>
      <c r="BA753" s="319"/>
      <c r="BB753" s="319"/>
      <c r="BC753" s="319"/>
      <c r="BD753" s="319"/>
      <c r="BE753" s="319"/>
      <c r="BF753" s="319"/>
      <c r="BG753" s="319"/>
      <c r="BH753" s="319"/>
      <c r="BI753" s="319"/>
      <c r="BJ753" s="319"/>
      <c r="BK753" s="319"/>
      <c r="BL753" s="319"/>
      <c r="BM753" s="319"/>
      <c r="BN753" s="319"/>
      <c r="BO753" s="319"/>
      <c r="BP753" s="319"/>
      <c r="BQ753" s="319"/>
      <c r="BR753" s="319"/>
      <c r="BS753" s="319"/>
      <c r="BT753" s="319"/>
      <c r="BU753" s="319"/>
      <c r="BV753" s="319"/>
      <c r="BW753" s="319"/>
      <c r="BX753" s="319"/>
      <c r="BY753" s="319"/>
      <c r="BZ753" s="319"/>
      <c r="CA753" s="319"/>
      <c r="CB753" s="319"/>
      <c r="CC753" s="319"/>
      <c r="CD753" s="319"/>
      <c r="CE753" s="319"/>
      <c r="CF753" s="319"/>
    </row>
    <row r="754" spans="1:84" ht="12.75" hidden="1" customHeight="1">
      <c r="A754" s="12"/>
      <c r="B754" s="329" t="str">
        <f>$B$94</f>
        <v>Eletricidade fornecida à carga</v>
      </c>
      <c r="C754" s="29" t="str">
        <f>R14</f>
        <v>MWh</v>
      </c>
      <c r="D754" s="30">
        <f>IF(HideCodeES_PSS=1,$G$1107,IF($C$854=$E$1094,$G$1108,$G$1107))</f>
        <v>0</v>
      </c>
      <c r="E754" s="80" t="str">
        <f>IF($P$867=0,"",D754/$P$867)</f>
        <v/>
      </c>
      <c r="F754" s="1"/>
      <c r="G754" s="1"/>
      <c r="H754" s="1"/>
      <c r="I754" s="1"/>
      <c r="J754" s="1"/>
      <c r="K754" s="9"/>
      <c r="L754" s="1"/>
      <c r="M754" s="319"/>
      <c r="N754" s="319"/>
      <c r="O754" s="319"/>
      <c r="P754" s="319"/>
      <c r="Q754" s="319"/>
      <c r="R754" s="319"/>
      <c r="S754" s="319"/>
      <c r="T754" s="319"/>
      <c r="U754" s="319"/>
      <c r="V754" s="319"/>
      <c r="W754" s="319"/>
      <c r="X754" s="319"/>
      <c r="Y754" s="319"/>
      <c r="Z754" s="319"/>
      <c r="AA754" s="319"/>
      <c r="AB754" s="319"/>
      <c r="AC754" s="319"/>
      <c r="AD754" s="319"/>
      <c r="AE754" s="319"/>
      <c r="AF754" s="319"/>
      <c r="AG754" s="319"/>
      <c r="AH754" s="319"/>
      <c r="AI754" s="319"/>
      <c r="AJ754" s="319"/>
      <c r="AK754" s="319"/>
      <c r="AL754" s="319"/>
      <c r="AM754" s="319"/>
      <c r="AN754" s="319"/>
      <c r="AO754" s="319">
        <v>2050008</v>
      </c>
      <c r="AP754" s="319"/>
      <c r="AQ754" s="319"/>
      <c r="AR754" s="319"/>
      <c r="AS754" s="319"/>
      <c r="AT754" s="319"/>
      <c r="AU754" s="319"/>
      <c r="AV754" s="319"/>
      <c r="AW754" s="319"/>
      <c r="AX754" s="319"/>
      <c r="AY754" s="319"/>
      <c r="AZ754" s="319"/>
      <c r="BA754" s="319"/>
      <c r="BB754" s="319"/>
      <c r="BC754" s="319"/>
      <c r="BD754" s="319"/>
      <c r="BE754" s="319"/>
      <c r="BF754" s="319"/>
      <c r="BG754" s="319"/>
      <c r="BH754" s="319"/>
      <c r="BI754" s="319"/>
      <c r="BJ754" s="319"/>
      <c r="BK754" s="319"/>
      <c r="BL754" s="319"/>
      <c r="BM754" s="319"/>
      <c r="BN754" s="319"/>
      <c r="BO754" s="319"/>
      <c r="BP754" s="319"/>
      <c r="BQ754" s="319"/>
      <c r="BR754" s="319"/>
      <c r="BS754" s="319"/>
      <c r="BT754" s="319"/>
      <c r="BU754" s="319"/>
      <c r="BV754" s="319"/>
      <c r="BW754" s="319"/>
      <c r="BX754" s="319"/>
      <c r="BY754" s="319"/>
      <c r="BZ754" s="319"/>
      <c r="CA754" s="319"/>
      <c r="CB754" s="319"/>
      <c r="CC754" s="319"/>
      <c r="CD754" s="319"/>
      <c r="CE754" s="319"/>
      <c r="CF754" s="319"/>
    </row>
    <row r="755" spans="1:84" ht="12.75" hidden="1" customHeight="1">
      <c r="A755" s="14"/>
      <c r="B755" s="380" t="str">
        <f>$B$95</f>
        <v>Eletricidade exportada p/ rede</v>
      </c>
      <c r="C755" s="33" t="str">
        <f>R14</f>
        <v>MWh</v>
      </c>
      <c r="D755" s="34">
        <f>IF(HideCodeES_PSS=1,$J$1107,IF($C$854=$E$1094,$J$1108,$J$1107))</f>
        <v>5.3903325633948667</v>
      </c>
      <c r="E755" s="81" t="str">
        <f>IF($P$867=0,"",D755/$P$867)</f>
        <v/>
      </c>
      <c r="F755" s="15"/>
      <c r="G755" s="15"/>
      <c r="H755" s="15"/>
      <c r="I755" s="15"/>
      <c r="J755" s="15"/>
      <c r="K755" s="11"/>
      <c r="L755" s="1"/>
      <c r="M755" s="319"/>
      <c r="N755" s="319"/>
      <c r="O755" s="319"/>
      <c r="P755" s="319"/>
      <c r="Q755" s="319"/>
      <c r="R755" s="319"/>
      <c r="S755" s="319"/>
      <c r="T755" s="319"/>
      <c r="U755" s="319"/>
      <c r="V755" s="319"/>
      <c r="W755" s="319"/>
      <c r="X755" s="319"/>
      <c r="Y755" s="319"/>
      <c r="Z755" s="319"/>
      <c r="AA755" s="319"/>
      <c r="AB755" s="319"/>
      <c r="AC755" s="319"/>
      <c r="AD755" s="319"/>
      <c r="AE755" s="319"/>
      <c r="AF755" s="319"/>
      <c r="AG755" s="319"/>
      <c r="AH755" s="319"/>
      <c r="AI755" s="319"/>
      <c r="AJ755" s="319"/>
      <c r="AK755" s="319"/>
      <c r="AL755" s="319"/>
      <c r="AM755" s="319"/>
      <c r="AN755" s="319"/>
      <c r="AO755" s="319">
        <v>2050010</v>
      </c>
      <c r="AP755" s="319"/>
      <c r="AQ755" s="319"/>
      <c r="AR755" s="319"/>
      <c r="AS755" s="319"/>
      <c r="AT755" s="319"/>
      <c r="AU755" s="319"/>
      <c r="AV755" s="319"/>
      <c r="AW755" s="319"/>
      <c r="AX755" s="319"/>
      <c r="AY755" s="319"/>
      <c r="AZ755" s="319"/>
      <c r="BA755" s="319"/>
      <c r="BB755" s="319"/>
      <c r="BC755" s="319"/>
      <c r="BD755" s="319"/>
      <c r="BE755" s="319"/>
      <c r="BF755" s="319"/>
      <c r="BG755" s="319"/>
      <c r="BH755" s="319"/>
      <c r="BI755" s="319"/>
      <c r="BJ755" s="319"/>
      <c r="BK755" s="319"/>
      <c r="BL755" s="319"/>
      <c r="BM755" s="319"/>
      <c r="BN755" s="319"/>
      <c r="BO755" s="319"/>
      <c r="BP755" s="319"/>
      <c r="BQ755" s="319"/>
      <c r="BR755" s="319"/>
      <c r="BS755" s="319"/>
      <c r="BT755" s="319"/>
      <c r="BU755" s="319"/>
      <c r="BV755" s="319"/>
      <c r="BW755" s="319"/>
      <c r="BX755" s="319"/>
      <c r="BY755" s="319"/>
      <c r="BZ755" s="319"/>
      <c r="CA755" s="319"/>
      <c r="CB755" s="319"/>
      <c r="CC755" s="319"/>
      <c r="CD755" s="319"/>
      <c r="CE755" s="319"/>
      <c r="CF755" s="319"/>
    </row>
    <row r="756" spans="1:84" ht="12.75" hidden="1" customHeight="1">
      <c r="A756" s="12"/>
      <c r="B756" s="1"/>
      <c r="C756" s="1"/>
      <c r="D756" s="1"/>
      <c r="E756" s="1"/>
      <c r="F756" s="1"/>
      <c r="G756" s="1"/>
      <c r="H756" s="1"/>
      <c r="I756" s="1"/>
      <c r="J756" s="1"/>
      <c r="K756" s="9"/>
      <c r="L756" s="1"/>
      <c r="M756" s="319"/>
      <c r="N756" s="319"/>
      <c r="O756" s="319"/>
      <c r="P756" s="319"/>
      <c r="Q756" s="319"/>
      <c r="R756" s="319"/>
      <c r="S756" s="319"/>
      <c r="T756" s="319"/>
      <c r="U756" s="319"/>
      <c r="V756" s="319"/>
      <c r="W756" s="319"/>
      <c r="X756" s="319"/>
      <c r="Y756" s="319"/>
      <c r="Z756" s="319"/>
      <c r="AA756" s="319"/>
      <c r="AB756" s="319"/>
      <c r="AC756" s="319"/>
      <c r="AD756" s="319"/>
      <c r="AE756" s="319"/>
      <c r="AF756" s="319"/>
      <c r="AG756" s="319"/>
      <c r="AH756" s="319"/>
      <c r="AI756" s="319"/>
      <c r="AJ756" s="319"/>
      <c r="AK756" s="319"/>
      <c r="AL756" s="319"/>
      <c r="AM756" s="319"/>
      <c r="AN756" s="319"/>
      <c r="AO756" s="319">
        <v>2030000</v>
      </c>
      <c r="AP756" s="319"/>
      <c r="AQ756" s="319"/>
      <c r="AR756" s="319"/>
      <c r="AS756" s="319"/>
      <c r="AT756" s="319"/>
      <c r="AU756" s="319"/>
      <c r="AV756" s="319"/>
      <c r="AW756" s="319"/>
      <c r="AX756" s="319"/>
      <c r="AY756" s="319"/>
      <c r="AZ756" s="319"/>
      <c r="BA756" s="319"/>
      <c r="BB756" s="319"/>
      <c r="BC756" s="319"/>
      <c r="BD756" s="319"/>
      <c r="BE756" s="319"/>
      <c r="BF756" s="319"/>
      <c r="BG756" s="319"/>
      <c r="BH756" s="319"/>
      <c r="BI756" s="319"/>
      <c r="BJ756" s="319"/>
      <c r="BK756" s="319"/>
      <c r="BL756" s="319"/>
      <c r="BM756" s="319"/>
      <c r="BN756" s="319"/>
      <c r="BO756" s="319"/>
      <c r="BP756" s="319"/>
      <c r="BQ756" s="319"/>
      <c r="BR756" s="319"/>
      <c r="BS756" s="319"/>
      <c r="BT756" s="319"/>
      <c r="BU756" s="319"/>
      <c r="BV756" s="319"/>
      <c r="BW756" s="319"/>
      <c r="BX756" s="319"/>
      <c r="BY756" s="319"/>
      <c r="BZ756" s="319"/>
      <c r="CA756" s="319"/>
      <c r="CB756" s="319"/>
      <c r="CC756" s="319"/>
      <c r="CD756" s="319"/>
      <c r="CE756" s="319"/>
      <c r="CF756" s="319"/>
    </row>
    <row r="757" spans="1:84" ht="12.75" hidden="1" customHeight="1">
      <c r="A757" s="12"/>
      <c r="B757" s="28" t="str">
        <f>Language!C141&amp;" #2"</f>
        <v>Fotovoltaica #2</v>
      </c>
      <c r="C757" s="1"/>
      <c r="D757" s="1"/>
      <c r="E757" s="1"/>
      <c r="F757" s="1"/>
      <c r="G757" s="1"/>
      <c r="H757" s="1"/>
      <c r="I757" s="1"/>
      <c r="J757" s="1"/>
      <c r="K757" s="9"/>
      <c r="L757" s="1"/>
      <c r="M757" s="319"/>
      <c r="N757" s="319"/>
      <c r="O757" s="319"/>
      <c r="P757" s="319"/>
      <c r="Q757" s="319"/>
      <c r="R757" s="319"/>
      <c r="S757" s="319"/>
      <c r="T757" s="319"/>
      <c r="U757" s="319"/>
      <c r="V757" s="319"/>
      <c r="W757" s="319"/>
      <c r="X757" s="319"/>
      <c r="Y757" s="319"/>
      <c r="Z757" s="319"/>
      <c r="AA757" s="319"/>
      <c r="AB757" s="319"/>
      <c r="AC757" s="319"/>
      <c r="AD757" s="319"/>
      <c r="AE757" s="319"/>
      <c r="AF757" s="319"/>
      <c r="AG757" s="319"/>
      <c r="AH757" s="319"/>
      <c r="AI757" s="319"/>
      <c r="AJ757" s="319"/>
      <c r="AK757" s="319"/>
      <c r="AL757" s="319"/>
      <c r="AM757" s="319"/>
      <c r="AN757" s="319"/>
      <c r="AO757" s="319">
        <v>2040020</v>
      </c>
      <c r="AP757" s="319"/>
      <c r="AQ757" s="319"/>
      <c r="AR757" s="319"/>
      <c r="AS757" s="319"/>
      <c r="AT757" s="319"/>
      <c r="AU757" s="319"/>
      <c r="AV757" s="319"/>
      <c r="AW757" s="319"/>
      <c r="AX757" s="319"/>
      <c r="AY757" s="319"/>
      <c r="AZ757" s="319"/>
      <c r="BA757" s="319"/>
      <c r="BB757" s="319"/>
      <c r="BC757" s="319"/>
      <c r="BD757" s="319"/>
      <c r="BE757" s="319"/>
      <c r="BF757" s="319"/>
      <c r="BG757" s="319"/>
      <c r="BH757" s="319"/>
      <c r="BI757" s="319"/>
      <c r="BJ757" s="319"/>
      <c r="BK757" s="319"/>
      <c r="BL757" s="319"/>
      <c r="BM757" s="319"/>
      <c r="BN757" s="319"/>
      <c r="BO757" s="319"/>
      <c r="BP757" s="319"/>
      <c r="BQ757" s="319"/>
      <c r="BR757" s="319"/>
      <c r="BS757" s="319"/>
      <c r="BT757" s="319"/>
      <c r="BU757" s="319"/>
      <c r="BV757" s="319"/>
      <c r="BW757" s="319"/>
      <c r="BX757" s="319"/>
      <c r="BY757" s="319"/>
      <c r="BZ757" s="319"/>
      <c r="CA757" s="319"/>
      <c r="CB757" s="319"/>
      <c r="CC757" s="319"/>
      <c r="CD757" s="319"/>
      <c r="CE757" s="319"/>
      <c r="CF757" s="319"/>
    </row>
    <row r="758" spans="1:84" ht="12.75" hidden="1" customHeight="1">
      <c r="A758" s="12"/>
      <c r="B758" s="329" t="str">
        <f>B92</f>
        <v>Potência elétrica</v>
      </c>
      <c r="C758" s="29" t="str">
        <f>$C$92</f>
        <v>kW</v>
      </c>
      <c r="D758" s="797"/>
      <c r="E758" s="80" t="str">
        <f>IF($P$866=0,"",D758/$P$866)</f>
        <v/>
      </c>
      <c r="F758" s="1"/>
      <c r="G758" s="1"/>
      <c r="H758" s="1346"/>
      <c r="I758" s="1252" t="str">
        <f>Language!$C$61</f>
        <v>Ver banco de dados de produtos</v>
      </c>
      <c r="J758" s="1191"/>
      <c r="K758" s="1210"/>
      <c r="L758" s="1"/>
      <c r="M758" s="319"/>
      <c r="N758" s="319"/>
      <c r="O758" s="824"/>
      <c r="P758" s="319"/>
      <c r="Q758" s="319"/>
      <c r="R758" s="319"/>
      <c r="S758" s="319"/>
      <c r="T758" s="319"/>
      <c r="U758" s="319"/>
      <c r="V758" s="319"/>
      <c r="W758" s="319"/>
      <c r="X758" s="319"/>
      <c r="Y758" s="319"/>
      <c r="Z758" s="319"/>
      <c r="AA758" s="319"/>
      <c r="AB758" s="319"/>
      <c r="AC758" s="319"/>
      <c r="AD758" s="319"/>
      <c r="AE758" s="319"/>
      <c r="AF758" s="319"/>
      <c r="AG758" s="319"/>
      <c r="AH758" s="319"/>
      <c r="AI758" s="319"/>
      <c r="AJ758" s="319"/>
      <c r="AK758" s="319"/>
      <c r="AL758" s="319"/>
      <c r="AM758" s="319"/>
      <c r="AN758" s="319"/>
      <c r="AO758" s="319">
        <v>2050002</v>
      </c>
      <c r="AP758" s="319"/>
      <c r="AQ758" s="319"/>
      <c r="AR758" s="319"/>
      <c r="AS758" s="319"/>
      <c r="AT758" s="319"/>
      <c r="AU758" s="319"/>
      <c r="AV758" s="319"/>
      <c r="AW758" s="319"/>
      <c r="AX758" s="319"/>
      <c r="AY758" s="319"/>
      <c r="AZ758" s="319"/>
      <c r="BA758" s="319"/>
      <c r="BB758" s="319"/>
      <c r="BC758" s="319"/>
      <c r="BD758" s="319"/>
      <c r="BE758" s="319"/>
      <c r="BF758" s="319"/>
      <c r="BG758" s="319"/>
      <c r="BH758" s="319"/>
      <c r="BI758" s="319"/>
      <c r="BJ758" s="319"/>
      <c r="BK758" s="319"/>
      <c r="BL758" s="319"/>
      <c r="BM758" s="319"/>
      <c r="BN758" s="319"/>
      <c r="BO758" s="319"/>
      <c r="BP758" s="319"/>
      <c r="BQ758" s="319"/>
      <c r="BR758" s="319"/>
      <c r="BS758" s="319"/>
      <c r="BT758" s="319"/>
      <c r="BU758" s="319"/>
      <c r="BV758" s="319"/>
      <c r="BW758" s="319"/>
      <c r="BX758" s="319"/>
      <c r="BY758" s="319"/>
      <c r="BZ758" s="319"/>
      <c r="CA758" s="319"/>
      <c r="CB758" s="319"/>
      <c r="CC758" s="319"/>
      <c r="CD758" s="319"/>
      <c r="CE758" s="319"/>
      <c r="CF758" s="319"/>
    </row>
    <row r="759" spans="1:84" ht="12.75" hidden="1" customHeight="1">
      <c r="A759" s="12"/>
      <c r="B759" s="329" t="str">
        <f>$B$12</f>
        <v>Fabricante</v>
      </c>
      <c r="C759" s="1152"/>
      <c r="D759" s="1153"/>
      <c r="E759" s="1154"/>
      <c r="F759" s="1"/>
      <c r="G759" s="1"/>
      <c r="H759" s="1"/>
      <c r="I759" s="1"/>
      <c r="J759" s="1"/>
      <c r="K759" s="9"/>
      <c r="L759" s="1"/>
      <c r="M759" s="319"/>
      <c r="N759" s="319"/>
      <c r="O759" s="319"/>
      <c r="P759" s="319"/>
      <c r="Q759" s="319"/>
      <c r="R759" s="319"/>
      <c r="S759" s="319"/>
      <c r="T759" s="319"/>
      <c r="U759" s="319"/>
      <c r="V759" s="319"/>
      <c r="W759" s="319"/>
      <c r="X759" s="319"/>
      <c r="Y759" s="319"/>
      <c r="Z759" s="319"/>
      <c r="AA759" s="319"/>
      <c r="AB759" s="319"/>
      <c r="AC759" s="319"/>
      <c r="AD759" s="319"/>
      <c r="AE759" s="319"/>
      <c r="AF759" s="319"/>
      <c r="AG759" s="319"/>
      <c r="AH759" s="319"/>
      <c r="AI759" s="319"/>
      <c r="AJ759" s="319"/>
      <c r="AK759" s="319"/>
      <c r="AL759" s="319"/>
      <c r="AM759" s="319"/>
      <c r="AN759" s="319"/>
      <c r="AO759" s="319">
        <v>2050012</v>
      </c>
      <c r="AP759" s="319"/>
      <c r="AQ759" s="319"/>
      <c r="AR759" s="319"/>
      <c r="AS759" s="319"/>
      <c r="AT759" s="319"/>
      <c r="AU759" s="319"/>
      <c r="AV759" s="319"/>
      <c r="AW759" s="319"/>
      <c r="AX759" s="319"/>
      <c r="AY759" s="319"/>
      <c r="AZ759" s="319"/>
      <c r="BA759" s="319"/>
      <c r="BB759" s="319"/>
      <c r="BC759" s="319"/>
      <c r="BD759" s="319"/>
      <c r="BE759" s="319"/>
      <c r="BF759" s="319"/>
      <c r="BG759" s="319"/>
      <c r="BH759" s="319"/>
      <c r="BI759" s="319"/>
      <c r="BJ759" s="319"/>
      <c r="BK759" s="319"/>
      <c r="BL759" s="319"/>
      <c r="BM759" s="319"/>
      <c r="BN759" s="319"/>
      <c r="BO759" s="319"/>
      <c r="BP759" s="319"/>
      <c r="BQ759" s="319"/>
      <c r="BR759" s="319"/>
      <c r="BS759" s="319"/>
      <c r="BT759" s="319"/>
      <c r="BU759" s="319"/>
      <c r="BV759" s="319"/>
      <c r="BW759" s="319"/>
      <c r="BX759" s="319"/>
      <c r="BY759" s="319"/>
      <c r="BZ759" s="319"/>
      <c r="CA759" s="319"/>
      <c r="CB759" s="319"/>
      <c r="CC759" s="319"/>
      <c r="CD759" s="319"/>
      <c r="CE759" s="319"/>
      <c r="CF759" s="319"/>
    </row>
    <row r="760" spans="1:84" ht="12.75" hidden="1" customHeight="1">
      <c r="A760" s="12"/>
      <c r="B760" s="329" t="str">
        <f>$B$13</f>
        <v>Modelo</v>
      </c>
      <c r="C760" s="1152"/>
      <c r="D760" s="1153"/>
      <c r="E760" s="1154"/>
      <c r="F760" s="1" t="str">
        <f>$J$1078 &amp; Lang_Unit</f>
        <v>1 unidade(s)</v>
      </c>
      <c r="G760" s="1"/>
      <c r="H760" s="1"/>
      <c r="I760" s="1"/>
      <c r="J760" s="1"/>
      <c r="K760" s="9"/>
      <c r="L760" s="1"/>
      <c r="M760" s="319"/>
      <c r="N760" s="319"/>
      <c r="O760" s="319"/>
      <c r="P760" s="319"/>
      <c r="Q760" s="319"/>
      <c r="R760" s="319"/>
      <c r="S760" s="319"/>
      <c r="T760" s="319"/>
      <c r="U760" s="319"/>
      <c r="V760" s="319"/>
      <c r="W760" s="319"/>
      <c r="X760" s="319"/>
      <c r="Y760" s="319"/>
      <c r="Z760" s="319"/>
      <c r="AA760" s="319"/>
      <c r="AB760" s="319"/>
      <c r="AC760" s="319"/>
      <c r="AD760" s="319"/>
      <c r="AE760" s="319"/>
      <c r="AF760" s="319"/>
      <c r="AG760" s="319"/>
      <c r="AH760" s="319"/>
      <c r="AI760" s="319"/>
      <c r="AJ760" s="319"/>
      <c r="AK760" s="319"/>
      <c r="AL760" s="319"/>
      <c r="AM760" s="319"/>
      <c r="AN760" s="319"/>
      <c r="AO760" s="319">
        <v>2050014</v>
      </c>
      <c r="AP760" s="319"/>
      <c r="AQ760" s="319"/>
      <c r="AR760" s="319"/>
      <c r="AS760" s="319"/>
      <c r="AT760" s="319"/>
      <c r="AU760" s="319"/>
      <c r="AV760" s="319"/>
      <c r="AW760" s="319"/>
      <c r="AX760" s="319"/>
      <c r="AY760" s="319"/>
      <c r="AZ760" s="319"/>
      <c r="BA760" s="319"/>
      <c r="BB760" s="319"/>
      <c r="BC760" s="319"/>
      <c r="BD760" s="319"/>
      <c r="BE760" s="319"/>
      <c r="BF760" s="319"/>
      <c r="BG760" s="319"/>
      <c r="BH760" s="319"/>
      <c r="BI760" s="319"/>
      <c r="BJ760" s="319"/>
      <c r="BK760" s="319"/>
      <c r="BL760" s="319"/>
      <c r="BM760" s="319"/>
      <c r="BN760" s="319"/>
      <c r="BO760" s="319"/>
      <c r="BP760" s="319"/>
      <c r="BQ760" s="319"/>
      <c r="BR760" s="319"/>
      <c r="BS760" s="319"/>
      <c r="BT760" s="319"/>
      <c r="BU760" s="319"/>
      <c r="BV760" s="319"/>
      <c r="BW760" s="319"/>
      <c r="BX760" s="319"/>
      <c r="BY760" s="319"/>
      <c r="BZ760" s="319"/>
      <c r="CA760" s="319"/>
      <c r="CB760" s="319"/>
      <c r="CC760" s="319"/>
      <c r="CD760" s="319"/>
      <c r="CE760" s="319"/>
      <c r="CF760" s="319"/>
    </row>
    <row r="761" spans="1:84" ht="12.75" hidden="1" customHeight="1">
      <c r="A761" s="12"/>
      <c r="B761" s="329" t="str">
        <f>B309</f>
        <v>Fator de Utilização</v>
      </c>
      <c r="C761" s="29" t="str">
        <f>$T$35</f>
        <v>%</v>
      </c>
      <c r="D761" s="422"/>
      <c r="E761" s="1"/>
      <c r="F761" s="1"/>
      <c r="G761" s="1"/>
      <c r="H761" s="1"/>
      <c r="I761" s="1"/>
      <c r="J761" s="1"/>
      <c r="K761" s="9"/>
      <c r="L761" s="1"/>
      <c r="M761" s="319"/>
      <c r="N761" s="319"/>
      <c r="O761" s="319"/>
      <c r="P761" s="319"/>
      <c r="Q761" s="319"/>
      <c r="R761" s="319" t="str">
        <f>$C$92</f>
        <v>kW</v>
      </c>
      <c r="S761" s="319">
        <f>D758*D761</f>
        <v>0</v>
      </c>
      <c r="T761" s="319"/>
      <c r="U761" s="319"/>
      <c r="V761" s="319"/>
      <c r="W761" s="319"/>
      <c r="X761" s="319"/>
      <c r="Y761" s="319"/>
      <c r="Z761" s="319"/>
      <c r="AA761" s="319"/>
      <c r="AB761" s="319"/>
      <c r="AC761" s="319"/>
      <c r="AD761" s="319"/>
      <c r="AE761" s="319"/>
      <c r="AF761" s="319"/>
      <c r="AG761" s="319"/>
      <c r="AH761" s="319"/>
      <c r="AI761" s="319"/>
      <c r="AJ761" s="319"/>
      <c r="AK761" s="319"/>
      <c r="AL761" s="319"/>
      <c r="AM761" s="319"/>
      <c r="AN761" s="319"/>
      <c r="AO761" s="319">
        <v>2070000</v>
      </c>
      <c r="AP761" s="319"/>
      <c r="AQ761" s="319"/>
      <c r="AR761" s="319"/>
      <c r="AS761" s="319"/>
      <c r="AT761" s="319"/>
      <c r="AU761" s="319"/>
      <c r="AV761" s="319"/>
      <c r="AW761" s="319"/>
      <c r="AX761" s="319"/>
      <c r="AY761" s="319"/>
      <c r="AZ761" s="319"/>
      <c r="BA761" s="319"/>
      <c r="BB761" s="319"/>
      <c r="BC761" s="319"/>
      <c r="BD761" s="319"/>
      <c r="BE761" s="319"/>
      <c r="BF761" s="319"/>
      <c r="BG761" s="319"/>
      <c r="BH761" s="319"/>
      <c r="BI761" s="319"/>
      <c r="BJ761" s="319"/>
      <c r="BK761" s="319"/>
      <c r="BL761" s="319"/>
      <c r="BM761" s="319"/>
      <c r="BN761" s="319"/>
      <c r="BO761" s="319"/>
      <c r="BP761" s="319"/>
      <c r="BQ761" s="319"/>
      <c r="BR761" s="319"/>
      <c r="BS761" s="319"/>
      <c r="BT761" s="319"/>
      <c r="BU761" s="319"/>
      <c r="BV761" s="319"/>
      <c r="BW761" s="319"/>
      <c r="BX761" s="319"/>
      <c r="BY761" s="319"/>
      <c r="BZ761" s="319"/>
      <c r="CA761" s="319"/>
      <c r="CB761" s="319"/>
      <c r="CC761" s="319"/>
      <c r="CD761" s="319"/>
      <c r="CE761" s="319"/>
      <c r="CF761" s="319"/>
    </row>
    <row r="762" spans="1:84" ht="12.75" hidden="1" customHeight="1">
      <c r="A762" s="12"/>
      <c r="B762" s="329" t="str">
        <f>$B$94</f>
        <v>Eletricidade fornecida à carga</v>
      </c>
      <c r="C762" s="29" t="str">
        <f>R14</f>
        <v>MWh</v>
      </c>
      <c r="D762" s="30">
        <f>IF(HideCodeES_PSS=1,$G$1107,IF($C$854=$E$1094,$G$1108,$G$1107))</f>
        <v>0</v>
      </c>
      <c r="E762" s="80" t="str">
        <f>IF($P$867=0,"",D762/$P$867)</f>
        <v/>
      </c>
      <c r="F762" s="1"/>
      <c r="G762" s="1"/>
      <c r="H762" s="1"/>
      <c r="I762" s="1"/>
      <c r="J762" s="1"/>
      <c r="K762" s="9"/>
      <c r="L762" s="1"/>
      <c r="M762" s="319"/>
      <c r="N762" s="319"/>
      <c r="O762" s="319"/>
      <c r="P762" s="319"/>
      <c r="Q762" s="319"/>
      <c r="R762" s="319"/>
      <c r="S762" s="319"/>
      <c r="T762" s="319"/>
      <c r="U762" s="319"/>
      <c r="V762" s="319"/>
      <c r="W762" s="319"/>
      <c r="X762" s="319"/>
      <c r="Y762" s="319"/>
      <c r="Z762" s="319"/>
      <c r="AA762" s="319"/>
      <c r="AB762" s="319"/>
      <c r="AC762" s="319"/>
      <c r="AD762" s="319"/>
      <c r="AE762" s="319"/>
      <c r="AF762" s="319"/>
      <c r="AG762" s="319"/>
      <c r="AH762" s="319"/>
      <c r="AI762" s="319"/>
      <c r="AJ762" s="319"/>
      <c r="AK762" s="319"/>
      <c r="AL762" s="319"/>
      <c r="AM762" s="319"/>
      <c r="AN762" s="319"/>
      <c r="AO762" s="319">
        <v>2050008</v>
      </c>
      <c r="AP762" s="319"/>
      <c r="AQ762" s="319"/>
      <c r="AR762" s="319"/>
      <c r="AS762" s="319"/>
      <c r="AT762" s="319"/>
      <c r="AU762" s="319"/>
      <c r="AV762" s="319"/>
      <c r="AW762" s="319"/>
      <c r="AX762" s="319"/>
      <c r="AY762" s="319"/>
      <c r="AZ762" s="319"/>
      <c r="BA762" s="319"/>
      <c r="BB762" s="319"/>
      <c r="BC762" s="319"/>
      <c r="BD762" s="319"/>
      <c r="BE762" s="319"/>
      <c r="BF762" s="319"/>
      <c r="BG762" s="319"/>
      <c r="BH762" s="319"/>
      <c r="BI762" s="319"/>
      <c r="BJ762" s="319"/>
      <c r="BK762" s="319"/>
      <c r="BL762" s="319"/>
      <c r="BM762" s="319"/>
      <c r="BN762" s="319"/>
      <c r="BO762" s="319"/>
      <c r="BP762" s="319"/>
      <c r="BQ762" s="319"/>
      <c r="BR762" s="319"/>
      <c r="BS762" s="319"/>
      <c r="BT762" s="319"/>
      <c r="BU762" s="319"/>
      <c r="BV762" s="319"/>
      <c r="BW762" s="319"/>
      <c r="BX762" s="319"/>
      <c r="BY762" s="319"/>
      <c r="BZ762" s="319"/>
      <c r="CA762" s="319"/>
      <c r="CB762" s="319"/>
      <c r="CC762" s="319"/>
      <c r="CD762" s="319"/>
      <c r="CE762" s="319"/>
      <c r="CF762" s="319"/>
    </row>
    <row r="763" spans="1:84" ht="12.75" hidden="1" customHeight="1">
      <c r="A763" s="14"/>
      <c r="B763" s="380" t="str">
        <f>$B$95</f>
        <v>Eletricidade exportada p/ rede</v>
      </c>
      <c r="C763" s="33" t="str">
        <f>R14</f>
        <v>MWh</v>
      </c>
      <c r="D763" s="34">
        <f>IF(HideCodeES_PSS=1,$J$1107,IF($C$854=$E$1094,$J$1108,$J$1107))</f>
        <v>5.3903325633948667</v>
      </c>
      <c r="E763" s="81" t="str">
        <f>IF($P$867=0,"",D763/$P$867)</f>
        <v/>
      </c>
      <c r="F763" s="15"/>
      <c r="G763" s="15"/>
      <c r="H763" s="15"/>
      <c r="I763" s="15"/>
      <c r="J763" s="15"/>
      <c r="K763" s="11"/>
      <c r="L763" s="1"/>
      <c r="M763" s="319"/>
      <c r="N763" s="319"/>
      <c r="O763" s="319"/>
      <c r="P763" s="319"/>
      <c r="Q763" s="319"/>
      <c r="R763" s="319"/>
      <c r="S763" s="319"/>
      <c r="T763" s="319"/>
      <c r="U763" s="319"/>
      <c r="V763" s="319"/>
      <c r="W763" s="319"/>
      <c r="X763" s="319"/>
      <c r="Y763" s="319"/>
      <c r="Z763" s="319"/>
      <c r="AA763" s="319"/>
      <c r="AB763" s="319"/>
      <c r="AC763" s="319"/>
      <c r="AD763" s="319"/>
      <c r="AE763" s="319"/>
      <c r="AF763" s="319"/>
      <c r="AG763" s="319"/>
      <c r="AH763" s="319"/>
      <c r="AI763" s="319"/>
      <c r="AJ763" s="319"/>
      <c r="AK763" s="319"/>
      <c r="AL763" s="319"/>
      <c r="AM763" s="319"/>
      <c r="AN763" s="319"/>
      <c r="AO763" s="319">
        <v>2050010</v>
      </c>
      <c r="AP763" s="319"/>
      <c r="AQ763" s="319"/>
      <c r="AR763" s="319"/>
      <c r="AS763" s="319"/>
      <c r="AT763" s="319"/>
      <c r="AU763" s="319"/>
      <c r="AV763" s="319"/>
      <c r="AW763" s="319"/>
      <c r="AX763" s="319"/>
      <c r="AY763" s="319"/>
      <c r="AZ763" s="319"/>
      <c r="BA763" s="319"/>
      <c r="BB763" s="319"/>
      <c r="BC763" s="319"/>
      <c r="BD763" s="319"/>
      <c r="BE763" s="319"/>
      <c r="BF763" s="319"/>
      <c r="BG763" s="319"/>
      <c r="BH763" s="319"/>
      <c r="BI763" s="319"/>
      <c r="BJ763" s="319"/>
      <c r="BK763" s="319"/>
      <c r="BL763" s="319"/>
      <c r="BM763" s="319"/>
      <c r="BN763" s="319"/>
      <c r="BO763" s="319"/>
      <c r="BP763" s="319"/>
      <c r="BQ763" s="319"/>
      <c r="BR763" s="319"/>
      <c r="BS763" s="319"/>
      <c r="BT763" s="319"/>
      <c r="BU763" s="319"/>
      <c r="BV763" s="319"/>
      <c r="BW763" s="319"/>
      <c r="BX763" s="319"/>
      <c r="BY763" s="319"/>
      <c r="BZ763" s="319"/>
      <c r="CA763" s="319"/>
      <c r="CB763" s="319"/>
      <c r="CC763" s="319"/>
      <c r="CD763" s="319"/>
      <c r="CE763" s="319"/>
      <c r="CF763" s="319"/>
    </row>
    <row r="764" spans="1:84" ht="12.75" hidden="1" customHeight="1">
      <c r="A764" s="12"/>
      <c r="B764" s="1"/>
      <c r="C764" s="1"/>
      <c r="D764" s="1"/>
      <c r="E764" s="1"/>
      <c r="F764" s="1"/>
      <c r="G764" s="1"/>
      <c r="H764" s="1"/>
      <c r="I764" s="1"/>
      <c r="J764" s="1"/>
      <c r="K764" s="9"/>
      <c r="L764" s="1"/>
      <c r="M764" s="319"/>
      <c r="N764" s="319"/>
      <c r="O764" s="319"/>
      <c r="P764" s="319"/>
      <c r="Q764" s="319"/>
      <c r="R764" s="319"/>
      <c r="S764" s="319"/>
      <c r="T764" s="319"/>
      <c r="U764" s="319"/>
      <c r="V764" s="319"/>
      <c r="W764" s="319"/>
      <c r="X764" s="319"/>
      <c r="Y764" s="319"/>
      <c r="Z764" s="319"/>
      <c r="AA764" s="319"/>
      <c r="AB764" s="319"/>
      <c r="AC764" s="319"/>
      <c r="AD764" s="319"/>
      <c r="AE764" s="319"/>
      <c r="AF764" s="319"/>
      <c r="AG764" s="319"/>
      <c r="AH764" s="319"/>
      <c r="AI764" s="319"/>
      <c r="AJ764" s="319"/>
      <c r="AK764" s="319"/>
      <c r="AL764" s="319"/>
      <c r="AM764" s="319"/>
      <c r="AN764" s="319"/>
      <c r="AO764" s="319">
        <v>2030000</v>
      </c>
      <c r="AP764" s="319"/>
      <c r="AQ764" s="319"/>
      <c r="AR764" s="319"/>
      <c r="AS764" s="319"/>
      <c r="AT764" s="319"/>
      <c r="AU764" s="319"/>
      <c r="AV764" s="319"/>
      <c r="AW764" s="319"/>
      <c r="AX764" s="319"/>
      <c r="AY764" s="319"/>
      <c r="AZ764" s="319"/>
      <c r="BA764" s="319"/>
      <c r="BB764" s="319"/>
      <c r="BC764" s="319"/>
      <c r="BD764" s="319"/>
      <c r="BE764" s="319"/>
      <c r="BF764" s="319"/>
      <c r="BG764" s="319"/>
      <c r="BH764" s="319"/>
      <c r="BI764" s="319"/>
      <c r="BJ764" s="319"/>
      <c r="BK764" s="319"/>
      <c r="BL764" s="319"/>
      <c r="BM764" s="319"/>
      <c r="BN764" s="319"/>
      <c r="BO764" s="319"/>
      <c r="BP764" s="319"/>
      <c r="BQ764" s="319"/>
      <c r="BR764" s="319"/>
      <c r="BS764" s="319"/>
      <c r="BT764" s="319"/>
      <c r="BU764" s="319"/>
      <c r="BV764" s="319"/>
      <c r="BW764" s="319"/>
      <c r="BX764" s="319"/>
      <c r="BY764" s="319"/>
      <c r="BZ764" s="319"/>
      <c r="CA764" s="319"/>
      <c r="CB764" s="319"/>
      <c r="CC764" s="319"/>
      <c r="CD764" s="319"/>
      <c r="CE764" s="319"/>
      <c r="CF764" s="319"/>
    </row>
    <row r="765" spans="1:84" ht="12.75" hidden="1" customHeight="1">
      <c r="A765" s="12"/>
      <c r="B765" s="28" t="str">
        <f>E1091&amp;" #2"</f>
        <v>Outro #2</v>
      </c>
      <c r="C765" s="1"/>
      <c r="D765" s="1"/>
      <c r="E765" s="1"/>
      <c r="F765" s="1"/>
      <c r="G765" s="1"/>
      <c r="H765" s="1"/>
      <c r="I765" s="1"/>
      <c r="J765" s="1"/>
      <c r="K765" s="9"/>
      <c r="L765" s="1"/>
      <c r="M765" s="319"/>
      <c r="N765" s="319"/>
      <c r="O765" s="319"/>
      <c r="P765" s="319"/>
      <c r="Q765" s="319"/>
      <c r="R765" s="319"/>
      <c r="S765" s="319"/>
      <c r="T765" s="319"/>
      <c r="U765" s="319"/>
      <c r="V765" s="319"/>
      <c r="W765" s="319"/>
      <c r="X765" s="319"/>
      <c r="Y765" s="319"/>
      <c r="Z765" s="319"/>
      <c r="AA765" s="319"/>
      <c r="AB765" s="319"/>
      <c r="AC765" s="319"/>
      <c r="AD765" s="319"/>
      <c r="AE765" s="319"/>
      <c r="AF765" s="319"/>
      <c r="AG765" s="319"/>
      <c r="AH765" s="319"/>
      <c r="AI765" s="319"/>
      <c r="AJ765" s="319"/>
      <c r="AK765" s="319"/>
      <c r="AL765" s="319"/>
      <c r="AM765" s="319"/>
      <c r="AN765" s="319"/>
      <c r="AO765" s="319">
        <v>2040038</v>
      </c>
      <c r="AP765" s="319"/>
      <c r="AQ765" s="319"/>
      <c r="AR765" s="319"/>
      <c r="AS765" s="319"/>
      <c r="AT765" s="319"/>
      <c r="AU765" s="319"/>
      <c r="AV765" s="319"/>
      <c r="AW765" s="319"/>
      <c r="AX765" s="319"/>
      <c r="AY765" s="319"/>
      <c r="AZ765" s="319"/>
      <c r="BA765" s="319"/>
      <c r="BB765" s="319"/>
      <c r="BC765" s="319"/>
      <c r="BD765" s="319"/>
      <c r="BE765" s="319"/>
      <c r="BF765" s="319"/>
      <c r="BG765" s="319"/>
      <c r="BH765" s="319"/>
      <c r="BI765" s="319"/>
      <c r="BJ765" s="319"/>
      <c r="BK765" s="319"/>
      <c r="BL765" s="319"/>
      <c r="BM765" s="319"/>
      <c r="BN765" s="319"/>
      <c r="BO765" s="319"/>
      <c r="BP765" s="319"/>
      <c r="BQ765" s="319"/>
      <c r="BR765" s="319"/>
      <c r="BS765" s="319"/>
      <c r="BT765" s="319"/>
      <c r="BU765" s="319"/>
      <c r="BV765" s="319"/>
      <c r="BW765" s="319"/>
      <c r="BX765" s="319"/>
      <c r="BY765" s="319"/>
      <c r="BZ765" s="319"/>
      <c r="CA765" s="319"/>
      <c r="CB765" s="319"/>
      <c r="CC765" s="319"/>
      <c r="CD765" s="319"/>
      <c r="CE765" s="319"/>
      <c r="CF765" s="319"/>
    </row>
    <row r="766" spans="1:84" ht="12.75" hidden="1" customHeight="1">
      <c r="A766" s="12"/>
      <c r="B766" s="329" t="str">
        <f>B504</f>
        <v>Descrição</v>
      </c>
      <c r="C766" s="1152"/>
      <c r="D766" s="1153"/>
      <c r="E766" s="1154"/>
      <c r="F766" s="1"/>
      <c r="G766" s="1"/>
      <c r="H766" s="1"/>
      <c r="I766" s="1"/>
      <c r="J766" s="1"/>
      <c r="K766" s="9"/>
      <c r="L766" s="1"/>
      <c r="M766" s="319"/>
      <c r="N766" s="319"/>
      <c r="O766" s="319"/>
      <c r="P766" s="319"/>
      <c r="Q766" s="319"/>
      <c r="R766" s="319"/>
      <c r="S766" s="319"/>
      <c r="T766" s="319"/>
      <c r="U766" s="319"/>
      <c r="V766" s="319"/>
      <c r="W766" s="319"/>
      <c r="X766" s="319"/>
      <c r="Y766" s="319"/>
      <c r="Z766" s="319"/>
      <c r="AA766" s="319"/>
      <c r="AB766" s="319"/>
      <c r="AC766" s="319"/>
      <c r="AD766" s="319"/>
      <c r="AE766" s="319"/>
      <c r="AF766" s="319"/>
      <c r="AG766" s="319"/>
      <c r="AH766" s="319"/>
      <c r="AI766" s="319"/>
      <c r="AJ766" s="319"/>
      <c r="AK766" s="319"/>
      <c r="AL766" s="319"/>
      <c r="AM766" s="319"/>
      <c r="AN766" s="319"/>
      <c r="AO766" s="319">
        <v>2050000</v>
      </c>
      <c r="AP766" s="319"/>
      <c r="AQ766" s="319"/>
      <c r="AR766" s="319"/>
      <c r="AS766" s="319"/>
      <c r="AT766" s="319"/>
      <c r="AU766" s="319"/>
      <c r="AV766" s="319"/>
      <c r="AW766" s="319"/>
      <c r="AX766" s="319"/>
      <c r="AY766" s="319"/>
      <c r="AZ766" s="319"/>
      <c r="BA766" s="319"/>
      <c r="BB766" s="319"/>
      <c r="BC766" s="319"/>
      <c r="BD766" s="319"/>
      <c r="BE766" s="319"/>
      <c r="BF766" s="319"/>
      <c r="BG766" s="319"/>
      <c r="BH766" s="319"/>
      <c r="BI766" s="319"/>
      <c r="BJ766" s="319"/>
      <c r="BK766" s="319"/>
      <c r="BL766" s="319"/>
      <c r="BM766" s="319"/>
      <c r="BN766" s="319"/>
      <c r="BO766" s="319"/>
      <c r="BP766" s="319"/>
      <c r="BQ766" s="319"/>
      <c r="BR766" s="319"/>
      <c r="BS766" s="319"/>
      <c r="BT766" s="319"/>
      <c r="BU766" s="319"/>
      <c r="BV766" s="319"/>
      <c r="BW766" s="319"/>
      <c r="BX766" s="319"/>
      <c r="BY766" s="319"/>
      <c r="BZ766" s="319"/>
      <c r="CA766" s="319"/>
      <c r="CB766" s="319"/>
      <c r="CC766" s="319"/>
      <c r="CD766" s="319"/>
      <c r="CE766" s="319"/>
      <c r="CF766" s="319"/>
    </row>
    <row r="767" spans="1:84" ht="12.75" hidden="1" customHeight="1">
      <c r="A767" s="12"/>
      <c r="B767" s="329" t="str">
        <f>Language!C427</f>
        <v>Potência elétrica</v>
      </c>
      <c r="C767" s="29" t="str">
        <f>$C$92</f>
        <v>kW</v>
      </c>
      <c r="D767" s="797"/>
      <c r="E767" s="80" t="str">
        <f>IF($P$866=0,"",D767/$P$866)</f>
        <v/>
      </c>
      <c r="F767" s="1"/>
      <c r="G767" s="1"/>
      <c r="H767" s="1346"/>
      <c r="I767" s="1252" t="str">
        <f>Language!C61</f>
        <v>Ver banco de dados de produtos</v>
      </c>
      <c r="J767" s="1191"/>
      <c r="K767" s="1210"/>
      <c r="L767" s="1"/>
      <c r="M767" s="319"/>
      <c r="N767" s="319"/>
      <c r="O767" s="319"/>
      <c r="P767" s="319"/>
      <c r="Q767" s="319"/>
      <c r="R767" s="319"/>
      <c r="S767" s="319"/>
      <c r="T767" s="319"/>
      <c r="U767" s="319"/>
      <c r="V767" s="319"/>
      <c r="W767" s="319"/>
      <c r="X767" s="319"/>
      <c r="Y767" s="319"/>
      <c r="Z767" s="319"/>
      <c r="AA767" s="319"/>
      <c r="AB767" s="319"/>
      <c r="AC767" s="319"/>
      <c r="AD767" s="319"/>
      <c r="AE767" s="319"/>
      <c r="AF767" s="319"/>
      <c r="AG767" s="319"/>
      <c r="AH767" s="319"/>
      <c r="AI767" s="319"/>
      <c r="AJ767" s="319"/>
      <c r="AK767" s="319"/>
      <c r="AL767" s="319"/>
      <c r="AM767" s="319"/>
      <c r="AN767" s="319"/>
      <c r="AO767" s="319">
        <v>2050002</v>
      </c>
      <c r="AP767" s="319"/>
      <c r="AQ767" s="319"/>
      <c r="AR767" s="319"/>
      <c r="AS767" s="319"/>
      <c r="AT767" s="319"/>
      <c r="AU767" s="319"/>
      <c r="AV767" s="319"/>
      <c r="AW767" s="319"/>
      <c r="AX767" s="319"/>
      <c r="AY767" s="319"/>
      <c r="AZ767" s="319"/>
      <c r="BA767" s="319"/>
      <c r="BB767" s="319"/>
      <c r="BC767" s="319"/>
      <c r="BD767" s="319"/>
      <c r="BE767" s="319"/>
      <c r="BF767" s="319"/>
      <c r="BG767" s="319"/>
      <c r="BH767" s="319"/>
      <c r="BI767" s="319"/>
      <c r="BJ767" s="319"/>
      <c r="BK767" s="319"/>
      <c r="BL767" s="319"/>
      <c r="BM767" s="319"/>
      <c r="BN767" s="319"/>
      <c r="BO767" s="319"/>
      <c r="BP767" s="319"/>
      <c r="BQ767" s="319"/>
      <c r="BR767" s="319"/>
      <c r="BS767" s="319"/>
      <c r="BT767" s="319"/>
      <c r="BU767" s="319"/>
      <c r="BV767" s="319"/>
      <c r="BW767" s="319"/>
      <c r="BX767" s="319"/>
      <c r="BY767" s="319"/>
      <c r="BZ767" s="319"/>
      <c r="CA767" s="319"/>
      <c r="CB767" s="319"/>
      <c r="CC767" s="319"/>
      <c r="CD767" s="319"/>
      <c r="CE767" s="319"/>
      <c r="CF767" s="319"/>
    </row>
    <row r="768" spans="1:84" ht="12.75" hidden="1" customHeight="1">
      <c r="A768" s="12"/>
      <c r="B768" s="329" t="str">
        <f>Language!C429</f>
        <v>Capac. Mínima</v>
      </c>
      <c r="C768" s="29" t="str">
        <f>$T$35</f>
        <v>%</v>
      </c>
      <c r="D768" s="366"/>
      <c r="E768" s="1"/>
      <c r="F768" s="1"/>
      <c r="G768" s="1"/>
      <c r="H768" s="1"/>
      <c r="I768" s="1"/>
      <c r="J768" s="1"/>
      <c r="K768" s="788" t="str">
        <f>IF(V768&gt;0,$G$1095&amp;V768&amp;$G$1096,"")</f>
        <v/>
      </c>
      <c r="L768" s="1"/>
      <c r="M768" s="319"/>
      <c r="N768" s="319"/>
      <c r="O768" s="319"/>
      <c r="P768" s="319"/>
      <c r="Q768" s="319"/>
      <c r="R768" s="319"/>
      <c r="S768" s="319"/>
      <c r="T768" s="319"/>
      <c r="U768" s="319"/>
      <c r="V768" s="319">
        <f t="array" ref="V768">IF(AND(HideCodeES_PSS=2,$C$854=$E$1095),SUM(IF($D$1139:$D$1150&lt;D767*S1123,1,0)),SUM(IF($I$1139:$I$1150&lt;D767*S1123,1,0)))*IF(SUM($D$1139:$D$1150)=0,0,1)</f>
        <v>0</v>
      </c>
      <c r="W768" s="319" t="s">
        <v>4373</v>
      </c>
      <c r="X768" s="319"/>
      <c r="Y768" s="319"/>
      <c r="Z768" s="319"/>
      <c r="AA768" s="319"/>
      <c r="AB768" s="319"/>
      <c r="AC768" s="319"/>
      <c r="AD768" s="319"/>
      <c r="AE768" s="319"/>
      <c r="AF768" s="319"/>
      <c r="AG768" s="319"/>
      <c r="AH768" s="319"/>
      <c r="AI768" s="319"/>
      <c r="AJ768" s="319"/>
      <c r="AK768" s="319"/>
      <c r="AL768" s="319"/>
      <c r="AM768" s="319"/>
      <c r="AN768" s="319"/>
      <c r="AO768" s="319">
        <v>2050006</v>
      </c>
      <c r="AP768" s="319"/>
      <c r="AQ768" s="319"/>
      <c r="AR768" s="319"/>
      <c r="AS768" s="319"/>
      <c r="AT768" s="319"/>
      <c r="AU768" s="319"/>
      <c r="AV768" s="319"/>
      <c r="AW768" s="319"/>
      <c r="AX768" s="319"/>
      <c r="AY768" s="319"/>
      <c r="AZ768" s="319"/>
      <c r="BA768" s="319"/>
      <c r="BB768" s="319"/>
      <c r="BC768" s="319"/>
      <c r="BD768" s="319"/>
      <c r="BE768" s="319"/>
      <c r="BF768" s="319"/>
      <c r="BG768" s="319"/>
      <c r="BH768" s="319"/>
      <c r="BI768" s="319"/>
      <c r="BJ768" s="319"/>
      <c r="BK768" s="319"/>
      <c r="BL768" s="319"/>
      <c r="BM768" s="319"/>
      <c r="BN768" s="319"/>
      <c r="BO768" s="319"/>
      <c r="BP768" s="319"/>
      <c r="BQ768" s="319"/>
      <c r="BR768" s="319"/>
      <c r="BS768" s="319"/>
      <c r="BT768" s="319"/>
      <c r="BU768" s="319"/>
      <c r="BV768" s="319"/>
      <c r="BW768" s="319"/>
      <c r="BX768" s="319"/>
      <c r="BY768" s="319"/>
      <c r="BZ768" s="319"/>
      <c r="CA768" s="319"/>
      <c r="CB768" s="319"/>
      <c r="CC768" s="319"/>
      <c r="CD768" s="319"/>
      <c r="CE768" s="319"/>
      <c r="CF768" s="319"/>
    </row>
    <row r="769" spans="1:84" ht="12.75" hidden="1" customHeight="1">
      <c r="A769" s="12"/>
      <c r="B769" s="329" t="str">
        <f>$B$94</f>
        <v>Eletricidade fornecida à carga</v>
      </c>
      <c r="C769" s="29" t="str">
        <f>R14</f>
        <v>MWh</v>
      </c>
      <c r="D769" s="30">
        <f>IF(HideCodeES_PSS=1,$G$1107,IF($C$854=$E$1094,$G$1108,$G$1107))</f>
        <v>0</v>
      </c>
      <c r="E769" s="80" t="str">
        <f>IF($P$867=0,"",D769/$P$867)</f>
        <v/>
      </c>
      <c r="F769" s="1"/>
      <c r="G769" s="1"/>
      <c r="H769" s="1"/>
      <c r="I769" s="1"/>
      <c r="J769" s="1"/>
      <c r="K769" s="9"/>
      <c r="L769" s="1"/>
      <c r="M769" s="319"/>
      <c r="N769" s="319"/>
      <c r="O769" s="319"/>
      <c r="P769" s="319"/>
      <c r="Q769" s="319"/>
      <c r="R769" s="319"/>
      <c r="S769" s="319"/>
      <c r="T769" s="319"/>
      <c r="U769" s="319"/>
      <c r="V769" s="319"/>
      <c r="W769" s="319"/>
      <c r="X769" s="319"/>
      <c r="Y769" s="319"/>
      <c r="Z769" s="319"/>
      <c r="AA769" s="319"/>
      <c r="AB769" s="319"/>
      <c r="AC769" s="319"/>
      <c r="AD769" s="319"/>
      <c r="AE769" s="319"/>
      <c r="AF769" s="319"/>
      <c r="AG769" s="319"/>
      <c r="AH769" s="319"/>
      <c r="AI769" s="319"/>
      <c r="AJ769" s="319"/>
      <c r="AK769" s="319"/>
      <c r="AL769" s="319"/>
      <c r="AM769" s="319"/>
      <c r="AN769" s="319"/>
      <c r="AO769" s="319">
        <v>2050008</v>
      </c>
      <c r="AP769" s="319"/>
      <c r="AQ769" s="319"/>
      <c r="AR769" s="319"/>
      <c r="AS769" s="319"/>
      <c r="AT769" s="319"/>
      <c r="AU769" s="319"/>
      <c r="AV769" s="319"/>
      <c r="AW769" s="319"/>
      <c r="AX769" s="319"/>
      <c r="AY769" s="319"/>
      <c r="AZ769" s="319"/>
      <c r="BA769" s="319"/>
      <c r="BB769" s="319"/>
      <c r="BC769" s="319"/>
      <c r="BD769" s="319"/>
      <c r="BE769" s="319"/>
      <c r="BF769" s="319"/>
      <c r="BG769" s="319"/>
      <c r="BH769" s="319"/>
      <c r="BI769" s="319"/>
      <c r="BJ769" s="319"/>
      <c r="BK769" s="319"/>
      <c r="BL769" s="319"/>
      <c r="BM769" s="319"/>
      <c r="BN769" s="319"/>
      <c r="BO769" s="319"/>
      <c r="BP769" s="319"/>
      <c r="BQ769" s="319"/>
      <c r="BR769" s="319"/>
      <c r="BS769" s="319"/>
      <c r="BT769" s="319"/>
      <c r="BU769" s="319"/>
      <c r="BV769" s="319"/>
      <c r="BW769" s="319"/>
      <c r="BX769" s="319"/>
      <c r="BY769" s="319"/>
      <c r="BZ769" s="319"/>
      <c r="CA769" s="319"/>
      <c r="CB769" s="319"/>
      <c r="CC769" s="319"/>
      <c r="CD769" s="319"/>
      <c r="CE769" s="319"/>
      <c r="CF769" s="319"/>
    </row>
    <row r="770" spans="1:84" ht="12.75" hidden="1" customHeight="1">
      <c r="A770" s="12"/>
      <c r="B770" s="329" t="str">
        <f>$B$95</f>
        <v>Eletricidade exportada p/ rede</v>
      </c>
      <c r="C770" s="29" t="str">
        <f>R14</f>
        <v>MWh</v>
      </c>
      <c r="D770" s="30">
        <f>IF(HideCodeES_PSS=1,$J$1107,IF($C$854=$E$1094,$J$1108,$J$1107))</f>
        <v>5.3903325633948667</v>
      </c>
      <c r="E770" s="1"/>
      <c r="F770" s="1"/>
      <c r="G770" s="1"/>
      <c r="H770" s="1"/>
      <c r="I770" s="1"/>
      <c r="J770" s="1"/>
      <c r="K770" s="9"/>
      <c r="L770" s="1"/>
      <c r="M770" s="319"/>
      <c r="N770" s="319"/>
      <c r="O770" s="319"/>
      <c r="P770" s="319"/>
      <c r="Q770" s="319"/>
      <c r="R770" s="319"/>
      <c r="S770" s="319"/>
      <c r="T770" s="319"/>
      <c r="U770" s="319"/>
      <c r="V770" s="319"/>
      <c r="W770" s="319"/>
      <c r="X770" s="319"/>
      <c r="Y770" s="319"/>
      <c r="Z770" s="319"/>
      <c r="AA770" s="319"/>
      <c r="AB770" s="319"/>
      <c r="AC770" s="319"/>
      <c r="AD770" s="319"/>
      <c r="AE770" s="319"/>
      <c r="AF770" s="319"/>
      <c r="AG770" s="319"/>
      <c r="AH770" s="319"/>
      <c r="AI770" s="319"/>
      <c r="AJ770" s="319"/>
      <c r="AK770" s="319"/>
      <c r="AL770" s="319"/>
      <c r="AM770" s="319"/>
      <c r="AN770" s="319"/>
      <c r="AO770" s="319">
        <v>2050010</v>
      </c>
      <c r="AP770" s="319"/>
      <c r="AQ770" s="319"/>
      <c r="AR770" s="319"/>
      <c r="AS770" s="319"/>
      <c r="AT770" s="319"/>
      <c r="AU770" s="319"/>
      <c r="AV770" s="319"/>
      <c r="AW770" s="319"/>
      <c r="AX770" s="319"/>
      <c r="AY770" s="319"/>
      <c r="AZ770" s="319"/>
      <c r="BA770" s="319"/>
      <c r="BB770" s="319"/>
      <c r="BC770" s="319"/>
      <c r="BD770" s="319"/>
      <c r="BE770" s="319"/>
      <c r="BF770" s="319"/>
      <c r="BG770" s="319"/>
      <c r="BH770" s="319"/>
      <c r="BI770" s="319"/>
      <c r="BJ770" s="319"/>
      <c r="BK770" s="319"/>
      <c r="BL770" s="319"/>
      <c r="BM770" s="319"/>
      <c r="BN770" s="319"/>
      <c r="BO770" s="319"/>
      <c r="BP770" s="319"/>
      <c r="BQ770" s="319"/>
      <c r="BR770" s="319"/>
      <c r="BS770" s="319"/>
      <c r="BT770" s="319"/>
      <c r="BU770" s="319"/>
      <c r="BV770" s="319"/>
      <c r="BW770" s="319"/>
      <c r="BX770" s="319"/>
      <c r="BY770" s="319"/>
      <c r="BZ770" s="319"/>
      <c r="CA770" s="319"/>
      <c r="CB770" s="319"/>
      <c r="CC770" s="319"/>
      <c r="CD770" s="319"/>
      <c r="CE770" s="319"/>
      <c r="CF770" s="319"/>
    </row>
    <row r="771" spans="1:84" ht="12.75" hidden="1" customHeight="1">
      <c r="A771" s="12"/>
      <c r="B771" s="329" t="str">
        <f>B12</f>
        <v>Fabricante</v>
      </c>
      <c r="C771" s="1152"/>
      <c r="D771" s="1153"/>
      <c r="E771" s="1154"/>
      <c r="F771" s="1"/>
      <c r="G771" s="1"/>
      <c r="H771" s="1"/>
      <c r="I771" s="1"/>
      <c r="J771" s="1"/>
      <c r="K771" s="9"/>
      <c r="L771" s="1"/>
      <c r="M771" s="319"/>
      <c r="N771" s="319"/>
      <c r="O771" s="319"/>
      <c r="P771" s="319"/>
      <c r="Q771" s="319"/>
      <c r="R771" s="319"/>
      <c r="S771" s="319"/>
      <c r="T771" s="319"/>
      <c r="U771" s="319"/>
      <c r="V771" s="319"/>
      <c r="W771" s="319"/>
      <c r="X771" s="319"/>
      <c r="Y771" s="319"/>
      <c r="Z771" s="319"/>
      <c r="AA771" s="319"/>
      <c r="AB771" s="319"/>
      <c r="AC771" s="319"/>
      <c r="AD771" s="319"/>
      <c r="AE771" s="319"/>
      <c r="AF771" s="319"/>
      <c r="AG771" s="319"/>
      <c r="AH771" s="319"/>
      <c r="AI771" s="319"/>
      <c r="AJ771" s="319"/>
      <c r="AK771" s="319"/>
      <c r="AL771" s="319"/>
      <c r="AM771" s="319"/>
      <c r="AN771" s="319"/>
      <c r="AO771" s="319">
        <v>2050012</v>
      </c>
      <c r="AP771" s="319"/>
      <c r="AQ771" s="319"/>
      <c r="AR771" s="319"/>
      <c r="AS771" s="319"/>
      <c r="AT771" s="319"/>
      <c r="AU771" s="319"/>
      <c r="AV771" s="319"/>
      <c r="AW771" s="319"/>
      <c r="AX771" s="319"/>
      <c r="AY771" s="319"/>
      <c r="AZ771" s="319"/>
      <c r="BA771" s="319"/>
      <c r="BB771" s="319"/>
      <c r="BC771" s="319"/>
      <c r="BD771" s="319"/>
      <c r="BE771" s="319"/>
      <c r="BF771" s="319"/>
      <c r="BG771" s="319"/>
      <c r="BH771" s="319"/>
      <c r="BI771" s="319"/>
      <c r="BJ771" s="319"/>
      <c r="BK771" s="319"/>
      <c r="BL771" s="319"/>
      <c r="BM771" s="319"/>
      <c r="BN771" s="319"/>
      <c r="BO771" s="319"/>
      <c r="BP771" s="319"/>
      <c r="BQ771" s="319"/>
      <c r="BR771" s="319"/>
      <c r="BS771" s="319"/>
      <c r="BT771" s="319"/>
      <c r="BU771" s="319"/>
      <c r="BV771" s="319"/>
      <c r="BW771" s="319"/>
      <c r="BX771" s="319"/>
      <c r="BY771" s="319"/>
      <c r="BZ771" s="319"/>
      <c r="CA771" s="319"/>
      <c r="CB771" s="319"/>
      <c r="CC771" s="319"/>
      <c r="CD771" s="319"/>
      <c r="CE771" s="319"/>
      <c r="CF771" s="319"/>
    </row>
    <row r="772" spans="1:84" ht="12.75" hidden="1" customHeight="1">
      <c r="A772" s="12"/>
      <c r="B772" s="329" t="str">
        <f>B13</f>
        <v>Modelo</v>
      </c>
      <c r="C772" s="1152"/>
      <c r="D772" s="1153"/>
      <c r="E772" s="1154"/>
      <c r="F772" s="1" t="str">
        <f>$J$1077 &amp; Lang_Unit</f>
        <v>1 unidade(s)</v>
      </c>
      <c r="G772" s="1"/>
      <c r="H772" s="1"/>
      <c r="I772" s="1"/>
      <c r="J772" s="1"/>
      <c r="K772" s="9"/>
      <c r="L772" s="1"/>
      <c r="M772" s="319"/>
      <c r="N772" s="319"/>
      <c r="O772" s="319"/>
      <c r="P772" s="319"/>
      <c r="Q772" s="319"/>
      <c r="R772" s="319"/>
      <c r="S772" s="319"/>
      <c r="T772" s="319"/>
      <c r="U772" s="319"/>
      <c r="V772" s="319"/>
      <c r="W772" s="319"/>
      <c r="X772" s="319"/>
      <c r="Y772" s="319"/>
      <c r="Z772" s="319"/>
      <c r="AA772" s="319"/>
      <c r="AB772" s="319"/>
      <c r="AC772" s="319"/>
      <c r="AD772" s="319"/>
      <c r="AE772" s="319"/>
      <c r="AF772" s="319"/>
      <c r="AG772" s="319"/>
      <c r="AH772" s="319"/>
      <c r="AI772" s="319"/>
      <c r="AJ772" s="319"/>
      <c r="AK772" s="319"/>
      <c r="AL772" s="319"/>
      <c r="AM772" s="319"/>
      <c r="AN772" s="319"/>
      <c r="AO772" s="319">
        <v>2050014</v>
      </c>
      <c r="AP772" s="319"/>
      <c r="AQ772" s="319"/>
      <c r="AR772" s="319"/>
      <c r="AS772" s="319"/>
      <c r="AT772" s="319"/>
      <c r="AU772" s="319"/>
      <c r="AV772" s="319"/>
      <c r="AW772" s="319"/>
      <c r="AX772" s="319"/>
      <c r="AY772" s="319"/>
      <c r="AZ772" s="319"/>
      <c r="BA772" s="319"/>
      <c r="BB772" s="319"/>
      <c r="BC772" s="319"/>
      <c r="BD772" s="319"/>
      <c r="BE772" s="319"/>
      <c r="BF772" s="319"/>
      <c r="BG772" s="319"/>
      <c r="BH772" s="319"/>
      <c r="BI772" s="319"/>
      <c r="BJ772" s="319"/>
      <c r="BK772" s="319"/>
      <c r="BL772" s="319"/>
      <c r="BM772" s="319"/>
      <c r="BN772" s="319"/>
      <c r="BO772" s="319"/>
      <c r="BP772" s="319"/>
      <c r="BQ772" s="319"/>
      <c r="BR772" s="319"/>
      <c r="BS772" s="319"/>
      <c r="BT772" s="319"/>
      <c r="BU772" s="319"/>
      <c r="BV772" s="319"/>
      <c r="BW772" s="319"/>
      <c r="BX772" s="319"/>
      <c r="BY772" s="319"/>
      <c r="BZ772" s="319"/>
      <c r="CA772" s="319"/>
      <c r="CB772" s="319"/>
      <c r="CC772" s="319"/>
      <c r="CD772" s="319"/>
      <c r="CE772" s="319"/>
      <c r="CF772" s="319"/>
    </row>
    <row r="773" spans="1:84" ht="12.75" hidden="1" customHeight="1">
      <c r="A773" s="12"/>
      <c r="B773" s="329" t="str">
        <f>B98</f>
        <v>Preço do calor</v>
      </c>
      <c r="C773" s="303" t="s">
        <v>4213</v>
      </c>
      <c r="D773" s="307"/>
      <c r="E773" s="1"/>
      <c r="F773" s="1"/>
      <c r="G773" s="1"/>
      <c r="H773" s="1"/>
      <c r="I773" s="1"/>
      <c r="J773" s="1"/>
      <c r="K773" s="9"/>
      <c r="L773" s="1"/>
      <c r="M773" s="319"/>
      <c r="N773" s="319"/>
      <c r="O773" s="319"/>
      <c r="P773" s="319"/>
      <c r="Q773" s="319"/>
      <c r="R773" s="319" t="s">
        <v>4213</v>
      </c>
      <c r="S773" s="319">
        <f>IF(C773=$Z$1081,D773,D773*$AA$1082)</f>
        <v>0</v>
      </c>
      <c r="T773" s="319"/>
      <c r="U773" s="319"/>
      <c r="V773" s="319"/>
      <c r="W773" s="319"/>
      <c r="X773" s="319"/>
      <c r="Y773" s="319"/>
      <c r="Z773" s="319"/>
      <c r="AA773" s="319"/>
      <c r="AB773" s="319"/>
      <c r="AC773" s="319"/>
      <c r="AD773" s="319"/>
      <c r="AE773" s="319"/>
      <c r="AF773" s="319"/>
      <c r="AG773" s="319"/>
      <c r="AH773" s="319"/>
      <c r="AI773" s="319"/>
      <c r="AJ773" s="319"/>
      <c r="AK773" s="319"/>
      <c r="AL773" s="319"/>
      <c r="AM773" s="319"/>
      <c r="AN773" s="319"/>
      <c r="AO773" s="319">
        <v>2050018</v>
      </c>
      <c r="AP773" s="319"/>
      <c r="AQ773" s="319"/>
      <c r="AR773" s="319"/>
      <c r="AS773" s="319"/>
      <c r="AT773" s="319"/>
      <c r="AU773" s="319"/>
      <c r="AV773" s="319"/>
      <c r="AW773" s="319"/>
      <c r="AX773" s="319"/>
      <c r="AY773" s="319"/>
      <c r="AZ773" s="319"/>
      <c r="BA773" s="319"/>
      <c r="BB773" s="319"/>
      <c r="BC773" s="319"/>
      <c r="BD773" s="319"/>
      <c r="BE773" s="319"/>
      <c r="BF773" s="319"/>
      <c r="BG773" s="319"/>
      <c r="BH773" s="319"/>
      <c r="BI773" s="319"/>
      <c r="BJ773" s="319"/>
      <c r="BK773" s="319"/>
      <c r="BL773" s="319"/>
      <c r="BM773" s="319"/>
      <c r="BN773" s="319"/>
      <c r="BO773" s="319"/>
      <c r="BP773" s="319"/>
      <c r="BQ773" s="319"/>
      <c r="BR773" s="319"/>
      <c r="BS773" s="319"/>
      <c r="BT773" s="319"/>
      <c r="BU773" s="319"/>
      <c r="BV773" s="319"/>
      <c r="BW773" s="319"/>
      <c r="BX773" s="319"/>
      <c r="BY773" s="319"/>
      <c r="BZ773" s="319"/>
      <c r="CA773" s="319"/>
      <c r="CB773" s="319"/>
      <c r="CC773" s="319"/>
      <c r="CD773" s="319"/>
      <c r="CE773" s="319"/>
      <c r="CF773" s="319"/>
    </row>
    <row r="774" spans="1:84" ht="12.75" hidden="1" customHeight="1">
      <c r="A774" s="12"/>
      <c r="B774" s="329" t="str">
        <f>Language!C430</f>
        <v>Taxa de recuperação de calor</v>
      </c>
      <c r="C774" s="29" t="str">
        <f>$T$35</f>
        <v>%</v>
      </c>
      <c r="D774" s="366"/>
      <c r="E774" s="1"/>
      <c r="F774" s="1"/>
      <c r="G774" s="1"/>
      <c r="H774" s="1"/>
      <c r="I774" s="1"/>
      <c r="J774" s="1"/>
      <c r="K774" s="9"/>
      <c r="L774" s="1"/>
      <c r="M774" s="319"/>
      <c r="N774" s="319"/>
      <c r="O774" s="319"/>
      <c r="P774" s="319"/>
      <c r="Q774" s="319"/>
      <c r="R774" s="319"/>
      <c r="S774" s="319"/>
      <c r="T774" s="319"/>
      <c r="U774" s="319"/>
      <c r="V774" s="319"/>
      <c r="W774" s="319"/>
      <c r="X774" s="319"/>
      <c r="Y774" s="319"/>
      <c r="Z774" s="319"/>
      <c r="AA774" s="319"/>
      <c r="AB774" s="319"/>
      <c r="AC774" s="319"/>
      <c r="AD774" s="319"/>
      <c r="AE774" s="319"/>
      <c r="AF774" s="319"/>
      <c r="AG774" s="319"/>
      <c r="AH774" s="319"/>
      <c r="AI774" s="319"/>
      <c r="AJ774" s="319"/>
      <c r="AK774" s="319"/>
      <c r="AL774" s="319"/>
      <c r="AM774" s="319"/>
      <c r="AN774" s="319"/>
      <c r="AO774" s="319">
        <v>2050030</v>
      </c>
      <c r="AP774" s="319"/>
      <c r="AQ774" s="319"/>
      <c r="AR774" s="319"/>
      <c r="AS774" s="319"/>
      <c r="AT774" s="319"/>
      <c r="AU774" s="319"/>
      <c r="AV774" s="319"/>
      <c r="AW774" s="319"/>
      <c r="AX774" s="319"/>
      <c r="AY774" s="319"/>
      <c r="AZ774" s="319"/>
      <c r="BA774" s="319"/>
      <c r="BB774" s="319"/>
      <c r="BC774" s="319"/>
      <c r="BD774" s="319"/>
      <c r="BE774" s="319"/>
      <c r="BF774" s="319"/>
      <c r="BG774" s="319"/>
      <c r="BH774" s="319"/>
      <c r="BI774" s="319"/>
      <c r="BJ774" s="319"/>
      <c r="BK774" s="319"/>
      <c r="BL774" s="319"/>
      <c r="BM774" s="319"/>
      <c r="BN774" s="319"/>
      <c r="BO774" s="319"/>
      <c r="BP774" s="319"/>
      <c r="BQ774" s="319"/>
      <c r="BR774" s="319"/>
      <c r="BS774" s="319"/>
      <c r="BT774" s="319"/>
      <c r="BU774" s="319"/>
      <c r="BV774" s="319"/>
      <c r="BW774" s="319"/>
      <c r="BX774" s="319"/>
      <c r="BY774" s="319"/>
      <c r="BZ774" s="319"/>
      <c r="CA774" s="319"/>
      <c r="CB774" s="319"/>
      <c r="CC774" s="319"/>
      <c r="CD774" s="319"/>
      <c r="CE774" s="319"/>
      <c r="CF774" s="319"/>
    </row>
    <row r="775" spans="1:84" ht="12.75" hidden="1" customHeight="1">
      <c r="A775" s="12"/>
      <c r="B775" s="329" t="str">
        <f>B77</f>
        <v>Combustível necessário</v>
      </c>
      <c r="C775" s="29" t="str">
        <f>IF(Unit=TRUE,R775,T775)</f>
        <v>GJ/h</v>
      </c>
      <c r="D775" s="140">
        <f>IF(Unit=TRUE,S775,U775)</f>
        <v>0</v>
      </c>
      <c r="E775" s="1"/>
      <c r="F775" s="29" t="str">
        <f>IF($M$3=FALSE,"",IF(Unit=FALSE,R775,T775))</f>
        <v/>
      </c>
      <c r="G775" s="140" t="str">
        <f>IF($M$3=FALSE,"",IF(Unit=FALSE,S775,U775))</f>
        <v/>
      </c>
      <c r="H775" s="1"/>
      <c r="I775" s="1"/>
      <c r="J775" s="1"/>
      <c r="K775" s="9"/>
      <c r="L775" s="1"/>
      <c r="M775" s="319"/>
      <c r="N775" s="319"/>
      <c r="O775" s="319"/>
      <c r="P775" s="319"/>
      <c r="Q775" s="319"/>
      <c r="R775" s="319" t="str">
        <f>$R$77</f>
        <v>GJ/h</v>
      </c>
      <c r="S775" s="319">
        <f>D767*S773/10^6</f>
        <v>0</v>
      </c>
      <c r="T775" s="319" t="str">
        <f>$T$77</f>
        <v>milhão Btu/h</v>
      </c>
      <c r="U775" s="319">
        <f>S775/$AA$1082</f>
        <v>0</v>
      </c>
      <c r="V775" s="319"/>
      <c r="W775" s="319"/>
      <c r="X775" s="319"/>
      <c r="Y775" s="319"/>
      <c r="Z775" s="319"/>
      <c r="AA775" s="319"/>
      <c r="AB775" s="319"/>
      <c r="AC775" s="319"/>
      <c r="AD775" s="319"/>
      <c r="AE775" s="319"/>
      <c r="AF775" s="319"/>
      <c r="AG775" s="319"/>
      <c r="AH775" s="319"/>
      <c r="AI775" s="319"/>
      <c r="AJ775" s="319"/>
      <c r="AK775" s="319"/>
      <c r="AL775" s="319"/>
      <c r="AM775" s="319"/>
      <c r="AN775" s="319"/>
      <c r="AO775" s="319">
        <v>2050032</v>
      </c>
      <c r="AP775" s="319"/>
      <c r="AQ775" s="319"/>
      <c r="AR775" s="319"/>
      <c r="AS775" s="319"/>
      <c r="AT775" s="319"/>
      <c r="AU775" s="319"/>
      <c r="AV775" s="319"/>
      <c r="AW775" s="319"/>
      <c r="AX775" s="319"/>
      <c r="AY775" s="319"/>
      <c r="AZ775" s="319"/>
      <c r="BA775" s="319"/>
      <c r="BB775" s="319"/>
      <c r="BC775" s="319"/>
      <c r="BD775" s="319"/>
      <c r="BE775" s="319"/>
      <c r="BF775" s="319"/>
      <c r="BG775" s="319"/>
      <c r="BH775" s="319"/>
      <c r="BI775" s="319"/>
      <c r="BJ775" s="319"/>
      <c r="BK775" s="319"/>
      <c r="BL775" s="319"/>
      <c r="BM775" s="319"/>
      <c r="BN775" s="319"/>
      <c r="BO775" s="319"/>
      <c r="BP775" s="319"/>
      <c r="BQ775" s="319"/>
      <c r="BR775" s="319"/>
      <c r="BS775" s="319"/>
      <c r="BT775" s="319"/>
      <c r="BU775" s="319"/>
      <c r="BV775" s="319"/>
      <c r="BW775" s="319"/>
      <c r="BX775" s="319"/>
      <c r="BY775" s="319"/>
      <c r="BZ775" s="319"/>
      <c r="CA775" s="319"/>
      <c r="CB775" s="319"/>
      <c r="CC775" s="319"/>
      <c r="CD775" s="319"/>
      <c r="CE775" s="319"/>
      <c r="CF775" s="319"/>
    </row>
    <row r="776" spans="1:84" ht="12.75" hidden="1" customHeight="1">
      <c r="A776" s="14"/>
      <c r="B776" s="380" t="str">
        <f>B514</f>
        <v>Capacidade térmica</v>
      </c>
      <c r="C776" s="33" t="str">
        <f>IF(Unit=TRUE,R776,T776)</f>
        <v>kW</v>
      </c>
      <c r="D776" s="245">
        <f>IF(Unit=TRUE,S776,U776)</f>
        <v>0</v>
      </c>
      <c r="E776" s="81" t="str">
        <f>IF(OR(HideCode_projectType3=2,HideCode_projectType3=5),"",S776/$Q$866)</f>
        <v/>
      </c>
      <c r="F776" s="33" t="str">
        <f>IF($M$3=FALSE,"",IF(Unit=FALSE,R776,T776))</f>
        <v/>
      </c>
      <c r="G776" s="245" t="str">
        <f>IF($M$3=FALSE,"",IF(Unit=FALSE,S776,U776))</f>
        <v/>
      </c>
      <c r="H776" s="15"/>
      <c r="I776" s="15"/>
      <c r="J776" s="15"/>
      <c r="K776" s="11"/>
      <c r="L776" s="1"/>
      <c r="M776" s="319"/>
      <c r="N776" s="319"/>
      <c r="O776" s="319"/>
      <c r="P776" s="319"/>
      <c r="Q776" s="319"/>
      <c r="R776" s="319" t="str">
        <f>$R$20</f>
        <v>kW</v>
      </c>
      <c r="S776" s="319">
        <f>(D767*S773/10^3/3.6-D767)*D774</f>
        <v>0</v>
      </c>
      <c r="T776" s="319" t="str">
        <f>$T$77</f>
        <v>milhão Btu/h</v>
      </c>
      <c r="U776" s="319">
        <f>S776*$AA$1087</f>
        <v>0</v>
      </c>
      <c r="V776" s="319"/>
      <c r="W776" s="319"/>
      <c r="X776" s="319"/>
      <c r="Y776" s="319"/>
      <c r="Z776" s="319"/>
      <c r="AA776" s="319"/>
      <c r="AB776" s="319"/>
      <c r="AC776" s="319"/>
      <c r="AD776" s="319"/>
      <c r="AE776" s="319"/>
      <c r="AF776" s="319"/>
      <c r="AG776" s="319"/>
      <c r="AH776" s="319"/>
      <c r="AI776" s="319"/>
      <c r="AJ776" s="319"/>
      <c r="AK776" s="319"/>
      <c r="AL776" s="319"/>
      <c r="AM776" s="319"/>
      <c r="AN776" s="319"/>
      <c r="AO776" s="319">
        <v>2050034</v>
      </c>
      <c r="AP776" s="319"/>
      <c r="AQ776" s="319"/>
      <c r="AR776" s="319"/>
      <c r="AS776" s="319"/>
      <c r="AT776" s="319"/>
      <c r="AU776" s="319"/>
      <c r="AV776" s="319"/>
      <c r="AW776" s="319"/>
      <c r="AX776" s="319"/>
      <c r="AY776" s="319"/>
      <c r="AZ776" s="319"/>
      <c r="BA776" s="319"/>
      <c r="BB776" s="319"/>
      <c r="BC776" s="319"/>
      <c r="BD776" s="319"/>
      <c r="BE776" s="319"/>
      <c r="BF776" s="319"/>
      <c r="BG776" s="319"/>
      <c r="BH776" s="319"/>
      <c r="BI776" s="319"/>
      <c r="BJ776" s="319"/>
      <c r="BK776" s="319"/>
      <c r="BL776" s="319"/>
      <c r="BM776" s="319"/>
      <c r="BN776" s="319"/>
      <c r="BO776" s="319"/>
      <c r="BP776" s="319"/>
      <c r="BQ776" s="319"/>
      <c r="BR776" s="319"/>
      <c r="BS776" s="319"/>
      <c r="BT776" s="319"/>
      <c r="BU776" s="319"/>
      <c r="BV776" s="319"/>
      <c r="BW776" s="319"/>
      <c r="BX776" s="319"/>
      <c r="BY776" s="319"/>
      <c r="BZ776" s="319"/>
      <c r="CA776" s="319"/>
      <c r="CB776" s="319"/>
      <c r="CC776" s="319"/>
      <c r="CD776" s="319"/>
      <c r="CE776" s="319"/>
      <c r="CF776" s="319"/>
    </row>
    <row r="777" spans="1:84" ht="12.75" hidden="1" customHeight="1">
      <c r="A777" s="12"/>
      <c r="B777" s="232"/>
      <c r="C777" s="21"/>
      <c r="D777" s="88"/>
      <c r="E777" s="227"/>
      <c r="F777" s="8"/>
      <c r="G777" s="8"/>
      <c r="H777" s="8"/>
      <c r="I777" s="8"/>
      <c r="J777" s="8"/>
      <c r="K777" s="6"/>
      <c r="L777" s="1"/>
      <c r="M777" s="319"/>
      <c r="N777" s="319"/>
      <c r="O777" s="319"/>
      <c r="P777" s="319"/>
      <c r="Q777" s="319"/>
      <c r="R777" s="319"/>
      <c r="S777" s="319"/>
      <c r="T777" s="319"/>
      <c r="U777" s="319"/>
      <c r="V777" s="319"/>
      <c r="W777" s="319"/>
      <c r="X777" s="319"/>
      <c r="Y777" s="319"/>
      <c r="Z777" s="319"/>
      <c r="AA777" s="319"/>
      <c r="AB777" s="319"/>
      <c r="AC777" s="319"/>
      <c r="AD777" s="319"/>
      <c r="AE777" s="319"/>
      <c r="AF777" s="319"/>
      <c r="AG777" s="319"/>
      <c r="AH777" s="319"/>
      <c r="AI777" s="319"/>
      <c r="AJ777" s="319"/>
      <c r="AK777" s="319"/>
      <c r="AL777" s="319"/>
      <c r="AM777" s="319"/>
      <c r="AN777" s="319"/>
      <c r="AO777" s="319">
        <v>2030000</v>
      </c>
      <c r="AP777" s="319"/>
      <c r="AQ777" s="319"/>
      <c r="AR777" s="319"/>
      <c r="AS777" s="319"/>
      <c r="AT777" s="319"/>
      <c r="AU777" s="319"/>
      <c r="AV777" s="319"/>
      <c r="AW777" s="319"/>
      <c r="AX777" s="319"/>
      <c r="AY777" s="319"/>
      <c r="AZ777" s="319"/>
      <c r="BA777" s="319"/>
      <c r="BB777" s="319"/>
      <c r="BC777" s="319"/>
      <c r="BD777" s="319"/>
      <c r="BE777" s="319"/>
      <c r="BF777" s="319"/>
      <c r="BG777" s="319"/>
      <c r="BH777" s="319"/>
      <c r="BI777" s="319"/>
      <c r="BJ777" s="319"/>
      <c r="BK777" s="319"/>
      <c r="BL777" s="319"/>
      <c r="BM777" s="319"/>
      <c r="BN777" s="319"/>
      <c r="BO777" s="319"/>
      <c r="BP777" s="319"/>
      <c r="BQ777" s="319"/>
      <c r="BR777" s="319"/>
      <c r="BS777" s="319"/>
      <c r="BT777" s="319"/>
      <c r="BU777" s="319"/>
      <c r="BV777" s="319"/>
      <c r="BW777" s="319"/>
      <c r="BX777" s="319"/>
      <c r="BY777" s="319"/>
      <c r="BZ777" s="319"/>
      <c r="CA777" s="319"/>
      <c r="CB777" s="319"/>
      <c r="CC777" s="319"/>
      <c r="CD777" s="319"/>
      <c r="CE777" s="319"/>
      <c r="CF777" s="319"/>
    </row>
    <row r="778" spans="1:84" ht="12.75" hidden="1" customHeight="1">
      <c r="A778" s="12"/>
      <c r="B778" s="28" t="str">
        <f>K1073&amp;" #2"</f>
        <v>Energia das correntes oceânicas #2</v>
      </c>
      <c r="C778" s="21"/>
      <c r="D778" s="88"/>
      <c r="E778" s="227"/>
      <c r="F778" s="8"/>
      <c r="G778" s="8"/>
      <c r="H778" s="8"/>
      <c r="I778" s="8"/>
      <c r="J778" s="8"/>
      <c r="K778" s="9"/>
      <c r="L778" s="1"/>
      <c r="M778" s="319"/>
      <c r="N778" s="319"/>
      <c r="O778" s="319"/>
      <c r="P778" s="319"/>
      <c r="Q778" s="319"/>
      <c r="R778" s="319"/>
      <c r="S778" s="319"/>
      <c r="T778" s="319"/>
      <c r="U778" s="319"/>
      <c r="V778" s="319"/>
      <c r="W778" s="319"/>
      <c r="X778" s="319"/>
      <c r="Y778" s="319"/>
      <c r="Z778" s="319"/>
      <c r="AA778" s="319"/>
      <c r="AB778" s="319"/>
      <c r="AC778" s="319"/>
      <c r="AD778" s="319"/>
      <c r="AE778" s="319"/>
      <c r="AF778" s="319"/>
      <c r="AG778" s="319"/>
      <c r="AH778" s="319"/>
      <c r="AI778" s="319"/>
      <c r="AJ778" s="319"/>
      <c r="AK778" s="319"/>
      <c r="AL778" s="319"/>
      <c r="AM778" s="319"/>
      <c r="AN778" s="319"/>
      <c r="AO778" s="319">
        <v>14150</v>
      </c>
      <c r="AP778" s="319"/>
      <c r="AQ778" s="319"/>
      <c r="AR778" s="319"/>
      <c r="AS778" s="319"/>
      <c r="AT778" s="319"/>
      <c r="AU778" s="319"/>
      <c r="AV778" s="319"/>
      <c r="AW778" s="319"/>
      <c r="AX778" s="319"/>
      <c r="AY778" s="319"/>
      <c r="AZ778" s="319"/>
      <c r="BA778" s="319"/>
      <c r="BB778" s="319"/>
      <c r="BC778" s="319"/>
      <c r="BD778" s="319"/>
      <c r="BE778" s="319"/>
      <c r="BF778" s="319"/>
      <c r="BG778" s="319"/>
      <c r="BH778" s="319"/>
      <c r="BI778" s="319"/>
      <c r="BJ778" s="319"/>
      <c r="BK778" s="319"/>
      <c r="BL778" s="319"/>
      <c r="BM778" s="319"/>
      <c r="BN778" s="319"/>
      <c r="BO778" s="319"/>
      <c r="BP778" s="319"/>
      <c r="BQ778" s="319"/>
      <c r="BR778" s="319"/>
      <c r="BS778" s="319"/>
      <c r="BT778" s="319"/>
      <c r="BU778" s="319"/>
      <c r="BV778" s="319"/>
      <c r="BW778" s="319"/>
      <c r="BX778" s="319"/>
      <c r="BY778" s="319"/>
      <c r="BZ778" s="319"/>
      <c r="CA778" s="319"/>
      <c r="CB778" s="319"/>
      <c r="CC778" s="319"/>
      <c r="CD778" s="319"/>
      <c r="CE778" s="319"/>
      <c r="CF778" s="319"/>
    </row>
    <row r="779" spans="1:84" ht="12.75" hidden="1" customHeight="1">
      <c r="A779" s="12"/>
      <c r="B779" s="329" t="str">
        <f>$B$92</f>
        <v>Potência elétrica</v>
      </c>
      <c r="C779" s="29" t="str">
        <f>$C$92</f>
        <v>kW</v>
      </c>
      <c r="D779" s="412"/>
      <c r="E779" s="80" t="str">
        <f>IF($P$866=0,"",D779/$P$866)</f>
        <v/>
      </c>
      <c r="F779" s="1"/>
      <c r="G779" s="8"/>
      <c r="H779" s="1346"/>
      <c r="I779" s="1252" t="str">
        <f>HypPower13</f>
        <v>Ver banco de dados de produtos</v>
      </c>
      <c r="J779" s="1191"/>
      <c r="K779" s="1210"/>
      <c r="L779" s="1"/>
      <c r="M779" s="319"/>
      <c r="N779" s="319"/>
      <c r="O779" s="319"/>
      <c r="P779" s="319"/>
      <c r="Q779" s="319"/>
      <c r="R779" s="319"/>
      <c r="S779" s="319"/>
      <c r="T779" s="319"/>
      <c r="U779" s="319"/>
      <c r="V779" s="319"/>
      <c r="W779" s="319"/>
      <c r="X779" s="319"/>
      <c r="Y779" s="319"/>
      <c r="Z779" s="319"/>
      <c r="AA779" s="319"/>
      <c r="AB779" s="319"/>
      <c r="AC779" s="319"/>
      <c r="AD779" s="319"/>
      <c r="AE779" s="319"/>
      <c r="AF779" s="319"/>
      <c r="AG779" s="319"/>
      <c r="AH779" s="319"/>
      <c r="AI779" s="319"/>
      <c r="AJ779" s="319"/>
      <c r="AK779" s="319"/>
      <c r="AL779" s="319"/>
      <c r="AM779" s="319"/>
      <c r="AN779" s="319"/>
      <c r="AO779" s="319">
        <v>2050002</v>
      </c>
      <c r="AP779" s="319"/>
      <c r="AQ779" s="319"/>
      <c r="AR779" s="319"/>
      <c r="AS779" s="319"/>
      <c r="AT779" s="319"/>
      <c r="AU779" s="319"/>
      <c r="AV779" s="319"/>
      <c r="AW779" s="319"/>
      <c r="AX779" s="319"/>
      <c r="AY779" s="319"/>
      <c r="AZ779" s="319"/>
      <c r="BA779" s="319"/>
      <c r="BB779" s="319"/>
      <c r="BC779" s="319"/>
      <c r="BD779" s="319"/>
      <c r="BE779" s="319"/>
      <c r="BF779" s="319"/>
      <c r="BG779" s="319"/>
      <c r="BH779" s="319"/>
      <c r="BI779" s="319"/>
      <c r="BJ779" s="319"/>
      <c r="BK779" s="319"/>
      <c r="BL779" s="319"/>
      <c r="BM779" s="319"/>
      <c r="BN779" s="319"/>
      <c r="BO779" s="319"/>
      <c r="BP779" s="319"/>
      <c r="BQ779" s="319"/>
      <c r="BR779" s="319"/>
      <c r="BS779" s="319"/>
      <c r="BT779" s="319"/>
      <c r="BU779" s="319"/>
      <c r="BV779" s="319"/>
      <c r="BW779" s="319"/>
      <c r="BX779" s="319"/>
      <c r="BY779" s="319"/>
      <c r="BZ779" s="319"/>
      <c r="CA779" s="319"/>
      <c r="CB779" s="319"/>
      <c r="CC779" s="319"/>
      <c r="CD779" s="319"/>
      <c r="CE779" s="319"/>
      <c r="CF779" s="319"/>
    </row>
    <row r="780" spans="1:84" ht="12.75" hidden="1" customHeight="1">
      <c r="A780" s="12"/>
      <c r="B780" s="329" t="str">
        <f>$B$12</f>
        <v>Fabricante</v>
      </c>
      <c r="C780" s="1152"/>
      <c r="D780" s="1153"/>
      <c r="E780" s="1154"/>
      <c r="F780" s="8"/>
      <c r="G780" s="8"/>
      <c r="H780" s="8"/>
      <c r="I780" s="8"/>
      <c r="J780" s="8"/>
      <c r="K780" s="9"/>
      <c r="L780" s="1"/>
      <c r="M780" s="319"/>
      <c r="N780" s="319"/>
      <c r="O780" s="319"/>
      <c r="P780" s="319"/>
      <c r="Q780" s="319"/>
      <c r="R780" s="319"/>
      <c r="S780" s="319"/>
      <c r="T780" s="319"/>
      <c r="U780" s="319"/>
      <c r="V780" s="319"/>
      <c r="W780" s="319"/>
      <c r="X780" s="319"/>
      <c r="Y780" s="319"/>
      <c r="Z780" s="319"/>
      <c r="AA780" s="319"/>
      <c r="AB780" s="319"/>
      <c r="AC780" s="319"/>
      <c r="AD780" s="319"/>
      <c r="AE780" s="319"/>
      <c r="AF780" s="319"/>
      <c r="AG780" s="319"/>
      <c r="AH780" s="319"/>
      <c r="AI780" s="319"/>
      <c r="AJ780" s="319"/>
      <c r="AK780" s="319"/>
      <c r="AL780" s="319"/>
      <c r="AM780" s="319"/>
      <c r="AN780" s="319"/>
      <c r="AO780" s="319">
        <v>2050012</v>
      </c>
      <c r="AP780" s="319"/>
      <c r="AQ780" s="319"/>
      <c r="AR780" s="319"/>
      <c r="AS780" s="319"/>
      <c r="AT780" s="319"/>
      <c r="AU780" s="319"/>
      <c r="AV780" s="319"/>
      <c r="AW780" s="319"/>
      <c r="AX780" s="319"/>
      <c r="AY780" s="319"/>
      <c r="AZ780" s="319"/>
      <c r="BA780" s="319"/>
      <c r="BB780" s="319"/>
      <c r="BC780" s="319"/>
      <c r="BD780" s="319"/>
      <c r="BE780" s="319"/>
      <c r="BF780" s="319"/>
      <c r="BG780" s="319"/>
      <c r="BH780" s="319"/>
      <c r="BI780" s="319"/>
      <c r="BJ780" s="319"/>
      <c r="BK780" s="319"/>
      <c r="BL780" s="319"/>
      <c r="BM780" s="319"/>
      <c r="BN780" s="319"/>
      <c r="BO780" s="319"/>
      <c r="BP780" s="319"/>
      <c r="BQ780" s="319"/>
      <c r="BR780" s="319"/>
      <c r="BS780" s="319"/>
      <c r="BT780" s="319"/>
      <c r="BU780" s="319"/>
      <c r="BV780" s="319"/>
      <c r="BW780" s="319"/>
      <c r="BX780" s="319"/>
      <c r="BY780" s="319"/>
      <c r="BZ780" s="319"/>
      <c r="CA780" s="319"/>
      <c r="CB780" s="319"/>
      <c r="CC780" s="319"/>
      <c r="CD780" s="319"/>
      <c r="CE780" s="319"/>
      <c r="CF780" s="319"/>
    </row>
    <row r="781" spans="1:84" ht="12.75" hidden="1" customHeight="1">
      <c r="A781" s="12"/>
      <c r="B781" s="329" t="str">
        <f>$B$13</f>
        <v>Modelo</v>
      </c>
      <c r="C781" s="1152"/>
      <c r="D781" s="1153"/>
      <c r="E781" s="1154"/>
      <c r="F781" s="8" t="str">
        <f>$J$1089 &amp; Lang_Unit</f>
        <v>0 unidade(s)</v>
      </c>
      <c r="G781" s="8"/>
      <c r="H781" s="8"/>
      <c r="I781" s="8"/>
      <c r="J781" s="8"/>
      <c r="K781" s="9"/>
      <c r="L781" s="1"/>
      <c r="M781" s="319"/>
      <c r="N781" s="319"/>
      <c r="O781" s="319"/>
      <c r="P781" s="319"/>
      <c r="Q781" s="319"/>
      <c r="R781" s="319"/>
      <c r="S781" s="319"/>
      <c r="T781" s="319"/>
      <c r="U781" s="319"/>
      <c r="V781" s="319"/>
      <c r="W781" s="319"/>
      <c r="X781" s="319"/>
      <c r="Y781" s="319"/>
      <c r="Z781" s="319"/>
      <c r="AA781" s="319"/>
      <c r="AB781" s="319"/>
      <c r="AC781" s="319"/>
      <c r="AD781" s="319"/>
      <c r="AE781" s="319"/>
      <c r="AF781" s="319"/>
      <c r="AG781" s="319"/>
      <c r="AH781" s="319"/>
      <c r="AI781" s="319"/>
      <c r="AJ781" s="319"/>
      <c r="AK781" s="319"/>
      <c r="AL781" s="319"/>
      <c r="AM781" s="319"/>
      <c r="AN781" s="319"/>
      <c r="AO781" s="319">
        <v>2050014</v>
      </c>
      <c r="AP781" s="319"/>
      <c r="AQ781" s="319"/>
      <c r="AR781" s="319"/>
      <c r="AS781" s="319"/>
      <c r="AT781" s="319"/>
      <c r="AU781" s="319"/>
      <c r="AV781" s="319"/>
      <c r="AW781" s="319"/>
      <c r="AX781" s="319"/>
      <c r="AY781" s="319"/>
      <c r="AZ781" s="319"/>
      <c r="BA781" s="319"/>
      <c r="BB781" s="319"/>
      <c r="BC781" s="319"/>
      <c r="BD781" s="319"/>
      <c r="BE781" s="319"/>
      <c r="BF781" s="319"/>
      <c r="BG781" s="319"/>
      <c r="BH781" s="319"/>
      <c r="BI781" s="319"/>
      <c r="BJ781" s="319"/>
      <c r="BK781" s="319"/>
      <c r="BL781" s="319"/>
      <c r="BM781" s="319"/>
      <c r="BN781" s="319"/>
      <c r="BO781" s="319"/>
      <c r="BP781" s="319"/>
      <c r="BQ781" s="319"/>
      <c r="BR781" s="319"/>
      <c r="BS781" s="319"/>
      <c r="BT781" s="319"/>
      <c r="BU781" s="319"/>
      <c r="BV781" s="319"/>
      <c r="BW781" s="319"/>
      <c r="BX781" s="319"/>
      <c r="BY781" s="319"/>
      <c r="BZ781" s="319"/>
      <c r="CA781" s="319"/>
      <c r="CB781" s="319"/>
      <c r="CC781" s="319"/>
      <c r="CD781" s="319"/>
      <c r="CE781" s="319"/>
      <c r="CF781" s="319"/>
    </row>
    <row r="782" spans="1:84" ht="12.75" hidden="1" customHeight="1">
      <c r="A782" s="12"/>
      <c r="B782" s="329" t="str">
        <f>$B$309</f>
        <v>Fator de Utilização</v>
      </c>
      <c r="C782" s="29" t="str">
        <f>$T$35</f>
        <v>%</v>
      </c>
      <c r="D782" s="422"/>
      <c r="E782" s="1"/>
      <c r="F782" s="8"/>
      <c r="G782" s="8"/>
      <c r="H782" s="8"/>
      <c r="I782" s="8"/>
      <c r="J782" s="8"/>
      <c r="K782" s="9"/>
      <c r="L782" s="1"/>
      <c r="M782" s="319"/>
      <c r="N782" s="319"/>
      <c r="O782" s="319"/>
      <c r="P782" s="319"/>
      <c r="Q782" s="319"/>
      <c r="R782" s="319"/>
      <c r="S782" s="319"/>
      <c r="T782" s="319"/>
      <c r="U782" s="319"/>
      <c r="V782" s="319"/>
      <c r="W782" s="319"/>
      <c r="X782" s="319"/>
      <c r="Y782" s="319"/>
      <c r="Z782" s="319"/>
      <c r="AA782" s="319"/>
      <c r="AB782" s="319"/>
      <c r="AC782" s="319"/>
      <c r="AD782" s="319"/>
      <c r="AE782" s="319"/>
      <c r="AF782" s="319"/>
      <c r="AG782" s="319"/>
      <c r="AH782" s="319"/>
      <c r="AI782" s="319"/>
      <c r="AJ782" s="319"/>
      <c r="AK782" s="319"/>
      <c r="AL782" s="319"/>
      <c r="AM782" s="319"/>
      <c r="AN782" s="319"/>
      <c r="AO782" s="319">
        <v>2070000</v>
      </c>
      <c r="AP782" s="319"/>
      <c r="AQ782" s="319"/>
      <c r="AR782" s="319"/>
      <c r="AS782" s="319"/>
      <c r="AT782" s="319"/>
      <c r="AU782" s="319"/>
      <c r="AV782" s="319"/>
      <c r="AW782" s="319"/>
      <c r="AX782" s="319"/>
      <c r="AY782" s="319"/>
      <c r="AZ782" s="319"/>
      <c r="BA782" s="319"/>
      <c r="BB782" s="319"/>
      <c r="BC782" s="319"/>
      <c r="BD782" s="319"/>
      <c r="BE782" s="319"/>
      <c r="BF782" s="319"/>
      <c r="BG782" s="319"/>
      <c r="BH782" s="319"/>
      <c r="BI782" s="319"/>
      <c r="BJ782" s="319"/>
      <c r="BK782" s="319"/>
      <c r="BL782" s="319"/>
      <c r="BM782" s="319"/>
      <c r="BN782" s="319"/>
      <c r="BO782" s="319"/>
      <c r="BP782" s="319"/>
      <c r="BQ782" s="319"/>
      <c r="BR782" s="319"/>
      <c r="BS782" s="319"/>
      <c r="BT782" s="319"/>
      <c r="BU782" s="319"/>
      <c r="BV782" s="319"/>
      <c r="BW782" s="319"/>
      <c r="BX782" s="319"/>
      <c r="BY782" s="319"/>
      <c r="BZ782" s="319"/>
      <c r="CA782" s="319"/>
      <c r="CB782" s="319"/>
      <c r="CC782" s="319"/>
      <c r="CD782" s="319"/>
      <c r="CE782" s="319"/>
      <c r="CF782" s="319"/>
    </row>
    <row r="783" spans="1:84" ht="12.75" hidden="1" customHeight="1">
      <c r="A783" s="12"/>
      <c r="B783" s="329" t="str">
        <f>$B$94</f>
        <v>Eletricidade fornecida à carga</v>
      </c>
      <c r="C783" s="29" t="str">
        <f>R14</f>
        <v>MWh</v>
      </c>
      <c r="D783" s="30">
        <f>IF(HideCodeES_PSS=1,$G$1107,IF($C$854=$E$1094,$G$1107,$G$1108))</f>
        <v>0</v>
      </c>
      <c r="E783" s="80" t="str">
        <f>IF($P$867=0,"",D783/$P$867)</f>
        <v/>
      </c>
      <c r="F783" s="8"/>
      <c r="G783" s="8"/>
      <c r="H783" s="8"/>
      <c r="I783" s="8"/>
      <c r="J783" s="8"/>
      <c r="K783" s="9"/>
      <c r="L783" s="1"/>
      <c r="M783" s="319"/>
      <c r="N783" s="319"/>
      <c r="O783" s="319"/>
      <c r="P783" s="319"/>
      <c r="Q783" s="319"/>
      <c r="R783" s="319"/>
      <c r="S783" s="319"/>
      <c r="T783" s="319"/>
      <c r="U783" s="319"/>
      <c r="V783" s="319"/>
      <c r="W783" s="319"/>
      <c r="X783" s="319"/>
      <c r="Y783" s="319"/>
      <c r="Z783" s="319"/>
      <c r="AA783" s="319"/>
      <c r="AB783" s="319"/>
      <c r="AC783" s="319"/>
      <c r="AD783" s="319"/>
      <c r="AE783" s="319"/>
      <c r="AF783" s="319"/>
      <c r="AG783" s="319"/>
      <c r="AH783" s="319"/>
      <c r="AI783" s="319"/>
      <c r="AJ783" s="319"/>
      <c r="AK783" s="319"/>
      <c r="AL783" s="319"/>
      <c r="AM783" s="319"/>
      <c r="AN783" s="319"/>
      <c r="AO783" s="319">
        <v>2050008</v>
      </c>
      <c r="AP783" s="319"/>
      <c r="AQ783" s="319"/>
      <c r="AR783" s="319"/>
      <c r="AS783" s="319"/>
      <c r="AT783" s="319"/>
      <c r="AU783" s="319"/>
      <c r="AV783" s="319"/>
      <c r="AW783" s="319"/>
      <c r="AX783" s="319"/>
      <c r="AY783" s="319"/>
      <c r="AZ783" s="319"/>
      <c r="BA783" s="319"/>
      <c r="BB783" s="319"/>
      <c r="BC783" s="319"/>
      <c r="BD783" s="319"/>
      <c r="BE783" s="319"/>
      <c r="BF783" s="319"/>
      <c r="BG783" s="319"/>
      <c r="BH783" s="319"/>
      <c r="BI783" s="319"/>
      <c r="BJ783" s="319"/>
      <c r="BK783" s="319"/>
      <c r="BL783" s="319"/>
      <c r="BM783" s="319"/>
      <c r="BN783" s="319"/>
      <c r="BO783" s="319"/>
      <c r="BP783" s="319"/>
      <c r="BQ783" s="319"/>
      <c r="BR783" s="319"/>
      <c r="BS783" s="319"/>
      <c r="BT783" s="319"/>
      <c r="BU783" s="319"/>
      <c r="BV783" s="319"/>
      <c r="BW783" s="319"/>
      <c r="BX783" s="319"/>
      <c r="BY783" s="319"/>
      <c r="BZ783" s="319"/>
      <c r="CA783" s="319"/>
      <c r="CB783" s="319"/>
      <c r="CC783" s="319"/>
      <c r="CD783" s="319"/>
      <c r="CE783" s="319"/>
      <c r="CF783" s="319"/>
    </row>
    <row r="784" spans="1:84" ht="12.75" hidden="1" customHeight="1">
      <c r="A784" s="14"/>
      <c r="B784" s="380" t="str">
        <f>$B$95</f>
        <v>Eletricidade exportada p/ rede</v>
      </c>
      <c r="C784" s="33" t="str">
        <f>R14</f>
        <v>MWh</v>
      </c>
      <c r="D784" s="34">
        <f>IF(HideCodeES_PSS=1,$J$1107,IF($C$854=$E$1094,$J$1107,$J$1108))</f>
        <v>5.3903325633948667</v>
      </c>
      <c r="E784" s="15"/>
      <c r="F784" s="15"/>
      <c r="G784" s="15"/>
      <c r="H784" s="15"/>
      <c r="I784" s="15"/>
      <c r="J784" s="15"/>
      <c r="K784" s="11"/>
      <c r="L784" s="1"/>
      <c r="M784" s="319"/>
      <c r="N784" s="319"/>
      <c r="O784" s="319"/>
      <c r="P784" s="319"/>
      <c r="Q784" s="319"/>
      <c r="R784" s="319"/>
      <c r="S784" s="319"/>
      <c r="T784" s="319"/>
      <c r="U784" s="319"/>
      <c r="V784" s="319"/>
      <c r="W784" s="319"/>
      <c r="X784" s="319"/>
      <c r="Y784" s="319"/>
      <c r="Z784" s="319"/>
      <c r="AA784" s="319"/>
      <c r="AB784" s="319"/>
      <c r="AC784" s="319"/>
      <c r="AD784" s="319"/>
      <c r="AE784" s="319"/>
      <c r="AF784" s="319"/>
      <c r="AG784" s="319"/>
      <c r="AH784" s="319"/>
      <c r="AI784" s="319"/>
      <c r="AJ784" s="319"/>
      <c r="AK784" s="319"/>
      <c r="AL784" s="319"/>
      <c r="AM784" s="319"/>
      <c r="AN784" s="319"/>
      <c r="AO784" s="319">
        <v>2050010</v>
      </c>
      <c r="AP784" s="319"/>
      <c r="AQ784" s="319"/>
      <c r="AR784" s="319"/>
      <c r="AS784" s="319"/>
      <c r="AT784" s="319"/>
      <c r="AU784" s="319"/>
      <c r="AV784" s="319"/>
      <c r="AW784" s="319"/>
      <c r="AX784" s="319"/>
      <c r="AY784" s="319"/>
      <c r="AZ784" s="319"/>
      <c r="BA784" s="319"/>
      <c r="BB784" s="319"/>
      <c r="BC784" s="319"/>
      <c r="BD784" s="319"/>
      <c r="BE784" s="319"/>
      <c r="BF784" s="319"/>
      <c r="BG784" s="319"/>
      <c r="BH784" s="319"/>
      <c r="BI784" s="319"/>
      <c r="BJ784" s="319"/>
      <c r="BK784" s="319"/>
      <c r="BL784" s="319"/>
      <c r="BM784" s="319"/>
      <c r="BN784" s="319"/>
      <c r="BO784" s="319"/>
      <c r="BP784" s="319"/>
      <c r="BQ784" s="319"/>
      <c r="BR784" s="319"/>
      <c r="BS784" s="319"/>
      <c r="BT784" s="319"/>
      <c r="BU784" s="319"/>
      <c r="BV784" s="319"/>
      <c r="BW784" s="319"/>
      <c r="BX784" s="319"/>
      <c r="BY784" s="319"/>
      <c r="BZ784" s="319"/>
      <c r="CA784" s="319"/>
      <c r="CB784" s="319"/>
      <c r="CC784" s="319"/>
      <c r="CD784" s="319"/>
      <c r="CE784" s="319"/>
      <c r="CF784" s="319"/>
    </row>
    <row r="785" spans="1:84" ht="12.75" hidden="1" customHeight="1">
      <c r="A785" s="12"/>
      <c r="B785" s="232"/>
      <c r="C785" s="21"/>
      <c r="D785" s="88"/>
      <c r="E785" s="227"/>
      <c r="F785" s="8"/>
      <c r="G785" s="8"/>
      <c r="H785" s="8"/>
      <c r="I785" s="8"/>
      <c r="J785" s="8"/>
      <c r="K785" s="9"/>
      <c r="L785" s="1"/>
      <c r="M785" s="319"/>
      <c r="N785" s="319"/>
      <c r="O785" s="319"/>
      <c r="P785" s="319"/>
      <c r="Q785" s="319"/>
      <c r="R785" s="319"/>
      <c r="S785" s="319"/>
      <c r="T785" s="319"/>
      <c r="U785" s="319"/>
      <c r="V785" s="319"/>
      <c r="W785" s="319"/>
      <c r="X785" s="319"/>
      <c r="Y785" s="319"/>
      <c r="Z785" s="319"/>
      <c r="AA785" s="319"/>
      <c r="AB785" s="319"/>
      <c r="AC785" s="319"/>
      <c r="AD785" s="319"/>
      <c r="AE785" s="319"/>
      <c r="AF785" s="319"/>
      <c r="AG785" s="319"/>
      <c r="AH785" s="319"/>
      <c r="AI785" s="319"/>
      <c r="AJ785" s="319"/>
      <c r="AK785" s="319"/>
      <c r="AL785" s="319"/>
      <c r="AM785" s="319"/>
      <c r="AN785" s="319"/>
      <c r="AO785" s="319">
        <v>2030000</v>
      </c>
      <c r="AP785" s="319"/>
      <c r="AQ785" s="319"/>
      <c r="AR785" s="319"/>
      <c r="AS785" s="319"/>
      <c r="AT785" s="319"/>
      <c r="AU785" s="319"/>
      <c r="AV785" s="319"/>
      <c r="AW785" s="319"/>
      <c r="AX785" s="319"/>
      <c r="AY785" s="319"/>
      <c r="AZ785" s="319"/>
      <c r="BA785" s="319"/>
      <c r="BB785" s="319"/>
      <c r="BC785" s="319"/>
      <c r="BD785" s="319"/>
      <c r="BE785" s="319"/>
      <c r="BF785" s="319"/>
      <c r="BG785" s="319"/>
      <c r="BH785" s="319"/>
      <c r="BI785" s="319"/>
      <c r="BJ785" s="319"/>
      <c r="BK785" s="319"/>
      <c r="BL785" s="319"/>
      <c r="BM785" s="319"/>
      <c r="BN785" s="319"/>
      <c r="BO785" s="319"/>
      <c r="BP785" s="319"/>
      <c r="BQ785" s="319"/>
      <c r="BR785" s="319"/>
      <c r="BS785" s="319"/>
      <c r="BT785" s="319"/>
      <c r="BU785" s="319"/>
      <c r="BV785" s="319"/>
      <c r="BW785" s="319"/>
      <c r="BX785" s="319"/>
      <c r="BY785" s="319"/>
      <c r="BZ785" s="319"/>
      <c r="CA785" s="319"/>
      <c r="CB785" s="319"/>
      <c r="CC785" s="319"/>
      <c r="CD785" s="319"/>
      <c r="CE785" s="319"/>
      <c r="CF785" s="319"/>
    </row>
    <row r="786" spans="1:84" ht="12.75" hidden="1" customHeight="1">
      <c r="A786" s="12"/>
      <c r="B786" s="751" t="str">
        <f>K1074&amp;" #2"</f>
        <v>Energia das marés #2</v>
      </c>
      <c r="C786" s="21"/>
      <c r="D786" s="88"/>
      <c r="E786" s="227"/>
      <c r="F786" s="8"/>
      <c r="G786" s="8"/>
      <c r="H786" s="8"/>
      <c r="I786" s="8"/>
      <c r="J786" s="8"/>
      <c r="K786" s="9"/>
      <c r="L786" s="1"/>
      <c r="M786" s="319"/>
      <c r="N786" s="319"/>
      <c r="O786" s="319"/>
      <c r="P786" s="319"/>
      <c r="Q786" s="319"/>
      <c r="R786" s="319"/>
      <c r="S786" s="319"/>
      <c r="T786" s="319"/>
      <c r="U786" s="319"/>
      <c r="V786" s="319"/>
      <c r="W786" s="319"/>
      <c r="X786" s="319"/>
      <c r="Y786" s="319"/>
      <c r="Z786" s="319"/>
      <c r="AA786" s="319"/>
      <c r="AB786" s="319"/>
      <c r="AC786" s="319"/>
      <c r="AD786" s="319"/>
      <c r="AE786" s="319"/>
      <c r="AF786" s="319"/>
      <c r="AG786" s="319"/>
      <c r="AH786" s="319"/>
      <c r="AI786" s="319"/>
      <c r="AJ786" s="319"/>
      <c r="AK786" s="319"/>
      <c r="AL786" s="319"/>
      <c r="AM786" s="319"/>
      <c r="AN786" s="319"/>
      <c r="AO786" s="319">
        <v>14210</v>
      </c>
      <c r="AP786" s="319"/>
      <c r="AQ786" s="319"/>
      <c r="AR786" s="319"/>
      <c r="AS786" s="319"/>
      <c r="AT786" s="319"/>
      <c r="AU786" s="319"/>
      <c r="AV786" s="319"/>
      <c r="AW786" s="319"/>
      <c r="AX786" s="319"/>
      <c r="AY786" s="319"/>
      <c r="AZ786" s="319"/>
      <c r="BA786" s="319"/>
      <c r="BB786" s="319"/>
      <c r="BC786" s="319"/>
      <c r="BD786" s="319"/>
      <c r="BE786" s="319"/>
      <c r="BF786" s="319"/>
      <c r="BG786" s="319"/>
      <c r="BH786" s="319"/>
      <c r="BI786" s="319"/>
      <c r="BJ786" s="319"/>
      <c r="BK786" s="319"/>
      <c r="BL786" s="319"/>
      <c r="BM786" s="319"/>
      <c r="BN786" s="319"/>
      <c r="BO786" s="319"/>
      <c r="BP786" s="319"/>
      <c r="BQ786" s="319"/>
      <c r="BR786" s="319"/>
      <c r="BS786" s="319"/>
      <c r="BT786" s="319"/>
      <c r="BU786" s="319"/>
      <c r="BV786" s="319"/>
      <c r="BW786" s="319"/>
      <c r="BX786" s="319"/>
      <c r="BY786" s="319"/>
      <c r="BZ786" s="319"/>
      <c r="CA786" s="319"/>
      <c r="CB786" s="319"/>
      <c r="CC786" s="319"/>
      <c r="CD786" s="319"/>
      <c r="CE786" s="319"/>
      <c r="CF786" s="319"/>
    </row>
    <row r="787" spans="1:84" ht="12.75" hidden="1" customHeight="1">
      <c r="A787" s="12"/>
      <c r="B787" s="329" t="str">
        <f>$B$92</f>
        <v>Potência elétrica</v>
      </c>
      <c r="C787" s="29" t="str">
        <f>$C$92</f>
        <v>kW</v>
      </c>
      <c r="D787" s="412"/>
      <c r="E787" s="80" t="str">
        <f>IF($P$866=0,"",D787/$P$866)</f>
        <v/>
      </c>
      <c r="F787" s="1"/>
      <c r="G787" s="8"/>
      <c r="H787" s="1346"/>
      <c r="I787" s="1252" t="str">
        <f>I779</f>
        <v>Ver banco de dados de produtos</v>
      </c>
      <c r="J787" s="1191"/>
      <c r="K787" s="1210"/>
      <c r="L787" s="1"/>
      <c r="M787" s="319"/>
      <c r="N787" s="319"/>
      <c r="O787" s="319"/>
      <c r="P787" s="319"/>
      <c r="Q787" s="319"/>
      <c r="R787" s="319"/>
      <c r="S787" s="319"/>
      <c r="T787" s="319"/>
      <c r="U787" s="319"/>
      <c r="V787" s="319"/>
      <c r="W787" s="319"/>
      <c r="X787" s="319"/>
      <c r="Y787" s="319"/>
      <c r="Z787" s="319"/>
      <c r="AA787" s="319"/>
      <c r="AB787" s="319"/>
      <c r="AC787" s="319"/>
      <c r="AD787" s="319"/>
      <c r="AE787" s="319"/>
      <c r="AF787" s="319"/>
      <c r="AG787" s="319"/>
      <c r="AH787" s="319"/>
      <c r="AI787" s="319"/>
      <c r="AJ787" s="319"/>
      <c r="AK787" s="319"/>
      <c r="AL787" s="319"/>
      <c r="AM787" s="319"/>
      <c r="AN787" s="319"/>
      <c r="AO787" s="319">
        <v>2050002</v>
      </c>
      <c r="AP787" s="319"/>
      <c r="AQ787" s="319"/>
      <c r="AR787" s="319"/>
      <c r="AS787" s="319"/>
      <c r="AT787" s="319"/>
      <c r="AU787" s="319"/>
      <c r="AV787" s="319"/>
      <c r="AW787" s="319"/>
      <c r="AX787" s="319"/>
      <c r="AY787" s="319"/>
      <c r="AZ787" s="319"/>
      <c r="BA787" s="319"/>
      <c r="BB787" s="319"/>
      <c r="BC787" s="319"/>
      <c r="BD787" s="319"/>
      <c r="BE787" s="319"/>
      <c r="BF787" s="319"/>
      <c r="BG787" s="319"/>
      <c r="BH787" s="319"/>
      <c r="BI787" s="319"/>
      <c r="BJ787" s="319"/>
      <c r="BK787" s="319"/>
      <c r="BL787" s="319"/>
      <c r="BM787" s="319"/>
      <c r="BN787" s="319"/>
      <c r="BO787" s="319"/>
      <c r="BP787" s="319"/>
      <c r="BQ787" s="319"/>
      <c r="BR787" s="319"/>
      <c r="BS787" s="319"/>
      <c r="BT787" s="319"/>
      <c r="BU787" s="319"/>
      <c r="BV787" s="319"/>
      <c r="BW787" s="319"/>
      <c r="BX787" s="319"/>
      <c r="BY787" s="319"/>
      <c r="BZ787" s="319"/>
      <c r="CA787" s="319"/>
      <c r="CB787" s="319"/>
      <c r="CC787" s="319"/>
      <c r="CD787" s="319"/>
      <c r="CE787" s="319"/>
      <c r="CF787" s="319"/>
    </row>
    <row r="788" spans="1:84" ht="12.75" hidden="1" customHeight="1">
      <c r="A788" s="12"/>
      <c r="B788" s="329" t="str">
        <f>$B$12</f>
        <v>Fabricante</v>
      </c>
      <c r="C788" s="1152"/>
      <c r="D788" s="1153"/>
      <c r="E788" s="1154"/>
      <c r="F788" s="8"/>
      <c r="G788" s="8"/>
      <c r="H788" s="8"/>
      <c r="I788" s="8"/>
      <c r="J788" s="8"/>
      <c r="K788" s="9"/>
      <c r="L788" s="1"/>
      <c r="M788" s="319"/>
      <c r="N788" s="319"/>
      <c r="O788" s="319"/>
      <c r="P788" s="319"/>
      <c r="Q788" s="319"/>
      <c r="R788" s="319"/>
      <c r="S788" s="319"/>
      <c r="T788" s="319"/>
      <c r="U788" s="319"/>
      <c r="V788" s="319"/>
      <c r="W788" s="319"/>
      <c r="X788" s="319"/>
      <c r="Y788" s="319"/>
      <c r="Z788" s="319"/>
      <c r="AA788" s="319"/>
      <c r="AB788" s="319"/>
      <c r="AC788" s="319"/>
      <c r="AD788" s="319"/>
      <c r="AE788" s="319"/>
      <c r="AF788" s="319"/>
      <c r="AG788" s="319"/>
      <c r="AH788" s="319"/>
      <c r="AI788" s="319"/>
      <c r="AJ788" s="319"/>
      <c r="AK788" s="319"/>
      <c r="AL788" s="319"/>
      <c r="AM788" s="319"/>
      <c r="AN788" s="319"/>
      <c r="AO788" s="319">
        <v>2050012</v>
      </c>
      <c r="AP788" s="319"/>
      <c r="AQ788" s="319"/>
      <c r="AR788" s="319"/>
      <c r="AS788" s="319"/>
      <c r="AT788" s="319"/>
      <c r="AU788" s="319"/>
      <c r="AV788" s="319"/>
      <c r="AW788" s="319"/>
      <c r="AX788" s="319"/>
      <c r="AY788" s="319"/>
      <c r="AZ788" s="319"/>
      <c r="BA788" s="319"/>
      <c r="BB788" s="319"/>
      <c r="BC788" s="319"/>
      <c r="BD788" s="319"/>
      <c r="BE788" s="319"/>
      <c r="BF788" s="319"/>
      <c r="BG788" s="319"/>
      <c r="BH788" s="319"/>
      <c r="BI788" s="319"/>
      <c r="BJ788" s="319"/>
      <c r="BK788" s="319"/>
      <c r="BL788" s="319"/>
      <c r="BM788" s="319"/>
      <c r="BN788" s="319"/>
      <c r="BO788" s="319"/>
      <c r="BP788" s="319"/>
      <c r="BQ788" s="319"/>
      <c r="BR788" s="319"/>
      <c r="BS788" s="319"/>
      <c r="BT788" s="319"/>
      <c r="BU788" s="319"/>
      <c r="BV788" s="319"/>
      <c r="BW788" s="319"/>
      <c r="BX788" s="319"/>
      <c r="BY788" s="319"/>
      <c r="BZ788" s="319"/>
      <c r="CA788" s="319"/>
      <c r="CB788" s="319"/>
      <c r="CC788" s="319"/>
      <c r="CD788" s="319"/>
      <c r="CE788" s="319"/>
      <c r="CF788" s="319"/>
    </row>
    <row r="789" spans="1:84" ht="12.75" hidden="1" customHeight="1">
      <c r="A789" s="12"/>
      <c r="B789" s="329" t="str">
        <f>$B$13</f>
        <v>Modelo</v>
      </c>
      <c r="C789" s="1152"/>
      <c r="D789" s="1153"/>
      <c r="E789" s="1154"/>
      <c r="F789" s="8" t="str">
        <f>$J$1090 &amp; Lang_Unit</f>
        <v>0 unidade(s)</v>
      </c>
      <c r="G789" s="8"/>
      <c r="H789" s="8"/>
      <c r="I789" s="8"/>
      <c r="J789" s="8"/>
      <c r="K789" s="9"/>
      <c r="L789" s="1"/>
      <c r="M789" s="319"/>
      <c r="N789" s="319"/>
      <c r="O789" s="319"/>
      <c r="P789" s="319"/>
      <c r="Q789" s="319"/>
      <c r="R789" s="319"/>
      <c r="S789" s="319"/>
      <c r="T789" s="319"/>
      <c r="U789" s="319"/>
      <c r="V789" s="319"/>
      <c r="W789" s="319"/>
      <c r="X789" s="319"/>
      <c r="Y789" s="319"/>
      <c r="Z789" s="319"/>
      <c r="AA789" s="319"/>
      <c r="AB789" s="319"/>
      <c r="AC789" s="319"/>
      <c r="AD789" s="319"/>
      <c r="AE789" s="319"/>
      <c r="AF789" s="319"/>
      <c r="AG789" s="319"/>
      <c r="AH789" s="319"/>
      <c r="AI789" s="319"/>
      <c r="AJ789" s="319"/>
      <c r="AK789" s="319"/>
      <c r="AL789" s="319"/>
      <c r="AM789" s="319"/>
      <c r="AN789" s="319"/>
      <c r="AO789" s="319">
        <v>2050014</v>
      </c>
      <c r="AP789" s="319"/>
      <c r="AQ789" s="319"/>
      <c r="AR789" s="319"/>
      <c r="AS789" s="319"/>
      <c r="AT789" s="319"/>
      <c r="AU789" s="319"/>
      <c r="AV789" s="319"/>
      <c r="AW789" s="319"/>
      <c r="AX789" s="319"/>
      <c r="AY789" s="319"/>
      <c r="AZ789" s="319"/>
      <c r="BA789" s="319"/>
      <c r="BB789" s="319"/>
      <c r="BC789" s="319"/>
      <c r="BD789" s="319"/>
      <c r="BE789" s="319"/>
      <c r="BF789" s="319"/>
      <c r="BG789" s="319"/>
      <c r="BH789" s="319"/>
      <c r="BI789" s="319"/>
      <c r="BJ789" s="319"/>
      <c r="BK789" s="319"/>
      <c r="BL789" s="319"/>
      <c r="BM789" s="319"/>
      <c r="BN789" s="319"/>
      <c r="BO789" s="319"/>
      <c r="BP789" s="319"/>
      <c r="BQ789" s="319"/>
      <c r="BR789" s="319"/>
      <c r="BS789" s="319"/>
      <c r="BT789" s="319"/>
      <c r="BU789" s="319"/>
      <c r="BV789" s="319"/>
      <c r="BW789" s="319"/>
      <c r="BX789" s="319"/>
      <c r="BY789" s="319"/>
      <c r="BZ789" s="319"/>
      <c r="CA789" s="319"/>
      <c r="CB789" s="319"/>
      <c r="CC789" s="319"/>
      <c r="CD789" s="319"/>
      <c r="CE789" s="319"/>
      <c r="CF789" s="319"/>
    </row>
    <row r="790" spans="1:84" ht="12.75" hidden="1" customHeight="1">
      <c r="A790" s="12"/>
      <c r="B790" s="329" t="str">
        <f>$B$309</f>
        <v>Fator de Utilização</v>
      </c>
      <c r="C790" s="29" t="str">
        <f>$T$35</f>
        <v>%</v>
      </c>
      <c r="D790" s="422"/>
      <c r="E790" s="1"/>
      <c r="F790" s="8"/>
      <c r="G790" s="8"/>
      <c r="H790" s="8"/>
      <c r="I790" s="8"/>
      <c r="J790" s="8"/>
      <c r="K790" s="9"/>
      <c r="L790" s="1"/>
      <c r="M790" s="319"/>
      <c r="N790" s="319"/>
      <c r="O790" s="319"/>
      <c r="P790" s="319"/>
      <c r="Q790" s="319"/>
      <c r="R790" s="319"/>
      <c r="S790" s="319"/>
      <c r="T790" s="319"/>
      <c r="U790" s="319"/>
      <c r="V790" s="319"/>
      <c r="W790" s="319"/>
      <c r="X790" s="319"/>
      <c r="Y790" s="319"/>
      <c r="Z790" s="319"/>
      <c r="AA790" s="319"/>
      <c r="AB790" s="319"/>
      <c r="AC790" s="319"/>
      <c r="AD790" s="319"/>
      <c r="AE790" s="319"/>
      <c r="AF790" s="319"/>
      <c r="AG790" s="319"/>
      <c r="AH790" s="319"/>
      <c r="AI790" s="319"/>
      <c r="AJ790" s="319"/>
      <c r="AK790" s="319"/>
      <c r="AL790" s="319"/>
      <c r="AM790" s="319"/>
      <c r="AN790" s="319"/>
      <c r="AO790" s="319">
        <v>2070000</v>
      </c>
      <c r="AP790" s="319"/>
      <c r="AQ790" s="319"/>
      <c r="AR790" s="319"/>
      <c r="AS790" s="319"/>
      <c r="AT790" s="319"/>
      <c r="AU790" s="319"/>
      <c r="AV790" s="319"/>
      <c r="AW790" s="319"/>
      <c r="AX790" s="319"/>
      <c r="AY790" s="319"/>
      <c r="AZ790" s="319"/>
      <c r="BA790" s="319"/>
      <c r="BB790" s="319"/>
      <c r="BC790" s="319"/>
      <c r="BD790" s="319"/>
      <c r="BE790" s="319"/>
      <c r="BF790" s="319"/>
      <c r="BG790" s="319"/>
      <c r="BH790" s="319"/>
      <c r="BI790" s="319"/>
      <c r="BJ790" s="319"/>
      <c r="BK790" s="319"/>
      <c r="BL790" s="319"/>
      <c r="BM790" s="319"/>
      <c r="BN790" s="319"/>
      <c r="BO790" s="319"/>
      <c r="BP790" s="319"/>
      <c r="BQ790" s="319"/>
      <c r="BR790" s="319"/>
      <c r="BS790" s="319"/>
      <c r="BT790" s="319"/>
      <c r="BU790" s="319"/>
      <c r="BV790" s="319"/>
      <c r="BW790" s="319"/>
      <c r="BX790" s="319"/>
      <c r="BY790" s="319"/>
      <c r="BZ790" s="319"/>
      <c r="CA790" s="319"/>
      <c r="CB790" s="319"/>
      <c r="CC790" s="319"/>
      <c r="CD790" s="319"/>
      <c r="CE790" s="319"/>
      <c r="CF790" s="319"/>
    </row>
    <row r="791" spans="1:84" ht="12.75" hidden="1" customHeight="1">
      <c r="A791" s="12"/>
      <c r="B791" s="329" t="str">
        <f>$B$94</f>
        <v>Eletricidade fornecida à carga</v>
      </c>
      <c r="C791" s="29" t="str">
        <f>R14</f>
        <v>MWh</v>
      </c>
      <c r="D791" s="30">
        <f>IF(HideCodeES_PSS=1,$G$1107,IF($C$854=$E$1094,$G$1107,$G$1108))</f>
        <v>0</v>
      </c>
      <c r="E791" s="80" t="str">
        <f>IF($P$867=0,"",D791/$P$867)</f>
        <v/>
      </c>
      <c r="F791" s="8"/>
      <c r="G791" s="8"/>
      <c r="H791" s="8"/>
      <c r="I791" s="8"/>
      <c r="J791" s="8"/>
      <c r="K791" s="9"/>
      <c r="L791" s="1"/>
      <c r="M791" s="319"/>
      <c r="N791" s="319"/>
      <c r="O791" s="319"/>
      <c r="P791" s="319"/>
      <c r="Q791" s="319"/>
      <c r="R791" s="319"/>
      <c r="S791" s="319"/>
      <c r="T791" s="319"/>
      <c r="U791" s="319"/>
      <c r="V791" s="319"/>
      <c r="W791" s="319"/>
      <c r="X791" s="319"/>
      <c r="Y791" s="319"/>
      <c r="Z791" s="319"/>
      <c r="AA791" s="319"/>
      <c r="AB791" s="319"/>
      <c r="AC791" s="319"/>
      <c r="AD791" s="319"/>
      <c r="AE791" s="319"/>
      <c r="AF791" s="319"/>
      <c r="AG791" s="319"/>
      <c r="AH791" s="319"/>
      <c r="AI791" s="319"/>
      <c r="AJ791" s="319"/>
      <c r="AK791" s="319"/>
      <c r="AL791" s="319"/>
      <c r="AM791" s="319"/>
      <c r="AN791" s="319"/>
      <c r="AO791" s="319">
        <v>2050008</v>
      </c>
      <c r="AP791" s="319"/>
      <c r="AQ791" s="319"/>
      <c r="AR791" s="319"/>
      <c r="AS791" s="319"/>
      <c r="AT791" s="319"/>
      <c r="AU791" s="319"/>
      <c r="AV791" s="319"/>
      <c r="AW791" s="319"/>
      <c r="AX791" s="319"/>
      <c r="AY791" s="319"/>
      <c r="AZ791" s="319"/>
      <c r="BA791" s="319"/>
      <c r="BB791" s="319"/>
      <c r="BC791" s="319"/>
      <c r="BD791" s="319"/>
      <c r="BE791" s="319"/>
      <c r="BF791" s="319"/>
      <c r="BG791" s="319"/>
      <c r="BH791" s="319"/>
      <c r="BI791" s="319"/>
      <c r="BJ791" s="319"/>
      <c r="BK791" s="319"/>
      <c r="BL791" s="319"/>
      <c r="BM791" s="319"/>
      <c r="BN791" s="319"/>
      <c r="BO791" s="319"/>
      <c r="BP791" s="319"/>
      <c r="BQ791" s="319"/>
      <c r="BR791" s="319"/>
      <c r="BS791" s="319"/>
      <c r="BT791" s="319"/>
      <c r="BU791" s="319"/>
      <c r="BV791" s="319"/>
      <c r="BW791" s="319"/>
      <c r="BX791" s="319"/>
      <c r="BY791" s="319"/>
      <c r="BZ791" s="319"/>
      <c r="CA791" s="319"/>
      <c r="CB791" s="319"/>
      <c r="CC791" s="319"/>
      <c r="CD791" s="319"/>
      <c r="CE791" s="319"/>
      <c r="CF791" s="319"/>
    </row>
    <row r="792" spans="1:84" ht="12.75" hidden="1" customHeight="1">
      <c r="A792" s="14"/>
      <c r="B792" s="380" t="str">
        <f>$B$95</f>
        <v>Eletricidade exportada p/ rede</v>
      </c>
      <c r="C792" s="33" t="str">
        <f>R14</f>
        <v>MWh</v>
      </c>
      <c r="D792" s="34">
        <f>IF(HideCodeES_PSS=1,$J$1107,IF($C$854=$E$1094,$J$1107,$J$1108))</f>
        <v>5.3903325633948667</v>
      </c>
      <c r="E792" s="15"/>
      <c r="F792" s="15"/>
      <c r="G792" s="15"/>
      <c r="H792" s="15"/>
      <c r="I792" s="15"/>
      <c r="J792" s="15"/>
      <c r="K792" s="11"/>
      <c r="L792" s="1"/>
      <c r="M792" s="319"/>
      <c r="N792" s="319"/>
      <c r="O792" s="319"/>
      <c r="P792" s="319"/>
      <c r="Q792" s="319"/>
      <c r="R792" s="319"/>
      <c r="S792" s="319"/>
      <c r="T792" s="319"/>
      <c r="U792" s="319"/>
      <c r="V792" s="319"/>
      <c r="W792" s="319"/>
      <c r="X792" s="319"/>
      <c r="Y792" s="319"/>
      <c r="Z792" s="319"/>
      <c r="AA792" s="319"/>
      <c r="AB792" s="319"/>
      <c r="AC792" s="319"/>
      <c r="AD792" s="319"/>
      <c r="AE792" s="319"/>
      <c r="AF792" s="319"/>
      <c r="AG792" s="319"/>
      <c r="AH792" s="319"/>
      <c r="AI792" s="319"/>
      <c r="AJ792" s="319"/>
      <c r="AK792" s="319"/>
      <c r="AL792" s="319"/>
      <c r="AM792" s="319"/>
      <c r="AN792" s="319"/>
      <c r="AO792" s="319">
        <v>2050010</v>
      </c>
      <c r="AP792" s="319"/>
      <c r="AQ792" s="319"/>
      <c r="AR792" s="319"/>
      <c r="AS792" s="319"/>
      <c r="AT792" s="319"/>
      <c r="AU792" s="319"/>
      <c r="AV792" s="319"/>
      <c r="AW792" s="319"/>
      <c r="AX792" s="319"/>
      <c r="AY792" s="319"/>
      <c r="AZ792" s="319"/>
      <c r="BA792" s="319"/>
      <c r="BB792" s="319"/>
      <c r="BC792" s="319"/>
      <c r="BD792" s="319"/>
      <c r="BE792" s="319"/>
      <c r="BF792" s="319"/>
      <c r="BG792" s="319"/>
      <c r="BH792" s="319"/>
      <c r="BI792" s="319"/>
      <c r="BJ792" s="319"/>
      <c r="BK792" s="319"/>
      <c r="BL792" s="319"/>
      <c r="BM792" s="319"/>
      <c r="BN792" s="319"/>
      <c r="BO792" s="319"/>
      <c r="BP792" s="319"/>
      <c r="BQ792" s="319"/>
      <c r="BR792" s="319"/>
      <c r="BS792" s="319"/>
      <c r="BT792" s="319"/>
      <c r="BU792" s="319"/>
      <c r="BV792" s="319"/>
      <c r="BW792" s="319"/>
      <c r="BX792" s="319"/>
      <c r="BY792" s="319"/>
      <c r="BZ792" s="319"/>
      <c r="CA792" s="319"/>
      <c r="CB792" s="319"/>
      <c r="CC792" s="319"/>
      <c r="CD792" s="319"/>
      <c r="CE792" s="319"/>
      <c r="CF792" s="319"/>
    </row>
    <row r="793" spans="1:84" ht="12.75" hidden="1" customHeight="1">
      <c r="A793" s="12"/>
      <c r="B793" s="232"/>
      <c r="C793" s="21"/>
      <c r="D793" s="88"/>
      <c r="E793" s="227"/>
      <c r="F793" s="8"/>
      <c r="G793" s="8"/>
      <c r="H793" s="8"/>
      <c r="I793" s="8"/>
      <c r="J793" s="8"/>
      <c r="K793" s="9"/>
      <c r="L793" s="1"/>
      <c r="M793" s="319"/>
      <c r="N793" s="319"/>
      <c r="O793" s="319"/>
      <c r="P793" s="319"/>
      <c r="Q793" s="319"/>
      <c r="R793" s="319"/>
      <c r="S793" s="319"/>
      <c r="T793" s="319"/>
      <c r="U793" s="319"/>
      <c r="V793" s="319"/>
      <c r="W793" s="319"/>
      <c r="X793" s="319"/>
      <c r="Y793" s="319"/>
      <c r="Z793" s="319"/>
      <c r="AA793" s="319"/>
      <c r="AB793" s="319"/>
      <c r="AC793" s="319"/>
      <c r="AD793" s="319"/>
      <c r="AE793" s="319"/>
      <c r="AF793" s="319"/>
      <c r="AG793" s="319"/>
      <c r="AH793" s="319"/>
      <c r="AI793" s="319"/>
      <c r="AJ793" s="319"/>
      <c r="AK793" s="319"/>
      <c r="AL793" s="319"/>
      <c r="AM793" s="319"/>
      <c r="AN793" s="319"/>
      <c r="AO793" s="319">
        <v>2030000</v>
      </c>
      <c r="AP793" s="319"/>
      <c r="AQ793" s="319"/>
      <c r="AR793" s="319"/>
      <c r="AS793" s="319"/>
      <c r="AT793" s="319"/>
      <c r="AU793" s="319"/>
      <c r="AV793" s="319"/>
      <c r="AW793" s="319"/>
      <c r="AX793" s="319"/>
      <c r="AY793" s="319"/>
      <c r="AZ793" s="319"/>
      <c r="BA793" s="319"/>
      <c r="BB793" s="319"/>
      <c r="BC793" s="319"/>
      <c r="BD793" s="319"/>
      <c r="BE793" s="319"/>
      <c r="BF793" s="319"/>
      <c r="BG793" s="319"/>
      <c r="BH793" s="319"/>
      <c r="BI793" s="319"/>
      <c r="BJ793" s="319"/>
      <c r="BK793" s="319"/>
      <c r="BL793" s="319"/>
      <c r="BM793" s="319"/>
      <c r="BN793" s="319"/>
      <c r="BO793" s="319"/>
      <c r="BP793" s="319"/>
      <c r="BQ793" s="319"/>
      <c r="BR793" s="319"/>
      <c r="BS793" s="319"/>
      <c r="BT793" s="319"/>
      <c r="BU793" s="319"/>
      <c r="BV793" s="319"/>
      <c r="BW793" s="319"/>
      <c r="BX793" s="319"/>
      <c r="BY793" s="319"/>
      <c r="BZ793" s="319"/>
      <c r="CA793" s="319"/>
      <c r="CB793" s="319"/>
      <c r="CC793" s="319"/>
      <c r="CD793" s="319"/>
      <c r="CE793" s="319"/>
      <c r="CF793" s="319"/>
    </row>
    <row r="794" spans="1:84" ht="12.75" hidden="1" customHeight="1">
      <c r="A794" s="12"/>
      <c r="B794" s="751" t="str">
        <f>K1075&amp;" #2"</f>
        <v>Energia da onda #2</v>
      </c>
      <c r="C794" s="21"/>
      <c r="D794" s="88"/>
      <c r="E794" s="227"/>
      <c r="F794" s="8"/>
      <c r="G794" s="8"/>
      <c r="H794" s="8"/>
      <c r="I794" s="1"/>
      <c r="J794" s="8"/>
      <c r="K794" s="9"/>
      <c r="L794" s="1"/>
      <c r="M794" s="319"/>
      <c r="N794" s="319"/>
      <c r="O794" s="319"/>
      <c r="P794" s="319"/>
      <c r="Q794" s="319"/>
      <c r="R794" s="319"/>
      <c r="S794" s="319"/>
      <c r="T794" s="319"/>
      <c r="U794" s="319"/>
      <c r="V794" s="319"/>
      <c r="W794" s="319"/>
      <c r="X794" s="319"/>
      <c r="Y794" s="319"/>
      <c r="Z794" s="319"/>
      <c r="AA794" s="319"/>
      <c r="AB794" s="319"/>
      <c r="AC794" s="319"/>
      <c r="AD794" s="319"/>
      <c r="AE794" s="319"/>
      <c r="AF794" s="319"/>
      <c r="AG794" s="319"/>
      <c r="AH794" s="319"/>
      <c r="AI794" s="319"/>
      <c r="AJ794" s="319"/>
      <c r="AK794" s="319"/>
      <c r="AL794" s="319"/>
      <c r="AM794" s="319"/>
      <c r="AN794" s="319"/>
      <c r="AO794" s="319">
        <v>14220</v>
      </c>
      <c r="AP794" s="319"/>
      <c r="AQ794" s="319"/>
      <c r="AR794" s="319"/>
      <c r="AS794" s="319"/>
      <c r="AT794" s="319"/>
      <c r="AU794" s="319"/>
      <c r="AV794" s="319"/>
      <c r="AW794" s="319"/>
      <c r="AX794" s="319"/>
      <c r="AY794" s="319"/>
      <c r="AZ794" s="319"/>
      <c r="BA794" s="319"/>
      <c r="BB794" s="319"/>
      <c r="BC794" s="319"/>
      <c r="BD794" s="319"/>
      <c r="BE794" s="319"/>
      <c r="BF794" s="319"/>
      <c r="BG794" s="319"/>
      <c r="BH794" s="319"/>
      <c r="BI794" s="319"/>
      <c r="BJ794" s="319"/>
      <c r="BK794" s="319"/>
      <c r="BL794" s="319"/>
      <c r="BM794" s="319"/>
      <c r="BN794" s="319"/>
      <c r="BO794" s="319"/>
      <c r="BP794" s="319"/>
      <c r="BQ794" s="319"/>
      <c r="BR794" s="319"/>
      <c r="BS794" s="319"/>
      <c r="BT794" s="319"/>
      <c r="BU794" s="319"/>
      <c r="BV794" s="319"/>
      <c r="BW794" s="319"/>
      <c r="BX794" s="319"/>
      <c r="BY794" s="319"/>
      <c r="BZ794" s="319"/>
      <c r="CA794" s="319"/>
      <c r="CB794" s="319"/>
      <c r="CC794" s="319"/>
      <c r="CD794" s="319"/>
      <c r="CE794" s="319"/>
      <c r="CF794" s="319"/>
    </row>
    <row r="795" spans="1:84" ht="12.75" hidden="1" customHeight="1">
      <c r="A795" s="12"/>
      <c r="B795" s="329" t="str">
        <f>$B$92</f>
        <v>Potência elétrica</v>
      </c>
      <c r="C795" s="29" t="str">
        <f>$C$92</f>
        <v>kW</v>
      </c>
      <c r="D795" s="412"/>
      <c r="E795" s="80" t="str">
        <f>IF($P$866=0,"",D795/$P$866)</f>
        <v/>
      </c>
      <c r="F795" s="1"/>
      <c r="G795" s="8"/>
      <c r="H795" s="1346"/>
      <c r="I795" s="1252" t="str">
        <f>I787</f>
        <v>Ver banco de dados de produtos</v>
      </c>
      <c r="J795" s="1191"/>
      <c r="K795" s="1210"/>
      <c r="L795" s="1"/>
      <c r="M795" s="319"/>
      <c r="N795" s="319"/>
      <c r="O795" s="319"/>
      <c r="P795" s="319"/>
      <c r="Q795" s="319"/>
      <c r="R795" s="319"/>
      <c r="S795" s="319"/>
      <c r="T795" s="319"/>
      <c r="U795" s="319"/>
      <c r="V795" s="319"/>
      <c r="W795" s="319"/>
      <c r="X795" s="319"/>
      <c r="Y795" s="319"/>
      <c r="Z795" s="319"/>
      <c r="AA795" s="319"/>
      <c r="AB795" s="319"/>
      <c r="AC795" s="319"/>
      <c r="AD795" s="319"/>
      <c r="AE795" s="319"/>
      <c r="AF795" s="319"/>
      <c r="AG795" s="319"/>
      <c r="AH795" s="319"/>
      <c r="AI795" s="319"/>
      <c r="AJ795" s="319"/>
      <c r="AK795" s="319"/>
      <c r="AL795" s="319"/>
      <c r="AM795" s="319"/>
      <c r="AN795" s="319"/>
      <c r="AO795" s="319">
        <v>2050002</v>
      </c>
      <c r="AP795" s="319"/>
      <c r="AQ795" s="319"/>
      <c r="AR795" s="319"/>
      <c r="AS795" s="319"/>
      <c r="AT795" s="319"/>
      <c r="AU795" s="319"/>
      <c r="AV795" s="319"/>
      <c r="AW795" s="319"/>
      <c r="AX795" s="319"/>
      <c r="AY795" s="319"/>
      <c r="AZ795" s="319"/>
      <c r="BA795" s="319"/>
      <c r="BB795" s="319"/>
      <c r="BC795" s="319"/>
      <c r="BD795" s="319"/>
      <c r="BE795" s="319"/>
      <c r="BF795" s="319"/>
      <c r="BG795" s="319"/>
      <c r="BH795" s="319"/>
      <c r="BI795" s="319"/>
      <c r="BJ795" s="319"/>
      <c r="BK795" s="319"/>
      <c r="BL795" s="319"/>
      <c r="BM795" s="319"/>
      <c r="BN795" s="319"/>
      <c r="BO795" s="319"/>
      <c r="BP795" s="319"/>
      <c r="BQ795" s="319"/>
      <c r="BR795" s="319"/>
      <c r="BS795" s="319"/>
      <c r="BT795" s="319"/>
      <c r="BU795" s="319"/>
      <c r="BV795" s="319"/>
      <c r="BW795" s="319"/>
      <c r="BX795" s="319"/>
      <c r="BY795" s="319"/>
      <c r="BZ795" s="319"/>
      <c r="CA795" s="319"/>
      <c r="CB795" s="319"/>
      <c r="CC795" s="319"/>
      <c r="CD795" s="319"/>
      <c r="CE795" s="319"/>
      <c r="CF795" s="319"/>
    </row>
    <row r="796" spans="1:84" ht="12.75" hidden="1" customHeight="1">
      <c r="A796" s="12"/>
      <c r="B796" s="329" t="str">
        <f>$B$12</f>
        <v>Fabricante</v>
      </c>
      <c r="C796" s="1152"/>
      <c r="D796" s="1153"/>
      <c r="E796" s="1154"/>
      <c r="F796" s="8"/>
      <c r="G796" s="8"/>
      <c r="H796" s="8"/>
      <c r="I796" s="8"/>
      <c r="J796" s="8"/>
      <c r="K796" s="9"/>
      <c r="L796" s="1"/>
      <c r="M796" s="319"/>
      <c r="N796" s="319"/>
      <c r="O796" s="319"/>
      <c r="P796" s="319"/>
      <c r="Q796" s="319"/>
      <c r="R796" s="319"/>
      <c r="S796" s="319"/>
      <c r="T796" s="319"/>
      <c r="U796" s="319"/>
      <c r="V796" s="319"/>
      <c r="W796" s="319"/>
      <c r="X796" s="319"/>
      <c r="Y796" s="319"/>
      <c r="Z796" s="319"/>
      <c r="AA796" s="319"/>
      <c r="AB796" s="319"/>
      <c r="AC796" s="319"/>
      <c r="AD796" s="319"/>
      <c r="AE796" s="319"/>
      <c r="AF796" s="319"/>
      <c r="AG796" s="319"/>
      <c r="AH796" s="319"/>
      <c r="AI796" s="319"/>
      <c r="AJ796" s="319"/>
      <c r="AK796" s="319"/>
      <c r="AL796" s="319"/>
      <c r="AM796" s="319"/>
      <c r="AN796" s="319"/>
      <c r="AO796" s="319">
        <v>2050012</v>
      </c>
      <c r="AP796" s="319"/>
      <c r="AQ796" s="319"/>
      <c r="AR796" s="319"/>
      <c r="AS796" s="319"/>
      <c r="AT796" s="319"/>
      <c r="AU796" s="319"/>
      <c r="AV796" s="319"/>
      <c r="AW796" s="319"/>
      <c r="AX796" s="319"/>
      <c r="AY796" s="319"/>
      <c r="AZ796" s="319"/>
      <c r="BA796" s="319"/>
      <c r="BB796" s="319"/>
      <c r="BC796" s="319"/>
      <c r="BD796" s="319"/>
      <c r="BE796" s="319"/>
      <c r="BF796" s="319"/>
      <c r="BG796" s="319"/>
      <c r="BH796" s="319"/>
      <c r="BI796" s="319"/>
      <c r="BJ796" s="319"/>
      <c r="BK796" s="319"/>
      <c r="BL796" s="319"/>
      <c r="BM796" s="319"/>
      <c r="BN796" s="319"/>
      <c r="BO796" s="319"/>
      <c r="BP796" s="319"/>
      <c r="BQ796" s="319"/>
      <c r="BR796" s="319"/>
      <c r="BS796" s="319"/>
      <c r="BT796" s="319"/>
      <c r="BU796" s="319"/>
      <c r="BV796" s="319"/>
      <c r="BW796" s="319"/>
      <c r="BX796" s="319"/>
      <c r="BY796" s="319"/>
      <c r="BZ796" s="319"/>
      <c r="CA796" s="319"/>
      <c r="CB796" s="319"/>
      <c r="CC796" s="319"/>
      <c r="CD796" s="319"/>
      <c r="CE796" s="319"/>
      <c r="CF796" s="319"/>
    </row>
    <row r="797" spans="1:84" ht="12.75" hidden="1" customHeight="1">
      <c r="A797" s="12"/>
      <c r="B797" s="329" t="str">
        <f>$B$13</f>
        <v>Modelo</v>
      </c>
      <c r="C797" s="1152"/>
      <c r="D797" s="1153"/>
      <c r="E797" s="1154"/>
      <c r="F797" s="8" t="str">
        <f>$J$1091 &amp; Lang_Unit</f>
        <v>0 unidade(s)</v>
      </c>
      <c r="G797" s="8"/>
      <c r="H797" s="8"/>
      <c r="I797" s="8"/>
      <c r="J797" s="8"/>
      <c r="K797" s="9"/>
      <c r="L797" s="1"/>
      <c r="M797" s="319"/>
      <c r="N797" s="319"/>
      <c r="O797" s="319"/>
      <c r="P797" s="319"/>
      <c r="Q797" s="319"/>
      <c r="R797" s="319"/>
      <c r="S797" s="319"/>
      <c r="T797" s="319"/>
      <c r="U797" s="319"/>
      <c r="V797" s="319"/>
      <c r="W797" s="319"/>
      <c r="X797" s="319"/>
      <c r="Y797" s="319"/>
      <c r="Z797" s="319"/>
      <c r="AA797" s="319"/>
      <c r="AB797" s="319"/>
      <c r="AC797" s="319"/>
      <c r="AD797" s="319"/>
      <c r="AE797" s="319"/>
      <c r="AF797" s="319"/>
      <c r="AG797" s="319"/>
      <c r="AH797" s="319"/>
      <c r="AI797" s="319"/>
      <c r="AJ797" s="319"/>
      <c r="AK797" s="319"/>
      <c r="AL797" s="319"/>
      <c r="AM797" s="319"/>
      <c r="AN797" s="319"/>
      <c r="AO797" s="319">
        <v>2050014</v>
      </c>
      <c r="AP797" s="319"/>
      <c r="AQ797" s="319"/>
      <c r="AR797" s="319"/>
      <c r="AS797" s="319"/>
      <c r="AT797" s="319"/>
      <c r="AU797" s="319"/>
      <c r="AV797" s="319"/>
      <c r="AW797" s="319"/>
      <c r="AX797" s="319"/>
      <c r="AY797" s="319"/>
      <c r="AZ797" s="319"/>
      <c r="BA797" s="319"/>
      <c r="BB797" s="319"/>
      <c r="BC797" s="319"/>
      <c r="BD797" s="319"/>
      <c r="BE797" s="319"/>
      <c r="BF797" s="319"/>
      <c r="BG797" s="319"/>
      <c r="BH797" s="319"/>
      <c r="BI797" s="319"/>
      <c r="BJ797" s="319"/>
      <c r="BK797" s="319"/>
      <c r="BL797" s="319"/>
      <c r="BM797" s="319"/>
      <c r="BN797" s="319"/>
      <c r="BO797" s="319"/>
      <c r="BP797" s="319"/>
      <c r="BQ797" s="319"/>
      <c r="BR797" s="319"/>
      <c r="BS797" s="319"/>
      <c r="BT797" s="319"/>
      <c r="BU797" s="319"/>
      <c r="BV797" s="319"/>
      <c r="BW797" s="319"/>
      <c r="BX797" s="319"/>
      <c r="BY797" s="319"/>
      <c r="BZ797" s="319"/>
      <c r="CA797" s="319"/>
      <c r="CB797" s="319"/>
      <c r="CC797" s="319"/>
      <c r="CD797" s="319"/>
      <c r="CE797" s="319"/>
      <c r="CF797" s="319"/>
    </row>
    <row r="798" spans="1:84" ht="12.75" hidden="1" customHeight="1">
      <c r="A798" s="12"/>
      <c r="B798" s="329" t="str">
        <f>$B$309</f>
        <v>Fator de Utilização</v>
      </c>
      <c r="C798" s="29" t="str">
        <f>$T$35</f>
        <v>%</v>
      </c>
      <c r="D798" s="422"/>
      <c r="E798" s="1"/>
      <c r="F798" s="8"/>
      <c r="G798" s="8"/>
      <c r="H798" s="8"/>
      <c r="I798" s="8"/>
      <c r="J798" s="8"/>
      <c r="K798" s="9"/>
      <c r="L798" s="1"/>
      <c r="M798" s="319"/>
      <c r="N798" s="319"/>
      <c r="O798" s="319"/>
      <c r="P798" s="319"/>
      <c r="Q798" s="319"/>
      <c r="R798" s="319"/>
      <c r="S798" s="319"/>
      <c r="T798" s="319"/>
      <c r="U798" s="319"/>
      <c r="V798" s="319"/>
      <c r="W798" s="319"/>
      <c r="X798" s="319"/>
      <c r="Y798" s="319"/>
      <c r="Z798" s="319"/>
      <c r="AA798" s="319"/>
      <c r="AB798" s="319"/>
      <c r="AC798" s="319"/>
      <c r="AD798" s="319"/>
      <c r="AE798" s="319"/>
      <c r="AF798" s="319"/>
      <c r="AG798" s="319"/>
      <c r="AH798" s="319"/>
      <c r="AI798" s="319"/>
      <c r="AJ798" s="319"/>
      <c r="AK798" s="319"/>
      <c r="AL798" s="319"/>
      <c r="AM798" s="319"/>
      <c r="AN798" s="319"/>
      <c r="AO798" s="319">
        <v>2070000</v>
      </c>
      <c r="AP798" s="319"/>
      <c r="AQ798" s="319"/>
      <c r="AR798" s="319"/>
      <c r="AS798" s="319"/>
      <c r="AT798" s="319"/>
      <c r="AU798" s="319"/>
      <c r="AV798" s="319"/>
      <c r="AW798" s="319"/>
      <c r="AX798" s="319"/>
      <c r="AY798" s="319"/>
      <c r="AZ798" s="319"/>
      <c r="BA798" s="319"/>
      <c r="BB798" s="319"/>
      <c r="BC798" s="319"/>
      <c r="BD798" s="319"/>
      <c r="BE798" s="319"/>
      <c r="BF798" s="319"/>
      <c r="BG798" s="319"/>
      <c r="BH798" s="319"/>
      <c r="BI798" s="319"/>
      <c r="BJ798" s="319"/>
      <c r="BK798" s="319"/>
      <c r="BL798" s="319"/>
      <c r="BM798" s="319"/>
      <c r="BN798" s="319"/>
      <c r="BO798" s="319"/>
      <c r="BP798" s="319"/>
      <c r="BQ798" s="319"/>
      <c r="BR798" s="319"/>
      <c r="BS798" s="319"/>
      <c r="BT798" s="319"/>
      <c r="BU798" s="319"/>
      <c r="BV798" s="319"/>
      <c r="BW798" s="319"/>
      <c r="BX798" s="319"/>
      <c r="BY798" s="319"/>
      <c r="BZ798" s="319"/>
      <c r="CA798" s="319"/>
      <c r="CB798" s="319"/>
      <c r="CC798" s="319"/>
      <c r="CD798" s="319"/>
      <c r="CE798" s="319"/>
      <c r="CF798" s="319"/>
    </row>
    <row r="799" spans="1:84" ht="12.75" hidden="1" customHeight="1">
      <c r="A799" s="12"/>
      <c r="B799" s="329" t="str">
        <f>$B$94</f>
        <v>Eletricidade fornecida à carga</v>
      </c>
      <c r="C799" s="29" t="str">
        <f>R14</f>
        <v>MWh</v>
      </c>
      <c r="D799" s="30">
        <f>IF(HideCodeES_PSS=1,$G$1107,IF($C$854=$E$1094,$G$1107,$G$1108))</f>
        <v>0</v>
      </c>
      <c r="E799" s="80" t="str">
        <f>IF($P$867=0,"",D799/$P$867)</f>
        <v/>
      </c>
      <c r="F799" s="8"/>
      <c r="G799" s="8"/>
      <c r="H799" s="8"/>
      <c r="I799" s="8"/>
      <c r="J799" s="8"/>
      <c r="K799" s="9"/>
      <c r="L799" s="1"/>
      <c r="M799" s="319"/>
      <c r="N799" s="319"/>
      <c r="O799" s="319"/>
      <c r="P799" s="319"/>
      <c r="Q799" s="319"/>
      <c r="R799" s="319"/>
      <c r="S799" s="319"/>
      <c r="T799" s="319"/>
      <c r="U799" s="319"/>
      <c r="V799" s="319"/>
      <c r="W799" s="319"/>
      <c r="X799" s="319"/>
      <c r="Y799" s="319"/>
      <c r="Z799" s="319"/>
      <c r="AA799" s="319"/>
      <c r="AB799" s="319"/>
      <c r="AC799" s="319"/>
      <c r="AD799" s="319"/>
      <c r="AE799" s="319"/>
      <c r="AF799" s="319"/>
      <c r="AG799" s="319"/>
      <c r="AH799" s="319"/>
      <c r="AI799" s="319"/>
      <c r="AJ799" s="319"/>
      <c r="AK799" s="319"/>
      <c r="AL799" s="319"/>
      <c r="AM799" s="319"/>
      <c r="AN799" s="319"/>
      <c r="AO799" s="319">
        <v>2050008</v>
      </c>
      <c r="AP799" s="319"/>
      <c r="AQ799" s="319"/>
      <c r="AR799" s="319"/>
      <c r="AS799" s="319"/>
      <c r="AT799" s="319"/>
      <c r="AU799" s="319"/>
      <c r="AV799" s="319"/>
      <c r="AW799" s="319"/>
      <c r="AX799" s="319"/>
      <c r="AY799" s="319"/>
      <c r="AZ799" s="319"/>
      <c r="BA799" s="319"/>
      <c r="BB799" s="319"/>
      <c r="BC799" s="319"/>
      <c r="BD799" s="319"/>
      <c r="BE799" s="319"/>
      <c r="BF799" s="319"/>
      <c r="BG799" s="319"/>
      <c r="BH799" s="319"/>
      <c r="BI799" s="319"/>
      <c r="BJ799" s="319"/>
      <c r="BK799" s="319"/>
      <c r="BL799" s="319"/>
      <c r="BM799" s="319"/>
      <c r="BN799" s="319"/>
      <c r="BO799" s="319"/>
      <c r="BP799" s="319"/>
      <c r="BQ799" s="319"/>
      <c r="BR799" s="319"/>
      <c r="BS799" s="319"/>
      <c r="BT799" s="319"/>
      <c r="BU799" s="319"/>
      <c r="BV799" s="319"/>
      <c r="BW799" s="319"/>
      <c r="BX799" s="319"/>
      <c r="BY799" s="319"/>
      <c r="BZ799" s="319"/>
      <c r="CA799" s="319"/>
      <c r="CB799" s="319"/>
      <c r="CC799" s="319"/>
      <c r="CD799" s="319"/>
      <c r="CE799" s="319"/>
      <c r="CF799" s="319"/>
    </row>
    <row r="800" spans="1:84" ht="12.75" hidden="1" customHeight="1">
      <c r="A800" s="14"/>
      <c r="B800" s="380" t="str">
        <f>$B$95</f>
        <v>Eletricidade exportada p/ rede</v>
      </c>
      <c r="C800" s="33" t="str">
        <f>R14</f>
        <v>MWh</v>
      </c>
      <c r="D800" s="34">
        <f>IF(HideCodeES_PSS=1,$J$1107,IF($C$854=$E$1094,$J$1107,$J$1108))</f>
        <v>5.3903325633948667</v>
      </c>
      <c r="E800" s="15"/>
      <c r="F800" s="15"/>
      <c r="G800" s="15"/>
      <c r="H800" s="15"/>
      <c r="I800" s="15"/>
      <c r="J800" s="15"/>
      <c r="K800" s="11"/>
      <c r="L800" s="1"/>
      <c r="M800" s="319"/>
      <c r="N800" s="319"/>
      <c r="O800" s="319"/>
      <c r="P800" s="319"/>
      <c r="Q800" s="319"/>
      <c r="R800" s="319"/>
      <c r="S800" s="319"/>
      <c r="T800" s="319"/>
      <c r="U800" s="319"/>
      <c r="V800" s="319"/>
      <c r="W800" s="319"/>
      <c r="X800" s="319"/>
      <c r="Y800" s="319"/>
      <c r="Z800" s="319"/>
      <c r="AA800" s="319"/>
      <c r="AB800" s="319"/>
      <c r="AC800" s="319"/>
      <c r="AD800" s="319"/>
      <c r="AE800" s="319"/>
      <c r="AF800" s="319"/>
      <c r="AG800" s="319"/>
      <c r="AH800" s="319"/>
      <c r="AI800" s="319"/>
      <c r="AJ800" s="319"/>
      <c r="AK800" s="319"/>
      <c r="AL800" s="319"/>
      <c r="AM800" s="319"/>
      <c r="AN800" s="319"/>
      <c r="AO800" s="319">
        <v>2050010</v>
      </c>
      <c r="AP800" s="319"/>
      <c r="AQ800" s="319"/>
      <c r="AR800" s="319"/>
      <c r="AS800" s="319"/>
      <c r="AT800" s="319"/>
      <c r="AU800" s="319"/>
      <c r="AV800" s="319"/>
      <c r="AW800" s="319"/>
      <c r="AX800" s="319"/>
      <c r="AY800" s="319"/>
      <c r="AZ800" s="319"/>
      <c r="BA800" s="319"/>
      <c r="BB800" s="319"/>
      <c r="BC800" s="319"/>
      <c r="BD800" s="319"/>
      <c r="BE800" s="319"/>
      <c r="BF800" s="319"/>
      <c r="BG800" s="319"/>
      <c r="BH800" s="319"/>
      <c r="BI800" s="319"/>
      <c r="BJ800" s="319"/>
      <c r="BK800" s="319"/>
      <c r="BL800" s="319"/>
      <c r="BM800" s="319"/>
      <c r="BN800" s="319"/>
      <c r="BO800" s="319"/>
      <c r="BP800" s="319"/>
      <c r="BQ800" s="319"/>
      <c r="BR800" s="319"/>
      <c r="BS800" s="319"/>
      <c r="BT800" s="319"/>
      <c r="BU800" s="319"/>
      <c r="BV800" s="319"/>
      <c r="BW800" s="319"/>
      <c r="BX800" s="319"/>
      <c r="BY800" s="319"/>
      <c r="BZ800" s="319"/>
      <c r="CA800" s="319"/>
      <c r="CB800" s="319"/>
      <c r="CC800" s="319"/>
      <c r="CD800" s="319"/>
      <c r="CE800" s="319"/>
      <c r="CF800" s="319"/>
    </row>
    <row r="801" spans="1:84" ht="12.75" hidden="1" customHeight="1">
      <c r="A801" s="12"/>
      <c r="B801" s="232"/>
      <c r="C801" s="21"/>
      <c r="D801" s="88"/>
      <c r="E801" s="227"/>
      <c r="F801" s="8"/>
      <c r="G801" s="8"/>
      <c r="H801" s="8"/>
      <c r="I801" s="8"/>
      <c r="J801" s="8"/>
      <c r="K801" s="9"/>
      <c r="L801" s="1"/>
      <c r="M801" s="319"/>
      <c r="N801" s="319"/>
      <c r="O801" s="319"/>
      <c r="P801" s="319"/>
      <c r="Q801" s="319"/>
      <c r="R801" s="319"/>
      <c r="S801" s="319"/>
      <c r="T801" s="319"/>
      <c r="U801" s="319"/>
      <c r="V801" s="319"/>
      <c r="W801" s="319"/>
      <c r="X801" s="319"/>
      <c r="Y801" s="319"/>
      <c r="Z801" s="319"/>
      <c r="AA801" s="319"/>
      <c r="AB801" s="319"/>
      <c r="AC801" s="319"/>
      <c r="AD801" s="319"/>
      <c r="AE801" s="319"/>
      <c r="AF801" s="319"/>
      <c r="AG801" s="319"/>
      <c r="AH801" s="319"/>
      <c r="AI801" s="319"/>
      <c r="AJ801" s="319"/>
      <c r="AK801" s="319"/>
      <c r="AL801" s="319"/>
      <c r="AM801" s="319"/>
      <c r="AN801" s="319"/>
      <c r="AO801" s="319">
        <v>2030000</v>
      </c>
      <c r="AP801" s="319"/>
      <c r="AQ801" s="319"/>
      <c r="AR801" s="319"/>
      <c r="AS801" s="319"/>
      <c r="AT801" s="319"/>
      <c r="AU801" s="319"/>
      <c r="AV801" s="319"/>
      <c r="AW801" s="319"/>
      <c r="AX801" s="319"/>
      <c r="AY801" s="319"/>
      <c r="AZ801" s="319"/>
      <c r="BA801" s="319"/>
      <c r="BB801" s="319"/>
      <c r="BC801" s="319"/>
      <c r="BD801" s="319"/>
      <c r="BE801" s="319"/>
      <c r="BF801" s="319"/>
      <c r="BG801" s="319"/>
      <c r="BH801" s="319"/>
      <c r="BI801" s="319"/>
      <c r="BJ801" s="319"/>
      <c r="BK801" s="319"/>
      <c r="BL801" s="319"/>
      <c r="BM801" s="319"/>
      <c r="BN801" s="319"/>
      <c r="BO801" s="319"/>
      <c r="BP801" s="319"/>
      <c r="BQ801" s="319"/>
      <c r="BR801" s="319"/>
      <c r="BS801" s="319"/>
      <c r="BT801" s="319"/>
      <c r="BU801" s="319"/>
      <c r="BV801" s="319"/>
      <c r="BW801" s="319"/>
      <c r="BX801" s="319"/>
      <c r="BY801" s="319"/>
      <c r="BZ801" s="319"/>
      <c r="CA801" s="319"/>
      <c r="CB801" s="319"/>
      <c r="CC801" s="319"/>
      <c r="CD801" s="319"/>
      <c r="CE801" s="319"/>
      <c r="CF801" s="319"/>
    </row>
    <row r="802" spans="1:84" ht="12.75" hidden="1" customHeight="1">
      <c r="A802" s="12"/>
      <c r="B802" s="751" t="str">
        <f>K1076&amp;" #2"</f>
        <v>Energia solar térmica #2</v>
      </c>
      <c r="C802" s="21"/>
      <c r="D802" s="88"/>
      <c r="E802" s="227"/>
      <c r="F802" s="8"/>
      <c r="G802" s="8"/>
      <c r="H802" s="8"/>
      <c r="I802" s="1"/>
      <c r="J802" s="8"/>
      <c r="K802" s="9"/>
      <c r="L802" s="1"/>
      <c r="M802" s="319"/>
      <c r="N802" s="319"/>
      <c r="O802" s="319"/>
      <c r="P802" s="319"/>
      <c r="Q802" s="319"/>
      <c r="R802" s="319"/>
      <c r="S802" s="319"/>
      <c r="T802" s="319"/>
      <c r="U802" s="319"/>
      <c r="V802" s="319"/>
      <c r="W802" s="319"/>
      <c r="X802" s="319"/>
      <c r="Y802" s="319"/>
      <c r="Z802" s="319"/>
      <c r="AA802" s="319"/>
      <c r="AB802" s="319"/>
      <c r="AC802" s="319"/>
      <c r="AD802" s="319"/>
      <c r="AE802" s="319"/>
      <c r="AF802" s="319"/>
      <c r="AG802" s="319"/>
      <c r="AH802" s="319"/>
      <c r="AI802" s="319"/>
      <c r="AJ802" s="319"/>
      <c r="AK802" s="319"/>
      <c r="AL802" s="319"/>
      <c r="AM802" s="319"/>
      <c r="AN802" s="319"/>
      <c r="AO802" s="319">
        <v>14190</v>
      </c>
      <c r="AP802" s="319"/>
      <c r="AQ802" s="319"/>
      <c r="AR802" s="319"/>
      <c r="AS802" s="319"/>
      <c r="AT802" s="319"/>
      <c r="AU802" s="319"/>
      <c r="AV802" s="319"/>
      <c r="AW802" s="319"/>
      <c r="AX802" s="319"/>
      <c r="AY802" s="319"/>
      <c r="AZ802" s="319"/>
      <c r="BA802" s="319"/>
      <c r="BB802" s="319"/>
      <c r="BC802" s="319"/>
      <c r="BD802" s="319"/>
      <c r="BE802" s="319"/>
      <c r="BF802" s="319"/>
      <c r="BG802" s="319"/>
      <c r="BH802" s="319"/>
      <c r="BI802" s="319"/>
      <c r="BJ802" s="319"/>
      <c r="BK802" s="319"/>
      <c r="BL802" s="319"/>
      <c r="BM802" s="319"/>
      <c r="BN802" s="319"/>
      <c r="BO802" s="319"/>
      <c r="BP802" s="319"/>
      <c r="BQ802" s="319"/>
      <c r="BR802" s="319"/>
      <c r="BS802" s="319"/>
      <c r="BT802" s="319"/>
      <c r="BU802" s="319"/>
      <c r="BV802" s="319"/>
      <c r="BW802" s="319"/>
      <c r="BX802" s="319"/>
      <c r="BY802" s="319"/>
      <c r="BZ802" s="319"/>
      <c r="CA802" s="319"/>
      <c r="CB802" s="319"/>
      <c r="CC802" s="319"/>
      <c r="CD802" s="319"/>
      <c r="CE802" s="319"/>
      <c r="CF802" s="319"/>
    </row>
    <row r="803" spans="1:84" ht="12.75" hidden="1" customHeight="1">
      <c r="A803" s="12"/>
      <c r="B803" s="329" t="str">
        <f>$B$92</f>
        <v>Potência elétrica</v>
      </c>
      <c r="C803" s="29" t="str">
        <f>$C$92</f>
        <v>kW</v>
      </c>
      <c r="D803" s="307"/>
      <c r="E803" s="80" t="str">
        <f>IF($P$866=0,"",D803/$P$866)</f>
        <v/>
      </c>
      <c r="F803" s="1"/>
      <c r="G803" s="8"/>
      <c r="H803" s="1346"/>
      <c r="I803" s="1252" t="str">
        <f>I795</f>
        <v>Ver banco de dados de produtos</v>
      </c>
      <c r="J803" s="1191"/>
      <c r="K803" s="1210"/>
      <c r="L803" s="1"/>
      <c r="M803" s="319"/>
      <c r="N803" s="319"/>
      <c r="O803" s="319"/>
      <c r="P803" s="319"/>
      <c r="Q803" s="319"/>
      <c r="R803" s="319"/>
      <c r="S803" s="319"/>
      <c r="T803" s="319"/>
      <c r="U803" s="319"/>
      <c r="V803" s="319"/>
      <c r="W803" s="319"/>
      <c r="X803" s="319"/>
      <c r="Y803" s="319"/>
      <c r="Z803" s="319"/>
      <c r="AA803" s="319"/>
      <c r="AB803" s="319"/>
      <c r="AC803" s="319"/>
      <c r="AD803" s="319"/>
      <c r="AE803" s="319"/>
      <c r="AF803" s="319"/>
      <c r="AG803" s="319"/>
      <c r="AH803" s="319"/>
      <c r="AI803" s="319"/>
      <c r="AJ803" s="319"/>
      <c r="AK803" s="319"/>
      <c r="AL803" s="319"/>
      <c r="AM803" s="319"/>
      <c r="AN803" s="319"/>
      <c r="AO803" s="319">
        <v>2050002</v>
      </c>
      <c r="AP803" s="319"/>
      <c r="AQ803" s="319"/>
      <c r="AR803" s="319"/>
      <c r="AS803" s="319"/>
      <c r="AT803" s="319"/>
      <c r="AU803" s="319"/>
      <c r="AV803" s="319"/>
      <c r="AW803" s="319"/>
      <c r="AX803" s="319"/>
      <c r="AY803" s="319"/>
      <c r="AZ803" s="319"/>
      <c r="BA803" s="319"/>
      <c r="BB803" s="319"/>
      <c r="BC803" s="319"/>
      <c r="BD803" s="319"/>
      <c r="BE803" s="319"/>
      <c r="BF803" s="319"/>
      <c r="BG803" s="319"/>
      <c r="BH803" s="319"/>
      <c r="BI803" s="319"/>
      <c r="BJ803" s="319"/>
      <c r="BK803" s="319"/>
      <c r="BL803" s="319"/>
      <c r="BM803" s="319"/>
      <c r="BN803" s="319"/>
      <c r="BO803" s="319"/>
      <c r="BP803" s="319"/>
      <c r="BQ803" s="319"/>
      <c r="BR803" s="319"/>
      <c r="BS803" s="319"/>
      <c r="BT803" s="319"/>
      <c r="BU803" s="319"/>
      <c r="BV803" s="319"/>
      <c r="BW803" s="319"/>
      <c r="BX803" s="319"/>
      <c r="BY803" s="319"/>
      <c r="BZ803" s="319"/>
      <c r="CA803" s="319"/>
      <c r="CB803" s="319"/>
      <c r="CC803" s="319"/>
      <c r="CD803" s="319"/>
      <c r="CE803" s="319"/>
      <c r="CF803" s="319"/>
    </row>
    <row r="804" spans="1:84" ht="12.75" hidden="1" customHeight="1">
      <c r="A804" s="12"/>
      <c r="B804" s="329" t="str">
        <f>$B$12</f>
        <v>Fabricante</v>
      </c>
      <c r="C804" s="1152"/>
      <c r="D804" s="1153"/>
      <c r="E804" s="1154"/>
      <c r="F804" s="8"/>
      <c r="G804" s="8"/>
      <c r="H804" s="8"/>
      <c r="I804" s="8"/>
      <c r="J804" s="8"/>
      <c r="K804" s="9"/>
      <c r="L804" s="1"/>
      <c r="M804" s="319"/>
      <c r="N804" s="319"/>
      <c r="O804" s="319"/>
      <c r="P804" s="319"/>
      <c r="Q804" s="319"/>
      <c r="R804" s="319"/>
      <c r="S804" s="319"/>
      <c r="T804" s="319"/>
      <c r="U804" s="319"/>
      <c r="V804" s="319"/>
      <c r="W804" s="319"/>
      <c r="X804" s="319"/>
      <c r="Y804" s="319"/>
      <c r="Z804" s="319"/>
      <c r="AA804" s="319"/>
      <c r="AB804" s="319"/>
      <c r="AC804" s="319"/>
      <c r="AD804" s="319"/>
      <c r="AE804" s="319"/>
      <c r="AF804" s="319"/>
      <c r="AG804" s="319"/>
      <c r="AH804" s="319"/>
      <c r="AI804" s="319"/>
      <c r="AJ804" s="319"/>
      <c r="AK804" s="319"/>
      <c r="AL804" s="319"/>
      <c r="AM804" s="319"/>
      <c r="AN804" s="319"/>
      <c r="AO804" s="319">
        <v>2050012</v>
      </c>
      <c r="AP804" s="319"/>
      <c r="AQ804" s="319"/>
      <c r="AR804" s="319"/>
      <c r="AS804" s="319"/>
      <c r="AT804" s="319"/>
      <c r="AU804" s="319"/>
      <c r="AV804" s="319"/>
      <c r="AW804" s="319"/>
      <c r="AX804" s="319"/>
      <c r="AY804" s="319"/>
      <c r="AZ804" s="319"/>
      <c r="BA804" s="319"/>
      <c r="BB804" s="319"/>
      <c r="BC804" s="319"/>
      <c r="BD804" s="319"/>
      <c r="BE804" s="319"/>
      <c r="BF804" s="319"/>
      <c r="BG804" s="319"/>
      <c r="BH804" s="319"/>
      <c r="BI804" s="319"/>
      <c r="BJ804" s="319"/>
      <c r="BK804" s="319"/>
      <c r="BL804" s="319"/>
      <c r="BM804" s="319"/>
      <c r="BN804" s="319"/>
      <c r="BO804" s="319"/>
      <c r="BP804" s="319"/>
      <c r="BQ804" s="319"/>
      <c r="BR804" s="319"/>
      <c r="BS804" s="319"/>
      <c r="BT804" s="319"/>
      <c r="BU804" s="319"/>
      <c r="BV804" s="319"/>
      <c r="BW804" s="319"/>
      <c r="BX804" s="319"/>
      <c r="BY804" s="319"/>
      <c r="BZ804" s="319"/>
      <c r="CA804" s="319"/>
      <c r="CB804" s="319"/>
      <c r="CC804" s="319"/>
      <c r="CD804" s="319"/>
      <c r="CE804" s="319"/>
      <c r="CF804" s="319"/>
    </row>
    <row r="805" spans="1:84" ht="12.75" hidden="1" customHeight="1">
      <c r="A805" s="12"/>
      <c r="B805" s="329" t="str">
        <f>$B$13</f>
        <v>Modelo</v>
      </c>
      <c r="C805" s="1152"/>
      <c r="D805" s="1153"/>
      <c r="E805" s="1154"/>
      <c r="F805" s="8"/>
      <c r="G805" s="8"/>
      <c r="H805" s="8"/>
      <c r="I805" s="8"/>
      <c r="J805" s="8"/>
      <c r="K805" s="9"/>
      <c r="L805" s="1"/>
      <c r="M805" s="319"/>
      <c r="N805" s="319"/>
      <c r="O805" s="319"/>
      <c r="P805" s="319"/>
      <c r="Q805" s="319"/>
      <c r="R805" s="319"/>
      <c r="S805" s="319"/>
      <c r="T805" s="319"/>
      <c r="U805" s="319"/>
      <c r="V805" s="319"/>
      <c r="W805" s="319"/>
      <c r="X805" s="319"/>
      <c r="Y805" s="319"/>
      <c r="Z805" s="319"/>
      <c r="AA805" s="319"/>
      <c r="AB805" s="319"/>
      <c r="AC805" s="319"/>
      <c r="AD805" s="319"/>
      <c r="AE805" s="319"/>
      <c r="AF805" s="319"/>
      <c r="AG805" s="319"/>
      <c r="AH805" s="319"/>
      <c r="AI805" s="319"/>
      <c r="AJ805" s="319"/>
      <c r="AK805" s="319"/>
      <c r="AL805" s="319"/>
      <c r="AM805" s="319"/>
      <c r="AN805" s="319"/>
      <c r="AO805" s="319">
        <v>2050014</v>
      </c>
      <c r="AP805" s="319"/>
      <c r="AQ805" s="319"/>
      <c r="AR805" s="319"/>
      <c r="AS805" s="319"/>
      <c r="AT805" s="319"/>
      <c r="AU805" s="319"/>
      <c r="AV805" s="319"/>
      <c r="AW805" s="319"/>
      <c r="AX805" s="319"/>
      <c r="AY805" s="319"/>
      <c r="AZ805" s="319"/>
      <c r="BA805" s="319"/>
      <c r="BB805" s="319"/>
      <c r="BC805" s="319"/>
      <c r="BD805" s="319"/>
      <c r="BE805" s="319"/>
      <c r="BF805" s="319"/>
      <c r="BG805" s="319"/>
      <c r="BH805" s="319"/>
      <c r="BI805" s="319"/>
      <c r="BJ805" s="319"/>
      <c r="BK805" s="319"/>
      <c r="BL805" s="319"/>
      <c r="BM805" s="319"/>
      <c r="BN805" s="319"/>
      <c r="BO805" s="319"/>
      <c r="BP805" s="319"/>
      <c r="BQ805" s="319"/>
      <c r="BR805" s="319"/>
      <c r="BS805" s="319"/>
      <c r="BT805" s="319"/>
      <c r="BU805" s="319"/>
      <c r="BV805" s="319"/>
      <c r="BW805" s="319"/>
      <c r="BX805" s="319"/>
      <c r="BY805" s="319"/>
      <c r="BZ805" s="319"/>
      <c r="CA805" s="319"/>
      <c r="CB805" s="319"/>
      <c r="CC805" s="319"/>
      <c r="CD805" s="319"/>
      <c r="CE805" s="319"/>
      <c r="CF805" s="319"/>
    </row>
    <row r="806" spans="1:84" ht="12.75" hidden="1" customHeight="1">
      <c r="A806" s="12"/>
      <c r="B806" s="329" t="str">
        <f>$B$309</f>
        <v>Fator de Utilização</v>
      </c>
      <c r="C806" s="29" t="str">
        <f>$T$35</f>
        <v>%</v>
      </c>
      <c r="D806" s="422"/>
      <c r="E806" s="1"/>
      <c r="F806" s="8"/>
      <c r="G806" s="8"/>
      <c r="H806" s="8"/>
      <c r="I806" s="8"/>
      <c r="J806" s="8"/>
      <c r="K806" s="9"/>
      <c r="L806" s="1"/>
      <c r="M806" s="319"/>
      <c r="N806" s="319"/>
      <c r="O806" s="319"/>
      <c r="P806" s="319"/>
      <c r="Q806" s="319"/>
      <c r="R806" s="319"/>
      <c r="S806" s="319"/>
      <c r="T806" s="319"/>
      <c r="U806" s="319"/>
      <c r="V806" s="319"/>
      <c r="W806" s="319"/>
      <c r="X806" s="319"/>
      <c r="Y806" s="319"/>
      <c r="Z806" s="319"/>
      <c r="AA806" s="319"/>
      <c r="AB806" s="319"/>
      <c r="AC806" s="319"/>
      <c r="AD806" s="319"/>
      <c r="AE806" s="319"/>
      <c r="AF806" s="319"/>
      <c r="AG806" s="319"/>
      <c r="AH806" s="319"/>
      <c r="AI806" s="319"/>
      <c r="AJ806" s="319"/>
      <c r="AK806" s="319"/>
      <c r="AL806" s="319"/>
      <c r="AM806" s="319"/>
      <c r="AN806" s="319"/>
      <c r="AO806" s="319">
        <v>2070000</v>
      </c>
      <c r="AP806" s="319"/>
      <c r="AQ806" s="319"/>
      <c r="AR806" s="319"/>
      <c r="AS806" s="319"/>
      <c r="AT806" s="319"/>
      <c r="AU806" s="319"/>
      <c r="AV806" s="319"/>
      <c r="AW806" s="319"/>
      <c r="AX806" s="319"/>
      <c r="AY806" s="319"/>
      <c r="AZ806" s="319"/>
      <c r="BA806" s="319"/>
      <c r="BB806" s="319"/>
      <c r="BC806" s="319"/>
      <c r="BD806" s="319"/>
      <c r="BE806" s="319"/>
      <c r="BF806" s="319"/>
      <c r="BG806" s="319"/>
      <c r="BH806" s="319"/>
      <c r="BI806" s="319"/>
      <c r="BJ806" s="319"/>
      <c r="BK806" s="319"/>
      <c r="BL806" s="319"/>
      <c r="BM806" s="319"/>
      <c r="BN806" s="319"/>
      <c r="BO806" s="319"/>
      <c r="BP806" s="319"/>
      <c r="BQ806" s="319"/>
      <c r="BR806" s="319"/>
      <c r="BS806" s="319"/>
      <c r="BT806" s="319"/>
      <c r="BU806" s="319"/>
      <c r="BV806" s="319"/>
      <c r="BW806" s="319"/>
      <c r="BX806" s="319"/>
      <c r="BY806" s="319"/>
      <c r="BZ806" s="319"/>
      <c r="CA806" s="319"/>
      <c r="CB806" s="319"/>
      <c r="CC806" s="319"/>
      <c r="CD806" s="319"/>
      <c r="CE806" s="319"/>
      <c r="CF806" s="319"/>
    </row>
    <row r="807" spans="1:84" ht="12.75" hidden="1" customHeight="1">
      <c r="A807" s="12"/>
      <c r="B807" s="329" t="str">
        <f>$B$94</f>
        <v>Eletricidade fornecida à carga</v>
      </c>
      <c r="C807" s="29" t="str">
        <f>R14</f>
        <v>MWh</v>
      </c>
      <c r="D807" s="30">
        <f>IF(HideCodeES_PSS=1,$G$1107,IF($C$854=$E$1094,$G$1107,$G$1108))</f>
        <v>0</v>
      </c>
      <c r="E807" s="80" t="str">
        <f>IF($P$867=0,"",D807/$P$867)</f>
        <v/>
      </c>
      <c r="F807" s="8"/>
      <c r="G807" s="8"/>
      <c r="H807" s="8"/>
      <c r="I807" s="8"/>
      <c r="J807" s="8"/>
      <c r="K807" s="9"/>
      <c r="L807" s="1"/>
      <c r="M807" s="319"/>
      <c r="N807" s="319"/>
      <c r="O807" s="319"/>
      <c r="P807" s="319"/>
      <c r="Q807" s="319"/>
      <c r="R807" s="319"/>
      <c r="S807" s="319"/>
      <c r="T807" s="319"/>
      <c r="U807" s="319"/>
      <c r="V807" s="319"/>
      <c r="W807" s="319"/>
      <c r="X807" s="319"/>
      <c r="Y807" s="319"/>
      <c r="Z807" s="319"/>
      <c r="AA807" s="319"/>
      <c r="AB807" s="319"/>
      <c r="AC807" s="319"/>
      <c r="AD807" s="319"/>
      <c r="AE807" s="319"/>
      <c r="AF807" s="319"/>
      <c r="AG807" s="319"/>
      <c r="AH807" s="319"/>
      <c r="AI807" s="319"/>
      <c r="AJ807" s="319"/>
      <c r="AK807" s="319"/>
      <c r="AL807" s="319"/>
      <c r="AM807" s="319"/>
      <c r="AN807" s="319"/>
      <c r="AO807" s="319">
        <v>2050008</v>
      </c>
      <c r="AP807" s="319"/>
      <c r="AQ807" s="319"/>
      <c r="AR807" s="319"/>
      <c r="AS807" s="319"/>
      <c r="AT807" s="319"/>
      <c r="AU807" s="319"/>
      <c r="AV807" s="319"/>
      <c r="AW807" s="319"/>
      <c r="AX807" s="319"/>
      <c r="AY807" s="319"/>
      <c r="AZ807" s="319"/>
      <c r="BA807" s="319"/>
      <c r="BB807" s="319"/>
      <c r="BC807" s="319"/>
      <c r="BD807" s="319"/>
      <c r="BE807" s="319"/>
      <c r="BF807" s="319"/>
      <c r="BG807" s="319"/>
      <c r="BH807" s="319"/>
      <c r="BI807" s="319"/>
      <c r="BJ807" s="319"/>
      <c r="BK807" s="319"/>
      <c r="BL807" s="319"/>
      <c r="BM807" s="319"/>
      <c r="BN807" s="319"/>
      <c r="BO807" s="319"/>
      <c r="BP807" s="319"/>
      <c r="BQ807" s="319"/>
      <c r="BR807" s="319"/>
      <c r="BS807" s="319"/>
      <c r="BT807" s="319"/>
      <c r="BU807" s="319"/>
      <c r="BV807" s="319"/>
      <c r="BW807" s="319"/>
      <c r="BX807" s="319"/>
      <c r="BY807" s="319"/>
      <c r="BZ807" s="319"/>
      <c r="CA807" s="319"/>
      <c r="CB807" s="319"/>
      <c r="CC807" s="319"/>
      <c r="CD807" s="319"/>
      <c r="CE807" s="319"/>
      <c r="CF807" s="319"/>
    </row>
    <row r="808" spans="1:84" ht="12.75" hidden="1" customHeight="1">
      <c r="A808" s="14"/>
      <c r="B808" s="380" t="str">
        <f>$B$95</f>
        <v>Eletricidade exportada p/ rede</v>
      </c>
      <c r="C808" s="33" t="str">
        <f>R14</f>
        <v>MWh</v>
      </c>
      <c r="D808" s="34">
        <f>IF(HideCodeES_PSS=1,$J$1107,IF($C$854=$E$1094,$J$1107,$J$1108))</f>
        <v>5.3903325633948667</v>
      </c>
      <c r="E808" s="15"/>
      <c r="F808" s="15"/>
      <c r="G808" s="15"/>
      <c r="H808" s="15"/>
      <c r="I808" s="15"/>
      <c r="J808" s="15"/>
      <c r="K808" s="11"/>
      <c r="L808" s="1"/>
      <c r="M808" s="319"/>
      <c r="N808" s="319"/>
      <c r="O808" s="319"/>
      <c r="P808" s="319"/>
      <c r="Q808" s="319"/>
      <c r="R808" s="319"/>
      <c r="S808" s="319"/>
      <c r="T808" s="319"/>
      <c r="U808" s="319"/>
      <c r="V808" s="319"/>
      <c r="W808" s="319"/>
      <c r="X808" s="319"/>
      <c r="Y808" s="319"/>
      <c r="Z808" s="319"/>
      <c r="AA808" s="319"/>
      <c r="AB808" s="319"/>
      <c r="AC808" s="319"/>
      <c r="AD808" s="319"/>
      <c r="AE808" s="319"/>
      <c r="AF808" s="319"/>
      <c r="AG808" s="319"/>
      <c r="AH808" s="319"/>
      <c r="AI808" s="319"/>
      <c r="AJ808" s="319"/>
      <c r="AK808" s="319"/>
      <c r="AL808" s="319"/>
      <c r="AM808" s="319"/>
      <c r="AN808" s="319"/>
      <c r="AO808" s="319">
        <v>2050010</v>
      </c>
      <c r="AP808" s="319"/>
      <c r="AQ808" s="319"/>
      <c r="AR808" s="319"/>
      <c r="AS808" s="319"/>
      <c r="AT808" s="319"/>
      <c r="AU808" s="319"/>
      <c r="AV808" s="319"/>
      <c r="AW808" s="319"/>
      <c r="AX808" s="319"/>
      <c r="AY808" s="319"/>
      <c r="AZ808" s="319"/>
      <c r="BA808" s="319"/>
      <c r="BB808" s="319"/>
      <c r="BC808" s="319"/>
      <c r="BD808" s="319"/>
      <c r="BE808" s="319"/>
      <c r="BF808" s="319"/>
      <c r="BG808" s="319"/>
      <c r="BH808" s="319"/>
      <c r="BI808" s="319"/>
      <c r="BJ808" s="319"/>
      <c r="BK808" s="319"/>
      <c r="BL808" s="319"/>
      <c r="BM808" s="319"/>
      <c r="BN808" s="319"/>
      <c r="BO808" s="319"/>
      <c r="BP808" s="319"/>
      <c r="BQ808" s="319"/>
      <c r="BR808" s="319"/>
      <c r="BS808" s="319"/>
      <c r="BT808" s="319"/>
      <c r="BU808" s="319"/>
      <c r="BV808" s="319"/>
      <c r="BW808" s="319"/>
      <c r="BX808" s="319"/>
      <c r="BY808" s="319"/>
      <c r="BZ808" s="319"/>
      <c r="CA808" s="319"/>
      <c r="CB808" s="319"/>
      <c r="CC808" s="319"/>
      <c r="CD808" s="319"/>
      <c r="CE808" s="319"/>
      <c r="CF808" s="319"/>
    </row>
    <row r="809" spans="1:84" ht="13.5" hidden="1" customHeight="1" thickBot="1">
      <c r="A809" s="43"/>
      <c r="B809" s="1"/>
      <c r="C809" s="1"/>
      <c r="D809" s="1"/>
      <c r="E809" s="1"/>
      <c r="F809" s="1"/>
      <c r="G809" s="1"/>
      <c r="H809" s="1"/>
      <c r="I809" s="1"/>
      <c r="J809" s="1"/>
      <c r="K809" s="1"/>
      <c r="L809" s="1"/>
      <c r="M809" s="319"/>
      <c r="N809" s="319"/>
      <c r="O809" s="319"/>
      <c r="P809" s="319"/>
      <c r="Q809" s="319"/>
      <c r="R809" s="319"/>
      <c r="S809" s="319"/>
      <c r="T809" s="319"/>
      <c r="U809" s="319"/>
      <c r="V809" s="319"/>
      <c r="W809" s="319"/>
      <c r="X809" s="319"/>
      <c r="Y809" s="319"/>
      <c r="Z809" s="319"/>
      <c r="AA809" s="319"/>
      <c r="AB809" s="319"/>
      <c r="AC809" s="319"/>
      <c r="AD809" s="319"/>
      <c r="AE809" s="319"/>
      <c r="AF809" s="319"/>
      <c r="AG809" s="319"/>
      <c r="AH809" s="319"/>
      <c r="AI809" s="319"/>
      <c r="AJ809" s="319"/>
      <c r="AK809" s="319"/>
      <c r="AL809" s="319"/>
      <c r="AM809" s="319"/>
      <c r="AN809" s="319"/>
      <c r="AO809" s="319">
        <v>2030000</v>
      </c>
      <c r="AP809" s="319"/>
      <c r="AQ809" s="319"/>
      <c r="AR809" s="319"/>
      <c r="AS809" s="319"/>
      <c r="AT809" s="319"/>
      <c r="AU809" s="319"/>
      <c r="AV809" s="319"/>
      <c r="AW809" s="319"/>
      <c r="AX809" s="319"/>
      <c r="AY809" s="319"/>
      <c r="AZ809" s="319"/>
      <c r="BA809" s="319"/>
      <c r="BB809" s="319"/>
      <c r="BC809" s="319"/>
      <c r="BD809" s="319"/>
      <c r="BE809" s="319"/>
      <c r="BF809" s="319"/>
      <c r="BG809" s="319"/>
      <c r="BH809" s="319"/>
      <c r="BI809" s="319"/>
      <c r="BJ809" s="319"/>
      <c r="BK809" s="319"/>
      <c r="BL809" s="319"/>
      <c r="BM809" s="319"/>
      <c r="BN809" s="319"/>
      <c r="BO809" s="319"/>
      <c r="BP809" s="319"/>
      <c r="BQ809" s="319"/>
      <c r="BR809" s="319"/>
      <c r="BS809" s="319"/>
      <c r="BT809" s="319"/>
      <c r="BU809" s="319"/>
      <c r="BV809" s="319"/>
      <c r="BW809" s="319"/>
      <c r="BX809" s="319"/>
      <c r="BY809" s="319"/>
      <c r="BZ809" s="319"/>
      <c r="CA809" s="319"/>
      <c r="CB809" s="319"/>
      <c r="CC809" s="319"/>
      <c r="CD809" s="319"/>
      <c r="CE809" s="319"/>
      <c r="CF809" s="319"/>
    </row>
    <row r="810" spans="1:84" ht="13.8" hidden="1" thickTop="1">
      <c r="A810" s="1172" t="str">
        <f>IF(HideCodeES_PSS=1,Language!C463,Language!C464)</f>
        <v>Estratégia de operação - carga básica do sistema de eletricidade</v>
      </c>
      <c r="B810" s="1173"/>
      <c r="C810" s="47"/>
      <c r="D810" s="47"/>
      <c r="E810" s="47"/>
      <c r="F810" s="47"/>
      <c r="G810" s="47"/>
      <c r="H810" s="47"/>
      <c r="I810" s="47"/>
      <c r="J810" s="47"/>
      <c r="K810" s="44"/>
      <c r="L810" s="1"/>
      <c r="M810" s="319"/>
      <c r="N810" s="319"/>
      <c r="O810" s="299"/>
      <c r="P810" s="319"/>
      <c r="Q810" s="319" t="s">
        <v>306</v>
      </c>
      <c r="R810" s="319" t="s">
        <v>2670</v>
      </c>
      <c r="S810" s="319"/>
      <c r="T810" s="319"/>
      <c r="U810" s="319"/>
      <c r="V810" s="319"/>
      <c r="W810" s="319"/>
      <c r="X810" s="319"/>
      <c r="Y810" s="319"/>
      <c r="Z810" s="319"/>
      <c r="AA810" s="319"/>
      <c r="AB810" s="319"/>
      <c r="AC810" s="319"/>
      <c r="AD810" s="319"/>
      <c r="AE810" s="319"/>
      <c r="AF810" s="319"/>
      <c r="AG810" s="319"/>
      <c r="AH810" s="319"/>
      <c r="AI810" s="319"/>
      <c r="AJ810" s="319"/>
      <c r="AK810" s="319"/>
      <c r="AL810" s="319"/>
      <c r="AM810" s="319"/>
      <c r="AN810" s="319"/>
      <c r="AO810" s="319">
        <v>3000000</v>
      </c>
      <c r="AP810" s="319"/>
      <c r="AQ810" s="319"/>
      <c r="AR810" s="319"/>
      <c r="AS810" s="319"/>
      <c r="AT810" s="319"/>
      <c r="AU810" s="319"/>
      <c r="AV810" s="319"/>
      <c r="AW810" s="319"/>
      <c r="AX810" s="319"/>
      <c r="AY810" s="319"/>
      <c r="AZ810" s="319"/>
      <c r="BA810" s="319"/>
      <c r="BB810" s="319"/>
      <c r="BC810" s="319"/>
      <c r="BD810" s="319"/>
      <c r="BE810" s="319"/>
      <c r="BF810" s="319"/>
      <c r="BG810" s="319"/>
      <c r="BH810" s="319"/>
      <c r="BI810" s="319"/>
      <c r="BJ810" s="319"/>
      <c r="BK810" s="319"/>
      <c r="BL810" s="319"/>
      <c r="BM810" s="319"/>
      <c r="BN810" s="319"/>
      <c r="BO810" s="319"/>
      <c r="BP810" s="319"/>
      <c r="BQ810" s="319"/>
      <c r="BR810" s="319"/>
      <c r="BS810" s="319"/>
      <c r="BT810" s="319"/>
      <c r="BU810" s="319"/>
      <c r="BV810" s="319"/>
      <c r="BW810" s="319"/>
      <c r="BX810" s="319"/>
      <c r="BY810" s="319"/>
      <c r="BZ810" s="319"/>
      <c r="CA810" s="319"/>
      <c r="CB810" s="319"/>
      <c r="CC810" s="319"/>
      <c r="CD810" s="319"/>
      <c r="CE810" s="319"/>
      <c r="CF810" s="319"/>
    </row>
    <row r="811" spans="1:84" ht="12.75" hidden="1" customHeight="1">
      <c r="A811" s="12"/>
      <c r="B811" s="1" t="str">
        <f>Language!C465</f>
        <v>Preço de combustível - sistema de calor do caso de referência</v>
      </c>
      <c r="C811" s="29" t="str">
        <f>$O$1197</f>
        <v>€/MWh</v>
      </c>
      <c r="D811" s="284" t="e">
        <f>IF(HideCodeLN_HPT&lt;4,'Carga e Rede'!D24/'Carga e Rede'!X20,'Carga e Rede'!D51/'Carga e Rede'!X45)</f>
        <v>#DIV/0!</v>
      </c>
      <c r="E811" s="1"/>
      <c r="F811" s="29" t="str">
        <f>IF($M$3=FALSE,"",Currency&amp;Language!C1297)</f>
        <v/>
      </c>
      <c r="G811" s="97" t="str">
        <f>IF($M$3=FALSE,"",D811/1000)</f>
        <v/>
      </c>
      <c r="H811" s="1"/>
      <c r="I811" s="1"/>
      <c r="J811" s="1"/>
      <c r="K811" s="9"/>
      <c r="L811" s="1"/>
      <c r="M811" s="319"/>
      <c r="N811" s="319"/>
      <c r="O811" s="319"/>
      <c r="P811" s="319"/>
      <c r="Q811" s="319"/>
      <c r="R811" s="319"/>
      <c r="S811" s="319"/>
      <c r="T811" s="319"/>
      <c r="U811" s="319"/>
      <c r="V811" s="319"/>
      <c r="W811" s="319"/>
      <c r="X811" s="319"/>
      <c r="Y811" s="319"/>
      <c r="Z811" s="319"/>
      <c r="AA811" s="319"/>
      <c r="AB811" s="319"/>
      <c r="AC811" s="319"/>
      <c r="AD811" s="319"/>
      <c r="AE811" s="319"/>
      <c r="AF811" s="319"/>
      <c r="AG811" s="319"/>
      <c r="AH811" s="319"/>
      <c r="AI811" s="319"/>
      <c r="AJ811" s="319"/>
      <c r="AK811" s="319"/>
      <c r="AL811" s="319"/>
      <c r="AM811" s="319"/>
      <c r="AN811" s="319"/>
      <c r="AO811" s="319">
        <v>3000002</v>
      </c>
      <c r="AP811" s="319"/>
      <c r="AQ811" s="319"/>
      <c r="AR811" s="319"/>
      <c r="AS811" s="319"/>
      <c r="AT811" s="319"/>
      <c r="AU811" s="319"/>
      <c r="AV811" s="319"/>
      <c r="AW811" s="319"/>
      <c r="AX811" s="319"/>
      <c r="AY811" s="319"/>
      <c r="AZ811" s="319"/>
      <c r="BA811" s="319"/>
      <c r="BB811" s="319"/>
      <c r="BC811" s="319"/>
      <c r="BD811" s="319"/>
      <c r="BE811" s="319"/>
      <c r="BF811" s="319"/>
      <c r="BG811" s="319"/>
      <c r="BH811" s="319"/>
      <c r="BI811" s="319"/>
      <c r="BJ811" s="319"/>
      <c r="BK811" s="319"/>
      <c r="BL811" s="319"/>
      <c r="BM811" s="319"/>
      <c r="BN811" s="319"/>
      <c r="BO811" s="319"/>
      <c r="BP811" s="319"/>
      <c r="BQ811" s="319"/>
      <c r="BR811" s="319"/>
      <c r="BS811" s="319"/>
      <c r="BT811" s="319"/>
      <c r="BU811" s="319"/>
      <c r="BV811" s="319"/>
      <c r="BW811" s="319"/>
      <c r="BX811" s="319"/>
      <c r="BY811" s="319"/>
      <c r="BZ811" s="319"/>
      <c r="CA811" s="319"/>
      <c r="CB811" s="319"/>
      <c r="CC811" s="319"/>
      <c r="CD811" s="319"/>
      <c r="CE811" s="319"/>
      <c r="CF811" s="319"/>
    </row>
    <row r="812" spans="1:84" ht="12.75" hidden="1" customHeight="1">
      <c r="A812" s="12"/>
      <c r="B812" s="1" t="str">
        <f>Language!C466</f>
        <v>Preço da eletricidade - caso de referência</v>
      </c>
      <c r="C812" s="29" t="str">
        <f>$O$1197</f>
        <v>€/MWh</v>
      </c>
      <c r="D812" s="284">
        <f>'Carga e Rede'!W225*1000</f>
        <v>0</v>
      </c>
      <c r="E812" s="1"/>
      <c r="F812" s="29" t="str">
        <f>$F$811</f>
        <v/>
      </c>
      <c r="G812" s="97" t="str">
        <f>IF($M$3=FALSE,"",D812/1000)</f>
        <v/>
      </c>
      <c r="H812" s="1"/>
      <c r="I812" s="1"/>
      <c r="J812" s="1"/>
      <c r="K812" s="9"/>
      <c r="L812" s="1"/>
      <c r="M812" s="319"/>
      <c r="N812" s="319"/>
      <c r="O812" s="319"/>
      <c r="P812" s="319"/>
      <c r="Q812" s="319"/>
      <c r="R812" s="319"/>
      <c r="S812" s="319"/>
      <c r="T812" s="319"/>
      <c r="U812" s="319"/>
      <c r="V812" s="319"/>
      <c r="W812" s="319"/>
      <c r="X812" s="319"/>
      <c r="Y812" s="319"/>
      <c r="Z812" s="319"/>
      <c r="AA812" s="319"/>
      <c r="AB812" s="319"/>
      <c r="AC812" s="319"/>
      <c r="AD812" s="319"/>
      <c r="AE812" s="319"/>
      <c r="AF812" s="319"/>
      <c r="AG812" s="319"/>
      <c r="AH812" s="319"/>
      <c r="AI812" s="319"/>
      <c r="AJ812" s="319"/>
      <c r="AK812" s="319"/>
      <c r="AL812" s="319"/>
      <c r="AM812" s="319"/>
      <c r="AN812" s="319"/>
      <c r="AO812" s="319">
        <v>3000004</v>
      </c>
      <c r="AP812" s="319"/>
      <c r="AQ812" s="319"/>
      <c r="AR812" s="319"/>
      <c r="AS812" s="319"/>
      <c r="AT812" s="319"/>
      <c r="AU812" s="319"/>
      <c r="AV812" s="319"/>
      <c r="AW812" s="319"/>
      <c r="AX812" s="319"/>
      <c r="AY812" s="319"/>
      <c r="AZ812" s="319"/>
      <c r="BA812" s="319"/>
      <c r="BB812" s="319"/>
      <c r="BC812" s="319"/>
      <c r="BD812" s="319"/>
      <c r="BE812" s="319"/>
      <c r="BF812" s="319"/>
      <c r="BG812" s="319"/>
      <c r="BH812" s="319"/>
      <c r="BI812" s="319"/>
      <c r="BJ812" s="319"/>
      <c r="BK812" s="319"/>
      <c r="BL812" s="319"/>
      <c r="BM812" s="319"/>
      <c r="BN812" s="319"/>
      <c r="BO812" s="319"/>
      <c r="BP812" s="319"/>
      <c r="BQ812" s="319"/>
      <c r="BR812" s="319"/>
      <c r="BS812" s="319"/>
      <c r="BT812" s="319"/>
      <c r="BU812" s="319"/>
      <c r="BV812" s="319"/>
      <c r="BW812" s="319"/>
      <c r="BX812" s="319"/>
      <c r="BY812" s="319"/>
      <c r="BZ812" s="319"/>
      <c r="CA812" s="319"/>
      <c r="CB812" s="319"/>
      <c r="CC812" s="319"/>
      <c r="CD812" s="319"/>
      <c r="CE812" s="319"/>
      <c r="CF812" s="319"/>
    </row>
    <row r="813" spans="1:84" ht="12.75" customHeight="1">
      <c r="A813" s="12"/>
      <c r="B813" s="1" t="str">
        <f>Language!C468</f>
        <v>Preço do combustível - caso proposto sistema elétrico</v>
      </c>
      <c r="C813" s="29" t="str">
        <f>$O$1197</f>
        <v>€/MWh</v>
      </c>
      <c r="D813" s="284">
        <f>IF(HideCodeES_PSS=1,Q813,IF(C854=E1094,R813,Q813))</f>
        <v>0</v>
      </c>
      <c r="E813" s="1"/>
      <c r="F813" s="29" t="str">
        <f>$F$811</f>
        <v/>
      </c>
      <c r="G813" s="97" t="str">
        <f>IF($M$3=FALSE,"",D813/1000)</f>
        <v/>
      </c>
      <c r="H813" s="1"/>
      <c r="I813" s="1"/>
      <c r="J813" s="1"/>
      <c r="K813" s="9"/>
      <c r="L813" s="1"/>
      <c r="M813" s="319"/>
      <c r="N813" s="319"/>
      <c r="O813" s="319"/>
      <c r="P813" s="319"/>
      <c r="Q813" s="319">
        <f>IF(OR($M$33=5,$M$33=7,$M$33=8,$M$33=9,$M$33&gt;10),0,1)*IF(HideCodeES_Fuel1=1,S39,IF(HideCodeES_Fuel1=2,I46,I68))</f>
        <v>0</v>
      </c>
      <c r="R813" s="319">
        <f>IF(OR($M$550=5,$M$550=7,$M$550=8,$M$550=9,$M$550&gt;10),0,1)*IF(HideCodeES_Fuel2=1,V555,IF(HideCodeES_Fuel2=2,I562,I584))</f>
        <v>0</v>
      </c>
      <c r="S813" s="319" t="s">
        <v>5915</v>
      </c>
      <c r="T813" s="319"/>
      <c r="U813" s="319"/>
      <c r="V813" s="319"/>
      <c r="W813" s="319"/>
      <c r="X813" s="319"/>
      <c r="Y813" s="319"/>
      <c r="Z813" s="319"/>
      <c r="AA813" s="319"/>
      <c r="AB813" s="319"/>
      <c r="AC813" s="319"/>
      <c r="AD813" s="319"/>
      <c r="AE813" s="319"/>
      <c r="AF813" s="319"/>
      <c r="AG813" s="319"/>
      <c r="AH813" s="319"/>
      <c r="AI813" s="319"/>
      <c r="AJ813" s="319"/>
      <c r="AK813" s="319"/>
      <c r="AL813" s="319"/>
      <c r="AM813" s="319"/>
      <c r="AN813" s="319"/>
      <c r="AO813" s="319">
        <v>3000006</v>
      </c>
      <c r="AP813" s="319"/>
      <c r="AQ813" s="319"/>
      <c r="AR813" s="319"/>
      <c r="AS813" s="319"/>
      <c r="AT813" s="319"/>
      <c r="AU813" s="319"/>
      <c r="AV813" s="319"/>
      <c r="AW813" s="319"/>
      <c r="AX813" s="319"/>
      <c r="AY813" s="319"/>
      <c r="AZ813" s="319"/>
      <c r="BA813" s="319"/>
      <c r="BB813" s="319"/>
      <c r="BC813" s="319"/>
      <c r="BD813" s="319"/>
      <c r="BE813" s="319"/>
      <c r="BF813" s="319"/>
      <c r="BG813" s="319"/>
      <c r="BH813" s="319"/>
      <c r="BI813" s="319"/>
      <c r="BJ813" s="319"/>
      <c r="BK813" s="319"/>
      <c r="BL813" s="319"/>
      <c r="BM813" s="319"/>
      <c r="BN813" s="319"/>
      <c r="BO813" s="319"/>
      <c r="BP813" s="319"/>
      <c r="BQ813" s="319"/>
      <c r="BR813" s="319"/>
      <c r="BS813" s="319"/>
      <c r="BT813" s="319"/>
      <c r="BU813" s="319"/>
      <c r="BV813" s="319"/>
      <c r="BW813" s="319"/>
      <c r="BX813" s="319"/>
      <c r="BY813" s="319"/>
      <c r="BZ813" s="319"/>
      <c r="CA813" s="319"/>
      <c r="CB813" s="319"/>
      <c r="CC813" s="319"/>
      <c r="CD813" s="319"/>
      <c r="CE813" s="319"/>
      <c r="CF813" s="319"/>
    </row>
    <row r="814" spans="1:84" ht="12.75" customHeight="1">
      <c r="A814" s="12"/>
      <c r="B814" s="1" t="str">
        <f>Language!C469</f>
        <v>Preço eletricidade exportada</v>
      </c>
      <c r="C814" s="29" t="str">
        <f>$O$1197</f>
        <v>€/MWh</v>
      </c>
      <c r="D814" s="367"/>
      <c r="E814" s="1"/>
      <c r="F814" s="29" t="str">
        <f>$F$811</f>
        <v/>
      </c>
      <c r="G814" s="97" t="str">
        <f>IF($M$3=FALSE,"",V814/1000)</f>
        <v/>
      </c>
      <c r="H814" s="1"/>
      <c r="I814" s="1"/>
      <c r="J814" s="1"/>
      <c r="K814" s="9"/>
      <c r="L814" s="1"/>
      <c r="M814" s="319">
        <f>IF(OR(HideCode_projectType3=2,HideCode_projectType3=4,HideCode_projectType3=5,HideCode_projectType3=7),IF(EM_gridtype=5,0,1),1)</f>
        <v>1</v>
      </c>
      <c r="N814" s="319"/>
      <c r="O814" s="319"/>
      <c r="P814" s="319"/>
      <c r="Q814" s="319"/>
      <c r="R814" s="319"/>
      <c r="S814" s="319"/>
      <c r="T814" s="319"/>
      <c r="U814" s="319"/>
      <c r="V814" s="319">
        <f>IF(AND(HideCodeES_PSS=1, HideCodeES_PowerST1=7,HideCode_projectType3=2,HideES_Wind1QF=2),W243,IF(AND(HideCodeES_PSS=1, HideCodeES_PowerST1=9,HideCode_projectType3=2,HideES_PV1QF=0),O468,D814))</f>
        <v>199.99999999999994</v>
      </c>
      <c r="W814" s="319"/>
      <c r="X814" s="319"/>
      <c r="Y814" s="319"/>
      <c r="Z814" s="319"/>
      <c r="AA814" s="319"/>
      <c r="AB814" s="319"/>
      <c r="AC814" s="319"/>
      <c r="AD814" s="319"/>
      <c r="AE814" s="319"/>
      <c r="AF814" s="319"/>
      <c r="AG814" s="319"/>
      <c r="AH814" s="319"/>
      <c r="AI814" s="319"/>
      <c r="AJ814" s="319"/>
      <c r="AK814" s="319"/>
      <c r="AL814" s="319"/>
      <c r="AM814" s="319"/>
      <c r="AN814" s="319"/>
      <c r="AO814" s="319">
        <v>3000011</v>
      </c>
      <c r="AP814" s="319"/>
      <c r="AQ814" s="319"/>
      <c r="AR814" s="319"/>
      <c r="AS814" s="319"/>
      <c r="AT814" s="319"/>
      <c r="AU814" s="319"/>
      <c r="AV814" s="319"/>
      <c r="AW814" s="319"/>
      <c r="AX814" s="319"/>
      <c r="AY814" s="319"/>
      <c r="AZ814" s="319"/>
      <c r="BA814" s="319"/>
      <c r="BB814" s="319"/>
      <c r="BC814" s="319"/>
      <c r="BD814" s="319"/>
      <c r="BE814" s="319"/>
      <c r="BF814" s="319"/>
      <c r="BG814" s="319"/>
      <c r="BH814" s="319"/>
      <c r="BI814" s="319"/>
      <c r="BJ814" s="319"/>
      <c r="BK814" s="319"/>
      <c r="BL814" s="319"/>
      <c r="BM814" s="319"/>
      <c r="BN814" s="319"/>
      <c r="BO814" s="319"/>
      <c r="BP814" s="319"/>
      <c r="BQ814" s="319"/>
      <c r="BR814" s="319"/>
      <c r="BS814" s="319"/>
      <c r="BT814" s="319"/>
      <c r="BU814" s="319"/>
      <c r="BV814" s="319"/>
      <c r="BW814" s="319"/>
      <c r="BX814" s="319"/>
      <c r="BY814" s="319"/>
      <c r="BZ814" s="319"/>
      <c r="CA814" s="319"/>
      <c r="CB814" s="319"/>
      <c r="CC814" s="319"/>
      <c r="CD814" s="319"/>
      <c r="CE814" s="319"/>
      <c r="CF814" s="319"/>
    </row>
    <row r="815" spans="1:84" ht="12.75" hidden="1" customHeight="1">
      <c r="A815" s="12"/>
      <c r="B815" s="1" t="str">
        <f>Language!C470</f>
        <v>Preço da Eletricidade - caso proposto</v>
      </c>
      <c r="C815" s="29" t="str">
        <f>$O$1197</f>
        <v>€/MWh</v>
      </c>
      <c r="D815" s="367"/>
      <c r="E815" s="1"/>
      <c r="F815" s="29" t="str">
        <f>$F$811</f>
        <v/>
      </c>
      <c r="G815" s="97" t="str">
        <f>IF($M$3=FALSE,"",D815/1000)</f>
        <v/>
      </c>
      <c r="H815" s="1"/>
      <c r="I815" s="1"/>
      <c r="J815" s="1"/>
      <c r="K815" s="9"/>
      <c r="L815" s="1"/>
      <c r="M815" s="319"/>
      <c r="N815" s="319"/>
      <c r="O815" s="319"/>
      <c r="P815" s="319"/>
      <c r="Q815" s="319"/>
      <c r="R815" s="319"/>
      <c r="S815" s="319"/>
      <c r="T815" s="319"/>
      <c r="U815" s="319"/>
      <c r="V815" s="319"/>
      <c r="W815" s="319"/>
      <c r="X815" s="319"/>
      <c r="Y815" s="319"/>
      <c r="Z815" s="319"/>
      <c r="AA815" s="319"/>
      <c r="AB815" s="319"/>
      <c r="AC815" s="319"/>
      <c r="AD815" s="319"/>
      <c r="AE815" s="319"/>
      <c r="AF815" s="319"/>
      <c r="AG815" s="319"/>
      <c r="AH815" s="319"/>
      <c r="AI815" s="319"/>
      <c r="AJ815" s="319"/>
      <c r="AK815" s="319"/>
      <c r="AL815" s="319"/>
      <c r="AM815" s="319"/>
      <c r="AN815" s="319"/>
      <c r="AO815" s="319">
        <v>3000010</v>
      </c>
      <c r="AP815" s="319"/>
      <c r="AQ815" s="319"/>
      <c r="AR815" s="319"/>
      <c r="AS815" s="319"/>
      <c r="AT815" s="319"/>
      <c r="AU815" s="319"/>
      <c r="AV815" s="319"/>
      <c r="AW815" s="319"/>
      <c r="AX815" s="319"/>
      <c r="AY815" s="319"/>
      <c r="AZ815" s="319"/>
      <c r="BA815" s="319"/>
      <c r="BB815" s="319"/>
      <c r="BC815" s="319"/>
      <c r="BD815" s="319"/>
      <c r="BE815" s="319"/>
      <c r="BF815" s="319"/>
      <c r="BG815" s="319"/>
      <c r="BH815" s="319"/>
      <c r="BI815" s="319"/>
      <c r="BJ815" s="319"/>
      <c r="BK815" s="319"/>
      <c r="BL815" s="319"/>
      <c r="BM815" s="319"/>
      <c r="BN815" s="319"/>
      <c r="BO815" s="319"/>
      <c r="BP815" s="319"/>
      <c r="BQ815" s="319"/>
      <c r="BR815" s="319"/>
      <c r="BS815" s="319"/>
      <c r="BT815" s="319"/>
      <c r="BU815" s="319"/>
      <c r="BV815" s="319"/>
      <c r="BW815" s="319"/>
      <c r="BX815" s="319"/>
      <c r="BY815" s="319"/>
      <c r="BZ815" s="319"/>
      <c r="CA815" s="319"/>
      <c r="CB815" s="319"/>
      <c r="CC815" s="319"/>
      <c r="CD815" s="319"/>
      <c r="CE815" s="319"/>
      <c r="CF815" s="319"/>
    </row>
    <row r="816" spans="1:84" ht="13.2">
      <c r="A816" s="12"/>
      <c r="B816" s="1"/>
      <c r="C816" s="1"/>
      <c r="D816" s="1"/>
      <c r="E816" s="1"/>
      <c r="F816" s="1"/>
      <c r="G816" s="1"/>
      <c r="H816" s="1"/>
      <c r="I816" s="1"/>
      <c r="J816" s="1"/>
      <c r="K816" s="9"/>
      <c r="L816" s="1"/>
      <c r="M816" s="319"/>
      <c r="N816" s="319"/>
      <c r="O816" s="319"/>
      <c r="P816" s="319"/>
      <c r="Q816" s="319"/>
      <c r="R816" s="319"/>
      <c r="S816" s="319"/>
      <c r="T816" s="319"/>
      <c r="U816" s="319"/>
      <c r="V816" s="319"/>
      <c r="W816" s="319"/>
      <c r="X816" s="319"/>
      <c r="Y816" s="319"/>
      <c r="Z816" s="319"/>
      <c r="AA816" s="319"/>
      <c r="AB816" s="319"/>
      <c r="AC816" s="319"/>
      <c r="AD816" s="319"/>
      <c r="AE816" s="319"/>
      <c r="AF816" s="319"/>
      <c r="AG816" s="319"/>
      <c r="AH816" s="319"/>
      <c r="AI816" s="319"/>
      <c r="AJ816" s="319"/>
      <c r="AK816" s="319"/>
      <c r="AL816" s="319"/>
      <c r="AM816" s="319"/>
      <c r="AN816" s="319"/>
      <c r="AO816" s="319">
        <v>2030000</v>
      </c>
      <c r="AP816" s="319"/>
      <c r="AQ816" s="319"/>
      <c r="AR816" s="319"/>
      <c r="AS816" s="319"/>
      <c r="AT816" s="319"/>
      <c r="AU816" s="319"/>
      <c r="AV816" s="319"/>
      <c r="AW816" s="319"/>
      <c r="AX816" s="319"/>
      <c r="AY816" s="319"/>
      <c r="AZ816" s="319"/>
      <c r="BA816" s="319"/>
      <c r="BB816" s="319"/>
      <c r="BC816" s="319"/>
      <c r="BD816" s="319"/>
      <c r="BE816" s="319"/>
      <c r="BF816" s="319"/>
      <c r="BG816" s="319"/>
      <c r="BH816" s="319"/>
      <c r="BI816" s="319"/>
      <c r="BJ816" s="319"/>
      <c r="BK816" s="319"/>
      <c r="BL816" s="319"/>
      <c r="BM816" s="319"/>
      <c r="BN816" s="319"/>
      <c r="BO816" s="319"/>
      <c r="BP816" s="319"/>
      <c r="BQ816" s="319"/>
      <c r="BR816" s="319"/>
      <c r="BS816" s="319"/>
      <c r="BT816" s="319"/>
      <c r="BU816" s="319"/>
      <c r="BV816" s="319"/>
      <c r="BW816" s="319"/>
      <c r="BX816" s="319"/>
      <c r="BY816" s="319"/>
      <c r="BZ816" s="319"/>
      <c r="CA816" s="319"/>
      <c r="CB816" s="319"/>
      <c r="CC816" s="319"/>
      <c r="CD816" s="319"/>
      <c r="CE816" s="319"/>
      <c r="CF816" s="319"/>
    </row>
    <row r="817" spans="1:84" ht="38.25" hidden="1" customHeight="1">
      <c r="A817" s="12"/>
      <c r="B817" s="1"/>
      <c r="C817" s="1"/>
      <c r="D817" s="82" t="str">
        <f>Language!C205</f>
        <v>Eletricidade fornecida à carga</v>
      </c>
      <c r="E817" s="82" t="str">
        <f>Language!C206</f>
        <v>Eletricidade exportada p/ rede</v>
      </c>
      <c r="F817" s="82" t="str">
        <f>Language!C471</f>
        <v>Eletricidade
complemento
necessário</v>
      </c>
      <c r="G817" s="82" t="str">
        <f>Language!C472</f>
        <v>Calor
Recuperado</v>
      </c>
      <c r="H817" s="82" t="str">
        <f>Language!C473</f>
        <v>Calor
complemento
necessário</v>
      </c>
      <c r="I817" s="82" t="str">
        <f>Language!C474</f>
        <v>Combustível
para produzir
 eletricidade</v>
      </c>
      <c r="J817" s="82" t="str">
        <f>Language!C475</f>
        <v>Lucro (prejuízo) 
Operacional</v>
      </c>
      <c r="K817" s="127" t="str">
        <f>Language!C476</f>
        <v>Eficiência</v>
      </c>
      <c r="L817" s="1"/>
      <c r="M817" s="319"/>
      <c r="N817" s="319"/>
      <c r="O817" s="319"/>
      <c r="P817" s="319" t="str">
        <f>R14</f>
        <v>MWh</v>
      </c>
      <c r="Q817" s="319" t="str">
        <f>R14</f>
        <v>MWh</v>
      </c>
      <c r="R817" s="319" t="str">
        <f>R14</f>
        <v>MWh</v>
      </c>
      <c r="S817" s="319" t="str">
        <f>Language!C1382</f>
        <v>milhão Btu</v>
      </c>
      <c r="T817" s="319" t="str">
        <f>S817</f>
        <v>milhão Btu</v>
      </c>
      <c r="U817" s="319" t="str">
        <f>S817</f>
        <v>milhão Btu</v>
      </c>
      <c r="V817" s="319"/>
      <c r="W817" s="319"/>
      <c r="X817" s="319"/>
      <c r="Y817" s="319"/>
      <c r="Z817" s="319"/>
      <c r="AA817" s="319"/>
      <c r="AB817" s="319"/>
      <c r="AC817" s="319"/>
      <c r="AD817" s="319"/>
      <c r="AE817" s="319"/>
      <c r="AF817" s="319"/>
      <c r="AG817" s="319"/>
      <c r="AH817" s="319"/>
      <c r="AI817" s="319"/>
      <c r="AJ817" s="319"/>
      <c r="AK817" s="319"/>
      <c r="AL817" s="319"/>
      <c r="AM817" s="319"/>
      <c r="AN817" s="319"/>
      <c r="AO817" s="319">
        <v>3000000</v>
      </c>
      <c r="AP817" s="319"/>
      <c r="AQ817" s="319"/>
      <c r="AR817" s="319"/>
      <c r="AS817" s="319"/>
      <c r="AT817" s="319"/>
      <c r="AU817" s="319"/>
      <c r="AV817" s="319"/>
      <c r="AW817" s="319"/>
      <c r="AX817" s="319"/>
      <c r="AY817" s="319"/>
      <c r="AZ817" s="319"/>
      <c r="BA817" s="319"/>
      <c r="BB817" s="319"/>
      <c r="BC817" s="319"/>
      <c r="BD817" s="319"/>
      <c r="BE817" s="319"/>
      <c r="BF817" s="319"/>
      <c r="BG817" s="319"/>
      <c r="BH817" s="319"/>
      <c r="BI817" s="319"/>
      <c r="BJ817" s="319"/>
      <c r="BK817" s="319"/>
      <c r="BL817" s="319"/>
      <c r="BM817" s="319"/>
      <c r="BN817" s="319"/>
      <c r="BO817" s="319"/>
      <c r="BP817" s="319"/>
      <c r="BQ817" s="319"/>
      <c r="BR817" s="319"/>
      <c r="BS817" s="319"/>
      <c r="BT817" s="319"/>
      <c r="BU817" s="319"/>
      <c r="BV817" s="319"/>
      <c r="BW817" s="319"/>
      <c r="BX817" s="319"/>
      <c r="BY817" s="319"/>
      <c r="BZ817" s="319"/>
      <c r="CA817" s="319"/>
      <c r="CB817" s="319"/>
      <c r="CC817" s="319"/>
      <c r="CD817" s="319"/>
      <c r="CE817" s="319"/>
      <c r="CF817" s="319"/>
    </row>
    <row r="818" spans="1:84" ht="12.75" hidden="1" customHeight="1">
      <c r="A818" s="12"/>
      <c r="B818" s="49" t="str">
        <f>Language!C201</f>
        <v>Estratégia de operação</v>
      </c>
      <c r="C818" s="15"/>
      <c r="D818" s="128" t="str">
        <f>R14</f>
        <v>MWh</v>
      </c>
      <c r="E818" s="128" t="str">
        <f>R14</f>
        <v>MWh</v>
      </c>
      <c r="F818" s="128" t="str">
        <f>R14</f>
        <v>MWh</v>
      </c>
      <c r="G818" s="128" t="str">
        <f>IF(Unit=TRUE,$P$817,$S$817)</f>
        <v>MWh</v>
      </c>
      <c r="H818" s="128" t="str">
        <f>IF(Unit=TRUE,$Q$817,$T$817)</f>
        <v>MWh</v>
      </c>
      <c r="I818" s="128" t="str">
        <f>IF(Unit=TRUE,$R$817,$U$817)</f>
        <v>MWh</v>
      </c>
      <c r="J818" s="128" t="str">
        <f>Currency</f>
        <v>€</v>
      </c>
      <c r="K818" s="423" t="s">
        <v>739</v>
      </c>
      <c r="L818" s="1"/>
      <c r="M818" s="319"/>
      <c r="N818" s="319"/>
      <c r="O818" s="319"/>
      <c r="P818" s="319"/>
      <c r="Q818" s="319"/>
      <c r="R818" s="319"/>
      <c r="S818" s="319"/>
      <c r="T818" s="319"/>
      <c r="U818" s="319"/>
      <c r="V818" s="319"/>
      <c r="W818" s="319"/>
      <c r="X818" s="319"/>
      <c r="Y818" s="319"/>
      <c r="Z818" s="319"/>
      <c r="AA818" s="319"/>
      <c r="AB818" s="319"/>
      <c r="AC818" s="319"/>
      <c r="AD818" s="319"/>
      <c r="AE818" s="319"/>
      <c r="AF818" s="319"/>
      <c r="AG818" s="319"/>
      <c r="AH818" s="319"/>
      <c r="AI818" s="319"/>
      <c r="AJ818" s="319"/>
      <c r="AK818" s="319"/>
      <c r="AL818" s="319"/>
      <c r="AM818" s="319"/>
      <c r="AN818" s="319"/>
      <c r="AO818" s="319">
        <v>3000000</v>
      </c>
      <c r="AP818" s="319"/>
      <c r="AQ818" s="319"/>
      <c r="AR818" s="319"/>
      <c r="AS818" s="319"/>
      <c r="AT818" s="319"/>
      <c r="AU818" s="319"/>
      <c r="AV818" s="319"/>
      <c r="AW818" s="319"/>
      <c r="AX818" s="319"/>
      <c r="AY818" s="319"/>
      <c r="AZ818" s="319"/>
      <c r="BA818" s="319"/>
      <c r="BB818" s="319"/>
      <c r="BC818" s="319"/>
      <c r="BD818" s="319"/>
      <c r="BE818" s="319"/>
      <c r="BF818" s="319"/>
      <c r="BG818" s="319"/>
      <c r="BH818" s="319"/>
      <c r="BI818" s="319"/>
      <c r="BJ818" s="319"/>
      <c r="BK818" s="319"/>
      <c r="BL818" s="319"/>
      <c r="BM818" s="319"/>
      <c r="BN818" s="319"/>
      <c r="BO818" s="319"/>
      <c r="BP818" s="319"/>
      <c r="BQ818" s="319"/>
      <c r="BR818" s="319"/>
      <c r="BS818" s="319"/>
      <c r="BT818" s="319"/>
      <c r="BU818" s="319"/>
      <c r="BV818" s="319"/>
      <c r="BW818" s="319"/>
      <c r="BX818" s="319"/>
      <c r="BY818" s="319"/>
      <c r="BZ818" s="319"/>
      <c r="CA818" s="319"/>
      <c r="CB818" s="319"/>
      <c r="CC818" s="319"/>
      <c r="CD818" s="319"/>
      <c r="CE818" s="319"/>
      <c r="CF818" s="319"/>
    </row>
    <row r="819" spans="1:84" ht="12.75" hidden="1" customHeight="1">
      <c r="A819" s="12"/>
      <c r="B819" s="56" t="str">
        <f>Language!C153</f>
        <v>Potência elétr.máx.de saída</v>
      </c>
      <c r="C819" s="56"/>
      <c r="D819" s="32">
        <f>(I1137-L1137)*$F$1129</f>
        <v>0</v>
      </c>
      <c r="E819" s="32">
        <f>IF(P1137*$F$1129-D819&lt;0,0,P1137*$F$1129-D819)</f>
        <v>5.3903325633948667</v>
      </c>
      <c r="F819" s="32">
        <f>I1137-D819</f>
        <v>0</v>
      </c>
      <c r="G819" s="32">
        <f t="shared" ref="G819:I821" si="70">IF(Unit=TRUE,P819,P819*$AB$1087)</f>
        <v>0</v>
      </c>
      <c r="H819" s="32">
        <f t="shared" si="70"/>
        <v>0</v>
      </c>
      <c r="I819" s="32">
        <f t="shared" si="70"/>
        <v>0</v>
      </c>
      <c r="J819" s="130" t="e">
        <f>((D819+F819)*$D$812+(P819+Q819)*$D$811)-(R819*$D$813+F819*$D$815-E819*$V$814+Q819*$D$811)</f>
        <v>#DIV/0!</v>
      </c>
      <c r="K819" s="131" t="str">
        <f>IF(R819=0,"-",IF($K$818=$C$1085,FIXED((D819+E819+P819)/R819*100,1)&amp;$T$35,IF($K$818=$C$1086,FIXED(I819*3600/(P819+E819+D819),0),FIXED(I819*3600/(P819+E819+D819)/$AA$1082,0))))</f>
        <v>-</v>
      </c>
      <c r="L819" s="1"/>
      <c r="M819" s="319"/>
      <c r="N819" s="319">
        <v>1</v>
      </c>
      <c r="O819" s="319"/>
      <c r="P819" s="319">
        <f>Q1137*$U$35</f>
        <v>0</v>
      </c>
      <c r="Q819" s="319">
        <f>$J$1137-P819</f>
        <v>0</v>
      </c>
      <c r="R819" s="319">
        <f>T1137*$F$1129</f>
        <v>0</v>
      </c>
      <c r="S819" s="319"/>
      <c r="T819" s="319">
        <f>IF(N819=$N$862,1,0)</f>
        <v>0</v>
      </c>
      <c r="U819" s="319"/>
      <c r="V819" s="319"/>
      <c r="W819" s="319"/>
      <c r="X819" s="319"/>
      <c r="Y819" s="319"/>
      <c r="Z819" s="319"/>
      <c r="AA819" s="319"/>
      <c r="AB819" s="319"/>
      <c r="AC819" s="319"/>
      <c r="AD819" s="319"/>
      <c r="AE819" s="319"/>
      <c r="AF819" s="319"/>
      <c r="AG819" s="319"/>
      <c r="AH819" s="319"/>
      <c r="AI819" s="319"/>
      <c r="AJ819" s="319"/>
      <c r="AK819" s="319"/>
      <c r="AL819" s="319"/>
      <c r="AM819" s="319"/>
      <c r="AN819" s="319"/>
      <c r="AO819" s="319">
        <v>3000000</v>
      </c>
      <c r="AP819" s="319"/>
      <c r="AQ819" s="319"/>
      <c r="AR819" s="319"/>
      <c r="AS819" s="319"/>
      <c r="AT819" s="319"/>
      <c r="AU819" s="319"/>
      <c r="AV819" s="319"/>
      <c r="AW819" s="319"/>
      <c r="AX819" s="319"/>
      <c r="AY819" s="319"/>
      <c r="AZ819" s="319"/>
      <c r="BA819" s="319"/>
      <c r="BB819" s="319"/>
      <c r="BC819" s="319"/>
      <c r="BD819" s="319"/>
      <c r="BE819" s="319"/>
      <c r="BF819" s="319"/>
      <c r="BG819" s="319"/>
      <c r="BH819" s="319"/>
      <c r="BI819" s="319"/>
      <c r="BJ819" s="319"/>
      <c r="BK819" s="319"/>
      <c r="BL819" s="319"/>
      <c r="BM819" s="319"/>
      <c r="BN819" s="319"/>
      <c r="BO819" s="319"/>
      <c r="BP819" s="319"/>
      <c r="BQ819" s="319"/>
      <c r="BR819" s="319"/>
      <c r="BS819" s="319"/>
      <c r="BT819" s="319"/>
      <c r="BU819" s="319"/>
      <c r="BV819" s="319"/>
      <c r="BW819" s="319"/>
      <c r="BX819" s="319"/>
      <c r="BY819" s="319"/>
      <c r="BZ819" s="319"/>
      <c r="CA819" s="319"/>
      <c r="CB819" s="319"/>
      <c r="CC819" s="319"/>
      <c r="CD819" s="319"/>
      <c r="CE819" s="319"/>
      <c r="CF819" s="319"/>
    </row>
    <row r="820" spans="1:84" ht="12.75" hidden="1" customHeight="1">
      <c r="A820" s="12"/>
      <c r="B820" s="1" t="str">
        <f>Language!C154</f>
        <v>Acompanhando carga elétrica</v>
      </c>
      <c r="C820" s="1"/>
      <c r="D820" s="30">
        <f>M1137*$F$1129</f>
        <v>0</v>
      </c>
      <c r="E820" s="30">
        <v>0</v>
      </c>
      <c r="F820" s="30">
        <f>I1137-D820</f>
        <v>0</v>
      </c>
      <c r="G820" s="30">
        <f t="shared" si="70"/>
        <v>0</v>
      </c>
      <c r="H820" s="30">
        <f t="shared" si="70"/>
        <v>0</v>
      </c>
      <c r="I820" s="30">
        <f t="shared" si="70"/>
        <v>0</v>
      </c>
      <c r="J820" s="39" t="e">
        <f>((D820+F820)*$D$812+(P820+Q820)*$D$811)-(R820*$D$813+F820*$D$815-E820*$V$814+Q820*$D$811)</f>
        <v>#DIV/0!</v>
      </c>
      <c r="K820" s="131" t="str">
        <f>IF(R820=0,"-",IF($K$818=$C$1085,FIXED((D820+E820+P820)/R820*100,1)&amp;$T$35,IF($K$818=$C$1086,FIXED(I820*3600/(P820+E820+D820),0),FIXED(I820*3600/(P820+E820+D820)/$AA$1082,0))))</f>
        <v>-</v>
      </c>
      <c r="L820" s="1"/>
      <c r="M820" s="319"/>
      <c r="N820" s="319">
        <v>2</v>
      </c>
      <c r="O820" s="319"/>
      <c r="P820" s="319">
        <f>R1137*$F$1129</f>
        <v>0</v>
      </c>
      <c r="Q820" s="319">
        <f>$J$1137-P820</f>
        <v>0</v>
      </c>
      <c r="R820" s="319">
        <f>V1137*$F$1129</f>
        <v>0</v>
      </c>
      <c r="S820" s="319"/>
      <c r="T820" s="319">
        <f>IF(N820=$N$862,1,0)</f>
        <v>0</v>
      </c>
      <c r="U820" s="319"/>
      <c r="V820" s="319"/>
      <c r="W820" s="319"/>
      <c r="X820" s="319"/>
      <c r="Y820" s="319"/>
      <c r="Z820" s="319"/>
      <c r="AA820" s="319"/>
      <c r="AB820" s="319"/>
      <c r="AC820" s="319"/>
      <c r="AD820" s="319"/>
      <c r="AE820" s="319"/>
      <c r="AF820" s="319"/>
      <c r="AG820" s="319"/>
      <c r="AH820" s="319"/>
      <c r="AI820" s="319"/>
      <c r="AJ820" s="319"/>
      <c r="AK820" s="319"/>
      <c r="AL820" s="319"/>
      <c r="AM820" s="319"/>
      <c r="AN820" s="319"/>
      <c r="AO820" s="319">
        <v>3000000</v>
      </c>
      <c r="AP820" s="319"/>
      <c r="AQ820" s="319"/>
      <c r="AR820" s="319"/>
      <c r="AS820" s="319"/>
      <c r="AT820" s="319"/>
      <c r="AU820" s="319"/>
      <c r="AV820" s="319"/>
      <c r="AW820" s="319"/>
      <c r="AX820" s="319"/>
      <c r="AY820" s="319"/>
      <c r="AZ820" s="319"/>
      <c r="BA820" s="319"/>
      <c r="BB820" s="319"/>
      <c r="BC820" s="319"/>
      <c r="BD820" s="319"/>
      <c r="BE820" s="319"/>
      <c r="BF820" s="319"/>
      <c r="BG820" s="319"/>
      <c r="BH820" s="319"/>
      <c r="BI820" s="319"/>
      <c r="BJ820" s="319"/>
      <c r="BK820" s="319"/>
      <c r="BL820" s="319"/>
      <c r="BM820" s="319"/>
      <c r="BN820" s="319"/>
      <c r="BO820" s="319"/>
      <c r="BP820" s="319"/>
      <c r="BQ820" s="319"/>
      <c r="BR820" s="319"/>
      <c r="BS820" s="319"/>
      <c r="BT820" s="319"/>
      <c r="BU820" s="319"/>
      <c r="BV820" s="319"/>
      <c r="BW820" s="319"/>
      <c r="BX820" s="319"/>
      <c r="BY820" s="319"/>
      <c r="BZ820" s="319"/>
      <c r="CA820" s="319"/>
      <c r="CB820" s="319"/>
      <c r="CC820" s="319"/>
      <c r="CD820" s="319"/>
      <c r="CE820" s="319"/>
      <c r="CF820" s="319"/>
    </row>
    <row r="821" spans="1:84" ht="13.2" hidden="1">
      <c r="A821" s="12"/>
      <c r="B821" s="1" t="str">
        <f>Language!C155</f>
        <v>Acompanhando a carga de calor</v>
      </c>
      <c r="C821" s="1"/>
      <c r="D821" s="30">
        <f>O1137*$F$1129</f>
        <v>0</v>
      </c>
      <c r="E821" s="30">
        <f>(N1137-O1137)*$F$1129</f>
        <v>0</v>
      </c>
      <c r="F821" s="30">
        <f>I1137-D821</f>
        <v>0</v>
      </c>
      <c r="G821" s="30">
        <f t="shared" si="70"/>
        <v>0</v>
      </c>
      <c r="H821" s="30">
        <f t="shared" si="70"/>
        <v>0</v>
      </c>
      <c r="I821" s="30">
        <f t="shared" si="70"/>
        <v>0</v>
      </c>
      <c r="J821" s="39" t="e">
        <f>((D821+F821)*$D$812+(P821+Q821)*$D$811)-(R821*$D$813+F821*$D$815-E821*$V$814+Q821*$D$811)</f>
        <v>#DIV/0!</v>
      </c>
      <c r="K821" s="131" t="str">
        <f>IF(R821=0,"-",IF($K$818=$C$1085,FIXED((D821+E821+P821)/R821*100,1)&amp;$T$35,IF($K$818=$C$1086,FIXED(I821*3600/(P821+E821+D821),0),FIXED(I821*3600/(P821+E821+D821)/$AA$1082,0))))</f>
        <v>-</v>
      </c>
      <c r="L821" s="1"/>
      <c r="M821" s="319"/>
      <c r="N821" s="319">
        <v>3</v>
      </c>
      <c r="O821" s="319"/>
      <c r="P821" s="319">
        <f>S1137*$F$1129</f>
        <v>0</v>
      </c>
      <c r="Q821" s="319">
        <f>$J$1137-P821</f>
        <v>0</v>
      </c>
      <c r="R821" s="319">
        <f>W1137*$F$1129</f>
        <v>0</v>
      </c>
      <c r="S821" s="319"/>
      <c r="T821" s="319">
        <f>IF(N821=$N$862,1,0)</f>
        <v>0</v>
      </c>
      <c r="U821" s="319"/>
      <c r="V821" s="319"/>
      <c r="W821" s="319"/>
      <c r="X821" s="319"/>
      <c r="Y821" s="319"/>
      <c r="Z821" s="319"/>
      <c r="AA821" s="319"/>
      <c r="AB821" s="319"/>
      <c r="AC821" s="319"/>
      <c r="AD821" s="319"/>
      <c r="AE821" s="319"/>
      <c r="AF821" s="319"/>
      <c r="AG821" s="319"/>
      <c r="AH821" s="319"/>
      <c r="AI821" s="319"/>
      <c r="AJ821" s="319"/>
      <c r="AK821" s="319"/>
      <c r="AL821" s="319"/>
      <c r="AM821" s="319"/>
      <c r="AN821" s="319"/>
      <c r="AO821" s="319">
        <v>3000000</v>
      </c>
      <c r="AP821" s="319"/>
      <c r="AQ821" s="319"/>
      <c r="AR821" s="319"/>
      <c r="AS821" s="319"/>
      <c r="AT821" s="319"/>
      <c r="AU821" s="319"/>
      <c r="AV821" s="319"/>
      <c r="AW821" s="319"/>
      <c r="AX821" s="319"/>
      <c r="AY821" s="319"/>
      <c r="AZ821" s="319"/>
      <c r="BA821" s="319"/>
      <c r="BB821" s="319"/>
      <c r="BC821" s="319"/>
      <c r="BD821" s="319"/>
      <c r="BE821" s="319"/>
      <c r="BF821" s="319"/>
      <c r="BG821" s="319"/>
      <c r="BH821" s="319"/>
      <c r="BI821" s="319"/>
      <c r="BJ821" s="319"/>
      <c r="BK821" s="319"/>
      <c r="BL821" s="319"/>
      <c r="BM821" s="319"/>
      <c r="BN821" s="319"/>
      <c r="BO821" s="319"/>
      <c r="BP821" s="319"/>
      <c r="BQ821" s="319"/>
      <c r="BR821" s="319"/>
      <c r="BS821" s="319"/>
      <c r="BT821" s="319"/>
      <c r="BU821" s="319"/>
      <c r="BV821" s="319"/>
      <c r="BW821" s="319"/>
      <c r="BX821" s="319"/>
      <c r="BY821" s="319"/>
      <c r="BZ821" s="319"/>
      <c r="CA821" s="319"/>
      <c r="CB821" s="319"/>
      <c r="CC821" s="319"/>
      <c r="CD821" s="319"/>
      <c r="CE821" s="319"/>
      <c r="CF821" s="319"/>
    </row>
    <row r="822" spans="1:84" ht="12.75" hidden="1" customHeight="1">
      <c r="A822" s="12"/>
      <c r="B822" s="1"/>
      <c r="C822" s="1"/>
      <c r="D822" s="1"/>
      <c r="E822" s="1"/>
      <c r="F822" s="1"/>
      <c r="G822" s="1"/>
      <c r="H822" s="1"/>
      <c r="I822" s="1"/>
      <c r="J822" s="1"/>
      <c r="K822" s="9"/>
      <c r="L822" s="1"/>
      <c r="M822" s="319"/>
      <c r="N822" s="319"/>
      <c r="O822" s="319"/>
      <c r="P822" s="319"/>
      <c r="Q822" s="319"/>
      <c r="R822" s="319"/>
      <c r="S822" s="319"/>
      <c r="T822" s="319"/>
      <c r="U822" s="319"/>
      <c r="V822" s="319"/>
      <c r="W822" s="319"/>
      <c r="X822" s="319"/>
      <c r="Y822" s="319"/>
      <c r="Z822" s="319"/>
      <c r="AA822" s="319"/>
      <c r="AB822" s="319"/>
      <c r="AC822" s="319"/>
      <c r="AD822" s="319"/>
      <c r="AE822" s="319"/>
      <c r="AF822" s="319"/>
      <c r="AG822" s="319"/>
      <c r="AH822" s="319"/>
      <c r="AI822" s="319"/>
      <c r="AJ822" s="319"/>
      <c r="AK822" s="319"/>
      <c r="AL822" s="319"/>
      <c r="AM822" s="319"/>
      <c r="AN822" s="319"/>
      <c r="AO822" s="319">
        <v>3000000</v>
      </c>
      <c r="AP822" s="319"/>
      <c r="AQ822" s="319"/>
      <c r="AR822" s="319"/>
      <c r="AS822" s="319"/>
      <c r="AT822" s="319"/>
      <c r="AU822" s="319"/>
      <c r="AV822" s="319"/>
      <c r="AW822" s="319"/>
      <c r="AX822" s="319"/>
      <c r="AY822" s="319"/>
      <c r="AZ822" s="319"/>
      <c r="BA822" s="319"/>
      <c r="BB822" s="319"/>
      <c r="BC822" s="319"/>
      <c r="BD822" s="319"/>
      <c r="BE822" s="319"/>
      <c r="BF822" s="319"/>
      <c r="BG822" s="319"/>
      <c r="BH822" s="319"/>
      <c r="BI822" s="319"/>
      <c r="BJ822" s="319"/>
      <c r="BK822" s="319"/>
      <c r="BL822" s="319"/>
      <c r="BM822" s="319"/>
      <c r="BN822" s="319"/>
      <c r="BO822" s="319"/>
      <c r="BP822" s="319"/>
      <c r="BQ822" s="319"/>
      <c r="BR822" s="319"/>
      <c r="BS822" s="319"/>
      <c r="BT822" s="319"/>
      <c r="BU822" s="319"/>
      <c r="BV822" s="319"/>
      <c r="BW822" s="319"/>
      <c r="BX822" s="319"/>
      <c r="BY822" s="319"/>
      <c r="BZ822" s="319"/>
      <c r="CA822" s="319"/>
      <c r="CB822" s="319"/>
      <c r="CC822" s="319"/>
      <c r="CD822" s="319"/>
      <c r="CE822" s="319"/>
      <c r="CF822" s="319"/>
    </row>
    <row r="823" spans="1:84" ht="38.25" hidden="1" customHeight="1">
      <c r="A823" s="12"/>
      <c r="B823" s="1"/>
      <c r="C823" s="1"/>
      <c r="D823" s="82" t="str">
        <f>$D$817</f>
        <v>Eletricidade fornecida à carga</v>
      </c>
      <c r="E823" s="82" t="str">
        <f>$E$817</f>
        <v>Eletricidade exportada p/ rede</v>
      </c>
      <c r="F823" s="82" t="str">
        <f>$F$817</f>
        <v>Eletricidade
complemento
necessário</v>
      </c>
      <c r="G823" s="82"/>
      <c r="H823" s="82"/>
      <c r="I823" s="82" t="str">
        <f>I817</f>
        <v>Combustível
para produzir
 eletricidade</v>
      </c>
      <c r="J823" s="82" t="str">
        <f>$J$817</f>
        <v>Lucro (prejuízo) 
Operacional</v>
      </c>
      <c r="K823" s="127" t="str">
        <f>K817</f>
        <v>Eficiência</v>
      </c>
      <c r="L823" s="1"/>
      <c r="M823" s="319"/>
      <c r="N823" s="319"/>
      <c r="O823" s="319"/>
      <c r="P823" s="319"/>
      <c r="Q823" s="319"/>
      <c r="R823" s="319"/>
      <c r="S823" s="319"/>
      <c r="T823" s="319"/>
      <c r="U823" s="319"/>
      <c r="V823" s="319"/>
      <c r="W823" s="319"/>
      <c r="X823" s="319"/>
      <c r="Y823" s="319"/>
      <c r="Z823" s="319"/>
      <c r="AA823" s="319"/>
      <c r="AB823" s="319"/>
      <c r="AC823" s="319"/>
      <c r="AD823" s="319"/>
      <c r="AE823" s="319"/>
      <c r="AF823" s="319"/>
      <c r="AG823" s="319"/>
      <c r="AH823" s="319"/>
      <c r="AI823" s="319"/>
      <c r="AJ823" s="319"/>
      <c r="AK823" s="319"/>
      <c r="AL823" s="319"/>
      <c r="AM823" s="319"/>
      <c r="AN823" s="319"/>
      <c r="AO823" s="319">
        <v>3000000</v>
      </c>
      <c r="AP823" s="319"/>
      <c r="AQ823" s="319"/>
      <c r="AR823" s="319"/>
      <c r="AS823" s="319"/>
      <c r="AT823" s="319"/>
      <c r="AU823" s="319"/>
      <c r="AV823" s="319"/>
      <c r="AW823" s="319"/>
      <c r="AX823" s="319"/>
      <c r="AY823" s="319"/>
      <c r="AZ823" s="319"/>
      <c r="BA823" s="319"/>
      <c r="BB823" s="319"/>
      <c r="BC823" s="319"/>
      <c r="BD823" s="319"/>
      <c r="BE823" s="319"/>
      <c r="BF823" s="319"/>
      <c r="BG823" s="319"/>
      <c r="BH823" s="319"/>
      <c r="BI823" s="319"/>
      <c r="BJ823" s="319"/>
      <c r="BK823" s="319"/>
      <c r="BL823" s="319"/>
      <c r="BM823" s="319"/>
      <c r="BN823" s="319"/>
      <c r="BO823" s="319"/>
      <c r="BP823" s="319"/>
      <c r="BQ823" s="319"/>
      <c r="BR823" s="319"/>
      <c r="BS823" s="319"/>
      <c r="BT823" s="319"/>
      <c r="BU823" s="319"/>
      <c r="BV823" s="319"/>
      <c r="BW823" s="319"/>
      <c r="BX823" s="319"/>
      <c r="BY823" s="319"/>
      <c r="BZ823" s="319"/>
      <c r="CA823" s="319"/>
      <c r="CB823" s="319"/>
      <c r="CC823" s="319"/>
      <c r="CD823" s="319"/>
      <c r="CE823" s="319"/>
      <c r="CF823" s="319"/>
    </row>
    <row r="824" spans="1:84" ht="12.75" hidden="1" customHeight="1">
      <c r="A824" s="12"/>
      <c r="B824" s="49" t="str">
        <f>$B$818</f>
        <v>Estratégia de operação</v>
      </c>
      <c r="C824" s="15"/>
      <c r="D824" s="128" t="str">
        <f>R14</f>
        <v>MWh</v>
      </c>
      <c r="E824" s="128" t="str">
        <f>R14</f>
        <v>MWh</v>
      </c>
      <c r="F824" s="128" t="str">
        <f>R14</f>
        <v>MWh</v>
      </c>
      <c r="G824" s="128"/>
      <c r="H824" s="128"/>
      <c r="I824" s="128" t="str">
        <f>IF(Unit=TRUE,$R$817,$U$817)</f>
        <v>MWh</v>
      </c>
      <c r="J824" s="128" t="str">
        <f>$J$818</f>
        <v>€</v>
      </c>
      <c r="K824" s="423" t="s">
        <v>739</v>
      </c>
      <c r="L824" s="1"/>
      <c r="M824" s="319"/>
      <c r="N824" s="319"/>
      <c r="O824" s="319"/>
      <c r="P824" s="319"/>
      <c r="Q824" s="319"/>
      <c r="R824" s="319"/>
      <c r="S824" s="319"/>
      <c r="T824" s="319"/>
      <c r="U824" s="319"/>
      <c r="V824" s="319"/>
      <c r="W824" s="319"/>
      <c r="X824" s="319"/>
      <c r="Y824" s="319"/>
      <c r="Z824" s="319"/>
      <c r="AA824" s="319"/>
      <c r="AB824" s="319"/>
      <c r="AC824" s="319"/>
      <c r="AD824" s="319"/>
      <c r="AE824" s="319"/>
      <c r="AF824" s="319"/>
      <c r="AG824" s="319"/>
      <c r="AH824" s="319"/>
      <c r="AI824" s="319"/>
      <c r="AJ824" s="319"/>
      <c r="AK824" s="319"/>
      <c r="AL824" s="319"/>
      <c r="AM824" s="319"/>
      <c r="AN824" s="319"/>
      <c r="AO824" s="319">
        <v>3000000</v>
      </c>
      <c r="AP824" s="319"/>
      <c r="AQ824" s="319"/>
      <c r="AR824" s="319"/>
      <c r="AS824" s="319"/>
      <c r="AT824" s="319"/>
      <c r="AU824" s="319"/>
      <c r="AV824" s="319"/>
      <c r="AW824" s="319"/>
      <c r="AX824" s="319"/>
      <c r="AY824" s="319"/>
      <c r="AZ824" s="319"/>
      <c r="BA824" s="319"/>
      <c r="BB824" s="319"/>
      <c r="BC824" s="319"/>
      <c r="BD824" s="319"/>
      <c r="BE824" s="319"/>
      <c r="BF824" s="319"/>
      <c r="BG824" s="319"/>
      <c r="BH824" s="319"/>
      <c r="BI824" s="319"/>
      <c r="BJ824" s="319"/>
      <c r="BK824" s="319"/>
      <c r="BL824" s="319"/>
      <c r="BM824" s="319"/>
      <c r="BN824" s="319"/>
      <c r="BO824" s="319"/>
      <c r="BP824" s="319"/>
      <c r="BQ824" s="319"/>
      <c r="BR824" s="319"/>
      <c r="BS824" s="319"/>
      <c r="BT824" s="319"/>
      <c r="BU824" s="319"/>
      <c r="BV824" s="319"/>
      <c r="BW824" s="319"/>
      <c r="BX824" s="319"/>
      <c r="BY824" s="319"/>
      <c r="BZ824" s="319"/>
      <c r="CA824" s="319"/>
      <c r="CB824" s="319"/>
      <c r="CC824" s="319"/>
      <c r="CD824" s="319"/>
      <c r="CE824" s="319"/>
      <c r="CF824" s="319"/>
    </row>
    <row r="825" spans="1:84" ht="12.75" hidden="1" customHeight="1">
      <c r="A825" s="12"/>
      <c r="B825" s="1" t="str">
        <f>B819</f>
        <v>Potência elétr.máx.de saída</v>
      </c>
      <c r="C825" s="1"/>
      <c r="D825" s="30">
        <f t="shared" ref="D825:F826" si="71">D819</f>
        <v>0</v>
      </c>
      <c r="E825" s="30">
        <f t="shared" si="71"/>
        <v>5.3903325633948667</v>
      </c>
      <c r="F825" s="30">
        <f t="shared" si="71"/>
        <v>0</v>
      </c>
      <c r="G825" s="101"/>
      <c r="H825" s="101"/>
      <c r="I825" s="30">
        <f>IF(Unit=TRUE,R825,R825*$AB$1087)</f>
        <v>0</v>
      </c>
      <c r="J825" s="30">
        <f>((D825+F825)*$D$812-(R825*$D$813+F825*$D$815-E825*$V$814))</f>
        <v>1078.0665126789729</v>
      </c>
      <c r="K825" s="131" t="str">
        <f>IF(R825=0,"-",IF($K$824=$C$1085,FIXED((D825+E825+P825)/R825*100,1)&amp;$T$35,IF($K$824=$C$1086,FIXED(I825*3600/(P825+E825+D825),0),FIXED(I825*3600/(P825+E825+D825)/$AA$1082,0))))</f>
        <v>-</v>
      </c>
      <c r="L825" s="1"/>
      <c r="M825" s="319"/>
      <c r="N825" s="319">
        <v>101</v>
      </c>
      <c r="O825" s="319"/>
      <c r="P825" s="319"/>
      <c r="Q825" s="319"/>
      <c r="R825" s="319">
        <f>R819</f>
        <v>0</v>
      </c>
      <c r="S825" s="319"/>
      <c r="T825" s="319">
        <f>IF(N825=$N$862,1,0)</f>
        <v>1</v>
      </c>
      <c r="U825" s="319"/>
      <c r="V825" s="319"/>
      <c r="W825" s="319"/>
      <c r="X825" s="319"/>
      <c r="Y825" s="319"/>
      <c r="Z825" s="319"/>
      <c r="AA825" s="319"/>
      <c r="AB825" s="319"/>
      <c r="AC825" s="319"/>
      <c r="AD825" s="319"/>
      <c r="AE825" s="319"/>
      <c r="AF825" s="319"/>
      <c r="AG825" s="319"/>
      <c r="AH825" s="319"/>
      <c r="AI825" s="319"/>
      <c r="AJ825" s="319"/>
      <c r="AK825" s="319"/>
      <c r="AL825" s="319"/>
      <c r="AM825" s="319"/>
      <c r="AN825" s="319"/>
      <c r="AO825" s="319">
        <v>3000000</v>
      </c>
      <c r="AP825" s="319"/>
      <c r="AQ825" s="319"/>
      <c r="AR825" s="319"/>
      <c r="AS825" s="319"/>
      <c r="AT825" s="319"/>
      <c r="AU825" s="319"/>
      <c r="AV825" s="319"/>
      <c r="AW825" s="319"/>
      <c r="AX825" s="319"/>
      <c r="AY825" s="319"/>
      <c r="AZ825" s="319"/>
      <c r="BA825" s="319"/>
      <c r="BB825" s="319"/>
      <c r="BC825" s="319"/>
      <c r="BD825" s="319"/>
      <c r="BE825" s="319"/>
      <c r="BF825" s="319"/>
      <c r="BG825" s="319"/>
      <c r="BH825" s="319"/>
      <c r="BI825" s="319"/>
      <c r="BJ825" s="319"/>
      <c r="BK825" s="319"/>
      <c r="BL825" s="319"/>
      <c r="BM825" s="319"/>
      <c r="BN825" s="319"/>
      <c r="BO825" s="319"/>
      <c r="BP825" s="319"/>
      <c r="BQ825" s="319"/>
      <c r="BR825" s="319"/>
      <c r="BS825" s="319"/>
      <c r="BT825" s="319"/>
      <c r="BU825" s="319"/>
      <c r="BV825" s="319"/>
      <c r="BW825" s="319"/>
      <c r="BX825" s="319"/>
      <c r="BY825" s="319"/>
      <c r="BZ825" s="319"/>
      <c r="CA825" s="319"/>
      <c r="CB825" s="319"/>
      <c r="CC825" s="319"/>
      <c r="CD825" s="319"/>
      <c r="CE825" s="319"/>
      <c r="CF825" s="319"/>
    </row>
    <row r="826" spans="1:84" ht="12.75" hidden="1" customHeight="1">
      <c r="A826" s="12"/>
      <c r="B826" s="1" t="str">
        <f>B820</f>
        <v>Acompanhando carga elétrica</v>
      </c>
      <c r="C826" s="1"/>
      <c r="D826" s="30">
        <f t="shared" si="71"/>
        <v>0</v>
      </c>
      <c r="E826" s="30">
        <f t="shared" si="71"/>
        <v>0</v>
      </c>
      <c r="F826" s="30">
        <f t="shared" si="71"/>
        <v>0</v>
      </c>
      <c r="G826" s="101"/>
      <c r="H826" s="101"/>
      <c r="I826" s="30">
        <f>IF(Unit=TRUE,R826,R826*$AB$1087)</f>
        <v>0</v>
      </c>
      <c r="J826" s="30">
        <f>((D826+F826)*$D$812-(R826*$D$813+F826*$D$815-E826*$V$814))</f>
        <v>0</v>
      </c>
      <c r="K826" s="131" t="str">
        <f>IF(R826=0,"-",IF($K$824=$C$1085,FIXED((D826+E826+P826)/R826*100,1)&amp;$T$35,IF($K$824=$C$1086,FIXED(I826*3600/(P826+E826+D826),0),FIXED(I826*3600/(P826+E826+D826)/$AA$1082,0))))</f>
        <v>-</v>
      </c>
      <c r="L826" s="1"/>
      <c r="M826" s="319"/>
      <c r="N826" s="319">
        <v>102</v>
      </c>
      <c r="O826" s="319"/>
      <c r="P826" s="319"/>
      <c r="Q826" s="319"/>
      <c r="R826" s="319">
        <f>R820</f>
        <v>0</v>
      </c>
      <c r="S826" s="319"/>
      <c r="T826" s="319">
        <f>IF(N826=$N$862,1,0)</f>
        <v>0</v>
      </c>
      <c r="U826" s="319"/>
      <c r="V826" s="319"/>
      <c r="W826" s="319"/>
      <c r="X826" s="319"/>
      <c r="Y826" s="319"/>
      <c r="Z826" s="319"/>
      <c r="AA826" s="319"/>
      <c r="AB826" s="319"/>
      <c r="AC826" s="319"/>
      <c r="AD826" s="319"/>
      <c r="AE826" s="319"/>
      <c r="AF826" s="319"/>
      <c r="AG826" s="319"/>
      <c r="AH826" s="319"/>
      <c r="AI826" s="319"/>
      <c r="AJ826" s="319"/>
      <c r="AK826" s="319"/>
      <c r="AL826" s="319"/>
      <c r="AM826" s="319"/>
      <c r="AN826" s="319"/>
      <c r="AO826" s="319">
        <v>3000000</v>
      </c>
      <c r="AP826" s="319"/>
      <c r="AQ826" s="319"/>
      <c r="AR826" s="319"/>
      <c r="AS826" s="319"/>
      <c r="AT826" s="319"/>
      <c r="AU826" s="319"/>
      <c r="AV826" s="319"/>
      <c r="AW826" s="319"/>
      <c r="AX826" s="319"/>
      <c r="AY826" s="319"/>
      <c r="AZ826" s="319"/>
      <c r="BA826" s="319"/>
      <c r="BB826" s="319"/>
      <c r="BC826" s="319"/>
      <c r="BD826" s="319"/>
      <c r="BE826" s="319"/>
      <c r="BF826" s="319"/>
      <c r="BG826" s="319"/>
      <c r="BH826" s="319"/>
      <c r="BI826" s="319"/>
      <c r="BJ826" s="319"/>
      <c r="BK826" s="319"/>
      <c r="BL826" s="319"/>
      <c r="BM826" s="319"/>
      <c r="BN826" s="319"/>
      <c r="BO826" s="319"/>
      <c r="BP826" s="319"/>
      <c r="BQ826" s="319"/>
      <c r="BR826" s="319"/>
      <c r="BS826" s="319"/>
      <c r="BT826" s="319"/>
      <c r="BU826" s="319"/>
      <c r="BV826" s="319"/>
      <c r="BW826" s="319"/>
      <c r="BX826" s="319"/>
      <c r="BY826" s="319"/>
      <c r="BZ826" s="319"/>
      <c r="CA826" s="319"/>
      <c r="CB826" s="319"/>
      <c r="CC826" s="319"/>
      <c r="CD826" s="319"/>
      <c r="CE826" s="319"/>
      <c r="CF826" s="319"/>
    </row>
    <row r="827" spans="1:84" ht="12.75" hidden="1" customHeight="1">
      <c r="A827" s="12"/>
      <c r="B827" s="1"/>
      <c r="C827" s="1"/>
      <c r="D827" s="1"/>
      <c r="E827" s="1"/>
      <c r="F827" s="1"/>
      <c r="G827" s="1"/>
      <c r="H827" s="1"/>
      <c r="I827" s="1"/>
      <c r="J827" s="1"/>
      <c r="K827" s="9"/>
      <c r="L827" s="1"/>
      <c r="M827" s="319"/>
      <c r="N827" s="319"/>
      <c r="O827" s="319"/>
      <c r="P827" s="319"/>
      <c r="Q827" s="319"/>
      <c r="R827" s="319"/>
      <c r="S827" s="319"/>
      <c r="T827" s="319"/>
      <c r="U827" s="319"/>
      <c r="V827" s="319"/>
      <c r="W827" s="319"/>
      <c r="X827" s="319"/>
      <c r="Y827" s="319"/>
      <c r="Z827" s="319"/>
      <c r="AA827" s="319"/>
      <c r="AB827" s="319"/>
      <c r="AC827" s="319"/>
      <c r="AD827" s="319"/>
      <c r="AE827" s="319"/>
      <c r="AF827" s="319"/>
      <c r="AG827" s="319"/>
      <c r="AH827" s="319"/>
      <c r="AI827" s="319"/>
      <c r="AJ827" s="319"/>
      <c r="AK827" s="319"/>
      <c r="AL827" s="319"/>
      <c r="AM827" s="319"/>
      <c r="AN827" s="319"/>
      <c r="AO827" s="319">
        <v>3000000</v>
      </c>
      <c r="AP827" s="319"/>
      <c r="AQ827" s="319"/>
      <c r="AR827" s="319"/>
      <c r="AS827" s="319"/>
      <c r="AT827" s="319"/>
      <c r="AU827" s="319"/>
      <c r="AV827" s="319"/>
      <c r="AW827" s="319"/>
      <c r="AX827" s="319"/>
      <c r="AY827" s="319"/>
      <c r="AZ827" s="319"/>
      <c r="BA827" s="319"/>
      <c r="BB827" s="319"/>
      <c r="BC827" s="319"/>
      <c r="BD827" s="319"/>
      <c r="BE827" s="319"/>
      <c r="BF827" s="319"/>
      <c r="BG827" s="319"/>
      <c r="BH827" s="319"/>
      <c r="BI827" s="319"/>
      <c r="BJ827" s="319"/>
      <c r="BK827" s="319"/>
      <c r="BL827" s="319"/>
      <c r="BM827" s="319"/>
      <c r="BN827" s="319"/>
      <c r="BO827" s="319"/>
      <c r="BP827" s="319"/>
      <c r="BQ827" s="319"/>
      <c r="BR827" s="319"/>
      <c r="BS827" s="319"/>
      <c r="BT827" s="319"/>
      <c r="BU827" s="319"/>
      <c r="BV827" s="319"/>
      <c r="BW827" s="319"/>
      <c r="BX827" s="319"/>
      <c r="BY827" s="319"/>
      <c r="BZ827" s="319"/>
      <c r="CA827" s="319"/>
      <c r="CB827" s="319"/>
      <c r="CC827" s="319"/>
      <c r="CD827" s="319"/>
      <c r="CE827" s="319"/>
      <c r="CF827" s="319"/>
    </row>
    <row r="828" spans="1:84" ht="38.25" hidden="1" customHeight="1">
      <c r="A828" s="12"/>
      <c r="B828" s="1"/>
      <c r="C828" s="1"/>
      <c r="D828" s="82" t="str">
        <f>$D$817</f>
        <v>Eletricidade fornecida à carga</v>
      </c>
      <c r="E828" s="82" t="str">
        <f>$E$817</f>
        <v>Eletricidade exportada p/ rede</v>
      </c>
      <c r="F828" s="82" t="str">
        <f>$F$817</f>
        <v>Eletricidade
complemento
necessário</v>
      </c>
      <c r="G828" s="82" t="str">
        <f>G817</f>
        <v>Calor
Recuperado</v>
      </c>
      <c r="H828" s="82" t="str">
        <f>H817</f>
        <v>Calor
complemento
necessário</v>
      </c>
      <c r="I828" s="82" t="str">
        <f>I817</f>
        <v>Combustível
para produzir
 eletricidade</v>
      </c>
      <c r="J828" s="82" t="str">
        <f>$J$817</f>
        <v>Lucro (prejuízo) 
Operacional</v>
      </c>
      <c r="K828" s="127" t="str">
        <f>K817</f>
        <v>Eficiência</v>
      </c>
      <c r="L828" s="1"/>
      <c r="M828" s="319"/>
      <c r="N828" s="319"/>
      <c r="O828" s="319"/>
      <c r="P828" s="319"/>
      <c r="Q828" s="319"/>
      <c r="R828" s="319"/>
      <c r="S828" s="319"/>
      <c r="T828" s="319"/>
      <c r="U828" s="319"/>
      <c r="V828" s="319"/>
      <c r="W828" s="319"/>
      <c r="X828" s="319"/>
      <c r="Y828" s="319"/>
      <c r="Z828" s="319"/>
      <c r="AA828" s="319"/>
      <c r="AB828" s="319"/>
      <c r="AC828" s="319"/>
      <c r="AD828" s="319"/>
      <c r="AE828" s="319"/>
      <c r="AF828" s="319"/>
      <c r="AG828" s="319"/>
      <c r="AH828" s="319"/>
      <c r="AI828" s="319"/>
      <c r="AJ828" s="319"/>
      <c r="AK828" s="319"/>
      <c r="AL828" s="319"/>
      <c r="AM828" s="319"/>
      <c r="AN828" s="319"/>
      <c r="AO828" s="319">
        <v>3000000</v>
      </c>
      <c r="AP828" s="319"/>
      <c r="AQ828" s="319"/>
      <c r="AR828" s="319"/>
      <c r="AS828" s="319"/>
      <c r="AT828" s="319"/>
      <c r="AU828" s="319"/>
      <c r="AV828" s="319"/>
      <c r="AW828" s="319"/>
      <c r="AX828" s="319"/>
      <c r="AY828" s="319"/>
      <c r="AZ828" s="319"/>
      <c r="BA828" s="319"/>
      <c r="BB828" s="319"/>
      <c r="BC828" s="319"/>
      <c r="BD828" s="319"/>
      <c r="BE828" s="319"/>
      <c r="BF828" s="319"/>
      <c r="BG828" s="319"/>
      <c r="BH828" s="319"/>
      <c r="BI828" s="319"/>
      <c r="BJ828" s="319"/>
      <c r="BK828" s="319"/>
      <c r="BL828" s="319"/>
      <c r="BM828" s="319"/>
      <c r="BN828" s="319"/>
      <c r="BO828" s="319"/>
      <c r="BP828" s="319"/>
      <c r="BQ828" s="319"/>
      <c r="BR828" s="319"/>
      <c r="BS828" s="319"/>
      <c r="BT828" s="319"/>
      <c r="BU828" s="319"/>
      <c r="BV828" s="319"/>
      <c r="BW828" s="319"/>
      <c r="BX828" s="319"/>
      <c r="BY828" s="319"/>
      <c r="BZ828" s="319"/>
      <c r="CA828" s="319"/>
      <c r="CB828" s="319"/>
      <c r="CC828" s="319"/>
      <c r="CD828" s="319"/>
      <c r="CE828" s="319"/>
      <c r="CF828" s="319"/>
    </row>
    <row r="829" spans="1:84" ht="13.2" hidden="1">
      <c r="A829" s="12"/>
      <c r="B829" s="49" t="str">
        <f>$B$818</f>
        <v>Estratégia de operação</v>
      </c>
      <c r="C829" s="15"/>
      <c r="D829" s="128" t="str">
        <f>R14</f>
        <v>MWh</v>
      </c>
      <c r="E829" s="128" t="str">
        <f>R14</f>
        <v>MWh</v>
      </c>
      <c r="F829" s="128" t="str">
        <f>R14</f>
        <v>MWh</v>
      </c>
      <c r="G829" s="128" t="str">
        <f>IF(Unit=TRUE,$P$817,$S$817)</f>
        <v>MWh</v>
      </c>
      <c r="H829" s="128" t="str">
        <f>IF(Unit=TRUE,$Q$817,$T$817)</f>
        <v>MWh</v>
      </c>
      <c r="I829" s="128" t="str">
        <f>IF(Unit=TRUE,$R$817,$U$817)</f>
        <v>MWh</v>
      </c>
      <c r="J829" s="128" t="str">
        <f>$J$818</f>
        <v>€</v>
      </c>
      <c r="K829" s="423" t="s">
        <v>739</v>
      </c>
      <c r="L829" s="1"/>
      <c r="M829" s="319"/>
      <c r="N829" s="319"/>
      <c r="O829" s="319"/>
      <c r="P829" s="319"/>
      <c r="Q829" s="319"/>
      <c r="R829" s="319"/>
      <c r="S829" s="319"/>
      <c r="T829" s="319"/>
      <c r="U829" s="319"/>
      <c r="V829" s="319"/>
      <c r="W829" s="319"/>
      <c r="X829" s="319"/>
      <c r="Y829" s="319"/>
      <c r="Z829" s="319"/>
      <c r="AA829" s="319"/>
      <c r="AB829" s="319"/>
      <c r="AC829" s="319"/>
      <c r="AD829" s="319"/>
      <c r="AE829" s="319"/>
      <c r="AF829" s="319"/>
      <c r="AG829" s="319"/>
      <c r="AH829" s="319"/>
      <c r="AI829" s="319"/>
      <c r="AJ829" s="319"/>
      <c r="AK829" s="319"/>
      <c r="AL829" s="319"/>
      <c r="AM829" s="319"/>
      <c r="AN829" s="319"/>
      <c r="AO829" s="319">
        <v>3000000</v>
      </c>
      <c r="AP829" s="319"/>
      <c r="AQ829" s="319"/>
      <c r="AR829" s="319"/>
      <c r="AS829" s="319"/>
      <c r="AT829" s="319"/>
      <c r="AU829" s="319"/>
      <c r="AV829" s="319"/>
      <c r="AW829" s="319"/>
      <c r="AX829" s="319"/>
      <c r="AY829" s="319"/>
      <c r="AZ829" s="319"/>
      <c r="BA829" s="319"/>
      <c r="BB829" s="319"/>
      <c r="BC829" s="319"/>
      <c r="BD829" s="319"/>
      <c r="BE829" s="319"/>
      <c r="BF829" s="319"/>
      <c r="BG829" s="319"/>
      <c r="BH829" s="319"/>
      <c r="BI829" s="319"/>
      <c r="BJ829" s="319"/>
      <c r="BK829" s="319"/>
      <c r="BL829" s="319"/>
      <c r="BM829" s="319"/>
      <c r="BN829" s="319"/>
      <c r="BO829" s="319"/>
      <c r="BP829" s="319"/>
      <c r="BQ829" s="319"/>
      <c r="BR829" s="319"/>
      <c r="BS829" s="319"/>
      <c r="BT829" s="319"/>
      <c r="BU829" s="319"/>
      <c r="BV829" s="319"/>
      <c r="BW829" s="319"/>
      <c r="BX829" s="319"/>
      <c r="BY829" s="319"/>
      <c r="BZ829" s="319"/>
      <c r="CA829" s="319"/>
      <c r="CB829" s="319"/>
      <c r="CC829" s="319"/>
      <c r="CD829" s="319"/>
      <c r="CE829" s="319"/>
      <c r="CF829" s="319"/>
    </row>
    <row r="830" spans="1:84" ht="12.75" hidden="1" customHeight="1">
      <c r="A830" s="12"/>
      <c r="B830" s="1" t="str">
        <f>B843</f>
        <v>Potência elétrica máxima - sem extração</v>
      </c>
      <c r="C830" s="1"/>
      <c r="D830" s="30" t="e">
        <f>Z1137*$F$1129</f>
        <v>#DIV/0!</v>
      </c>
      <c r="E830" s="30" t="e">
        <f>(Y1137-Z1137)*$F$1129</f>
        <v>#DIV/0!</v>
      </c>
      <c r="F830" s="30" t="e">
        <f>$I$1137-D830</f>
        <v>#DIV/0!</v>
      </c>
      <c r="G830" s="30">
        <f>IF(Unit=TRUE,P830,P830*$AB$1087)</f>
        <v>0</v>
      </c>
      <c r="H830" s="30">
        <f>IF(Unit=TRUE,Q830,Q830*$AB$1087)</f>
        <v>0</v>
      </c>
      <c r="I830" s="30">
        <f>IF(Unit=TRUE,R830,R830*$AB$1087)</f>
        <v>0</v>
      </c>
      <c r="J830" s="30" t="e">
        <f>((D830+F830)*$D$812+(P830+Q830)*$D$811)-(R830*$D$813+F830*$D$815-E830*$V$814+Q830*$D$811)</f>
        <v>#DIV/0!</v>
      </c>
      <c r="K830" s="131" t="str">
        <f>IF(R830=0,"-",IF($K$829=$C$1085,FIXED((D830+E830+P830)/R830*100,1)&amp;$T$35,IF($K$829=$C$1086,FIXED(I830*3600/(P830+E830+D830),0),FIXED(I830*3600/(P830+E830+D830)/$AA$1082,0))))</f>
        <v>-</v>
      </c>
      <c r="L830" s="1"/>
      <c r="M830" s="319"/>
      <c r="N830" s="319">
        <v>4</v>
      </c>
      <c r="O830" s="319"/>
      <c r="P830" s="319">
        <f>AI1137*$F$1129</f>
        <v>0</v>
      </c>
      <c r="Q830" s="319">
        <f>$J$1137-P830</f>
        <v>0</v>
      </c>
      <c r="R830" s="319">
        <f>AU1137*$F$1129</f>
        <v>0</v>
      </c>
      <c r="S830" s="319" t="s">
        <v>1186</v>
      </c>
      <c r="T830" s="319">
        <f>IF(N830=$N$862,1,0)</f>
        <v>0</v>
      </c>
      <c r="U830" s="319" t="s">
        <v>1816</v>
      </c>
      <c r="V830" s="319"/>
      <c r="W830" s="319"/>
      <c r="X830" s="319"/>
      <c r="Y830" s="319"/>
      <c r="Z830" s="319"/>
      <c r="AA830" s="319"/>
      <c r="AB830" s="319"/>
      <c r="AC830" s="319"/>
      <c r="AD830" s="319"/>
      <c r="AE830" s="319"/>
      <c r="AF830" s="319"/>
      <c r="AG830" s="319"/>
      <c r="AH830" s="319"/>
      <c r="AI830" s="319"/>
      <c r="AJ830" s="319"/>
      <c r="AK830" s="319"/>
      <c r="AL830" s="319"/>
      <c r="AM830" s="319"/>
      <c r="AN830" s="319"/>
      <c r="AO830" s="319">
        <v>3000000</v>
      </c>
      <c r="AP830" s="319"/>
      <c r="AQ830" s="319"/>
      <c r="AR830" s="319"/>
      <c r="AS830" s="319"/>
      <c r="AT830" s="319"/>
      <c r="AU830" s="319"/>
      <c r="AV830" s="319"/>
      <c r="AW830" s="319"/>
      <c r="AX830" s="319"/>
      <c r="AY830" s="319"/>
      <c r="AZ830" s="319"/>
      <c r="BA830" s="319"/>
      <c r="BB830" s="319"/>
      <c r="BC830" s="319"/>
      <c r="BD830" s="319"/>
      <c r="BE830" s="319"/>
      <c r="BF830" s="319"/>
      <c r="BG830" s="319"/>
      <c r="BH830" s="319"/>
      <c r="BI830" s="319"/>
      <c r="BJ830" s="319"/>
      <c r="BK830" s="319"/>
      <c r="BL830" s="319"/>
      <c r="BM830" s="319"/>
      <c r="BN830" s="319"/>
      <c r="BO830" s="319"/>
      <c r="BP830" s="319"/>
      <c r="BQ830" s="319"/>
      <c r="BR830" s="319"/>
      <c r="BS830" s="319"/>
      <c r="BT830" s="319"/>
      <c r="BU830" s="319"/>
      <c r="BV830" s="319"/>
      <c r="BW830" s="319"/>
      <c r="BX830" s="319"/>
      <c r="BY830" s="319"/>
      <c r="BZ830" s="319"/>
      <c r="CA830" s="319"/>
      <c r="CB830" s="319"/>
      <c r="CC830" s="319"/>
      <c r="CD830" s="319"/>
      <c r="CE830" s="319"/>
      <c r="CF830" s="319"/>
    </row>
    <row r="831" spans="1:84" ht="12.75" hidden="1" customHeight="1">
      <c r="A831" s="12"/>
      <c r="B831" s="1" t="str">
        <f>Language!C158</f>
        <v>Potência elétrica máxima - com extração</v>
      </c>
      <c r="C831" s="1"/>
      <c r="D831" s="30" t="str">
        <f>IF(AND(HideCodeES_PSS=1,HideCodeES_Extract_ST1=2),"-",IF(AND(HideCodeES_PSS=2,$F$1119=2),"-",AD1137*$F$1129))</f>
        <v>-</v>
      </c>
      <c r="E831" s="30" t="str">
        <f>IF(AND(HideCodeES_PSS=1,HideCodeES_Extract_ST1=2),"-",IF(AND(HideCodeES_PSS=2,$F$1119=2),"-",(AC1137-AD1137)*$F$1129))</f>
        <v>-</v>
      </c>
      <c r="F831" s="30" t="str">
        <f>IF(AND(HideCodeES_PSS=1,HideCodeES_Extract_ST1=2),"-",IF(AND(HideCodeES_PSS=2,$F$1119=2),"-",$I$1137-D831))</f>
        <v>-</v>
      </c>
      <c r="G831" s="30" t="str">
        <f>IF(AND(HideCodeES_PSS=1,HideCodeES_Extract_ST1=2),"-",IF(AND(HideCodeES_PSS=2,$F$1119=2),"-",IF(Unit=TRUE,P831,P831*$AB$1087)))</f>
        <v>-</v>
      </c>
      <c r="H831" s="30" t="str">
        <f>IF(AND(HideCodeES_PSS=1,HideCodeES_Extract_ST1=2),"-",IF(AND(HideCodeES_PSS=2,$F$1119=2),"-",IF(Unit=TRUE,Q831,Q831*$AB$1087)))</f>
        <v>-</v>
      </c>
      <c r="I831" s="30" t="str">
        <f>IF(AND(HideCodeES_PSS=1,HideCodeES_Extract_ST1=2),"-",IF(AND(HideCodeES_PSS=2,$F$1119=2),"-",IF(Unit=TRUE,R831,R831*$AB$1087)))</f>
        <v>-</v>
      </c>
      <c r="J831" s="30" t="str">
        <f>IF(AND(HideCodeES_PSS=1,HideCodeES_Extract_ST1=2),"-",IF(AND(HideCodeES_PSS=2,$F$1119=2),"-",((D831+F831)*$D$812+(P831+Q831)*$D$811)-(R831*$D$813+F831*$D$815-E831*$V$814+Q831*$D$811)))</f>
        <v>-</v>
      </c>
      <c r="K831" s="131" t="str">
        <f>IF(AND(HideCodeES_PSS=1,HideCodeES_Extract_ST1=2),"-",IF(AND(HideCodeES_PSS=2,$F$1119=2),"-",IF(R831=0,"-",IF($K$829=$C$1085,FIXED((D831+E831+P831)/R831*100,1)&amp;$T$35,IF($K$829=$C$1086,FIXED(I831*3600/(P831+E831+D831),0),FIXED(I831*3600/(P831+E831+D831)/$AA$1082,0))))))</f>
        <v>-</v>
      </c>
      <c r="L831" s="1"/>
      <c r="M831" s="319"/>
      <c r="N831" s="319">
        <v>5</v>
      </c>
      <c r="O831" s="319"/>
      <c r="P831" s="319">
        <f>AP1137*$F$1129</f>
        <v>0</v>
      </c>
      <c r="Q831" s="319">
        <f>$J$1137-P831</f>
        <v>0</v>
      </c>
      <c r="R831" s="319">
        <f>AV1137*$F$1129</f>
        <v>0</v>
      </c>
      <c r="S831" s="319" t="s">
        <v>1185</v>
      </c>
      <c r="T831" s="319">
        <f>IF(N831=$N$862,1,0)</f>
        <v>0</v>
      </c>
      <c r="U831" s="319" t="s">
        <v>1817</v>
      </c>
      <c r="V831" s="319"/>
      <c r="W831" s="319"/>
      <c r="X831" s="319"/>
      <c r="Y831" s="319"/>
      <c r="Z831" s="319"/>
      <c r="AA831" s="319"/>
      <c r="AB831" s="319"/>
      <c r="AC831" s="319"/>
      <c r="AD831" s="319"/>
      <c r="AE831" s="319"/>
      <c r="AF831" s="319"/>
      <c r="AG831" s="319"/>
      <c r="AH831" s="319"/>
      <c r="AI831" s="319"/>
      <c r="AJ831" s="319"/>
      <c r="AK831" s="319"/>
      <c r="AL831" s="319"/>
      <c r="AM831" s="319"/>
      <c r="AN831" s="319"/>
      <c r="AO831" s="319">
        <v>3000000</v>
      </c>
      <c r="AP831" s="319"/>
      <c r="AQ831" s="319"/>
      <c r="AR831" s="319"/>
      <c r="AS831" s="319"/>
      <c r="AT831" s="319"/>
      <c r="AU831" s="319"/>
      <c r="AV831" s="319"/>
      <c r="AW831" s="319"/>
      <c r="AX831" s="319"/>
      <c r="AY831" s="319"/>
      <c r="AZ831" s="319"/>
      <c r="BA831" s="319"/>
      <c r="BB831" s="319"/>
      <c r="BC831" s="319"/>
      <c r="BD831" s="319"/>
      <c r="BE831" s="319"/>
      <c r="BF831" s="319"/>
      <c r="BG831" s="319"/>
      <c r="BH831" s="319"/>
      <c r="BI831" s="319"/>
      <c r="BJ831" s="319"/>
      <c r="BK831" s="319"/>
      <c r="BL831" s="319"/>
      <c r="BM831" s="319"/>
      <c r="BN831" s="319"/>
      <c r="BO831" s="319"/>
      <c r="BP831" s="319"/>
      <c r="BQ831" s="319"/>
      <c r="BR831" s="319"/>
      <c r="BS831" s="319"/>
      <c r="BT831" s="319"/>
      <c r="BU831" s="319"/>
      <c r="BV831" s="319"/>
      <c r="BW831" s="319"/>
      <c r="BX831" s="319"/>
      <c r="BY831" s="319"/>
      <c r="BZ831" s="319"/>
      <c r="CA831" s="319"/>
      <c r="CB831" s="319"/>
      <c r="CC831" s="319"/>
      <c r="CD831" s="319"/>
      <c r="CE831" s="319"/>
      <c r="CF831" s="319"/>
    </row>
    <row r="832" spans="1:84" ht="12.75" hidden="1" customHeight="1">
      <c r="A832" s="12"/>
      <c r="B832" s="1" t="str">
        <f>Language!C156</f>
        <v>Acompanhando a carga elétrica - sem extração</v>
      </c>
      <c r="C832" s="1"/>
      <c r="D832" s="30" t="e">
        <f>AE1137*$F$1129</f>
        <v>#DIV/0!</v>
      </c>
      <c r="E832" s="30">
        <v>0</v>
      </c>
      <c r="F832" s="30" t="e">
        <f>$I$1137-D832</f>
        <v>#DIV/0!</v>
      </c>
      <c r="G832" s="30" t="e">
        <f>IF(Unit=TRUE,P832,P832*$AB$1087)</f>
        <v>#DIV/0!</v>
      </c>
      <c r="H832" s="30" t="e">
        <f>IF(Unit=TRUE,Q832,Q832*$AB$1087)</f>
        <v>#DIV/0!</v>
      </c>
      <c r="I832" s="30" t="e">
        <f>IF(Unit=TRUE,R832,R832*$AB$1087)</f>
        <v>#DIV/0!</v>
      </c>
      <c r="J832" s="30" t="e">
        <f>((D832+F832)*$D$812+(P832+Q832)*$D$811)-(R832*$D$813+F832*$D$815-E832*$V$814+Q832*$D$811)</f>
        <v>#DIV/0!</v>
      </c>
      <c r="K832" s="131" t="e">
        <f>IF(R832=0,"-",IF($K$829=$C$1085,FIXED((D832+E832+P832)/R832*100,1)&amp;$T$35,IF($K$829=$C$1086,FIXED(I832*3600/(P832+E832+D832),0),FIXED(I832*3600/(P832+E832+D832)/$AA$1082,0))))</f>
        <v>#DIV/0!</v>
      </c>
      <c r="L832" s="1"/>
      <c r="M832" s="319"/>
      <c r="N832" s="319">
        <v>6</v>
      </c>
      <c r="O832" s="319"/>
      <c r="P832" s="319" t="e">
        <f>AJ1137*$F$1129</f>
        <v>#DIV/0!</v>
      </c>
      <c r="Q832" s="319" t="e">
        <f>IF($J$1137-P832&lt;0,0,$J$1137-P832)</f>
        <v>#DIV/0!</v>
      </c>
      <c r="R832" s="319" t="e">
        <f>BB1137*$F$1129</f>
        <v>#DIV/0!</v>
      </c>
      <c r="S832" s="319" t="s">
        <v>144</v>
      </c>
      <c r="T832" s="319">
        <f>IF(N832=$N$862,1,0)</f>
        <v>0</v>
      </c>
      <c r="U832" s="319" t="s">
        <v>5134</v>
      </c>
      <c r="V832" s="319"/>
      <c r="W832" s="319"/>
      <c r="X832" s="319"/>
      <c r="Y832" s="319"/>
      <c r="Z832" s="319"/>
      <c r="AA832" s="319"/>
      <c r="AB832" s="319"/>
      <c r="AC832" s="319"/>
      <c r="AD832" s="319"/>
      <c r="AE832" s="319"/>
      <c r="AF832" s="319"/>
      <c r="AG832" s="319"/>
      <c r="AH832" s="319"/>
      <c r="AI832" s="319"/>
      <c r="AJ832" s="319"/>
      <c r="AK832" s="319"/>
      <c r="AL832" s="319"/>
      <c r="AM832" s="319"/>
      <c r="AN832" s="319"/>
      <c r="AO832" s="319">
        <v>3000000</v>
      </c>
      <c r="AP832" s="319"/>
      <c r="AQ832" s="319"/>
      <c r="AR832" s="319"/>
      <c r="AS832" s="319"/>
      <c r="AT832" s="319"/>
      <c r="AU832" s="319"/>
      <c r="AV832" s="319"/>
      <c r="AW832" s="319"/>
      <c r="AX832" s="319"/>
      <c r="AY832" s="319"/>
      <c r="AZ832" s="319"/>
      <c r="BA832" s="319"/>
      <c r="BB832" s="319"/>
      <c r="BC832" s="319"/>
      <c r="BD832" s="319"/>
      <c r="BE832" s="319"/>
      <c r="BF832" s="319"/>
      <c r="BG832" s="319"/>
      <c r="BH832" s="319"/>
      <c r="BI832" s="319"/>
      <c r="BJ832" s="319"/>
      <c r="BK832" s="319"/>
      <c r="BL832" s="319"/>
      <c r="BM832" s="319"/>
      <c r="BN832" s="319"/>
      <c r="BO832" s="319"/>
      <c r="BP832" s="319"/>
      <c r="BQ832" s="319"/>
      <c r="BR832" s="319"/>
      <c r="BS832" s="319"/>
      <c r="BT832" s="319"/>
      <c r="BU832" s="319"/>
      <c r="BV832" s="319"/>
      <c r="BW832" s="319"/>
      <c r="BX832" s="319"/>
      <c r="BY832" s="319"/>
      <c r="BZ832" s="319"/>
      <c r="CA832" s="319"/>
      <c r="CB832" s="319"/>
      <c r="CC832" s="319"/>
      <c r="CD832" s="319"/>
      <c r="CE832" s="319"/>
      <c r="CF832" s="319"/>
    </row>
    <row r="833" spans="1:84" ht="12.75" hidden="1" customHeight="1">
      <c r="A833" s="12"/>
      <c r="B833" s="1" t="str">
        <f>Language!C159</f>
        <v>Acompanhando a carga elétrica - com extração</v>
      </c>
      <c r="C833" s="1"/>
      <c r="D833" s="30" t="str">
        <f>IF(AND(HideCodeES_PSS=1,HideCodeES_Extract_ST1=2),"-",IF(AND(HideCodeES_PSS=2,$F$1119=2),"-",IF(AF1137*$F$1129&gt;D830,D830,AF1137*$F$1129)))</f>
        <v>-</v>
      </c>
      <c r="E833" s="30" t="str">
        <f>IF(AND(HideCodeES_PSS=1,HideCodeES_Extract_ST1=2),"-",IF(AND(HideCodeES_PSS=2,$F$1119=2),"-",IF(AF1137*$F$1129&gt;D830,AF1137*$F$1129-D833,0)))</f>
        <v>-</v>
      </c>
      <c r="F833" s="30" t="str">
        <f>IF(AND(HideCodeES_PSS=1,HideCodeES_Extract_ST1=2),"-",IF(AND(HideCodeES_PSS=2,$F$1119=2),"-",$I$1137-D833))</f>
        <v>-</v>
      </c>
      <c r="G833" s="30" t="str">
        <f>IF(AND(HideCodeES_PSS=1,HideCodeES_Extract_ST1=2),"-",IF(AND(HideCodeES_PSS=2,$F$1119=2),"-",IF(Unit=TRUE,P833,P833*$AB$1087)))</f>
        <v>-</v>
      </c>
      <c r="H833" s="30" t="str">
        <f>IF(AND(HideCodeES_PSS=1,HideCodeES_Extract_ST1=2),"-",IF(AND(HideCodeES_PSS=2,$F$1119=2),"-",IF(Unit=TRUE,Q833,Q833*$AB$1087)))</f>
        <v>-</v>
      </c>
      <c r="I833" s="30" t="str">
        <f>IF(AND(HideCodeES_PSS=1,HideCodeES_Extract_ST1=2),"-",IF(AND(HideCodeES_PSS=2,$F$1119=2),"-",IF(Unit=TRUE,R833,R833*$AB$1087)))</f>
        <v>-</v>
      </c>
      <c r="J833" s="30" t="str">
        <f>IF(AND(HideCodeES_PSS=1,HideCodeES_Extract_ST1=2),"-",IF(AND(HideCodeES_PSS=2,$F$1119=2),"-",((D833+F833)*$D$812+(P833+Q833)*$D$811)-(R833*$D$813+F833*$D$815-E833*$V$814+Q833*$D$811)))</f>
        <v>-</v>
      </c>
      <c r="K833" s="131" t="str">
        <f>IF(AND(HideCodeES_PSS=1,HideCodeES_Extract_ST1=2),"-",IF(AND(HideCodeES_PSS=2,$F$1119=2),"-",IF(R833=0,"-",IF($K$829=$C$1085,FIXED((D833+E833+P833)/R833*100,1)&amp;$T$35,IF($K$829=$C$1086,FIXED(I833*3600/(P833+E833+D833),0),FIXED(I833*3600/(P833+E833+D833)/$AA$1082,0))))))</f>
        <v>-</v>
      </c>
      <c r="L833" s="1"/>
      <c r="M833" s="319"/>
      <c r="N833" s="319">
        <v>7</v>
      </c>
      <c r="O833" s="319"/>
      <c r="P833" s="319" t="e">
        <f>AK1137*$F$1129</f>
        <v>#DIV/0!</v>
      </c>
      <c r="Q833" s="319" t="e">
        <f>IF($J$1137-P833&lt;0,0,$J$1137-P833)</f>
        <v>#DIV/0!</v>
      </c>
      <c r="R833" s="319" t="e">
        <f>BC1137*$F$1129</f>
        <v>#DIV/0!</v>
      </c>
      <c r="S833" s="319" t="s">
        <v>3630</v>
      </c>
      <c r="T833" s="319">
        <f>IF(N833=$N$862,1,0)</f>
        <v>0</v>
      </c>
      <c r="U833" s="319" t="s">
        <v>2739</v>
      </c>
      <c r="V833" s="319"/>
      <c r="W833" s="319"/>
      <c r="X833" s="319"/>
      <c r="Y833" s="319"/>
      <c r="Z833" s="319"/>
      <c r="AA833" s="319"/>
      <c r="AB833" s="319"/>
      <c r="AC833" s="319"/>
      <c r="AD833" s="319"/>
      <c r="AE833" s="319"/>
      <c r="AF833" s="319"/>
      <c r="AG833" s="319"/>
      <c r="AH833" s="319"/>
      <c r="AI833" s="319"/>
      <c r="AJ833" s="319"/>
      <c r="AK833" s="319"/>
      <c r="AL833" s="319"/>
      <c r="AM833" s="319"/>
      <c r="AN833" s="319"/>
      <c r="AO833" s="319">
        <v>3000000</v>
      </c>
      <c r="AP833" s="319"/>
      <c r="AQ833" s="319"/>
      <c r="AR833" s="319"/>
      <c r="AS833" s="319"/>
      <c r="AT833" s="319"/>
      <c r="AU833" s="319"/>
      <c r="AV833" s="319"/>
      <c r="AW833" s="319"/>
      <c r="AX833" s="319"/>
      <c r="AY833" s="319"/>
      <c r="AZ833" s="319"/>
      <c r="BA833" s="319"/>
      <c r="BB833" s="319"/>
      <c r="BC833" s="319"/>
      <c r="BD833" s="319"/>
      <c r="BE833" s="319"/>
      <c r="BF833" s="319"/>
      <c r="BG833" s="319"/>
      <c r="BH833" s="319"/>
      <c r="BI833" s="319"/>
      <c r="BJ833" s="319"/>
      <c r="BK833" s="319"/>
      <c r="BL833" s="319"/>
      <c r="BM833" s="319"/>
      <c r="BN833" s="319"/>
      <c r="BO833" s="319"/>
      <c r="BP833" s="319"/>
      <c r="BQ833" s="319"/>
      <c r="BR833" s="319"/>
      <c r="BS833" s="319"/>
      <c r="BT833" s="319"/>
      <c r="BU833" s="319"/>
      <c r="BV833" s="319"/>
      <c r="BW833" s="319"/>
      <c r="BX833" s="319"/>
      <c r="BY833" s="319"/>
      <c r="BZ833" s="319"/>
      <c r="CA833" s="319"/>
      <c r="CB833" s="319"/>
      <c r="CC833" s="319"/>
      <c r="CD833" s="319"/>
      <c r="CE833" s="319"/>
      <c r="CF833" s="319"/>
    </row>
    <row r="834" spans="1:84" ht="13.2" hidden="1">
      <c r="A834" s="12"/>
      <c r="B834" s="1" t="str">
        <f>B821</f>
        <v>Acompanhando a carga de calor</v>
      </c>
      <c r="C834" s="1"/>
      <c r="D834" s="30" t="e">
        <f>AB1137*$F$1129</f>
        <v>#DIV/0!</v>
      </c>
      <c r="E834" s="30" t="e">
        <f>(AA1137-AB1137)*$F$1129</f>
        <v>#DIV/0!</v>
      </c>
      <c r="F834" s="30" t="e">
        <f>$I$1137-D834</f>
        <v>#DIV/0!</v>
      </c>
      <c r="G834" s="30" t="e">
        <f>IF(Unit=TRUE,P834,P834*$AB$1087)</f>
        <v>#DIV/0!</v>
      </c>
      <c r="H834" s="30" t="e">
        <f>IF(Unit=TRUE,Q834,Q834*$AB$1087)</f>
        <v>#DIV/0!</v>
      </c>
      <c r="I834" s="30" t="e">
        <f>IF(Unit=TRUE,R834,R834*$AB$1087)</f>
        <v>#DIV/0!</v>
      </c>
      <c r="J834" s="30" t="e">
        <f>((D834+F834)*$D$812+(P834+Q834)*$D$811)-(R834*$D$813+F834*$D$815-E834*$V$814+Q834*$D$811)</f>
        <v>#DIV/0!</v>
      </c>
      <c r="K834" s="131" t="e">
        <f>IF(R834=0,"-",IF($K$829=$C$1085,FIXED((D834+E834+P834)/R834*100,1)&amp;$T$35,IF($K$829=$C$1086,FIXED(I834*3600/(P834+E834+D834),0),FIXED(I834*3600/(P834+E834+D834)/$AA$1082,0))))</f>
        <v>#DIV/0!</v>
      </c>
      <c r="L834" s="1"/>
      <c r="M834" s="319"/>
      <c r="N834" s="319">
        <v>8</v>
      </c>
      <c r="O834" s="319"/>
      <c r="P834" s="319" t="e">
        <f>AN1137*$F$1129</f>
        <v>#DIV/0!</v>
      </c>
      <c r="Q834" s="319" t="e">
        <f>$J$1137-P834</f>
        <v>#DIV/0!</v>
      </c>
      <c r="R834" s="319" t="e">
        <f>BD1137*$F$1129</f>
        <v>#DIV/0!</v>
      </c>
      <c r="S834" s="319" t="s">
        <v>5863</v>
      </c>
      <c r="T834" s="319">
        <f>IF(N834=$N$862,1,0)</f>
        <v>0</v>
      </c>
      <c r="U834" s="319" t="s">
        <v>1022</v>
      </c>
      <c r="V834" s="319"/>
      <c r="W834" s="319"/>
      <c r="X834" s="319"/>
      <c r="Y834" s="319"/>
      <c r="Z834" s="319"/>
      <c r="AA834" s="319"/>
      <c r="AB834" s="319"/>
      <c r="AC834" s="319"/>
      <c r="AD834" s="319"/>
      <c r="AE834" s="319"/>
      <c r="AF834" s="319"/>
      <c r="AG834" s="319"/>
      <c r="AH834" s="319"/>
      <c r="AI834" s="319"/>
      <c r="AJ834" s="319"/>
      <c r="AK834" s="319"/>
      <c r="AL834" s="319"/>
      <c r="AM834" s="319"/>
      <c r="AN834" s="319"/>
      <c r="AO834" s="319">
        <v>3000000</v>
      </c>
      <c r="AP834" s="319"/>
      <c r="AQ834" s="319"/>
      <c r="AR834" s="319"/>
      <c r="AS834" s="319"/>
      <c r="AT834" s="319"/>
      <c r="AU834" s="319"/>
      <c r="AV834" s="319"/>
      <c r="AW834" s="319"/>
      <c r="AX834" s="319"/>
      <c r="AY834" s="319"/>
      <c r="AZ834" s="319"/>
      <c r="BA834" s="319"/>
      <c r="BB834" s="319"/>
      <c r="BC834" s="319"/>
      <c r="BD834" s="319"/>
      <c r="BE834" s="319"/>
      <c r="BF834" s="319"/>
      <c r="BG834" s="319"/>
      <c r="BH834" s="319"/>
      <c r="BI834" s="319"/>
      <c r="BJ834" s="319"/>
      <c r="BK834" s="319"/>
      <c r="BL834" s="319"/>
      <c r="BM834" s="319"/>
      <c r="BN834" s="319"/>
      <c r="BO834" s="319"/>
      <c r="BP834" s="319"/>
      <c r="BQ834" s="319"/>
      <c r="BR834" s="319"/>
      <c r="BS834" s="319"/>
      <c r="BT834" s="319"/>
      <c r="BU834" s="319"/>
      <c r="BV834" s="319"/>
      <c r="BW834" s="319"/>
      <c r="BX834" s="319"/>
      <c r="BY834" s="319"/>
      <c r="BZ834" s="319"/>
      <c r="CA834" s="319"/>
      <c r="CB834" s="319"/>
      <c r="CC834" s="319"/>
      <c r="CD834" s="319"/>
      <c r="CE834" s="319"/>
      <c r="CF834" s="319"/>
    </row>
    <row r="835" spans="1:84" ht="12.75" hidden="1" customHeight="1">
      <c r="A835" s="12"/>
      <c r="B835" s="1"/>
      <c r="C835" s="1"/>
      <c r="D835" s="1"/>
      <c r="E835" s="1"/>
      <c r="F835" s="1"/>
      <c r="G835" s="1"/>
      <c r="H835" s="1"/>
      <c r="I835" s="1"/>
      <c r="J835" s="1"/>
      <c r="K835" s="9"/>
      <c r="L835" s="1"/>
      <c r="M835" s="319"/>
      <c r="N835" s="319">
        <v>9</v>
      </c>
      <c r="O835" s="319"/>
      <c r="P835" s="319"/>
      <c r="Q835" s="319"/>
      <c r="R835" s="319"/>
      <c r="S835" s="319" t="s">
        <v>484</v>
      </c>
      <c r="T835" s="319"/>
      <c r="U835" s="319" t="s">
        <v>1023</v>
      </c>
      <c r="V835" s="319"/>
      <c r="W835" s="319"/>
      <c r="X835" s="319"/>
      <c r="Y835" s="319"/>
      <c r="Z835" s="319"/>
      <c r="AA835" s="319"/>
      <c r="AB835" s="319"/>
      <c r="AC835" s="319"/>
      <c r="AD835" s="319"/>
      <c r="AE835" s="319"/>
      <c r="AF835" s="319"/>
      <c r="AG835" s="319"/>
      <c r="AH835" s="319"/>
      <c r="AI835" s="319"/>
      <c r="AJ835" s="319"/>
      <c r="AK835" s="319"/>
      <c r="AL835" s="319"/>
      <c r="AM835" s="319"/>
      <c r="AN835" s="319"/>
      <c r="AO835" s="319">
        <v>3000000</v>
      </c>
      <c r="AP835" s="319"/>
      <c r="AQ835" s="319"/>
      <c r="AR835" s="319"/>
      <c r="AS835" s="319"/>
      <c r="AT835" s="319"/>
      <c r="AU835" s="319"/>
      <c r="AV835" s="319"/>
      <c r="AW835" s="319"/>
      <c r="AX835" s="319"/>
      <c r="AY835" s="319"/>
      <c r="AZ835" s="319"/>
      <c r="BA835" s="319"/>
      <c r="BB835" s="319"/>
      <c r="BC835" s="319"/>
      <c r="BD835" s="319"/>
      <c r="BE835" s="319"/>
      <c r="BF835" s="319"/>
      <c r="BG835" s="319"/>
      <c r="BH835" s="319"/>
      <c r="BI835" s="319"/>
      <c r="BJ835" s="319"/>
      <c r="BK835" s="319"/>
      <c r="BL835" s="319"/>
      <c r="BM835" s="319"/>
      <c r="BN835" s="319"/>
      <c r="BO835" s="319"/>
      <c r="BP835" s="319"/>
      <c r="BQ835" s="319"/>
      <c r="BR835" s="319"/>
      <c r="BS835" s="319"/>
      <c r="BT835" s="319"/>
      <c r="BU835" s="319"/>
      <c r="BV835" s="319"/>
      <c r="BW835" s="319"/>
      <c r="BX835" s="319"/>
      <c r="BY835" s="319"/>
      <c r="BZ835" s="319"/>
      <c r="CA835" s="319"/>
      <c r="CB835" s="319"/>
      <c r="CC835" s="319"/>
      <c r="CD835" s="319"/>
      <c r="CE835" s="319"/>
      <c r="CF835" s="319"/>
    </row>
    <row r="836" spans="1:84" ht="38.25" hidden="1" customHeight="1">
      <c r="A836" s="12"/>
      <c r="B836" s="1"/>
      <c r="C836" s="1"/>
      <c r="D836" s="82" t="str">
        <f>$D$817</f>
        <v>Eletricidade fornecida à carga</v>
      </c>
      <c r="E836" s="82" t="str">
        <f>$E$817</f>
        <v>Eletricidade exportada p/ rede</v>
      </c>
      <c r="F836" s="82" t="str">
        <f>$F$817</f>
        <v>Eletricidade
complemento
necessário</v>
      </c>
      <c r="G836" s="82"/>
      <c r="H836" s="82"/>
      <c r="I836" s="82" t="str">
        <f>I817</f>
        <v>Combustível
para produzir
 eletricidade</v>
      </c>
      <c r="J836" s="82" t="str">
        <f>$J$817</f>
        <v>Lucro (prejuízo) 
Operacional</v>
      </c>
      <c r="K836" s="127" t="str">
        <f>K817</f>
        <v>Eficiência</v>
      </c>
      <c r="L836" s="1"/>
      <c r="M836" s="319"/>
      <c r="N836" s="319"/>
      <c r="O836" s="319"/>
      <c r="P836" s="319"/>
      <c r="Q836" s="319"/>
      <c r="R836" s="319"/>
      <c r="S836" s="319"/>
      <c r="T836" s="319"/>
      <c r="U836" s="319"/>
      <c r="V836" s="319"/>
      <c r="W836" s="319"/>
      <c r="X836" s="319"/>
      <c r="Y836" s="319"/>
      <c r="Z836" s="319"/>
      <c r="AA836" s="319"/>
      <c r="AB836" s="319"/>
      <c r="AC836" s="319"/>
      <c r="AD836" s="319"/>
      <c r="AE836" s="319"/>
      <c r="AF836" s="319"/>
      <c r="AG836" s="319"/>
      <c r="AH836" s="319"/>
      <c r="AI836" s="319"/>
      <c r="AJ836" s="319"/>
      <c r="AK836" s="319"/>
      <c r="AL836" s="319"/>
      <c r="AM836" s="319"/>
      <c r="AN836" s="319"/>
      <c r="AO836" s="319">
        <v>3000000</v>
      </c>
      <c r="AP836" s="319"/>
      <c r="AQ836" s="319"/>
      <c r="AR836" s="319"/>
      <c r="AS836" s="319"/>
      <c r="AT836" s="319"/>
      <c r="AU836" s="319"/>
      <c r="AV836" s="319"/>
      <c r="AW836" s="319"/>
      <c r="AX836" s="319"/>
      <c r="AY836" s="319"/>
      <c r="AZ836" s="319"/>
      <c r="BA836" s="319"/>
      <c r="BB836" s="319"/>
      <c r="BC836" s="319"/>
      <c r="BD836" s="319"/>
      <c r="BE836" s="319"/>
      <c r="BF836" s="319"/>
      <c r="BG836" s="319"/>
      <c r="BH836" s="319"/>
      <c r="BI836" s="319"/>
      <c r="BJ836" s="319"/>
      <c r="BK836" s="319"/>
      <c r="BL836" s="319"/>
      <c r="BM836" s="319"/>
      <c r="BN836" s="319"/>
      <c r="BO836" s="319"/>
      <c r="BP836" s="319"/>
      <c r="BQ836" s="319"/>
      <c r="BR836" s="319"/>
      <c r="BS836" s="319"/>
      <c r="BT836" s="319"/>
      <c r="BU836" s="319"/>
      <c r="BV836" s="319"/>
      <c r="BW836" s="319"/>
      <c r="BX836" s="319"/>
      <c r="BY836" s="319"/>
      <c r="BZ836" s="319"/>
      <c r="CA836" s="319"/>
      <c r="CB836" s="319"/>
      <c r="CC836" s="319"/>
      <c r="CD836" s="319"/>
      <c r="CE836" s="319"/>
      <c r="CF836" s="319"/>
    </row>
    <row r="837" spans="1:84" ht="12.75" hidden="1" customHeight="1">
      <c r="A837" s="12"/>
      <c r="B837" s="49" t="str">
        <f>$B$818</f>
        <v>Estratégia de operação</v>
      </c>
      <c r="C837" s="15"/>
      <c r="D837" s="128" t="str">
        <f>R14</f>
        <v>MWh</v>
      </c>
      <c r="E837" s="128" t="str">
        <f>R14</f>
        <v>MWh</v>
      </c>
      <c r="F837" s="128" t="str">
        <f>R14</f>
        <v>MWh</v>
      </c>
      <c r="G837" s="128"/>
      <c r="H837" s="128"/>
      <c r="I837" s="128" t="str">
        <f>IF(Unit=TRUE,$R$817,$U$817)</f>
        <v>MWh</v>
      </c>
      <c r="J837" s="128" t="str">
        <f>$J$818</f>
        <v>€</v>
      </c>
      <c r="K837" s="423" t="s">
        <v>739</v>
      </c>
      <c r="L837" s="1"/>
      <c r="M837" s="319"/>
      <c r="N837" s="319"/>
      <c r="O837" s="319"/>
      <c r="P837" s="319"/>
      <c r="Q837" s="319"/>
      <c r="R837" s="319"/>
      <c r="S837" s="319"/>
      <c r="T837" s="319"/>
      <c r="U837" s="319"/>
      <c r="V837" s="319"/>
      <c r="W837" s="319"/>
      <c r="X837" s="319"/>
      <c r="Y837" s="319"/>
      <c r="Z837" s="319"/>
      <c r="AA837" s="319"/>
      <c r="AB837" s="319"/>
      <c r="AC837" s="319"/>
      <c r="AD837" s="319"/>
      <c r="AE837" s="319"/>
      <c r="AF837" s="319"/>
      <c r="AG837" s="319"/>
      <c r="AH837" s="319"/>
      <c r="AI837" s="319"/>
      <c r="AJ837" s="319"/>
      <c r="AK837" s="319"/>
      <c r="AL837" s="319"/>
      <c r="AM837" s="319"/>
      <c r="AN837" s="319"/>
      <c r="AO837" s="319">
        <v>3000000</v>
      </c>
      <c r="AP837" s="319"/>
      <c r="AQ837" s="319"/>
      <c r="AR837" s="319"/>
      <c r="AS837" s="319"/>
      <c r="AT837" s="319"/>
      <c r="AU837" s="319"/>
      <c r="AV837" s="319"/>
      <c r="AW837" s="319"/>
      <c r="AX837" s="319"/>
      <c r="AY837" s="319"/>
      <c r="AZ837" s="319"/>
      <c r="BA837" s="319"/>
      <c r="BB837" s="319"/>
      <c r="BC837" s="319"/>
      <c r="BD837" s="319"/>
      <c r="BE837" s="319"/>
      <c r="BF837" s="319"/>
      <c r="BG837" s="319"/>
      <c r="BH837" s="319"/>
      <c r="BI837" s="319"/>
      <c r="BJ837" s="319"/>
      <c r="BK837" s="319"/>
      <c r="BL837" s="319"/>
      <c r="BM837" s="319"/>
      <c r="BN837" s="319"/>
      <c r="BO837" s="319"/>
      <c r="BP837" s="319"/>
      <c r="BQ837" s="319"/>
      <c r="BR837" s="319"/>
      <c r="BS837" s="319"/>
      <c r="BT837" s="319"/>
      <c r="BU837" s="319"/>
      <c r="BV837" s="319"/>
      <c r="BW837" s="319"/>
      <c r="BX837" s="319"/>
      <c r="BY837" s="319"/>
      <c r="BZ837" s="319"/>
      <c r="CA837" s="319"/>
      <c r="CB837" s="319"/>
      <c r="CC837" s="319"/>
      <c r="CD837" s="319"/>
      <c r="CE837" s="319"/>
      <c r="CF837" s="319"/>
    </row>
    <row r="838" spans="1:84" ht="12.75" hidden="1" customHeight="1">
      <c r="A838" s="12"/>
      <c r="B838" s="1" t="str">
        <f>B843</f>
        <v>Potência elétrica máxima - sem extração</v>
      </c>
      <c r="C838" s="1"/>
      <c r="D838" s="30" t="e">
        <f>D830</f>
        <v>#DIV/0!</v>
      </c>
      <c r="E838" s="30" t="e">
        <f>E830</f>
        <v>#DIV/0!</v>
      </c>
      <c r="F838" s="30" t="e">
        <f>F830</f>
        <v>#DIV/0!</v>
      </c>
      <c r="G838" s="101"/>
      <c r="H838" s="101"/>
      <c r="I838" s="30">
        <f>IF(Unit=TRUE,R838,R838*$AB$1087)</f>
        <v>0</v>
      </c>
      <c r="J838" s="30" t="e">
        <f>((D838+F838)*$D$812-(R838*$D$813+F838*$D$815-E838*$V$814))</f>
        <v>#DIV/0!</v>
      </c>
      <c r="K838" s="131" t="str">
        <f>IF(R838=0,"-",IF($K$837=$C$1085,FIXED((D838+E838+P838)/R838*100,1)&amp;$T$35,IF($K$837=$C$1086,FIXED(I838*3600/(P838+E838+D838),0),FIXED(I838*3600/(P838+E838+D838)/$AA$1082,0))))</f>
        <v>-</v>
      </c>
      <c r="L838" s="1"/>
      <c r="M838" s="319"/>
      <c r="N838" s="319">
        <v>104</v>
      </c>
      <c r="O838" s="319"/>
      <c r="P838" s="319"/>
      <c r="Q838" s="319"/>
      <c r="R838" s="319">
        <f>R830</f>
        <v>0</v>
      </c>
      <c r="S838" s="319"/>
      <c r="T838" s="319">
        <f>IF(N838=$N$862,1,0)</f>
        <v>0</v>
      </c>
      <c r="U838" s="319"/>
      <c r="V838" s="319"/>
      <c r="W838" s="319"/>
      <c r="X838" s="319"/>
      <c r="Y838" s="319"/>
      <c r="Z838" s="319"/>
      <c r="AA838" s="319"/>
      <c r="AB838" s="319"/>
      <c r="AC838" s="319"/>
      <c r="AD838" s="319"/>
      <c r="AE838" s="319"/>
      <c r="AF838" s="319"/>
      <c r="AG838" s="319"/>
      <c r="AH838" s="319"/>
      <c r="AI838" s="319"/>
      <c r="AJ838" s="319"/>
      <c r="AK838" s="319"/>
      <c r="AL838" s="319"/>
      <c r="AM838" s="319"/>
      <c r="AN838" s="319"/>
      <c r="AO838" s="319">
        <v>3000000</v>
      </c>
      <c r="AP838" s="319"/>
      <c r="AQ838" s="319"/>
      <c r="AR838" s="319"/>
      <c r="AS838" s="319"/>
      <c r="AT838" s="319"/>
      <c r="AU838" s="319"/>
      <c r="AV838" s="319"/>
      <c r="AW838" s="319"/>
      <c r="AX838" s="319"/>
      <c r="AY838" s="319"/>
      <c r="AZ838" s="319"/>
      <c r="BA838" s="319"/>
      <c r="BB838" s="319"/>
      <c r="BC838" s="319"/>
      <c r="BD838" s="319"/>
      <c r="BE838" s="319"/>
      <c r="BF838" s="319"/>
      <c r="BG838" s="319"/>
      <c r="BH838" s="319"/>
      <c r="BI838" s="319"/>
      <c r="BJ838" s="319"/>
      <c r="BK838" s="319"/>
      <c r="BL838" s="319"/>
      <c r="BM838" s="319"/>
      <c r="BN838" s="319"/>
      <c r="BO838" s="319"/>
      <c r="BP838" s="319"/>
      <c r="BQ838" s="319"/>
      <c r="BR838" s="319"/>
      <c r="BS838" s="319"/>
      <c r="BT838" s="319"/>
      <c r="BU838" s="319"/>
      <c r="BV838" s="319"/>
      <c r="BW838" s="319"/>
      <c r="BX838" s="319"/>
      <c r="BY838" s="319"/>
      <c r="BZ838" s="319"/>
      <c r="CA838" s="319"/>
      <c r="CB838" s="319"/>
      <c r="CC838" s="319"/>
      <c r="CD838" s="319"/>
      <c r="CE838" s="319"/>
      <c r="CF838" s="319"/>
    </row>
    <row r="839" spans="1:84" ht="12.75" hidden="1" customHeight="1">
      <c r="A839" s="12"/>
      <c r="B839" s="1" t="str">
        <f>B832</f>
        <v>Acompanhando a carga elétrica - sem extração</v>
      </c>
      <c r="C839" s="1"/>
      <c r="D839" s="30" t="e">
        <f>D832</f>
        <v>#DIV/0!</v>
      </c>
      <c r="E839" s="30">
        <f>E832</f>
        <v>0</v>
      </c>
      <c r="F839" s="30" t="e">
        <f>F832</f>
        <v>#DIV/0!</v>
      </c>
      <c r="G839" s="101"/>
      <c r="H839" s="101"/>
      <c r="I839" s="30" t="e">
        <f>IF(Unit=TRUE,R839,R839*$AB$1087)</f>
        <v>#DIV/0!</v>
      </c>
      <c r="J839" s="30" t="e">
        <f>((D839+F839)*$D$812-(R839*$D$813+F839*$D$815-E839*$V$814))</f>
        <v>#DIV/0!</v>
      </c>
      <c r="K839" s="131" t="e">
        <f>IF(R839=0,"-",IF($K$837=$C$1085,FIXED((D839+E839+P839)/R839*100,1)&amp;$T$35,IF($K$837=$C$1086,FIXED(I839*3600/(P839+E839+D839),0),FIXED(I839*3600/(P839+E839+D839)/$AA$1082,0))))</f>
        <v>#DIV/0!</v>
      </c>
      <c r="L839" s="1"/>
      <c r="M839" s="319"/>
      <c r="N839" s="319">
        <v>106</v>
      </c>
      <c r="O839" s="319"/>
      <c r="P839" s="319"/>
      <c r="Q839" s="319"/>
      <c r="R839" s="319" t="e">
        <f>R832</f>
        <v>#DIV/0!</v>
      </c>
      <c r="S839" s="319"/>
      <c r="T839" s="319">
        <f>IF(N839=$N$862,1,0)</f>
        <v>0</v>
      </c>
      <c r="U839" s="319"/>
      <c r="V839" s="319"/>
      <c r="W839" s="319"/>
      <c r="X839" s="319"/>
      <c r="Y839" s="319"/>
      <c r="Z839" s="319"/>
      <c r="AA839" s="319"/>
      <c r="AB839" s="319"/>
      <c r="AC839" s="319"/>
      <c r="AD839" s="319"/>
      <c r="AE839" s="319"/>
      <c r="AF839" s="319"/>
      <c r="AG839" s="319"/>
      <c r="AH839" s="319"/>
      <c r="AI839" s="319"/>
      <c r="AJ839" s="319"/>
      <c r="AK839" s="319"/>
      <c r="AL839" s="319"/>
      <c r="AM839" s="319"/>
      <c r="AN839" s="319"/>
      <c r="AO839" s="319">
        <v>3000000</v>
      </c>
      <c r="AP839" s="319"/>
      <c r="AQ839" s="319"/>
      <c r="AR839" s="319"/>
      <c r="AS839" s="319"/>
      <c r="AT839" s="319"/>
      <c r="AU839" s="319"/>
      <c r="AV839" s="319"/>
      <c r="AW839" s="319"/>
      <c r="AX839" s="319"/>
      <c r="AY839" s="319"/>
      <c r="AZ839" s="319"/>
      <c r="BA839" s="319"/>
      <c r="BB839" s="319"/>
      <c r="BC839" s="319"/>
      <c r="BD839" s="319"/>
      <c r="BE839" s="319"/>
      <c r="BF839" s="319"/>
      <c r="BG839" s="319"/>
      <c r="BH839" s="319"/>
      <c r="BI839" s="319"/>
      <c r="BJ839" s="319"/>
      <c r="BK839" s="319"/>
      <c r="BL839" s="319"/>
      <c r="BM839" s="319"/>
      <c r="BN839" s="319"/>
      <c r="BO839" s="319"/>
      <c r="BP839" s="319"/>
      <c r="BQ839" s="319"/>
      <c r="BR839" s="319"/>
      <c r="BS839" s="319"/>
      <c r="BT839" s="319"/>
      <c r="BU839" s="319"/>
      <c r="BV839" s="319"/>
      <c r="BW839" s="319"/>
      <c r="BX839" s="319"/>
      <c r="BY839" s="319"/>
      <c r="BZ839" s="319"/>
      <c r="CA839" s="319"/>
      <c r="CB839" s="319"/>
      <c r="CC839" s="319"/>
      <c r="CD839" s="319"/>
      <c r="CE839" s="319"/>
      <c r="CF839" s="319"/>
    </row>
    <row r="840" spans="1:84" ht="12.75" hidden="1" customHeight="1">
      <c r="A840" s="12"/>
      <c r="B840" s="1"/>
      <c r="C840" s="1"/>
      <c r="D840" s="1"/>
      <c r="E840" s="1"/>
      <c r="F840" s="1"/>
      <c r="G840" s="1"/>
      <c r="H840" s="1"/>
      <c r="I840" s="1"/>
      <c r="J840" s="1"/>
      <c r="K840" s="9"/>
      <c r="L840" s="1"/>
      <c r="M840" s="319"/>
      <c r="N840" s="319"/>
      <c r="O840" s="319"/>
      <c r="P840" s="319"/>
      <c r="Q840" s="319"/>
      <c r="R840" s="319"/>
      <c r="S840" s="319"/>
      <c r="T840" s="319"/>
      <c r="U840" s="319"/>
      <c r="V840" s="319"/>
      <c r="W840" s="319"/>
      <c r="X840" s="319"/>
      <c r="Y840" s="319"/>
      <c r="Z840" s="319"/>
      <c r="AA840" s="319"/>
      <c r="AB840" s="319"/>
      <c r="AC840" s="319"/>
      <c r="AD840" s="319"/>
      <c r="AE840" s="319"/>
      <c r="AF840" s="319"/>
      <c r="AG840" s="319"/>
      <c r="AH840" s="319"/>
      <c r="AI840" s="319"/>
      <c r="AJ840" s="319"/>
      <c r="AK840" s="319"/>
      <c r="AL840" s="319"/>
      <c r="AM840" s="319"/>
      <c r="AN840" s="319"/>
      <c r="AO840" s="319">
        <v>3000000</v>
      </c>
      <c r="AP840" s="319"/>
      <c r="AQ840" s="319"/>
      <c r="AR840" s="319"/>
      <c r="AS840" s="319"/>
      <c r="AT840" s="319"/>
      <c r="AU840" s="319"/>
      <c r="AV840" s="319"/>
      <c r="AW840" s="319"/>
      <c r="AX840" s="319"/>
      <c r="AY840" s="319"/>
      <c r="AZ840" s="319"/>
      <c r="BA840" s="319"/>
      <c r="BB840" s="319"/>
      <c r="BC840" s="319"/>
      <c r="BD840" s="319"/>
      <c r="BE840" s="319"/>
      <c r="BF840" s="319"/>
      <c r="BG840" s="319"/>
      <c r="BH840" s="319"/>
      <c r="BI840" s="319"/>
      <c r="BJ840" s="319"/>
      <c r="BK840" s="319"/>
      <c r="BL840" s="319"/>
      <c r="BM840" s="319"/>
      <c r="BN840" s="319"/>
      <c r="BO840" s="319"/>
      <c r="BP840" s="319"/>
      <c r="BQ840" s="319"/>
      <c r="BR840" s="319"/>
      <c r="BS840" s="319"/>
      <c r="BT840" s="319"/>
      <c r="BU840" s="319"/>
      <c r="BV840" s="319"/>
      <c r="BW840" s="319"/>
      <c r="BX840" s="319"/>
      <c r="BY840" s="319"/>
      <c r="BZ840" s="319"/>
      <c r="CA840" s="319"/>
      <c r="CB840" s="319"/>
      <c r="CC840" s="319"/>
      <c r="CD840" s="319"/>
      <c r="CE840" s="319"/>
      <c r="CF840" s="319"/>
    </row>
    <row r="841" spans="1:84" ht="38.25" hidden="1" customHeight="1">
      <c r="A841" s="12"/>
      <c r="B841" s="1"/>
      <c r="C841" s="1"/>
      <c r="D841" s="82" t="str">
        <f>$D$817</f>
        <v>Eletricidade fornecida à carga</v>
      </c>
      <c r="E841" s="82" t="str">
        <f>$E$817</f>
        <v>Eletricidade exportada p/ rede</v>
      </c>
      <c r="F841" s="82" t="str">
        <f>$F$817</f>
        <v>Eletricidade
complemento
necessário</v>
      </c>
      <c r="G841" s="82" t="str">
        <f>G817</f>
        <v>Calor
Recuperado</v>
      </c>
      <c r="H841" s="82" t="str">
        <f>H817</f>
        <v>Calor
complemento
necessário</v>
      </c>
      <c r="I841" s="82" t="str">
        <f>I817</f>
        <v>Combustível
para produzir
 eletricidade</v>
      </c>
      <c r="J841" s="82" t="str">
        <f>$J$817</f>
        <v>Lucro (prejuízo) 
Operacional</v>
      </c>
      <c r="K841" s="127" t="str">
        <f>K817</f>
        <v>Eficiência</v>
      </c>
      <c r="L841" s="1"/>
      <c r="M841" s="319"/>
      <c r="N841" s="319"/>
      <c r="O841" s="319"/>
      <c r="P841" s="319"/>
      <c r="Q841" s="319"/>
      <c r="R841" s="319"/>
      <c r="S841" s="319"/>
      <c r="T841" s="319"/>
      <c r="U841" s="319"/>
      <c r="V841" s="319"/>
      <c r="W841" s="319"/>
      <c r="X841" s="319"/>
      <c r="Y841" s="319"/>
      <c r="Z841" s="319"/>
      <c r="AA841" s="319"/>
      <c r="AB841" s="319"/>
      <c r="AC841" s="319"/>
      <c r="AD841" s="319"/>
      <c r="AE841" s="319"/>
      <c r="AF841" s="319"/>
      <c r="AG841" s="319"/>
      <c r="AH841" s="319"/>
      <c r="AI841" s="319"/>
      <c r="AJ841" s="319"/>
      <c r="AK841" s="319"/>
      <c r="AL841" s="319"/>
      <c r="AM841" s="319"/>
      <c r="AN841" s="319"/>
      <c r="AO841" s="319">
        <v>3000000</v>
      </c>
      <c r="AP841" s="319"/>
      <c r="AQ841" s="319"/>
      <c r="AR841" s="319"/>
      <c r="AS841" s="319"/>
      <c r="AT841" s="319"/>
      <c r="AU841" s="319"/>
      <c r="AV841" s="319"/>
      <c r="AW841" s="319"/>
      <c r="AX841" s="319"/>
      <c r="AY841" s="319"/>
      <c r="AZ841" s="319"/>
      <c r="BA841" s="319"/>
      <c r="BB841" s="319"/>
      <c r="BC841" s="319"/>
      <c r="BD841" s="319"/>
      <c r="BE841" s="319"/>
      <c r="BF841" s="319"/>
      <c r="BG841" s="319"/>
      <c r="BH841" s="319"/>
      <c r="BI841" s="319"/>
      <c r="BJ841" s="319"/>
      <c r="BK841" s="319"/>
      <c r="BL841" s="319"/>
      <c r="BM841" s="319"/>
      <c r="BN841" s="319"/>
      <c r="BO841" s="319"/>
      <c r="BP841" s="319"/>
      <c r="BQ841" s="319"/>
      <c r="BR841" s="319"/>
      <c r="BS841" s="319"/>
      <c r="BT841" s="319"/>
      <c r="BU841" s="319"/>
      <c r="BV841" s="319"/>
      <c r="BW841" s="319"/>
      <c r="BX841" s="319"/>
      <c r="BY841" s="319"/>
      <c r="BZ841" s="319"/>
      <c r="CA841" s="319"/>
      <c r="CB841" s="319"/>
      <c r="CC841" s="319"/>
      <c r="CD841" s="319"/>
      <c r="CE841" s="319"/>
      <c r="CF841" s="319"/>
    </row>
    <row r="842" spans="1:84" ht="12.75" hidden="1" customHeight="1">
      <c r="A842" s="12"/>
      <c r="B842" s="49" t="str">
        <f>$B$818</f>
        <v>Estratégia de operação</v>
      </c>
      <c r="C842" s="15"/>
      <c r="D842" s="128" t="str">
        <f>R14</f>
        <v>MWh</v>
      </c>
      <c r="E842" s="128" t="str">
        <f>R14</f>
        <v>MWh</v>
      </c>
      <c r="F842" s="128" t="str">
        <f>R14</f>
        <v>MWh</v>
      </c>
      <c r="G842" s="128" t="str">
        <f>IF(Unit=TRUE,$P$817,$S$817)</f>
        <v>MWh</v>
      </c>
      <c r="H842" s="128" t="str">
        <f>IF(Unit=TRUE,$Q$817,$T$817)</f>
        <v>MWh</v>
      </c>
      <c r="I842" s="128" t="str">
        <f>IF(Unit=TRUE,$R$817,$U$817)</f>
        <v>MWh</v>
      </c>
      <c r="J842" s="128" t="str">
        <f>$J$818</f>
        <v>€</v>
      </c>
      <c r="K842" s="423" t="s">
        <v>739</v>
      </c>
      <c r="L842" s="1"/>
      <c r="M842" s="319"/>
      <c r="N842" s="319"/>
      <c r="O842" s="319"/>
      <c r="P842" s="319"/>
      <c r="Q842" s="319"/>
      <c r="R842" s="319"/>
      <c r="S842" s="319"/>
      <c r="T842" s="319"/>
      <c r="U842" s="319"/>
      <c r="V842" s="319"/>
      <c r="W842" s="319"/>
      <c r="X842" s="319"/>
      <c r="Y842" s="319"/>
      <c r="Z842" s="319"/>
      <c r="AA842" s="319"/>
      <c r="AB842" s="319"/>
      <c r="AC842" s="319"/>
      <c r="AD842" s="319"/>
      <c r="AE842" s="319"/>
      <c r="AF842" s="319"/>
      <c r="AG842" s="319"/>
      <c r="AH842" s="319"/>
      <c r="AI842" s="319"/>
      <c r="AJ842" s="319"/>
      <c r="AK842" s="319"/>
      <c r="AL842" s="319"/>
      <c r="AM842" s="319"/>
      <c r="AN842" s="319"/>
      <c r="AO842" s="319">
        <v>3000000</v>
      </c>
      <c r="AP842" s="319"/>
      <c r="AQ842" s="319"/>
      <c r="AR842" s="319"/>
      <c r="AS842" s="319"/>
      <c r="AT842" s="319"/>
      <c r="AU842" s="319"/>
      <c r="AV842" s="319"/>
      <c r="AW842" s="319"/>
      <c r="AX842" s="319"/>
      <c r="AY842" s="319"/>
      <c r="AZ842" s="319"/>
      <c r="BA842" s="319"/>
      <c r="BB842" s="319"/>
      <c r="BC842" s="319"/>
      <c r="BD842" s="319"/>
      <c r="BE842" s="319"/>
      <c r="BF842" s="319"/>
      <c r="BG842" s="319"/>
      <c r="BH842" s="319"/>
      <c r="BI842" s="319"/>
      <c r="BJ842" s="319"/>
      <c r="BK842" s="319"/>
      <c r="BL842" s="319"/>
      <c r="BM842" s="319"/>
      <c r="BN842" s="319"/>
      <c r="BO842" s="319"/>
      <c r="BP842" s="319"/>
      <c r="BQ842" s="319"/>
      <c r="BR842" s="319"/>
      <c r="BS842" s="319"/>
      <c r="BT842" s="319"/>
      <c r="BU842" s="319"/>
      <c r="BV842" s="319"/>
      <c r="BW842" s="319"/>
      <c r="BX842" s="319"/>
      <c r="BY842" s="319"/>
      <c r="BZ842" s="319"/>
      <c r="CA842" s="319"/>
      <c r="CB842" s="319"/>
      <c r="CC842" s="319"/>
      <c r="CD842" s="319"/>
      <c r="CE842" s="319"/>
      <c r="CF842" s="319"/>
    </row>
    <row r="843" spans="1:84" ht="12.75" hidden="1" customHeight="1">
      <c r="A843" s="12"/>
      <c r="B843" s="1" t="str">
        <f>Language!C157</f>
        <v>Potência elétrica máxima - sem extração</v>
      </c>
      <c r="C843" s="1"/>
      <c r="D843" s="30" t="e">
        <f>BI1137*$F$1129</f>
        <v>#DIV/0!</v>
      </c>
      <c r="E843" s="30" t="e">
        <f>(BH1137-BI1137)*$F$1129</f>
        <v>#DIV/0!</v>
      </c>
      <c r="F843" s="30" t="e">
        <f>$I$1137-D843</f>
        <v>#DIV/0!</v>
      </c>
      <c r="G843" s="30">
        <f>IF(Unit=TRUE,P843,P843*$AB$1087)</f>
        <v>0</v>
      </c>
      <c r="H843" s="30">
        <f>IF(Unit=TRUE,Q843,Q843*$AB$1087)</f>
        <v>0</v>
      </c>
      <c r="I843" s="30">
        <f>IF(Unit=TRUE,R843,R843*$AB$1087)</f>
        <v>0</v>
      </c>
      <c r="J843" s="30" t="e">
        <f>((D843+F843)*$D$812+(P843+Q843)*$D$811)-(R843*$D$813+F843*$D$815-E843*$V$814+Q843*$D$811)</f>
        <v>#DIV/0!</v>
      </c>
      <c r="K843" s="38" t="str">
        <f>IF(R843=0,"-",IF($K$842=$C$1085,FIXED((D843+E843+P843)/R843*100,1)&amp;$T$35,IF($K$842=$C$1086,FIXED(I843*3600/(P843+E843+D843),0),FIXED(I843*3600/(P843+E843+D843)/$AA$1082,0))))</f>
        <v>-</v>
      </c>
      <c r="L843" s="1"/>
      <c r="M843" s="319"/>
      <c r="N843" s="319">
        <v>11</v>
      </c>
      <c r="O843" s="319"/>
      <c r="P843" s="319">
        <f>BS1137*$F$1129</f>
        <v>0</v>
      </c>
      <c r="Q843" s="319">
        <f>$J$1137-P843</f>
        <v>0</v>
      </c>
      <c r="R843" s="319">
        <f>BW1137*$F$1129</f>
        <v>0</v>
      </c>
      <c r="S843" s="319"/>
      <c r="T843" s="319">
        <f>IF(N843=$N$862,1,0)</f>
        <v>0</v>
      </c>
      <c r="U843" s="319" t="s">
        <v>2050</v>
      </c>
      <c r="V843" s="319"/>
      <c r="W843" s="319"/>
      <c r="X843" s="319"/>
      <c r="Y843" s="319"/>
      <c r="Z843" s="319"/>
      <c r="AA843" s="319"/>
      <c r="AB843" s="319"/>
      <c r="AC843" s="319"/>
      <c r="AD843" s="319"/>
      <c r="AE843" s="319"/>
      <c r="AF843" s="319"/>
      <c r="AG843" s="319"/>
      <c r="AH843" s="319"/>
      <c r="AI843" s="319"/>
      <c r="AJ843" s="319"/>
      <c r="AK843" s="319"/>
      <c r="AL843" s="319"/>
      <c r="AM843" s="319"/>
      <c r="AN843" s="319"/>
      <c r="AO843" s="319">
        <v>3000000</v>
      </c>
      <c r="AP843" s="319"/>
      <c r="AQ843" s="319"/>
      <c r="AR843" s="319"/>
      <c r="AS843" s="319"/>
      <c r="AT843" s="319"/>
      <c r="AU843" s="319"/>
      <c r="AV843" s="319"/>
      <c r="AW843" s="319"/>
      <c r="AX843" s="319"/>
      <c r="AY843" s="319"/>
      <c r="AZ843" s="319"/>
      <c r="BA843" s="319"/>
      <c r="BB843" s="319"/>
      <c r="BC843" s="319"/>
      <c r="BD843" s="319"/>
      <c r="BE843" s="319"/>
      <c r="BF843" s="319"/>
      <c r="BG843" s="319"/>
      <c r="BH843" s="319"/>
      <c r="BI843" s="319"/>
      <c r="BJ843" s="319"/>
      <c r="BK843" s="319"/>
      <c r="BL843" s="319"/>
      <c r="BM843" s="319"/>
      <c r="BN843" s="319"/>
      <c r="BO843" s="319"/>
      <c r="BP843" s="319"/>
      <c r="BQ843" s="319"/>
      <c r="BR843" s="319"/>
      <c r="BS843" s="319"/>
      <c r="BT843" s="319"/>
      <c r="BU843" s="319"/>
      <c r="BV843" s="319"/>
      <c r="BW843" s="319"/>
      <c r="BX843" s="319"/>
      <c r="BY843" s="319"/>
      <c r="BZ843" s="319"/>
      <c r="CA843" s="319"/>
      <c r="CB843" s="319"/>
      <c r="CC843" s="319"/>
      <c r="CD843" s="319"/>
      <c r="CE843" s="319"/>
      <c r="CF843" s="319"/>
    </row>
    <row r="844" spans="1:84" ht="12.75" hidden="1" customHeight="1">
      <c r="A844" s="12"/>
      <c r="B844" s="1" t="str">
        <f>Language!C158</f>
        <v>Potência elétrica máxima - com extração</v>
      </c>
      <c r="C844" s="1"/>
      <c r="D844" s="30" t="str">
        <f>IF(AND(HideCodeES_PSS=1,$F$1119=2),"-",IF(AND(HideCodeES_PSS=2,$F$1119=2),"-",BK1137*$F$1129))</f>
        <v>-</v>
      </c>
      <c r="E844" s="30" t="str">
        <f>IF(AND(HideCodeES_PSS=1,$F$1119=2),"-",IF(AND(HideCodeES_PSS=2,$F$1119=2),"-",(BJ1137-BK1137)*$F$1129))</f>
        <v>-</v>
      </c>
      <c r="F844" s="30" t="str">
        <f>IF(AND(HideCodeES_PSS=1,$F$1119=2),"-",IF(AND(HideCodeES_PSS=2,$F$1119=2),"-",$I$1137-D844))</f>
        <v>-</v>
      </c>
      <c r="G844" s="30" t="str">
        <f>IF(AND(HideCodeES_PSS=1,$F$1119=2),"-",IF(AND(HideCodeES_PSS=2,$F$1119=2),"-",IF(Unit=TRUE,P844,P844*$AB$1087)))</f>
        <v>-</v>
      </c>
      <c r="H844" s="30" t="str">
        <f>IF(AND(HideCodeES_PSS=1,$F$1119=2),"-",IF(AND(HideCodeES_PSS=2,$F$1119=2),"-",IF(Unit=TRUE,Q844,Q844*$AB$1087)))</f>
        <v>-</v>
      </c>
      <c r="I844" s="30" t="str">
        <f>IF(AND(HideCodeES_PSS=1,$F$1119=2),"-",IF(AND(HideCodeES_PSS=2,$F$1119=2),"-",IF(Unit=TRUE,R844,R844*$AB$1087)))</f>
        <v>-</v>
      </c>
      <c r="J844" s="30" t="str">
        <f>IF(AND(HideCodeES_PSS=1,$F$1119=2),"-",IF(AND(HideCodeES_PSS=2,$F$1119=2),"-",((D844+F844)*$D$812+(P844+Q844)*$D$811)-(R844*$D$813+F844*$D$815-E844*$V$814+Q844*$D$811)))</f>
        <v>-</v>
      </c>
      <c r="K844" s="131" t="str">
        <f>IF(AND(HideCodeES_PSS=1,$F$1119=2),"-",IF(AND(HideCodeES_PSS=2,$F$1119=2),"-",IF(R844=0,"-",IF($K$842=$C$1085,FIXED((D844+E844+P844)/R844*100,1)&amp;$T$35,IF($K$842=$C$1086,FIXED(I844*3600/(P844+E844+D844),0),FIXED(I844*3600/(P844+E844+D844)/$AA$1082,0))))))</f>
        <v>-</v>
      </c>
      <c r="L844" s="1"/>
      <c r="M844" s="319"/>
      <c r="N844" s="319">
        <v>12</v>
      </c>
      <c r="O844" s="319"/>
      <c r="P844" s="319">
        <f>BT1137*$F$1129</f>
        <v>0</v>
      </c>
      <c r="Q844" s="319">
        <f>$J$1137-P844</f>
        <v>0</v>
      </c>
      <c r="R844" s="319">
        <f>BX1137*$F$1129</f>
        <v>0</v>
      </c>
      <c r="S844" s="319"/>
      <c r="T844" s="319">
        <f>IF(N844=$N$862,1,0)</f>
        <v>0</v>
      </c>
      <c r="U844" s="319"/>
      <c r="V844" s="319"/>
      <c r="W844" s="319"/>
      <c r="X844" s="319"/>
      <c r="Y844" s="319"/>
      <c r="Z844" s="319"/>
      <c r="AA844" s="319"/>
      <c r="AB844" s="319"/>
      <c r="AC844" s="319"/>
      <c r="AD844" s="319"/>
      <c r="AE844" s="319"/>
      <c r="AF844" s="319"/>
      <c r="AG844" s="319"/>
      <c r="AH844" s="319"/>
      <c r="AI844" s="319"/>
      <c r="AJ844" s="319"/>
      <c r="AK844" s="319"/>
      <c r="AL844" s="319"/>
      <c r="AM844" s="319"/>
      <c r="AN844" s="319"/>
      <c r="AO844" s="319">
        <v>3000000</v>
      </c>
      <c r="AP844" s="319"/>
      <c r="AQ844" s="319"/>
      <c r="AR844" s="319"/>
      <c r="AS844" s="319"/>
      <c r="AT844" s="319"/>
      <c r="AU844" s="319"/>
      <c r="AV844" s="319"/>
      <c r="AW844" s="319"/>
      <c r="AX844" s="319"/>
      <c r="AY844" s="319"/>
      <c r="AZ844" s="319"/>
      <c r="BA844" s="319"/>
      <c r="BB844" s="319"/>
      <c r="BC844" s="319"/>
      <c r="BD844" s="319"/>
      <c r="BE844" s="319"/>
      <c r="BF844" s="319"/>
      <c r="BG844" s="319"/>
      <c r="BH844" s="319"/>
      <c r="BI844" s="319"/>
      <c r="BJ844" s="319"/>
      <c r="BK844" s="319"/>
      <c r="BL844" s="319"/>
      <c r="BM844" s="319"/>
      <c r="BN844" s="319"/>
      <c r="BO844" s="319"/>
      <c r="BP844" s="319"/>
      <c r="BQ844" s="319"/>
      <c r="BR844" s="319"/>
      <c r="BS844" s="319"/>
      <c r="BT844" s="319"/>
      <c r="BU844" s="319"/>
      <c r="BV844" s="319"/>
      <c r="BW844" s="319"/>
      <c r="BX844" s="319"/>
      <c r="BY844" s="319"/>
      <c r="BZ844" s="319"/>
      <c r="CA844" s="319"/>
      <c r="CB844" s="319"/>
      <c r="CC844" s="319"/>
      <c r="CD844" s="319"/>
      <c r="CE844" s="319"/>
      <c r="CF844" s="319"/>
    </row>
    <row r="845" spans="1:84" ht="12.75" hidden="1" customHeight="1">
      <c r="A845" s="12"/>
      <c r="B845" s="1" t="str">
        <f>B832</f>
        <v>Acompanhando a carga elétrica - sem extração</v>
      </c>
      <c r="C845" s="1"/>
      <c r="D845" s="30" t="e">
        <f>BL1137*$F$1129</f>
        <v>#DIV/0!</v>
      </c>
      <c r="E845" s="30">
        <v>0</v>
      </c>
      <c r="F845" s="30" t="e">
        <f>$I$1137-D845</f>
        <v>#DIV/0!</v>
      </c>
      <c r="G845" s="30" t="e">
        <f>IF(Unit=TRUE,P845,P845*$AB$1087)</f>
        <v>#DIV/0!</v>
      </c>
      <c r="H845" s="30" t="e">
        <f>IF(Unit=TRUE,Q845,Q845*$AB$1087)</f>
        <v>#DIV/0!</v>
      </c>
      <c r="I845" s="30" t="e">
        <f>IF(Unit=TRUE,R845,R845*$AB$1087)</f>
        <v>#DIV/0!</v>
      </c>
      <c r="J845" s="30" t="e">
        <f>((D845+F845)*$D$812+(P845+Q845)*$D$811)-(R845*$D$813+F845*$D$815-E845*$V$814+Q845*$D$811)</f>
        <v>#DIV/0!</v>
      </c>
      <c r="K845" s="131" t="e">
        <f>IF(R845=0,"-",IF($K$842=$C$1085,FIXED((D845+E845+P845)/R845*100,1)&amp;$T$35,IF($K$842=$C$1086,FIXED(I845*3600/(P845+E845+D845),0),FIXED(I845*3600/(P845+E845+D845)/$AA$1082,0))))</f>
        <v>#DIV/0!</v>
      </c>
      <c r="L845" s="1"/>
      <c r="M845" s="319"/>
      <c r="N845" s="319">
        <v>13</v>
      </c>
      <c r="O845" s="319"/>
      <c r="P845" s="319" t="e">
        <f>BU1137*$F$1129</f>
        <v>#DIV/0!</v>
      </c>
      <c r="Q845" s="319" t="e">
        <f>$J$1137-P845</f>
        <v>#DIV/0!</v>
      </c>
      <c r="R845" s="319" t="e">
        <f>BY1137*$F$1129</f>
        <v>#DIV/0!</v>
      </c>
      <c r="S845" s="319"/>
      <c r="T845" s="319">
        <f>IF(N845=$N$862,1,0)</f>
        <v>0</v>
      </c>
      <c r="U845" s="319"/>
      <c r="V845" s="319"/>
      <c r="W845" s="319"/>
      <c r="X845" s="319"/>
      <c r="Y845" s="319"/>
      <c r="Z845" s="319"/>
      <c r="AA845" s="319"/>
      <c r="AB845" s="319"/>
      <c r="AC845" s="319"/>
      <c r="AD845" s="319"/>
      <c r="AE845" s="319"/>
      <c r="AF845" s="319"/>
      <c r="AG845" s="319"/>
      <c r="AH845" s="319"/>
      <c r="AI845" s="319"/>
      <c r="AJ845" s="319"/>
      <c r="AK845" s="319"/>
      <c r="AL845" s="319"/>
      <c r="AM845" s="319"/>
      <c r="AN845" s="319"/>
      <c r="AO845" s="319">
        <v>3000000</v>
      </c>
      <c r="AP845" s="319"/>
      <c r="AQ845" s="319"/>
      <c r="AR845" s="319"/>
      <c r="AS845" s="319"/>
      <c r="AT845" s="319"/>
      <c r="AU845" s="319"/>
      <c r="AV845" s="319"/>
      <c r="AW845" s="319"/>
      <c r="AX845" s="319"/>
      <c r="AY845" s="319"/>
      <c r="AZ845" s="319"/>
      <c r="BA845" s="319"/>
      <c r="BB845" s="319"/>
      <c r="BC845" s="319"/>
      <c r="BD845" s="319"/>
      <c r="BE845" s="319"/>
      <c r="BF845" s="319"/>
      <c r="BG845" s="319"/>
      <c r="BH845" s="319"/>
      <c r="BI845" s="319"/>
      <c r="BJ845" s="319"/>
      <c r="BK845" s="319"/>
      <c r="BL845" s="319"/>
      <c r="BM845" s="319"/>
      <c r="BN845" s="319"/>
      <c r="BO845" s="319"/>
      <c r="BP845" s="319"/>
      <c r="BQ845" s="319"/>
      <c r="BR845" s="319"/>
      <c r="BS845" s="319"/>
      <c r="BT845" s="319"/>
      <c r="BU845" s="319"/>
      <c r="BV845" s="319"/>
      <c r="BW845" s="319"/>
      <c r="BX845" s="319"/>
      <c r="BY845" s="319"/>
      <c r="BZ845" s="319"/>
      <c r="CA845" s="319"/>
      <c r="CB845" s="319"/>
      <c r="CC845" s="319"/>
      <c r="CD845" s="319"/>
      <c r="CE845" s="319"/>
      <c r="CF845" s="319"/>
    </row>
    <row r="846" spans="1:84" ht="12.75" hidden="1" customHeight="1">
      <c r="A846" s="12"/>
      <c r="B846" s="1" t="str">
        <f>Language!C159</f>
        <v>Acompanhando a carga elétrica - com extração</v>
      </c>
      <c r="C846" s="1"/>
      <c r="D846" s="30" t="str">
        <f>IF(AND(HideCodeES_PSS=1,$F$1119=2),"-",IF(AND(HideCodeES_PSS=2,$F$1119=2),"-",BM1137*$F$1129))</f>
        <v>-</v>
      </c>
      <c r="E846" s="30">
        <v>0</v>
      </c>
      <c r="F846" s="30" t="str">
        <f>IF(AND(HideCodeES_PSS=1,$F$1119=2),"-",IF(AND(HideCodeES_PSS=2,$F$1119=2),"-",$I$1137-D846))</f>
        <v>-</v>
      </c>
      <c r="G846" s="30" t="str">
        <f>IF(AND(HideCodeES_PSS=1,$F$1119=2),"-",IF(AND(HideCodeES_PSS=2,$F$1119=2),"-",IF(Unit=TRUE,P846,P846*$AB$1087)))</f>
        <v>-</v>
      </c>
      <c r="H846" s="30" t="str">
        <f>IF(AND(HideCodeES_PSS=1,$F$1119=2),"-",IF(AND(HideCodeES_PSS=2,$F$1119=2),"-",IF(Unit=TRUE,Q846,Q846*$AB$1087)))</f>
        <v>-</v>
      </c>
      <c r="I846" s="30" t="str">
        <f>IF(AND(HideCodeES_PSS=1,$F$1119=2),"-",IF(AND(HideCodeES_PSS=2,$F$1119=2),"-",IF(Unit=TRUE,R846,R846*$AB$1087)))</f>
        <v>-</v>
      </c>
      <c r="J846" s="30" t="str">
        <f>IF(AND(HideCodeES_PSS=1,$F$1119=2),"-",IF(AND(HideCodeES_PSS=2,$F$1119=2),"-",((D846+F846)*$D$812+(P846+Q846)*$D$811)-(R846*$D$813+F846*$D$815-E846*$V$814+Q846*$D$811)))</f>
        <v>-</v>
      </c>
      <c r="K846" s="131" t="str">
        <f>IF(AND(HideCodeES_PSS=1,$F$1119=2),"-",IF(AND(HideCodeES_PSS=2,$F$1119=2),"-",IF(R846=0,"-",IF($K$842=$C$1085,FIXED((D846+E846+P846)/R846*100,1)&amp;$T$35,IF($K$842=$C$1086,FIXED(I846*3600/(P846+E846+D846),0),FIXED(I846*3600/(P846+E846+D846)/$AA$1082,0))))))</f>
        <v>-</v>
      </c>
      <c r="L846" s="1"/>
      <c r="M846" s="319"/>
      <c r="N846" s="319">
        <v>14</v>
      </c>
      <c r="O846" s="319"/>
      <c r="P846" s="319">
        <f>BV1137*$F$1129</f>
        <v>0</v>
      </c>
      <c r="Q846" s="319">
        <f>$J$1137-P846</f>
        <v>0</v>
      </c>
      <c r="R846" s="319">
        <f>BZ1137*$F$1129</f>
        <v>0</v>
      </c>
      <c r="S846" s="319"/>
      <c r="T846" s="319">
        <f>IF(N846=$N$862,1,0)</f>
        <v>0</v>
      </c>
      <c r="U846" s="319" t="s">
        <v>1024</v>
      </c>
      <c r="V846" s="319"/>
      <c r="W846" s="319"/>
      <c r="X846" s="319"/>
      <c r="Y846" s="319"/>
      <c r="Z846" s="319"/>
      <c r="AA846" s="319"/>
      <c r="AB846" s="319"/>
      <c r="AC846" s="319"/>
      <c r="AD846" s="319"/>
      <c r="AE846" s="319"/>
      <c r="AF846" s="319"/>
      <c r="AG846" s="319"/>
      <c r="AH846" s="319"/>
      <c r="AI846" s="319"/>
      <c r="AJ846" s="319"/>
      <c r="AK846" s="319"/>
      <c r="AL846" s="319"/>
      <c r="AM846" s="319"/>
      <c r="AN846" s="319"/>
      <c r="AO846" s="319">
        <v>3000000</v>
      </c>
      <c r="AP846" s="319"/>
      <c r="AQ846" s="319"/>
      <c r="AR846" s="319"/>
      <c r="AS846" s="319"/>
      <c r="AT846" s="319"/>
      <c r="AU846" s="319"/>
      <c r="AV846" s="319"/>
      <c r="AW846" s="319"/>
      <c r="AX846" s="319"/>
      <c r="AY846" s="319"/>
      <c r="AZ846" s="319"/>
      <c r="BA846" s="319"/>
      <c r="BB846" s="319"/>
      <c r="BC846" s="319"/>
      <c r="BD846" s="319"/>
      <c r="BE846" s="319"/>
      <c r="BF846" s="319"/>
      <c r="BG846" s="319"/>
      <c r="BH846" s="319"/>
      <c r="BI846" s="319"/>
      <c r="BJ846" s="319"/>
      <c r="BK846" s="319"/>
      <c r="BL846" s="319"/>
      <c r="BM846" s="319"/>
      <c r="BN846" s="319"/>
      <c r="BO846" s="319"/>
      <c r="BP846" s="319"/>
      <c r="BQ846" s="319"/>
      <c r="BR846" s="319"/>
      <c r="BS846" s="319"/>
      <c r="BT846" s="319"/>
      <c r="BU846" s="319"/>
      <c r="BV846" s="319"/>
      <c r="BW846" s="319"/>
      <c r="BX846" s="319"/>
      <c r="BY846" s="319"/>
      <c r="BZ846" s="319"/>
      <c r="CA846" s="319"/>
      <c r="CB846" s="319"/>
      <c r="CC846" s="319"/>
      <c r="CD846" s="319"/>
      <c r="CE846" s="319"/>
      <c r="CF846" s="319"/>
    </row>
    <row r="847" spans="1:84" ht="12.75" hidden="1" customHeight="1">
      <c r="A847" s="12"/>
      <c r="B847" s="1"/>
      <c r="C847" s="1"/>
      <c r="D847" s="1"/>
      <c r="E847" s="1"/>
      <c r="F847" s="1"/>
      <c r="G847" s="1"/>
      <c r="H847" s="1"/>
      <c r="I847" s="1"/>
      <c r="J847" s="1"/>
      <c r="K847" s="9"/>
      <c r="L847" s="1"/>
      <c r="M847" s="319"/>
      <c r="N847" s="319"/>
      <c r="O847" s="319"/>
      <c r="P847" s="319"/>
      <c r="Q847" s="319"/>
      <c r="R847" s="319"/>
      <c r="S847" s="319"/>
      <c r="T847" s="319"/>
      <c r="U847" s="319"/>
      <c r="V847" s="319"/>
      <c r="W847" s="319"/>
      <c r="X847" s="319"/>
      <c r="Y847" s="319"/>
      <c r="Z847" s="319"/>
      <c r="AA847" s="319"/>
      <c r="AB847" s="319"/>
      <c r="AC847" s="319"/>
      <c r="AD847" s="319"/>
      <c r="AE847" s="319"/>
      <c r="AF847" s="319"/>
      <c r="AG847" s="319"/>
      <c r="AH847" s="319"/>
      <c r="AI847" s="319"/>
      <c r="AJ847" s="319"/>
      <c r="AK847" s="319"/>
      <c r="AL847" s="319"/>
      <c r="AM847" s="319"/>
      <c r="AN847" s="319"/>
      <c r="AO847" s="319">
        <v>3000000</v>
      </c>
      <c r="AP847" s="319"/>
      <c r="AQ847" s="319"/>
      <c r="AR847" s="319"/>
      <c r="AS847" s="319"/>
      <c r="AT847" s="319"/>
      <c r="AU847" s="319"/>
      <c r="AV847" s="319"/>
      <c r="AW847" s="319"/>
      <c r="AX847" s="319"/>
      <c r="AY847" s="319"/>
      <c r="AZ847" s="319"/>
      <c r="BA847" s="319"/>
      <c r="BB847" s="319"/>
      <c r="BC847" s="319"/>
      <c r="BD847" s="319"/>
      <c r="BE847" s="319"/>
      <c r="BF847" s="319"/>
      <c r="BG847" s="319"/>
      <c r="BH847" s="319"/>
      <c r="BI847" s="319"/>
      <c r="BJ847" s="319"/>
      <c r="BK847" s="319"/>
      <c r="BL847" s="319"/>
      <c r="BM847" s="319"/>
      <c r="BN847" s="319"/>
      <c r="BO847" s="319"/>
      <c r="BP847" s="319"/>
      <c r="BQ847" s="319"/>
      <c r="BR847" s="319"/>
      <c r="BS847" s="319"/>
      <c r="BT847" s="319"/>
      <c r="BU847" s="319"/>
      <c r="BV847" s="319"/>
      <c r="BW847" s="319"/>
      <c r="BX847" s="319"/>
      <c r="BY847" s="319"/>
      <c r="BZ847" s="319"/>
      <c r="CA847" s="319"/>
      <c r="CB847" s="319"/>
      <c r="CC847" s="319"/>
      <c r="CD847" s="319"/>
      <c r="CE847" s="319"/>
      <c r="CF847" s="319"/>
    </row>
    <row r="848" spans="1:84" ht="38.25" hidden="1" customHeight="1">
      <c r="A848" s="12"/>
      <c r="B848" s="1"/>
      <c r="C848" s="1"/>
      <c r="D848" s="82" t="str">
        <f>$D$817</f>
        <v>Eletricidade fornecida à carga</v>
      </c>
      <c r="E848" s="82" t="str">
        <f>$E$817</f>
        <v>Eletricidade exportada p/ rede</v>
      </c>
      <c r="F848" s="82" t="str">
        <f>$F$817</f>
        <v>Eletricidade
complemento
necessário</v>
      </c>
      <c r="G848" s="82"/>
      <c r="H848" s="82"/>
      <c r="I848" s="82" t="str">
        <f>I817</f>
        <v>Combustível
para produzir
 eletricidade</v>
      </c>
      <c r="J848" s="82" t="str">
        <f>$J$817</f>
        <v>Lucro (prejuízo) 
Operacional</v>
      </c>
      <c r="K848" s="127" t="str">
        <f>K817</f>
        <v>Eficiência</v>
      </c>
      <c r="L848" s="1"/>
      <c r="M848" s="319"/>
      <c r="N848" s="319"/>
      <c r="O848" s="319"/>
      <c r="P848" s="319"/>
      <c r="Q848" s="319"/>
      <c r="R848" s="319"/>
      <c r="S848" s="319"/>
      <c r="T848" s="319"/>
      <c r="U848" s="319"/>
      <c r="V848" s="319"/>
      <c r="W848" s="319"/>
      <c r="X848" s="319"/>
      <c r="Y848" s="319"/>
      <c r="Z848" s="319"/>
      <c r="AA848" s="319"/>
      <c r="AB848" s="319"/>
      <c r="AC848" s="319"/>
      <c r="AD848" s="319"/>
      <c r="AE848" s="319"/>
      <c r="AF848" s="319"/>
      <c r="AG848" s="319"/>
      <c r="AH848" s="319"/>
      <c r="AI848" s="319"/>
      <c r="AJ848" s="319"/>
      <c r="AK848" s="319"/>
      <c r="AL848" s="319"/>
      <c r="AM848" s="319"/>
      <c r="AN848" s="319"/>
      <c r="AO848" s="319">
        <v>3000000</v>
      </c>
      <c r="AP848" s="319"/>
      <c r="AQ848" s="319"/>
      <c r="AR848" s="319"/>
      <c r="AS848" s="319"/>
      <c r="AT848" s="319"/>
      <c r="AU848" s="319"/>
      <c r="AV848" s="319"/>
      <c r="AW848" s="319"/>
      <c r="AX848" s="319"/>
      <c r="AY848" s="319"/>
      <c r="AZ848" s="319"/>
      <c r="BA848" s="319"/>
      <c r="BB848" s="319"/>
      <c r="BC848" s="319"/>
      <c r="BD848" s="319"/>
      <c r="BE848" s="319"/>
      <c r="BF848" s="319"/>
      <c r="BG848" s="319"/>
      <c r="BH848" s="319"/>
      <c r="BI848" s="319"/>
      <c r="BJ848" s="319"/>
      <c r="BK848" s="319"/>
      <c r="BL848" s="319"/>
      <c r="BM848" s="319"/>
      <c r="BN848" s="319"/>
      <c r="BO848" s="319"/>
      <c r="BP848" s="319"/>
      <c r="BQ848" s="319"/>
      <c r="BR848" s="319"/>
      <c r="BS848" s="319"/>
      <c r="BT848" s="319"/>
      <c r="BU848" s="319"/>
      <c r="BV848" s="319"/>
      <c r="BW848" s="319"/>
      <c r="BX848" s="319"/>
      <c r="BY848" s="319"/>
      <c r="BZ848" s="319"/>
      <c r="CA848" s="319"/>
      <c r="CB848" s="319"/>
      <c r="CC848" s="319"/>
      <c r="CD848" s="319"/>
      <c r="CE848" s="319"/>
      <c r="CF848" s="319"/>
    </row>
    <row r="849" spans="1:84" ht="12.75" hidden="1" customHeight="1">
      <c r="A849" s="12"/>
      <c r="B849" s="49" t="str">
        <f>$B$818</f>
        <v>Estratégia de operação</v>
      </c>
      <c r="C849" s="15"/>
      <c r="D849" s="128" t="str">
        <f>R14</f>
        <v>MWh</v>
      </c>
      <c r="E849" s="128" t="str">
        <f>R14</f>
        <v>MWh</v>
      </c>
      <c r="F849" s="128" t="str">
        <f>R14</f>
        <v>MWh</v>
      </c>
      <c r="G849" s="128"/>
      <c r="H849" s="128"/>
      <c r="I849" s="128" t="str">
        <f>IF(Unit=TRUE,$R$817,$U$817)</f>
        <v>MWh</v>
      </c>
      <c r="J849" s="128" t="str">
        <f>$J$818</f>
        <v>€</v>
      </c>
      <c r="K849" s="423" t="s">
        <v>739</v>
      </c>
      <c r="L849" s="1"/>
      <c r="M849" s="319"/>
      <c r="N849" s="319"/>
      <c r="O849" s="319"/>
      <c r="P849" s="319"/>
      <c r="Q849" s="319"/>
      <c r="R849" s="319"/>
      <c r="S849" s="319"/>
      <c r="T849" s="319"/>
      <c r="U849" s="319"/>
      <c r="V849" s="319"/>
      <c r="W849" s="319"/>
      <c r="X849" s="319"/>
      <c r="Y849" s="319"/>
      <c r="Z849" s="319"/>
      <c r="AA849" s="319"/>
      <c r="AB849" s="319"/>
      <c r="AC849" s="319"/>
      <c r="AD849" s="319"/>
      <c r="AE849" s="319"/>
      <c r="AF849" s="319"/>
      <c r="AG849" s="319"/>
      <c r="AH849" s="319"/>
      <c r="AI849" s="319"/>
      <c r="AJ849" s="319"/>
      <c r="AK849" s="319"/>
      <c r="AL849" s="319"/>
      <c r="AM849" s="319"/>
      <c r="AN849" s="319"/>
      <c r="AO849" s="319">
        <v>3000000</v>
      </c>
      <c r="AP849" s="319"/>
      <c r="AQ849" s="319"/>
      <c r="AR849" s="319"/>
      <c r="AS849" s="319"/>
      <c r="AT849" s="319"/>
      <c r="AU849" s="319"/>
      <c r="AV849" s="319"/>
      <c r="AW849" s="319"/>
      <c r="AX849" s="319"/>
      <c r="AY849" s="319"/>
      <c r="AZ849" s="319"/>
      <c r="BA849" s="319"/>
      <c r="BB849" s="319"/>
      <c r="BC849" s="319"/>
      <c r="BD849" s="319"/>
      <c r="BE849" s="319"/>
      <c r="BF849" s="319"/>
      <c r="BG849" s="319"/>
      <c r="BH849" s="319"/>
      <c r="BI849" s="319"/>
      <c r="BJ849" s="319"/>
      <c r="BK849" s="319"/>
      <c r="BL849" s="319"/>
      <c r="BM849" s="319"/>
      <c r="BN849" s="319"/>
      <c r="BO849" s="319"/>
      <c r="BP849" s="319"/>
      <c r="BQ849" s="319"/>
      <c r="BR849" s="319"/>
      <c r="BS849" s="319"/>
      <c r="BT849" s="319"/>
      <c r="BU849" s="319"/>
      <c r="BV849" s="319"/>
      <c r="BW849" s="319"/>
      <c r="BX849" s="319"/>
      <c r="BY849" s="319"/>
      <c r="BZ849" s="319"/>
      <c r="CA849" s="319"/>
      <c r="CB849" s="319"/>
      <c r="CC849" s="319"/>
      <c r="CD849" s="319"/>
      <c r="CE849" s="319"/>
      <c r="CF849" s="319"/>
    </row>
    <row r="850" spans="1:84" ht="12.75" hidden="1" customHeight="1">
      <c r="A850" s="12"/>
      <c r="B850" s="1" t="str">
        <f>B819</f>
        <v>Potência elétr.máx.de saída</v>
      </c>
      <c r="C850" s="1"/>
      <c r="D850" s="30" t="e">
        <f>D843</f>
        <v>#DIV/0!</v>
      </c>
      <c r="E850" s="30" t="e">
        <f>E843</f>
        <v>#DIV/0!</v>
      </c>
      <c r="F850" s="30" t="e">
        <f>F843</f>
        <v>#DIV/0!</v>
      </c>
      <c r="G850" s="101"/>
      <c r="H850" s="101"/>
      <c r="I850" s="30">
        <f>IF(Unit=TRUE,R850,R850*$AB$1087)</f>
        <v>0</v>
      </c>
      <c r="J850" s="30" t="e">
        <f>((D850+F850)*$D$812-(R850*$D$813+F850*$D$815-E850*$V$814))</f>
        <v>#DIV/0!</v>
      </c>
      <c r="K850" s="38" t="str">
        <f>IF(R850=0,"-",IF($K$849=$C$1085,FIXED((D850+E850+P850)/R850*100,1)&amp;$T$35,IF($K$849=$C$1086,FIXED(I850*3600/(P850+E850+D850),0),FIXED(I850*3600/(P850+E850+D850)/$AA$1082,0))))</f>
        <v>-</v>
      </c>
      <c r="L850" s="1"/>
      <c r="M850" s="319"/>
      <c r="N850" s="319">
        <v>111</v>
      </c>
      <c r="O850" s="319"/>
      <c r="P850" s="319"/>
      <c r="Q850" s="319"/>
      <c r="R850" s="319">
        <f>R843</f>
        <v>0</v>
      </c>
      <c r="S850" s="319"/>
      <c r="T850" s="319">
        <f>IF(N850=$N$862,1,0)</f>
        <v>0</v>
      </c>
      <c r="U850" s="319"/>
      <c r="V850" s="319"/>
      <c r="W850" s="319"/>
      <c r="X850" s="319"/>
      <c r="Y850" s="319"/>
      <c r="Z850" s="319"/>
      <c r="AA850" s="319"/>
      <c r="AB850" s="319"/>
      <c r="AC850" s="319"/>
      <c r="AD850" s="319"/>
      <c r="AE850" s="319"/>
      <c r="AF850" s="319"/>
      <c r="AG850" s="319"/>
      <c r="AH850" s="319"/>
      <c r="AI850" s="319"/>
      <c r="AJ850" s="319"/>
      <c r="AK850" s="319"/>
      <c r="AL850" s="319"/>
      <c r="AM850" s="319"/>
      <c r="AN850" s="319"/>
      <c r="AO850" s="319">
        <v>3000000</v>
      </c>
      <c r="AP850" s="319"/>
      <c r="AQ850" s="319"/>
      <c r="AR850" s="319"/>
      <c r="AS850" s="319"/>
      <c r="AT850" s="319"/>
      <c r="AU850" s="319"/>
      <c r="AV850" s="319"/>
      <c r="AW850" s="319"/>
      <c r="AX850" s="319"/>
      <c r="AY850" s="319"/>
      <c r="AZ850" s="319"/>
      <c r="BA850" s="319"/>
      <c r="BB850" s="319"/>
      <c r="BC850" s="319"/>
      <c r="BD850" s="319"/>
      <c r="BE850" s="319"/>
      <c r="BF850" s="319"/>
      <c r="BG850" s="319"/>
      <c r="BH850" s="319"/>
      <c r="BI850" s="319"/>
      <c r="BJ850" s="319"/>
      <c r="BK850" s="319"/>
      <c r="BL850" s="319"/>
      <c r="BM850" s="319"/>
      <c r="BN850" s="319"/>
      <c r="BO850" s="319"/>
      <c r="BP850" s="319"/>
      <c r="BQ850" s="319"/>
      <c r="BR850" s="319"/>
      <c r="BS850" s="319"/>
      <c r="BT850" s="319"/>
      <c r="BU850" s="319"/>
      <c r="BV850" s="319"/>
      <c r="BW850" s="319"/>
      <c r="BX850" s="319"/>
      <c r="BY850" s="319"/>
      <c r="BZ850" s="319"/>
      <c r="CA850" s="319"/>
      <c r="CB850" s="319"/>
      <c r="CC850" s="319"/>
      <c r="CD850" s="319"/>
      <c r="CE850" s="319"/>
      <c r="CF850" s="319"/>
    </row>
    <row r="851" spans="1:84" ht="12.75" hidden="1" customHeight="1">
      <c r="A851" s="12"/>
      <c r="B851" s="1" t="str">
        <f>B820</f>
        <v>Acompanhando carga elétrica</v>
      </c>
      <c r="C851" s="1"/>
      <c r="D851" s="30" t="e">
        <f>D845</f>
        <v>#DIV/0!</v>
      </c>
      <c r="E851" s="30">
        <f>E845</f>
        <v>0</v>
      </c>
      <c r="F851" s="30" t="e">
        <f>F845</f>
        <v>#DIV/0!</v>
      </c>
      <c r="G851" s="101"/>
      <c r="H851" s="101"/>
      <c r="I851" s="30" t="e">
        <f>IF(Unit=TRUE,R851,R851*$AB$1087)</f>
        <v>#DIV/0!</v>
      </c>
      <c r="J851" s="30" t="e">
        <f>((D851+F851)*$D$812-(R851*$D$813+F851*$D$815-E851*$V$814))</f>
        <v>#DIV/0!</v>
      </c>
      <c r="K851" s="38" t="e">
        <f>IF(R851=0,"-",IF($K$849=$C$1085,FIXED((D851+E851+P851)/R851*100,1)&amp;$T$35,IF($K$849=$C$1086,FIXED(I851*3600/(P851+E851+D851),0),FIXED(I851*3600/(P851+E851+D851)/$AA$1082,0))))</f>
        <v>#DIV/0!</v>
      </c>
      <c r="L851" s="1"/>
      <c r="M851" s="319"/>
      <c r="N851" s="319">
        <v>113</v>
      </c>
      <c r="O851" s="319"/>
      <c r="P851" s="319"/>
      <c r="Q851" s="319"/>
      <c r="R851" s="319" t="e">
        <f>R845</f>
        <v>#DIV/0!</v>
      </c>
      <c r="S851" s="319"/>
      <c r="T851" s="319">
        <f>IF(N851=$N$862,1,0)</f>
        <v>0</v>
      </c>
      <c r="U851" s="319"/>
      <c r="V851" s="319"/>
      <c r="W851" s="319"/>
      <c r="X851" s="319"/>
      <c r="Y851" s="319"/>
      <c r="Z851" s="319"/>
      <c r="AA851" s="319"/>
      <c r="AB851" s="319"/>
      <c r="AC851" s="319"/>
      <c r="AD851" s="319"/>
      <c r="AE851" s="319"/>
      <c r="AF851" s="319"/>
      <c r="AG851" s="319"/>
      <c r="AH851" s="319"/>
      <c r="AI851" s="319"/>
      <c r="AJ851" s="319"/>
      <c r="AK851" s="319"/>
      <c r="AL851" s="319"/>
      <c r="AM851" s="319"/>
      <c r="AN851" s="319"/>
      <c r="AO851" s="319">
        <v>3000000</v>
      </c>
      <c r="AP851" s="319"/>
      <c r="AQ851" s="319"/>
      <c r="AR851" s="319"/>
      <c r="AS851" s="319"/>
      <c r="AT851" s="319"/>
      <c r="AU851" s="319"/>
      <c r="AV851" s="319"/>
      <c r="AW851" s="319"/>
      <c r="AX851" s="319"/>
      <c r="AY851" s="319"/>
      <c r="AZ851" s="319"/>
      <c r="BA851" s="319"/>
      <c r="BB851" s="319"/>
      <c r="BC851" s="319"/>
      <c r="BD851" s="319"/>
      <c r="BE851" s="319"/>
      <c r="BF851" s="319"/>
      <c r="BG851" s="319"/>
      <c r="BH851" s="319"/>
      <c r="BI851" s="319"/>
      <c r="BJ851" s="319"/>
      <c r="BK851" s="319"/>
      <c r="BL851" s="319"/>
      <c r="BM851" s="319"/>
      <c r="BN851" s="319"/>
      <c r="BO851" s="319"/>
      <c r="BP851" s="319"/>
      <c r="BQ851" s="319"/>
      <c r="BR851" s="319"/>
      <c r="BS851" s="319"/>
      <c r="BT851" s="319"/>
      <c r="BU851" s="319"/>
      <c r="BV851" s="319"/>
      <c r="BW851" s="319"/>
      <c r="BX851" s="319"/>
      <c r="BY851" s="319"/>
      <c r="BZ851" s="319"/>
      <c r="CA851" s="319"/>
      <c r="CB851" s="319"/>
      <c r="CC851" s="319"/>
      <c r="CD851" s="319"/>
      <c r="CE851" s="319"/>
      <c r="CF851" s="319"/>
    </row>
    <row r="852" spans="1:84" ht="12.75" hidden="1" customHeight="1">
      <c r="A852" s="12"/>
      <c r="B852" s="1"/>
      <c r="C852" s="1"/>
      <c r="D852" s="1"/>
      <c r="E852" s="1"/>
      <c r="F852" s="1"/>
      <c r="G852" s="1"/>
      <c r="H852" s="1"/>
      <c r="I852" s="1"/>
      <c r="J852" s="1"/>
      <c r="K852" s="9"/>
      <c r="L852" s="1"/>
      <c r="M852" s="319"/>
      <c r="N852" s="319"/>
      <c r="O852" s="319">
        <f>IF(OR(Gridtype=1,Gridtype=3),1,0)*IF(OR(M31=2,M31=10),1,0)</f>
        <v>1</v>
      </c>
      <c r="P852" s="319" t="s">
        <v>2315</v>
      </c>
      <c r="Q852" s="319"/>
      <c r="R852" s="319"/>
      <c r="S852" s="319"/>
      <c r="T852" s="319"/>
      <c r="U852" s="319"/>
      <c r="V852" s="319"/>
      <c r="W852" s="319"/>
      <c r="X852" s="319"/>
      <c r="Y852" s="319"/>
      <c r="Z852" s="319"/>
      <c r="AA852" s="319"/>
      <c r="AB852" s="319"/>
      <c r="AC852" s="319"/>
      <c r="AD852" s="319"/>
      <c r="AE852" s="319"/>
      <c r="AF852" s="319"/>
      <c r="AG852" s="319"/>
      <c r="AH852" s="319"/>
      <c r="AI852" s="319"/>
      <c r="AJ852" s="319"/>
      <c r="AK852" s="319"/>
      <c r="AL852" s="319"/>
      <c r="AM852" s="319"/>
      <c r="AN852" s="319"/>
      <c r="AO852" s="319">
        <v>3000000</v>
      </c>
      <c r="AP852" s="319"/>
      <c r="AQ852" s="319"/>
      <c r="AR852" s="319"/>
      <c r="AS852" s="319"/>
      <c r="AT852" s="319"/>
      <c r="AU852" s="319"/>
      <c r="AV852" s="319"/>
      <c r="AW852" s="319"/>
      <c r="AX852" s="319"/>
      <c r="AY852" s="319"/>
      <c r="AZ852" s="319"/>
      <c r="BA852" s="319"/>
      <c r="BB852" s="319"/>
      <c r="BC852" s="319"/>
      <c r="BD852" s="319"/>
      <c r="BE852" s="319"/>
      <c r="BF852" s="319"/>
      <c r="BG852" s="319"/>
      <c r="BH852" s="319"/>
      <c r="BI852" s="319"/>
      <c r="BJ852" s="319"/>
      <c r="BK852" s="319"/>
      <c r="BL852" s="319"/>
      <c r="BM852" s="319"/>
      <c r="BN852" s="319"/>
      <c r="BO852" s="319"/>
      <c r="BP852" s="319"/>
      <c r="BQ852" s="319"/>
      <c r="BR852" s="319"/>
      <c r="BS852" s="319"/>
      <c r="BT852" s="319"/>
      <c r="BU852" s="319"/>
      <c r="BV852" s="319"/>
      <c r="BW852" s="319"/>
      <c r="BX852" s="319"/>
      <c r="BY852" s="319"/>
      <c r="BZ852" s="319"/>
      <c r="CA852" s="319"/>
      <c r="CB852" s="319"/>
      <c r="CC852" s="319"/>
      <c r="CD852" s="319"/>
      <c r="CE852" s="319"/>
      <c r="CF852" s="319"/>
    </row>
    <row r="853" spans="1:84" ht="12.75" hidden="1" customHeight="1">
      <c r="A853" s="12"/>
      <c r="B853" s="1"/>
      <c r="C853" s="1"/>
      <c r="D853" s="1"/>
      <c r="E853" s="1"/>
      <c r="F853" s="1"/>
      <c r="G853" s="1"/>
      <c r="H853" s="1"/>
      <c r="I853" s="1"/>
      <c r="J853" s="1"/>
      <c r="K853" s="788" t="str">
        <f>IF(HideCodeES_PSS=1,O853,IF(C854=$E$1094,P853,O853))</f>
        <v/>
      </c>
      <c r="L853" s="1"/>
      <c r="M853" s="319"/>
      <c r="N853" s="319"/>
      <c r="O853" s="319" t="str">
        <f>IF(AND(HideCodeES_PowerST1=3,HideCodeES_Extract_GTCC1=2),IF(OR(N862=5,N862=7,N862=12,N862=14),Language!C490,""),IF(AND(HideCodeES_PowerST1=4,HideCodeES_Extract_ST1=2),IF(OR(N862=5,N862=7,N862=12,N862=14),Language!C490,""),""))</f>
        <v/>
      </c>
      <c r="P853" s="319" t="str">
        <f>IF(AND(HideCodeES_PowerST2=3,HideCodeES_Extract_GTCC2=2),IF(OR(N862=5,N862=7,N862=12,N862=14),Language!C490,""),IF(AND(HideCodeES_PowerST2=4,HideCodeES_Extract_ST2=2),IF(OR(N862=5,N862=7,N862=12,N862=14),Language!C490,""),""))</f>
        <v/>
      </c>
      <c r="Q853" s="319"/>
      <c r="R853" s="319"/>
      <c r="S853" s="319"/>
      <c r="T853" s="319"/>
      <c r="U853" s="319"/>
      <c r="V853" s="319"/>
      <c r="W853" s="319"/>
      <c r="X853" s="319"/>
      <c r="Y853" s="319"/>
      <c r="Z853" s="319"/>
      <c r="AA853" s="319"/>
      <c r="AB853" s="319"/>
      <c r="AC853" s="319"/>
      <c r="AD853" s="319"/>
      <c r="AE853" s="319"/>
      <c r="AF853" s="319"/>
      <c r="AG853" s="319"/>
      <c r="AH853" s="319"/>
      <c r="AI853" s="319"/>
      <c r="AJ853" s="319"/>
      <c r="AK853" s="319"/>
      <c r="AL853" s="319"/>
      <c r="AM853" s="319"/>
      <c r="AN853" s="319"/>
      <c r="AO853" s="319">
        <v>3000000</v>
      </c>
      <c r="AP853" s="319"/>
      <c r="AQ853" s="319"/>
      <c r="AR853" s="319"/>
      <c r="AS853" s="319"/>
      <c r="AT853" s="319"/>
      <c r="AU853" s="319"/>
      <c r="AV853" s="319"/>
      <c r="AW853" s="319"/>
      <c r="AX853" s="319"/>
      <c r="AY853" s="319"/>
      <c r="AZ853" s="319"/>
      <c r="BA853" s="319"/>
      <c r="BB853" s="319"/>
      <c r="BC853" s="319"/>
      <c r="BD853" s="319"/>
      <c r="BE853" s="319"/>
      <c r="BF853" s="319"/>
      <c r="BG853" s="319"/>
      <c r="BH853" s="319"/>
      <c r="BI853" s="319"/>
      <c r="BJ853" s="319"/>
      <c r="BK853" s="319"/>
      <c r="BL853" s="319"/>
      <c r="BM853" s="319"/>
      <c r="BN853" s="319"/>
      <c r="BO853" s="319"/>
      <c r="BP853" s="319"/>
      <c r="BQ853" s="319"/>
      <c r="BR853" s="319"/>
      <c r="BS853" s="319"/>
      <c r="BT853" s="319"/>
      <c r="BU853" s="319"/>
      <c r="BV853" s="319"/>
      <c r="BW853" s="319"/>
      <c r="BX853" s="319"/>
      <c r="BY853" s="319"/>
      <c r="BZ853" s="319"/>
      <c r="CA853" s="319"/>
      <c r="CB853" s="319"/>
      <c r="CC853" s="319"/>
      <c r="CD853" s="319"/>
      <c r="CE853" s="319"/>
      <c r="CF853" s="319"/>
    </row>
    <row r="854" spans="1:84" ht="12.75" hidden="1" customHeight="1">
      <c r="A854" s="12"/>
      <c r="B854" s="1" t="str">
        <f>Language!C477</f>
        <v>Selecionar sistema de potência para carga base</v>
      </c>
      <c r="C854" s="1133" t="s">
        <v>6162</v>
      </c>
      <c r="D854" s="1135"/>
      <c r="E854" s="1"/>
      <c r="F854" s="1" t="str">
        <f>IF(C854=E1094,V854&amp;" #1",V854&amp;" #2")</f>
        <v>Fotovoltaica #1</v>
      </c>
      <c r="G854" s="1"/>
      <c r="H854" s="1"/>
      <c r="I854" s="1"/>
      <c r="J854" s="1"/>
      <c r="K854" s="9"/>
      <c r="L854" s="1"/>
      <c r="M854" s="319">
        <f>IF(C30=G1073,SUMIF(I1114:I1127,Equip_PowerType,N1114:N1127),SUMIF(I1114:I1127,IF(V854=P1091,C550,Equip_PowerType),N1114:N1127))</f>
        <v>9</v>
      </c>
      <c r="N854" s="319"/>
      <c r="O854" s="319" t="s">
        <v>4492</v>
      </c>
      <c r="P854" s="319"/>
      <c r="Q854" s="319"/>
      <c r="R854" s="319"/>
      <c r="S854" s="319"/>
      <c r="T854" s="319"/>
      <c r="U854" s="319"/>
      <c r="V854" s="319" t="str">
        <f>IF(C854=E1094,HideCodeES_OPS2,IF(C854=E1095,P1092,"-"))</f>
        <v>Fotovoltaica</v>
      </c>
      <c r="W854" s="319"/>
      <c r="X854" s="319"/>
      <c r="Y854" s="319"/>
      <c r="Z854" s="319"/>
      <c r="AA854" s="319"/>
      <c r="AB854" s="319"/>
      <c r="AC854" s="319"/>
      <c r="AD854" s="319"/>
      <c r="AE854" s="319"/>
      <c r="AF854" s="319"/>
      <c r="AG854" s="319"/>
      <c r="AH854" s="319"/>
      <c r="AI854" s="319"/>
      <c r="AJ854" s="319"/>
      <c r="AK854" s="319"/>
      <c r="AL854" s="319"/>
      <c r="AM854" s="319"/>
      <c r="AN854" s="319"/>
      <c r="AO854" s="319">
        <v>3000028</v>
      </c>
      <c r="AP854" s="319"/>
      <c r="AQ854" s="319"/>
      <c r="AR854" s="319"/>
      <c r="AS854" s="319"/>
      <c r="AT854" s="319"/>
      <c r="AU854" s="319"/>
      <c r="AV854" s="319"/>
      <c r="AW854" s="319"/>
      <c r="AX854" s="319"/>
      <c r="AY854" s="319"/>
      <c r="AZ854" s="319"/>
      <c r="BA854" s="319"/>
      <c r="BB854" s="319"/>
      <c r="BC854" s="319"/>
      <c r="BD854" s="319"/>
      <c r="BE854" s="319"/>
      <c r="BF854" s="319"/>
      <c r="BG854" s="319"/>
      <c r="BH854" s="319"/>
      <c r="BI854" s="319"/>
      <c r="BJ854" s="319"/>
      <c r="BK854" s="319"/>
      <c r="BL854" s="319"/>
      <c r="BM854" s="319"/>
      <c r="BN854" s="319"/>
      <c r="BO854" s="319"/>
      <c r="BP854" s="319"/>
      <c r="BQ854" s="319"/>
      <c r="BR854" s="319"/>
      <c r="BS854" s="319"/>
      <c r="BT854" s="319"/>
      <c r="BU854" s="319"/>
      <c r="BV854" s="319"/>
      <c r="BW854" s="319"/>
      <c r="BX854" s="319"/>
      <c r="BY854" s="319"/>
      <c r="BZ854" s="319"/>
      <c r="CA854" s="319"/>
      <c r="CB854" s="319"/>
      <c r="CC854" s="319"/>
      <c r="CD854" s="319"/>
      <c r="CE854" s="319"/>
      <c r="CF854" s="319"/>
    </row>
    <row r="855" spans="1:84" ht="12.75" hidden="1" customHeight="1">
      <c r="A855" s="12"/>
      <c r="B855" s="1"/>
      <c r="C855" s="1"/>
      <c r="D855" s="1"/>
      <c r="E855" s="1"/>
      <c r="F855" s="1"/>
      <c r="G855" s="1"/>
      <c r="H855" s="1"/>
      <c r="I855" s="1"/>
      <c r="J855" s="1"/>
      <c r="K855" s="9"/>
      <c r="L855" s="1"/>
      <c r="M855" s="319"/>
      <c r="N855" s="319"/>
      <c r="O855" s="319"/>
      <c r="P855" s="319"/>
      <c r="Q855" s="319"/>
      <c r="R855" s="319"/>
      <c r="S855" s="319"/>
      <c r="T855" s="319"/>
      <c r="U855" s="319"/>
      <c r="V855" s="319"/>
      <c r="W855" s="319"/>
      <c r="X855" s="319"/>
      <c r="Y855" s="319"/>
      <c r="Z855" s="319"/>
      <c r="AA855" s="319"/>
      <c r="AB855" s="319"/>
      <c r="AC855" s="319"/>
      <c r="AD855" s="319"/>
      <c r="AE855" s="319"/>
      <c r="AF855" s="319"/>
      <c r="AG855" s="319"/>
      <c r="AH855" s="319"/>
      <c r="AI855" s="319"/>
      <c r="AJ855" s="319"/>
      <c r="AK855" s="319"/>
      <c r="AL855" s="319"/>
      <c r="AM855" s="319"/>
      <c r="AN855" s="319"/>
      <c r="AO855" s="319">
        <v>3000000</v>
      </c>
      <c r="AP855" s="319"/>
      <c r="AQ855" s="319"/>
      <c r="AR855" s="319"/>
      <c r="AS855" s="319"/>
      <c r="AT855" s="319"/>
      <c r="AU855" s="319"/>
      <c r="AV855" s="319"/>
      <c r="AW855" s="319"/>
      <c r="AX855" s="319"/>
      <c r="AY855" s="319"/>
      <c r="AZ855" s="319"/>
      <c r="BA855" s="319"/>
      <c r="BB855" s="319"/>
      <c r="BC855" s="319"/>
      <c r="BD855" s="319"/>
      <c r="BE855" s="319"/>
      <c r="BF855" s="319"/>
      <c r="BG855" s="319"/>
      <c r="BH855" s="319"/>
      <c r="BI855" s="319"/>
      <c r="BJ855" s="319"/>
      <c r="BK855" s="319"/>
      <c r="BL855" s="319"/>
      <c r="BM855" s="319"/>
      <c r="BN855" s="319"/>
      <c r="BO855" s="319"/>
      <c r="BP855" s="319"/>
      <c r="BQ855" s="319"/>
      <c r="BR855" s="319"/>
      <c r="BS855" s="319"/>
      <c r="BT855" s="319"/>
      <c r="BU855" s="319"/>
      <c r="BV855" s="319"/>
      <c r="BW855" s="319"/>
      <c r="BX855" s="319"/>
      <c r="BY855" s="319"/>
      <c r="BZ855" s="319"/>
      <c r="CA855" s="319"/>
      <c r="CB855" s="319"/>
      <c r="CC855" s="319"/>
      <c r="CD855" s="319"/>
      <c r="CE855" s="319"/>
      <c r="CF855" s="319"/>
    </row>
    <row r="856" spans="1:84" ht="12.75" hidden="1" customHeight="1">
      <c r="A856" s="12"/>
      <c r="B856" s="1" t="str">
        <f>Language!$C$478</f>
        <v>Selecionar estratégia de operação</v>
      </c>
      <c r="C856" s="1133" t="s">
        <v>6164</v>
      </c>
      <c r="D856" s="1134"/>
      <c r="E856" s="1135"/>
      <c r="F856" s="1"/>
      <c r="G856" s="1"/>
      <c r="H856" s="1"/>
      <c r="I856" s="1"/>
      <c r="J856" s="1"/>
      <c r="K856" s="788" t="str">
        <f>IF(EM_gridtype=5,IF(J1107+J1108&gt;0,G1084,""),IF(AND(EM_gridtype=3,E1123+F1123&gt;'Carga e Rede'!D218),G1085,IF(AND(EM_gridtype=4,E1123+F1123&gt;'Carga e Rede'!D218),G1085,"")))</f>
        <v/>
      </c>
      <c r="L856" s="1"/>
      <c r="M856" s="319"/>
      <c r="N856" s="319">
        <f>IF(P856="",1,SUMIF($B$819:$B$821,$P$856,N819:N821))</f>
        <v>1</v>
      </c>
      <c r="O856" s="319"/>
      <c r="P856" s="319" t="str">
        <f>IF(O852=1,R1087,C856)</f>
        <v>Potência elétr.máx.de saída</v>
      </c>
      <c r="Q856" s="319"/>
      <c r="R856" s="319">
        <f>SUMIF($N$819:$N$821,$N$856,D819:D821)</f>
        <v>0</v>
      </c>
      <c r="S856" s="319">
        <f>SUMIF($N$819:$N$821,$N$856,E819:E821)</f>
        <v>5.3903325633948667</v>
      </c>
      <c r="T856" s="319">
        <f>SUMIF($N$819:$N$821,$N$856,F819:F821)</f>
        <v>0</v>
      </c>
      <c r="U856" s="319">
        <f>SUMIF($N$819:$N$821,$N$856,P819:P821)</f>
        <v>0</v>
      </c>
      <c r="V856" s="319">
        <f>SUMIF($N$819:$N$821,$N$856,Q819:Q821)</f>
        <v>0</v>
      </c>
      <c r="W856" s="319">
        <f>SUMIF($N$819:$N$821,$N$856,R819:R821)</f>
        <v>0</v>
      </c>
      <c r="X856" s="319" t="e">
        <f>SUMIF($N$819:$N$821,$N$856,J819:J821)</f>
        <v>#DIV/0!</v>
      </c>
      <c r="Y856" s="319"/>
      <c r="Z856" s="319">
        <f>SUMIF($N$819:$N$821,$N$856,K819:K821)</f>
        <v>0</v>
      </c>
      <c r="AA856" s="319"/>
      <c r="AB856" s="319"/>
      <c r="AC856" s="319"/>
      <c r="AD856" s="319"/>
      <c r="AE856" s="319"/>
      <c r="AF856" s="319"/>
      <c r="AG856" s="319"/>
      <c r="AH856" s="319"/>
      <c r="AI856" s="319"/>
      <c r="AJ856" s="319"/>
      <c r="AK856" s="319"/>
      <c r="AL856" s="319"/>
      <c r="AM856" s="319"/>
      <c r="AN856" s="319"/>
      <c r="AO856" s="319">
        <v>3000030</v>
      </c>
      <c r="AP856" s="319"/>
      <c r="AQ856" s="319"/>
      <c r="AR856" s="319"/>
      <c r="AS856" s="319"/>
      <c r="AT856" s="319"/>
      <c r="AU856" s="319"/>
      <c r="AV856" s="319"/>
      <c r="AW856" s="319"/>
      <c r="AX856" s="319"/>
      <c r="AY856" s="319"/>
      <c r="AZ856" s="319"/>
      <c r="BA856" s="319"/>
      <c r="BB856" s="319"/>
      <c r="BC856" s="319"/>
      <c r="BD856" s="319"/>
      <c r="BE856" s="319"/>
      <c r="BF856" s="319"/>
      <c r="BG856" s="319"/>
      <c r="BH856" s="319"/>
      <c r="BI856" s="319"/>
      <c r="BJ856" s="319"/>
      <c r="BK856" s="319"/>
      <c r="BL856" s="319"/>
      <c r="BM856" s="319"/>
      <c r="BN856" s="319"/>
      <c r="BO856" s="319"/>
      <c r="BP856" s="319"/>
      <c r="BQ856" s="319"/>
      <c r="BR856" s="319"/>
      <c r="BS856" s="319"/>
      <c r="BT856" s="319"/>
      <c r="BU856" s="319"/>
      <c r="BV856" s="319"/>
      <c r="BW856" s="319"/>
      <c r="BX856" s="319"/>
      <c r="BY856" s="319"/>
      <c r="BZ856" s="319"/>
      <c r="CA856" s="319"/>
      <c r="CB856" s="319"/>
      <c r="CC856" s="319"/>
      <c r="CD856" s="319"/>
      <c r="CE856" s="319"/>
      <c r="CF856" s="319"/>
    </row>
    <row r="857" spans="1:84" ht="12.75" hidden="1" customHeight="1">
      <c r="A857" s="12"/>
      <c r="B857" s="1" t="str">
        <f>Language!$C$478</f>
        <v>Selecionar estratégia de operação</v>
      </c>
      <c r="C857" s="1133" t="s">
        <v>6164</v>
      </c>
      <c r="D857" s="1134"/>
      <c r="E857" s="1135"/>
      <c r="F857" s="1"/>
      <c r="G857" s="1"/>
      <c r="H857" s="1"/>
      <c r="I857" s="1"/>
      <c r="J857" s="1"/>
      <c r="K857" s="788" t="str">
        <f>$K$856</f>
        <v/>
      </c>
      <c r="L857" s="1"/>
      <c r="M857" s="319"/>
      <c r="N857" s="319">
        <f>IF(OR(C857="",O852=1),101,SUMIF($B$825:$B$826,$C$857,$N$825:$N$826))</f>
        <v>101</v>
      </c>
      <c r="O857" s="319"/>
      <c r="P857" s="319" t="str">
        <f>IF(N857=101,B825,B826)</f>
        <v>Potência elétr.máx.de saída</v>
      </c>
      <c r="Q857" s="319"/>
      <c r="R857" s="319">
        <f>SUMIF($N$825:$N$826,$N$857,D825:D826)</f>
        <v>0</v>
      </c>
      <c r="S857" s="319">
        <f>SUMIF($N$825:$N$826,$N$857,E825:E826)</f>
        <v>5.3903325633948667</v>
      </c>
      <c r="T857" s="319">
        <f>SUMIF($N$825:$N$826,$N$857,F825:F826)</f>
        <v>0</v>
      </c>
      <c r="U857" s="319">
        <f>SUMIF($N$825:$N$826,$N$857,G825:G826)</f>
        <v>0</v>
      </c>
      <c r="V857" s="319">
        <f>SUMIF($N$825:$N$826,$N$857,H825:H826)</f>
        <v>0</v>
      </c>
      <c r="W857" s="319">
        <f>SUMIF($N$825:$N$826,$N$857,R825:R826)</f>
        <v>0</v>
      </c>
      <c r="X857" s="319">
        <f>SUMIF($N$825:$N$826,$N$857,J825:J826)</f>
        <v>1078.0665126789729</v>
      </c>
      <c r="Y857" s="319"/>
      <c r="Z857" s="319">
        <f>SUMIF($N$825:$N$826,$N$857,K825:K826)</f>
        <v>0</v>
      </c>
      <c r="AA857" s="319"/>
      <c r="AB857" s="319"/>
      <c r="AC857" s="319"/>
      <c r="AD857" s="319"/>
      <c r="AE857" s="319"/>
      <c r="AF857" s="319"/>
      <c r="AG857" s="319"/>
      <c r="AH857" s="319"/>
      <c r="AI857" s="319"/>
      <c r="AJ857" s="319"/>
      <c r="AK857" s="319"/>
      <c r="AL857" s="319"/>
      <c r="AM857" s="319"/>
      <c r="AN857" s="319"/>
      <c r="AO857" s="319">
        <v>3000030</v>
      </c>
      <c r="AP857" s="319"/>
      <c r="AQ857" s="319"/>
      <c r="AR857" s="319"/>
      <c r="AS857" s="319"/>
      <c r="AT857" s="319"/>
      <c r="AU857" s="319"/>
      <c r="AV857" s="319"/>
      <c r="AW857" s="319"/>
      <c r="AX857" s="319"/>
      <c r="AY857" s="319"/>
      <c r="AZ857" s="319"/>
      <c r="BA857" s="319"/>
      <c r="BB857" s="319"/>
      <c r="BC857" s="319"/>
      <c r="BD857" s="319"/>
      <c r="BE857" s="319"/>
      <c r="BF857" s="319"/>
      <c r="BG857" s="319"/>
      <c r="BH857" s="319"/>
      <c r="BI857" s="319"/>
      <c r="BJ857" s="319"/>
      <c r="BK857" s="319"/>
      <c r="BL857" s="319"/>
      <c r="BM857" s="319"/>
      <c r="BN857" s="319"/>
      <c r="BO857" s="319"/>
      <c r="BP857" s="319"/>
      <c r="BQ857" s="319"/>
      <c r="BR857" s="319"/>
      <c r="BS857" s="319"/>
      <c r="BT857" s="319"/>
      <c r="BU857" s="319"/>
      <c r="BV857" s="319"/>
      <c r="BW857" s="319"/>
      <c r="BX857" s="319"/>
      <c r="BY857" s="319"/>
      <c r="BZ857" s="319"/>
      <c r="CA857" s="319"/>
      <c r="CB857" s="319"/>
      <c r="CC857" s="319"/>
      <c r="CD857" s="319"/>
      <c r="CE857" s="319"/>
      <c r="CF857" s="319"/>
    </row>
    <row r="858" spans="1:84" ht="12.75" hidden="1" customHeight="1">
      <c r="A858" s="12"/>
      <c r="B858" s="1" t="str">
        <f>Language!$C$478</f>
        <v>Selecionar estratégia de operação</v>
      </c>
      <c r="C858" s="1133" t="s">
        <v>6168</v>
      </c>
      <c r="D858" s="1134"/>
      <c r="E858" s="1135"/>
      <c r="F858" s="1"/>
      <c r="G858" s="1"/>
      <c r="H858" s="1"/>
      <c r="I858" s="1"/>
      <c r="J858" s="1"/>
      <c r="K858" s="788" t="str">
        <f>$K$856</f>
        <v/>
      </c>
      <c r="L858" s="1"/>
      <c r="M858" s="319"/>
      <c r="N858" s="319">
        <f>IF(P858="",4,SUMIF($B$830:$B$834,$P$858,$N$830:$N$834))</f>
        <v>4</v>
      </c>
      <c r="O858" s="319" t="str">
        <f>I1117</f>
        <v>Turbina à vapor</v>
      </c>
      <c r="P858" s="319" t="str">
        <f>IF(O852=1,B830,C858)</f>
        <v>Potência elétrica máxima - sem extração</v>
      </c>
      <c r="Q858" s="319"/>
      <c r="R858" s="319" t="e">
        <f>SUMIF($N$830:$N$834,$N$858,D830:D834)</f>
        <v>#DIV/0!</v>
      </c>
      <c r="S858" s="319" t="e">
        <f>SUMIF($N$830:$N$834,$N$858,E830:E834)</f>
        <v>#DIV/0!</v>
      </c>
      <c r="T858" s="319" t="e">
        <f>SUMIF($N$830:$N$834,$N$858,F830:F834)</f>
        <v>#DIV/0!</v>
      </c>
      <c r="U858" s="319">
        <f>SUMIF($N$830:$N$834,$N$858,P830:P834)</f>
        <v>0</v>
      </c>
      <c r="V858" s="319">
        <f>SUMIF($N$830:$N$834,$N$858,Q830:Q834)</f>
        <v>0</v>
      </c>
      <c r="W858" s="319">
        <f>SUMIF($N$830:$N$834,$N$858,R830:R834)</f>
        <v>0</v>
      </c>
      <c r="X858" s="319" t="e">
        <f>SUMIF($N$830:$N$834,$N$858,J830:J834)</f>
        <v>#DIV/0!</v>
      </c>
      <c r="Y858" s="319"/>
      <c r="Z858" s="319">
        <f>SUMIF($N$830:$N$834,$N$858,K830:K834)</f>
        <v>0</v>
      </c>
      <c r="AA858" s="319"/>
      <c r="AB858" s="319"/>
      <c r="AC858" s="319"/>
      <c r="AD858" s="319"/>
      <c r="AE858" s="319"/>
      <c r="AF858" s="319"/>
      <c r="AG858" s="319"/>
      <c r="AH858" s="319"/>
      <c r="AI858" s="319"/>
      <c r="AJ858" s="319"/>
      <c r="AK858" s="319"/>
      <c r="AL858" s="319"/>
      <c r="AM858" s="319"/>
      <c r="AN858" s="319"/>
      <c r="AO858" s="319">
        <v>3000030</v>
      </c>
      <c r="AP858" s="319"/>
      <c r="AQ858" s="319"/>
      <c r="AR858" s="319"/>
      <c r="AS858" s="319"/>
      <c r="AT858" s="319"/>
      <c r="AU858" s="319"/>
      <c r="AV858" s="319"/>
      <c r="AW858" s="319"/>
      <c r="AX858" s="319"/>
      <c r="AY858" s="319"/>
      <c r="AZ858" s="319"/>
      <c r="BA858" s="319"/>
      <c r="BB858" s="319"/>
      <c r="BC858" s="319"/>
      <c r="BD858" s="319"/>
      <c r="BE858" s="319"/>
      <c r="BF858" s="319"/>
      <c r="BG858" s="319"/>
      <c r="BH858" s="319"/>
      <c r="BI858" s="319"/>
      <c r="BJ858" s="319"/>
      <c r="BK858" s="319"/>
      <c r="BL858" s="319"/>
      <c r="BM858" s="319"/>
      <c r="BN858" s="319"/>
      <c r="BO858" s="319"/>
      <c r="BP858" s="319"/>
      <c r="BQ858" s="319"/>
      <c r="BR858" s="319"/>
      <c r="BS858" s="319"/>
      <c r="BT858" s="319"/>
      <c r="BU858" s="319"/>
      <c r="BV858" s="319"/>
      <c r="BW858" s="319"/>
      <c r="BX858" s="319"/>
      <c r="BY858" s="319"/>
      <c r="BZ858" s="319"/>
      <c r="CA858" s="319"/>
      <c r="CB858" s="319"/>
      <c r="CC858" s="319"/>
      <c r="CD858" s="319"/>
      <c r="CE858" s="319"/>
      <c r="CF858" s="319"/>
    </row>
    <row r="859" spans="1:84" ht="12.75" hidden="1" customHeight="1">
      <c r="A859" s="12"/>
      <c r="B859" s="1" t="str">
        <f>Language!$C$478</f>
        <v>Selecionar estratégia de operação</v>
      </c>
      <c r="C859" s="1133" t="s">
        <v>6168</v>
      </c>
      <c r="D859" s="1134"/>
      <c r="E859" s="1135"/>
      <c r="F859" s="1"/>
      <c r="G859" s="1"/>
      <c r="H859" s="1"/>
      <c r="I859" s="1"/>
      <c r="J859" s="1"/>
      <c r="K859" s="788" t="str">
        <f>$K$856</f>
        <v/>
      </c>
      <c r="L859" s="1"/>
      <c r="M859" s="319"/>
      <c r="N859" s="319">
        <f>IF(P859="",4,SUMIF($B$838:$B$839,$P$859,N838:N839))</f>
        <v>104</v>
      </c>
      <c r="O859" s="319"/>
      <c r="P859" s="319" t="str">
        <f>IF(O852=1,B838,C859)</f>
        <v>Potência elétrica máxima - sem extração</v>
      </c>
      <c r="Q859" s="319"/>
      <c r="R859" s="319" t="e">
        <f>SUMIF($N$838:$N$839,$N$859,D838:D839)</f>
        <v>#DIV/0!</v>
      </c>
      <c r="S859" s="319" t="e">
        <f>SUMIF($N$838:$N$839,$N$859,E838:E839)</f>
        <v>#DIV/0!</v>
      </c>
      <c r="T859" s="319" t="e">
        <f>SUMIF($N$838:$N$839,$N$859,F838:F839)</f>
        <v>#DIV/0!</v>
      </c>
      <c r="U859" s="319">
        <f>SUMIF($N$838:$N$839,$N$859,G838:G839)</f>
        <v>0</v>
      </c>
      <c r="V859" s="319">
        <f>SUMIF($N$838:$N$839,$N$859,H838:H839)</f>
        <v>0</v>
      </c>
      <c r="W859" s="319">
        <f>SUMIF($N$838:$N$839,$N$859,R838:R839)</f>
        <v>0</v>
      </c>
      <c r="X859" s="319" t="e">
        <f>SUMIF($N$838:$N$839,$N$859,J838:J839)</f>
        <v>#DIV/0!</v>
      </c>
      <c r="Y859" s="319"/>
      <c r="Z859" s="319">
        <f>SUMIF($N$838:$N$839,$N$859,K838:K839)</f>
        <v>0</v>
      </c>
      <c r="AA859" s="319"/>
      <c r="AB859" s="319"/>
      <c r="AC859" s="319"/>
      <c r="AD859" s="319"/>
      <c r="AE859" s="319"/>
      <c r="AF859" s="319"/>
      <c r="AG859" s="319"/>
      <c r="AH859" s="319"/>
      <c r="AI859" s="319"/>
      <c r="AJ859" s="319"/>
      <c r="AK859" s="319"/>
      <c r="AL859" s="319"/>
      <c r="AM859" s="319"/>
      <c r="AN859" s="319"/>
      <c r="AO859" s="319">
        <v>3000030</v>
      </c>
      <c r="AP859" s="319"/>
      <c r="AQ859" s="319"/>
      <c r="AR859" s="319"/>
      <c r="AS859" s="319"/>
      <c r="AT859" s="319"/>
      <c r="AU859" s="319"/>
      <c r="AV859" s="319"/>
      <c r="AW859" s="319"/>
      <c r="AX859" s="319"/>
      <c r="AY859" s="319"/>
      <c r="AZ859" s="319"/>
      <c r="BA859" s="319"/>
      <c r="BB859" s="319"/>
      <c r="BC859" s="319"/>
      <c r="BD859" s="319"/>
      <c r="BE859" s="319"/>
      <c r="BF859" s="319"/>
      <c r="BG859" s="319"/>
      <c r="BH859" s="319"/>
      <c r="BI859" s="319"/>
      <c r="BJ859" s="319"/>
      <c r="BK859" s="319"/>
      <c r="BL859" s="319"/>
      <c r="BM859" s="319"/>
      <c r="BN859" s="319"/>
      <c r="BO859" s="319"/>
      <c r="BP859" s="319"/>
      <c r="BQ859" s="319"/>
      <c r="BR859" s="319"/>
      <c r="BS859" s="319"/>
      <c r="BT859" s="319"/>
      <c r="BU859" s="319"/>
      <c r="BV859" s="319"/>
      <c r="BW859" s="319"/>
      <c r="BX859" s="319"/>
      <c r="BY859" s="319"/>
      <c r="BZ859" s="319"/>
      <c r="CA859" s="319"/>
      <c r="CB859" s="319"/>
      <c r="CC859" s="319"/>
      <c r="CD859" s="319"/>
      <c r="CE859" s="319"/>
      <c r="CF859" s="319"/>
    </row>
    <row r="860" spans="1:84" ht="12.75" hidden="1" customHeight="1">
      <c r="A860" s="12"/>
      <c r="B860" s="1" t="str">
        <f>Language!$C$478</f>
        <v>Selecionar estratégia de operação</v>
      </c>
      <c r="C860" s="1133" t="s">
        <v>6168</v>
      </c>
      <c r="D860" s="1134"/>
      <c r="E860" s="1135"/>
      <c r="F860" s="1"/>
      <c r="G860" s="1"/>
      <c r="H860" s="1"/>
      <c r="I860" s="1"/>
      <c r="J860" s="1"/>
      <c r="K860" s="788" t="str">
        <f>$K$856</f>
        <v/>
      </c>
      <c r="L860" s="1"/>
      <c r="M860" s="319"/>
      <c r="N860" s="319">
        <f>IF(P860="",11,SUMIF($B$843:$B$846,$P$860,$N$843:$N$846))</f>
        <v>11</v>
      </c>
      <c r="O860" s="319" t="str">
        <f>I1116</f>
        <v>Turbina à gas-ciclo combinado</v>
      </c>
      <c r="P860" s="319" t="str">
        <f>IF(O852=1,B843,C860)</f>
        <v>Potência elétrica máxima - sem extração</v>
      </c>
      <c r="Q860" s="319"/>
      <c r="R860" s="319" t="e">
        <f>SUMIF($N$843:$N$846,$N$860,D843:D846)</f>
        <v>#DIV/0!</v>
      </c>
      <c r="S860" s="319" t="e">
        <f>SUMIF($N$843:$N$846,$N$860,E843:E846)</f>
        <v>#DIV/0!</v>
      </c>
      <c r="T860" s="319" t="e">
        <f>SUMIF($N$843:$N$846,$N$860,F843:F846)</f>
        <v>#DIV/0!</v>
      </c>
      <c r="U860" s="319">
        <f>SUMIF($N$843:$N$846,$N$860,P843:P846)</f>
        <v>0</v>
      </c>
      <c r="V860" s="319">
        <f>SUMIF($N$843:$N$846,$N$860,Q843:Q846)</f>
        <v>0</v>
      </c>
      <c r="W860" s="319">
        <f>SUMIF($N$843:$N$846,$N$860,R843:R846)</f>
        <v>0</v>
      </c>
      <c r="X860" s="319" t="e">
        <f>SUMIF($N$843:$N$846,$N$860,J843:J846)</f>
        <v>#DIV/0!</v>
      </c>
      <c r="Y860" s="319"/>
      <c r="Z860" s="319">
        <f>SUMIF($N$843:$N$846,$N$860,L843:L846)</f>
        <v>0</v>
      </c>
      <c r="AA860" s="319"/>
      <c r="AB860" s="319"/>
      <c r="AC860" s="319"/>
      <c r="AD860" s="319"/>
      <c r="AE860" s="319"/>
      <c r="AF860" s="319"/>
      <c r="AG860" s="319"/>
      <c r="AH860" s="319"/>
      <c r="AI860" s="319"/>
      <c r="AJ860" s="319"/>
      <c r="AK860" s="319"/>
      <c r="AL860" s="319"/>
      <c r="AM860" s="319"/>
      <c r="AN860" s="319"/>
      <c r="AO860" s="319">
        <v>3000030</v>
      </c>
      <c r="AP860" s="319"/>
      <c r="AQ860" s="319"/>
      <c r="AR860" s="319"/>
      <c r="AS860" s="319"/>
      <c r="AT860" s="319"/>
      <c r="AU860" s="319"/>
      <c r="AV860" s="319"/>
      <c r="AW860" s="319"/>
      <c r="AX860" s="319"/>
      <c r="AY860" s="319"/>
      <c r="AZ860" s="319"/>
      <c r="BA860" s="319"/>
      <c r="BB860" s="319"/>
      <c r="BC860" s="319"/>
      <c r="BD860" s="319"/>
      <c r="BE860" s="319"/>
      <c r="BF860" s="319"/>
      <c r="BG860" s="319"/>
      <c r="BH860" s="319"/>
      <c r="BI860" s="319"/>
      <c r="BJ860" s="319"/>
      <c r="BK860" s="319"/>
      <c r="BL860" s="319"/>
      <c r="BM860" s="319"/>
      <c r="BN860" s="319"/>
      <c r="BO860" s="319"/>
      <c r="BP860" s="319"/>
      <c r="BQ860" s="319"/>
      <c r="BR860" s="319"/>
      <c r="BS860" s="319"/>
      <c r="BT860" s="319"/>
      <c r="BU860" s="319"/>
      <c r="BV860" s="319"/>
      <c r="BW860" s="319"/>
      <c r="BX860" s="319"/>
      <c r="BY860" s="319"/>
      <c r="BZ860" s="319"/>
      <c r="CA860" s="319"/>
      <c r="CB860" s="319"/>
      <c r="CC860" s="319"/>
      <c r="CD860" s="319"/>
      <c r="CE860" s="319"/>
      <c r="CF860" s="319"/>
    </row>
    <row r="861" spans="1:84" ht="12.75" hidden="1" customHeight="1">
      <c r="A861" s="12"/>
      <c r="B861" s="1" t="str">
        <f>Language!$C$478</f>
        <v>Selecionar estratégia de operação</v>
      </c>
      <c r="C861" s="1133" t="s">
        <v>6164</v>
      </c>
      <c r="D861" s="1134"/>
      <c r="E861" s="1135"/>
      <c r="F861" s="1"/>
      <c r="G861" s="1"/>
      <c r="H861" s="1"/>
      <c r="I861" s="1"/>
      <c r="J861" s="1"/>
      <c r="K861" s="788" t="str">
        <f>$K$856</f>
        <v/>
      </c>
      <c r="L861" s="1"/>
      <c r="M861" s="319"/>
      <c r="N861" s="319">
        <f>IF(OR(P861="",O852=1),111,SUMIF(B850:B851,$P$861,$N$850:$N$851))</f>
        <v>111</v>
      </c>
      <c r="O861" s="319"/>
      <c r="P861" s="319" t="str">
        <f>IF(O852=1,B850,C861)</f>
        <v>Potência elétr.máx.de saída</v>
      </c>
      <c r="Q861" s="319"/>
      <c r="R861" s="319" t="e">
        <f>SUMIF($N$850:$N$851,$N$861,D850:D851)</f>
        <v>#DIV/0!</v>
      </c>
      <c r="S861" s="319" t="e">
        <f>SUMIF($N$850:$N$851,$N$861,E850:E851)</f>
        <v>#DIV/0!</v>
      </c>
      <c r="T861" s="319" t="e">
        <f>SUMIF($N$850:$N$851,$N$861,F850:F851)</f>
        <v>#DIV/0!</v>
      </c>
      <c r="U861" s="319">
        <f>SUMIF($N$850:$N$851,$N$861,G850:G851)</f>
        <v>0</v>
      </c>
      <c r="V861" s="319">
        <f>SUMIF($N$850:$N$851,$N$861,H850:H851)</f>
        <v>0</v>
      </c>
      <c r="W861" s="319">
        <f>SUMIF($N$850:$N$851,$N$861,R850:R851)</f>
        <v>0</v>
      </c>
      <c r="X861" s="319" t="e">
        <f>SUMIF($N$850:$N$851,$N$861,J850:J851)</f>
        <v>#DIV/0!</v>
      </c>
      <c r="Y861" s="319"/>
      <c r="Z861" s="319">
        <f>SUMIF($N$850:$N$851,$N$861,K850:K851)</f>
        <v>0</v>
      </c>
      <c r="AA861" s="319"/>
      <c r="AB861" s="319"/>
      <c r="AC861" s="319"/>
      <c r="AD861" s="319"/>
      <c r="AE861" s="319"/>
      <c r="AF861" s="319"/>
      <c r="AG861" s="319"/>
      <c r="AH861" s="319"/>
      <c r="AI861" s="319"/>
      <c r="AJ861" s="319"/>
      <c r="AK861" s="319"/>
      <c r="AL861" s="319"/>
      <c r="AM861" s="319"/>
      <c r="AN861" s="319"/>
      <c r="AO861" s="319">
        <v>3000030</v>
      </c>
      <c r="AP861" s="319"/>
      <c r="AQ861" s="319"/>
      <c r="AR861" s="319"/>
      <c r="AS861" s="319"/>
      <c r="AT861" s="319"/>
      <c r="AU861" s="319"/>
      <c r="AV861" s="319"/>
      <c r="AW861" s="319"/>
      <c r="AX861" s="319"/>
      <c r="AY861" s="319"/>
      <c r="AZ861" s="319"/>
      <c r="BA861" s="319"/>
      <c r="BB861" s="319"/>
      <c r="BC861" s="319"/>
      <c r="BD861" s="319"/>
      <c r="BE861" s="319"/>
      <c r="BF861" s="319"/>
      <c r="BG861" s="319"/>
      <c r="BH861" s="319"/>
      <c r="BI861" s="319"/>
      <c r="BJ861" s="319"/>
      <c r="BK861" s="319"/>
      <c r="BL861" s="319"/>
      <c r="BM861" s="319"/>
      <c r="BN861" s="319"/>
      <c r="BO861" s="319"/>
      <c r="BP861" s="319"/>
      <c r="BQ861" s="319"/>
      <c r="BR861" s="319"/>
      <c r="BS861" s="319"/>
      <c r="BT861" s="319"/>
      <c r="BU861" s="319"/>
      <c r="BV861" s="319"/>
      <c r="BW861" s="319"/>
      <c r="BX861" s="319"/>
      <c r="BY861" s="319"/>
      <c r="BZ861" s="319"/>
      <c r="CA861" s="319"/>
      <c r="CB861" s="319"/>
      <c r="CC861" s="319"/>
      <c r="CD861" s="319"/>
      <c r="CE861" s="319"/>
      <c r="CF861" s="319"/>
    </row>
    <row r="862" spans="1:84" ht="12.75" hidden="1" customHeight="1">
      <c r="A862" s="14"/>
      <c r="B862" s="15"/>
      <c r="C862" s="15"/>
      <c r="D862" s="15"/>
      <c r="E862" s="15"/>
      <c r="F862" s="15"/>
      <c r="G862" s="15"/>
      <c r="H862" s="15"/>
      <c r="I862" s="15"/>
      <c r="J862" s="15"/>
      <c r="K862" s="11"/>
      <c r="L862" s="1"/>
      <c r="M862" s="319"/>
      <c r="N862" s="319">
        <f>IF(O862=I1116,IF(OR(HideCode_projectType3=2,HideCode_projectType3=5),N861,N860),IF(O862=I1117,IF(OR(HideCode_projectType3=2,HideCode_projectType3=5),N859,N858),IF(OR(HideCode_projectType3=2,HideCode_projectType3=5),N857,N856)))</f>
        <v>101</v>
      </c>
      <c r="O862" s="319" t="str">
        <f>F1122</f>
        <v>Fotovoltaica</v>
      </c>
      <c r="P862" s="319" t="str">
        <f>VLOOKUP(N862,N856:P861,3,FALSE)</f>
        <v>Potência elétr.máx.de saída</v>
      </c>
      <c r="Q862" s="319"/>
      <c r="R862" s="319">
        <f>IF(ISERROR(SUMIF($N$856:$N$861,$N$862,R856:R861)),0,SUMIF($N$856:$N$861,$N$862,R856:R861))</f>
        <v>0</v>
      </c>
      <c r="S862" s="319">
        <f>IF(ISERROR(SUMIF($N$856:$N$861,$N$862,S856:S861)),0,(SUMIF($N$856:$N$861,$N$862,S856:S861)))</f>
        <v>5.3903325633948667</v>
      </c>
      <c r="T862" s="319">
        <f>SUMIF($N$856:$N$861,$N$862,T856:T861)</f>
        <v>0</v>
      </c>
      <c r="U862" s="319">
        <f>SUMIF($N$856:$N$861,$N$862,U856:U861)</f>
        <v>0</v>
      </c>
      <c r="V862" s="319">
        <f>SUMIF($N$856:$N$861,$N$862,V856:V861)</f>
        <v>0</v>
      </c>
      <c r="W862" s="319">
        <f>SUMIF($N$856:$N$861,$N$862,W856:W861)</f>
        <v>0</v>
      </c>
      <c r="X862" s="319">
        <f>SUMIF($N$856:$N$861,$N$862,X856:X861)</f>
        <v>1078.0665126789729</v>
      </c>
      <c r="Y862" s="319"/>
      <c r="Z862" s="319">
        <f>SUMIF($N$856:$N$861,$N$862,Z856:Z861)</f>
        <v>0</v>
      </c>
      <c r="AA862" s="319"/>
      <c r="AB862" s="319"/>
      <c r="AC862" s="319"/>
      <c r="AD862" s="319"/>
      <c r="AE862" s="319"/>
      <c r="AF862" s="319"/>
      <c r="AG862" s="319"/>
      <c r="AH862" s="319"/>
      <c r="AI862" s="319"/>
      <c r="AJ862" s="319"/>
      <c r="AK862" s="319"/>
      <c r="AL862" s="319"/>
      <c r="AM862" s="319"/>
      <c r="AN862" s="319"/>
      <c r="AO862" s="319">
        <v>3000000</v>
      </c>
      <c r="AP862" s="319"/>
      <c r="AQ862" s="319"/>
      <c r="AR862" s="319"/>
      <c r="AS862" s="319"/>
      <c r="AT862" s="319"/>
      <c r="AU862" s="319"/>
      <c r="AV862" s="319"/>
      <c r="AW862" s="319"/>
      <c r="AX862" s="319"/>
      <c r="AY862" s="319"/>
      <c r="AZ862" s="319"/>
      <c r="BA862" s="319"/>
      <c r="BB862" s="319"/>
      <c r="BC862" s="319"/>
      <c r="BD862" s="319"/>
      <c r="BE862" s="319"/>
      <c r="BF862" s="319"/>
      <c r="BG862" s="319"/>
      <c r="BH862" s="319"/>
      <c r="BI862" s="319"/>
      <c r="BJ862" s="319"/>
      <c r="BK862" s="319"/>
      <c r="BL862" s="319"/>
      <c r="BM862" s="319"/>
      <c r="BN862" s="319"/>
      <c r="BO862" s="319"/>
      <c r="BP862" s="319"/>
      <c r="BQ862" s="319"/>
      <c r="BR862" s="319"/>
      <c r="BS862" s="319"/>
      <c r="BT862" s="319"/>
      <c r="BU862" s="319"/>
      <c r="BV862" s="319"/>
      <c r="BW862" s="319"/>
      <c r="BX862" s="319"/>
      <c r="BY862" s="319"/>
      <c r="BZ862" s="319"/>
      <c r="CA862" s="319"/>
      <c r="CB862" s="319"/>
      <c r="CC862" s="319"/>
      <c r="CD862" s="319"/>
      <c r="CE862" s="319"/>
      <c r="CF862" s="319"/>
    </row>
    <row r="863" spans="1:84" ht="12.75" hidden="1" customHeight="1">
      <c r="A863" s="5"/>
      <c r="B863" s="1"/>
      <c r="C863" s="1"/>
      <c r="D863" s="1"/>
      <c r="E863" s="1"/>
      <c r="F863" s="1"/>
      <c r="G863" s="1"/>
      <c r="H863" s="1"/>
      <c r="I863" s="1"/>
      <c r="J863" s="1"/>
      <c r="K863" s="1"/>
      <c r="L863" s="1"/>
      <c r="M863" s="319"/>
      <c r="N863" s="319">
        <f>IF(N862&gt;100,N862-100,N862)</f>
        <v>1</v>
      </c>
      <c r="O863" s="319"/>
      <c r="P863" s="319"/>
      <c r="Q863" s="319"/>
      <c r="R863" s="319"/>
      <c r="S863" s="319"/>
      <c r="T863" s="319"/>
      <c r="U863" s="319"/>
      <c r="V863" s="319"/>
      <c r="W863" s="319"/>
      <c r="X863" s="319"/>
      <c r="Y863" s="319"/>
      <c r="Z863" s="319"/>
      <c r="AA863" s="319"/>
      <c r="AB863" s="319"/>
      <c r="AC863" s="319"/>
      <c r="AD863" s="319"/>
      <c r="AE863" s="319"/>
      <c r="AF863" s="319"/>
      <c r="AG863" s="319"/>
      <c r="AH863" s="319"/>
      <c r="AI863" s="319"/>
      <c r="AJ863" s="319"/>
      <c r="AK863" s="319"/>
      <c r="AL863" s="319"/>
      <c r="AM863" s="319"/>
      <c r="AN863" s="319"/>
      <c r="AO863" s="319">
        <v>2000000</v>
      </c>
      <c r="AP863" s="319"/>
      <c r="AQ863" s="319"/>
      <c r="AR863" s="319"/>
      <c r="AS863" s="319"/>
      <c r="AT863" s="319"/>
      <c r="AU863" s="319"/>
      <c r="AV863" s="319"/>
      <c r="AW863" s="319"/>
      <c r="AX863" s="319"/>
      <c r="AY863" s="319"/>
      <c r="AZ863" s="319"/>
      <c r="BA863" s="319"/>
      <c r="BB863" s="319"/>
      <c r="BC863" s="319"/>
      <c r="BD863" s="319"/>
      <c r="BE863" s="319"/>
      <c r="BF863" s="319"/>
      <c r="BG863" s="319"/>
      <c r="BH863" s="319"/>
      <c r="BI863" s="319"/>
      <c r="BJ863" s="319"/>
      <c r="BK863" s="319"/>
      <c r="BL863" s="319"/>
      <c r="BM863" s="319"/>
      <c r="BN863" s="319"/>
      <c r="BO863" s="319"/>
      <c r="BP863" s="319"/>
      <c r="BQ863" s="319"/>
      <c r="BR863" s="319"/>
      <c r="BS863" s="319"/>
      <c r="BT863" s="319"/>
      <c r="BU863" s="319"/>
      <c r="BV863" s="319"/>
      <c r="BW863" s="319"/>
      <c r="BX863" s="319"/>
      <c r="BY863" s="319"/>
      <c r="BZ863" s="319"/>
      <c r="CA863" s="319"/>
      <c r="CB863" s="319"/>
      <c r="CC863" s="319"/>
      <c r="CD863" s="319"/>
      <c r="CE863" s="319"/>
      <c r="CF863" s="319"/>
    </row>
    <row r="864" spans="1:84" ht="12.75" hidden="1" customHeight="1">
      <c r="A864" s="5"/>
      <c r="B864" s="5"/>
      <c r="C864" s="5"/>
      <c r="D864" s="5"/>
      <c r="E864" s="5"/>
      <c r="F864" s="5"/>
      <c r="G864" s="5"/>
      <c r="H864" s="5"/>
      <c r="I864" s="5"/>
      <c r="J864" s="5"/>
      <c r="K864" s="5"/>
      <c r="L864" s="1"/>
      <c r="M864" s="319"/>
      <c r="N864" s="319"/>
      <c r="O864" s="319"/>
      <c r="P864" s="319"/>
      <c r="Q864" s="319"/>
      <c r="R864" s="319"/>
      <c r="S864" s="319"/>
      <c r="T864" s="319"/>
      <c r="U864" s="319"/>
      <c r="V864" s="319"/>
      <c r="W864" s="319"/>
      <c r="X864" s="319"/>
      <c r="Y864" s="319"/>
      <c r="Z864" s="319"/>
      <c r="AA864" s="319"/>
      <c r="AB864" s="319"/>
      <c r="AC864" s="319"/>
      <c r="AD864" s="319"/>
      <c r="AE864" s="319"/>
      <c r="AF864" s="319"/>
      <c r="AG864" s="319"/>
      <c r="AH864" s="319"/>
      <c r="AI864" s="319"/>
      <c r="AJ864" s="319"/>
      <c r="AK864" s="319"/>
      <c r="AL864" s="319"/>
      <c r="AM864" s="319"/>
      <c r="AN864" s="319"/>
      <c r="AO864" s="319">
        <v>2000000</v>
      </c>
      <c r="AP864" s="319"/>
      <c r="AQ864" s="319"/>
      <c r="AR864" s="319"/>
      <c r="AS864" s="319"/>
      <c r="AT864" s="319"/>
      <c r="AU864" s="319"/>
      <c r="AV864" s="319"/>
      <c r="AW864" s="319"/>
      <c r="AX864" s="319"/>
      <c r="AY864" s="319"/>
      <c r="AZ864" s="319"/>
      <c r="BA864" s="319"/>
      <c r="BB864" s="319"/>
      <c r="BC864" s="319"/>
      <c r="BD864" s="319"/>
      <c r="BE864" s="319"/>
      <c r="BF864" s="319"/>
      <c r="BG864" s="319"/>
      <c r="BH864" s="319"/>
      <c r="BI864" s="319"/>
      <c r="BJ864" s="319"/>
      <c r="BK864" s="319"/>
      <c r="BL864" s="319"/>
      <c r="BM864" s="319"/>
      <c r="BN864" s="319"/>
      <c r="BO864" s="319"/>
      <c r="BP864" s="319"/>
      <c r="BQ864" s="319"/>
      <c r="BR864" s="319"/>
      <c r="BS864" s="319"/>
      <c r="BT864" s="319"/>
      <c r="BU864" s="319"/>
      <c r="BV864" s="319"/>
      <c r="BW864" s="319"/>
      <c r="BX864" s="319"/>
      <c r="BY864" s="319"/>
      <c r="BZ864" s="319"/>
      <c r="CA864" s="319"/>
      <c r="CB864" s="319"/>
      <c r="CC864" s="319"/>
      <c r="CD864" s="319"/>
      <c r="CE864" s="319"/>
      <c r="CF864" s="319"/>
    </row>
    <row r="865" spans="1:84" ht="12.75" hidden="1" customHeight="1">
      <c r="A865" s="1174" t="str">
        <f>Language!C192</f>
        <v>Características do caso proposto</v>
      </c>
      <c r="B865" s="1175"/>
      <c r="C865" s="26" t="str">
        <f>Language!C180</f>
        <v>Unidade</v>
      </c>
      <c r="D865" s="26" t="str">
        <f>Language!C47</f>
        <v>Estimar</v>
      </c>
      <c r="E865" s="26" t="s">
        <v>739</v>
      </c>
      <c r="F865" s="25" t="str">
        <f>F4</f>
        <v>Custo inicial incremental</v>
      </c>
      <c r="G865" s="25"/>
      <c r="H865" s="1260" t="str">
        <f>Language!C193</f>
        <v>Gráfico do Sistema</v>
      </c>
      <c r="I865" s="1261"/>
      <c r="J865" s="1261"/>
      <c r="K865" s="1262"/>
      <c r="L865" s="1"/>
      <c r="M865" s="319"/>
      <c r="N865" s="319"/>
      <c r="O865" s="299"/>
      <c r="P865" s="319" t="str">
        <f>Language!C189</f>
        <v xml:space="preserve">Eletricidade </v>
      </c>
      <c r="Q865" s="319" t="str">
        <f>Language!C190</f>
        <v>Aquecimento</v>
      </c>
      <c r="R865" s="319" t="str">
        <f>Language!C191</f>
        <v>Refrigeração</v>
      </c>
      <c r="S865" s="319"/>
      <c r="T865" s="319"/>
      <c r="U865" s="319"/>
      <c r="V865" s="319"/>
      <c r="W865" s="319"/>
      <c r="X865" s="319"/>
      <c r="Y865" s="319"/>
      <c r="Z865" s="319"/>
      <c r="AA865" s="319"/>
      <c r="AB865" s="319"/>
      <c r="AC865" s="319"/>
      <c r="AD865" s="319"/>
      <c r="AE865" s="319"/>
      <c r="AF865" s="319"/>
      <c r="AG865" s="319"/>
      <c r="AH865" s="319"/>
      <c r="AI865" s="319"/>
      <c r="AJ865" s="319"/>
      <c r="AK865" s="319"/>
      <c r="AL865" s="319"/>
      <c r="AM865" s="319"/>
      <c r="AN865" s="319"/>
      <c r="AO865" s="319">
        <v>3010000</v>
      </c>
      <c r="AP865" s="319"/>
      <c r="AQ865" s="319"/>
      <c r="AR865" s="319"/>
      <c r="AS865" s="319"/>
      <c r="AT865" s="319"/>
      <c r="AU865" s="319"/>
      <c r="AV865" s="319"/>
      <c r="AW865" s="319"/>
      <c r="AX865" s="319"/>
      <c r="AY865" s="319"/>
      <c r="AZ865" s="319"/>
      <c r="BA865" s="319"/>
      <c r="BB865" s="319"/>
      <c r="BC865" s="319"/>
      <c r="BD865" s="319"/>
      <c r="BE865" s="319"/>
      <c r="BF865" s="319"/>
      <c r="BG865" s="319"/>
      <c r="BH865" s="319"/>
      <c r="BI865" s="319"/>
      <c r="BJ865" s="319"/>
      <c r="BK865" s="319"/>
      <c r="BL865" s="319"/>
      <c r="BM865" s="319"/>
      <c r="BN865" s="319"/>
      <c r="BO865" s="319"/>
      <c r="BP865" s="319"/>
      <c r="BQ865" s="319"/>
      <c r="BR865" s="319"/>
      <c r="BS865" s="319"/>
      <c r="BT865" s="319"/>
      <c r="BU865" s="319"/>
      <c r="BV865" s="319"/>
      <c r="BW865" s="319"/>
      <c r="BX865" s="319"/>
      <c r="BY865" s="319"/>
      <c r="BZ865" s="319"/>
      <c r="CA865" s="319"/>
      <c r="CB865" s="319"/>
      <c r="CC865" s="319"/>
      <c r="CD865" s="319"/>
      <c r="CE865" s="319"/>
      <c r="CF865" s="319"/>
    </row>
    <row r="866" spans="1:84" ht="12.75" hidden="1" customHeight="1">
      <c r="A866" s="1170" t="str">
        <f>P865</f>
        <v xml:space="preserve">Eletricidade </v>
      </c>
      <c r="B866" s="1171"/>
      <c r="C866" s="1"/>
      <c r="D866" s="1"/>
      <c r="E866" s="1"/>
      <c r="F866" s="1"/>
      <c r="G866" s="1"/>
      <c r="H866" s="1"/>
      <c r="I866" s="1"/>
      <c r="J866" s="1"/>
      <c r="K866" s="9"/>
      <c r="L866" s="1"/>
      <c r="M866" s="319"/>
      <c r="N866" s="319">
        <f>HideCodeES_PSS</f>
        <v>1</v>
      </c>
      <c r="O866" s="319"/>
      <c r="P866" s="494">
        <f>IF(ISERROR(MAX(D1139:D1151)),0,MAX(D1139:D1151))</f>
        <v>0</v>
      </c>
      <c r="Q866" s="494">
        <f>MAX(E1139:E1151)</f>
        <v>0</v>
      </c>
      <c r="R866" s="494">
        <f>'Carga e Rede'!O244</f>
        <v>0</v>
      </c>
      <c r="S866" s="319"/>
      <c r="T866" s="319"/>
      <c r="U866" s="319"/>
      <c r="V866" s="319"/>
      <c r="W866" s="319"/>
      <c r="X866" s="319"/>
      <c r="Y866" s="319"/>
      <c r="Z866" s="319"/>
      <c r="AA866" s="319"/>
      <c r="AB866" s="319"/>
      <c r="AC866" s="319"/>
      <c r="AD866" s="319"/>
      <c r="AE866" s="319"/>
      <c r="AF866" s="319"/>
      <c r="AG866" s="319"/>
      <c r="AH866" s="319"/>
      <c r="AI866" s="319"/>
      <c r="AJ866" s="319"/>
      <c r="AK866" s="319"/>
      <c r="AL866" s="319"/>
      <c r="AM866" s="319"/>
      <c r="AN866" s="319"/>
      <c r="AO866" s="319">
        <v>3011000</v>
      </c>
      <c r="AP866" s="319"/>
      <c r="AQ866" s="319"/>
      <c r="AR866" s="319"/>
      <c r="AS866" s="319"/>
      <c r="AT866" s="319"/>
      <c r="AU866" s="319"/>
      <c r="AV866" s="319"/>
      <c r="AW866" s="319"/>
      <c r="AX866" s="319"/>
      <c r="AY866" s="319"/>
      <c r="AZ866" s="319"/>
      <c r="BA866" s="319"/>
      <c r="BB866" s="319"/>
      <c r="BC866" s="319"/>
      <c r="BD866" s="319"/>
      <c r="BE866" s="319"/>
      <c r="BF866" s="319"/>
      <c r="BG866" s="319"/>
      <c r="BH866" s="319"/>
      <c r="BI866" s="319"/>
      <c r="BJ866" s="319"/>
      <c r="BK866" s="319"/>
      <c r="BL866" s="319"/>
      <c r="BM866" s="319"/>
      <c r="BN866" s="319"/>
      <c r="BO866" s="319"/>
      <c r="BP866" s="319"/>
      <c r="BQ866" s="319"/>
      <c r="BR866" s="319"/>
      <c r="BS866" s="319"/>
      <c r="BT866" s="319"/>
      <c r="BU866" s="319"/>
      <c r="BV866" s="319"/>
      <c r="BW866" s="319"/>
      <c r="BX866" s="319"/>
      <c r="BY866" s="319"/>
      <c r="BZ866" s="319"/>
      <c r="CA866" s="319"/>
      <c r="CB866" s="319"/>
      <c r="CC866" s="319"/>
      <c r="CD866" s="319"/>
      <c r="CE866" s="319"/>
      <c r="CF866" s="319"/>
    </row>
    <row r="867" spans="1:84" ht="12.75" hidden="1" customHeight="1">
      <c r="A867" s="436"/>
      <c r="B867" s="28" t="str">
        <f>Language!C199</f>
        <v>Carga de base do sistema de eletricidade</v>
      </c>
      <c r="C867" s="1"/>
      <c r="D867" s="1"/>
      <c r="E867" s="1"/>
      <c r="F867" s="1"/>
      <c r="G867" s="1"/>
      <c r="H867" s="1"/>
      <c r="I867" s="1"/>
      <c r="J867" s="1"/>
      <c r="K867" s="9"/>
      <c r="L867" s="1"/>
      <c r="M867" s="319"/>
      <c r="N867" s="319">
        <f>EM_gridtype</f>
        <v>1</v>
      </c>
      <c r="O867" s="319"/>
      <c r="P867" s="319">
        <f>IF(ISERROR(D1137),0,D1137)</f>
        <v>0</v>
      </c>
      <c r="Q867" s="319">
        <f>E1137</f>
        <v>0</v>
      </c>
      <c r="R867" s="319">
        <f>'Carga e Rede'!AM335</f>
        <v>0</v>
      </c>
      <c r="S867" s="319"/>
      <c r="T867" s="319"/>
      <c r="U867" s="319"/>
      <c r="V867" s="319"/>
      <c r="W867" s="319"/>
      <c r="X867" s="319"/>
      <c r="Y867" s="319"/>
      <c r="Z867" s="319"/>
      <c r="AA867" s="319"/>
      <c r="AB867" s="319"/>
      <c r="AC867" s="319"/>
      <c r="AD867" s="319"/>
      <c r="AE867" s="319"/>
      <c r="AF867" s="319"/>
      <c r="AG867" s="319"/>
      <c r="AH867" s="319"/>
      <c r="AI867" s="319"/>
      <c r="AJ867" s="319"/>
      <c r="AK867" s="319"/>
      <c r="AL867" s="319"/>
      <c r="AM867" s="319"/>
      <c r="AN867" s="319"/>
      <c r="AO867" s="319">
        <v>3011002</v>
      </c>
      <c r="AP867" s="319"/>
      <c r="AQ867" s="319"/>
      <c r="AR867" s="319"/>
      <c r="AS867" s="319"/>
      <c r="AT867" s="319"/>
      <c r="AU867" s="319"/>
      <c r="AV867" s="319"/>
      <c r="AW867" s="319"/>
      <c r="AX867" s="319"/>
      <c r="AY867" s="319"/>
      <c r="AZ867" s="319"/>
      <c r="BA867" s="319"/>
      <c r="BB867" s="319"/>
      <c r="BC867" s="319"/>
      <c r="BD867" s="319"/>
      <c r="BE867" s="319"/>
      <c r="BF867" s="319"/>
      <c r="BG867" s="319"/>
      <c r="BH867" s="319"/>
      <c r="BI867" s="319"/>
      <c r="BJ867" s="319"/>
      <c r="BK867" s="319"/>
      <c r="BL867" s="319"/>
      <c r="BM867" s="319"/>
      <c r="BN867" s="319"/>
      <c r="BO867" s="319"/>
      <c r="BP867" s="319"/>
      <c r="BQ867" s="319"/>
      <c r="BR867" s="319"/>
      <c r="BS867" s="319"/>
      <c r="BT867" s="319"/>
      <c r="BU867" s="319"/>
      <c r="BV867" s="319"/>
      <c r="BW867" s="319"/>
      <c r="BX867" s="319"/>
      <c r="BY867" s="319"/>
      <c r="BZ867" s="319"/>
      <c r="CA867" s="319"/>
      <c r="CB867" s="319"/>
      <c r="CC867" s="319"/>
      <c r="CD867" s="319"/>
      <c r="CE867" s="319"/>
      <c r="CF867" s="319"/>
    </row>
    <row r="868" spans="1:84" ht="12.75" hidden="1" customHeight="1">
      <c r="A868" s="12"/>
      <c r="B868" s="1" t="str">
        <f>B6</f>
        <v>Tecnologia</v>
      </c>
      <c r="C868" s="1"/>
      <c r="D868" s="29" t="str">
        <f>D1107</f>
        <v>Fotovoltaica</v>
      </c>
      <c r="E868" s="1"/>
      <c r="F868" s="1"/>
      <c r="G868" s="1"/>
      <c r="H868" s="1"/>
      <c r="I868" s="1"/>
      <c r="J868" s="1"/>
      <c r="K868" s="9"/>
      <c r="L868" s="1"/>
      <c r="M868" s="319"/>
      <c r="N868" s="319"/>
      <c r="O868" s="319"/>
      <c r="P868" s="319"/>
      <c r="Q868" s="319"/>
      <c r="R868" s="319"/>
      <c r="S868" s="319"/>
      <c r="T868" s="319"/>
      <c r="U868" s="319"/>
      <c r="V868" s="319"/>
      <c r="W868" s="319"/>
      <c r="X868" s="319"/>
      <c r="Y868" s="319"/>
      <c r="Z868" s="319"/>
      <c r="AA868" s="319"/>
      <c r="AB868" s="319"/>
      <c r="AC868" s="319"/>
      <c r="AD868" s="319"/>
      <c r="AE868" s="319"/>
      <c r="AF868" s="319"/>
      <c r="AG868" s="319"/>
      <c r="AH868" s="319"/>
      <c r="AI868" s="319"/>
      <c r="AJ868" s="319"/>
      <c r="AK868" s="319"/>
      <c r="AL868" s="319"/>
      <c r="AM868" s="319"/>
      <c r="AN868" s="319"/>
      <c r="AO868" s="319">
        <v>3011004</v>
      </c>
      <c r="AP868" s="319"/>
      <c r="AQ868" s="319"/>
      <c r="AR868" s="319"/>
      <c r="AS868" s="319"/>
      <c r="AT868" s="319"/>
      <c r="AU868" s="319"/>
      <c r="AV868" s="319"/>
      <c r="AW868" s="319"/>
      <c r="AX868" s="319"/>
      <c r="AY868" s="319"/>
      <c r="AZ868" s="319"/>
      <c r="BA868" s="319"/>
      <c r="BB868" s="319"/>
      <c r="BC868" s="319"/>
      <c r="BD868" s="319"/>
      <c r="BE868" s="319"/>
      <c r="BF868" s="319"/>
      <c r="BG868" s="319"/>
      <c r="BH868" s="319"/>
      <c r="BI868" s="319"/>
      <c r="BJ868" s="319"/>
      <c r="BK868" s="319"/>
      <c r="BL868" s="319"/>
      <c r="BM868" s="319"/>
      <c r="BN868" s="319"/>
      <c r="BO868" s="319"/>
      <c r="BP868" s="319"/>
      <c r="BQ868" s="319"/>
      <c r="BR868" s="319"/>
      <c r="BS868" s="319"/>
      <c r="BT868" s="319"/>
      <c r="BU868" s="319"/>
      <c r="BV868" s="319"/>
      <c r="BW868" s="319"/>
      <c r="BX868" s="319"/>
      <c r="BY868" s="319"/>
      <c r="BZ868" s="319"/>
      <c r="CA868" s="319"/>
      <c r="CB868" s="319"/>
      <c r="CC868" s="319"/>
      <c r="CD868" s="319"/>
      <c r="CE868" s="319"/>
      <c r="CF868" s="319"/>
    </row>
    <row r="869" spans="1:84" ht="12.75" hidden="1" customHeight="1">
      <c r="A869" s="12"/>
      <c r="B869" s="1" t="str">
        <f>Language!C201</f>
        <v>Estratégia de operação</v>
      </c>
      <c r="C869" s="1"/>
      <c r="D869" s="29" t="str">
        <f>K1107</f>
        <v>Potência elétr.máx.de saída</v>
      </c>
      <c r="E869" s="1"/>
      <c r="F869" s="1"/>
      <c r="G869" s="1"/>
      <c r="H869" s="1"/>
      <c r="I869" s="1"/>
      <c r="J869" s="1"/>
      <c r="K869" s="9"/>
      <c r="L869" s="1"/>
      <c r="M869" s="319"/>
      <c r="N869" s="319"/>
      <c r="O869" s="319"/>
      <c r="P869" s="319"/>
      <c r="Q869" s="319"/>
      <c r="R869" s="319"/>
      <c r="S869" s="319"/>
      <c r="T869" s="319"/>
      <c r="U869" s="319"/>
      <c r="V869" s="319"/>
      <c r="W869" s="319"/>
      <c r="X869" s="319"/>
      <c r="Y869" s="319"/>
      <c r="Z869" s="319"/>
      <c r="AA869" s="319"/>
      <c r="AB869" s="319"/>
      <c r="AC869" s="319"/>
      <c r="AD869" s="319"/>
      <c r="AE869" s="319"/>
      <c r="AF869" s="319"/>
      <c r="AG869" s="319"/>
      <c r="AH869" s="319"/>
      <c r="AI869" s="319"/>
      <c r="AJ869" s="319"/>
      <c r="AK869" s="319"/>
      <c r="AL869" s="319"/>
      <c r="AM869" s="319"/>
      <c r="AN869" s="319"/>
      <c r="AO869" s="319">
        <v>3011006</v>
      </c>
      <c r="AP869" s="319"/>
      <c r="AQ869" s="319"/>
      <c r="AR869" s="319"/>
      <c r="AS869" s="319"/>
      <c r="AT869" s="319"/>
      <c r="AU869" s="319"/>
      <c r="AV869" s="319"/>
      <c r="AW869" s="319"/>
      <c r="AX869" s="319"/>
      <c r="AY869" s="319"/>
      <c r="AZ869" s="319"/>
      <c r="BA869" s="319"/>
      <c r="BB869" s="319"/>
      <c r="BC869" s="319"/>
      <c r="BD869" s="319"/>
      <c r="BE869" s="319"/>
      <c r="BF869" s="319"/>
      <c r="BG869" s="319"/>
      <c r="BH869" s="319"/>
      <c r="BI869" s="319"/>
      <c r="BJ869" s="319"/>
      <c r="BK869" s="319"/>
      <c r="BL869" s="319"/>
      <c r="BM869" s="319"/>
      <c r="BN869" s="319"/>
      <c r="BO869" s="319"/>
      <c r="BP869" s="319"/>
      <c r="BQ869" s="319"/>
      <c r="BR869" s="319"/>
      <c r="BS869" s="319"/>
      <c r="BT869" s="319"/>
      <c r="BU869" s="319"/>
      <c r="BV869" s="319"/>
      <c r="BW869" s="319"/>
      <c r="BX869" s="319"/>
      <c r="BY869" s="319"/>
      <c r="BZ869" s="319"/>
      <c r="CA869" s="319"/>
      <c r="CB869" s="319"/>
      <c r="CC869" s="319"/>
      <c r="CD869" s="319"/>
      <c r="CE869" s="319"/>
      <c r="CF869" s="319"/>
    </row>
    <row r="870" spans="1:84" ht="12.75" hidden="1" customHeight="1">
      <c r="A870" s="12"/>
      <c r="B870" s="1" t="str">
        <f>Language!C202</f>
        <v>Capacidade</v>
      </c>
      <c r="C870" s="29" t="str">
        <f>Language!C1364</f>
        <v>kW</v>
      </c>
      <c r="D870" s="30">
        <f>V870</f>
        <v>3.7949999999999999</v>
      </c>
      <c r="E870" s="80">
        <f>IF(P866=0,0,D870/P866)</f>
        <v>0</v>
      </c>
      <c r="F870" s="1"/>
      <c r="G870" s="1"/>
      <c r="H870" s="1"/>
      <c r="I870" s="1"/>
      <c r="J870" s="1"/>
      <c r="K870" s="9"/>
      <c r="L870" s="1"/>
      <c r="M870" s="319"/>
      <c r="N870" s="319"/>
      <c r="O870" s="319"/>
      <c r="P870" s="319"/>
      <c r="Q870" s="319"/>
      <c r="R870" s="319"/>
      <c r="S870" s="319"/>
      <c r="T870" s="319"/>
      <c r="U870" s="319"/>
      <c r="V870" s="319">
        <f>F1107</f>
        <v>3.7949999999999999</v>
      </c>
      <c r="W870" s="319" t="s">
        <v>5700</v>
      </c>
      <c r="X870" s="319"/>
      <c r="Y870" s="319"/>
      <c r="Z870" s="319"/>
      <c r="AA870" s="319"/>
      <c r="AB870" s="319"/>
      <c r="AC870" s="319"/>
      <c r="AD870" s="319"/>
      <c r="AE870" s="319"/>
      <c r="AF870" s="319"/>
      <c r="AG870" s="319"/>
      <c r="AH870" s="319"/>
      <c r="AI870" s="319"/>
      <c r="AJ870" s="319"/>
      <c r="AK870" s="319"/>
      <c r="AL870" s="319"/>
      <c r="AM870" s="319"/>
      <c r="AN870" s="319"/>
      <c r="AO870" s="319">
        <v>3011008</v>
      </c>
      <c r="AP870" s="319"/>
      <c r="AQ870" s="319"/>
      <c r="AR870" s="319"/>
      <c r="AS870" s="319"/>
      <c r="AT870" s="319"/>
      <c r="AU870" s="319"/>
      <c r="AV870" s="319"/>
      <c r="AW870" s="319"/>
      <c r="AX870" s="319"/>
      <c r="AY870" s="319"/>
      <c r="AZ870" s="319"/>
      <c r="BA870" s="319"/>
      <c r="BB870" s="319"/>
      <c r="BC870" s="319"/>
      <c r="BD870" s="319"/>
      <c r="BE870" s="319"/>
      <c r="BF870" s="319"/>
      <c r="BG870" s="319"/>
      <c r="BH870" s="319"/>
      <c r="BI870" s="319"/>
      <c r="BJ870" s="319"/>
      <c r="BK870" s="319"/>
      <c r="BL870" s="319"/>
      <c r="BM870" s="319"/>
      <c r="BN870" s="319"/>
      <c r="BO870" s="319"/>
      <c r="BP870" s="319"/>
      <c r="BQ870" s="319"/>
      <c r="BR870" s="319"/>
      <c r="BS870" s="319"/>
      <c r="BT870" s="319"/>
      <c r="BU870" s="319"/>
      <c r="BV870" s="319"/>
      <c r="BW870" s="319"/>
      <c r="BX870" s="319"/>
      <c r="BY870" s="319"/>
      <c r="BZ870" s="319"/>
      <c r="CA870" s="319"/>
      <c r="CB870" s="319"/>
      <c r="CC870" s="319"/>
      <c r="CD870" s="319"/>
      <c r="CE870" s="319"/>
      <c r="CF870" s="319"/>
    </row>
    <row r="871" spans="1:84" ht="12.75" hidden="1" customHeight="1">
      <c r="A871" s="12"/>
      <c r="B871" s="1" t="str">
        <f>Language!C205</f>
        <v>Eletricidade fornecida à carga</v>
      </c>
      <c r="C871" s="29" t="str">
        <f>R14</f>
        <v>MWh</v>
      </c>
      <c r="D871" s="30">
        <f>G1107</f>
        <v>0</v>
      </c>
      <c r="E871" s="80">
        <f>IF(P867=0,0,D871/P867)</f>
        <v>0</v>
      </c>
      <c r="F871" s="1"/>
      <c r="G871" s="1"/>
      <c r="H871" s="1"/>
      <c r="I871" s="1"/>
      <c r="J871" s="1"/>
      <c r="K871" s="9"/>
      <c r="L871" s="1"/>
      <c r="M871" s="319"/>
      <c r="N871" s="319"/>
      <c r="O871" s="319"/>
      <c r="P871" s="319"/>
      <c r="Q871" s="319"/>
      <c r="R871" s="319"/>
      <c r="S871" s="319"/>
      <c r="T871" s="319"/>
      <c r="U871" s="319"/>
      <c r="V871" s="319"/>
      <c r="W871" s="319"/>
      <c r="X871" s="319"/>
      <c r="Y871" s="319"/>
      <c r="Z871" s="319"/>
      <c r="AA871" s="319"/>
      <c r="AB871" s="319"/>
      <c r="AC871" s="319"/>
      <c r="AD871" s="319"/>
      <c r="AE871" s="319"/>
      <c r="AF871" s="319"/>
      <c r="AG871" s="319"/>
      <c r="AH871" s="319"/>
      <c r="AI871" s="319"/>
      <c r="AJ871" s="319"/>
      <c r="AK871" s="319"/>
      <c r="AL871" s="319"/>
      <c r="AM871" s="319"/>
      <c r="AN871" s="319"/>
      <c r="AO871" s="319">
        <v>3011010</v>
      </c>
      <c r="AP871" s="319"/>
      <c r="AQ871" s="319"/>
      <c r="AR871" s="319"/>
      <c r="AS871" s="319"/>
      <c r="AT871" s="319"/>
      <c r="AU871" s="319"/>
      <c r="AV871" s="319"/>
      <c r="AW871" s="319"/>
      <c r="AX871" s="319"/>
      <c r="AY871" s="319"/>
      <c r="AZ871" s="319"/>
      <c r="BA871" s="319"/>
      <c r="BB871" s="319"/>
      <c r="BC871" s="319"/>
      <c r="BD871" s="319"/>
      <c r="BE871" s="319"/>
      <c r="BF871" s="319"/>
      <c r="BG871" s="319"/>
      <c r="BH871" s="319"/>
      <c r="BI871" s="319"/>
      <c r="BJ871" s="319"/>
      <c r="BK871" s="319"/>
      <c r="BL871" s="319"/>
      <c r="BM871" s="319"/>
      <c r="BN871" s="319"/>
      <c r="BO871" s="319"/>
      <c r="BP871" s="319"/>
      <c r="BQ871" s="319"/>
      <c r="BR871" s="319"/>
      <c r="BS871" s="319"/>
      <c r="BT871" s="319"/>
      <c r="BU871" s="319"/>
      <c r="BV871" s="319"/>
      <c r="BW871" s="319"/>
      <c r="BX871" s="319"/>
      <c r="BY871" s="319"/>
      <c r="BZ871" s="319"/>
      <c r="CA871" s="319"/>
      <c r="CB871" s="319"/>
      <c r="CC871" s="319"/>
      <c r="CD871" s="319"/>
      <c r="CE871" s="319"/>
      <c r="CF871" s="319"/>
    </row>
    <row r="872" spans="1:84" ht="12.75" hidden="1" customHeight="1">
      <c r="A872" s="12"/>
      <c r="B872" s="1" t="str">
        <f>Language!C206</f>
        <v>Eletricidade exportada p/ rede</v>
      </c>
      <c r="C872" s="29" t="str">
        <f>R14</f>
        <v>MWh</v>
      </c>
      <c r="D872" s="30">
        <f>J1107</f>
        <v>5.3903325633948667</v>
      </c>
      <c r="E872" s="1"/>
      <c r="F872" s="1"/>
      <c r="G872" s="1"/>
      <c r="H872" s="1"/>
      <c r="I872" s="1"/>
      <c r="J872" s="1"/>
      <c r="K872" s="9"/>
      <c r="L872" s="1"/>
      <c r="M872" s="319"/>
      <c r="N872" s="319"/>
      <c r="O872" s="319"/>
      <c r="P872" s="319"/>
      <c r="Q872" s="319"/>
      <c r="R872" s="319"/>
      <c r="S872" s="319"/>
      <c r="T872" s="319"/>
      <c r="U872" s="319"/>
      <c r="V872" s="319"/>
      <c r="W872" s="319"/>
      <c r="X872" s="319"/>
      <c r="Y872" s="319"/>
      <c r="Z872" s="319"/>
      <c r="AA872" s="319"/>
      <c r="AB872" s="319"/>
      <c r="AC872" s="319"/>
      <c r="AD872" s="319"/>
      <c r="AE872" s="319"/>
      <c r="AF872" s="319"/>
      <c r="AG872" s="319"/>
      <c r="AH872" s="319"/>
      <c r="AI872" s="319"/>
      <c r="AJ872" s="319"/>
      <c r="AK872" s="319"/>
      <c r="AL872" s="319"/>
      <c r="AM872" s="319"/>
      <c r="AN872" s="319"/>
      <c r="AO872" s="319">
        <v>3011012</v>
      </c>
      <c r="AP872" s="319"/>
      <c r="AQ872" s="319"/>
      <c r="AR872" s="319"/>
      <c r="AS872" s="319"/>
      <c r="AT872" s="319"/>
      <c r="AU872" s="319"/>
      <c r="AV872" s="319"/>
      <c r="AW872" s="319"/>
      <c r="AX872" s="319"/>
      <c r="AY872" s="319"/>
      <c r="AZ872" s="319"/>
      <c r="BA872" s="319"/>
      <c r="BB872" s="319"/>
      <c r="BC872" s="319"/>
      <c r="BD872" s="319"/>
      <c r="BE872" s="319"/>
      <c r="BF872" s="319"/>
      <c r="BG872" s="319"/>
      <c r="BH872" s="319"/>
      <c r="BI872" s="319"/>
      <c r="BJ872" s="319"/>
      <c r="BK872" s="319"/>
      <c r="BL872" s="319"/>
      <c r="BM872" s="319"/>
      <c r="BN872" s="319"/>
      <c r="BO872" s="319"/>
      <c r="BP872" s="319"/>
      <c r="BQ872" s="319"/>
      <c r="BR872" s="319"/>
      <c r="BS872" s="319"/>
      <c r="BT872" s="319"/>
      <c r="BU872" s="319"/>
      <c r="BV872" s="319"/>
      <c r="BW872" s="319"/>
      <c r="BX872" s="319"/>
      <c r="BY872" s="319"/>
      <c r="BZ872" s="319"/>
      <c r="CA872" s="319"/>
      <c r="CB872" s="319"/>
      <c r="CC872" s="319"/>
      <c r="CD872" s="319"/>
      <c r="CE872" s="319"/>
      <c r="CF872" s="319"/>
    </row>
    <row r="873" spans="1:84" ht="12.75" hidden="1" customHeight="1">
      <c r="A873" s="194"/>
      <c r="B873" s="28" t="str">
        <f>Language!C209</f>
        <v>Carga intermediária do sistema elétrico</v>
      </c>
      <c r="C873" s="1"/>
      <c r="D873" s="1"/>
      <c r="E873" s="1"/>
      <c r="F873" s="1"/>
      <c r="G873" s="1"/>
      <c r="H873" s="1"/>
      <c r="I873" s="1"/>
      <c r="J873" s="1"/>
      <c r="K873" s="9"/>
      <c r="L873" s="1"/>
      <c r="M873" s="319"/>
      <c r="N873" s="319"/>
      <c r="O873" s="319"/>
      <c r="P873" s="319"/>
      <c r="Q873" s="319"/>
      <c r="R873" s="319"/>
      <c r="S873" s="319"/>
      <c r="T873" s="319"/>
      <c r="U873" s="319"/>
      <c r="V873" s="319"/>
      <c r="W873" s="319"/>
      <c r="X873" s="319"/>
      <c r="Y873" s="319"/>
      <c r="Z873" s="319"/>
      <c r="AA873" s="319"/>
      <c r="AB873" s="319"/>
      <c r="AC873" s="319"/>
      <c r="AD873" s="319"/>
      <c r="AE873" s="319"/>
      <c r="AF873" s="319"/>
      <c r="AG873" s="319"/>
      <c r="AH873" s="319"/>
      <c r="AI873" s="319"/>
      <c r="AJ873" s="319"/>
      <c r="AK873" s="319"/>
      <c r="AL873" s="319"/>
      <c r="AM873" s="319"/>
      <c r="AN873" s="319"/>
      <c r="AO873" s="319">
        <v>3011003</v>
      </c>
      <c r="AP873" s="319"/>
      <c r="AQ873" s="319"/>
      <c r="AR873" s="319"/>
      <c r="AS873" s="319"/>
      <c r="AT873" s="319"/>
      <c r="AU873" s="319"/>
      <c r="AV873" s="319"/>
      <c r="AW873" s="319"/>
      <c r="AX873" s="319"/>
      <c r="AY873" s="319"/>
      <c r="AZ873" s="319"/>
      <c r="BA873" s="319"/>
      <c r="BB873" s="319"/>
      <c r="BC873" s="319"/>
      <c r="BD873" s="319"/>
      <c r="BE873" s="319"/>
      <c r="BF873" s="319"/>
      <c r="BG873" s="319"/>
      <c r="BH873" s="319"/>
      <c r="BI873" s="319"/>
      <c r="BJ873" s="319"/>
      <c r="BK873" s="319"/>
      <c r="BL873" s="319"/>
      <c r="BM873" s="319"/>
      <c r="BN873" s="319"/>
      <c r="BO873" s="319"/>
      <c r="BP873" s="319"/>
      <c r="BQ873" s="319"/>
      <c r="BR873" s="319"/>
      <c r="BS873" s="319"/>
      <c r="BT873" s="319"/>
      <c r="BU873" s="319"/>
      <c r="BV873" s="319"/>
      <c r="BW873" s="319"/>
      <c r="BX873" s="319"/>
      <c r="BY873" s="319"/>
      <c r="BZ873" s="319"/>
      <c r="CA873" s="319"/>
      <c r="CB873" s="319"/>
      <c r="CC873" s="319"/>
      <c r="CD873" s="319"/>
      <c r="CE873" s="319"/>
      <c r="CF873" s="319"/>
    </row>
    <row r="874" spans="1:84" ht="12.75" hidden="1" customHeight="1">
      <c r="A874" s="12"/>
      <c r="B874" s="1" t="str">
        <f>B868</f>
        <v>Tecnologia</v>
      </c>
      <c r="C874" s="1"/>
      <c r="D874" s="29" t="str">
        <f>D1108</f>
        <v/>
      </c>
      <c r="E874" s="1"/>
      <c r="F874" s="1"/>
      <c r="G874" s="1"/>
      <c r="H874" s="1"/>
      <c r="I874" s="1"/>
      <c r="J874" s="1"/>
      <c r="K874" s="9"/>
      <c r="L874" s="1"/>
      <c r="M874" s="319"/>
      <c r="N874" s="319"/>
      <c r="O874" s="319"/>
      <c r="P874" s="319"/>
      <c r="Q874" s="319"/>
      <c r="R874" s="319"/>
      <c r="S874" s="319"/>
      <c r="T874" s="319"/>
      <c r="U874" s="319"/>
      <c r="V874" s="319"/>
      <c r="W874" s="319"/>
      <c r="X874" s="319"/>
      <c r="Y874" s="319"/>
      <c r="Z874" s="319"/>
      <c r="AA874" s="319"/>
      <c r="AB874" s="319"/>
      <c r="AC874" s="319"/>
      <c r="AD874" s="319"/>
      <c r="AE874" s="319"/>
      <c r="AF874" s="319"/>
      <c r="AG874" s="319"/>
      <c r="AH874" s="319"/>
      <c r="AI874" s="319"/>
      <c r="AJ874" s="319"/>
      <c r="AK874" s="319"/>
      <c r="AL874" s="319"/>
      <c r="AM874" s="319"/>
      <c r="AN874" s="319"/>
      <c r="AO874" s="319">
        <v>3011004</v>
      </c>
      <c r="AP874" s="319"/>
      <c r="AQ874" s="319"/>
      <c r="AR874" s="319"/>
      <c r="AS874" s="319"/>
      <c r="AT874" s="319"/>
      <c r="AU874" s="319"/>
      <c r="AV874" s="319"/>
      <c r="AW874" s="319"/>
      <c r="AX874" s="319"/>
      <c r="AY874" s="319"/>
      <c r="AZ874" s="319"/>
      <c r="BA874" s="319"/>
      <c r="BB874" s="319"/>
      <c r="BC874" s="319"/>
      <c r="BD874" s="319"/>
      <c r="BE874" s="319"/>
      <c r="BF874" s="319"/>
      <c r="BG874" s="319"/>
      <c r="BH874" s="319"/>
      <c r="BI874" s="319"/>
      <c r="BJ874" s="319"/>
      <c r="BK874" s="319"/>
      <c r="BL874" s="319"/>
      <c r="BM874" s="319"/>
      <c r="BN874" s="319"/>
      <c r="BO874" s="319"/>
      <c r="BP874" s="319"/>
      <c r="BQ874" s="319"/>
      <c r="BR874" s="319"/>
      <c r="BS874" s="319"/>
      <c r="BT874" s="319"/>
      <c r="BU874" s="319"/>
      <c r="BV874" s="319"/>
      <c r="BW874" s="319"/>
      <c r="BX874" s="319"/>
      <c r="BY874" s="319"/>
      <c r="BZ874" s="319"/>
      <c r="CA874" s="319"/>
      <c r="CB874" s="319"/>
      <c r="CC874" s="319"/>
      <c r="CD874" s="319"/>
      <c r="CE874" s="319"/>
      <c r="CF874" s="319"/>
    </row>
    <row r="875" spans="1:84" ht="12.75" hidden="1" customHeight="1">
      <c r="A875" s="12"/>
      <c r="B875" s="1" t="str">
        <f>Language!C201</f>
        <v>Estratégia de operação</v>
      </c>
      <c r="C875" s="1"/>
      <c r="D875" s="29" t="str">
        <f>K1108</f>
        <v/>
      </c>
      <c r="E875" s="1"/>
      <c r="F875" s="1"/>
      <c r="G875" s="1"/>
      <c r="H875" s="1"/>
      <c r="I875" s="1"/>
      <c r="J875" s="1"/>
      <c r="K875" s="9"/>
      <c r="L875" s="1"/>
      <c r="M875" s="319"/>
      <c r="N875" s="319"/>
      <c r="O875" s="319"/>
      <c r="P875" s="319"/>
      <c r="Q875" s="319"/>
      <c r="R875" s="319"/>
      <c r="S875" s="319"/>
      <c r="T875" s="319"/>
      <c r="U875" s="319"/>
      <c r="V875" s="319"/>
      <c r="W875" s="319"/>
      <c r="X875" s="319"/>
      <c r="Y875" s="319"/>
      <c r="Z875" s="319"/>
      <c r="AA875" s="319"/>
      <c r="AB875" s="319"/>
      <c r="AC875" s="319"/>
      <c r="AD875" s="319"/>
      <c r="AE875" s="319"/>
      <c r="AF875" s="319"/>
      <c r="AG875" s="319"/>
      <c r="AH875" s="319"/>
      <c r="AI875" s="319"/>
      <c r="AJ875" s="319"/>
      <c r="AK875" s="319"/>
      <c r="AL875" s="319"/>
      <c r="AM875" s="319"/>
      <c r="AN875" s="319"/>
      <c r="AO875" s="319">
        <v>3011006</v>
      </c>
      <c r="AP875" s="319"/>
      <c r="AQ875" s="319"/>
      <c r="AR875" s="319"/>
      <c r="AS875" s="319"/>
      <c r="AT875" s="319"/>
      <c r="AU875" s="319"/>
      <c r="AV875" s="319"/>
      <c r="AW875" s="319"/>
      <c r="AX875" s="319"/>
      <c r="AY875" s="319"/>
      <c r="AZ875" s="319"/>
      <c r="BA875" s="319"/>
      <c r="BB875" s="319"/>
      <c r="BC875" s="319"/>
      <c r="BD875" s="319"/>
      <c r="BE875" s="319"/>
      <c r="BF875" s="319"/>
      <c r="BG875" s="319"/>
      <c r="BH875" s="319"/>
      <c r="BI875" s="319"/>
      <c r="BJ875" s="319"/>
      <c r="BK875" s="319"/>
      <c r="BL875" s="319"/>
      <c r="BM875" s="319"/>
      <c r="BN875" s="319"/>
      <c r="BO875" s="319"/>
      <c r="BP875" s="319"/>
      <c r="BQ875" s="319"/>
      <c r="BR875" s="319"/>
      <c r="BS875" s="319"/>
      <c r="BT875" s="319"/>
      <c r="BU875" s="319"/>
      <c r="BV875" s="319"/>
      <c r="BW875" s="319"/>
      <c r="BX875" s="319"/>
      <c r="BY875" s="319"/>
      <c r="BZ875" s="319"/>
      <c r="CA875" s="319"/>
      <c r="CB875" s="319"/>
      <c r="CC875" s="319"/>
      <c r="CD875" s="319"/>
      <c r="CE875" s="319"/>
      <c r="CF875" s="319"/>
    </row>
    <row r="876" spans="1:84" ht="12.75" hidden="1" customHeight="1">
      <c r="A876" s="12"/>
      <c r="B876" s="1" t="str">
        <f>B870</f>
        <v>Capacidade</v>
      </c>
      <c r="C876" s="29" t="str">
        <f>$C$870</f>
        <v>kW</v>
      </c>
      <c r="D876" s="30">
        <f>V876</f>
        <v>0</v>
      </c>
      <c r="E876" s="80">
        <f>IF(P866=0,0,D876/P866)</f>
        <v>0</v>
      </c>
      <c r="F876" s="1"/>
      <c r="G876" s="1"/>
      <c r="H876" s="1"/>
      <c r="I876" s="1"/>
      <c r="J876" s="1"/>
      <c r="K876" s="9"/>
      <c r="L876" s="1"/>
      <c r="M876" s="319"/>
      <c r="N876" s="319"/>
      <c r="O876" s="319"/>
      <c r="P876" s="319"/>
      <c r="Q876" s="319"/>
      <c r="R876" s="319"/>
      <c r="S876" s="319"/>
      <c r="T876" s="319"/>
      <c r="U876" s="319"/>
      <c r="V876" s="319">
        <f>F1108</f>
        <v>0</v>
      </c>
      <c r="W876" s="319" t="s">
        <v>5700</v>
      </c>
      <c r="X876" s="319"/>
      <c r="Y876" s="319"/>
      <c r="Z876" s="319"/>
      <c r="AA876" s="319"/>
      <c r="AB876" s="319"/>
      <c r="AC876" s="319"/>
      <c r="AD876" s="319"/>
      <c r="AE876" s="319"/>
      <c r="AF876" s="319"/>
      <c r="AG876" s="319"/>
      <c r="AH876" s="319"/>
      <c r="AI876" s="319"/>
      <c r="AJ876" s="319"/>
      <c r="AK876" s="319"/>
      <c r="AL876" s="319"/>
      <c r="AM876" s="319"/>
      <c r="AN876" s="319"/>
      <c r="AO876" s="319">
        <v>3011008</v>
      </c>
      <c r="AP876" s="319"/>
      <c r="AQ876" s="319"/>
      <c r="AR876" s="319"/>
      <c r="AS876" s="319"/>
      <c r="AT876" s="319"/>
      <c r="AU876" s="319"/>
      <c r="AV876" s="319"/>
      <c r="AW876" s="319"/>
      <c r="AX876" s="319"/>
      <c r="AY876" s="319"/>
      <c r="AZ876" s="319"/>
      <c r="BA876" s="319"/>
      <c r="BB876" s="319"/>
      <c r="BC876" s="319"/>
      <c r="BD876" s="319"/>
      <c r="BE876" s="319"/>
      <c r="BF876" s="319"/>
      <c r="BG876" s="319"/>
      <c r="BH876" s="319"/>
      <c r="BI876" s="319"/>
      <c r="BJ876" s="319"/>
      <c r="BK876" s="319"/>
      <c r="BL876" s="319"/>
      <c r="BM876" s="319"/>
      <c r="BN876" s="319"/>
      <c r="BO876" s="319"/>
      <c r="BP876" s="319"/>
      <c r="BQ876" s="319"/>
      <c r="BR876" s="319"/>
      <c r="BS876" s="319"/>
      <c r="BT876" s="319"/>
      <c r="BU876" s="319"/>
      <c r="BV876" s="319"/>
      <c r="BW876" s="319"/>
      <c r="BX876" s="319"/>
      <c r="BY876" s="319"/>
      <c r="BZ876" s="319"/>
      <c r="CA876" s="319"/>
      <c r="CB876" s="319"/>
      <c r="CC876" s="319"/>
      <c r="CD876" s="319"/>
      <c r="CE876" s="319"/>
      <c r="CF876" s="319"/>
    </row>
    <row r="877" spans="1:84" ht="12.75" hidden="1" customHeight="1">
      <c r="A877" s="12"/>
      <c r="B877" s="1" t="str">
        <f>B871</f>
        <v>Eletricidade fornecida à carga</v>
      </c>
      <c r="C877" s="29" t="str">
        <f>R14</f>
        <v>MWh</v>
      </c>
      <c r="D877" s="30">
        <f>G1108</f>
        <v>0</v>
      </c>
      <c r="E877" s="80">
        <f>IF(P867=0,0,D877/P867)</f>
        <v>0</v>
      </c>
      <c r="F877" s="1"/>
      <c r="G877" s="1"/>
      <c r="H877" s="1"/>
      <c r="I877" s="1"/>
      <c r="J877" s="1"/>
      <c r="K877" s="9"/>
      <c r="L877" s="1"/>
      <c r="M877" s="319"/>
      <c r="N877" s="319"/>
      <c r="O877" s="319"/>
      <c r="P877" s="319"/>
      <c r="Q877" s="319"/>
      <c r="R877" s="319"/>
      <c r="S877" s="319"/>
      <c r="T877" s="319"/>
      <c r="U877" s="319"/>
      <c r="V877" s="319"/>
      <c r="W877" s="319"/>
      <c r="X877" s="319"/>
      <c r="Y877" s="319"/>
      <c r="Z877" s="319"/>
      <c r="AA877" s="319"/>
      <c r="AB877" s="319"/>
      <c r="AC877" s="319"/>
      <c r="AD877" s="319"/>
      <c r="AE877" s="319"/>
      <c r="AF877" s="319"/>
      <c r="AG877" s="319"/>
      <c r="AH877" s="319"/>
      <c r="AI877" s="319"/>
      <c r="AJ877" s="319"/>
      <c r="AK877" s="319"/>
      <c r="AL877" s="319"/>
      <c r="AM877" s="319"/>
      <c r="AN877" s="319"/>
      <c r="AO877" s="319">
        <v>3011010</v>
      </c>
      <c r="AP877" s="319"/>
      <c r="AQ877" s="319"/>
      <c r="AR877" s="319"/>
      <c r="AS877" s="319"/>
      <c r="AT877" s="319"/>
      <c r="AU877" s="319"/>
      <c r="AV877" s="319"/>
      <c r="AW877" s="319"/>
      <c r="AX877" s="319"/>
      <c r="AY877" s="319"/>
      <c r="AZ877" s="319"/>
      <c r="BA877" s="319"/>
      <c r="BB877" s="319"/>
      <c r="BC877" s="319"/>
      <c r="BD877" s="319"/>
      <c r="BE877" s="319"/>
      <c r="BF877" s="319"/>
      <c r="BG877" s="319"/>
      <c r="BH877" s="319"/>
      <c r="BI877" s="319"/>
      <c r="BJ877" s="319"/>
      <c r="BK877" s="319"/>
      <c r="BL877" s="319"/>
      <c r="BM877" s="319"/>
      <c r="BN877" s="319"/>
      <c r="BO877" s="319"/>
      <c r="BP877" s="319"/>
      <c r="BQ877" s="319"/>
      <c r="BR877" s="319"/>
      <c r="BS877" s="319"/>
      <c r="BT877" s="319"/>
      <c r="BU877" s="319"/>
      <c r="BV877" s="319"/>
      <c r="BW877" s="319"/>
      <c r="BX877" s="319"/>
      <c r="BY877" s="319"/>
      <c r="BZ877" s="319"/>
      <c r="CA877" s="319"/>
      <c r="CB877" s="319"/>
      <c r="CC877" s="319"/>
      <c r="CD877" s="319"/>
      <c r="CE877" s="319"/>
      <c r="CF877" s="319"/>
    </row>
    <row r="878" spans="1:84" ht="12.75" hidden="1" customHeight="1">
      <c r="A878" s="12"/>
      <c r="B878" s="1" t="str">
        <f>Language!C206</f>
        <v>Eletricidade exportada p/ rede</v>
      </c>
      <c r="C878" s="29" t="str">
        <f>R14</f>
        <v>MWh</v>
      </c>
      <c r="D878" s="30">
        <f>J1108</f>
        <v>0</v>
      </c>
      <c r="E878" s="1"/>
      <c r="F878" s="1"/>
      <c r="G878" s="1"/>
      <c r="H878" s="1"/>
      <c r="I878" s="1"/>
      <c r="J878" s="1"/>
      <c r="K878" s="9"/>
      <c r="L878" s="1"/>
      <c r="M878" s="319"/>
      <c r="N878" s="319"/>
      <c r="O878" s="319"/>
      <c r="P878" s="319"/>
      <c r="Q878" s="319"/>
      <c r="R878" s="319"/>
      <c r="S878" s="319"/>
      <c r="T878" s="319"/>
      <c r="U878" s="319"/>
      <c r="V878" s="319"/>
      <c r="W878" s="319"/>
      <c r="X878" s="319"/>
      <c r="Y878" s="319"/>
      <c r="Z878" s="319"/>
      <c r="AA878" s="319"/>
      <c r="AB878" s="319"/>
      <c r="AC878" s="319"/>
      <c r="AD878" s="319"/>
      <c r="AE878" s="319"/>
      <c r="AF878" s="319"/>
      <c r="AG878" s="319"/>
      <c r="AH878" s="319"/>
      <c r="AI878" s="319"/>
      <c r="AJ878" s="319"/>
      <c r="AK878" s="319"/>
      <c r="AL878" s="319"/>
      <c r="AM878" s="319"/>
      <c r="AN878" s="319"/>
      <c r="AO878" s="319">
        <v>3011012</v>
      </c>
      <c r="AP878" s="319"/>
      <c r="AQ878" s="319"/>
      <c r="AR878" s="319"/>
      <c r="AS878" s="319"/>
      <c r="AT878" s="319"/>
      <c r="AU878" s="319"/>
      <c r="AV878" s="319"/>
      <c r="AW878" s="319"/>
      <c r="AX878" s="319"/>
      <c r="AY878" s="319"/>
      <c r="AZ878" s="319"/>
      <c r="BA878" s="319"/>
      <c r="BB878" s="319"/>
      <c r="BC878" s="319"/>
      <c r="BD878" s="319"/>
      <c r="BE878" s="319"/>
      <c r="BF878" s="319"/>
      <c r="BG878" s="319"/>
      <c r="BH878" s="319"/>
      <c r="BI878" s="319"/>
      <c r="BJ878" s="319"/>
      <c r="BK878" s="319"/>
      <c r="BL878" s="319"/>
      <c r="BM878" s="319"/>
      <c r="BN878" s="319"/>
      <c r="BO878" s="319"/>
      <c r="BP878" s="319"/>
      <c r="BQ878" s="319"/>
      <c r="BR878" s="319"/>
      <c r="BS878" s="319"/>
      <c r="BT878" s="319"/>
      <c r="BU878" s="319"/>
      <c r="BV878" s="319"/>
      <c r="BW878" s="319"/>
      <c r="BX878" s="319"/>
      <c r="BY878" s="319"/>
      <c r="BZ878" s="319"/>
      <c r="CA878" s="319"/>
      <c r="CB878" s="319"/>
      <c r="CC878" s="319"/>
      <c r="CD878" s="319"/>
      <c r="CE878" s="319"/>
      <c r="CF878" s="319"/>
    </row>
    <row r="879" spans="1:84" ht="12.75" hidden="1" customHeight="1">
      <c r="A879" s="436"/>
      <c r="B879" s="28" t="str">
        <f>Language!C210</f>
        <v>Carga de ponta do sistema elétrico</v>
      </c>
      <c r="C879" s="1"/>
      <c r="D879" s="776" t="str">
        <f>IF(AND(Q880=B1082,D883&gt;0),Language!C237,"")</f>
        <v/>
      </c>
      <c r="E879" s="1"/>
      <c r="F879" s="1"/>
      <c r="G879" s="1"/>
      <c r="H879" s="1"/>
      <c r="I879" s="1"/>
      <c r="J879" s="1"/>
      <c r="K879" s="9"/>
      <c r="L879" s="1"/>
      <c r="M879" s="319"/>
      <c r="N879" s="319"/>
      <c r="O879" s="319"/>
      <c r="P879" s="319"/>
      <c r="Q879" s="319"/>
      <c r="R879" s="319"/>
      <c r="S879" s="319"/>
      <c r="T879" s="319"/>
      <c r="U879" s="319"/>
      <c r="V879" s="319"/>
      <c r="W879" s="319"/>
      <c r="X879" s="319"/>
      <c r="Y879" s="319"/>
      <c r="Z879" s="319"/>
      <c r="AA879" s="319"/>
      <c r="AB879" s="319"/>
      <c r="AC879" s="319"/>
      <c r="AD879" s="319"/>
      <c r="AE879" s="319"/>
      <c r="AF879" s="319"/>
      <c r="AG879" s="319"/>
      <c r="AH879" s="319"/>
      <c r="AI879" s="319"/>
      <c r="AJ879" s="319"/>
      <c r="AK879" s="319"/>
      <c r="AL879" s="319"/>
      <c r="AM879" s="319"/>
      <c r="AN879" s="319"/>
      <c r="AO879" s="319">
        <v>3011026</v>
      </c>
      <c r="AP879" s="319"/>
      <c r="AQ879" s="319"/>
      <c r="AR879" s="319"/>
      <c r="AS879" s="319"/>
      <c r="AT879" s="319"/>
      <c r="AU879" s="319"/>
      <c r="AV879" s="319"/>
      <c r="AW879" s="319"/>
      <c r="AX879" s="319"/>
      <c r="AY879" s="319"/>
      <c r="AZ879" s="319"/>
      <c r="BA879" s="319"/>
      <c r="BB879" s="319"/>
      <c r="BC879" s="319"/>
      <c r="BD879" s="319"/>
      <c r="BE879" s="319"/>
      <c r="BF879" s="319"/>
      <c r="BG879" s="319"/>
      <c r="BH879" s="319"/>
      <c r="BI879" s="319"/>
      <c r="BJ879" s="319"/>
      <c r="BK879" s="319"/>
      <c r="BL879" s="319"/>
      <c r="BM879" s="319"/>
      <c r="BN879" s="319"/>
      <c r="BO879" s="319"/>
      <c r="BP879" s="319"/>
      <c r="BQ879" s="319"/>
      <c r="BR879" s="319"/>
      <c r="BS879" s="319"/>
      <c r="BT879" s="319"/>
      <c r="BU879" s="319"/>
      <c r="BV879" s="319"/>
      <c r="BW879" s="319"/>
      <c r="BX879" s="319"/>
      <c r="BY879" s="319"/>
      <c r="BZ879" s="319"/>
      <c r="CA879" s="319"/>
      <c r="CB879" s="319"/>
      <c r="CC879" s="319"/>
      <c r="CD879" s="319"/>
      <c r="CE879" s="319"/>
      <c r="CF879" s="319"/>
    </row>
    <row r="880" spans="1:84" ht="12.75" hidden="1" customHeight="1">
      <c r="A880" s="12"/>
      <c r="B880" s="1" t="str">
        <f>B868</f>
        <v>Tecnologia</v>
      </c>
      <c r="C880" s="1"/>
      <c r="D880" s="303" t="s">
        <v>6107</v>
      </c>
      <c r="E880" s="1"/>
      <c r="F880" s="1"/>
      <c r="G880" s="1"/>
      <c r="H880" s="1"/>
      <c r="I880" s="1"/>
      <c r="J880" s="1"/>
      <c r="K880" s="9"/>
      <c r="L880" s="1"/>
      <c r="M880" s="319">
        <f>IF(ISERROR(D885),2,IF(AND(Q880=E1092,D885&lt;0.001),0,IF(Q880=E1088,2,1)))</f>
        <v>2</v>
      </c>
      <c r="N880" s="319"/>
      <c r="O880" s="319"/>
      <c r="P880" s="319"/>
      <c r="Q880" s="319" t="str">
        <f>IF(M31=2,IF(OR(EM_gridtype=2,EM_gridtype=4),E1088,EM_TypeValuePower1),EM_TypeValuePower1)</f>
        <v>Eletricidade da Rede</v>
      </c>
      <c r="R880" s="319"/>
      <c r="S880" s="319"/>
      <c r="T880" s="319"/>
      <c r="U880" s="319"/>
      <c r="V880" s="319"/>
      <c r="W880" s="319"/>
      <c r="X880" s="319"/>
      <c r="Y880" s="319"/>
      <c r="Z880" s="319"/>
      <c r="AA880" s="319"/>
      <c r="AB880" s="319"/>
      <c r="AC880" s="319"/>
      <c r="AD880" s="319"/>
      <c r="AE880" s="319"/>
      <c r="AF880" s="319"/>
      <c r="AG880" s="319"/>
      <c r="AH880" s="319"/>
      <c r="AI880" s="319"/>
      <c r="AJ880" s="319"/>
      <c r="AK880" s="319"/>
      <c r="AL880" s="319"/>
      <c r="AM880" s="319"/>
      <c r="AN880" s="319"/>
      <c r="AO880" s="319">
        <v>3011028</v>
      </c>
      <c r="AP880" s="319"/>
      <c r="AQ880" s="319"/>
      <c r="AR880" s="319"/>
      <c r="AS880" s="319"/>
      <c r="AT880" s="319"/>
      <c r="AU880" s="319"/>
      <c r="AV880" s="319"/>
      <c r="AW880" s="319"/>
      <c r="AX880" s="319"/>
      <c r="AY880" s="319"/>
      <c r="AZ880" s="319"/>
      <c r="BA880" s="319"/>
      <c r="BB880" s="319"/>
      <c r="BC880" s="319"/>
      <c r="BD880" s="319"/>
      <c r="BE880" s="319"/>
      <c r="BF880" s="319"/>
      <c r="BG880" s="319"/>
      <c r="BH880" s="319"/>
      <c r="BI880" s="319"/>
      <c r="BJ880" s="319"/>
      <c r="BK880" s="319"/>
      <c r="BL880" s="319"/>
      <c r="BM880" s="319"/>
      <c r="BN880" s="319"/>
      <c r="BO880" s="319"/>
      <c r="BP880" s="319"/>
      <c r="BQ880" s="319"/>
      <c r="BR880" s="319"/>
      <c r="BS880" s="319"/>
      <c r="BT880" s="319"/>
      <c r="BU880" s="319"/>
      <c r="BV880" s="319"/>
      <c r="BW880" s="319"/>
      <c r="BX880" s="319"/>
      <c r="BY880" s="319"/>
      <c r="BZ880" s="319"/>
      <c r="CA880" s="319"/>
      <c r="CB880" s="319"/>
      <c r="CC880" s="319"/>
      <c r="CD880" s="319"/>
      <c r="CE880" s="319"/>
      <c r="CF880" s="319"/>
    </row>
    <row r="881" spans="1:84" ht="13.2" hidden="1">
      <c r="A881" s="12"/>
      <c r="B881" s="1" t="str">
        <f>B8</f>
        <v>Tipo de Combustível</v>
      </c>
      <c r="C881" s="1"/>
      <c r="D881" s="419" t="s">
        <v>7046</v>
      </c>
      <c r="E881" s="809" t="str">
        <f>K38</f>
        <v>Completar planilha Ferramentas</v>
      </c>
      <c r="F881" s="1"/>
      <c r="G881" s="1"/>
      <c r="H881" s="1"/>
      <c r="I881" s="1"/>
      <c r="J881" s="1"/>
      <c r="K881" s="9"/>
      <c r="L881" s="1"/>
      <c r="M881" s="319"/>
      <c r="N881" s="319"/>
      <c r="O881" s="319"/>
      <c r="P881" s="319"/>
      <c r="Q881" s="319">
        <f>SUMIF($B$1102:$B$1105,EM_FuelP,$A$1102:$A$1105)</f>
        <v>0</v>
      </c>
      <c r="R881" s="319"/>
      <c r="S881" s="319"/>
      <c r="T881" s="319"/>
      <c r="U881" s="319"/>
      <c r="V881" s="319"/>
      <c r="W881" s="319"/>
      <c r="X881" s="319"/>
      <c r="Y881" s="319"/>
      <c r="Z881" s="319"/>
      <c r="AA881" s="319"/>
      <c r="AB881" s="319"/>
      <c r="AC881" s="319"/>
      <c r="AD881" s="319"/>
      <c r="AE881" s="319"/>
      <c r="AF881" s="319"/>
      <c r="AG881" s="319"/>
      <c r="AH881" s="319"/>
      <c r="AI881" s="319"/>
      <c r="AJ881" s="319"/>
      <c r="AK881" s="319"/>
      <c r="AL881" s="319"/>
      <c r="AM881" s="319"/>
      <c r="AN881" s="319"/>
      <c r="AO881" s="319">
        <v>2010106</v>
      </c>
      <c r="AP881" s="319"/>
      <c r="AQ881" s="319"/>
      <c r="AR881" s="319"/>
      <c r="AS881" s="319"/>
      <c r="AT881" s="319"/>
      <c r="AU881" s="319"/>
      <c r="AV881" s="319"/>
      <c r="AW881" s="319"/>
      <c r="AX881" s="319"/>
      <c r="AY881" s="319"/>
      <c r="AZ881" s="319"/>
      <c r="BA881" s="319"/>
      <c r="BB881" s="319"/>
      <c r="BC881" s="319"/>
      <c r="BD881" s="319"/>
      <c r="BE881" s="319"/>
      <c r="BF881" s="319"/>
      <c r="BG881" s="319"/>
      <c r="BH881" s="319"/>
      <c r="BI881" s="319"/>
      <c r="BJ881" s="319"/>
      <c r="BK881" s="319"/>
      <c r="BL881" s="319"/>
      <c r="BM881" s="319"/>
      <c r="BN881" s="319"/>
      <c r="BO881" s="319"/>
      <c r="BP881" s="319"/>
      <c r="BQ881" s="319"/>
      <c r="BR881" s="319"/>
      <c r="BS881" s="319"/>
      <c r="BT881" s="319"/>
      <c r="BU881" s="319"/>
      <c r="BV881" s="319"/>
      <c r="BW881" s="319"/>
      <c r="BX881" s="319"/>
      <c r="BY881" s="319"/>
      <c r="BZ881" s="319"/>
      <c r="CA881" s="319"/>
      <c r="CB881" s="319"/>
      <c r="CC881" s="319"/>
      <c r="CD881" s="319"/>
      <c r="CE881" s="319"/>
      <c r="CF881" s="319"/>
    </row>
    <row r="882" spans="1:84" ht="12.75" hidden="1" customHeight="1">
      <c r="A882" s="12"/>
      <c r="B882" s="1" t="str">
        <f>I42</f>
        <v>Preço do combustível</v>
      </c>
      <c r="C882" s="29" t="str">
        <f>VLOOKUP(D881,$P$1062:$T$1085,5,FALSE)</f>
        <v>€/m³</v>
      </c>
      <c r="D882" s="399"/>
      <c r="E882" s="1"/>
      <c r="F882" s="1"/>
      <c r="G882" s="1"/>
      <c r="H882" s="1"/>
      <c r="I882" s="1"/>
      <c r="J882" s="1"/>
      <c r="K882" s="9"/>
      <c r="L882" s="1"/>
      <c r="M882" s="319"/>
      <c r="N882" s="319"/>
      <c r="O882" s="319"/>
      <c r="P882" s="319"/>
      <c r="Q882" s="319"/>
      <c r="R882" s="319"/>
      <c r="S882" s="319"/>
      <c r="T882" s="319"/>
      <c r="U882" s="319"/>
      <c r="V882" s="319">
        <f>IF(G943="",0,1)*IF(HideCodeES_PSS=2,IF(C854=E1094,U551,U35),0)</f>
        <v>0</v>
      </c>
      <c r="W882" s="319"/>
      <c r="X882" s="319"/>
      <c r="Y882" s="319"/>
      <c r="Z882" s="319"/>
      <c r="AA882" s="319"/>
      <c r="AB882" s="319"/>
      <c r="AC882" s="319"/>
      <c r="AD882" s="319"/>
      <c r="AE882" s="319"/>
      <c r="AF882" s="319"/>
      <c r="AG882" s="319"/>
      <c r="AH882" s="319"/>
      <c r="AI882" s="319"/>
      <c r="AJ882" s="319"/>
      <c r="AK882" s="319"/>
      <c r="AL882" s="319"/>
      <c r="AM882" s="319"/>
      <c r="AN882" s="319"/>
      <c r="AO882" s="319">
        <v>2010108</v>
      </c>
      <c r="AP882" s="319"/>
      <c r="AQ882" s="319"/>
      <c r="AR882" s="319"/>
      <c r="AS882" s="319"/>
      <c r="AT882" s="319"/>
      <c r="AU882" s="319"/>
      <c r="AV882" s="319"/>
      <c r="AW882" s="319"/>
      <c r="AX882" s="319"/>
      <c r="AY882" s="319"/>
      <c r="AZ882" s="319"/>
      <c r="BA882" s="319"/>
      <c r="BB882" s="319"/>
      <c r="BC882" s="319"/>
      <c r="BD882" s="319"/>
      <c r="BE882" s="319"/>
      <c r="BF882" s="319"/>
      <c r="BG882" s="319"/>
      <c r="BH882" s="319"/>
      <c r="BI882" s="319"/>
      <c r="BJ882" s="319"/>
      <c r="BK882" s="319"/>
      <c r="BL882" s="319"/>
      <c r="BM882" s="319"/>
      <c r="BN882" s="319"/>
      <c r="BO882" s="319"/>
      <c r="BP882" s="319"/>
      <c r="BQ882" s="319"/>
      <c r="BR882" s="319"/>
      <c r="BS882" s="319"/>
      <c r="BT882" s="319"/>
      <c r="BU882" s="319"/>
      <c r="BV882" s="319"/>
      <c r="BW882" s="319"/>
      <c r="BX882" s="319"/>
      <c r="BY882" s="319"/>
      <c r="BZ882" s="319"/>
      <c r="CA882" s="319"/>
      <c r="CB882" s="319"/>
      <c r="CC882" s="319"/>
      <c r="CD882" s="319"/>
      <c r="CE882" s="319"/>
      <c r="CF882" s="319"/>
    </row>
    <row r="883" spans="1:84" ht="12.75" hidden="1" customHeight="1">
      <c r="A883" s="12"/>
      <c r="B883" s="1" t="str">
        <f>Language!C215</f>
        <v>Capacidade sugerida</v>
      </c>
      <c r="C883" s="29" t="str">
        <f>$C$870</f>
        <v>kW</v>
      </c>
      <c r="D883" s="140">
        <f>IF(P866-IF(V883=1,V870,0)-IF(V882=1,V876,0)&lt;0,IF(E871+E877=1,0,P866),P866-IF(V883=1,V870,0)-IF(V882=1,V876,0))</f>
        <v>0</v>
      </c>
      <c r="E883" s="1"/>
      <c r="F883" s="1"/>
      <c r="G883" s="1"/>
      <c r="H883" s="1"/>
      <c r="I883" s="1"/>
      <c r="J883" s="1"/>
      <c r="K883" s="9"/>
      <c r="L883" s="1"/>
      <c r="M883" s="319"/>
      <c r="N883" s="319"/>
      <c r="O883" s="319"/>
      <c r="P883" s="319"/>
      <c r="Q883" s="319"/>
      <c r="R883" s="319"/>
      <c r="S883" s="319"/>
      <c r="T883" s="319"/>
      <c r="U883" s="319"/>
      <c r="V883" s="319">
        <f>IF(G940="",0,1)*IF(HideCodeES_PSS=1,U35,IF(C854=E1094,U35,U551))</f>
        <v>0</v>
      </c>
      <c r="W883" s="319"/>
      <c r="X883" s="319"/>
      <c r="Y883" s="319"/>
      <c r="Z883" s="319"/>
      <c r="AA883" s="319"/>
      <c r="AB883" s="319"/>
      <c r="AC883" s="319"/>
      <c r="AD883" s="319"/>
      <c r="AE883" s="319"/>
      <c r="AF883" s="319"/>
      <c r="AG883" s="319"/>
      <c r="AH883" s="319"/>
      <c r="AI883" s="319"/>
      <c r="AJ883" s="319"/>
      <c r="AK883" s="319"/>
      <c r="AL883" s="319"/>
      <c r="AM883" s="319"/>
      <c r="AN883" s="319"/>
      <c r="AO883" s="319">
        <v>3011034</v>
      </c>
      <c r="AP883" s="319"/>
      <c r="AQ883" s="319"/>
      <c r="AR883" s="319"/>
      <c r="AS883" s="319"/>
      <c r="AT883" s="319"/>
      <c r="AU883" s="319"/>
      <c r="AV883" s="319"/>
      <c r="AW883" s="319"/>
      <c r="AX883" s="319"/>
      <c r="AY883" s="319"/>
      <c r="AZ883" s="319"/>
      <c r="BA883" s="319"/>
      <c r="BB883" s="319"/>
      <c r="BC883" s="319"/>
      <c r="BD883" s="319"/>
      <c r="BE883" s="319"/>
      <c r="BF883" s="319"/>
      <c r="BG883" s="319"/>
      <c r="BH883" s="319"/>
      <c r="BI883" s="319"/>
      <c r="BJ883" s="319"/>
      <c r="BK883" s="319"/>
      <c r="BL883" s="319"/>
      <c r="BM883" s="319"/>
      <c r="BN883" s="319"/>
      <c r="BO883" s="319"/>
      <c r="BP883" s="319"/>
      <c r="BQ883" s="319"/>
      <c r="BR883" s="319"/>
      <c r="BS883" s="319"/>
      <c r="BT883" s="319"/>
      <c r="BU883" s="319"/>
      <c r="BV883" s="319"/>
      <c r="BW883" s="319"/>
      <c r="BX883" s="319"/>
      <c r="BY883" s="319"/>
      <c r="BZ883" s="319"/>
      <c r="CA883" s="319"/>
      <c r="CB883" s="319"/>
      <c r="CC883" s="319"/>
      <c r="CD883" s="319"/>
      <c r="CE883" s="319"/>
      <c r="CF883" s="319"/>
    </row>
    <row r="884" spans="1:84" ht="12.75" hidden="1" customHeight="1">
      <c r="A884" s="12"/>
      <c r="B884" s="1" t="str">
        <f>B870</f>
        <v>Capacidade</v>
      </c>
      <c r="C884" s="29" t="str">
        <f>$C$870</f>
        <v>kW</v>
      </c>
      <c r="D884" s="412"/>
      <c r="E884" s="80">
        <f>IF(P866=0,0,D884/P866)</f>
        <v>0</v>
      </c>
      <c r="F884" s="1346"/>
      <c r="G884" s="1"/>
      <c r="H884" s="1"/>
      <c r="I884" s="1"/>
      <c r="J884" s="1"/>
      <c r="K884" s="9"/>
      <c r="L884" s="1"/>
      <c r="M884" s="319"/>
      <c r="N884" s="319"/>
      <c r="O884" s="319" t="s">
        <v>1994</v>
      </c>
      <c r="P884" s="494">
        <f>IF(AND(Iniciar!P3=1,Offgrid=5,'Modelo Energético'!M31=2),'Modelo Energético '!D535,IF(OR(EM_gridtype=2,EM_gridtype=4),IF(M31=2,D883,D884),D884))</f>
        <v>0</v>
      </c>
      <c r="Q884" s="319"/>
      <c r="R884" s="319"/>
      <c r="S884" s="319"/>
      <c r="T884" s="319"/>
      <c r="U884" s="319"/>
      <c r="V884" s="319"/>
      <c r="W884" s="319"/>
      <c r="X884" s="319"/>
      <c r="Y884" s="319"/>
      <c r="Z884" s="319"/>
      <c r="AA884" s="319"/>
      <c r="AB884" s="319"/>
      <c r="AC884" s="319"/>
      <c r="AD884" s="319"/>
      <c r="AE884" s="319"/>
      <c r="AF884" s="319"/>
      <c r="AG884" s="319"/>
      <c r="AH884" s="319"/>
      <c r="AI884" s="319"/>
      <c r="AJ884" s="319"/>
      <c r="AK884" s="319"/>
      <c r="AL884" s="319"/>
      <c r="AM884" s="319"/>
      <c r="AN884" s="319"/>
      <c r="AO884" s="319">
        <v>3011036</v>
      </c>
      <c r="AP884" s="319"/>
      <c r="AQ884" s="319"/>
      <c r="AR884" s="319"/>
      <c r="AS884" s="319"/>
      <c r="AT884" s="319"/>
      <c r="AU884" s="319"/>
      <c r="AV884" s="319"/>
      <c r="AW884" s="319"/>
      <c r="AX884" s="319"/>
      <c r="AY884" s="319"/>
      <c r="AZ884" s="319"/>
      <c r="BA884" s="319"/>
      <c r="BB884" s="319"/>
      <c r="BC884" s="319"/>
      <c r="BD884" s="319"/>
      <c r="BE884" s="319"/>
      <c r="BF884" s="319"/>
      <c r="BG884" s="319"/>
      <c r="BH884" s="319"/>
      <c r="BI884" s="319"/>
      <c r="BJ884" s="319"/>
      <c r="BK884" s="319"/>
      <c r="BL884" s="319"/>
      <c r="BM884" s="319"/>
      <c r="BN884" s="319"/>
      <c r="BO884" s="319"/>
      <c r="BP884" s="319"/>
      <c r="BQ884" s="319"/>
      <c r="BR884" s="319"/>
      <c r="BS884" s="319"/>
      <c r="BT884" s="319"/>
      <c r="BU884" s="319"/>
      <c r="BV884" s="319"/>
      <c r="BW884" s="319"/>
      <c r="BX884" s="319"/>
      <c r="BY884" s="319"/>
      <c r="BZ884" s="319"/>
      <c r="CA884" s="319"/>
      <c r="CB884" s="319"/>
      <c r="CC884" s="319"/>
      <c r="CD884" s="319"/>
      <c r="CE884" s="319"/>
      <c r="CF884" s="319"/>
    </row>
    <row r="885" spans="1:84" ht="12.75" hidden="1" customHeight="1">
      <c r="A885" s="12"/>
      <c r="B885" s="1" t="str">
        <f>B871</f>
        <v>Eletricidade fornecida à carga</v>
      </c>
      <c r="C885" s="29" t="str">
        <f>R14</f>
        <v>MWh</v>
      </c>
      <c r="D885" s="30">
        <f>IF(HideCodeES_PSS=1,P867-D871,P867-D877-D871)*IF(D883=0,0,IF(P884&gt;D883,1,P884/D883))</f>
        <v>0</v>
      </c>
      <c r="E885" s="80">
        <f>IF(P867=0,0,D885/P867)</f>
        <v>0</v>
      </c>
      <c r="F885" s="1"/>
      <c r="G885" s="1"/>
      <c r="H885" s="1"/>
      <c r="I885" s="1"/>
      <c r="J885" s="1"/>
      <c r="K885" s="9"/>
      <c r="L885" s="1"/>
      <c r="M885" s="319"/>
      <c r="N885" s="319"/>
      <c r="O885" s="319"/>
      <c r="P885" s="319"/>
      <c r="Q885" s="319"/>
      <c r="R885" s="319"/>
      <c r="S885" s="319"/>
      <c r="T885" s="319"/>
      <c r="U885" s="319"/>
      <c r="V885" s="319">
        <f>IF(HideCodeEM_Power_Peak=2,D815*D885,D885*S888/1000/3.6*1000/VLOOKUP(D881,P1062:T1085,4,FALSE)*D882)</f>
        <v>0</v>
      </c>
      <c r="W885" s="319"/>
      <c r="X885" s="319"/>
      <c r="Y885" s="319"/>
      <c r="Z885" s="319"/>
      <c r="AA885" s="319"/>
      <c r="AB885" s="319"/>
      <c r="AC885" s="319"/>
      <c r="AD885" s="319"/>
      <c r="AE885" s="319"/>
      <c r="AF885" s="319"/>
      <c r="AG885" s="319"/>
      <c r="AH885" s="319"/>
      <c r="AI885" s="319"/>
      <c r="AJ885" s="319"/>
      <c r="AK885" s="319"/>
      <c r="AL885" s="319"/>
      <c r="AM885" s="319"/>
      <c r="AN885" s="319"/>
      <c r="AO885" s="319">
        <v>3011038</v>
      </c>
      <c r="AP885" s="319"/>
      <c r="AQ885" s="319"/>
      <c r="AR885" s="319"/>
      <c r="AS885" s="319"/>
      <c r="AT885" s="319"/>
      <c r="AU885" s="319"/>
      <c r="AV885" s="319"/>
      <c r="AW885" s="319"/>
      <c r="AX885" s="319"/>
      <c r="AY885" s="319"/>
      <c r="AZ885" s="319"/>
      <c r="BA885" s="319"/>
      <c r="BB885" s="319"/>
      <c r="BC885" s="319"/>
      <c r="BD885" s="319"/>
      <c r="BE885" s="319"/>
      <c r="BF885" s="319"/>
      <c r="BG885" s="319"/>
      <c r="BH885" s="319"/>
      <c r="BI885" s="319"/>
      <c r="BJ885" s="319"/>
      <c r="BK885" s="319"/>
      <c r="BL885" s="319"/>
      <c r="BM885" s="319"/>
      <c r="BN885" s="319"/>
      <c r="BO885" s="319"/>
      <c r="BP885" s="319"/>
      <c r="BQ885" s="319"/>
      <c r="BR885" s="319"/>
      <c r="BS885" s="319"/>
      <c r="BT885" s="319"/>
      <c r="BU885" s="319"/>
      <c r="BV885" s="319"/>
      <c r="BW885" s="319"/>
      <c r="BX885" s="319"/>
      <c r="BY885" s="319"/>
      <c r="BZ885" s="319"/>
      <c r="CA885" s="319"/>
      <c r="CB885" s="319"/>
      <c r="CC885" s="319"/>
      <c r="CD885" s="319"/>
      <c r="CE885" s="319"/>
      <c r="CF885" s="319"/>
    </row>
    <row r="886" spans="1:84" ht="12.75" hidden="1" customHeight="1">
      <c r="A886" s="12"/>
      <c r="B886" s="1" t="str">
        <f>B917</f>
        <v>Fabricante</v>
      </c>
      <c r="C886" s="1"/>
      <c r="D886" s="313"/>
      <c r="E886" s="810" t="str">
        <f>Language!C56</f>
        <v>Ver BDP</v>
      </c>
      <c r="F886" s="1"/>
      <c r="G886" s="1"/>
      <c r="H886" s="1"/>
      <c r="I886" s="1"/>
      <c r="J886" s="1"/>
      <c r="K886" s="9"/>
      <c r="L886" s="1"/>
      <c r="M886" s="319"/>
      <c r="N886" s="319"/>
      <c r="O886" s="481"/>
      <c r="P886" s="319"/>
      <c r="Q886" s="319"/>
      <c r="R886" s="319"/>
      <c r="S886" s="319"/>
      <c r="T886" s="319"/>
      <c r="U886" s="319"/>
      <c r="V886" s="319"/>
      <c r="W886" s="319"/>
      <c r="X886" s="319"/>
      <c r="Y886" s="319"/>
      <c r="Z886" s="319"/>
      <c r="AA886" s="319"/>
      <c r="AB886" s="319"/>
      <c r="AC886" s="319"/>
      <c r="AD886" s="319"/>
      <c r="AE886" s="319"/>
      <c r="AF886" s="319"/>
      <c r="AG886" s="319"/>
      <c r="AH886" s="319"/>
      <c r="AI886" s="319"/>
      <c r="AJ886" s="319"/>
      <c r="AK886" s="319"/>
      <c r="AL886" s="319"/>
      <c r="AM886" s="319"/>
      <c r="AN886" s="319"/>
      <c r="AO886" s="319">
        <v>2050012</v>
      </c>
      <c r="AP886" s="319"/>
      <c r="AQ886" s="319"/>
      <c r="AR886" s="319"/>
      <c r="AS886" s="319"/>
      <c r="AT886" s="319"/>
      <c r="AU886" s="319"/>
      <c r="AV886" s="319"/>
      <c r="AW886" s="319"/>
      <c r="AX886" s="319"/>
      <c r="AY886" s="319"/>
      <c r="AZ886" s="319"/>
      <c r="BA886" s="319"/>
      <c r="BB886" s="319"/>
      <c r="BC886" s="319"/>
      <c r="BD886" s="319"/>
      <c r="BE886" s="319"/>
      <c r="BF886" s="319"/>
      <c r="BG886" s="319"/>
      <c r="BH886" s="319"/>
      <c r="BI886" s="319"/>
      <c r="BJ886" s="319"/>
      <c r="BK886" s="319"/>
      <c r="BL886" s="319"/>
      <c r="BM886" s="319"/>
      <c r="BN886" s="319"/>
      <c r="BO886" s="319"/>
      <c r="BP886" s="319"/>
      <c r="BQ886" s="319"/>
      <c r="BR886" s="319"/>
      <c r="BS886" s="319"/>
      <c r="BT886" s="319"/>
      <c r="BU886" s="319"/>
      <c r="BV886" s="319"/>
      <c r="BW886" s="319"/>
      <c r="BX886" s="319"/>
      <c r="BY886" s="319"/>
      <c r="BZ886" s="319"/>
      <c r="CA886" s="319"/>
      <c r="CB886" s="319"/>
      <c r="CC886" s="319"/>
      <c r="CD886" s="319"/>
      <c r="CE886" s="319"/>
      <c r="CF886" s="319"/>
    </row>
    <row r="887" spans="1:84" ht="12.75" hidden="1" customHeight="1">
      <c r="A887" s="12"/>
      <c r="B887" s="1" t="str">
        <f>B918</f>
        <v>Modelo</v>
      </c>
      <c r="C887" s="1"/>
      <c r="D887" s="313"/>
      <c r="E887" s="1" t="str">
        <f>$J$1080 &amp; Lang_Unit</f>
        <v>1 unidade(s)</v>
      </c>
      <c r="F887" s="1"/>
      <c r="G887" s="1"/>
      <c r="H887" s="1"/>
      <c r="I887" s="1"/>
      <c r="J887" s="1"/>
      <c r="K887" s="9"/>
      <c r="L887" s="1"/>
      <c r="M887" s="319"/>
      <c r="N887" s="319"/>
      <c r="O887" s="319"/>
      <c r="P887" s="319"/>
      <c r="Q887" s="319"/>
      <c r="R887" s="319"/>
      <c r="S887" s="319"/>
      <c r="T887" s="319"/>
      <c r="U887" s="319"/>
      <c r="V887" s="319"/>
      <c r="W887" s="319"/>
      <c r="X887" s="319"/>
      <c r="Y887" s="319"/>
      <c r="Z887" s="319"/>
      <c r="AA887" s="319"/>
      <c r="AB887" s="319"/>
      <c r="AC887" s="319"/>
      <c r="AD887" s="319"/>
      <c r="AE887" s="319"/>
      <c r="AF887" s="319"/>
      <c r="AG887" s="319"/>
      <c r="AH887" s="319"/>
      <c r="AI887" s="319"/>
      <c r="AJ887" s="319"/>
      <c r="AK887" s="319"/>
      <c r="AL887" s="319"/>
      <c r="AM887" s="319"/>
      <c r="AN887" s="319"/>
      <c r="AO887" s="319">
        <v>2050014</v>
      </c>
      <c r="AP887" s="319"/>
      <c r="AQ887" s="319"/>
      <c r="AR887" s="319"/>
      <c r="AS887" s="319"/>
      <c r="AT887" s="319"/>
      <c r="AU887" s="319"/>
      <c r="AV887" s="319"/>
      <c r="AW887" s="319"/>
      <c r="AX887" s="319"/>
      <c r="AY887" s="319"/>
      <c r="AZ887" s="319"/>
      <c r="BA887" s="319"/>
      <c r="BB887" s="319"/>
      <c r="BC887" s="319"/>
      <c r="BD887" s="319"/>
      <c r="BE887" s="319"/>
      <c r="BF887" s="319"/>
      <c r="BG887" s="319"/>
      <c r="BH887" s="319"/>
      <c r="BI887" s="319"/>
      <c r="BJ887" s="319"/>
      <c r="BK887" s="319"/>
      <c r="BL887" s="319"/>
      <c r="BM887" s="319"/>
      <c r="BN887" s="319"/>
      <c r="BO887" s="319"/>
      <c r="BP887" s="319"/>
      <c r="BQ887" s="319"/>
      <c r="BR887" s="319"/>
      <c r="BS887" s="319"/>
      <c r="BT887" s="319"/>
      <c r="BU887" s="319"/>
      <c r="BV887" s="319"/>
      <c r="BW887" s="319"/>
      <c r="BX887" s="319"/>
      <c r="BY887" s="319"/>
      <c r="BZ887" s="319"/>
      <c r="CA887" s="319"/>
      <c r="CB887" s="319"/>
      <c r="CC887" s="319"/>
      <c r="CD887" s="319"/>
      <c r="CE887" s="319"/>
      <c r="CF887" s="319"/>
    </row>
    <row r="888" spans="1:84" ht="12.75" hidden="1" customHeight="1">
      <c r="A888" s="12"/>
      <c r="B888" s="1" t="str">
        <f>Language!C216</f>
        <v>Preço do calor</v>
      </c>
      <c r="C888" s="303" t="s">
        <v>4213</v>
      </c>
      <c r="D888" s="307"/>
      <c r="E888" s="1"/>
      <c r="F888" s="1"/>
      <c r="G888" s="1"/>
      <c r="H888" s="1"/>
      <c r="I888" s="1"/>
      <c r="J888" s="1"/>
      <c r="K888" s="9"/>
      <c r="L888" s="1"/>
      <c r="M888" s="319"/>
      <c r="N888" s="319"/>
      <c r="O888" s="319"/>
      <c r="P888" s="319"/>
      <c r="Q888" s="319"/>
      <c r="R888" s="319" t="s">
        <v>4213</v>
      </c>
      <c r="S888" s="319">
        <f>IF(C888=$Z$1095,D888,D888*AA1096)</f>
        <v>0</v>
      </c>
      <c r="T888" s="319"/>
      <c r="U888" s="319"/>
      <c r="V888" s="319"/>
      <c r="W888" s="319"/>
      <c r="X888" s="319"/>
      <c r="Y888" s="319"/>
      <c r="Z888" s="319"/>
      <c r="AA888" s="319"/>
      <c r="AB888" s="319"/>
      <c r="AC888" s="319"/>
      <c r="AD888" s="319"/>
      <c r="AE888" s="319"/>
      <c r="AF888" s="319"/>
      <c r="AG888" s="319"/>
      <c r="AH888" s="319"/>
      <c r="AI888" s="319"/>
      <c r="AJ888" s="319"/>
      <c r="AK888" s="319"/>
      <c r="AL888" s="319"/>
      <c r="AM888" s="319"/>
      <c r="AN888" s="319"/>
      <c r="AO888" s="319">
        <v>3011044</v>
      </c>
      <c r="AP888" s="319"/>
      <c r="AQ888" s="319"/>
      <c r="AR888" s="319"/>
      <c r="AS888" s="319"/>
      <c r="AT888" s="319"/>
      <c r="AU888" s="319"/>
      <c r="AV888" s="319"/>
      <c r="AW888" s="319"/>
      <c r="AX888" s="319"/>
      <c r="AY888" s="319"/>
      <c r="AZ888" s="319"/>
      <c r="BA888" s="319"/>
      <c r="BB888" s="319"/>
      <c r="BC888" s="319"/>
      <c r="BD888" s="319"/>
      <c r="BE888" s="319"/>
      <c r="BF888" s="319"/>
      <c r="BG888" s="319"/>
      <c r="BH888" s="319"/>
      <c r="BI888" s="319"/>
      <c r="BJ888" s="319"/>
      <c r="BK888" s="319"/>
      <c r="BL888" s="319"/>
      <c r="BM888" s="319"/>
      <c r="BN888" s="319"/>
      <c r="BO888" s="319"/>
      <c r="BP888" s="319"/>
      <c r="BQ888" s="319"/>
      <c r="BR888" s="319"/>
      <c r="BS888" s="319"/>
      <c r="BT888" s="319"/>
      <c r="BU888" s="319"/>
      <c r="BV888" s="319"/>
      <c r="BW888" s="319"/>
      <c r="BX888" s="319"/>
      <c r="BY888" s="319"/>
      <c r="BZ888" s="319"/>
      <c r="CA888" s="319"/>
      <c r="CB888" s="319"/>
      <c r="CC888" s="319"/>
      <c r="CD888" s="319"/>
      <c r="CE888" s="319"/>
      <c r="CF888" s="319"/>
    </row>
    <row r="889" spans="1:84" ht="12.75" hidden="1" customHeight="1">
      <c r="A889" s="436"/>
      <c r="B889" s="28" t="str">
        <f>Language!C217</f>
        <v>Sistema elétrico de back-up (opcional)</v>
      </c>
      <c r="C889" s="1"/>
      <c r="D889" s="776" t="str">
        <f>IF(D884&lt;D883,E1064,IF(D883=0,"",IF(D884&gt;=D883,"",E1065)))</f>
        <v/>
      </c>
      <c r="E889" s="1"/>
      <c r="F889" s="1"/>
      <c r="G889" s="1"/>
      <c r="H889" s="1"/>
      <c r="I889" s="1"/>
      <c r="J889" s="1"/>
      <c r="K889" s="9"/>
      <c r="L889" s="1"/>
      <c r="M889" s="319"/>
      <c r="N889" s="319"/>
      <c r="O889" s="319"/>
      <c r="P889" s="319"/>
      <c r="Q889" s="319"/>
      <c r="R889" s="319"/>
      <c r="S889" s="319"/>
      <c r="T889" s="319"/>
      <c r="U889" s="319"/>
      <c r="V889" s="319"/>
      <c r="W889" s="319"/>
      <c r="X889" s="319"/>
      <c r="Y889" s="319"/>
      <c r="Z889" s="319"/>
      <c r="AA889" s="319"/>
      <c r="AB889" s="319"/>
      <c r="AC889" s="319"/>
      <c r="AD889" s="319"/>
      <c r="AE889" s="319"/>
      <c r="AF889" s="319"/>
      <c r="AG889" s="319"/>
      <c r="AH889" s="319"/>
      <c r="AI889" s="319"/>
      <c r="AJ889" s="319"/>
      <c r="AK889" s="319"/>
      <c r="AL889" s="319"/>
      <c r="AM889" s="319"/>
      <c r="AN889" s="319"/>
      <c r="AO889" s="319">
        <v>3011046</v>
      </c>
      <c r="AP889" s="319"/>
      <c r="AQ889" s="319"/>
      <c r="AR889" s="319"/>
      <c r="AS889" s="319"/>
      <c r="AT889" s="319"/>
      <c r="AU889" s="319"/>
      <c r="AV889" s="319"/>
      <c r="AW889" s="319"/>
      <c r="AX889" s="319"/>
      <c r="AY889" s="319"/>
      <c r="AZ889" s="319"/>
      <c r="BA889" s="319"/>
      <c r="BB889" s="319"/>
      <c r="BC889" s="319"/>
      <c r="BD889" s="319"/>
      <c r="BE889" s="319"/>
      <c r="BF889" s="319"/>
      <c r="BG889" s="319"/>
      <c r="BH889" s="319"/>
      <c r="BI889" s="319"/>
      <c r="BJ889" s="319"/>
      <c r="BK889" s="319"/>
      <c r="BL889" s="319"/>
      <c r="BM889" s="319"/>
      <c r="BN889" s="319"/>
      <c r="BO889" s="319"/>
      <c r="BP889" s="319"/>
      <c r="BQ889" s="319"/>
      <c r="BR889" s="319"/>
      <c r="BS889" s="319"/>
      <c r="BT889" s="319"/>
      <c r="BU889" s="319"/>
      <c r="BV889" s="319"/>
      <c r="BW889" s="319"/>
      <c r="BX889" s="319"/>
      <c r="BY889" s="319"/>
      <c r="BZ889" s="319"/>
      <c r="CA889" s="319"/>
      <c r="CB889" s="319"/>
      <c r="CC889" s="319"/>
      <c r="CD889" s="319"/>
      <c r="CE889" s="319"/>
      <c r="CF889" s="319"/>
    </row>
    <row r="890" spans="1:84" ht="12.75" hidden="1" customHeight="1">
      <c r="A890" s="12"/>
      <c r="B890" s="1" t="str">
        <f>B868</f>
        <v>Tecnologia</v>
      </c>
      <c r="C890" s="1"/>
      <c r="D890" s="313"/>
      <c r="E890" s="1"/>
      <c r="F890" s="1"/>
      <c r="G890" s="1"/>
      <c r="H890" s="1"/>
      <c r="I890" s="1"/>
      <c r="J890" s="1"/>
      <c r="K890" s="9"/>
      <c r="L890" s="1"/>
      <c r="M890" s="319"/>
      <c r="N890" s="319"/>
      <c r="O890" s="319"/>
      <c r="P890" s="319"/>
      <c r="Q890" s="319"/>
      <c r="R890" s="319"/>
      <c r="S890" s="319"/>
      <c r="T890" s="319"/>
      <c r="U890" s="319"/>
      <c r="V890" s="319"/>
      <c r="W890" s="319"/>
      <c r="X890" s="319"/>
      <c r="Y890" s="319"/>
      <c r="Z890" s="319"/>
      <c r="AA890" s="319"/>
      <c r="AB890" s="319"/>
      <c r="AC890" s="319"/>
      <c r="AD890" s="319"/>
      <c r="AE890" s="319"/>
      <c r="AF890" s="319"/>
      <c r="AG890" s="319"/>
      <c r="AH890" s="319"/>
      <c r="AI890" s="319"/>
      <c r="AJ890" s="319"/>
      <c r="AK890" s="319"/>
      <c r="AL890" s="319"/>
      <c r="AM890" s="319"/>
      <c r="AN890" s="319"/>
      <c r="AO890" s="319">
        <v>3011048</v>
      </c>
      <c r="AP890" s="319"/>
      <c r="AQ890" s="319"/>
      <c r="AR890" s="319"/>
      <c r="AS890" s="319"/>
      <c r="AT890" s="319"/>
      <c r="AU890" s="319"/>
      <c r="AV890" s="319"/>
      <c r="AW890" s="319"/>
      <c r="AX890" s="319"/>
      <c r="AY890" s="319"/>
      <c r="AZ890" s="319"/>
      <c r="BA890" s="319"/>
      <c r="BB890" s="319"/>
      <c r="BC890" s="319"/>
      <c r="BD890" s="319"/>
      <c r="BE890" s="319"/>
      <c r="BF890" s="319"/>
      <c r="BG890" s="319"/>
      <c r="BH890" s="319"/>
      <c r="BI890" s="319"/>
      <c r="BJ890" s="319"/>
      <c r="BK890" s="319"/>
      <c r="BL890" s="319"/>
      <c r="BM890" s="319"/>
      <c r="BN890" s="319"/>
      <c r="BO890" s="319"/>
      <c r="BP890" s="319"/>
      <c r="BQ890" s="319"/>
      <c r="BR890" s="319"/>
      <c r="BS890" s="319"/>
      <c r="BT890" s="319"/>
      <c r="BU890" s="319"/>
      <c r="BV890" s="319"/>
      <c r="BW890" s="319"/>
      <c r="BX890" s="319"/>
      <c r="BY890" s="319"/>
      <c r="BZ890" s="319"/>
      <c r="CA890" s="319"/>
      <c r="CB890" s="319"/>
      <c r="CC890" s="319"/>
      <c r="CD890" s="319"/>
      <c r="CE890" s="319"/>
      <c r="CF890" s="319"/>
    </row>
    <row r="891" spans="1:84" ht="12.75" hidden="1" customHeight="1">
      <c r="A891" s="14"/>
      <c r="B891" s="15" t="str">
        <f>B870</f>
        <v>Capacidade</v>
      </c>
      <c r="C891" s="33" t="str">
        <f>$C$870</f>
        <v>kW</v>
      </c>
      <c r="D891" s="307">
        <v>0</v>
      </c>
      <c r="E891" s="15"/>
      <c r="F891" s="1346"/>
      <c r="G891" s="15"/>
      <c r="H891" s="15"/>
      <c r="I891" s="15"/>
      <c r="J891" s="15"/>
      <c r="K891" s="11"/>
      <c r="L891" s="1"/>
      <c r="M891" s="319"/>
      <c r="N891" s="319"/>
      <c r="O891" s="319"/>
      <c r="P891" s="319"/>
      <c r="Q891" s="319"/>
      <c r="R891" s="319"/>
      <c r="S891" s="319"/>
      <c r="T891" s="319"/>
      <c r="U891" s="319"/>
      <c r="V891" s="319"/>
      <c r="W891" s="319"/>
      <c r="X891" s="319"/>
      <c r="Y891" s="319"/>
      <c r="Z891" s="319"/>
      <c r="AA891" s="319"/>
      <c r="AB891" s="319"/>
      <c r="AC891" s="319"/>
      <c r="AD891" s="319"/>
      <c r="AE891" s="319"/>
      <c r="AF891" s="319"/>
      <c r="AG891" s="319"/>
      <c r="AH891" s="319"/>
      <c r="AI891" s="319"/>
      <c r="AJ891" s="319"/>
      <c r="AK891" s="319"/>
      <c r="AL891" s="319"/>
      <c r="AM891" s="319"/>
      <c r="AN891" s="319"/>
      <c r="AO891" s="319">
        <v>3011050</v>
      </c>
      <c r="AP891" s="319"/>
      <c r="AQ891" s="319"/>
      <c r="AR891" s="319"/>
      <c r="AS891" s="319"/>
      <c r="AT891" s="319"/>
      <c r="AU891" s="319"/>
      <c r="AV891" s="319"/>
      <c r="AW891" s="319"/>
      <c r="AX891" s="319"/>
      <c r="AY891" s="319"/>
      <c r="AZ891" s="319"/>
      <c r="BA891" s="319"/>
      <c r="BB891" s="319"/>
      <c r="BC891" s="319"/>
      <c r="BD891" s="319"/>
      <c r="BE891" s="319"/>
      <c r="BF891" s="319"/>
      <c r="BG891" s="319"/>
      <c r="BH891" s="319"/>
      <c r="BI891" s="319"/>
      <c r="BJ891" s="319"/>
      <c r="BK891" s="319"/>
      <c r="BL891" s="319"/>
      <c r="BM891" s="319"/>
      <c r="BN891" s="319"/>
      <c r="BO891" s="319"/>
      <c r="BP891" s="319"/>
      <c r="BQ891" s="319"/>
      <c r="BR891" s="319"/>
      <c r="BS891" s="319"/>
      <c r="BT891" s="319"/>
      <c r="BU891" s="319"/>
      <c r="BV891" s="319"/>
      <c r="BW891" s="319"/>
      <c r="BX891" s="319"/>
      <c r="BY891" s="319"/>
      <c r="BZ891" s="319"/>
      <c r="CA891" s="319"/>
      <c r="CB891" s="319"/>
      <c r="CC891" s="319"/>
      <c r="CD891" s="319"/>
      <c r="CE891" s="319"/>
      <c r="CF891" s="319"/>
    </row>
    <row r="892" spans="1:84" ht="12.75" hidden="1" customHeight="1">
      <c r="A892" s="1187" t="str">
        <f>Q865</f>
        <v>Aquecimento</v>
      </c>
      <c r="B892" s="1188"/>
      <c r="C892" s="1"/>
      <c r="D892" s="1"/>
      <c r="E892" s="1"/>
      <c r="F892" s="1"/>
      <c r="G892" s="1"/>
      <c r="H892" s="1"/>
      <c r="I892" s="1"/>
      <c r="J892" s="1"/>
      <c r="K892" s="9"/>
      <c r="L892" s="1"/>
      <c r="M892" s="319"/>
      <c r="N892" s="319"/>
      <c r="O892" s="319"/>
      <c r="P892" s="319"/>
      <c r="Q892" s="319"/>
      <c r="R892" s="319"/>
      <c r="S892" s="319"/>
      <c r="T892" s="319"/>
      <c r="U892" s="319"/>
      <c r="V892" s="319"/>
      <c r="W892" s="319"/>
      <c r="X892" s="319"/>
      <c r="Y892" s="319"/>
      <c r="Z892" s="319"/>
      <c r="AA892" s="319"/>
      <c r="AB892" s="319"/>
      <c r="AC892" s="319"/>
      <c r="AD892" s="319"/>
      <c r="AE892" s="319"/>
      <c r="AF892" s="319"/>
      <c r="AG892" s="319"/>
      <c r="AH892" s="319"/>
      <c r="AI892" s="319"/>
      <c r="AJ892" s="319"/>
      <c r="AK892" s="319"/>
      <c r="AL892" s="319"/>
      <c r="AM892" s="319"/>
      <c r="AN892" s="319"/>
      <c r="AO892" s="319">
        <v>3012000</v>
      </c>
      <c r="AP892" s="319"/>
      <c r="AQ892" s="319"/>
      <c r="AR892" s="319"/>
      <c r="AS892" s="319"/>
      <c r="AT892" s="319"/>
      <c r="AU892" s="319"/>
      <c r="AV892" s="319"/>
      <c r="AW892" s="319"/>
      <c r="AX892" s="319"/>
      <c r="AY892" s="319"/>
      <c r="AZ892" s="319"/>
      <c r="BA892" s="319"/>
      <c r="BB892" s="319"/>
      <c r="BC892" s="319"/>
      <c r="BD892" s="319"/>
      <c r="BE892" s="319"/>
      <c r="BF892" s="319"/>
      <c r="BG892" s="319"/>
      <c r="BH892" s="319"/>
      <c r="BI892" s="319"/>
      <c r="BJ892" s="319"/>
      <c r="BK892" s="319"/>
      <c r="BL892" s="319"/>
      <c r="BM892" s="319"/>
      <c r="BN892" s="319"/>
      <c r="BO892" s="319"/>
      <c r="BP892" s="319"/>
      <c r="BQ892" s="319"/>
      <c r="BR892" s="319"/>
      <c r="BS892" s="319"/>
      <c r="BT892" s="319"/>
      <c r="BU892" s="319"/>
      <c r="BV892" s="319"/>
      <c r="BW892" s="319"/>
      <c r="BX892" s="319"/>
      <c r="BY892" s="319"/>
      <c r="BZ892" s="319"/>
      <c r="CA892" s="319"/>
      <c r="CB892" s="319"/>
      <c r="CC892" s="319"/>
      <c r="CD892" s="319"/>
      <c r="CE892" s="319"/>
      <c r="CF892" s="319"/>
    </row>
    <row r="893" spans="1:84" ht="12.75" hidden="1" customHeight="1">
      <c r="A893" s="436"/>
      <c r="B893" s="28" t="str">
        <f>Language!C218</f>
        <v>Carga de base do Sistema de Aquecimento</v>
      </c>
      <c r="C893" s="1"/>
      <c r="D893" s="1"/>
      <c r="E893" s="1"/>
      <c r="F893" s="1"/>
      <c r="G893" s="1"/>
      <c r="H893" s="1"/>
      <c r="I893" s="1"/>
      <c r="J893" s="1"/>
      <c r="K893" s="9"/>
      <c r="L893" s="1"/>
      <c r="M893" s="319"/>
      <c r="N893" s="319"/>
      <c r="O893" s="319"/>
      <c r="P893" s="319"/>
      <c r="Q893" s="319"/>
      <c r="R893" s="319"/>
      <c r="S893" s="319"/>
      <c r="T893" s="319"/>
      <c r="U893" s="319"/>
      <c r="V893" s="319"/>
      <c r="W893" s="319"/>
      <c r="X893" s="319"/>
      <c r="Y893" s="319"/>
      <c r="Z893" s="319"/>
      <c r="AA893" s="319"/>
      <c r="AB893" s="319"/>
      <c r="AC893" s="319"/>
      <c r="AD893" s="319"/>
      <c r="AE893" s="319"/>
      <c r="AF893" s="319"/>
      <c r="AG893" s="319"/>
      <c r="AH893" s="319"/>
      <c r="AI893" s="319"/>
      <c r="AJ893" s="319"/>
      <c r="AK893" s="319"/>
      <c r="AL893" s="319"/>
      <c r="AM893" s="319"/>
      <c r="AN893" s="319"/>
      <c r="AO893" s="319">
        <v>3012002</v>
      </c>
      <c r="AP893" s="319"/>
      <c r="AQ893" s="319"/>
      <c r="AR893" s="319"/>
      <c r="AS893" s="319"/>
      <c r="AT893" s="319"/>
      <c r="AU893" s="319"/>
      <c r="AV893" s="319"/>
      <c r="AW893" s="319"/>
      <c r="AX893" s="319"/>
      <c r="AY893" s="319"/>
      <c r="AZ893" s="319"/>
      <c r="BA893" s="319"/>
      <c r="BB893" s="319"/>
      <c r="BC893" s="319"/>
      <c r="BD893" s="319"/>
      <c r="BE893" s="319"/>
      <c r="BF893" s="319"/>
      <c r="BG893" s="319"/>
      <c r="BH893" s="319"/>
      <c r="BI893" s="319"/>
      <c r="BJ893" s="319"/>
      <c r="BK893" s="319"/>
      <c r="BL893" s="319"/>
      <c r="BM893" s="319"/>
      <c r="BN893" s="319"/>
      <c r="BO893" s="319"/>
      <c r="BP893" s="319"/>
      <c r="BQ893" s="319"/>
      <c r="BR893" s="319"/>
      <c r="BS893" s="319"/>
      <c r="BT893" s="319"/>
      <c r="BU893" s="319"/>
      <c r="BV893" s="319"/>
      <c r="BW893" s="319"/>
      <c r="BX893" s="319"/>
      <c r="BY893" s="319"/>
      <c r="BZ893" s="319"/>
      <c r="CA893" s="319"/>
      <c r="CB893" s="319"/>
      <c r="CC893" s="319"/>
      <c r="CD893" s="319"/>
      <c r="CE893" s="319"/>
      <c r="CF893" s="319"/>
    </row>
    <row r="894" spans="1:84" ht="12.75" hidden="1" customHeight="1">
      <c r="A894" s="12"/>
      <c r="B894" s="1" t="str">
        <f>B868</f>
        <v>Tecnologia</v>
      </c>
      <c r="C894" s="1"/>
      <c r="D894" s="29" t="str">
        <f>D1109</f>
        <v>Sistema à biomassa</v>
      </c>
      <c r="E894" s="1"/>
      <c r="F894" s="1"/>
      <c r="G894" s="1"/>
      <c r="H894" s="1"/>
      <c r="I894" s="1"/>
      <c r="J894" s="1"/>
      <c r="K894" s="9"/>
      <c r="L894" s="1"/>
      <c r="M894" s="319"/>
      <c r="N894" s="319"/>
      <c r="O894" s="319"/>
      <c r="P894" s="319"/>
      <c r="Q894" s="319"/>
      <c r="R894" s="319"/>
      <c r="S894" s="319"/>
      <c r="T894" s="319"/>
      <c r="U894" s="319"/>
      <c r="V894" s="319"/>
      <c r="W894" s="319"/>
      <c r="X894" s="319"/>
      <c r="Y894" s="319"/>
      <c r="Z894" s="319"/>
      <c r="AA894" s="319"/>
      <c r="AB894" s="319"/>
      <c r="AC894" s="319"/>
      <c r="AD894" s="319"/>
      <c r="AE894" s="319"/>
      <c r="AF894" s="319"/>
      <c r="AG894" s="319"/>
      <c r="AH894" s="319"/>
      <c r="AI894" s="319"/>
      <c r="AJ894" s="319"/>
      <c r="AK894" s="319"/>
      <c r="AL894" s="319"/>
      <c r="AM894" s="319"/>
      <c r="AN894" s="319"/>
      <c r="AO894" s="319">
        <v>3012004</v>
      </c>
      <c r="AP894" s="319"/>
      <c r="AQ894" s="319"/>
      <c r="AR894" s="319"/>
      <c r="AS894" s="319"/>
      <c r="AT894" s="319"/>
      <c r="AU894" s="319"/>
      <c r="AV894" s="319"/>
      <c r="AW894" s="319"/>
      <c r="AX894" s="319"/>
      <c r="AY894" s="319"/>
      <c r="AZ894" s="319"/>
      <c r="BA894" s="319"/>
      <c r="BB894" s="319"/>
      <c r="BC894" s="319"/>
      <c r="BD894" s="319"/>
      <c r="BE894" s="319"/>
      <c r="BF894" s="319"/>
      <c r="BG894" s="319"/>
      <c r="BH894" s="319"/>
      <c r="BI894" s="319"/>
      <c r="BJ894" s="319"/>
      <c r="BK894" s="319"/>
      <c r="BL894" s="319"/>
      <c r="BM894" s="319"/>
      <c r="BN894" s="319"/>
      <c r="BO894" s="319"/>
      <c r="BP894" s="319"/>
      <c r="BQ894" s="319"/>
      <c r="BR894" s="319"/>
      <c r="BS894" s="319"/>
      <c r="BT894" s="319"/>
      <c r="BU894" s="319"/>
      <c r="BV894" s="319"/>
      <c r="BW894" s="319"/>
      <c r="BX894" s="319"/>
      <c r="BY894" s="319"/>
      <c r="BZ894" s="319"/>
      <c r="CA894" s="319"/>
      <c r="CB894" s="319"/>
      <c r="CC894" s="319"/>
      <c r="CD894" s="319"/>
      <c r="CE894" s="319"/>
      <c r="CF894" s="319"/>
    </row>
    <row r="895" spans="1:84" ht="12.75" hidden="1" customHeight="1">
      <c r="A895" s="12"/>
      <c r="B895" s="1" t="str">
        <f>B870</f>
        <v>Capacidade</v>
      </c>
      <c r="C895" s="29" t="str">
        <f>IF(Unit=TRUE,R895,T895)</f>
        <v>kW</v>
      </c>
      <c r="D895" s="140">
        <f>IF(Unit=TRUE,S895,U895)</f>
        <v>0</v>
      </c>
      <c r="E895" s="80">
        <f>IF(Q866=0,0,S895/$Q$866)</f>
        <v>0</v>
      </c>
      <c r="F895" s="1"/>
      <c r="G895" s="1"/>
      <c r="H895" s="1"/>
      <c r="I895" s="1"/>
      <c r="J895" s="1"/>
      <c r="K895" s="9"/>
      <c r="L895" s="1"/>
      <c r="M895" s="319"/>
      <c r="N895" s="319"/>
      <c r="O895" s="319"/>
      <c r="P895" s="319"/>
      <c r="Q895" s="319"/>
      <c r="R895" s="319" t="str">
        <f>Language!C1364</f>
        <v>kW</v>
      </c>
      <c r="S895" s="319">
        <f>E1109</f>
        <v>0</v>
      </c>
      <c r="T895" s="319" t="str">
        <f>Language!C1383</f>
        <v>milhão Btu/h</v>
      </c>
      <c r="U895" s="319">
        <f>S895*$AA$1098</f>
        <v>0</v>
      </c>
      <c r="V895" s="319"/>
      <c r="W895" s="319"/>
      <c r="X895" s="319"/>
      <c r="Y895" s="319"/>
      <c r="Z895" s="319"/>
      <c r="AA895" s="319"/>
      <c r="AB895" s="319"/>
      <c r="AC895" s="319"/>
      <c r="AD895" s="319"/>
      <c r="AE895" s="319"/>
      <c r="AF895" s="319"/>
      <c r="AG895" s="319"/>
      <c r="AH895" s="319"/>
      <c r="AI895" s="319"/>
      <c r="AJ895" s="319"/>
      <c r="AK895" s="319"/>
      <c r="AL895" s="319"/>
      <c r="AM895" s="319"/>
      <c r="AN895" s="319"/>
      <c r="AO895" s="319">
        <v>3012006</v>
      </c>
      <c r="AP895" s="319"/>
      <c r="AQ895" s="319"/>
      <c r="AR895" s="319"/>
      <c r="AS895" s="319"/>
      <c r="AT895" s="319"/>
      <c r="AU895" s="319"/>
      <c r="AV895" s="319"/>
      <c r="AW895" s="319"/>
      <c r="AX895" s="319"/>
      <c r="AY895" s="319"/>
      <c r="AZ895" s="319"/>
      <c r="BA895" s="319"/>
      <c r="BB895" s="319"/>
      <c r="BC895" s="319"/>
      <c r="BD895" s="319"/>
      <c r="BE895" s="319"/>
      <c r="BF895" s="319"/>
      <c r="BG895" s="319"/>
      <c r="BH895" s="319"/>
      <c r="BI895" s="319"/>
      <c r="BJ895" s="319"/>
      <c r="BK895" s="319"/>
      <c r="BL895" s="319"/>
      <c r="BM895" s="319"/>
      <c r="BN895" s="319"/>
      <c r="BO895" s="319"/>
      <c r="BP895" s="319"/>
      <c r="BQ895" s="319"/>
      <c r="BR895" s="319"/>
      <c r="BS895" s="319"/>
      <c r="BT895" s="319"/>
      <c r="BU895" s="319"/>
      <c r="BV895" s="319"/>
      <c r="BW895" s="319"/>
      <c r="BX895" s="319"/>
      <c r="BY895" s="319"/>
      <c r="BZ895" s="319"/>
      <c r="CA895" s="319"/>
      <c r="CB895" s="319"/>
      <c r="CC895" s="319"/>
      <c r="CD895" s="319"/>
      <c r="CE895" s="319"/>
      <c r="CF895" s="319"/>
    </row>
    <row r="896" spans="1:84" ht="12.75" hidden="1" customHeight="1">
      <c r="A896" s="12"/>
      <c r="B896" s="1" t="str">
        <f>Language!C203</f>
        <v>Calor fornecido</v>
      </c>
      <c r="C896" s="29" t="str">
        <f>IF(Unit=TRUE,R896,T896)</f>
        <v>MWh</v>
      </c>
      <c r="D896" s="30">
        <f>IF(Unit=TRUE,S896,U896)</f>
        <v>0</v>
      </c>
      <c r="E896" s="80">
        <f>IF(Q867=0,0,S896/$Q$867)</f>
        <v>0</v>
      </c>
      <c r="F896" s="1"/>
      <c r="G896" s="1"/>
      <c r="H896" s="1"/>
      <c r="I896" s="1"/>
      <c r="J896" s="1"/>
      <c r="K896" s="9"/>
      <c r="L896" s="1"/>
      <c r="M896" s="319"/>
      <c r="N896" s="319"/>
      <c r="O896" s="319"/>
      <c r="P896" s="319"/>
      <c r="Q896" s="319"/>
      <c r="R896" s="319" t="str">
        <f>R14</f>
        <v>MWh</v>
      </c>
      <c r="S896" s="319">
        <f>G1109</f>
        <v>0</v>
      </c>
      <c r="T896" s="319" t="str">
        <f>Language!C1382</f>
        <v>milhão Btu</v>
      </c>
      <c r="U896" s="319">
        <f>S896*$AB$1098</f>
        <v>0</v>
      </c>
      <c r="V896" s="319"/>
      <c r="W896" s="319"/>
      <c r="X896" s="319"/>
      <c r="Y896" s="319"/>
      <c r="Z896" s="319"/>
      <c r="AA896" s="319"/>
      <c r="AB896" s="319"/>
      <c r="AC896" s="319"/>
      <c r="AD896" s="319"/>
      <c r="AE896" s="319"/>
      <c r="AF896" s="319"/>
      <c r="AG896" s="319"/>
      <c r="AH896" s="319"/>
      <c r="AI896" s="319"/>
      <c r="AJ896" s="319"/>
      <c r="AK896" s="319"/>
      <c r="AL896" s="319"/>
      <c r="AM896" s="319"/>
      <c r="AN896" s="319"/>
      <c r="AO896" s="319">
        <v>2020202</v>
      </c>
      <c r="AP896" s="319"/>
      <c r="AQ896" s="319"/>
      <c r="AR896" s="319"/>
      <c r="AS896" s="319"/>
      <c r="AT896" s="319"/>
      <c r="AU896" s="319"/>
      <c r="AV896" s="319"/>
      <c r="AW896" s="319"/>
      <c r="AX896" s="319"/>
      <c r="AY896" s="319"/>
      <c r="AZ896" s="319"/>
      <c r="BA896" s="319"/>
      <c r="BB896" s="319"/>
      <c r="BC896" s="319"/>
      <c r="BD896" s="319"/>
      <c r="BE896" s="319"/>
      <c r="BF896" s="319"/>
      <c r="BG896" s="319"/>
      <c r="BH896" s="319"/>
      <c r="BI896" s="319"/>
      <c r="BJ896" s="319"/>
      <c r="BK896" s="319"/>
      <c r="BL896" s="319"/>
      <c r="BM896" s="319"/>
      <c r="BN896" s="319"/>
      <c r="BO896" s="319"/>
      <c r="BP896" s="319"/>
      <c r="BQ896" s="319"/>
      <c r="BR896" s="319"/>
      <c r="BS896" s="319"/>
      <c r="BT896" s="319"/>
      <c r="BU896" s="319"/>
      <c r="BV896" s="319"/>
      <c r="BW896" s="319"/>
      <c r="BX896" s="319"/>
      <c r="BY896" s="319"/>
      <c r="BZ896" s="319"/>
      <c r="CA896" s="319"/>
      <c r="CB896" s="319"/>
      <c r="CC896" s="319"/>
      <c r="CD896" s="319"/>
      <c r="CE896" s="319"/>
      <c r="CF896" s="319"/>
    </row>
    <row r="897" spans="1:84" ht="12.75" hidden="1" customHeight="1">
      <c r="A897" s="194"/>
      <c r="B897" s="28" t="str">
        <f>Language!C240</f>
        <v>Carga Intermediária do sistema de aquecimento</v>
      </c>
      <c r="C897" s="1"/>
      <c r="D897" s="1"/>
      <c r="E897" s="1"/>
      <c r="F897" s="1"/>
      <c r="G897" s="1"/>
      <c r="H897" s="1"/>
      <c r="I897" s="1"/>
      <c r="J897" s="1"/>
      <c r="K897" s="9"/>
      <c r="L897" s="1"/>
      <c r="M897" s="319"/>
      <c r="N897" s="319"/>
      <c r="O897" s="319"/>
      <c r="P897" s="319"/>
      <c r="Q897" s="319"/>
      <c r="R897" s="319"/>
      <c r="S897" s="319"/>
      <c r="T897" s="319"/>
      <c r="U897" s="319"/>
      <c r="V897" s="319"/>
      <c r="W897" s="319"/>
      <c r="X897" s="319"/>
      <c r="Y897" s="319"/>
      <c r="Z897" s="319"/>
      <c r="AA897" s="319"/>
      <c r="AB897" s="319"/>
      <c r="AC897" s="319"/>
      <c r="AD897" s="319"/>
      <c r="AE897" s="319"/>
      <c r="AF897" s="319"/>
      <c r="AG897" s="319"/>
      <c r="AH897" s="319"/>
      <c r="AI897" s="319"/>
      <c r="AJ897" s="319"/>
      <c r="AK897" s="319"/>
      <c r="AL897" s="319"/>
      <c r="AM897" s="319"/>
      <c r="AN897" s="319"/>
      <c r="AO897" s="319">
        <v>3012003</v>
      </c>
      <c r="AP897" s="319"/>
      <c r="AQ897" s="319"/>
      <c r="AR897" s="319"/>
      <c r="AS897" s="319"/>
      <c r="AT897" s="319"/>
      <c r="AU897" s="319"/>
      <c r="AV897" s="319"/>
      <c r="AW897" s="319"/>
      <c r="AX897" s="319"/>
      <c r="AY897" s="319"/>
      <c r="AZ897" s="319"/>
      <c r="BA897" s="319"/>
      <c r="BB897" s="319"/>
      <c r="BC897" s="319"/>
      <c r="BD897" s="319"/>
      <c r="BE897" s="319"/>
      <c r="BF897" s="319"/>
      <c r="BG897" s="319"/>
      <c r="BH897" s="319"/>
      <c r="BI897" s="319"/>
      <c r="BJ897" s="319"/>
      <c r="BK897" s="319"/>
      <c r="BL897" s="319"/>
      <c r="BM897" s="319"/>
      <c r="BN897" s="319"/>
      <c r="BO897" s="319"/>
      <c r="BP897" s="319"/>
      <c r="BQ897" s="319"/>
      <c r="BR897" s="319"/>
      <c r="BS897" s="319"/>
      <c r="BT897" s="319"/>
      <c r="BU897" s="319"/>
      <c r="BV897" s="319"/>
      <c r="BW897" s="319"/>
      <c r="BX897" s="319"/>
      <c r="BY897" s="319"/>
      <c r="BZ897" s="319"/>
      <c r="CA897" s="319"/>
      <c r="CB897" s="319"/>
      <c r="CC897" s="319"/>
      <c r="CD897" s="319"/>
      <c r="CE897" s="319"/>
      <c r="CF897" s="319"/>
    </row>
    <row r="898" spans="1:84" ht="12.75" hidden="1" customHeight="1">
      <c r="A898" s="12"/>
      <c r="B898" s="1" t="str">
        <f>B868</f>
        <v>Tecnologia</v>
      </c>
      <c r="C898" s="1"/>
      <c r="D898" s="29" t="str">
        <f>D1110</f>
        <v/>
      </c>
      <c r="E898" s="1"/>
      <c r="F898" s="1"/>
      <c r="G898" s="1"/>
      <c r="H898" s="1"/>
      <c r="I898" s="1"/>
      <c r="J898" s="1"/>
      <c r="K898" s="9"/>
      <c r="L898" s="1"/>
      <c r="M898" s="319"/>
      <c r="N898" s="319"/>
      <c r="O898" s="319"/>
      <c r="P898" s="319"/>
      <c r="Q898" s="319"/>
      <c r="R898" s="319"/>
      <c r="S898" s="319"/>
      <c r="T898" s="319"/>
      <c r="U898" s="319"/>
      <c r="V898" s="319"/>
      <c r="W898" s="319"/>
      <c r="X898" s="319"/>
      <c r="Y898" s="319"/>
      <c r="Z898" s="319"/>
      <c r="AA898" s="319"/>
      <c r="AB898" s="319"/>
      <c r="AC898" s="319"/>
      <c r="AD898" s="319"/>
      <c r="AE898" s="319"/>
      <c r="AF898" s="319"/>
      <c r="AG898" s="319"/>
      <c r="AH898" s="319"/>
      <c r="AI898" s="319"/>
      <c r="AJ898" s="319"/>
      <c r="AK898" s="319"/>
      <c r="AL898" s="319"/>
      <c r="AM898" s="319"/>
      <c r="AN898" s="319"/>
      <c r="AO898" s="319">
        <v>3012004</v>
      </c>
      <c r="AP898" s="319"/>
      <c r="AQ898" s="319"/>
      <c r="AR898" s="319"/>
      <c r="AS898" s="319"/>
      <c r="AT898" s="319"/>
      <c r="AU898" s="319"/>
      <c r="AV898" s="319"/>
      <c r="AW898" s="319"/>
      <c r="AX898" s="319"/>
      <c r="AY898" s="319"/>
      <c r="AZ898" s="319"/>
      <c r="BA898" s="319"/>
      <c r="BB898" s="319"/>
      <c r="BC898" s="319"/>
      <c r="BD898" s="319"/>
      <c r="BE898" s="319"/>
      <c r="BF898" s="319"/>
      <c r="BG898" s="319"/>
      <c r="BH898" s="319"/>
      <c r="BI898" s="319"/>
      <c r="BJ898" s="319"/>
      <c r="BK898" s="319"/>
      <c r="BL898" s="319"/>
      <c r="BM898" s="319"/>
      <c r="BN898" s="319"/>
      <c r="BO898" s="319"/>
      <c r="BP898" s="319"/>
      <c r="BQ898" s="319"/>
      <c r="BR898" s="319"/>
      <c r="BS898" s="319"/>
      <c r="BT898" s="319"/>
      <c r="BU898" s="319"/>
      <c r="BV898" s="319"/>
      <c r="BW898" s="319"/>
      <c r="BX898" s="319"/>
      <c r="BY898" s="319"/>
      <c r="BZ898" s="319"/>
      <c r="CA898" s="319"/>
      <c r="CB898" s="319"/>
      <c r="CC898" s="319"/>
      <c r="CD898" s="319"/>
      <c r="CE898" s="319"/>
      <c r="CF898" s="319"/>
    </row>
    <row r="899" spans="1:84" ht="12.75" hidden="1" customHeight="1">
      <c r="A899" s="12"/>
      <c r="B899" s="1" t="str">
        <f>B870</f>
        <v>Capacidade</v>
      </c>
      <c r="C899" s="29" t="str">
        <f>IF(Unit=TRUE,R899,T899)</f>
        <v>kW</v>
      </c>
      <c r="D899" s="140">
        <f>IF(Unit=TRUE,S899,U899)</f>
        <v>0</v>
      </c>
      <c r="E899" s="80">
        <f>IF(Q866=0,0,IF(S899="","",S899/Q866))</f>
        <v>0</v>
      </c>
      <c r="F899" s="1"/>
      <c r="G899" s="1"/>
      <c r="H899" s="1"/>
      <c r="I899" s="1"/>
      <c r="J899" s="1"/>
      <c r="K899" s="9"/>
      <c r="L899" s="1"/>
      <c r="M899" s="319">
        <v>1</v>
      </c>
      <c r="N899" s="319"/>
      <c r="O899" s="319"/>
      <c r="P899" s="319"/>
      <c r="Q899" s="319"/>
      <c r="R899" s="319" t="str">
        <f>R895</f>
        <v>kW</v>
      </c>
      <c r="S899" s="319">
        <f>E1110</f>
        <v>0</v>
      </c>
      <c r="T899" s="319" t="str">
        <f>$T$895</f>
        <v>milhão Btu/h</v>
      </c>
      <c r="U899" s="319">
        <f>S899*$AA$1098</f>
        <v>0</v>
      </c>
      <c r="V899" s="319"/>
      <c r="W899" s="319"/>
      <c r="X899" s="319"/>
      <c r="Y899" s="319"/>
      <c r="Z899" s="319"/>
      <c r="AA899" s="319"/>
      <c r="AB899" s="319"/>
      <c r="AC899" s="319"/>
      <c r="AD899" s="319"/>
      <c r="AE899" s="319"/>
      <c r="AF899" s="319"/>
      <c r="AG899" s="319"/>
      <c r="AH899" s="319"/>
      <c r="AI899" s="319"/>
      <c r="AJ899" s="319"/>
      <c r="AK899" s="319"/>
      <c r="AL899" s="319"/>
      <c r="AM899" s="319"/>
      <c r="AN899" s="319"/>
      <c r="AO899" s="319">
        <v>3012006</v>
      </c>
      <c r="AP899" s="319"/>
      <c r="AQ899" s="319"/>
      <c r="AR899" s="319"/>
      <c r="AS899" s="319"/>
      <c r="AT899" s="319"/>
      <c r="AU899" s="319"/>
      <c r="AV899" s="319"/>
      <c r="AW899" s="319"/>
      <c r="AX899" s="319"/>
      <c r="AY899" s="319"/>
      <c r="AZ899" s="319"/>
      <c r="BA899" s="319"/>
      <c r="BB899" s="319"/>
      <c r="BC899" s="319"/>
      <c r="BD899" s="319"/>
      <c r="BE899" s="319"/>
      <c r="BF899" s="319"/>
      <c r="BG899" s="319"/>
      <c r="BH899" s="319"/>
      <c r="BI899" s="319"/>
      <c r="BJ899" s="319"/>
      <c r="BK899" s="319"/>
      <c r="BL899" s="319"/>
      <c r="BM899" s="319"/>
      <c r="BN899" s="319"/>
      <c r="BO899" s="319"/>
      <c r="BP899" s="319"/>
      <c r="BQ899" s="319"/>
      <c r="BR899" s="319"/>
      <c r="BS899" s="319"/>
      <c r="BT899" s="319"/>
      <c r="BU899" s="319"/>
      <c r="BV899" s="319"/>
      <c r="BW899" s="319"/>
      <c r="BX899" s="319"/>
      <c r="BY899" s="319"/>
      <c r="BZ899" s="319"/>
      <c r="CA899" s="319"/>
      <c r="CB899" s="319"/>
      <c r="CC899" s="319"/>
      <c r="CD899" s="319"/>
      <c r="CE899" s="319"/>
      <c r="CF899" s="319"/>
    </row>
    <row r="900" spans="1:84" ht="12.75" hidden="1" customHeight="1">
      <c r="A900" s="12"/>
      <c r="B900" s="1" t="str">
        <f>B896</f>
        <v>Calor fornecido</v>
      </c>
      <c r="C900" s="29" t="str">
        <f>IF(Unit=TRUE,R900,T900)</f>
        <v>MWh</v>
      </c>
      <c r="D900" s="30">
        <f>IF(Unit=TRUE,S900,U900)</f>
        <v>0</v>
      </c>
      <c r="E900" s="80">
        <f>IF(Q867=0,0,S900/Q867)</f>
        <v>0</v>
      </c>
      <c r="F900" s="1"/>
      <c r="G900" s="1"/>
      <c r="H900" s="1"/>
      <c r="I900" s="1"/>
      <c r="J900" s="1"/>
      <c r="K900" s="9"/>
      <c r="L900" s="1"/>
      <c r="M900" s="319"/>
      <c r="N900" s="319"/>
      <c r="O900" s="319"/>
      <c r="P900" s="319"/>
      <c r="Q900" s="319"/>
      <c r="R900" s="319" t="str">
        <f>R14</f>
        <v>MWh</v>
      </c>
      <c r="S900" s="319">
        <f>G1110</f>
        <v>0</v>
      </c>
      <c r="T900" s="319" t="str">
        <f>$T$896</f>
        <v>milhão Btu</v>
      </c>
      <c r="U900" s="319">
        <f>S900*$AA$1098</f>
        <v>0</v>
      </c>
      <c r="V900" s="319">
        <f>Q867-S896-S900-CF1137</f>
        <v>0</v>
      </c>
      <c r="W900" s="319" t="s">
        <v>2745</v>
      </c>
      <c r="X900" s="319"/>
      <c r="Y900" s="319"/>
      <c r="Z900" s="319"/>
      <c r="AA900" s="319"/>
      <c r="AB900" s="319"/>
      <c r="AC900" s="319"/>
      <c r="AD900" s="319"/>
      <c r="AE900" s="319"/>
      <c r="AF900" s="319"/>
      <c r="AG900" s="319"/>
      <c r="AH900" s="319"/>
      <c r="AI900" s="319"/>
      <c r="AJ900" s="319"/>
      <c r="AK900" s="319"/>
      <c r="AL900" s="319"/>
      <c r="AM900" s="319"/>
      <c r="AN900" s="319"/>
      <c r="AO900" s="319">
        <v>2020202</v>
      </c>
      <c r="AP900" s="319"/>
      <c r="AQ900" s="319"/>
      <c r="AR900" s="319"/>
      <c r="AS900" s="319"/>
      <c r="AT900" s="319"/>
      <c r="AU900" s="319"/>
      <c r="AV900" s="319"/>
      <c r="AW900" s="319"/>
      <c r="AX900" s="319"/>
      <c r="AY900" s="319"/>
      <c r="AZ900" s="319"/>
      <c r="BA900" s="319"/>
      <c r="BB900" s="319"/>
      <c r="BC900" s="319"/>
      <c r="BD900" s="319"/>
      <c r="BE900" s="319"/>
      <c r="BF900" s="319"/>
      <c r="BG900" s="319"/>
      <c r="BH900" s="319"/>
      <c r="BI900" s="319"/>
      <c r="BJ900" s="319"/>
      <c r="BK900" s="319"/>
      <c r="BL900" s="319"/>
      <c r="BM900" s="319"/>
      <c r="BN900" s="319"/>
      <c r="BO900" s="319"/>
      <c r="BP900" s="319"/>
      <c r="BQ900" s="319"/>
      <c r="BR900" s="319"/>
      <c r="BS900" s="319"/>
      <c r="BT900" s="319"/>
      <c r="BU900" s="319"/>
      <c r="BV900" s="319"/>
      <c r="BW900" s="319"/>
      <c r="BX900" s="319"/>
      <c r="BY900" s="319"/>
      <c r="BZ900" s="319"/>
      <c r="CA900" s="319"/>
      <c r="CB900" s="319"/>
      <c r="CC900" s="319"/>
      <c r="CD900" s="319"/>
      <c r="CE900" s="319"/>
      <c r="CF900" s="319"/>
    </row>
    <row r="901" spans="1:84" ht="12.75" hidden="1" customHeight="1">
      <c r="A901" s="436"/>
      <c r="B901" s="28" t="str">
        <f>O902</f>
        <v>Carga intermediária do sistema de aquecimento # 2</v>
      </c>
      <c r="C901" s="1"/>
      <c r="D901" s="1"/>
      <c r="E901" s="1"/>
      <c r="F901" s="1"/>
      <c r="G901" s="1"/>
      <c r="H901" s="1"/>
      <c r="I901" s="1"/>
      <c r="J901" s="1"/>
      <c r="K901" s="9"/>
      <c r="L901" s="1"/>
      <c r="M901" s="319">
        <f>IF(OR(HideCode_projectType=1,HideCode_projectType=6)*AND(HideCodeES_HSS=1),0,1)</f>
        <v>1</v>
      </c>
      <c r="N901" s="319"/>
      <c r="O901" s="319" t="str">
        <f>IF(OR(HideCode_projectType=4,HideCode_projectType=7)*AND(HideCodeES_PSS=1),E1067,E1068)</f>
        <v>Interm. # 2</v>
      </c>
      <c r="P901" s="319"/>
      <c r="Q901" s="319" t="s">
        <v>1085</v>
      </c>
      <c r="R901" s="319"/>
      <c r="S901" s="319"/>
      <c r="T901" s="319"/>
      <c r="U901" s="319"/>
      <c r="V901" s="319"/>
      <c r="W901" s="319"/>
      <c r="X901" s="319"/>
      <c r="Y901" s="319"/>
      <c r="Z901" s="319"/>
      <c r="AA901" s="319"/>
      <c r="AB901" s="319"/>
      <c r="AC901" s="319"/>
      <c r="AD901" s="319"/>
      <c r="AE901" s="319"/>
      <c r="AF901" s="319"/>
      <c r="AG901" s="319"/>
      <c r="AH901" s="319"/>
      <c r="AI901" s="319"/>
      <c r="AJ901" s="319"/>
      <c r="AK901" s="319"/>
      <c r="AL901" s="319"/>
      <c r="AM901" s="319"/>
      <c r="AN901" s="319"/>
      <c r="AO901" s="319">
        <v>3012018</v>
      </c>
      <c r="AP901" s="319"/>
      <c r="AQ901" s="319"/>
      <c r="AR901" s="319"/>
      <c r="AS901" s="319"/>
      <c r="AT901" s="319"/>
      <c r="AU901" s="319"/>
      <c r="AV901" s="319"/>
      <c r="AW901" s="319"/>
      <c r="AX901" s="319"/>
      <c r="AY901" s="319"/>
      <c r="AZ901" s="319"/>
      <c r="BA901" s="319"/>
      <c r="BB901" s="319"/>
      <c r="BC901" s="319"/>
      <c r="BD901" s="319"/>
      <c r="BE901" s="319"/>
      <c r="BF901" s="319"/>
      <c r="BG901" s="319"/>
      <c r="BH901" s="319"/>
      <c r="BI901" s="319"/>
      <c r="BJ901" s="319"/>
      <c r="BK901" s="319"/>
      <c r="BL901" s="319"/>
      <c r="BM901" s="319"/>
      <c r="BN901" s="319"/>
      <c r="BO901" s="319"/>
      <c r="BP901" s="319"/>
      <c r="BQ901" s="319"/>
      <c r="BR901" s="319"/>
      <c r="BS901" s="319"/>
      <c r="BT901" s="319"/>
      <c r="BU901" s="319"/>
      <c r="BV901" s="319"/>
      <c r="BW901" s="319"/>
      <c r="BX901" s="319"/>
      <c r="BY901" s="319"/>
      <c r="BZ901" s="319"/>
      <c r="CA901" s="319"/>
      <c r="CB901" s="319"/>
      <c r="CC901" s="319"/>
      <c r="CD901" s="319"/>
      <c r="CE901" s="319"/>
      <c r="CF901" s="319"/>
    </row>
    <row r="902" spans="1:84" ht="12.75" hidden="1" customHeight="1">
      <c r="A902" s="12"/>
      <c r="B902" s="1" t="str">
        <f>B868</f>
        <v>Tecnologia</v>
      </c>
      <c r="C902" s="1"/>
      <c r="D902" s="303" t="s">
        <v>6141</v>
      </c>
      <c r="E902" s="1"/>
      <c r="F902" s="1"/>
      <c r="G902" s="1"/>
      <c r="H902" s="1"/>
      <c r="I902" s="1"/>
      <c r="J902" s="1"/>
      <c r="K902" s="9"/>
      <c r="L902" s="1"/>
      <c r="M902" s="319">
        <f>IF(OR(HideCode_projectType=1,HideCode_projectType=2,HideCode_projectType=6),0,IF(EM_HeatType1=E1077,0,1))</f>
        <v>0</v>
      </c>
      <c r="N902" s="319">
        <f>IF(OR(HideCode_projectType=1,HideCode_projectType=6)*AND(HideCodeES_HSS=1),11,29)+HideCodeEM_Heat_Int2</f>
        <v>29</v>
      </c>
      <c r="O902" s="319" t="str">
        <f>IF(OR(HideCode_projectType=4,HideCode_projectType=7)*AND(HideCodeES_PSS=1),Language!C240,Language!C239)</f>
        <v>Carga intermediária do sistema de aquecimento # 2</v>
      </c>
      <c r="P902" s="319"/>
      <c r="Q902" s="319"/>
      <c r="R902" s="319"/>
      <c r="S902" s="319"/>
      <c r="T902" s="319"/>
      <c r="U902" s="319"/>
      <c r="V902" s="319"/>
      <c r="W902" s="319"/>
      <c r="X902" s="319"/>
      <c r="Y902" s="319"/>
      <c r="Z902" s="319"/>
      <c r="AA902" s="319"/>
      <c r="AB902" s="319"/>
      <c r="AC902" s="319"/>
      <c r="AD902" s="319"/>
      <c r="AE902" s="319"/>
      <c r="AF902" s="319"/>
      <c r="AG902" s="319"/>
      <c r="AH902" s="319"/>
      <c r="AI902" s="319"/>
      <c r="AJ902" s="319"/>
      <c r="AK902" s="319"/>
      <c r="AL902" s="319"/>
      <c r="AM902" s="319"/>
      <c r="AN902" s="319"/>
      <c r="AO902" s="319">
        <v>3012020</v>
      </c>
      <c r="AP902" s="319"/>
      <c r="AQ902" s="319"/>
      <c r="AR902" s="319"/>
      <c r="AS902" s="319"/>
      <c r="AT902" s="319"/>
      <c r="AU902" s="319"/>
      <c r="AV902" s="319"/>
      <c r="AW902" s="319"/>
      <c r="AX902" s="319"/>
      <c r="AY902" s="319"/>
      <c r="AZ902" s="319"/>
      <c r="BA902" s="319"/>
      <c r="BB902" s="319"/>
      <c r="BC902" s="319"/>
      <c r="BD902" s="319"/>
      <c r="BE902" s="319"/>
      <c r="BF902" s="319"/>
      <c r="BG902" s="319"/>
      <c r="BH902" s="319"/>
      <c r="BI902" s="319"/>
      <c r="BJ902" s="319"/>
      <c r="BK902" s="319"/>
      <c r="BL902" s="319"/>
      <c r="BM902" s="319"/>
      <c r="BN902" s="319"/>
      <c r="BO902" s="319"/>
      <c r="BP902" s="319"/>
      <c r="BQ902" s="319"/>
      <c r="BR902" s="319"/>
      <c r="BS902" s="319"/>
      <c r="BT902" s="319"/>
      <c r="BU902" s="319"/>
      <c r="BV902" s="319"/>
      <c r="BW902" s="319"/>
      <c r="BX902" s="319"/>
      <c r="BY902" s="319"/>
      <c r="BZ902" s="319"/>
      <c r="CA902" s="319"/>
      <c r="CB902" s="319"/>
      <c r="CC902" s="319"/>
      <c r="CD902" s="319"/>
      <c r="CE902" s="319"/>
      <c r="CF902" s="319"/>
    </row>
    <row r="903" spans="1:84" ht="13.2" hidden="1">
      <c r="A903" s="12"/>
      <c r="B903" s="1" t="str">
        <f>B881</f>
        <v>Tipo de Combustível</v>
      </c>
      <c r="C903" s="1"/>
      <c r="D903" s="419" t="s">
        <v>7152</v>
      </c>
      <c r="E903" s="811" t="str">
        <f>K38</f>
        <v>Completar planilha Ferramentas</v>
      </c>
      <c r="F903" s="1"/>
      <c r="G903" s="1"/>
      <c r="H903" s="1"/>
      <c r="I903" s="1"/>
      <c r="J903" s="1"/>
      <c r="K903" s="9"/>
      <c r="L903" s="1"/>
      <c r="M903" s="319"/>
      <c r="N903" s="319"/>
      <c r="O903" s="319" t="str">
        <f>IF(OR(HideCode_projectType=4,HideCode_projectType=7)*AND(HideCodeES_PSS=1),Language!C241,Language!C242)</f>
        <v>Carga Intermediária # 2</v>
      </c>
      <c r="P903" s="319"/>
      <c r="Q903" s="319">
        <f>SUMIF($B$1102:$B$1105,EM_FuelH1,$A$1102:$A$1105)</f>
        <v>0</v>
      </c>
      <c r="R903" s="319"/>
      <c r="S903" s="319"/>
      <c r="T903" s="319"/>
      <c r="U903" s="319"/>
      <c r="V903" s="319"/>
      <c r="W903" s="319"/>
      <c r="X903" s="319"/>
      <c r="Y903" s="319"/>
      <c r="Z903" s="319"/>
      <c r="AA903" s="319"/>
      <c r="AB903" s="319"/>
      <c r="AC903" s="319"/>
      <c r="AD903" s="319"/>
      <c r="AE903" s="319"/>
      <c r="AF903" s="319"/>
      <c r="AG903" s="319"/>
      <c r="AH903" s="319"/>
      <c r="AI903" s="319"/>
      <c r="AJ903" s="319"/>
      <c r="AK903" s="319"/>
      <c r="AL903" s="319"/>
      <c r="AM903" s="319"/>
      <c r="AN903" s="319"/>
      <c r="AO903" s="319">
        <v>2010106</v>
      </c>
      <c r="AP903" s="319"/>
      <c r="AQ903" s="319"/>
      <c r="AR903" s="319"/>
      <c r="AS903" s="319"/>
      <c r="AT903" s="319"/>
      <c r="AU903" s="319"/>
      <c r="AV903" s="319"/>
      <c r="AW903" s="319"/>
      <c r="AX903" s="319"/>
      <c r="AY903" s="319"/>
      <c r="AZ903" s="319"/>
      <c r="BA903" s="319"/>
      <c r="BB903" s="319"/>
      <c r="BC903" s="319"/>
      <c r="BD903" s="319"/>
      <c r="BE903" s="319"/>
      <c r="BF903" s="319"/>
      <c r="BG903" s="319"/>
      <c r="BH903" s="319"/>
      <c r="BI903" s="319"/>
      <c r="BJ903" s="319"/>
      <c r="BK903" s="319"/>
      <c r="BL903" s="319"/>
      <c r="BM903" s="319"/>
      <c r="BN903" s="319"/>
      <c r="BO903" s="319"/>
      <c r="BP903" s="319"/>
      <c r="BQ903" s="319"/>
      <c r="BR903" s="319"/>
      <c r="BS903" s="319"/>
      <c r="BT903" s="319"/>
      <c r="BU903" s="319"/>
      <c r="BV903" s="319"/>
      <c r="BW903" s="319"/>
      <c r="BX903" s="319"/>
      <c r="BY903" s="319"/>
      <c r="BZ903" s="319"/>
      <c r="CA903" s="319"/>
      <c r="CB903" s="319"/>
      <c r="CC903" s="319"/>
      <c r="CD903" s="319"/>
      <c r="CE903" s="319"/>
      <c r="CF903" s="319"/>
    </row>
    <row r="904" spans="1:84" ht="12.75" hidden="1" customHeight="1">
      <c r="A904" s="12"/>
      <c r="B904" s="1" t="str">
        <f>B882</f>
        <v>Preço do combustível</v>
      </c>
      <c r="C904" s="29" t="str">
        <f>VLOOKUP(D903,$P$1062:$T$1085,5,FALSE)</f>
        <v>€/t</v>
      </c>
      <c r="D904" s="312"/>
      <c r="E904" s="1"/>
      <c r="F904" s="1"/>
      <c r="G904" s="1"/>
      <c r="H904" s="1"/>
      <c r="I904" s="1"/>
      <c r="J904" s="1"/>
      <c r="K904" s="9"/>
      <c r="L904" s="1"/>
      <c r="M904" s="319"/>
      <c r="N904" s="319"/>
      <c r="O904" s="319"/>
      <c r="P904" s="319"/>
      <c r="Q904" s="319"/>
      <c r="R904" s="319"/>
      <c r="S904" s="319"/>
      <c r="T904" s="319"/>
      <c r="U904" s="319"/>
      <c r="V904" s="494">
        <f>Q866-S895-S899</f>
        <v>0</v>
      </c>
      <c r="W904" s="319" t="s">
        <v>5700</v>
      </c>
      <c r="X904" s="319"/>
      <c r="Y904" s="319"/>
      <c r="Z904" s="319"/>
      <c r="AA904" s="319"/>
      <c r="AB904" s="319"/>
      <c r="AC904" s="319"/>
      <c r="AD904" s="319"/>
      <c r="AE904" s="319"/>
      <c r="AF904" s="319"/>
      <c r="AG904" s="319"/>
      <c r="AH904" s="319"/>
      <c r="AI904" s="319"/>
      <c r="AJ904" s="319"/>
      <c r="AK904" s="319"/>
      <c r="AL904" s="319"/>
      <c r="AM904" s="319"/>
      <c r="AN904" s="319"/>
      <c r="AO904" s="319">
        <v>2010108</v>
      </c>
      <c r="AP904" s="319"/>
      <c r="AQ904" s="319"/>
      <c r="AR904" s="319"/>
      <c r="AS904" s="319"/>
      <c r="AT904" s="319"/>
      <c r="AU904" s="319"/>
      <c r="AV904" s="319"/>
      <c r="AW904" s="319"/>
      <c r="AX904" s="319"/>
      <c r="AY904" s="319"/>
      <c r="AZ904" s="319"/>
      <c r="BA904" s="319"/>
      <c r="BB904" s="319"/>
      <c r="BC904" s="319"/>
      <c r="BD904" s="319"/>
      <c r="BE904" s="319"/>
      <c r="BF904" s="319"/>
      <c r="BG904" s="319"/>
      <c r="BH904" s="319"/>
      <c r="BI904" s="319"/>
      <c r="BJ904" s="319"/>
      <c r="BK904" s="319"/>
      <c r="BL904" s="319"/>
      <c r="BM904" s="319"/>
      <c r="BN904" s="319"/>
      <c r="BO904" s="319"/>
      <c r="BP904" s="319"/>
      <c r="BQ904" s="319"/>
      <c r="BR904" s="319"/>
      <c r="BS904" s="319"/>
      <c r="BT904" s="319"/>
      <c r="BU904" s="319"/>
      <c r="BV904" s="319"/>
      <c r="BW904" s="319"/>
      <c r="BX904" s="319"/>
      <c r="BY904" s="319"/>
      <c r="BZ904" s="319"/>
      <c r="CA904" s="319"/>
      <c r="CB904" s="319"/>
      <c r="CC904" s="319"/>
      <c r="CD904" s="319"/>
      <c r="CE904" s="319"/>
      <c r="CF904" s="319"/>
    </row>
    <row r="905" spans="1:84" ht="12.75" hidden="1" customHeight="1">
      <c r="A905" s="12"/>
      <c r="B905" s="1" t="str">
        <f>B870</f>
        <v>Capacidade</v>
      </c>
      <c r="C905" s="303" t="s">
        <v>5700</v>
      </c>
      <c r="D905" s="412"/>
      <c r="E905" s="80">
        <f>IF(Q866=0,0,V905/$Q$866)</f>
        <v>0</v>
      </c>
      <c r="F905" s="1346">
        <v>0</v>
      </c>
      <c r="G905" s="1"/>
      <c r="H905" s="1"/>
      <c r="I905" s="1"/>
      <c r="J905" s="1"/>
      <c r="K905" s="9"/>
      <c r="L905" s="1"/>
      <c r="M905" s="319"/>
      <c r="N905" s="319"/>
      <c r="O905" s="319"/>
      <c r="P905" s="319"/>
      <c r="Q905" s="319"/>
      <c r="R905" s="319"/>
      <c r="S905" s="319"/>
      <c r="T905" s="319"/>
      <c r="U905" s="319"/>
      <c r="V905" s="319">
        <f>M902*IF(C905=$Z$1097,D905,D905/$AA$1098)*IF(OR(HideCode_projectType=1,HideCode_projectType=6),0,1)</f>
        <v>0</v>
      </c>
      <c r="W905" s="319" t="s">
        <v>5700</v>
      </c>
      <c r="X905" s="319"/>
      <c r="Y905" s="319"/>
      <c r="Z905" s="319"/>
      <c r="AA905" s="319"/>
      <c r="AB905" s="319"/>
      <c r="AC905" s="319"/>
      <c r="AD905" s="319"/>
      <c r="AE905" s="319"/>
      <c r="AF905" s="319"/>
      <c r="AG905" s="319"/>
      <c r="AH905" s="319"/>
      <c r="AI905" s="319"/>
      <c r="AJ905" s="319"/>
      <c r="AK905" s="319"/>
      <c r="AL905" s="319"/>
      <c r="AM905" s="319"/>
      <c r="AN905" s="319"/>
      <c r="AO905" s="319">
        <v>3012026</v>
      </c>
      <c r="AP905" s="319"/>
      <c r="AQ905" s="319"/>
      <c r="AR905" s="319"/>
      <c r="AS905" s="319"/>
      <c r="AT905" s="319"/>
      <c r="AU905" s="319"/>
      <c r="AV905" s="319"/>
      <c r="AW905" s="319"/>
      <c r="AX905" s="319"/>
      <c r="AY905" s="319"/>
      <c r="AZ905" s="319"/>
      <c r="BA905" s="319"/>
      <c r="BB905" s="319"/>
      <c r="BC905" s="319"/>
      <c r="BD905" s="319"/>
      <c r="BE905" s="319"/>
      <c r="BF905" s="319"/>
      <c r="BG905" s="319"/>
      <c r="BH905" s="319"/>
      <c r="BI905" s="319"/>
      <c r="BJ905" s="319"/>
      <c r="BK905" s="319"/>
      <c r="BL905" s="319"/>
      <c r="BM905" s="319"/>
      <c r="BN905" s="319"/>
      <c r="BO905" s="319"/>
      <c r="BP905" s="319"/>
      <c r="BQ905" s="319"/>
      <c r="BR905" s="319"/>
      <c r="BS905" s="319"/>
      <c r="BT905" s="319"/>
      <c r="BU905" s="319"/>
      <c r="BV905" s="319"/>
      <c r="BW905" s="319"/>
      <c r="BX905" s="319"/>
      <c r="BY905" s="319"/>
      <c r="BZ905" s="319"/>
      <c r="CA905" s="319"/>
      <c r="CB905" s="319"/>
      <c r="CC905" s="319"/>
      <c r="CD905" s="319"/>
      <c r="CE905" s="319"/>
      <c r="CF905" s="319"/>
    </row>
    <row r="906" spans="1:84" ht="12.75" hidden="1" customHeight="1">
      <c r="A906" s="12"/>
      <c r="B906" s="1" t="str">
        <f>B896</f>
        <v>Calor fornecido</v>
      </c>
      <c r="C906" s="29" t="str">
        <f>IF(Unit=TRUE,R906,T906)</f>
        <v>MWh</v>
      </c>
      <c r="D906" s="30">
        <f>IF(Unit=TRUE,S906,U906)</f>
        <v>0</v>
      </c>
      <c r="E906" s="80">
        <f>IF(Q867=0,0,S906/$Q$867)</f>
        <v>0</v>
      </c>
      <c r="F906" s="1"/>
      <c r="G906" s="1"/>
      <c r="H906" s="1"/>
      <c r="I906" s="1"/>
      <c r="J906" s="1"/>
      <c r="K906" s="9"/>
      <c r="L906" s="1"/>
      <c r="M906" s="319"/>
      <c r="N906" s="319"/>
      <c r="O906" s="319"/>
      <c r="P906" s="319"/>
      <c r="Q906" s="319"/>
      <c r="R906" s="319" t="str">
        <f>R14</f>
        <v>MWh</v>
      </c>
      <c r="S906" s="319">
        <f>(CF1137+IF(V905&gt;=Q866,V900,IF(V905&gt;V904,(V905-V904)/(Q866-V904)*V900)))*M902*IF(OR(HideCode_projectType=1,HideCode_projectType=6),0,1)</f>
        <v>0</v>
      </c>
      <c r="T906" s="319" t="str">
        <f>$T$896</f>
        <v>milhão Btu</v>
      </c>
      <c r="U906" s="319">
        <f>S906*$AB$1098</f>
        <v>0</v>
      </c>
      <c r="V906" s="319" t="e">
        <f>IF(D903=$P$1066,1000,1)*S906/D909*D904/VLOOKUP(D903,P1062:T1085,4,FALSE)*1000</f>
        <v>#DIV/0!</v>
      </c>
      <c r="W906" s="319"/>
      <c r="X906" s="319"/>
      <c r="Y906" s="319"/>
      <c r="Z906" s="319"/>
      <c r="AA906" s="319"/>
      <c r="AB906" s="319"/>
      <c r="AC906" s="319"/>
      <c r="AD906" s="319"/>
      <c r="AE906" s="319"/>
      <c r="AF906" s="319"/>
      <c r="AG906" s="319"/>
      <c r="AH906" s="319"/>
      <c r="AI906" s="319"/>
      <c r="AJ906" s="319"/>
      <c r="AK906" s="319"/>
      <c r="AL906" s="319"/>
      <c r="AM906" s="319"/>
      <c r="AN906" s="319"/>
      <c r="AO906" s="319">
        <v>2020202</v>
      </c>
      <c r="AP906" s="319"/>
      <c r="AQ906" s="319"/>
      <c r="AR906" s="319"/>
      <c r="AS906" s="319"/>
      <c r="AT906" s="319"/>
      <c r="AU906" s="319"/>
      <c r="AV906" s="319"/>
      <c r="AW906" s="319"/>
      <c r="AX906" s="319"/>
      <c r="AY906" s="319"/>
      <c r="AZ906" s="319"/>
      <c r="BA906" s="319"/>
      <c r="BB906" s="319"/>
      <c r="BC906" s="319"/>
      <c r="BD906" s="319"/>
      <c r="BE906" s="319"/>
      <c r="BF906" s="319"/>
      <c r="BG906" s="319"/>
      <c r="BH906" s="319"/>
      <c r="BI906" s="319"/>
      <c r="BJ906" s="319"/>
      <c r="BK906" s="319"/>
      <c r="BL906" s="319"/>
      <c r="BM906" s="319"/>
      <c r="BN906" s="319"/>
      <c r="BO906" s="319"/>
      <c r="BP906" s="319"/>
      <c r="BQ906" s="319"/>
      <c r="BR906" s="319"/>
      <c r="BS906" s="319"/>
      <c r="BT906" s="319"/>
      <c r="BU906" s="319"/>
      <c r="BV906" s="319"/>
      <c r="BW906" s="319"/>
      <c r="BX906" s="319"/>
      <c r="BY906" s="319"/>
      <c r="BZ906" s="319"/>
      <c r="CA906" s="319"/>
      <c r="CB906" s="319"/>
      <c r="CC906" s="319"/>
      <c r="CD906" s="319"/>
      <c r="CE906" s="319"/>
      <c r="CF906" s="319"/>
    </row>
    <row r="907" spans="1:84" ht="12.75" hidden="1" customHeight="1">
      <c r="A907" s="12"/>
      <c r="B907" s="1" t="str">
        <f>B917</f>
        <v>Fabricante</v>
      </c>
      <c r="C907" s="1"/>
      <c r="D907" s="313"/>
      <c r="E907" s="810" t="str">
        <f>IF(EM_FuelH1=B1082,"",E886)</f>
        <v>Ver BDP</v>
      </c>
      <c r="F907" s="1"/>
      <c r="G907" s="1"/>
      <c r="H907" s="1"/>
      <c r="I907" s="1"/>
      <c r="J907" s="1"/>
      <c r="K907" s="9"/>
      <c r="L907" s="1"/>
      <c r="M907" s="319"/>
      <c r="N907" s="319"/>
      <c r="O907" s="319"/>
      <c r="P907" s="319"/>
      <c r="Q907" s="319"/>
      <c r="R907" s="319"/>
      <c r="S907" s="319"/>
      <c r="T907" s="319"/>
      <c r="U907" s="319"/>
      <c r="V907" s="319"/>
      <c r="W907" s="319"/>
      <c r="X907" s="319"/>
      <c r="Y907" s="319"/>
      <c r="Z907" s="319"/>
      <c r="AA907" s="319"/>
      <c r="AB907" s="319"/>
      <c r="AC907" s="319"/>
      <c r="AD907" s="319"/>
      <c r="AE907" s="319"/>
      <c r="AF907" s="319"/>
      <c r="AG907" s="319"/>
      <c r="AH907" s="319"/>
      <c r="AI907" s="319"/>
      <c r="AJ907" s="319"/>
      <c r="AK907" s="319"/>
      <c r="AL907" s="319"/>
      <c r="AM907" s="319"/>
      <c r="AN907" s="319"/>
      <c r="AO907" s="319">
        <v>2050012</v>
      </c>
      <c r="AP907" s="319"/>
      <c r="AQ907" s="319"/>
      <c r="AR907" s="319"/>
      <c r="AS907" s="319"/>
      <c r="AT907" s="319"/>
      <c r="AU907" s="319"/>
      <c r="AV907" s="319"/>
      <c r="AW907" s="319"/>
      <c r="AX907" s="319"/>
      <c r="AY907" s="319"/>
      <c r="AZ907" s="319"/>
      <c r="BA907" s="319"/>
      <c r="BB907" s="319"/>
      <c r="BC907" s="319"/>
      <c r="BD907" s="319"/>
      <c r="BE907" s="319"/>
      <c r="BF907" s="319"/>
      <c r="BG907" s="319"/>
      <c r="BH907" s="319"/>
      <c r="BI907" s="319"/>
      <c r="BJ907" s="319"/>
      <c r="BK907" s="319"/>
      <c r="BL907" s="319"/>
      <c r="BM907" s="319"/>
      <c r="BN907" s="319"/>
      <c r="BO907" s="319"/>
      <c r="BP907" s="319"/>
      <c r="BQ907" s="319"/>
      <c r="BR907" s="319"/>
      <c r="BS907" s="319"/>
      <c r="BT907" s="319"/>
      <c r="BU907" s="319"/>
      <c r="BV907" s="319"/>
      <c r="BW907" s="319"/>
      <c r="BX907" s="319"/>
      <c r="BY907" s="319"/>
      <c r="BZ907" s="319"/>
      <c r="CA907" s="319"/>
      <c r="CB907" s="319"/>
      <c r="CC907" s="319"/>
      <c r="CD907" s="319"/>
      <c r="CE907" s="319"/>
      <c r="CF907" s="319"/>
    </row>
    <row r="908" spans="1:84" ht="12.75" hidden="1" customHeight="1">
      <c r="A908" s="12"/>
      <c r="B908" s="1" t="str">
        <f>B918</f>
        <v>Modelo</v>
      </c>
      <c r="C908" s="1"/>
      <c r="D908" s="313"/>
      <c r="E908" s="1" t="str">
        <f>$J$1081 &amp; Lang_Unit</f>
        <v>1 unidade(s)</v>
      </c>
      <c r="F908" s="1"/>
      <c r="G908" s="1"/>
      <c r="H908" s="1"/>
      <c r="I908" s="1"/>
      <c r="J908" s="1"/>
      <c r="K908" s="9"/>
      <c r="L908" s="1"/>
      <c r="M908" s="319"/>
      <c r="N908" s="319"/>
      <c r="O908" s="319"/>
      <c r="P908" s="319"/>
      <c r="Q908" s="319"/>
      <c r="R908" s="319"/>
      <c r="S908" s="319"/>
      <c r="T908" s="319"/>
      <c r="U908" s="319"/>
      <c r="V908" s="319"/>
      <c r="W908" s="319"/>
      <c r="X908" s="319"/>
      <c r="Y908" s="319"/>
      <c r="Z908" s="319"/>
      <c r="AA908" s="319"/>
      <c r="AB908" s="319"/>
      <c r="AC908" s="319"/>
      <c r="AD908" s="319"/>
      <c r="AE908" s="319"/>
      <c r="AF908" s="319"/>
      <c r="AG908" s="319"/>
      <c r="AH908" s="319"/>
      <c r="AI908" s="319"/>
      <c r="AJ908" s="319"/>
      <c r="AK908" s="319"/>
      <c r="AL908" s="319"/>
      <c r="AM908" s="319"/>
      <c r="AN908" s="319"/>
      <c r="AO908" s="319">
        <v>2050014</v>
      </c>
      <c r="AP908" s="319"/>
      <c r="AQ908" s="319"/>
      <c r="AR908" s="319"/>
      <c r="AS908" s="319"/>
      <c r="AT908" s="319"/>
      <c r="AU908" s="319"/>
      <c r="AV908" s="319"/>
      <c r="AW908" s="319"/>
      <c r="AX908" s="319"/>
      <c r="AY908" s="319"/>
      <c r="AZ908" s="319"/>
      <c r="BA908" s="319"/>
      <c r="BB908" s="319"/>
      <c r="BC908" s="319"/>
      <c r="BD908" s="319"/>
      <c r="BE908" s="319"/>
      <c r="BF908" s="319"/>
      <c r="BG908" s="319"/>
      <c r="BH908" s="319"/>
      <c r="BI908" s="319"/>
      <c r="BJ908" s="319"/>
      <c r="BK908" s="319"/>
      <c r="BL908" s="319"/>
      <c r="BM908" s="319"/>
      <c r="BN908" s="319"/>
      <c r="BO908" s="319"/>
      <c r="BP908" s="319"/>
      <c r="BQ908" s="319"/>
      <c r="BR908" s="319"/>
      <c r="BS908" s="319"/>
      <c r="BT908" s="319"/>
      <c r="BU908" s="319"/>
      <c r="BV908" s="319"/>
      <c r="BW908" s="319"/>
      <c r="BX908" s="319"/>
      <c r="BY908" s="319"/>
      <c r="BZ908" s="319"/>
      <c r="CA908" s="319"/>
      <c r="CB908" s="319"/>
      <c r="CC908" s="319"/>
      <c r="CD908" s="319"/>
      <c r="CE908" s="319"/>
      <c r="CF908" s="319"/>
    </row>
    <row r="909" spans="1:84" ht="12.75" hidden="1" customHeight="1">
      <c r="A909" s="12"/>
      <c r="B909" s="1" t="str">
        <f>Language!C219</f>
        <v>Eficiência Sazonal</v>
      </c>
      <c r="C909" s="29" t="str">
        <f>C798</f>
        <v>%</v>
      </c>
      <c r="D909" s="339"/>
      <c r="E909" s="1"/>
      <c r="F909" s="1"/>
      <c r="G909" s="1"/>
      <c r="H909" s="1"/>
      <c r="I909" s="1"/>
      <c r="J909" s="1"/>
      <c r="K909" s="9"/>
      <c r="L909" s="1"/>
      <c r="M909" s="319"/>
      <c r="N909" s="319"/>
      <c r="O909" s="319"/>
      <c r="P909" s="319"/>
      <c r="Q909" s="319"/>
      <c r="R909" s="319"/>
      <c r="S909" s="319"/>
      <c r="T909" s="319"/>
      <c r="U909" s="319"/>
      <c r="V909" s="319"/>
      <c r="W909" s="319"/>
      <c r="X909" s="319"/>
      <c r="Y909" s="319"/>
      <c r="Z909" s="319"/>
      <c r="AA909" s="319"/>
      <c r="AB909" s="319"/>
      <c r="AC909" s="319"/>
      <c r="AD909" s="319"/>
      <c r="AE909" s="319"/>
      <c r="AF909" s="319"/>
      <c r="AG909" s="319"/>
      <c r="AH909" s="319"/>
      <c r="AI909" s="319"/>
      <c r="AJ909" s="319"/>
      <c r="AK909" s="319"/>
      <c r="AL909" s="319"/>
      <c r="AM909" s="319"/>
      <c r="AN909" s="319"/>
      <c r="AO909" s="319">
        <v>2020208</v>
      </c>
      <c r="AP909" s="319"/>
      <c r="AQ909" s="319"/>
      <c r="AR909" s="319"/>
      <c r="AS909" s="319"/>
      <c r="AT909" s="319"/>
      <c r="AU909" s="319"/>
      <c r="AV909" s="319"/>
      <c r="AW909" s="319"/>
      <c r="AX909" s="319"/>
      <c r="AY909" s="319"/>
      <c r="AZ909" s="319"/>
      <c r="BA909" s="319"/>
      <c r="BB909" s="319"/>
      <c r="BC909" s="319"/>
      <c r="BD909" s="319"/>
      <c r="BE909" s="319"/>
      <c r="BF909" s="319"/>
      <c r="BG909" s="319"/>
      <c r="BH909" s="319"/>
      <c r="BI909" s="319"/>
      <c r="BJ909" s="319"/>
      <c r="BK909" s="319"/>
      <c r="BL909" s="319"/>
      <c r="BM909" s="319"/>
      <c r="BN909" s="319"/>
      <c r="BO909" s="319"/>
      <c r="BP909" s="319"/>
      <c r="BQ909" s="319"/>
      <c r="BR909" s="319"/>
      <c r="BS909" s="319"/>
      <c r="BT909" s="319"/>
      <c r="BU909" s="319"/>
      <c r="BV909" s="319"/>
      <c r="BW909" s="319"/>
      <c r="BX909" s="319"/>
      <c r="BY909" s="319"/>
      <c r="BZ909" s="319"/>
      <c r="CA909" s="319"/>
      <c r="CB909" s="319"/>
      <c r="CC909" s="319"/>
      <c r="CD909" s="319"/>
      <c r="CE909" s="319"/>
      <c r="CF909" s="319"/>
    </row>
    <row r="910" spans="1:84" ht="12.75" hidden="1" customHeight="1">
      <c r="A910" s="436"/>
      <c r="B910" s="28" t="str">
        <f>Language!C220</f>
        <v>Carga de ponta do sistema de Aquecimento</v>
      </c>
      <c r="C910" s="1"/>
      <c r="D910" s="776" t="str">
        <f>IF(AND(D911=B1082,D914&gt;0),Language!C237,"")</f>
        <v/>
      </c>
      <c r="E910" s="1"/>
      <c r="F910" s="1"/>
      <c r="G910" s="1"/>
      <c r="H910" s="1"/>
      <c r="I910" s="1"/>
      <c r="J910" s="1"/>
      <c r="K910" s="9"/>
      <c r="L910" s="1"/>
      <c r="M910" s="319"/>
      <c r="N910" s="319"/>
      <c r="O910" s="319"/>
      <c r="P910" s="319"/>
      <c r="Q910" s="319"/>
      <c r="R910" s="319"/>
      <c r="S910" s="319"/>
      <c r="T910" s="319"/>
      <c r="U910" s="319"/>
      <c r="V910" s="319"/>
      <c r="W910" s="319"/>
      <c r="X910" s="319"/>
      <c r="Y910" s="319"/>
      <c r="Z910" s="319"/>
      <c r="AA910" s="319"/>
      <c r="AB910" s="319"/>
      <c r="AC910" s="319"/>
      <c r="AD910" s="319"/>
      <c r="AE910" s="319"/>
      <c r="AF910" s="319"/>
      <c r="AG910" s="319"/>
      <c r="AH910" s="319"/>
      <c r="AI910" s="319"/>
      <c r="AJ910" s="319"/>
      <c r="AK910" s="319"/>
      <c r="AL910" s="319"/>
      <c r="AM910" s="319"/>
      <c r="AN910" s="319"/>
      <c r="AO910" s="319">
        <v>3012019</v>
      </c>
      <c r="AP910" s="319"/>
      <c r="AQ910" s="319"/>
      <c r="AR910" s="319"/>
      <c r="AS910" s="319"/>
      <c r="AT910" s="319"/>
      <c r="AU910" s="319"/>
      <c r="AV910" s="319"/>
      <c r="AW910" s="319"/>
      <c r="AX910" s="319"/>
      <c r="AY910" s="319"/>
      <c r="AZ910" s="319"/>
      <c r="BA910" s="319"/>
      <c r="BB910" s="319"/>
      <c r="BC910" s="319"/>
      <c r="BD910" s="319"/>
      <c r="BE910" s="319"/>
      <c r="BF910" s="319"/>
      <c r="BG910" s="319"/>
      <c r="BH910" s="319"/>
      <c r="BI910" s="319"/>
      <c r="BJ910" s="319"/>
      <c r="BK910" s="319"/>
      <c r="BL910" s="319"/>
      <c r="BM910" s="319"/>
      <c r="BN910" s="319"/>
      <c r="BO910" s="319"/>
      <c r="BP910" s="319"/>
      <c r="BQ910" s="319"/>
      <c r="BR910" s="319"/>
      <c r="BS910" s="319"/>
      <c r="BT910" s="319"/>
      <c r="BU910" s="319"/>
      <c r="BV910" s="319"/>
      <c r="BW910" s="319"/>
      <c r="BX910" s="319"/>
      <c r="BY910" s="319"/>
      <c r="BZ910" s="319"/>
      <c r="CA910" s="319"/>
      <c r="CB910" s="319"/>
      <c r="CC910" s="319"/>
      <c r="CD910" s="319"/>
      <c r="CE910" s="319"/>
      <c r="CF910" s="319"/>
    </row>
    <row r="911" spans="1:84" ht="13.2" hidden="1">
      <c r="A911" s="12"/>
      <c r="B911" s="1" t="str">
        <f>B868</f>
        <v>Tecnologia</v>
      </c>
      <c r="C911" s="1"/>
      <c r="D911" s="419" t="s">
        <v>6408</v>
      </c>
      <c r="E911" s="1"/>
      <c r="F911" s="1"/>
      <c r="G911" s="1"/>
      <c r="H911" s="1"/>
      <c r="I911" s="1"/>
      <c r="J911" s="1"/>
      <c r="K911" s="9"/>
      <c r="L911" s="1"/>
      <c r="M911" s="319">
        <f>IF(ISERROR(E896),0,IF(OR(HideCode_projectType=2,HideCode_projectType=3,HideCode_projectType=5),0,IF(AND(EM_HeatType2=E1077,E896+E906+E900=1),0,1)))*100</f>
        <v>0</v>
      </c>
      <c r="N911" s="319"/>
      <c r="O911" s="319" t="s">
        <v>5203</v>
      </c>
      <c r="P911" s="319"/>
      <c r="Q911" s="319"/>
      <c r="R911" s="319"/>
      <c r="S911" s="319"/>
      <c r="T911" s="319"/>
      <c r="U911" s="319"/>
      <c r="V911" s="319"/>
      <c r="W911" s="319"/>
      <c r="X911" s="319"/>
      <c r="Y911" s="319"/>
      <c r="Z911" s="319"/>
      <c r="AA911" s="319"/>
      <c r="AB911" s="319"/>
      <c r="AC911" s="319"/>
      <c r="AD911" s="319"/>
      <c r="AE911" s="319"/>
      <c r="AF911" s="319"/>
      <c r="AG911" s="319"/>
      <c r="AH911" s="319"/>
      <c r="AI911" s="319"/>
      <c r="AJ911" s="319"/>
      <c r="AK911" s="319"/>
      <c r="AL911" s="319"/>
      <c r="AM911" s="319"/>
      <c r="AN911" s="319"/>
      <c r="AO911" s="319">
        <v>3012021</v>
      </c>
      <c r="AP911" s="319"/>
      <c r="AQ911" s="319"/>
      <c r="AR911" s="319"/>
      <c r="AS911" s="319"/>
      <c r="AT911" s="319"/>
      <c r="AU911" s="319"/>
      <c r="AV911" s="319"/>
      <c r="AW911" s="319"/>
      <c r="AX911" s="319"/>
      <c r="AY911" s="319"/>
      <c r="AZ911" s="319"/>
      <c r="BA911" s="319"/>
      <c r="BB911" s="319"/>
      <c r="BC911" s="319"/>
      <c r="BD911" s="319"/>
      <c r="BE911" s="319"/>
      <c r="BF911" s="319"/>
      <c r="BG911" s="319"/>
      <c r="BH911" s="319"/>
      <c r="BI911" s="319"/>
      <c r="BJ911" s="319"/>
      <c r="BK911" s="319"/>
      <c r="BL911" s="319"/>
      <c r="BM911" s="319"/>
      <c r="BN911" s="319"/>
      <c r="BO911" s="319"/>
      <c r="BP911" s="319"/>
      <c r="BQ911" s="319"/>
      <c r="BR911" s="319"/>
      <c r="BS911" s="319"/>
      <c r="BT911" s="319"/>
      <c r="BU911" s="319"/>
      <c r="BV911" s="319"/>
      <c r="BW911" s="319"/>
      <c r="BX911" s="319"/>
      <c r="BY911" s="319"/>
      <c r="BZ911" s="319"/>
      <c r="CA911" s="319"/>
      <c r="CB911" s="319"/>
      <c r="CC911" s="319"/>
      <c r="CD911" s="319"/>
      <c r="CE911" s="319"/>
      <c r="CF911" s="319"/>
    </row>
    <row r="912" spans="1:84" ht="13.2" hidden="1">
      <c r="A912" s="12"/>
      <c r="B912" s="1" t="str">
        <f>B881</f>
        <v>Tipo de Combustível</v>
      </c>
      <c r="C912" s="1"/>
      <c r="D912" s="419" t="s">
        <v>7046</v>
      </c>
      <c r="E912" s="811" t="str">
        <f>K38</f>
        <v>Completar planilha Ferramentas</v>
      </c>
      <c r="F912" s="1"/>
      <c r="G912" s="1"/>
      <c r="H912" s="1"/>
      <c r="I912" s="1"/>
      <c r="J912" s="1"/>
      <c r="K912" s="9"/>
      <c r="L912" s="1"/>
      <c r="M912" s="319"/>
      <c r="N912" s="319"/>
      <c r="O912" s="319"/>
      <c r="P912" s="319"/>
      <c r="Q912" s="319">
        <f>SUMIF($B$1102:$B$1105,EM_FuelH2,$A$1102:$A$1105)</f>
        <v>0</v>
      </c>
      <c r="R912" s="319"/>
      <c r="S912" s="319"/>
      <c r="T912" s="319"/>
      <c r="U912" s="319"/>
      <c r="V912" s="319"/>
      <c r="W912" s="319"/>
      <c r="X912" s="319"/>
      <c r="Y912" s="319"/>
      <c r="Z912" s="319"/>
      <c r="AA912" s="319"/>
      <c r="AB912" s="319"/>
      <c r="AC912" s="319"/>
      <c r="AD912" s="319"/>
      <c r="AE912" s="319"/>
      <c r="AF912" s="319"/>
      <c r="AG912" s="319"/>
      <c r="AH912" s="319"/>
      <c r="AI912" s="319"/>
      <c r="AJ912" s="319"/>
      <c r="AK912" s="319"/>
      <c r="AL912" s="319"/>
      <c r="AM912" s="319"/>
      <c r="AN912" s="319"/>
      <c r="AO912" s="319">
        <v>2010106</v>
      </c>
      <c r="AP912" s="319"/>
      <c r="AQ912" s="319"/>
      <c r="AR912" s="319"/>
      <c r="AS912" s="319"/>
      <c r="AT912" s="319"/>
      <c r="AU912" s="319"/>
      <c r="AV912" s="319"/>
      <c r="AW912" s="319"/>
      <c r="AX912" s="319"/>
      <c r="AY912" s="319"/>
      <c r="AZ912" s="319"/>
      <c r="BA912" s="319"/>
      <c r="BB912" s="319"/>
      <c r="BC912" s="319"/>
      <c r="BD912" s="319"/>
      <c r="BE912" s="319"/>
      <c r="BF912" s="319"/>
      <c r="BG912" s="319"/>
      <c r="BH912" s="319"/>
      <c r="BI912" s="319"/>
      <c r="BJ912" s="319"/>
      <c r="BK912" s="319"/>
      <c r="BL912" s="319"/>
      <c r="BM912" s="319"/>
      <c r="BN912" s="319"/>
      <c r="BO912" s="319"/>
      <c r="BP912" s="319"/>
      <c r="BQ912" s="319"/>
      <c r="BR912" s="319"/>
      <c r="BS912" s="319"/>
      <c r="BT912" s="319"/>
      <c r="BU912" s="319"/>
      <c r="BV912" s="319"/>
      <c r="BW912" s="319"/>
      <c r="BX912" s="319"/>
      <c r="BY912" s="319"/>
      <c r="BZ912" s="319"/>
      <c r="CA912" s="319"/>
      <c r="CB912" s="319"/>
      <c r="CC912" s="319"/>
      <c r="CD912" s="319"/>
      <c r="CE912" s="319"/>
      <c r="CF912" s="319"/>
    </row>
    <row r="913" spans="1:84" ht="12.75" hidden="1" customHeight="1">
      <c r="A913" s="12"/>
      <c r="B913" s="1" t="str">
        <f>B882</f>
        <v>Preço do combustível</v>
      </c>
      <c r="C913" s="29" t="str">
        <f>IF(EM_FuelH2=B1082,"",VLOOKUP(D912,$P$1062:$T$1085,5,FALSE))</f>
        <v>€/m³</v>
      </c>
      <c r="D913" s="399"/>
      <c r="E913" s="1"/>
      <c r="F913" s="1"/>
      <c r="G913" s="1"/>
      <c r="H913" s="1"/>
      <c r="I913" s="1"/>
      <c r="J913" s="1"/>
      <c r="K913" s="9"/>
      <c r="L913" s="1"/>
      <c r="M913" s="319"/>
      <c r="N913" s="319"/>
      <c r="O913" s="319"/>
      <c r="P913" s="319"/>
      <c r="Q913" s="319"/>
      <c r="R913" s="319"/>
      <c r="S913" s="319"/>
      <c r="T913" s="319"/>
      <c r="U913" s="319"/>
      <c r="V913" s="319"/>
      <c r="W913" s="319"/>
      <c r="X913" s="319"/>
      <c r="Y913" s="319"/>
      <c r="Z913" s="319"/>
      <c r="AA913" s="319"/>
      <c r="AB913" s="319"/>
      <c r="AC913" s="319"/>
      <c r="AD913" s="319"/>
      <c r="AE913" s="319"/>
      <c r="AF913" s="319"/>
      <c r="AG913" s="319"/>
      <c r="AH913" s="319"/>
      <c r="AI913" s="319"/>
      <c r="AJ913" s="319"/>
      <c r="AK913" s="319"/>
      <c r="AL913" s="319"/>
      <c r="AM913" s="319"/>
      <c r="AN913" s="319"/>
      <c r="AO913" s="319">
        <v>2010108</v>
      </c>
      <c r="AP913" s="319"/>
      <c r="AQ913" s="319"/>
      <c r="AR913" s="319"/>
      <c r="AS913" s="319"/>
      <c r="AT913" s="319"/>
      <c r="AU913" s="319"/>
      <c r="AV913" s="319"/>
      <c r="AW913" s="319"/>
      <c r="AX913" s="319"/>
      <c r="AY913" s="319"/>
      <c r="AZ913" s="319"/>
      <c r="BA913" s="319"/>
      <c r="BB913" s="319"/>
      <c r="BC913" s="319"/>
      <c r="BD913" s="319"/>
      <c r="BE913" s="319"/>
      <c r="BF913" s="319"/>
      <c r="BG913" s="319"/>
      <c r="BH913" s="319"/>
      <c r="BI913" s="319"/>
      <c r="BJ913" s="319"/>
      <c r="BK913" s="319"/>
      <c r="BL913" s="319"/>
      <c r="BM913" s="319"/>
      <c r="BN913" s="319"/>
      <c r="BO913" s="319"/>
      <c r="BP913" s="319"/>
      <c r="BQ913" s="319"/>
      <c r="BR913" s="319"/>
      <c r="BS913" s="319"/>
      <c r="BT913" s="319"/>
      <c r="BU913" s="319"/>
      <c r="BV913" s="319"/>
      <c r="BW913" s="319"/>
      <c r="BX913" s="319"/>
      <c r="BY913" s="319"/>
      <c r="BZ913" s="319"/>
      <c r="CA913" s="319"/>
      <c r="CB913" s="319"/>
      <c r="CC913" s="319"/>
      <c r="CD913" s="319"/>
      <c r="CE913" s="319"/>
      <c r="CF913" s="319"/>
    </row>
    <row r="914" spans="1:84" ht="12.75" hidden="1" customHeight="1">
      <c r="A914" s="12"/>
      <c r="B914" s="1" t="str">
        <f>B883</f>
        <v>Capacidade sugerida</v>
      </c>
      <c r="C914" s="29" t="str">
        <f>IF(Unit=TRUE,R914,T914)</f>
        <v>kW</v>
      </c>
      <c r="D914" s="140">
        <f>IF(S914&lt;0,0,IF(Unit=TRUE,S914,U914))</f>
        <v>0</v>
      </c>
      <c r="E914" s="1"/>
      <c r="F914" s="1"/>
      <c r="G914" s="1"/>
      <c r="H914" s="1"/>
      <c r="I914" s="1"/>
      <c r="J914" s="1"/>
      <c r="K914" s="9"/>
      <c r="L914" s="1"/>
      <c r="M914" s="319"/>
      <c r="N914" s="319"/>
      <c r="O914" s="319"/>
      <c r="P914" s="319"/>
      <c r="Q914" s="319"/>
      <c r="R914" s="319" t="str">
        <f>R895</f>
        <v>kW</v>
      </c>
      <c r="S914" s="319">
        <f>IF(OR(HideCode_projectType=1,HideCode_projectType=6),IF(Q866-S895-S899&lt;0,0,Q866-S895-S899),IF(AND(V914&lt;0,Q867-S896-S900-S906&gt;0),Q866-IF(S896=0,0,S895)-IF(S900=0,0,S899)-V905,V914))</f>
        <v>0</v>
      </c>
      <c r="T914" s="319" t="str">
        <f>$T$895</f>
        <v>milhão Btu/h</v>
      </c>
      <c r="U914" s="319">
        <f>S914*$AA$1098</f>
        <v>0</v>
      </c>
      <c r="V914" s="319">
        <f>IF(S896+S900+S906&gt;=Q867,0,Q866-IF(OR(HideCode_projectType=2,HideCode_projectType=4,HideCode_projectType=7),IF(V883&lt;1,0,1),0)*S895-IF(OR(HideCode_projectType=2,HideCode_projectType=4,HideCode_projectType=7),IF(V882&lt;1,0,1),0)*S899-V905)</f>
        <v>0</v>
      </c>
      <c r="W914" s="319" t="str">
        <f>R895</f>
        <v>kW</v>
      </c>
      <c r="X914" s="319"/>
      <c r="Y914" s="319"/>
      <c r="Z914" s="319"/>
      <c r="AA914" s="319"/>
      <c r="AB914" s="319"/>
      <c r="AC914" s="319"/>
      <c r="AD914" s="319"/>
      <c r="AE914" s="319"/>
      <c r="AF914" s="319"/>
      <c r="AG914" s="319"/>
      <c r="AH914" s="319"/>
      <c r="AI914" s="319"/>
      <c r="AJ914" s="319"/>
      <c r="AK914" s="319"/>
      <c r="AL914" s="319"/>
      <c r="AM914" s="319"/>
      <c r="AN914" s="319"/>
      <c r="AO914" s="319">
        <v>3012025</v>
      </c>
      <c r="AP914" s="319"/>
      <c r="AQ914" s="319"/>
      <c r="AR914" s="319"/>
      <c r="AS914" s="319"/>
      <c r="AT914" s="319"/>
      <c r="AU914" s="319"/>
      <c r="AV914" s="319"/>
      <c r="AW914" s="319"/>
      <c r="AX914" s="319"/>
      <c r="AY914" s="319"/>
      <c r="AZ914" s="319"/>
      <c r="BA914" s="319"/>
      <c r="BB914" s="319"/>
      <c r="BC914" s="319"/>
      <c r="BD914" s="319"/>
      <c r="BE914" s="319"/>
      <c r="BF914" s="319"/>
      <c r="BG914" s="319"/>
      <c r="BH914" s="319"/>
      <c r="BI914" s="319"/>
      <c r="BJ914" s="319"/>
      <c r="BK914" s="319"/>
      <c r="BL914" s="319"/>
      <c r="BM914" s="319"/>
      <c r="BN914" s="319"/>
      <c r="BO914" s="319"/>
      <c r="BP914" s="319"/>
      <c r="BQ914" s="319"/>
      <c r="BR914" s="319"/>
      <c r="BS914" s="319"/>
      <c r="BT914" s="319"/>
      <c r="BU914" s="319"/>
      <c r="BV914" s="319"/>
      <c r="BW914" s="319"/>
      <c r="BX914" s="319"/>
      <c r="BY914" s="319"/>
      <c r="BZ914" s="319"/>
      <c r="CA914" s="319"/>
      <c r="CB914" s="319"/>
      <c r="CC914" s="319"/>
      <c r="CD914" s="319"/>
      <c r="CE914" s="319"/>
      <c r="CF914" s="319"/>
    </row>
    <row r="915" spans="1:84" ht="12.75" hidden="1" customHeight="1">
      <c r="A915" s="12"/>
      <c r="B915" s="1" t="str">
        <f>B870</f>
        <v>Capacidade</v>
      </c>
      <c r="C915" s="303" t="s">
        <v>5700</v>
      </c>
      <c r="D915" s="412"/>
      <c r="E915" s="80">
        <f>IF(Q866=0,0,V915/Q866)</f>
        <v>0</v>
      </c>
      <c r="F915" s="1346"/>
      <c r="G915" s="1"/>
      <c r="H915" s="1"/>
      <c r="I915" s="1"/>
      <c r="J915" s="1"/>
      <c r="K915" s="9"/>
      <c r="L915" s="1"/>
      <c r="M915" s="319"/>
      <c r="N915" s="319"/>
      <c r="O915" s="319"/>
      <c r="P915" s="319"/>
      <c r="Q915" s="319"/>
      <c r="R915" s="319"/>
      <c r="S915" s="319"/>
      <c r="T915" s="319"/>
      <c r="U915" s="319"/>
      <c r="V915" s="319">
        <f>IF(AND(EM_FuelH2=B1082,D914&gt;0),0,IF(C915=$Z$1097,D915,D915/$AA$1098))</f>
        <v>0</v>
      </c>
      <c r="W915" s="319" t="s">
        <v>5700</v>
      </c>
      <c r="X915" s="319"/>
      <c r="Y915" s="319"/>
      <c r="Z915" s="319"/>
      <c r="AA915" s="319"/>
      <c r="AB915" s="319"/>
      <c r="AC915" s="319"/>
      <c r="AD915" s="319"/>
      <c r="AE915" s="319"/>
      <c r="AF915" s="319"/>
      <c r="AG915" s="319"/>
      <c r="AH915" s="319"/>
      <c r="AI915" s="319"/>
      <c r="AJ915" s="319"/>
      <c r="AK915" s="319"/>
      <c r="AL915" s="319"/>
      <c r="AM915" s="319"/>
      <c r="AN915" s="319"/>
      <c r="AO915" s="319">
        <v>3012027</v>
      </c>
      <c r="AP915" s="319"/>
      <c r="AQ915" s="319"/>
      <c r="AR915" s="319"/>
      <c r="AS915" s="319"/>
      <c r="AT915" s="319"/>
      <c r="AU915" s="319"/>
      <c r="AV915" s="319"/>
      <c r="AW915" s="319"/>
      <c r="AX915" s="319"/>
      <c r="AY915" s="319"/>
      <c r="AZ915" s="319"/>
      <c r="BA915" s="319"/>
      <c r="BB915" s="319"/>
      <c r="BC915" s="319"/>
      <c r="BD915" s="319"/>
      <c r="BE915" s="319"/>
      <c r="BF915" s="319"/>
      <c r="BG915" s="319"/>
      <c r="BH915" s="319"/>
      <c r="BI915" s="319"/>
      <c r="BJ915" s="319"/>
      <c r="BK915" s="319"/>
      <c r="BL915" s="319"/>
      <c r="BM915" s="319"/>
      <c r="BN915" s="319"/>
      <c r="BO915" s="319"/>
      <c r="BP915" s="319"/>
      <c r="BQ915" s="319"/>
      <c r="BR915" s="319"/>
      <c r="BS915" s="319"/>
      <c r="BT915" s="319"/>
      <c r="BU915" s="319"/>
      <c r="BV915" s="319"/>
      <c r="BW915" s="319"/>
      <c r="BX915" s="319"/>
      <c r="BY915" s="319"/>
      <c r="BZ915" s="319"/>
      <c r="CA915" s="319"/>
      <c r="CB915" s="319"/>
      <c r="CC915" s="319"/>
      <c r="CD915" s="319"/>
      <c r="CE915" s="319"/>
      <c r="CF915" s="319"/>
    </row>
    <row r="916" spans="1:84" ht="12.75" hidden="1" customHeight="1">
      <c r="A916" s="12"/>
      <c r="B916" s="1" t="str">
        <f>B896</f>
        <v>Calor fornecido</v>
      </c>
      <c r="C916" s="29" t="str">
        <f>IF(Unit=TRUE,R916,T916)</f>
        <v>MWh</v>
      </c>
      <c r="D916" s="140">
        <f>IF(Unit=TRUE,S916,U916)</f>
        <v>0</v>
      </c>
      <c r="E916" s="80">
        <f>IF(Q867=0,0,S916/Q867)</f>
        <v>0</v>
      </c>
      <c r="F916" s="1"/>
      <c r="G916" s="1"/>
      <c r="H916" s="1"/>
      <c r="I916" s="1"/>
      <c r="J916" s="1"/>
      <c r="K916" s="9"/>
      <c r="L916" s="1"/>
      <c r="M916" s="319"/>
      <c r="N916" s="319"/>
      <c r="O916" s="319"/>
      <c r="P916" s="319"/>
      <c r="Q916" s="319"/>
      <c r="R916" s="319" t="str">
        <f>R14</f>
        <v>MWh</v>
      </c>
      <c r="S916" s="319">
        <f>IF(AND(EM_FuelH2=B1082,D914&gt;0),0,IF(Q867-S896-S900-S906&lt;0,0,(Q867-S896-S900-S906)*IF(S914&lt;=0,0,IF(V915&gt;S914,1,V915/S914))))</f>
        <v>0</v>
      </c>
      <c r="T916" s="319" t="str">
        <f>$T$896</f>
        <v>milhão Btu</v>
      </c>
      <c r="U916" s="319">
        <f>S916*$AB$1098</f>
        <v>0</v>
      </c>
      <c r="V916" s="319"/>
      <c r="W916" s="319"/>
      <c r="X916" s="319"/>
      <c r="Y916" s="319"/>
      <c r="Z916" s="319"/>
      <c r="AA916" s="319"/>
      <c r="AB916" s="319"/>
      <c r="AC916" s="319"/>
      <c r="AD916" s="319"/>
      <c r="AE916" s="319"/>
      <c r="AF916" s="319"/>
      <c r="AG916" s="319"/>
      <c r="AH916" s="319"/>
      <c r="AI916" s="319"/>
      <c r="AJ916" s="319"/>
      <c r="AK916" s="319"/>
      <c r="AL916" s="319"/>
      <c r="AM916" s="319"/>
      <c r="AN916" s="319"/>
      <c r="AO916" s="319">
        <v>2020202</v>
      </c>
      <c r="AP916" s="319"/>
      <c r="AQ916" s="319"/>
      <c r="AR916" s="319"/>
      <c r="AS916" s="319"/>
      <c r="AT916" s="319"/>
      <c r="AU916" s="319"/>
      <c r="AV916" s="319"/>
      <c r="AW916" s="319"/>
      <c r="AX916" s="319"/>
      <c r="AY916" s="319"/>
      <c r="AZ916" s="319"/>
      <c r="BA916" s="319"/>
      <c r="BB916" s="319"/>
      <c r="BC916" s="319"/>
      <c r="BD916" s="319"/>
      <c r="BE916" s="319"/>
      <c r="BF916" s="319"/>
      <c r="BG916" s="319"/>
      <c r="BH916" s="319"/>
      <c r="BI916" s="319"/>
      <c r="BJ916" s="319"/>
      <c r="BK916" s="319"/>
      <c r="BL916" s="319"/>
      <c r="BM916" s="319"/>
      <c r="BN916" s="319"/>
      <c r="BO916" s="319"/>
      <c r="BP916" s="319"/>
      <c r="BQ916" s="319"/>
      <c r="BR916" s="319"/>
      <c r="BS916" s="319"/>
      <c r="BT916" s="319"/>
      <c r="BU916" s="319"/>
      <c r="BV916" s="319"/>
      <c r="BW916" s="319"/>
      <c r="BX916" s="319"/>
      <c r="BY916" s="319"/>
      <c r="BZ916" s="319"/>
      <c r="CA916" s="319"/>
      <c r="CB916" s="319"/>
      <c r="CC916" s="319"/>
      <c r="CD916" s="319"/>
      <c r="CE916" s="319"/>
      <c r="CF916" s="319"/>
    </row>
    <row r="917" spans="1:84" ht="12.75" hidden="1" customHeight="1">
      <c r="A917" s="12"/>
      <c r="B917" s="1" t="str">
        <f>Language!C1157</f>
        <v>Fabricante</v>
      </c>
      <c r="C917" s="29"/>
      <c r="D917" s="313"/>
      <c r="E917" s="810" t="str">
        <f>IF(D911=B1082,"",E886)</f>
        <v>Ver BDP</v>
      </c>
      <c r="F917" s="1"/>
      <c r="G917" s="1"/>
      <c r="H917" s="1"/>
      <c r="I917" s="1"/>
      <c r="J917" s="1"/>
      <c r="K917" s="9"/>
      <c r="L917" s="1"/>
      <c r="M917" s="319"/>
      <c r="N917" s="319"/>
      <c r="O917" s="319"/>
      <c r="P917" s="319"/>
      <c r="Q917" s="319"/>
      <c r="R917" s="319"/>
      <c r="S917" s="319"/>
      <c r="T917" s="319"/>
      <c r="U917" s="319"/>
      <c r="V917" s="319"/>
      <c r="W917" s="319"/>
      <c r="X917" s="319"/>
      <c r="Y917" s="319"/>
      <c r="Z917" s="319"/>
      <c r="AA917" s="319"/>
      <c r="AB917" s="319"/>
      <c r="AC917" s="319"/>
      <c r="AD917" s="319"/>
      <c r="AE917" s="319"/>
      <c r="AF917" s="319"/>
      <c r="AG917" s="319"/>
      <c r="AH917" s="319"/>
      <c r="AI917" s="319"/>
      <c r="AJ917" s="319"/>
      <c r="AK917" s="319"/>
      <c r="AL917" s="319"/>
      <c r="AM917" s="319"/>
      <c r="AN917" s="319"/>
      <c r="AO917" s="319">
        <v>2050012</v>
      </c>
      <c r="AP917" s="319"/>
      <c r="AQ917" s="319"/>
      <c r="AR917" s="319"/>
      <c r="AS917" s="319"/>
      <c r="AT917" s="319"/>
      <c r="AU917" s="319"/>
      <c r="AV917" s="319"/>
      <c r="AW917" s="319"/>
      <c r="AX917" s="319"/>
      <c r="AY917" s="319"/>
      <c r="AZ917" s="319"/>
      <c r="BA917" s="319"/>
      <c r="BB917" s="319"/>
      <c r="BC917" s="319"/>
      <c r="BD917" s="319"/>
      <c r="BE917" s="319"/>
      <c r="BF917" s="319"/>
      <c r="BG917" s="319"/>
      <c r="BH917" s="319"/>
      <c r="BI917" s="319"/>
      <c r="BJ917" s="319"/>
      <c r="BK917" s="319"/>
      <c r="BL917" s="319"/>
      <c r="BM917" s="319"/>
      <c r="BN917" s="319"/>
      <c r="BO917" s="319"/>
      <c r="BP917" s="319"/>
      <c r="BQ917" s="319"/>
      <c r="BR917" s="319"/>
      <c r="BS917" s="319"/>
      <c r="BT917" s="319"/>
      <c r="BU917" s="319"/>
      <c r="BV917" s="319"/>
      <c r="BW917" s="319"/>
      <c r="BX917" s="319"/>
      <c r="BY917" s="319"/>
      <c r="BZ917" s="319"/>
      <c r="CA917" s="319"/>
      <c r="CB917" s="319"/>
      <c r="CC917" s="319"/>
      <c r="CD917" s="319"/>
      <c r="CE917" s="319"/>
      <c r="CF917" s="319"/>
    </row>
    <row r="918" spans="1:84" ht="12.75" hidden="1" customHeight="1">
      <c r="A918" s="12"/>
      <c r="B918" s="1" t="str">
        <f>Language!C1160</f>
        <v>Modelo</v>
      </c>
      <c r="C918" s="1"/>
      <c r="D918" s="313"/>
      <c r="E918" s="1" t="str">
        <f>$J$1082 &amp; Lang_Unit</f>
        <v>1 unidade(s)</v>
      </c>
      <c r="F918" s="1"/>
      <c r="G918" s="1"/>
      <c r="H918" s="1"/>
      <c r="I918" s="1"/>
      <c r="J918" s="1"/>
      <c r="K918" s="9"/>
      <c r="L918" s="1"/>
      <c r="M918" s="319"/>
      <c r="N918" s="319"/>
      <c r="O918" s="319"/>
      <c r="P918" s="319"/>
      <c r="Q918" s="319"/>
      <c r="R918" s="319"/>
      <c r="S918" s="319"/>
      <c r="T918" s="319"/>
      <c r="U918" s="319"/>
      <c r="V918" s="319"/>
      <c r="W918" s="319"/>
      <c r="X918" s="319"/>
      <c r="Y918" s="319"/>
      <c r="Z918" s="319"/>
      <c r="AA918" s="319"/>
      <c r="AB918" s="319"/>
      <c r="AC918" s="319"/>
      <c r="AD918" s="319"/>
      <c r="AE918" s="319"/>
      <c r="AF918" s="319"/>
      <c r="AG918" s="319"/>
      <c r="AH918" s="319"/>
      <c r="AI918" s="319"/>
      <c r="AJ918" s="319"/>
      <c r="AK918" s="319"/>
      <c r="AL918" s="319"/>
      <c r="AM918" s="319"/>
      <c r="AN918" s="319"/>
      <c r="AO918" s="319">
        <v>2050014</v>
      </c>
      <c r="AP918" s="319"/>
      <c r="AQ918" s="319"/>
      <c r="AR918" s="319"/>
      <c r="AS918" s="319"/>
      <c r="AT918" s="319"/>
      <c r="AU918" s="319"/>
      <c r="AV918" s="319"/>
      <c r="AW918" s="319"/>
      <c r="AX918" s="319"/>
      <c r="AY918" s="319"/>
      <c r="AZ918" s="319"/>
      <c r="BA918" s="319"/>
      <c r="BB918" s="319"/>
      <c r="BC918" s="319"/>
      <c r="BD918" s="319"/>
      <c r="BE918" s="319"/>
      <c r="BF918" s="319"/>
      <c r="BG918" s="319"/>
      <c r="BH918" s="319"/>
      <c r="BI918" s="319"/>
      <c r="BJ918" s="319"/>
      <c r="BK918" s="319"/>
      <c r="BL918" s="319"/>
      <c r="BM918" s="319"/>
      <c r="BN918" s="319"/>
      <c r="BO918" s="319"/>
      <c r="BP918" s="319"/>
      <c r="BQ918" s="319"/>
      <c r="BR918" s="319"/>
      <c r="BS918" s="319"/>
      <c r="BT918" s="319"/>
      <c r="BU918" s="319"/>
      <c r="BV918" s="319"/>
      <c r="BW918" s="319"/>
      <c r="BX918" s="319"/>
      <c r="BY918" s="319"/>
      <c r="BZ918" s="319"/>
      <c r="CA918" s="319"/>
      <c r="CB918" s="319"/>
      <c r="CC918" s="319"/>
      <c r="CD918" s="319"/>
      <c r="CE918" s="319"/>
      <c r="CF918" s="319"/>
    </row>
    <row r="919" spans="1:84" ht="12.75" hidden="1" customHeight="1">
      <c r="A919" s="12"/>
      <c r="B919" s="1" t="str">
        <f>Language!C219</f>
        <v>Eficiência Sazonal</v>
      </c>
      <c r="C919" s="29" t="str">
        <f>C909</f>
        <v>%</v>
      </c>
      <c r="D919" s="339"/>
      <c r="E919" s="1"/>
      <c r="F919" s="1"/>
      <c r="G919" s="1"/>
      <c r="H919" s="1"/>
      <c r="I919" s="1"/>
      <c r="J919" s="1"/>
      <c r="K919" s="9"/>
      <c r="L919" s="1"/>
      <c r="M919" s="319"/>
      <c r="N919" s="319"/>
      <c r="O919" s="319"/>
      <c r="P919" s="319"/>
      <c r="Q919" s="319"/>
      <c r="R919" s="319"/>
      <c r="S919" s="319"/>
      <c r="T919" s="319"/>
      <c r="U919" s="319"/>
      <c r="V919" s="319" t="e">
        <f>IF(D912=$P$1066,1000,1)*S916/D919*D913/VLOOKUP(D912,P1062:T1085,4,FALSE)*1000</f>
        <v>#DIV/0!</v>
      </c>
      <c r="W919" s="319"/>
      <c r="X919" s="319"/>
      <c r="Y919" s="319"/>
      <c r="Z919" s="319"/>
      <c r="AA919" s="319"/>
      <c r="AB919" s="319"/>
      <c r="AC919" s="319"/>
      <c r="AD919" s="319"/>
      <c r="AE919" s="319"/>
      <c r="AF919" s="319"/>
      <c r="AG919" s="319"/>
      <c r="AH919" s="319"/>
      <c r="AI919" s="319"/>
      <c r="AJ919" s="319"/>
      <c r="AK919" s="319"/>
      <c r="AL919" s="319"/>
      <c r="AM919" s="319"/>
      <c r="AN919" s="319"/>
      <c r="AO919" s="319">
        <v>2020208</v>
      </c>
      <c r="AP919" s="319"/>
      <c r="AQ919" s="319"/>
      <c r="AR919" s="319"/>
      <c r="AS919" s="319"/>
      <c r="AT919" s="319"/>
      <c r="AU919" s="319"/>
      <c r="AV919" s="319"/>
      <c r="AW919" s="319"/>
      <c r="AX919" s="319"/>
      <c r="AY919" s="319"/>
      <c r="AZ919" s="319"/>
      <c r="BA919" s="319"/>
      <c r="BB919" s="319"/>
      <c r="BC919" s="319"/>
      <c r="BD919" s="319"/>
      <c r="BE919" s="319"/>
      <c r="BF919" s="319"/>
      <c r="BG919" s="319"/>
      <c r="BH919" s="319"/>
      <c r="BI919" s="319"/>
      <c r="BJ919" s="319"/>
      <c r="BK919" s="319"/>
      <c r="BL919" s="319"/>
      <c r="BM919" s="319"/>
      <c r="BN919" s="319"/>
      <c r="BO919" s="319"/>
      <c r="BP919" s="319"/>
      <c r="BQ919" s="319"/>
      <c r="BR919" s="319"/>
      <c r="BS919" s="319"/>
      <c r="BT919" s="319"/>
      <c r="BU919" s="319"/>
      <c r="BV919" s="319"/>
      <c r="BW919" s="319"/>
      <c r="BX919" s="319"/>
      <c r="BY919" s="319"/>
      <c r="BZ919" s="319"/>
      <c r="CA919" s="319"/>
      <c r="CB919" s="319"/>
      <c r="CC919" s="319"/>
      <c r="CD919" s="319"/>
      <c r="CE919" s="319"/>
      <c r="CF919" s="319"/>
    </row>
    <row r="920" spans="1:84" ht="12.75" hidden="1" customHeight="1">
      <c r="A920" s="436"/>
      <c r="B920" s="28" t="str">
        <f>Language!C221</f>
        <v>Sistema de Aquecimento de back-up (opcional)</v>
      </c>
      <c r="C920" s="1267" t="str">
        <f>IF(ISERROR(V915),"",IF(V915&lt;S914,E1062,IF(S914=0,IF(D912=B1082,"",IF(D911=E1077,"",E1063)),"")))</f>
        <v>Sistema de ponta não requerido</v>
      </c>
      <c r="D920" s="1267"/>
      <c r="E920" s="1267"/>
      <c r="F920" s="1"/>
      <c r="G920" s="1"/>
      <c r="H920" s="1"/>
      <c r="I920" s="1"/>
      <c r="J920" s="1"/>
      <c r="K920" s="9"/>
      <c r="L920" s="1"/>
      <c r="M920" s="319"/>
      <c r="N920" s="319"/>
      <c r="O920" s="319"/>
      <c r="P920" s="319"/>
      <c r="Q920" s="319"/>
      <c r="R920" s="319"/>
      <c r="S920" s="319"/>
      <c r="T920" s="319"/>
      <c r="U920" s="319"/>
      <c r="V920" s="319"/>
      <c r="W920" s="319"/>
      <c r="X920" s="319"/>
      <c r="Y920" s="319"/>
      <c r="Z920" s="319"/>
      <c r="AA920" s="319"/>
      <c r="AB920" s="319"/>
      <c r="AC920" s="319"/>
      <c r="AD920" s="319"/>
      <c r="AE920" s="319"/>
      <c r="AF920" s="319"/>
      <c r="AG920" s="319"/>
      <c r="AH920" s="319"/>
      <c r="AI920" s="319"/>
      <c r="AJ920" s="319"/>
      <c r="AK920" s="319"/>
      <c r="AL920" s="319"/>
      <c r="AM920" s="319"/>
      <c r="AN920" s="319"/>
      <c r="AO920" s="319">
        <v>3012056</v>
      </c>
      <c r="AP920" s="319"/>
      <c r="AQ920" s="319"/>
      <c r="AR920" s="319"/>
      <c r="AS920" s="319"/>
      <c r="AT920" s="319"/>
      <c r="AU920" s="319"/>
      <c r="AV920" s="319"/>
      <c r="AW920" s="319"/>
      <c r="AX920" s="319"/>
      <c r="AY920" s="319"/>
      <c r="AZ920" s="319"/>
      <c r="BA920" s="319"/>
      <c r="BB920" s="319"/>
      <c r="BC920" s="319"/>
      <c r="BD920" s="319"/>
      <c r="BE920" s="319"/>
      <c r="BF920" s="319"/>
      <c r="BG920" s="319"/>
      <c r="BH920" s="319"/>
      <c r="BI920" s="319"/>
      <c r="BJ920" s="319"/>
      <c r="BK920" s="319"/>
      <c r="BL920" s="319"/>
      <c r="BM920" s="319"/>
      <c r="BN920" s="319"/>
      <c r="BO920" s="319"/>
      <c r="BP920" s="319"/>
      <c r="BQ920" s="319"/>
      <c r="BR920" s="319"/>
      <c r="BS920" s="319"/>
      <c r="BT920" s="319"/>
      <c r="BU920" s="319"/>
      <c r="BV920" s="319"/>
      <c r="BW920" s="319"/>
      <c r="BX920" s="319"/>
      <c r="BY920" s="319"/>
      <c r="BZ920" s="319"/>
      <c r="CA920" s="319"/>
      <c r="CB920" s="319"/>
      <c r="CC920" s="319"/>
      <c r="CD920" s="319"/>
      <c r="CE920" s="319"/>
      <c r="CF920" s="319"/>
    </row>
    <row r="921" spans="1:84" ht="12.75" hidden="1" customHeight="1">
      <c r="A921" s="12"/>
      <c r="B921" s="1" t="str">
        <f>B894</f>
        <v>Tecnologia</v>
      </c>
      <c r="C921" s="1"/>
      <c r="D921" s="313"/>
      <c r="E921" s="1"/>
      <c r="F921" s="1"/>
      <c r="G921" s="1"/>
      <c r="H921" s="1"/>
      <c r="I921" s="1"/>
      <c r="J921" s="1"/>
      <c r="K921" s="9"/>
      <c r="L921" s="1"/>
      <c r="M921" s="319"/>
      <c r="N921" s="319"/>
      <c r="O921" s="319"/>
      <c r="P921" s="319"/>
      <c r="Q921" s="319"/>
      <c r="R921" s="319"/>
      <c r="S921" s="319"/>
      <c r="T921" s="319"/>
      <c r="U921" s="319"/>
      <c r="V921" s="319"/>
      <c r="W921" s="319"/>
      <c r="X921" s="319"/>
      <c r="Y921" s="319"/>
      <c r="Z921" s="319"/>
      <c r="AA921" s="319"/>
      <c r="AB921" s="319"/>
      <c r="AC921" s="319"/>
      <c r="AD921" s="319"/>
      <c r="AE921" s="319"/>
      <c r="AF921" s="319"/>
      <c r="AG921" s="319"/>
      <c r="AH921" s="319"/>
      <c r="AI921" s="319"/>
      <c r="AJ921" s="319"/>
      <c r="AK921" s="319"/>
      <c r="AL921" s="319"/>
      <c r="AM921" s="319"/>
      <c r="AN921" s="319"/>
      <c r="AO921" s="319">
        <v>3012058</v>
      </c>
      <c r="AP921" s="319"/>
      <c r="AQ921" s="319"/>
      <c r="AR921" s="319"/>
      <c r="AS921" s="319"/>
      <c r="AT921" s="319"/>
      <c r="AU921" s="319"/>
      <c r="AV921" s="319"/>
      <c r="AW921" s="319"/>
      <c r="AX921" s="319"/>
      <c r="AY921" s="319"/>
      <c r="AZ921" s="319"/>
      <c r="BA921" s="319"/>
      <c r="BB921" s="319"/>
      <c r="BC921" s="319"/>
      <c r="BD921" s="319"/>
      <c r="BE921" s="319"/>
      <c r="BF921" s="319"/>
      <c r="BG921" s="319"/>
      <c r="BH921" s="319"/>
      <c r="BI921" s="319"/>
      <c r="BJ921" s="319"/>
      <c r="BK921" s="319"/>
      <c r="BL921" s="319"/>
      <c r="BM921" s="319"/>
      <c r="BN921" s="319"/>
      <c r="BO921" s="319"/>
      <c r="BP921" s="319"/>
      <c r="BQ921" s="319"/>
      <c r="BR921" s="319"/>
      <c r="BS921" s="319"/>
      <c r="BT921" s="319"/>
      <c r="BU921" s="319"/>
      <c r="BV921" s="319"/>
      <c r="BW921" s="319"/>
      <c r="BX921" s="319"/>
      <c r="BY921" s="319"/>
      <c r="BZ921" s="319"/>
      <c r="CA921" s="319"/>
      <c r="CB921" s="319"/>
      <c r="CC921" s="319"/>
      <c r="CD921" s="319"/>
      <c r="CE921" s="319"/>
      <c r="CF921" s="319"/>
    </row>
    <row r="922" spans="1:84" ht="12.75" hidden="1" customHeight="1">
      <c r="A922" s="14"/>
      <c r="B922" s="15" t="str">
        <f>B870</f>
        <v>Capacidade</v>
      </c>
      <c r="C922" s="303" t="s">
        <v>5700</v>
      </c>
      <c r="D922" s="382"/>
      <c r="E922" s="15"/>
      <c r="F922" s="1346"/>
      <c r="G922" s="15"/>
      <c r="H922" s="15"/>
      <c r="I922" s="15"/>
      <c r="J922" s="15"/>
      <c r="K922" s="11"/>
      <c r="L922" s="1"/>
      <c r="M922" s="319"/>
      <c r="N922" s="319"/>
      <c r="O922" s="319"/>
      <c r="P922" s="319"/>
      <c r="Q922" s="319"/>
      <c r="R922" s="319" t="s">
        <v>5700</v>
      </c>
      <c r="S922" s="319">
        <f>IF(C922=$Z$1097,D922,D922/$AA$1098)</f>
        <v>0</v>
      </c>
      <c r="T922" s="319"/>
      <c r="U922" s="319"/>
      <c r="V922" s="319"/>
      <c r="W922" s="319"/>
      <c r="X922" s="319"/>
      <c r="Y922" s="319"/>
      <c r="Z922" s="319"/>
      <c r="AA922" s="319"/>
      <c r="AB922" s="319"/>
      <c r="AC922" s="319"/>
      <c r="AD922" s="319"/>
      <c r="AE922" s="319"/>
      <c r="AF922" s="319"/>
      <c r="AG922" s="319"/>
      <c r="AH922" s="319"/>
      <c r="AI922" s="319"/>
      <c r="AJ922" s="319"/>
      <c r="AK922" s="319"/>
      <c r="AL922" s="319"/>
      <c r="AM922" s="319"/>
      <c r="AN922" s="319"/>
      <c r="AO922" s="319">
        <v>3012060</v>
      </c>
      <c r="AP922" s="319"/>
      <c r="AQ922" s="319"/>
      <c r="AR922" s="319"/>
      <c r="AS922" s="319"/>
      <c r="AT922" s="319"/>
      <c r="AU922" s="319"/>
      <c r="AV922" s="319"/>
      <c r="AW922" s="319"/>
      <c r="AX922" s="319"/>
      <c r="AY922" s="319"/>
      <c r="AZ922" s="319"/>
      <c r="BA922" s="319"/>
      <c r="BB922" s="319"/>
      <c r="BC922" s="319"/>
      <c r="BD922" s="319"/>
      <c r="BE922" s="319"/>
      <c r="BF922" s="319"/>
      <c r="BG922" s="319"/>
      <c r="BH922" s="319"/>
      <c r="BI922" s="319"/>
      <c r="BJ922" s="319"/>
      <c r="BK922" s="319"/>
      <c r="BL922" s="319"/>
      <c r="BM922" s="319"/>
      <c r="BN922" s="319"/>
      <c r="BO922" s="319"/>
      <c r="BP922" s="319"/>
      <c r="BQ922" s="319"/>
      <c r="BR922" s="319"/>
      <c r="BS922" s="319"/>
      <c r="BT922" s="319"/>
      <c r="BU922" s="319"/>
      <c r="BV922" s="319"/>
      <c r="BW922" s="319"/>
      <c r="BX922" s="319"/>
      <c r="BY922" s="319"/>
      <c r="BZ922" s="319"/>
      <c r="CA922" s="319"/>
      <c r="CB922" s="319"/>
      <c r="CC922" s="319"/>
      <c r="CD922" s="319"/>
      <c r="CE922" s="319"/>
      <c r="CF922" s="319"/>
    </row>
    <row r="923" spans="1:84" ht="12.75" hidden="1" customHeight="1">
      <c r="A923" s="1187" t="str">
        <f>Language!C191</f>
        <v>Refrigeração</v>
      </c>
      <c r="B923" s="1188"/>
      <c r="C923" s="1"/>
      <c r="D923" s="1"/>
      <c r="E923" s="1"/>
      <c r="F923" s="1"/>
      <c r="G923" s="1"/>
      <c r="H923" s="1"/>
      <c r="I923" s="1"/>
      <c r="J923" s="1"/>
      <c r="K923" s="9"/>
      <c r="L923" s="1"/>
      <c r="M923" s="319"/>
      <c r="N923" s="319"/>
      <c r="O923" s="319"/>
      <c r="P923" s="319"/>
      <c r="Q923" s="319"/>
      <c r="R923" s="319"/>
      <c r="S923" s="319"/>
      <c r="T923" s="319"/>
      <c r="U923" s="319"/>
      <c r="V923" s="319"/>
      <c r="W923" s="319"/>
      <c r="X923" s="319"/>
      <c r="Y923" s="319"/>
      <c r="Z923" s="319"/>
      <c r="AA923" s="319"/>
      <c r="AB923" s="319"/>
      <c r="AC923" s="319"/>
      <c r="AD923" s="319"/>
      <c r="AE923" s="319"/>
      <c r="AF923" s="319"/>
      <c r="AG923" s="319"/>
      <c r="AH923" s="319"/>
      <c r="AI923" s="319"/>
      <c r="AJ923" s="319"/>
      <c r="AK923" s="319"/>
      <c r="AL923" s="319"/>
      <c r="AM923" s="319"/>
      <c r="AN923" s="319"/>
      <c r="AO923" s="319">
        <v>3013000</v>
      </c>
      <c r="AP923" s="319"/>
      <c r="AQ923" s="319"/>
      <c r="AR923" s="319"/>
      <c r="AS923" s="319"/>
      <c r="AT923" s="319"/>
      <c r="AU923" s="319"/>
      <c r="AV923" s="319"/>
      <c r="AW923" s="319"/>
      <c r="AX923" s="319"/>
      <c r="AY923" s="319"/>
      <c r="AZ923" s="319"/>
      <c r="BA923" s="319"/>
      <c r="BB923" s="319"/>
      <c r="BC923" s="319"/>
      <c r="BD923" s="319"/>
      <c r="BE923" s="319"/>
      <c r="BF923" s="319"/>
      <c r="BG923" s="319"/>
      <c r="BH923" s="319"/>
      <c r="BI923" s="319"/>
      <c r="BJ923" s="319"/>
      <c r="BK923" s="319"/>
      <c r="BL923" s="319"/>
      <c r="BM923" s="319"/>
      <c r="BN923" s="319"/>
      <c r="BO923" s="319"/>
      <c r="BP923" s="319"/>
      <c r="BQ923" s="319"/>
      <c r="BR923" s="319"/>
      <c r="BS923" s="319"/>
      <c r="BT923" s="319"/>
      <c r="BU923" s="319"/>
      <c r="BV923" s="319"/>
      <c r="BW923" s="319"/>
      <c r="BX923" s="319"/>
      <c r="BY923" s="319"/>
      <c r="BZ923" s="319"/>
      <c r="CA923" s="319"/>
      <c r="CB923" s="319"/>
      <c r="CC923" s="319"/>
      <c r="CD923" s="319"/>
      <c r="CE923" s="319"/>
      <c r="CF923" s="319"/>
    </row>
    <row r="924" spans="1:84" ht="12.75" hidden="1" customHeight="1">
      <c r="A924" s="436"/>
      <c r="B924" s="28" t="str">
        <f>Language!C222</f>
        <v>Carga base do sistema de refrigeração</v>
      </c>
      <c r="C924" s="1"/>
      <c r="D924" s="1"/>
      <c r="E924" s="1"/>
      <c r="F924" s="1"/>
      <c r="G924" s="1"/>
      <c r="H924" s="1"/>
      <c r="I924" s="1"/>
      <c r="J924" s="1"/>
      <c r="K924" s="9"/>
      <c r="L924" s="1"/>
      <c r="M924" s="319"/>
      <c r="N924" s="319"/>
      <c r="O924" s="319"/>
      <c r="P924" s="319"/>
      <c r="Q924" s="319"/>
      <c r="R924" s="319"/>
      <c r="S924" s="319"/>
      <c r="T924" s="319"/>
      <c r="U924" s="319"/>
      <c r="V924" s="319"/>
      <c r="W924" s="319"/>
      <c r="X924" s="319"/>
      <c r="Y924" s="319"/>
      <c r="Z924" s="319"/>
      <c r="AA924" s="319"/>
      <c r="AB924" s="319"/>
      <c r="AC924" s="319"/>
      <c r="AD924" s="319"/>
      <c r="AE924" s="319"/>
      <c r="AF924" s="319"/>
      <c r="AG924" s="319"/>
      <c r="AH924" s="319"/>
      <c r="AI924" s="319"/>
      <c r="AJ924" s="319"/>
      <c r="AK924" s="319"/>
      <c r="AL924" s="319"/>
      <c r="AM924" s="319"/>
      <c r="AN924" s="319"/>
      <c r="AO924" s="319">
        <v>3013002</v>
      </c>
      <c r="AP924" s="319"/>
      <c r="AQ924" s="319"/>
      <c r="AR924" s="319"/>
      <c r="AS924" s="319"/>
      <c r="AT924" s="319"/>
      <c r="AU924" s="319"/>
      <c r="AV924" s="319"/>
      <c r="AW924" s="319"/>
      <c r="AX924" s="319"/>
      <c r="AY924" s="319"/>
      <c r="AZ924" s="319"/>
      <c r="BA924" s="319"/>
      <c r="BB924" s="319"/>
      <c r="BC924" s="319"/>
      <c r="BD924" s="319"/>
      <c r="BE924" s="319"/>
      <c r="BF924" s="319"/>
      <c r="BG924" s="319"/>
      <c r="BH924" s="319"/>
      <c r="BI924" s="319"/>
      <c r="BJ924" s="319"/>
      <c r="BK924" s="319"/>
      <c r="BL924" s="319"/>
      <c r="BM924" s="319"/>
      <c r="BN924" s="319"/>
      <c r="BO924" s="319"/>
      <c r="BP924" s="319"/>
      <c r="BQ924" s="319"/>
      <c r="BR924" s="319"/>
      <c r="BS924" s="319"/>
      <c r="BT924" s="319"/>
      <c r="BU924" s="319"/>
      <c r="BV924" s="319"/>
      <c r="BW924" s="319"/>
      <c r="BX924" s="319"/>
      <c r="BY924" s="319"/>
      <c r="BZ924" s="319"/>
      <c r="CA924" s="319"/>
      <c r="CB924" s="319"/>
      <c r="CC924" s="319"/>
      <c r="CD924" s="319"/>
      <c r="CE924" s="319"/>
      <c r="CF924" s="319"/>
    </row>
    <row r="925" spans="1:84" ht="12.75" hidden="1" customHeight="1">
      <c r="A925" s="12"/>
      <c r="B925" s="1" t="str">
        <f>B868</f>
        <v>Tecnologia</v>
      </c>
      <c r="C925" s="1"/>
      <c r="D925" s="29" t="str">
        <f>C6</f>
        <v>Bomba de calor</v>
      </c>
      <c r="E925" s="1"/>
      <c r="F925" s="1"/>
      <c r="G925" s="1"/>
      <c r="H925" s="1"/>
      <c r="I925" s="1"/>
      <c r="J925" s="1"/>
      <c r="K925" s="9"/>
      <c r="L925" s="1"/>
      <c r="M925" s="319"/>
      <c r="N925" s="319"/>
      <c r="O925" s="319"/>
      <c r="P925" s="319"/>
      <c r="Q925" s="319"/>
      <c r="R925" s="319"/>
      <c r="S925" s="319"/>
      <c r="T925" s="319"/>
      <c r="U925" s="319"/>
      <c r="V925" s="319"/>
      <c r="W925" s="319"/>
      <c r="X925" s="319"/>
      <c r="Y925" s="319"/>
      <c r="Z925" s="319"/>
      <c r="AA925" s="319"/>
      <c r="AB925" s="319"/>
      <c r="AC925" s="319"/>
      <c r="AD925" s="319"/>
      <c r="AE925" s="319"/>
      <c r="AF925" s="319"/>
      <c r="AG925" s="319"/>
      <c r="AH925" s="319"/>
      <c r="AI925" s="319"/>
      <c r="AJ925" s="319"/>
      <c r="AK925" s="319"/>
      <c r="AL925" s="319"/>
      <c r="AM925" s="319"/>
      <c r="AN925" s="319"/>
      <c r="AO925" s="319">
        <v>3013004</v>
      </c>
      <c r="AP925" s="319"/>
      <c r="AQ925" s="319"/>
      <c r="AR925" s="319"/>
      <c r="AS925" s="319"/>
      <c r="AT925" s="319"/>
      <c r="AU925" s="319"/>
      <c r="AV925" s="319"/>
      <c r="AW925" s="319"/>
      <c r="AX925" s="319"/>
      <c r="AY925" s="319"/>
      <c r="AZ925" s="319"/>
      <c r="BA925" s="319"/>
      <c r="BB925" s="319"/>
      <c r="BC925" s="319"/>
      <c r="BD925" s="319"/>
      <c r="BE925" s="319"/>
      <c r="BF925" s="319"/>
      <c r="BG925" s="319"/>
      <c r="BH925" s="319"/>
      <c r="BI925" s="319"/>
      <c r="BJ925" s="319"/>
      <c r="BK925" s="319"/>
      <c r="BL925" s="319"/>
      <c r="BM925" s="319"/>
      <c r="BN925" s="319"/>
      <c r="BO925" s="319"/>
      <c r="BP925" s="319"/>
      <c r="BQ925" s="319"/>
      <c r="BR925" s="319"/>
      <c r="BS925" s="319"/>
      <c r="BT925" s="319"/>
      <c r="BU925" s="319"/>
      <c r="BV925" s="319"/>
      <c r="BW925" s="319"/>
      <c r="BX925" s="319"/>
      <c r="BY925" s="319"/>
      <c r="BZ925" s="319"/>
      <c r="CA925" s="319"/>
      <c r="CB925" s="319"/>
      <c r="CC925" s="319"/>
      <c r="CD925" s="319"/>
      <c r="CE925" s="319"/>
      <c r="CF925" s="319"/>
    </row>
    <row r="926" spans="1:84" ht="12.75" hidden="1" customHeight="1">
      <c r="A926" s="12"/>
      <c r="B926" s="1" t="str">
        <f>IF(OR(D926=$P$1083,D926=$P$1084,D926=$P$1085),Language!$C$398,$B$881)</f>
        <v>Tipo de Combustível</v>
      </c>
      <c r="C926" s="1"/>
      <c r="D926" s="29" t="str">
        <f>IF(HideCode_projectType3=3,IF(C6=G1080,D7,C8), IF(HideCode_projectType3=5,IF(OR($C6=$G$1076,$C6=$G$1077,$C6=$G$1080),$D7,$C8),IF(HideCode_projectType3=6,IF(OR(C6=$G$1078,C6=$G$1079,C6=G1080),D7,C8),IF(HideCode_projectType3=7,$D7,""))))</f>
        <v/>
      </c>
      <c r="E926" s="1"/>
      <c r="F926" s="1"/>
      <c r="G926" s="1"/>
      <c r="H926" s="1"/>
      <c r="I926" s="1"/>
      <c r="J926" s="1"/>
      <c r="K926" s="9"/>
      <c r="L926" s="1"/>
      <c r="M926" s="319"/>
      <c r="N926" s="319"/>
      <c r="O926" s="319"/>
      <c r="P926" s="319"/>
      <c r="Q926" s="319"/>
      <c r="R926" s="319"/>
      <c r="S926" s="319"/>
      <c r="T926" s="319"/>
      <c r="U926" s="319"/>
      <c r="V926" s="319"/>
      <c r="W926" s="319"/>
      <c r="X926" s="319"/>
      <c r="Y926" s="319"/>
      <c r="Z926" s="319"/>
      <c r="AA926" s="319"/>
      <c r="AB926" s="319"/>
      <c r="AC926" s="319"/>
      <c r="AD926" s="319"/>
      <c r="AE926" s="319"/>
      <c r="AF926" s="319"/>
      <c r="AG926" s="319"/>
      <c r="AH926" s="319"/>
      <c r="AI926" s="319"/>
      <c r="AJ926" s="319"/>
      <c r="AK926" s="319"/>
      <c r="AL926" s="319"/>
      <c r="AM926" s="319"/>
      <c r="AN926" s="319"/>
      <c r="AO926" s="319">
        <v>3013006</v>
      </c>
      <c r="AP926" s="319"/>
      <c r="AQ926" s="319"/>
      <c r="AR926" s="319"/>
      <c r="AS926" s="319"/>
      <c r="AT926" s="319"/>
      <c r="AU926" s="319"/>
      <c r="AV926" s="319"/>
      <c r="AW926" s="319"/>
      <c r="AX926" s="319"/>
      <c r="AY926" s="319"/>
      <c r="AZ926" s="319"/>
      <c r="BA926" s="319"/>
      <c r="BB926" s="319"/>
      <c r="BC926" s="319"/>
      <c r="BD926" s="319"/>
      <c r="BE926" s="319"/>
      <c r="BF926" s="319"/>
      <c r="BG926" s="319"/>
      <c r="BH926" s="319"/>
      <c r="BI926" s="319"/>
      <c r="BJ926" s="319"/>
      <c r="BK926" s="319"/>
      <c r="BL926" s="319"/>
      <c r="BM926" s="319"/>
      <c r="BN926" s="319"/>
      <c r="BO926" s="319"/>
      <c r="BP926" s="319"/>
      <c r="BQ926" s="319"/>
      <c r="BR926" s="319"/>
      <c r="BS926" s="319"/>
      <c r="BT926" s="319"/>
      <c r="BU926" s="319"/>
      <c r="BV926" s="319"/>
      <c r="BW926" s="319"/>
      <c r="BX926" s="319"/>
      <c r="BY926" s="319"/>
      <c r="BZ926" s="319"/>
      <c r="CA926" s="319"/>
      <c r="CB926" s="319"/>
      <c r="CC926" s="319"/>
      <c r="CD926" s="319"/>
      <c r="CE926" s="319"/>
      <c r="CF926" s="319"/>
    </row>
    <row r="927" spans="1:84" ht="12.75" hidden="1" customHeight="1">
      <c r="A927" s="12"/>
      <c r="B927" s="1" t="str">
        <f>B870</f>
        <v>Capacidade</v>
      </c>
      <c r="C927" s="29" t="str">
        <f>IF(Unit=TRUE,R927,T927)</f>
        <v>kW</v>
      </c>
      <c r="D927" s="30">
        <f>IF(Unit=TRUE,S927,U927)</f>
        <v>0</v>
      </c>
      <c r="E927" s="80">
        <f>IF(R866=0,0,S927/R866)</f>
        <v>0</v>
      </c>
      <c r="F927" s="1"/>
      <c r="G927" s="1"/>
      <c r="H927" s="1"/>
      <c r="I927" s="1"/>
      <c r="J927" s="1"/>
      <c r="K927" s="9"/>
      <c r="L927" s="1"/>
      <c r="M927" s="319"/>
      <c r="N927" s="319"/>
      <c r="O927" s="319"/>
      <c r="P927" s="319"/>
      <c r="Q927" s="319"/>
      <c r="R927" s="319" t="str">
        <f>R895</f>
        <v>kW</v>
      </c>
      <c r="S927" s="494">
        <f>S10</f>
        <v>0</v>
      </c>
      <c r="T927" s="319" t="str">
        <f>Language!C1403</f>
        <v>TR</v>
      </c>
      <c r="U927" s="319">
        <f>S927*$AA$1099</f>
        <v>0</v>
      </c>
      <c r="V927" s="319"/>
      <c r="W927" s="319"/>
      <c r="X927" s="319"/>
      <c r="Y927" s="319"/>
      <c r="Z927" s="319"/>
      <c r="AA927" s="319"/>
      <c r="AB927" s="319"/>
      <c r="AC927" s="319"/>
      <c r="AD927" s="319"/>
      <c r="AE927" s="319"/>
      <c r="AF927" s="319"/>
      <c r="AG927" s="319"/>
      <c r="AH927" s="319"/>
      <c r="AI927" s="319"/>
      <c r="AJ927" s="319"/>
      <c r="AK927" s="319"/>
      <c r="AL927" s="319"/>
      <c r="AM927" s="319"/>
      <c r="AN927" s="319"/>
      <c r="AO927" s="319">
        <v>3013008</v>
      </c>
      <c r="AP927" s="319"/>
      <c r="AQ927" s="319"/>
      <c r="AR927" s="319"/>
      <c r="AS927" s="319"/>
      <c r="AT927" s="319"/>
      <c r="AU927" s="319"/>
      <c r="AV927" s="319"/>
      <c r="AW927" s="319"/>
      <c r="AX927" s="319"/>
      <c r="AY927" s="319"/>
      <c r="AZ927" s="319"/>
      <c r="BA927" s="319"/>
      <c r="BB927" s="319"/>
      <c r="BC927" s="319"/>
      <c r="BD927" s="319"/>
      <c r="BE927" s="319"/>
      <c r="BF927" s="319"/>
      <c r="BG927" s="319"/>
      <c r="BH927" s="319"/>
      <c r="BI927" s="319"/>
      <c r="BJ927" s="319"/>
      <c r="BK927" s="319"/>
      <c r="BL927" s="319"/>
      <c r="BM927" s="319"/>
      <c r="BN927" s="319"/>
      <c r="BO927" s="319"/>
      <c r="BP927" s="319"/>
      <c r="BQ927" s="319"/>
      <c r="BR927" s="319"/>
      <c r="BS927" s="319"/>
      <c r="BT927" s="319"/>
      <c r="BU927" s="319"/>
      <c r="BV927" s="319"/>
      <c r="BW927" s="319"/>
      <c r="BX927" s="319"/>
      <c r="BY927" s="319"/>
      <c r="BZ927" s="319"/>
      <c r="CA927" s="319"/>
      <c r="CB927" s="319"/>
      <c r="CC927" s="319"/>
      <c r="CD927" s="319"/>
      <c r="CE927" s="319"/>
      <c r="CF927" s="319"/>
    </row>
    <row r="928" spans="1:84" ht="12.75" hidden="1" customHeight="1">
      <c r="A928" s="12"/>
      <c r="B928" s="1" t="str">
        <f>Language!C204</f>
        <v>Frio fornecido</v>
      </c>
      <c r="C928" s="29" t="str">
        <f>IF(Unit=TRUE,R928,T928)</f>
        <v>MWh</v>
      </c>
      <c r="D928" s="30">
        <f>IF(Unit=TRUE,S928,U928)</f>
        <v>0</v>
      </c>
      <c r="E928" s="80">
        <f>IF(R867=0,0,S928/R867)</f>
        <v>0</v>
      </c>
      <c r="F928" s="1"/>
      <c r="G928" s="1"/>
      <c r="H928" s="1"/>
      <c r="I928" s="1"/>
      <c r="J928" s="1"/>
      <c r="K928" s="9"/>
      <c r="L928" s="1"/>
      <c r="M928" s="319"/>
      <c r="N928" s="319"/>
      <c r="O928" s="319"/>
      <c r="P928" s="319"/>
      <c r="Q928" s="319"/>
      <c r="R928" s="319" t="str">
        <f>R14</f>
        <v>MWh</v>
      </c>
      <c r="S928" s="494">
        <f>S14</f>
        <v>0</v>
      </c>
      <c r="T928" s="319" t="str">
        <f>Language!C1405</f>
        <v>TRh</v>
      </c>
      <c r="U928" s="319">
        <f>S928*$AB$1099</f>
        <v>0</v>
      </c>
      <c r="V928" s="319"/>
      <c r="W928" s="319"/>
      <c r="X928" s="319"/>
      <c r="Y928" s="319"/>
      <c r="Z928" s="319"/>
      <c r="AA928" s="319"/>
      <c r="AB928" s="319"/>
      <c r="AC928" s="319"/>
      <c r="AD928" s="319"/>
      <c r="AE928" s="319"/>
      <c r="AF928" s="319"/>
      <c r="AG928" s="319"/>
      <c r="AH928" s="319"/>
      <c r="AI928" s="319"/>
      <c r="AJ928" s="319"/>
      <c r="AK928" s="319"/>
      <c r="AL928" s="319"/>
      <c r="AM928" s="319"/>
      <c r="AN928" s="319"/>
      <c r="AO928" s="319">
        <v>3013010</v>
      </c>
      <c r="AP928" s="319"/>
      <c r="AQ928" s="319"/>
      <c r="AR928" s="319"/>
      <c r="AS928" s="319"/>
      <c r="AT928" s="319"/>
      <c r="AU928" s="319"/>
      <c r="AV928" s="319"/>
      <c r="AW928" s="319"/>
      <c r="AX928" s="319"/>
      <c r="AY928" s="319"/>
      <c r="AZ928" s="319"/>
      <c r="BA928" s="319"/>
      <c r="BB928" s="319"/>
      <c r="BC928" s="319"/>
      <c r="BD928" s="319"/>
      <c r="BE928" s="319"/>
      <c r="BF928" s="319"/>
      <c r="BG928" s="319"/>
      <c r="BH928" s="319"/>
      <c r="BI928" s="319"/>
      <c r="BJ928" s="319"/>
      <c r="BK928" s="319"/>
      <c r="BL928" s="319"/>
      <c r="BM928" s="319"/>
      <c r="BN928" s="319"/>
      <c r="BO928" s="319"/>
      <c r="BP928" s="319"/>
      <c r="BQ928" s="319"/>
      <c r="BR928" s="319"/>
      <c r="BS928" s="319"/>
      <c r="BT928" s="319"/>
      <c r="BU928" s="319"/>
      <c r="BV928" s="319"/>
      <c r="BW928" s="319"/>
      <c r="BX928" s="319"/>
      <c r="BY928" s="319"/>
      <c r="BZ928" s="319"/>
      <c r="CA928" s="319"/>
      <c r="CB928" s="319"/>
      <c r="CC928" s="319"/>
      <c r="CD928" s="319"/>
      <c r="CE928" s="319"/>
      <c r="CF928" s="319"/>
    </row>
    <row r="929" spans="1:84" ht="12.75" hidden="1" customHeight="1">
      <c r="A929" s="436"/>
      <c r="B929" s="28" t="str">
        <f>Language!C223</f>
        <v>Carga de ponta do sistema de refrigeração</v>
      </c>
      <c r="C929" s="1"/>
      <c r="D929" s="1"/>
      <c r="E929" s="1"/>
      <c r="F929" s="1"/>
      <c r="G929" s="1"/>
      <c r="H929" s="1"/>
      <c r="I929" s="1"/>
      <c r="J929" s="1"/>
      <c r="K929" s="9"/>
      <c r="L929" s="1"/>
      <c r="M929" s="319"/>
      <c r="N929" s="319"/>
      <c r="O929" s="319"/>
      <c r="P929" s="319"/>
      <c r="Q929" s="319"/>
      <c r="R929" s="319"/>
      <c r="S929" s="319"/>
      <c r="T929" s="319"/>
      <c r="U929" s="319"/>
      <c r="V929" s="319"/>
      <c r="W929" s="319"/>
      <c r="X929" s="319"/>
      <c r="Y929" s="319"/>
      <c r="Z929" s="319"/>
      <c r="AA929" s="319"/>
      <c r="AB929" s="319"/>
      <c r="AC929" s="319"/>
      <c r="AD929" s="319"/>
      <c r="AE929" s="319"/>
      <c r="AF929" s="319"/>
      <c r="AG929" s="319"/>
      <c r="AH929" s="319"/>
      <c r="AI929" s="319"/>
      <c r="AJ929" s="319"/>
      <c r="AK929" s="319"/>
      <c r="AL929" s="319"/>
      <c r="AM929" s="319"/>
      <c r="AN929" s="319"/>
      <c r="AO929" s="319">
        <v>3013003</v>
      </c>
      <c r="AP929" s="319"/>
      <c r="AQ929" s="319"/>
      <c r="AR929" s="319"/>
      <c r="AS929" s="319"/>
      <c r="AT929" s="319"/>
      <c r="AU929" s="319"/>
      <c r="AV929" s="319"/>
      <c r="AW929" s="319"/>
      <c r="AX929" s="319"/>
      <c r="AY929" s="319"/>
      <c r="AZ929" s="319"/>
      <c r="BA929" s="319"/>
      <c r="BB929" s="319"/>
      <c r="BC929" s="319"/>
      <c r="BD929" s="319"/>
      <c r="BE929" s="319"/>
      <c r="BF929" s="319"/>
      <c r="BG929" s="319"/>
      <c r="BH929" s="319"/>
      <c r="BI929" s="319"/>
      <c r="BJ929" s="319"/>
      <c r="BK929" s="319"/>
      <c r="BL929" s="319"/>
      <c r="BM929" s="319"/>
      <c r="BN929" s="319"/>
      <c r="BO929" s="319"/>
      <c r="BP929" s="319"/>
      <c r="BQ929" s="319"/>
      <c r="BR929" s="319"/>
      <c r="BS929" s="319"/>
      <c r="BT929" s="319"/>
      <c r="BU929" s="319"/>
      <c r="BV929" s="319"/>
      <c r="BW929" s="319"/>
      <c r="BX929" s="319"/>
      <c r="BY929" s="319"/>
      <c r="BZ929" s="319"/>
      <c r="CA929" s="319"/>
      <c r="CB929" s="319"/>
      <c r="CC929" s="319"/>
      <c r="CD929" s="319"/>
      <c r="CE929" s="319"/>
      <c r="CF929" s="319"/>
    </row>
    <row r="930" spans="1:84" ht="12.75" hidden="1" customHeight="1">
      <c r="A930" s="12"/>
      <c r="B930" s="1" t="str">
        <f>B868</f>
        <v>Tecnologia</v>
      </c>
      <c r="C930" s="1"/>
      <c r="D930" s="29" t="str">
        <f>C16</f>
        <v>Compressor</v>
      </c>
      <c r="E930" s="1"/>
      <c r="F930" s="1"/>
      <c r="G930" s="1"/>
      <c r="H930" s="1"/>
      <c r="I930" s="1"/>
      <c r="J930" s="1"/>
      <c r="K930" s="9"/>
      <c r="L930" s="1"/>
      <c r="M930" s="319"/>
      <c r="N930" s="319"/>
      <c r="O930" s="319"/>
      <c r="P930" s="319"/>
      <c r="Q930" s="319"/>
      <c r="R930" s="319"/>
      <c r="S930" s="319"/>
      <c r="T930" s="319"/>
      <c r="U930" s="319"/>
      <c r="V930" s="319"/>
      <c r="W930" s="319"/>
      <c r="X930" s="319"/>
      <c r="Y930" s="319"/>
      <c r="Z930" s="319"/>
      <c r="AA930" s="319"/>
      <c r="AB930" s="319"/>
      <c r="AC930" s="319"/>
      <c r="AD930" s="319"/>
      <c r="AE930" s="319"/>
      <c r="AF930" s="319"/>
      <c r="AG930" s="319"/>
      <c r="AH930" s="319"/>
      <c r="AI930" s="319"/>
      <c r="AJ930" s="319"/>
      <c r="AK930" s="319"/>
      <c r="AL930" s="319"/>
      <c r="AM930" s="319"/>
      <c r="AN930" s="319"/>
      <c r="AO930" s="319">
        <v>3013004</v>
      </c>
      <c r="AP930" s="319"/>
      <c r="AQ930" s="319"/>
      <c r="AR930" s="319"/>
      <c r="AS930" s="319"/>
      <c r="AT930" s="319"/>
      <c r="AU930" s="319"/>
      <c r="AV930" s="319"/>
      <c r="AW930" s="319"/>
      <c r="AX930" s="319"/>
      <c r="AY930" s="319"/>
      <c r="AZ930" s="319"/>
      <c r="BA930" s="319"/>
      <c r="BB930" s="319"/>
      <c r="BC930" s="319"/>
      <c r="BD930" s="319"/>
      <c r="BE930" s="319"/>
      <c r="BF930" s="319"/>
      <c r="BG930" s="319"/>
      <c r="BH930" s="319"/>
      <c r="BI930" s="319"/>
      <c r="BJ930" s="319"/>
      <c r="BK930" s="319"/>
      <c r="BL930" s="319"/>
      <c r="BM930" s="319"/>
      <c r="BN930" s="319"/>
      <c r="BO930" s="319"/>
      <c r="BP930" s="319"/>
      <c r="BQ930" s="319"/>
      <c r="BR930" s="319"/>
      <c r="BS930" s="319"/>
      <c r="BT930" s="319"/>
      <c r="BU930" s="319"/>
      <c r="BV930" s="319"/>
      <c r="BW930" s="319"/>
      <c r="BX930" s="319"/>
      <c r="BY930" s="319"/>
      <c r="BZ930" s="319"/>
      <c r="CA930" s="319"/>
      <c r="CB930" s="319"/>
      <c r="CC930" s="319"/>
      <c r="CD930" s="319"/>
      <c r="CE930" s="319"/>
      <c r="CF930" s="319"/>
    </row>
    <row r="931" spans="1:84" ht="12.75" hidden="1" customHeight="1">
      <c r="A931" s="12"/>
      <c r="B931" s="1" t="str">
        <f>IF(OR(D931=$P$1083,D931=$P$1084,D931=$P$1085),Language!$C$398,$B$881)</f>
        <v>Tipo de Combustível</v>
      </c>
      <c r="C931" s="1"/>
      <c r="D931" s="29" t="str">
        <f>IF(HideCode_projectType3=3,IF(C16=G1080,C17,C18), IF(HideCode_projectType3=5,IF(OR($C16=$G$1076,$C16=$G$1077,$C16=$G$1080),$C17,$C18),IF(HideCode_projectType3=6,IF(OR(C16=$G$1078,C16=$G$1079,C16=G1080),C17,C18),IF(HideCode_projectType3=7,$C17,""))))</f>
        <v/>
      </c>
      <c r="E931" s="1"/>
      <c r="F931" s="1"/>
      <c r="G931" s="1"/>
      <c r="H931" s="1"/>
      <c r="I931" s="1"/>
      <c r="J931" s="1"/>
      <c r="K931" s="9"/>
      <c r="L931" s="1"/>
      <c r="M931" s="319"/>
      <c r="N931" s="319"/>
      <c r="O931" s="319"/>
      <c r="P931" s="319"/>
      <c r="Q931" s="319"/>
      <c r="R931" s="319"/>
      <c r="S931" s="319"/>
      <c r="T931" s="319"/>
      <c r="U931" s="319"/>
      <c r="V931" s="319"/>
      <c r="W931" s="319"/>
      <c r="X931" s="319"/>
      <c r="Y931" s="319"/>
      <c r="Z931" s="319"/>
      <c r="AA931" s="319"/>
      <c r="AB931" s="319"/>
      <c r="AC931" s="319"/>
      <c r="AD931" s="319"/>
      <c r="AE931" s="319"/>
      <c r="AF931" s="319"/>
      <c r="AG931" s="319"/>
      <c r="AH931" s="319"/>
      <c r="AI931" s="319"/>
      <c r="AJ931" s="319"/>
      <c r="AK931" s="319"/>
      <c r="AL931" s="319"/>
      <c r="AM931" s="319"/>
      <c r="AN931" s="319"/>
      <c r="AO931" s="319">
        <v>3013006</v>
      </c>
      <c r="AP931" s="319"/>
      <c r="AQ931" s="319"/>
      <c r="AR931" s="319"/>
      <c r="AS931" s="319"/>
      <c r="AT931" s="319"/>
      <c r="AU931" s="319"/>
      <c r="AV931" s="319"/>
      <c r="AW931" s="319"/>
      <c r="AX931" s="319"/>
      <c r="AY931" s="319"/>
      <c r="AZ931" s="319"/>
      <c r="BA931" s="319"/>
      <c r="BB931" s="319"/>
      <c r="BC931" s="319"/>
      <c r="BD931" s="319"/>
      <c r="BE931" s="319"/>
      <c r="BF931" s="319"/>
      <c r="BG931" s="319"/>
      <c r="BH931" s="319"/>
      <c r="BI931" s="319"/>
      <c r="BJ931" s="319"/>
      <c r="BK931" s="319"/>
      <c r="BL931" s="319"/>
      <c r="BM931" s="319"/>
      <c r="BN931" s="319"/>
      <c r="BO931" s="319"/>
      <c r="BP931" s="319"/>
      <c r="BQ931" s="319"/>
      <c r="BR931" s="319"/>
      <c r="BS931" s="319"/>
      <c r="BT931" s="319"/>
      <c r="BU931" s="319"/>
      <c r="BV931" s="319"/>
      <c r="BW931" s="319"/>
      <c r="BX931" s="319"/>
      <c r="BY931" s="319"/>
      <c r="BZ931" s="319"/>
      <c r="CA931" s="319"/>
      <c r="CB931" s="319"/>
      <c r="CC931" s="319"/>
      <c r="CD931" s="319"/>
      <c r="CE931" s="319"/>
      <c r="CF931" s="319"/>
    </row>
    <row r="932" spans="1:84" ht="12.75" hidden="1" customHeight="1">
      <c r="A932" s="12"/>
      <c r="B932" s="1" t="str">
        <f>B870</f>
        <v>Capacidade</v>
      </c>
      <c r="C932" s="29" t="str">
        <f>IF(Unit=TRUE,R932,T932)</f>
        <v>kW</v>
      </c>
      <c r="D932" s="30">
        <f>IF(Unit=TRUE,S932,U932)</f>
        <v>0</v>
      </c>
      <c r="E932" s="80">
        <f>IF(R866=0,0,S932/R866)</f>
        <v>0</v>
      </c>
      <c r="F932" s="1"/>
      <c r="G932" s="1"/>
      <c r="H932" s="1"/>
      <c r="I932" s="1"/>
      <c r="J932" s="1"/>
      <c r="K932" s="9"/>
      <c r="L932" s="1"/>
      <c r="M932" s="319"/>
      <c r="N932" s="319"/>
      <c r="O932" s="319"/>
      <c r="P932" s="319"/>
      <c r="Q932" s="319"/>
      <c r="R932" s="319" t="str">
        <f>R895</f>
        <v>kW</v>
      </c>
      <c r="S932" s="494">
        <f>S21</f>
        <v>0</v>
      </c>
      <c r="T932" s="319" t="str">
        <f>$T$927</f>
        <v>TR</v>
      </c>
      <c r="U932" s="319">
        <f>S932*$AA$1099</f>
        <v>0</v>
      </c>
      <c r="V932" s="319"/>
      <c r="W932" s="319"/>
      <c r="X932" s="319"/>
      <c r="Y932" s="319"/>
      <c r="Z932" s="319"/>
      <c r="AA932" s="319"/>
      <c r="AB932" s="319"/>
      <c r="AC932" s="319"/>
      <c r="AD932" s="319"/>
      <c r="AE932" s="319"/>
      <c r="AF932" s="319"/>
      <c r="AG932" s="319"/>
      <c r="AH932" s="319"/>
      <c r="AI932" s="319"/>
      <c r="AJ932" s="319"/>
      <c r="AK932" s="319"/>
      <c r="AL932" s="319"/>
      <c r="AM932" s="319"/>
      <c r="AN932" s="319"/>
      <c r="AO932" s="319">
        <v>3013008</v>
      </c>
      <c r="AP932" s="319"/>
      <c r="AQ932" s="319"/>
      <c r="AR932" s="319"/>
      <c r="AS932" s="319"/>
      <c r="AT932" s="319"/>
      <c r="AU932" s="319"/>
      <c r="AV932" s="319"/>
      <c r="AW932" s="319"/>
      <c r="AX932" s="319"/>
      <c r="AY932" s="319"/>
      <c r="AZ932" s="319"/>
      <c r="BA932" s="319"/>
      <c r="BB932" s="319"/>
      <c r="BC932" s="319"/>
      <c r="BD932" s="319"/>
      <c r="BE932" s="319"/>
      <c r="BF932" s="319"/>
      <c r="BG932" s="319"/>
      <c r="BH932" s="319"/>
      <c r="BI932" s="319"/>
      <c r="BJ932" s="319"/>
      <c r="BK932" s="319"/>
      <c r="BL932" s="319"/>
      <c r="BM932" s="319"/>
      <c r="BN932" s="319"/>
      <c r="BO932" s="319"/>
      <c r="BP932" s="319"/>
      <c r="BQ932" s="319"/>
      <c r="BR932" s="319"/>
      <c r="BS932" s="319"/>
      <c r="BT932" s="319"/>
      <c r="BU932" s="319"/>
      <c r="BV932" s="319"/>
      <c r="BW932" s="319"/>
      <c r="BX932" s="319"/>
      <c r="BY932" s="319"/>
      <c r="BZ932" s="319"/>
      <c r="CA932" s="319"/>
      <c r="CB932" s="319"/>
      <c r="CC932" s="319"/>
      <c r="CD932" s="319"/>
      <c r="CE932" s="319"/>
      <c r="CF932" s="319"/>
    </row>
    <row r="933" spans="1:84" ht="12.75" hidden="1" customHeight="1">
      <c r="A933" s="12"/>
      <c r="B933" s="1" t="str">
        <f>B928</f>
        <v>Frio fornecido</v>
      </c>
      <c r="C933" s="29" t="str">
        <f>IF(Unit=TRUE,R933,T933)</f>
        <v>MWh</v>
      </c>
      <c r="D933" s="30">
        <f>IF(Unit=TRUE,S933,U933)</f>
        <v>0</v>
      </c>
      <c r="E933" s="80">
        <f>IF(R867=0,0,S933/R867)</f>
        <v>0</v>
      </c>
      <c r="F933" s="1"/>
      <c r="G933" s="1"/>
      <c r="H933" s="1"/>
      <c r="I933" s="1"/>
      <c r="J933" s="1"/>
      <c r="K933" s="9"/>
      <c r="L933" s="1"/>
      <c r="M933" s="319"/>
      <c r="N933" s="319"/>
      <c r="O933" s="319"/>
      <c r="P933" s="319"/>
      <c r="Q933" s="319"/>
      <c r="R933" s="319" t="str">
        <f>R14</f>
        <v>MWh</v>
      </c>
      <c r="S933" s="494">
        <f>S25</f>
        <v>0</v>
      </c>
      <c r="T933" s="319" t="str">
        <f>T928</f>
        <v>TRh</v>
      </c>
      <c r="U933" s="319">
        <f>S933*$AB$1099</f>
        <v>0</v>
      </c>
      <c r="V933" s="319"/>
      <c r="W933" s="319"/>
      <c r="X933" s="319"/>
      <c r="Y933" s="319"/>
      <c r="Z933" s="319"/>
      <c r="AA933" s="319"/>
      <c r="AB933" s="319"/>
      <c r="AC933" s="319"/>
      <c r="AD933" s="319"/>
      <c r="AE933" s="319"/>
      <c r="AF933" s="319"/>
      <c r="AG933" s="319"/>
      <c r="AH933" s="319"/>
      <c r="AI933" s="319"/>
      <c r="AJ933" s="319"/>
      <c r="AK933" s="319"/>
      <c r="AL933" s="319"/>
      <c r="AM933" s="319"/>
      <c r="AN933" s="319"/>
      <c r="AO933" s="319">
        <v>3013010</v>
      </c>
      <c r="AP933" s="319"/>
      <c r="AQ933" s="319"/>
      <c r="AR933" s="319"/>
      <c r="AS933" s="319"/>
      <c r="AT933" s="319"/>
      <c r="AU933" s="319"/>
      <c r="AV933" s="319"/>
      <c r="AW933" s="319"/>
      <c r="AX933" s="319"/>
      <c r="AY933" s="319"/>
      <c r="AZ933" s="319"/>
      <c r="BA933" s="319"/>
      <c r="BB933" s="319"/>
      <c r="BC933" s="319"/>
      <c r="BD933" s="319"/>
      <c r="BE933" s="319"/>
      <c r="BF933" s="319"/>
      <c r="BG933" s="319"/>
      <c r="BH933" s="319"/>
      <c r="BI933" s="319"/>
      <c r="BJ933" s="319"/>
      <c r="BK933" s="319"/>
      <c r="BL933" s="319"/>
      <c r="BM933" s="319"/>
      <c r="BN933" s="319"/>
      <c r="BO933" s="319"/>
      <c r="BP933" s="319"/>
      <c r="BQ933" s="319"/>
      <c r="BR933" s="319"/>
      <c r="BS933" s="319"/>
      <c r="BT933" s="319"/>
      <c r="BU933" s="319"/>
      <c r="BV933" s="319"/>
      <c r="BW933" s="319"/>
      <c r="BX933" s="319"/>
      <c r="BY933" s="319"/>
      <c r="BZ933" s="319"/>
      <c r="CA933" s="319"/>
      <c r="CB933" s="319"/>
      <c r="CC933" s="319"/>
      <c r="CD933" s="319"/>
      <c r="CE933" s="319"/>
      <c r="CF933" s="319"/>
    </row>
    <row r="934" spans="1:84" ht="12.75" hidden="1" customHeight="1">
      <c r="A934" s="436"/>
      <c r="B934" s="28" t="str">
        <f>Language!C224</f>
        <v>Sistema de Refrigeração de back-up (opcional)</v>
      </c>
      <c r="C934" s="1"/>
      <c r="D934" s="1"/>
      <c r="E934" s="1"/>
      <c r="F934" s="1"/>
      <c r="G934" s="1"/>
      <c r="H934" s="1"/>
      <c r="I934" s="1"/>
      <c r="J934" s="1"/>
      <c r="K934" s="9"/>
      <c r="L934" s="1"/>
      <c r="M934" s="319"/>
      <c r="N934" s="319"/>
      <c r="O934" s="319"/>
      <c r="P934" s="319"/>
      <c r="Q934" s="319"/>
      <c r="R934" s="319"/>
      <c r="S934" s="319"/>
      <c r="T934" s="319"/>
      <c r="U934" s="319"/>
      <c r="V934" s="319"/>
      <c r="W934" s="319"/>
      <c r="X934" s="319"/>
      <c r="Y934" s="319"/>
      <c r="Z934" s="319"/>
      <c r="AA934" s="319"/>
      <c r="AB934" s="319"/>
      <c r="AC934" s="319"/>
      <c r="AD934" s="319"/>
      <c r="AE934" s="319"/>
      <c r="AF934" s="319"/>
      <c r="AG934" s="319"/>
      <c r="AH934" s="319"/>
      <c r="AI934" s="319"/>
      <c r="AJ934" s="319"/>
      <c r="AK934" s="319"/>
      <c r="AL934" s="319"/>
      <c r="AM934" s="319"/>
      <c r="AN934" s="319"/>
      <c r="AO934" s="319">
        <v>3013022</v>
      </c>
      <c r="AP934" s="319"/>
      <c r="AQ934" s="319"/>
      <c r="AR934" s="319"/>
      <c r="AS934" s="319"/>
      <c r="AT934" s="319"/>
      <c r="AU934" s="319"/>
      <c r="AV934" s="319"/>
      <c r="AW934" s="319"/>
      <c r="AX934" s="319"/>
      <c r="AY934" s="319"/>
      <c r="AZ934" s="319"/>
      <c r="BA934" s="319"/>
      <c r="BB934" s="319"/>
      <c r="BC934" s="319"/>
      <c r="BD934" s="319"/>
      <c r="BE934" s="319"/>
      <c r="BF934" s="319"/>
      <c r="BG934" s="319"/>
      <c r="BH934" s="319"/>
      <c r="BI934" s="319"/>
      <c r="BJ934" s="319"/>
      <c r="BK934" s="319"/>
      <c r="BL934" s="319"/>
      <c r="BM934" s="319"/>
      <c r="BN934" s="319"/>
      <c r="BO934" s="319"/>
      <c r="BP934" s="319"/>
      <c r="BQ934" s="319"/>
      <c r="BR934" s="319"/>
      <c r="BS934" s="319"/>
      <c r="BT934" s="319"/>
      <c r="BU934" s="319"/>
      <c r="BV934" s="319"/>
      <c r="BW934" s="319"/>
      <c r="BX934" s="319"/>
      <c r="BY934" s="319"/>
      <c r="BZ934" s="319"/>
      <c r="CA934" s="319"/>
      <c r="CB934" s="319"/>
      <c r="CC934" s="319"/>
      <c r="CD934" s="319"/>
      <c r="CE934" s="319"/>
      <c r="CF934" s="319"/>
    </row>
    <row r="935" spans="1:84" ht="12.75" hidden="1" customHeight="1">
      <c r="A935" s="12"/>
      <c r="B935" s="1" t="str">
        <f>B925</f>
        <v>Tecnologia</v>
      </c>
      <c r="C935" s="1"/>
      <c r="D935" s="313"/>
      <c r="E935" s="1"/>
      <c r="F935" s="1"/>
      <c r="G935" s="1"/>
      <c r="H935" s="1"/>
      <c r="I935" s="1"/>
      <c r="J935" s="1"/>
      <c r="K935" s="9"/>
      <c r="L935" s="1"/>
      <c r="M935" s="319"/>
      <c r="N935" s="319"/>
      <c r="O935" s="319"/>
      <c r="P935" s="319"/>
      <c r="Q935" s="319"/>
      <c r="R935" s="319"/>
      <c r="S935" s="319"/>
      <c r="T935" s="319"/>
      <c r="U935" s="319"/>
      <c r="V935" s="319"/>
      <c r="W935" s="319"/>
      <c r="X935" s="319"/>
      <c r="Y935" s="319"/>
      <c r="Z935" s="319"/>
      <c r="AA935" s="319"/>
      <c r="AB935" s="319"/>
      <c r="AC935" s="319"/>
      <c r="AD935" s="319"/>
      <c r="AE935" s="319"/>
      <c r="AF935" s="319"/>
      <c r="AG935" s="319"/>
      <c r="AH935" s="319"/>
      <c r="AI935" s="319"/>
      <c r="AJ935" s="319"/>
      <c r="AK935" s="319"/>
      <c r="AL935" s="319"/>
      <c r="AM935" s="319"/>
      <c r="AN935" s="319"/>
      <c r="AO935" s="319">
        <v>3013024</v>
      </c>
      <c r="AP935" s="319"/>
      <c r="AQ935" s="319"/>
      <c r="AR935" s="319"/>
      <c r="AS935" s="319"/>
      <c r="AT935" s="319"/>
      <c r="AU935" s="319"/>
      <c r="AV935" s="319"/>
      <c r="AW935" s="319"/>
      <c r="AX935" s="319"/>
      <c r="AY935" s="319"/>
      <c r="AZ935" s="319"/>
      <c r="BA935" s="319"/>
      <c r="BB935" s="319"/>
      <c r="BC935" s="319"/>
      <c r="BD935" s="319"/>
      <c r="BE935" s="319"/>
      <c r="BF935" s="319"/>
      <c r="BG935" s="319"/>
      <c r="BH935" s="319"/>
      <c r="BI935" s="319"/>
      <c r="BJ935" s="319"/>
      <c r="BK935" s="319"/>
      <c r="BL935" s="319"/>
      <c r="BM935" s="319"/>
      <c r="BN935" s="319"/>
      <c r="BO935" s="319"/>
      <c r="BP935" s="319"/>
      <c r="BQ935" s="319"/>
      <c r="BR935" s="319"/>
      <c r="BS935" s="319"/>
      <c r="BT935" s="319"/>
      <c r="BU935" s="319"/>
      <c r="BV935" s="319"/>
      <c r="BW935" s="319"/>
      <c r="BX935" s="319"/>
      <c r="BY935" s="319"/>
      <c r="BZ935" s="319"/>
      <c r="CA935" s="319"/>
      <c r="CB935" s="319"/>
      <c r="CC935" s="319"/>
      <c r="CD935" s="319"/>
      <c r="CE935" s="319"/>
      <c r="CF935" s="319"/>
    </row>
    <row r="936" spans="1:84" ht="12.75" hidden="1" customHeight="1">
      <c r="A936" s="14"/>
      <c r="B936" s="15" t="str">
        <f>B870</f>
        <v>Capacidade</v>
      </c>
      <c r="C936" s="303" t="s">
        <v>5700</v>
      </c>
      <c r="D936" s="303"/>
      <c r="E936" s="15"/>
      <c r="F936" s="1346"/>
      <c r="G936" s="15"/>
      <c r="H936" s="15"/>
      <c r="I936" s="15"/>
      <c r="J936" s="15"/>
      <c r="K936" s="11"/>
      <c r="L936" s="1"/>
      <c r="M936" s="319"/>
      <c r="N936" s="319"/>
      <c r="O936" s="319"/>
      <c r="P936" s="319"/>
      <c r="Q936" s="319"/>
      <c r="R936" s="319" t="s">
        <v>5700</v>
      </c>
      <c r="S936" s="319">
        <f>IF(C936=$Z$1097,D936,IF(C936=$Z$1098,D936/$AA$1098,D936/$AA$1099))</f>
        <v>0</v>
      </c>
      <c r="T936" s="319"/>
      <c r="U936" s="319"/>
      <c r="V936" s="319"/>
      <c r="W936" s="319"/>
      <c r="X936" s="319"/>
      <c r="Y936" s="319"/>
      <c r="Z936" s="319"/>
      <c r="AA936" s="319"/>
      <c r="AB936" s="319"/>
      <c r="AC936" s="319"/>
      <c r="AD936" s="319"/>
      <c r="AE936" s="319"/>
      <c r="AF936" s="319"/>
      <c r="AG936" s="319"/>
      <c r="AH936" s="319"/>
      <c r="AI936" s="319"/>
      <c r="AJ936" s="319"/>
      <c r="AK936" s="319"/>
      <c r="AL936" s="319"/>
      <c r="AM936" s="319"/>
      <c r="AN936" s="319"/>
      <c r="AO936" s="319">
        <v>3013026</v>
      </c>
      <c r="AP936" s="319"/>
      <c r="AQ936" s="319"/>
      <c r="AR936" s="319"/>
      <c r="AS936" s="319"/>
      <c r="AT936" s="319"/>
      <c r="AU936" s="319"/>
      <c r="AV936" s="319"/>
      <c r="AW936" s="319"/>
      <c r="AX936" s="319"/>
      <c r="AY936" s="319"/>
      <c r="AZ936" s="319"/>
      <c r="BA936" s="319"/>
      <c r="BB936" s="319"/>
      <c r="BC936" s="319"/>
      <c r="BD936" s="319"/>
      <c r="BE936" s="319"/>
      <c r="BF936" s="319"/>
      <c r="BG936" s="319"/>
      <c r="BH936" s="319"/>
      <c r="BI936" s="319"/>
      <c r="BJ936" s="319"/>
      <c r="BK936" s="319"/>
      <c r="BL936" s="319"/>
      <c r="BM936" s="319"/>
      <c r="BN936" s="319"/>
      <c r="BO936" s="319"/>
      <c r="BP936" s="319"/>
      <c r="BQ936" s="319"/>
      <c r="BR936" s="319"/>
      <c r="BS936" s="319"/>
      <c r="BT936" s="319"/>
      <c r="BU936" s="319"/>
      <c r="BV936" s="319"/>
      <c r="BW936" s="319"/>
      <c r="BX936" s="319"/>
      <c r="BY936" s="319"/>
      <c r="BZ936" s="319"/>
      <c r="CA936" s="319"/>
      <c r="CB936" s="319"/>
      <c r="CC936" s="319"/>
      <c r="CD936" s="319"/>
      <c r="CE936" s="319"/>
      <c r="CF936" s="319"/>
    </row>
    <row r="937" spans="1:84" ht="12.75" hidden="1" customHeight="1">
      <c r="A937" s="50"/>
      <c r="B937" s="1"/>
      <c r="C937" s="1"/>
      <c r="D937" s="1"/>
      <c r="E937" s="1"/>
      <c r="F937" s="1"/>
      <c r="G937" s="1"/>
      <c r="H937" s="1"/>
      <c r="I937" s="1"/>
      <c r="J937" s="1"/>
      <c r="K937" s="6"/>
      <c r="L937" s="1"/>
      <c r="M937" s="319"/>
      <c r="N937" s="319">
        <f>HideCodeES_Fuel2*7</f>
        <v>7</v>
      </c>
      <c r="O937" s="319"/>
      <c r="P937" s="319"/>
      <c r="Q937" s="319"/>
      <c r="R937" s="319"/>
      <c r="S937" s="319"/>
      <c r="T937" s="319"/>
      <c r="U937" s="319"/>
      <c r="V937" s="319"/>
      <c r="W937" s="319"/>
      <c r="X937" s="319"/>
      <c r="Y937" s="319"/>
      <c r="Z937" s="319"/>
      <c r="AA937" s="319"/>
      <c r="AB937" s="319"/>
      <c r="AC937" s="319"/>
      <c r="AD937" s="319"/>
      <c r="AE937" s="319"/>
      <c r="AF937" s="319"/>
      <c r="AG937" s="319"/>
      <c r="AH937" s="319"/>
      <c r="AI937" s="319"/>
      <c r="AJ937" s="319"/>
      <c r="AK937" s="319"/>
      <c r="AL937" s="319"/>
      <c r="AM937" s="319"/>
      <c r="AN937" s="319"/>
      <c r="AO937" s="319">
        <v>3020000</v>
      </c>
      <c r="AP937" s="319"/>
      <c r="AQ937" s="319"/>
      <c r="AR937" s="319"/>
      <c r="AS937" s="319"/>
      <c r="AT937" s="319"/>
      <c r="AU937" s="319"/>
      <c r="AV937" s="319"/>
      <c r="AW937" s="319"/>
      <c r="AX937" s="319"/>
      <c r="AY937" s="319"/>
      <c r="AZ937" s="319"/>
      <c r="BA937" s="319"/>
      <c r="BB937" s="319"/>
      <c r="BC937" s="319"/>
      <c r="BD937" s="319"/>
      <c r="BE937" s="319"/>
      <c r="BF937" s="319"/>
      <c r="BG937" s="319"/>
      <c r="BH937" s="319"/>
      <c r="BI937" s="319"/>
      <c r="BJ937" s="319"/>
      <c r="BK937" s="319"/>
      <c r="BL937" s="319"/>
      <c r="BM937" s="319"/>
      <c r="BN937" s="319"/>
      <c r="BO937" s="319"/>
      <c r="BP937" s="319"/>
      <c r="BQ937" s="319"/>
      <c r="BR937" s="319"/>
      <c r="BS937" s="319"/>
      <c r="BT937" s="319"/>
      <c r="BU937" s="319"/>
      <c r="BV937" s="319"/>
      <c r="BW937" s="319"/>
      <c r="BX937" s="319"/>
      <c r="BY937" s="319"/>
      <c r="BZ937" s="319"/>
      <c r="CA937" s="319"/>
      <c r="CB937" s="319"/>
      <c r="CC937" s="319"/>
      <c r="CD937" s="319"/>
      <c r="CE937" s="319"/>
      <c r="CF937" s="319"/>
    </row>
    <row r="938" spans="1:84" ht="39.6" hidden="1">
      <c r="A938" s="1258" t="str">
        <f>Language!C225</f>
        <v>Sumário do caso proposto</v>
      </c>
      <c r="B938" s="1169"/>
      <c r="C938" s="49"/>
      <c r="D938" s="128" t="str">
        <f>B8</f>
        <v>Tipo de Combustível</v>
      </c>
      <c r="E938" s="15"/>
      <c r="F938" s="142" t="str">
        <f>Language!C357</f>
        <v>Consumo de combustível - unitário</v>
      </c>
      <c r="G938" s="142" t="str">
        <f>Language!C413</f>
        <v>Consumo de combustível</v>
      </c>
      <c r="H938" s="142" t="str">
        <f>Language!C227</f>
        <v>Capacidade
(kW)</v>
      </c>
      <c r="I938" s="142" t="str">
        <f>Language!C228</f>
        <v>Energia Fornecida
(MWh)</v>
      </c>
      <c r="J938" s="20"/>
      <c r="K938" s="136"/>
      <c r="L938" s="1"/>
      <c r="M938" s="319"/>
      <c r="N938" s="319">
        <f>G1120</f>
        <v>0</v>
      </c>
      <c r="O938" s="319">
        <f>HideCodeES_PSS</f>
        <v>1</v>
      </c>
      <c r="P938" s="319"/>
      <c r="Q938" s="319"/>
      <c r="R938" s="319"/>
      <c r="S938" s="319" t="s">
        <v>709</v>
      </c>
      <c r="T938" s="319" t="s">
        <v>5865</v>
      </c>
      <c r="U938" s="319"/>
      <c r="V938" s="319"/>
      <c r="W938" s="319"/>
      <c r="X938" s="319"/>
      <c r="Y938" s="319"/>
      <c r="Z938" s="319"/>
      <c r="AA938" s="319"/>
      <c r="AB938" s="319"/>
      <c r="AC938" s="319"/>
      <c r="AD938" s="319"/>
      <c r="AE938" s="319"/>
      <c r="AF938" s="319"/>
      <c r="AG938" s="319"/>
      <c r="AH938" s="319"/>
      <c r="AI938" s="319"/>
      <c r="AJ938" s="319"/>
      <c r="AK938" s="319"/>
      <c r="AL938" s="319"/>
      <c r="AM938" s="319"/>
      <c r="AN938" s="319"/>
      <c r="AO938" s="319">
        <v>3020000</v>
      </c>
      <c r="AP938" s="319"/>
      <c r="AQ938" s="319"/>
      <c r="AR938" s="319"/>
      <c r="AS938" s="319"/>
      <c r="AT938" s="319"/>
      <c r="AU938" s="319"/>
      <c r="AV938" s="319"/>
      <c r="AW938" s="319"/>
      <c r="AX938" s="319"/>
      <c r="AY938" s="319"/>
      <c r="AZ938" s="319"/>
      <c r="BA938" s="319"/>
      <c r="BB938" s="319"/>
      <c r="BC938" s="319"/>
      <c r="BD938" s="319"/>
      <c r="BE938" s="319"/>
      <c r="BF938" s="319"/>
      <c r="BG938" s="319"/>
      <c r="BH938" s="319"/>
      <c r="BI938" s="319"/>
      <c r="BJ938" s="319"/>
      <c r="BK938" s="319"/>
      <c r="BL938" s="319"/>
      <c r="BM938" s="319"/>
      <c r="BN938" s="319"/>
      <c r="BO938" s="319"/>
      <c r="BP938" s="319"/>
      <c r="BQ938" s="319"/>
      <c r="BR938" s="319"/>
      <c r="BS938" s="319"/>
      <c r="BT938" s="319"/>
      <c r="BU938" s="319"/>
      <c r="BV938" s="319"/>
      <c r="BW938" s="319"/>
      <c r="BX938" s="319"/>
      <c r="BY938" s="319"/>
      <c r="BZ938" s="319"/>
      <c r="CA938" s="319"/>
      <c r="CB938" s="319"/>
      <c r="CC938" s="319"/>
      <c r="CD938" s="319"/>
      <c r="CE938" s="319"/>
      <c r="CF938" s="319"/>
    </row>
    <row r="939" spans="1:84" ht="12.75" hidden="1" customHeight="1">
      <c r="A939" s="436"/>
      <c r="B939" s="153" t="str">
        <f>P865</f>
        <v xml:space="preserve">Eletricidade </v>
      </c>
      <c r="C939" s="8"/>
      <c r="D939" s="8"/>
      <c r="E939" s="1"/>
      <c r="F939" s="8"/>
      <c r="G939" s="8"/>
      <c r="H939" s="8"/>
      <c r="I939" s="8"/>
      <c r="J939" s="8"/>
      <c r="K939" s="9"/>
      <c r="L939" s="1"/>
      <c r="M939" s="319"/>
      <c r="N939" s="319">
        <f>IF(OR(M31=2,M31=4,M31=5,M31=7,M31=10),0,1)</f>
        <v>0</v>
      </c>
      <c r="O939" s="319"/>
      <c r="P939" s="319"/>
      <c r="Q939" s="319"/>
      <c r="R939" s="319"/>
      <c r="S939" s="319"/>
      <c r="T939" s="319"/>
      <c r="U939" s="319"/>
      <c r="V939" s="319"/>
      <c r="W939" s="319"/>
      <c r="X939" s="319"/>
      <c r="Y939" s="319"/>
      <c r="Z939" s="319"/>
      <c r="AA939" s="319"/>
      <c r="AB939" s="319"/>
      <c r="AC939" s="319"/>
      <c r="AD939" s="319"/>
      <c r="AE939" s="319"/>
      <c r="AF939" s="319"/>
      <c r="AG939" s="319"/>
      <c r="AH939" s="319"/>
      <c r="AI939" s="319"/>
      <c r="AJ939" s="319"/>
      <c r="AK939" s="319"/>
      <c r="AL939" s="319"/>
      <c r="AM939" s="319"/>
      <c r="AN939" s="319"/>
      <c r="AO939" s="319">
        <v>3020000</v>
      </c>
      <c r="AP939" s="319"/>
      <c r="AQ939" s="319"/>
      <c r="AR939" s="319"/>
      <c r="AS939" s="319"/>
      <c r="AT939" s="319"/>
      <c r="AU939" s="319"/>
      <c r="AV939" s="319"/>
      <c r="AW939" s="319"/>
      <c r="AX939" s="319"/>
      <c r="AY939" s="319"/>
      <c r="AZ939" s="319"/>
      <c r="BA939" s="319"/>
      <c r="BB939" s="319"/>
      <c r="BC939" s="319"/>
      <c r="BD939" s="319"/>
      <c r="BE939" s="319"/>
      <c r="BF939" s="319"/>
      <c r="BG939" s="319"/>
      <c r="BH939" s="319"/>
      <c r="BI939" s="319"/>
      <c r="BJ939" s="319"/>
      <c r="BK939" s="319"/>
      <c r="BL939" s="319"/>
      <c r="BM939" s="319"/>
      <c r="BN939" s="319"/>
      <c r="BO939" s="319"/>
      <c r="BP939" s="319"/>
      <c r="BQ939" s="319"/>
      <c r="BR939" s="319"/>
      <c r="BS939" s="319"/>
      <c r="BT939" s="319"/>
      <c r="BU939" s="319"/>
      <c r="BV939" s="319"/>
      <c r="BW939" s="319"/>
      <c r="BX939" s="319"/>
      <c r="BY939" s="319"/>
      <c r="BZ939" s="319"/>
      <c r="CA939" s="319"/>
      <c r="CB939" s="319"/>
      <c r="CC939" s="319"/>
      <c r="CD939" s="319"/>
      <c r="CE939" s="319"/>
      <c r="CF939" s="319"/>
    </row>
    <row r="940" spans="1:84" ht="12.75" hidden="1" customHeight="1">
      <c r="A940" s="12"/>
      <c r="B940" s="8" t="str">
        <f>Language!C231</f>
        <v>Carga de base</v>
      </c>
      <c r="C940" s="8"/>
      <c r="D940" s="21" t="str">
        <f>IF(R940="",VLOOKUP($D$868,$G$1062:$H$1069,2,FALSE),VLOOKUP(R940,$B$1176:$J$1294,8,FALSE))</f>
        <v>Solar</v>
      </c>
      <c r="E940" s="1"/>
      <c r="F940" s="21" t="str">
        <f t="shared" ref="F940:G942" si="72">IF(OR(HideCode_projectType=2,HideCode_projectType=4,HideCode_projectType=5,HideCode_projectType=7)=TRUE,IF(HideCodeEM_PSS=1,AE1112,IF(AND(HideCodeEM_PSS=2,$N$938=2)=TRUE,AE1115,AE1112)),"")</f>
        <v/>
      </c>
      <c r="G940" s="88" t="str">
        <f t="shared" si="72"/>
        <v/>
      </c>
      <c r="H940" s="125">
        <f>D870</f>
        <v>3.7949999999999999</v>
      </c>
      <c r="I940" s="125">
        <f>$D$871*U940</f>
        <v>0</v>
      </c>
      <c r="J940" s="8"/>
      <c r="K940" s="9"/>
      <c r="L940" s="1"/>
      <c r="M940" s="319"/>
      <c r="N940" s="319">
        <f>N939</f>
        <v>0</v>
      </c>
      <c r="O940" s="319"/>
      <c r="P940" s="319"/>
      <c r="Q940" s="319" t="str">
        <f>IF(OR(HideCode_projectType=2,HideCode_projectType=4,HideCode_projectType=5,HideCode_projectType=7)=TRUE,IF(HideCodeEM_PSS=1,AD1112,IF(AND(HideCodeEM_PSS=2,$N$938=2)=TRUE,AD1115,AD1112)),"")</f>
        <v/>
      </c>
      <c r="R940" s="319" t="str">
        <f>IF(OR(HideCode_projectType=2,HideCode_projectType=4,HideCode_projectType=5,HideCode_projectType=7)=TRUE,IF(HideCodeEM_PSS=1,AA1112,IF(AND(HideCodeEM_PSS=2,$N$938=2)=TRUE,AA1115,AA1112)),"")</f>
        <v/>
      </c>
      <c r="S940" s="494" t="str">
        <f>IF(OR(HideCode_projectType=2,HideCode_projectType=4,HideCode_projectType=5,HideCode_projectType=7)=TRUE,IF(HideCodeEM_PSS=1,AI1112,IF(AND(HideCodeEM_PSS=2,$N$938=2)=TRUE,AI1115,AI1112)),0)</f>
        <v/>
      </c>
      <c r="T940" s="319" t="str">
        <f t="shared" ref="T940:T946" si="73">IF(OR(R940="",G940="",G940=0),"",VLOOKUP(R940,$B$1176:$F$1291,4,FALSE)*VLOOKUP(R940,$B$1176:$F$1291,5,FALSE)*G940/1000)</f>
        <v/>
      </c>
      <c r="U940" s="319">
        <f>IF(T940="",IF(ISERROR(MATCH(D940,H1062:H1069,0)),0,1),T940/SUM($T$940:$T$942))</f>
        <v>1</v>
      </c>
      <c r="V940" s="319"/>
      <c r="W940" s="319"/>
      <c r="X940" s="319"/>
      <c r="Y940" s="319"/>
      <c r="Z940" s="319"/>
      <c r="AA940" s="319"/>
      <c r="AB940" s="319"/>
      <c r="AC940" s="319"/>
      <c r="AD940" s="319"/>
      <c r="AE940" s="319"/>
      <c r="AF940" s="319"/>
      <c r="AG940" s="319"/>
      <c r="AH940" s="319"/>
      <c r="AI940" s="319"/>
      <c r="AJ940" s="319"/>
      <c r="AK940" s="319"/>
      <c r="AL940" s="319"/>
      <c r="AM940" s="319"/>
      <c r="AN940" s="319"/>
      <c r="AO940" s="319">
        <v>3020000</v>
      </c>
      <c r="AP940" s="319"/>
      <c r="AQ940" s="319"/>
      <c r="AR940" s="319"/>
      <c r="AS940" s="319"/>
      <c r="AT940" s="319"/>
      <c r="AU940" s="319"/>
      <c r="AV940" s="319"/>
      <c r="AW940" s="319"/>
      <c r="AX940" s="319"/>
      <c r="AY940" s="319"/>
      <c r="AZ940" s="319"/>
      <c r="BA940" s="319"/>
      <c r="BB940" s="319"/>
      <c r="BC940" s="319"/>
      <c r="BD940" s="319"/>
      <c r="BE940" s="319"/>
      <c r="BF940" s="319"/>
      <c r="BG940" s="319"/>
      <c r="BH940" s="319"/>
      <c r="BI940" s="319"/>
      <c r="BJ940" s="319"/>
      <c r="BK940" s="319"/>
      <c r="BL940" s="319"/>
      <c r="BM940" s="319"/>
      <c r="BN940" s="319"/>
      <c r="BO940" s="319"/>
      <c r="BP940" s="319"/>
      <c r="BQ940" s="319"/>
      <c r="BR940" s="319"/>
      <c r="BS940" s="319"/>
      <c r="BT940" s="319"/>
      <c r="BU940" s="319"/>
      <c r="BV940" s="319"/>
      <c r="BW940" s="319"/>
      <c r="BX940" s="319"/>
      <c r="BY940" s="319"/>
      <c r="BZ940" s="319"/>
      <c r="CA940" s="319"/>
      <c r="CB940" s="319"/>
      <c r="CC940" s="319"/>
      <c r="CD940" s="319"/>
      <c r="CE940" s="319"/>
      <c r="CF940" s="319"/>
    </row>
    <row r="941" spans="1:84" ht="12.75" hidden="1" customHeight="1">
      <c r="A941" s="12"/>
      <c r="B941" s="8"/>
      <c r="C941" s="8"/>
      <c r="D941" s="21" t="str">
        <f>IF(R941="",VLOOKUP($D$868,$G$1062:$H$1069,2,FALSE),VLOOKUP(R941,$B$1176:$J$1294,8,FALSE))</f>
        <v>Solar</v>
      </c>
      <c r="E941" s="1"/>
      <c r="F941" s="21" t="str">
        <f t="shared" si="72"/>
        <v/>
      </c>
      <c r="G941" s="88" t="str">
        <f t="shared" si="72"/>
        <v/>
      </c>
      <c r="H941" s="125"/>
      <c r="I941" s="125">
        <f>$D$871*U941</f>
        <v>0</v>
      </c>
      <c r="J941" s="8"/>
      <c r="K941" s="9"/>
      <c r="L941" s="1"/>
      <c r="M941" s="319"/>
      <c r="N941" s="319">
        <f>IF(ISERROR(G941+I941),1,IF(AND(G941=0,I941=0)=TRUE,1,IF(AND(G941="",I941=0)=TRUE,1,0)))</f>
        <v>1</v>
      </c>
      <c r="O941" s="319" t="s">
        <v>5248</v>
      </c>
      <c r="P941" s="319"/>
      <c r="Q941" s="319" t="str">
        <f>IF(OR(HideCode_projectType=2,HideCode_projectType=4,HideCode_projectType=5,HideCode_projectType=7)=TRUE,IF(HideCodeEM_PSS=1,AD1113,IF(AND(HideCodeEM_PSS=2,$N$938=2)=TRUE,AD1116,AD1113)),"")</f>
        <v/>
      </c>
      <c r="R941" s="319" t="str">
        <f>IF(OR(HideCode_projectType=2,HideCode_projectType=4,HideCode_projectType=5,HideCode_projectType=7)=TRUE,IF(HideCodeEM_PSS=1,AA1113,IF(AND(HideCodeEM_PSS=2,$N$938=2)=TRUE,AA1116,AA1113)),"")</f>
        <v/>
      </c>
      <c r="S941" s="494" t="str">
        <f>IF(OR(HideCode_projectType=2,HideCode_projectType=4,HideCode_projectType=5,HideCode_projectType=7)=TRUE,IF(HideCodeEM_PSS=1,AI1113,IF(AND(HideCodeEM_PSS=2,$N$938=2)=TRUE,AI1116,AI1113)),0)</f>
        <v/>
      </c>
      <c r="T941" s="319" t="str">
        <f t="shared" si="73"/>
        <v/>
      </c>
      <c r="U941" s="319">
        <f>IF(T941="",0,T941/SUM($T$940:$T$942))</f>
        <v>0</v>
      </c>
      <c r="V941" s="319"/>
      <c r="W941" s="319"/>
      <c r="X941" s="319"/>
      <c r="Y941" s="319"/>
      <c r="Z941" s="319"/>
      <c r="AA941" s="319"/>
      <c r="AB941" s="319"/>
      <c r="AC941" s="319"/>
      <c r="AD941" s="319"/>
      <c r="AE941" s="319"/>
      <c r="AF941" s="319"/>
      <c r="AG941" s="319"/>
      <c r="AH941" s="319"/>
      <c r="AI941" s="319"/>
      <c r="AJ941" s="319"/>
      <c r="AK941" s="319"/>
      <c r="AL941" s="319"/>
      <c r="AM941" s="319"/>
      <c r="AN941" s="319"/>
      <c r="AO941" s="319">
        <v>3020000</v>
      </c>
      <c r="AP941" s="319"/>
      <c r="AQ941" s="319"/>
      <c r="AR941" s="319"/>
      <c r="AS941" s="319"/>
      <c r="AT941" s="319"/>
      <c r="AU941" s="319"/>
      <c r="AV941" s="319"/>
      <c r="AW941" s="319"/>
      <c r="AX941" s="319"/>
      <c r="AY941" s="319"/>
      <c r="AZ941" s="319"/>
      <c r="BA941" s="319"/>
      <c r="BB941" s="319"/>
      <c r="BC941" s="319"/>
      <c r="BD941" s="319"/>
      <c r="BE941" s="319"/>
      <c r="BF941" s="319"/>
      <c r="BG941" s="319"/>
      <c r="BH941" s="319"/>
      <c r="BI941" s="319"/>
      <c r="BJ941" s="319"/>
      <c r="BK941" s="319"/>
      <c r="BL941" s="319"/>
      <c r="BM941" s="319"/>
      <c r="BN941" s="319"/>
      <c r="BO941" s="319"/>
      <c r="BP941" s="319"/>
      <c r="BQ941" s="319"/>
      <c r="BR941" s="319"/>
      <c r="BS941" s="319"/>
      <c r="BT941" s="319"/>
      <c r="BU941" s="319"/>
      <c r="BV941" s="319"/>
      <c r="BW941" s="319"/>
      <c r="BX941" s="319"/>
      <c r="BY941" s="319"/>
      <c r="BZ941" s="319"/>
      <c r="CA941" s="319"/>
      <c r="CB941" s="319"/>
      <c r="CC941" s="319"/>
      <c r="CD941" s="319"/>
      <c r="CE941" s="319"/>
      <c r="CF941" s="319"/>
    </row>
    <row r="942" spans="1:84" ht="12.75" hidden="1" customHeight="1">
      <c r="A942" s="12"/>
      <c r="B942" s="8"/>
      <c r="C942" s="8"/>
      <c r="D942" s="21" t="str">
        <f>IF(R942="",VLOOKUP($D$868,$G$1062:$H$1069,2,FALSE),VLOOKUP(R942,$B$1176:$J$1294,8,FALSE))</f>
        <v>Solar</v>
      </c>
      <c r="E942" s="1"/>
      <c r="F942" s="21" t="str">
        <f t="shared" si="72"/>
        <v/>
      </c>
      <c r="G942" s="88" t="str">
        <f t="shared" si="72"/>
        <v/>
      </c>
      <c r="H942" s="125"/>
      <c r="I942" s="125">
        <f>$D$871*U942</f>
        <v>0</v>
      </c>
      <c r="J942" s="8"/>
      <c r="K942" s="9"/>
      <c r="L942" s="1"/>
      <c r="M942" s="319"/>
      <c r="N942" s="319">
        <f>IF(ISERROR(G942+I942),1,IF(AND(G942=0,I942=0)=TRUE,1,IF(AND(G942="",I942=0)=TRUE,1,0)))</f>
        <v>1</v>
      </c>
      <c r="O942" s="319"/>
      <c r="P942" s="319"/>
      <c r="Q942" s="319" t="str">
        <f>IF(OR(HideCode_projectType=2,HideCode_projectType=4,HideCode_projectType=5,HideCode_projectType=7)=TRUE,IF(HideCodeEM_PSS=1,AD1114,IF(AND(HideCodeEM_PSS=2,$N$938=2)=TRUE,AD1117,AD1114)),"")</f>
        <v/>
      </c>
      <c r="R942" s="319" t="str">
        <f>IF(OR(HideCode_projectType=2,HideCode_projectType=4,HideCode_projectType=5,HideCode_projectType=7)=TRUE,IF(HideCodeEM_PSS=1,AA1114,IF(AND(HideCodeEM_PSS=2,$N$938=2)=TRUE,AA1117,AA1114)),"")</f>
        <v/>
      </c>
      <c r="S942" s="494" t="str">
        <f>IF(OR(HideCode_projectType=2,HideCode_projectType=4,HideCode_projectType=5,HideCode_projectType=7)=TRUE,IF(HideCodeEM_PSS=1,AI1114,IF(AND(HideCodeEM_PSS=2,$N$938=2)=TRUE,AI1117,AI1114)),0)</f>
        <v/>
      </c>
      <c r="T942" s="319" t="str">
        <f t="shared" si="73"/>
        <v/>
      </c>
      <c r="U942" s="319">
        <f>IF(T942="",0,T942/SUM($T$940:$T$942))</f>
        <v>0</v>
      </c>
      <c r="V942" s="319"/>
      <c r="W942" s="319"/>
      <c r="X942" s="319"/>
      <c r="Y942" s="319"/>
      <c r="Z942" s="319"/>
      <c r="AA942" s="319"/>
      <c r="AB942" s="319"/>
      <c r="AC942" s="319"/>
      <c r="AD942" s="319"/>
      <c r="AE942" s="319"/>
      <c r="AF942" s="319"/>
      <c r="AG942" s="319"/>
      <c r="AH942" s="319"/>
      <c r="AI942" s="319"/>
      <c r="AJ942" s="319"/>
      <c r="AK942" s="319"/>
      <c r="AL942" s="319"/>
      <c r="AM942" s="319"/>
      <c r="AN942" s="319"/>
      <c r="AO942" s="319">
        <v>3020000</v>
      </c>
      <c r="AP942" s="319"/>
      <c r="AQ942" s="319"/>
      <c r="AR942" s="319"/>
      <c r="AS942" s="319"/>
      <c r="AT942" s="319"/>
      <c r="AU942" s="319"/>
      <c r="AV942" s="319"/>
      <c r="AW942" s="319"/>
      <c r="AX942" s="319"/>
      <c r="AY942" s="319"/>
      <c r="AZ942" s="319"/>
      <c r="BA942" s="319"/>
      <c r="BB942" s="319"/>
      <c r="BC942" s="319"/>
      <c r="BD942" s="319"/>
      <c r="BE942" s="319"/>
      <c r="BF942" s="319"/>
      <c r="BG942" s="319"/>
      <c r="BH942" s="319"/>
      <c r="BI942" s="319"/>
      <c r="BJ942" s="319"/>
      <c r="BK942" s="319"/>
      <c r="BL942" s="319"/>
      <c r="BM942" s="319"/>
      <c r="BN942" s="319"/>
      <c r="BO942" s="319"/>
      <c r="BP942" s="319"/>
      <c r="BQ942" s="319"/>
      <c r="BR942" s="319"/>
      <c r="BS942" s="319"/>
      <c r="BT942" s="319"/>
      <c r="BU942" s="319"/>
      <c r="BV942" s="319"/>
      <c r="BW942" s="319"/>
      <c r="BX942" s="319"/>
      <c r="BY942" s="319"/>
      <c r="BZ942" s="319"/>
      <c r="CA942" s="319"/>
      <c r="CB942" s="319"/>
      <c r="CC942" s="319"/>
      <c r="CD942" s="319"/>
      <c r="CE942" s="319"/>
      <c r="CF942" s="319"/>
    </row>
    <row r="943" spans="1:84" ht="12.75" hidden="1" customHeight="1">
      <c r="A943" s="12"/>
      <c r="B943" s="8" t="str">
        <f>Language!C241</f>
        <v>Carga Intermediária</v>
      </c>
      <c r="C943" s="8"/>
      <c r="D943" s="21" t="e">
        <f>IF(R943="",VLOOKUP($D$874,$G$1062:$H$1069,2,FALSE),VLOOKUP(R943,$B$1176:$J$1294,8,FALSE))</f>
        <v>#N/A</v>
      </c>
      <c r="E943" s="1"/>
      <c r="F943" s="21" t="str">
        <f t="shared" ref="F943:G945" si="74">IF(OR(HideCode_projectType=2,HideCode_projectType=4,HideCode_projectType=5,HideCode_projectType=7)=TRUE,IF(HideCodeEM_PSS=1,AE1115,IF(AND(HideCodeEM_PSS=2,$N$938=2)=TRUE,AE1112,AE1115)),"")</f>
        <v/>
      </c>
      <c r="G943" s="88" t="str">
        <f t="shared" si="74"/>
        <v/>
      </c>
      <c r="H943" s="125">
        <f>D876</f>
        <v>0</v>
      </c>
      <c r="I943" s="125">
        <f>$D$877</f>
        <v>0</v>
      </c>
      <c r="J943" s="8"/>
      <c r="K943" s="9"/>
      <c r="L943" s="1"/>
      <c r="M943" s="319"/>
      <c r="N943" s="319">
        <f>IF(AND(N939=0,HideCodeES_PSS=2),0,1)</f>
        <v>1</v>
      </c>
      <c r="O943" s="319"/>
      <c r="P943" s="319"/>
      <c r="Q943" s="319" t="str">
        <f>IF(OR(HideCode_projectType=2,HideCode_projectType=4,HideCode_projectType=5,HideCode_projectType=7)=TRUE,IF(HideCodeEM_PSS=1,AD1115,IF(AND(HideCodeEM_PSS=2,$N$938=2)=TRUE,AD1112,AD1115)),"")</f>
        <v/>
      </c>
      <c r="R943" s="319" t="str">
        <f>IF(OR(HideCode_projectType=2,HideCode_projectType=4,HideCode_projectType=5,HideCode_projectType=7)=TRUE,IF(HideCodeEM_PSS=1,AA1115,IF(AND(HideCodeEM_PSS=2,$N$938=2)=TRUE,AA1112,AA1115)),"")</f>
        <v/>
      </c>
      <c r="S943" s="494" t="str">
        <f>IF(OR(HideCode_projectType=2,HideCode_projectType=4,HideCode_projectType=5,HideCode_projectType=7)=TRUE,IF(HideCodeEM_PSS=1,AI1115,IF(AND(HideCodeEM_PSS=2,$N$938=2)=TRUE,AI1112,AI1115)),0)</f>
        <v/>
      </c>
      <c r="T943" s="319" t="str">
        <f t="shared" si="73"/>
        <v/>
      </c>
      <c r="U943" s="319">
        <f>IF(T943="",IF(ISERROR(MATCH(D943,H1062:H1069,0)),0,1),T943/SUM($S$943:$S$945))</f>
        <v>0</v>
      </c>
      <c r="V943" s="319"/>
      <c r="W943" s="319"/>
      <c r="X943" s="319"/>
      <c r="Y943" s="319"/>
      <c r="Z943" s="319"/>
      <c r="AA943" s="319"/>
      <c r="AB943" s="319"/>
      <c r="AC943" s="319"/>
      <c r="AD943" s="319"/>
      <c r="AE943" s="319"/>
      <c r="AF943" s="319"/>
      <c r="AG943" s="319"/>
      <c r="AH943" s="319"/>
      <c r="AI943" s="319"/>
      <c r="AJ943" s="319"/>
      <c r="AK943" s="319"/>
      <c r="AL943" s="319"/>
      <c r="AM943" s="319"/>
      <c r="AN943" s="319"/>
      <c r="AO943" s="319">
        <v>3020000</v>
      </c>
      <c r="AP943" s="319"/>
      <c r="AQ943" s="319"/>
      <c r="AR943" s="319"/>
      <c r="AS943" s="319"/>
      <c r="AT943" s="319"/>
      <c r="AU943" s="319"/>
      <c r="AV943" s="319"/>
      <c r="AW943" s="319"/>
      <c r="AX943" s="319"/>
      <c r="AY943" s="319"/>
      <c r="AZ943" s="319"/>
      <c r="BA943" s="319"/>
      <c r="BB943" s="319"/>
      <c r="BC943" s="319"/>
      <c r="BD943" s="319"/>
      <c r="BE943" s="319"/>
      <c r="BF943" s="319"/>
      <c r="BG943" s="319"/>
      <c r="BH943" s="319"/>
      <c r="BI943" s="319"/>
      <c r="BJ943" s="319"/>
      <c r="BK943" s="319"/>
      <c r="BL943" s="319"/>
      <c r="BM943" s="319"/>
      <c r="BN943" s="319"/>
      <c r="BO943" s="319"/>
      <c r="BP943" s="319"/>
      <c r="BQ943" s="319"/>
      <c r="BR943" s="319"/>
      <c r="BS943" s="319"/>
      <c r="BT943" s="319"/>
      <c r="BU943" s="319"/>
      <c r="BV943" s="319"/>
      <c r="BW943" s="319"/>
      <c r="BX943" s="319"/>
      <c r="BY943" s="319"/>
      <c r="BZ943" s="319"/>
      <c r="CA943" s="319"/>
      <c r="CB943" s="319"/>
      <c r="CC943" s="319"/>
      <c r="CD943" s="319"/>
      <c r="CE943" s="319"/>
      <c r="CF943" s="319"/>
    </row>
    <row r="944" spans="1:84" ht="12.75" hidden="1" customHeight="1">
      <c r="A944" s="12"/>
      <c r="B944" s="8"/>
      <c r="C944" s="8"/>
      <c r="D944" s="21" t="e">
        <f>IF(R944="",VLOOKUP($D$874,$G$1062:$H$1069,2,FALSE),VLOOKUP(R944,$B$1176:$J$1294,8,FALSE))</f>
        <v>#N/A</v>
      </c>
      <c r="E944" s="1"/>
      <c r="F944" s="21" t="str">
        <f t="shared" si="74"/>
        <v/>
      </c>
      <c r="G944" s="88" t="str">
        <f t="shared" si="74"/>
        <v/>
      </c>
      <c r="H944" s="125"/>
      <c r="I944" s="125">
        <f>$D$877*U944</f>
        <v>0</v>
      </c>
      <c r="J944" s="8"/>
      <c r="K944" s="9"/>
      <c r="L944" s="1"/>
      <c r="M944" s="319"/>
      <c r="N944" s="319">
        <f>IF(ISERROR(G944+I944),1,IF(AND(G944=0,I944=0)=TRUE,1,IF(AND(G944="",I944=0)=TRUE,1,0)))</f>
        <v>1</v>
      </c>
      <c r="O944" s="319"/>
      <c r="P944" s="319"/>
      <c r="Q944" s="319" t="str">
        <f>IF(OR(HideCode_projectType=2,HideCode_projectType=4,HideCode_projectType=5,HideCode_projectType=7)=TRUE,IF(HideCodeEM_PSS=1,AD1116,IF(AND(HideCodeEM_PSS=2,$N$938=2)=TRUE,AD1113,AD1116)),"")</f>
        <v/>
      </c>
      <c r="R944" s="319" t="str">
        <f>IF(OR(HideCode_projectType=2,HideCode_projectType=4,HideCode_projectType=5,HideCode_projectType=7)=TRUE,IF(HideCodeEM_PSS=1,AA1116,IF(AND(HideCodeEM_PSS=2,$N$938=2)=TRUE,AA1113,AA1116)),"")</f>
        <v/>
      </c>
      <c r="S944" s="494" t="str">
        <f>IF(OR(HideCode_projectType=2,HideCode_projectType=4,HideCode_projectType=5,HideCode_projectType=7)=TRUE,IF(HideCodeEM_PSS=1,AI1116,IF(AND(HideCodeEM_PSS=2,$N$938=2)=TRUE,AI1113,AI1116)),0)</f>
        <v/>
      </c>
      <c r="T944" s="319" t="str">
        <f t="shared" si="73"/>
        <v/>
      </c>
      <c r="U944" s="319">
        <f>IF(T944="",0,T944/SUM($S$943:$S$945))</f>
        <v>0</v>
      </c>
      <c r="V944" s="319"/>
      <c r="W944" s="319"/>
      <c r="X944" s="319"/>
      <c r="Y944" s="319"/>
      <c r="Z944" s="319"/>
      <c r="AA944" s="319"/>
      <c r="AB944" s="319"/>
      <c r="AC944" s="319"/>
      <c r="AD944" s="319"/>
      <c r="AE944" s="319"/>
      <c r="AF944" s="319"/>
      <c r="AG944" s="319"/>
      <c r="AH944" s="319"/>
      <c r="AI944" s="319"/>
      <c r="AJ944" s="319"/>
      <c r="AK944" s="319"/>
      <c r="AL944" s="319"/>
      <c r="AM944" s="319"/>
      <c r="AN944" s="319"/>
      <c r="AO944" s="319">
        <v>3020000</v>
      </c>
      <c r="AP944" s="319"/>
      <c r="AQ944" s="319"/>
      <c r="AR944" s="319"/>
      <c r="AS944" s="319"/>
      <c r="AT944" s="319"/>
      <c r="AU944" s="319"/>
      <c r="AV944" s="319"/>
      <c r="AW944" s="319"/>
      <c r="AX944" s="319"/>
      <c r="AY944" s="319"/>
      <c r="AZ944" s="319"/>
      <c r="BA944" s="319"/>
      <c r="BB944" s="319"/>
      <c r="BC944" s="319"/>
      <c r="BD944" s="319"/>
      <c r="BE944" s="319"/>
      <c r="BF944" s="319"/>
      <c r="BG944" s="319"/>
      <c r="BH944" s="319"/>
      <c r="BI944" s="319"/>
      <c r="BJ944" s="319"/>
      <c r="BK944" s="319"/>
      <c r="BL944" s="319"/>
      <c r="BM944" s="319"/>
      <c r="BN944" s="319"/>
      <c r="BO944" s="319"/>
      <c r="BP944" s="319"/>
      <c r="BQ944" s="319"/>
      <c r="BR944" s="319"/>
      <c r="BS944" s="319"/>
      <c r="BT944" s="319"/>
      <c r="BU944" s="319"/>
      <c r="BV944" s="319"/>
      <c r="BW944" s="319"/>
      <c r="BX944" s="319"/>
      <c r="BY944" s="319"/>
      <c r="BZ944" s="319"/>
      <c r="CA944" s="319"/>
      <c r="CB944" s="319"/>
      <c r="CC944" s="319"/>
      <c r="CD944" s="319"/>
      <c r="CE944" s="319"/>
      <c r="CF944" s="319"/>
    </row>
    <row r="945" spans="1:84" ht="12.75" hidden="1" customHeight="1">
      <c r="A945" s="12"/>
      <c r="B945" s="8"/>
      <c r="C945" s="8"/>
      <c r="D945" s="21" t="e">
        <f>IF(R945="",VLOOKUP($D$874,$G$1062:$H$1069,2,FALSE),VLOOKUP(R945,$B$1176:$J$1294,8,FALSE))</f>
        <v>#N/A</v>
      </c>
      <c r="E945" s="1"/>
      <c r="F945" s="21" t="str">
        <f t="shared" si="74"/>
        <v/>
      </c>
      <c r="G945" s="88" t="str">
        <f t="shared" si="74"/>
        <v/>
      </c>
      <c r="H945" s="125"/>
      <c r="I945" s="125">
        <f>$D$877*U945</f>
        <v>0</v>
      </c>
      <c r="J945" s="8"/>
      <c r="K945" s="9"/>
      <c r="L945" s="1"/>
      <c r="M945" s="319"/>
      <c r="N945" s="319">
        <f>IF(ISERROR(G945+I945),1,IF(AND(G945=0,I945=0)=TRUE,1,IF(AND(G945="",I945=0)=TRUE,1,0)))</f>
        <v>1</v>
      </c>
      <c r="O945" s="319"/>
      <c r="P945" s="319"/>
      <c r="Q945" s="319" t="str">
        <f>IF(OR(HideCode_projectType=2,HideCode_projectType=4,HideCode_projectType=5,HideCode_projectType=7)=TRUE,IF(HideCodeEM_PSS=1,AD1117,IF(AND(HideCodeEM_PSS=2,$N$938=2)=TRUE,AD1114,AD1117)),"")</f>
        <v/>
      </c>
      <c r="R945" s="319" t="str">
        <f>IF(OR(HideCode_projectType=2,HideCode_projectType=4,HideCode_projectType=5,HideCode_projectType=7)=TRUE,IF(HideCodeEM_PSS=1,AA1117,IF(AND(HideCodeEM_PSS=2,$N$938=2)=TRUE,AA1114,AA1117)),"")</f>
        <v/>
      </c>
      <c r="S945" s="494" t="str">
        <f>IF(OR(HideCode_projectType=2,HideCode_projectType=4,HideCode_projectType=5,HideCode_projectType=7)=TRUE,IF(HideCodeEM_PSS=1,AI1117,IF(AND(HideCodeEM_PSS=2,$N$938=2)=TRUE,AI1114,AI1117)),0)</f>
        <v/>
      </c>
      <c r="T945" s="319" t="str">
        <f t="shared" si="73"/>
        <v/>
      </c>
      <c r="U945" s="319">
        <f>IF(T945="",0,T945/SUM($S$943:$S$945))</f>
        <v>0</v>
      </c>
      <c r="V945" s="319"/>
      <c r="W945" s="319"/>
      <c r="X945" s="319"/>
      <c r="Y945" s="319"/>
      <c r="Z945" s="319"/>
      <c r="AA945" s="319"/>
      <c r="AB945" s="319"/>
      <c r="AC945" s="319"/>
      <c r="AD945" s="319"/>
      <c r="AE945" s="319"/>
      <c r="AF945" s="319"/>
      <c r="AG945" s="319"/>
      <c r="AH945" s="319"/>
      <c r="AI945" s="319"/>
      <c r="AJ945" s="319"/>
      <c r="AK945" s="319"/>
      <c r="AL945" s="319"/>
      <c r="AM945" s="319"/>
      <c r="AN945" s="319"/>
      <c r="AO945" s="319">
        <v>3020000</v>
      </c>
      <c r="AP945" s="319"/>
      <c r="AQ945" s="319"/>
      <c r="AR945" s="319"/>
      <c r="AS945" s="319"/>
      <c r="AT945" s="319"/>
      <c r="AU945" s="319"/>
      <c r="AV945" s="319"/>
      <c r="AW945" s="319"/>
      <c r="AX945" s="319"/>
      <c r="AY945" s="319"/>
      <c r="AZ945" s="319"/>
      <c r="BA945" s="319"/>
      <c r="BB945" s="319"/>
      <c r="BC945" s="319"/>
      <c r="BD945" s="319"/>
      <c r="BE945" s="319"/>
      <c r="BF945" s="319"/>
      <c r="BG945" s="319"/>
      <c r="BH945" s="319"/>
      <c r="BI945" s="319"/>
      <c r="BJ945" s="319"/>
      <c r="BK945" s="319"/>
      <c r="BL945" s="319"/>
      <c r="BM945" s="319"/>
      <c r="BN945" s="319"/>
      <c r="BO945" s="319"/>
      <c r="BP945" s="319"/>
      <c r="BQ945" s="319"/>
      <c r="BR945" s="319"/>
      <c r="BS945" s="319"/>
      <c r="BT945" s="319"/>
      <c r="BU945" s="319"/>
      <c r="BV945" s="319"/>
      <c r="BW945" s="319"/>
      <c r="BX945" s="319"/>
      <c r="BY945" s="319"/>
      <c r="BZ945" s="319"/>
      <c r="CA945" s="319"/>
      <c r="CB945" s="319"/>
      <c r="CC945" s="319"/>
      <c r="CD945" s="319"/>
      <c r="CE945" s="319"/>
      <c r="CF945" s="319"/>
    </row>
    <row r="946" spans="1:84" ht="12.75" hidden="1" customHeight="1">
      <c r="A946" s="12"/>
      <c r="B946" s="8" t="str">
        <f>Language!C232</f>
        <v>Carga de Ponta</v>
      </c>
      <c r="C946" s="8"/>
      <c r="D946" s="21" t="str">
        <f>VLOOKUP(R946,$B$1176:$J$1294,8,FALSE)</f>
        <v>Eletricidade</v>
      </c>
      <c r="E946" s="1"/>
      <c r="F946" s="21" t="str">
        <f>IF(HideCodeEM_Power_Peak=0,"",VLOOKUP($R946,$P$1062:$T$1085,3,FALSE))</f>
        <v>MWh</v>
      </c>
      <c r="G946" s="88">
        <f>IF(HideCodeEM_Power_Peak=0,"",IF(Q880=E1088,D885,S888*D885/1000/(VLOOKUP(D881,P1062:$T$1085,4,FALSE)*3.6)*1000))</f>
        <v>0</v>
      </c>
      <c r="H946" s="125">
        <f>IF(HideCodeEM_Power_Peak=0,"",P884)</f>
        <v>0</v>
      </c>
      <c r="I946" s="125">
        <f>IF(HideCodeEM_Power_Peak=0,"",IF(AND(Iniciar!P3=1,Offgrid=5,'Modelo Energético'!M31=2),'Modelo Energético '!D536,D885))</f>
        <v>0</v>
      </c>
      <c r="J946" s="8"/>
      <c r="K946" s="9"/>
      <c r="L946" s="1"/>
      <c r="M946" s="319"/>
      <c r="N946" s="319">
        <f>IF(ISERROR(N939+H946+I946),1,IF(AND(N939=0,H946+I946&gt;0),0,1))</f>
        <v>1</v>
      </c>
      <c r="O946" s="319"/>
      <c r="P946" s="319"/>
      <c r="Q946" s="319"/>
      <c r="R946" s="319" t="str">
        <f>IF(HideCodeEM_Power_Peak=0,"",IF(Q880=E1088,C1066,D881))</f>
        <v>Eletricidade</v>
      </c>
      <c r="S946" s="494">
        <f>IF(HideCodeEM_Power_Peak=0,"",V885)</f>
        <v>0</v>
      </c>
      <c r="T946" s="319" t="str">
        <f t="shared" si="73"/>
        <v/>
      </c>
      <c r="U946" s="319"/>
      <c r="V946" s="319"/>
      <c r="W946" s="319"/>
      <c r="X946" s="319"/>
      <c r="Y946" s="319"/>
      <c r="Z946" s="319"/>
      <c r="AA946" s="319"/>
      <c r="AB946" s="319"/>
      <c r="AC946" s="319"/>
      <c r="AD946" s="319"/>
      <c r="AE946" s="319"/>
      <c r="AF946" s="319"/>
      <c r="AG946" s="319"/>
      <c r="AH946" s="319"/>
      <c r="AI946" s="319"/>
      <c r="AJ946" s="319"/>
      <c r="AK946" s="319"/>
      <c r="AL946" s="319"/>
      <c r="AM946" s="319"/>
      <c r="AN946" s="319"/>
      <c r="AO946" s="319">
        <v>3020000</v>
      </c>
      <c r="AP946" s="319"/>
      <c r="AQ946" s="319"/>
      <c r="AR946" s="319"/>
      <c r="AS946" s="319"/>
      <c r="AT946" s="319"/>
      <c r="AU946" s="319"/>
      <c r="AV946" s="319"/>
      <c r="AW946" s="319"/>
      <c r="AX946" s="319"/>
      <c r="AY946" s="319"/>
      <c r="AZ946" s="319"/>
      <c r="BA946" s="319"/>
      <c r="BB946" s="319"/>
      <c r="BC946" s="319"/>
      <c r="BD946" s="319"/>
      <c r="BE946" s="319"/>
      <c r="BF946" s="319"/>
      <c r="BG946" s="319"/>
      <c r="BH946" s="319"/>
      <c r="BI946" s="319"/>
      <c r="BJ946" s="319"/>
      <c r="BK946" s="319"/>
      <c r="BL946" s="319"/>
      <c r="BM946" s="319"/>
      <c r="BN946" s="319"/>
      <c r="BO946" s="319"/>
      <c r="BP946" s="319"/>
      <c r="BQ946" s="319"/>
      <c r="BR946" s="319"/>
      <c r="BS946" s="319"/>
      <c r="BT946" s="319"/>
      <c r="BU946" s="319"/>
      <c r="BV946" s="319"/>
      <c r="BW946" s="319"/>
      <c r="BX946" s="319"/>
      <c r="BY946" s="319"/>
      <c r="BZ946" s="319"/>
      <c r="CA946" s="319"/>
      <c r="CB946" s="319"/>
      <c r="CC946" s="319"/>
      <c r="CD946" s="319"/>
      <c r="CE946" s="319"/>
      <c r="CF946" s="319"/>
    </row>
    <row r="947" spans="1:84" ht="12.75" hidden="1" customHeight="1">
      <c r="A947" s="12"/>
      <c r="B947" s="8" t="str">
        <f>B872</f>
        <v>Eletricidade exportada p/ rede</v>
      </c>
      <c r="C947" s="8"/>
      <c r="D947" s="8"/>
      <c r="E947" s="1"/>
      <c r="F947" s="8"/>
      <c r="G947" s="125"/>
      <c r="H947" s="125"/>
      <c r="I947" s="125">
        <f>IF(OR(HideCode_projectType3=8,D872+D878&lt;0.001),0,D872+D878)</f>
        <v>5.3903325633948667</v>
      </c>
      <c r="J947" s="8"/>
      <c r="K947" s="9"/>
      <c r="L947" s="1"/>
      <c r="M947" s="319"/>
      <c r="N947" s="319">
        <f>IF(ISERROR(I947),1,IF(I947=0,1,0))</f>
        <v>0</v>
      </c>
      <c r="O947" s="319"/>
      <c r="P947" s="319"/>
      <c r="Q947" s="319"/>
      <c r="R947" s="319"/>
      <c r="S947" s="319"/>
      <c r="T947" s="319"/>
      <c r="U947" s="319"/>
      <c r="V947" s="319"/>
      <c r="W947" s="319" t="s">
        <v>5700</v>
      </c>
      <c r="X947" s="319" t="s">
        <v>2745</v>
      </c>
      <c r="Y947" s="319"/>
      <c r="Z947" s="319"/>
      <c r="AA947" s="319"/>
      <c r="AB947" s="319"/>
      <c r="AC947" s="319"/>
      <c r="AD947" s="319"/>
      <c r="AE947" s="319"/>
      <c r="AF947" s="319"/>
      <c r="AG947" s="319"/>
      <c r="AH947" s="319"/>
      <c r="AI947" s="319"/>
      <c r="AJ947" s="319"/>
      <c r="AK947" s="319"/>
      <c r="AL947" s="319"/>
      <c r="AM947" s="319"/>
      <c r="AN947" s="319"/>
      <c r="AO947" s="319">
        <v>3020000</v>
      </c>
      <c r="AP947" s="319"/>
      <c r="AQ947" s="319"/>
      <c r="AR947" s="319"/>
      <c r="AS947" s="319"/>
      <c r="AT947" s="319"/>
      <c r="AU947" s="319"/>
      <c r="AV947" s="319"/>
      <c r="AW947" s="319"/>
      <c r="AX947" s="319"/>
      <c r="AY947" s="319"/>
      <c r="AZ947" s="319"/>
      <c r="BA947" s="319"/>
      <c r="BB947" s="319"/>
      <c r="BC947" s="319"/>
      <c r="BD947" s="319"/>
      <c r="BE947" s="319"/>
      <c r="BF947" s="319"/>
      <c r="BG947" s="319"/>
      <c r="BH947" s="319"/>
      <c r="BI947" s="319"/>
      <c r="BJ947" s="319"/>
      <c r="BK947" s="319"/>
      <c r="BL947" s="319"/>
      <c r="BM947" s="319"/>
      <c r="BN947" s="319"/>
      <c r="BO947" s="319"/>
      <c r="BP947" s="319"/>
      <c r="BQ947" s="319"/>
      <c r="BR947" s="319"/>
      <c r="BS947" s="319"/>
      <c r="BT947" s="319"/>
      <c r="BU947" s="319"/>
      <c r="BV947" s="319"/>
      <c r="BW947" s="319"/>
      <c r="BX947" s="319"/>
      <c r="BY947" s="319"/>
      <c r="BZ947" s="319"/>
      <c r="CA947" s="319"/>
      <c r="CB947" s="319"/>
      <c r="CC947" s="319"/>
      <c r="CD947" s="319"/>
      <c r="CE947" s="319"/>
      <c r="CF947" s="319"/>
    </row>
    <row r="948" spans="1:84" ht="12.75" hidden="1" customHeight="1" thickBot="1">
      <c r="A948" s="12"/>
      <c r="B948" s="8"/>
      <c r="C948" s="8"/>
      <c r="D948" s="8"/>
      <c r="E948" s="1"/>
      <c r="F948" s="8"/>
      <c r="G948" s="228" t="str">
        <f>Language!C233</f>
        <v>Total</v>
      </c>
      <c r="H948" s="132">
        <f>SUM(H940:H947)*IF(HideEM_AEP1=1,0,1)</f>
        <v>3.7949999999999999</v>
      </c>
      <c r="I948" s="132">
        <f>SUM(I940:I947)</f>
        <v>5.3903325633948667</v>
      </c>
      <c r="J948" s="8"/>
      <c r="K948" s="9"/>
      <c r="L948" s="1"/>
      <c r="M948" s="319"/>
      <c r="N948" s="319">
        <f>N939</f>
        <v>0</v>
      </c>
      <c r="O948" s="319"/>
      <c r="P948" s="319"/>
      <c r="Q948" s="319"/>
      <c r="R948" s="319"/>
      <c r="S948" s="319"/>
      <c r="T948" s="319"/>
      <c r="U948" s="319"/>
      <c r="V948" s="319" t="s">
        <v>3442</v>
      </c>
      <c r="W948" s="919">
        <v>3.7949999999999999</v>
      </c>
      <c r="X948" s="919">
        <v>5.3903325633948667</v>
      </c>
      <c r="Y948" s="319"/>
      <c r="Z948" s="319"/>
      <c r="AA948" s="319"/>
      <c r="AB948" s="319"/>
      <c r="AC948" s="319"/>
      <c r="AD948" s="319"/>
      <c r="AE948" s="319"/>
      <c r="AF948" s="319"/>
      <c r="AG948" s="319"/>
      <c r="AH948" s="319"/>
      <c r="AI948" s="319"/>
      <c r="AJ948" s="319"/>
      <c r="AK948" s="319"/>
      <c r="AL948" s="319"/>
      <c r="AM948" s="319"/>
      <c r="AN948" s="319"/>
      <c r="AO948" s="319">
        <v>3020000</v>
      </c>
      <c r="AP948" s="319"/>
      <c r="AQ948" s="319"/>
      <c r="AR948" s="319"/>
      <c r="AS948" s="319"/>
      <c r="AT948" s="319"/>
      <c r="AU948" s="319"/>
      <c r="AV948" s="319"/>
      <c r="AW948" s="319"/>
      <c r="AX948" s="319"/>
      <c r="AY948" s="319"/>
      <c r="AZ948" s="319"/>
      <c r="BA948" s="319"/>
      <c r="BB948" s="319"/>
      <c r="BC948" s="319"/>
      <c r="BD948" s="319"/>
      <c r="BE948" s="319"/>
      <c r="BF948" s="319"/>
      <c r="BG948" s="319"/>
      <c r="BH948" s="319"/>
      <c r="BI948" s="319"/>
      <c r="BJ948" s="319"/>
      <c r="BK948" s="319"/>
      <c r="BL948" s="319"/>
      <c r="BM948" s="319"/>
      <c r="BN948" s="319"/>
      <c r="BO948" s="319"/>
      <c r="BP948" s="319"/>
      <c r="BQ948" s="319"/>
      <c r="BR948" s="319"/>
      <c r="BS948" s="319"/>
      <c r="BT948" s="319"/>
      <c r="BU948" s="319"/>
      <c r="BV948" s="319"/>
      <c r="BW948" s="319"/>
      <c r="BX948" s="319"/>
      <c r="BY948" s="319"/>
      <c r="BZ948" s="319"/>
      <c r="CA948" s="319"/>
      <c r="CB948" s="319"/>
      <c r="CC948" s="319"/>
      <c r="CD948" s="319"/>
      <c r="CE948" s="319"/>
      <c r="CF948" s="319"/>
    </row>
    <row r="949" spans="1:84" ht="12.75" hidden="1" customHeight="1" thickTop="1">
      <c r="A949" s="436"/>
      <c r="B949" s="153" t="str">
        <f>Q865</f>
        <v>Aquecimento</v>
      </c>
      <c r="C949" s="8"/>
      <c r="D949" s="8"/>
      <c r="E949" s="1"/>
      <c r="F949" s="8"/>
      <c r="G949" s="282"/>
      <c r="H949" s="282"/>
      <c r="I949" s="282"/>
      <c r="J949" s="8"/>
      <c r="K949" s="9"/>
      <c r="L949" s="1"/>
      <c r="M949" s="319"/>
      <c r="N949" s="319">
        <f>IF(OR(M31=1,M31=4,M31=6,M31=7),0,1)</f>
        <v>1</v>
      </c>
      <c r="O949" s="319">
        <f>IF(OR(M31=4,M31=7),0,1)</f>
        <v>1</v>
      </c>
      <c r="P949" s="319"/>
      <c r="Q949" s="319"/>
      <c r="R949" s="319"/>
      <c r="S949" s="319"/>
      <c r="T949" s="319"/>
      <c r="U949" s="319"/>
      <c r="V949" s="319"/>
      <c r="W949" s="319"/>
      <c r="X949" s="319"/>
      <c r="Y949" s="319"/>
      <c r="Z949" s="319"/>
      <c r="AA949" s="319"/>
      <c r="AB949" s="319"/>
      <c r="AC949" s="319"/>
      <c r="AD949" s="319"/>
      <c r="AE949" s="319"/>
      <c r="AF949" s="319"/>
      <c r="AG949" s="319"/>
      <c r="AH949" s="319"/>
      <c r="AI949" s="319"/>
      <c r="AJ949" s="319"/>
      <c r="AK949" s="319"/>
      <c r="AL949" s="319"/>
      <c r="AM949" s="319"/>
      <c r="AN949" s="319"/>
      <c r="AO949" s="319">
        <v>3020000</v>
      </c>
      <c r="AP949" s="319"/>
      <c r="AQ949" s="319"/>
      <c r="AR949" s="319"/>
      <c r="AS949" s="319"/>
      <c r="AT949" s="319"/>
      <c r="AU949" s="319"/>
      <c r="AV949" s="319"/>
      <c r="AW949" s="319"/>
      <c r="AX949" s="319"/>
      <c r="AY949" s="319"/>
      <c r="AZ949" s="319"/>
      <c r="BA949" s="319"/>
      <c r="BB949" s="319"/>
      <c r="BC949" s="319"/>
      <c r="BD949" s="319"/>
      <c r="BE949" s="319"/>
      <c r="BF949" s="319"/>
      <c r="BG949" s="319"/>
      <c r="BH949" s="319"/>
      <c r="BI949" s="319"/>
      <c r="BJ949" s="319"/>
      <c r="BK949" s="319"/>
      <c r="BL949" s="319"/>
      <c r="BM949" s="319"/>
      <c r="BN949" s="319"/>
      <c r="BO949" s="319"/>
      <c r="BP949" s="319"/>
      <c r="BQ949" s="319"/>
      <c r="BR949" s="319"/>
      <c r="BS949" s="319"/>
      <c r="BT949" s="319"/>
      <c r="BU949" s="319"/>
      <c r="BV949" s="319"/>
      <c r="BW949" s="319"/>
      <c r="BX949" s="319"/>
      <c r="BY949" s="319"/>
      <c r="BZ949" s="319"/>
      <c r="CA949" s="319"/>
      <c r="CB949" s="319"/>
      <c r="CC949" s="319"/>
      <c r="CD949" s="319"/>
      <c r="CE949" s="319"/>
      <c r="CF949" s="319"/>
    </row>
    <row r="950" spans="1:84" ht="12.75" hidden="1" customHeight="1">
      <c r="A950" s="12"/>
      <c r="B950" s="8" t="str">
        <f>Language!C231</f>
        <v>Carga de base</v>
      </c>
      <c r="C950" s="8"/>
      <c r="D950" s="21" t="str">
        <f>IF(R950="",H1069,VLOOKUP(R950,$B$1176:$J$1294,8,FALSE))</f>
        <v>Calor recuperado</v>
      </c>
      <c r="E950" s="1"/>
      <c r="F950" s="21" t="str">
        <f>IF(OR(HideCode_projectType=1,HideCode_projectType=6),IF(R950="","",AE1112),"")</f>
        <v/>
      </c>
      <c r="G950" s="88" t="str">
        <f>IF(OR(HideCode_projectType=1,HideCode_projectType=6),IF(R950="","",AF1112),"")</f>
        <v/>
      </c>
      <c r="H950" s="125">
        <f>S895</f>
        <v>0</v>
      </c>
      <c r="I950" s="125">
        <f>$S$896*U950</f>
        <v>0</v>
      </c>
      <c r="J950" s="8"/>
      <c r="K950" s="9"/>
      <c r="L950" s="1"/>
      <c r="M950" s="319"/>
      <c r="N950" s="319">
        <f>N949</f>
        <v>1</v>
      </c>
      <c r="O950" s="319"/>
      <c r="P950" s="319"/>
      <c r="Q950" s="319"/>
      <c r="R950" s="319" t="str">
        <f>IF(OR(HideCode_projectType=1,HideCode_projectType=6),IF(HideCodeES_HeatST1&gt;6,"",AA1112),Language!C1282)</f>
        <v>Calor recuperado</v>
      </c>
      <c r="S950" s="494">
        <f>IF(OR(HideCode_projectType=1,HideCode_projectType=6),IF(HideCodeES_HeatST1&gt;6,0,AI1112),0)</f>
        <v>0</v>
      </c>
      <c r="T950" s="494" t="str">
        <f t="shared" ref="T950:T957" si="75">IF(OR(R950="",G950="",G950=0),"",VLOOKUP(R950,$B$1176:$F$1291,4,FALSE)*VLOOKUP(R950,$B$1176:$F$1291,5,FALSE)*G950/1000)</f>
        <v/>
      </c>
      <c r="U950" s="319">
        <f>IF(OR(R950=T964,R950=""),1,IF(T950="",0,T950/SUM($T$950:$T$952)))</f>
        <v>1</v>
      </c>
      <c r="V950" s="319"/>
      <c r="W950" s="319"/>
      <c r="X950" s="319"/>
      <c r="Y950" s="319"/>
      <c r="Z950" s="319"/>
      <c r="AA950" s="319"/>
      <c r="AB950" s="319"/>
      <c r="AC950" s="319"/>
      <c r="AD950" s="319"/>
      <c r="AE950" s="319"/>
      <c r="AF950" s="319"/>
      <c r="AG950" s="319"/>
      <c r="AH950" s="319"/>
      <c r="AI950" s="319"/>
      <c r="AJ950" s="319"/>
      <c r="AK950" s="319"/>
      <c r="AL950" s="319"/>
      <c r="AM950" s="319"/>
      <c r="AN950" s="319"/>
      <c r="AO950" s="319">
        <v>3020000</v>
      </c>
      <c r="AP950" s="319"/>
      <c r="AQ950" s="319"/>
      <c r="AR950" s="319"/>
      <c r="AS950" s="319"/>
      <c r="AT950" s="319"/>
      <c r="AU950" s="319"/>
      <c r="AV950" s="319"/>
      <c r="AW950" s="319"/>
      <c r="AX950" s="319"/>
      <c r="AY950" s="319"/>
      <c r="AZ950" s="319"/>
      <c r="BA950" s="319"/>
      <c r="BB950" s="319"/>
      <c r="BC950" s="319"/>
      <c r="BD950" s="319"/>
      <c r="BE950" s="319"/>
      <c r="BF950" s="319"/>
      <c r="BG950" s="319"/>
      <c r="BH950" s="319"/>
      <c r="BI950" s="319"/>
      <c r="BJ950" s="319"/>
      <c r="BK950" s="319"/>
      <c r="BL950" s="319"/>
      <c r="BM950" s="319"/>
      <c r="BN950" s="319"/>
      <c r="BO950" s="319"/>
      <c r="BP950" s="319"/>
      <c r="BQ950" s="319"/>
      <c r="BR950" s="319"/>
      <c r="BS950" s="319"/>
      <c r="BT950" s="319"/>
      <c r="BU950" s="319"/>
      <c r="BV950" s="319"/>
      <c r="BW950" s="319"/>
      <c r="BX950" s="319"/>
      <c r="BY950" s="319"/>
      <c r="BZ950" s="319"/>
      <c r="CA950" s="319"/>
      <c r="CB950" s="319"/>
      <c r="CC950" s="319"/>
      <c r="CD950" s="319"/>
      <c r="CE950" s="319"/>
      <c r="CF950" s="319"/>
    </row>
    <row r="951" spans="1:84" ht="12.75" hidden="1" customHeight="1">
      <c r="A951" s="12"/>
      <c r="B951" s="8"/>
      <c r="C951" s="8"/>
      <c r="D951" s="21" t="e">
        <f t="shared" ref="D951:D957" si="76">VLOOKUP(R951,$B$1176:$J$1294,8,FALSE)</f>
        <v>#N/A</v>
      </c>
      <c r="E951" s="1"/>
      <c r="F951" s="21" t="str">
        <f>IF(OR(HideCode_projectType=1,HideCode_projectType=6)=TRUE,AE1113,"")</f>
        <v/>
      </c>
      <c r="G951" s="88" t="str">
        <f>IF(OR(HideCode_projectType=1,HideCode_projectType=6)=TRUE,AF1113,"")</f>
        <v/>
      </c>
      <c r="H951" s="125"/>
      <c r="I951" s="125">
        <f>$S$896*U951</f>
        <v>0</v>
      </c>
      <c r="J951" s="8"/>
      <c r="K951" s="9"/>
      <c r="L951" s="1"/>
      <c r="M951" s="319"/>
      <c r="N951" s="319">
        <f>IF(ISERROR(G951),1,IF(ISERROR(I951),1,IF(AND(G951=0,I951=0)=TRUE,1,IF(AND(G951="",I951=0)=TRUE,1,0))))</f>
        <v>1</v>
      </c>
      <c r="O951" s="319"/>
      <c r="P951" s="319"/>
      <c r="Q951" s="319"/>
      <c r="R951" s="319" t="str">
        <f>IF(OR(HideCode_projectType=1,HideCode_projectType=6)=TRUE,AA1113,"")</f>
        <v/>
      </c>
      <c r="S951" s="319">
        <f>IF(OR(HideCode_projectType=1,HideCode_projectType=6)=TRUE,AI1113,0)</f>
        <v>0</v>
      </c>
      <c r="T951" s="319" t="str">
        <f t="shared" si="75"/>
        <v/>
      </c>
      <c r="U951" s="319">
        <f>IF(OR(T951="",R950=""),0,T951/SUM($T$950:$T$952))</f>
        <v>0</v>
      </c>
      <c r="V951" s="319"/>
      <c r="W951" s="319"/>
      <c r="X951" s="319"/>
      <c r="Y951" s="319"/>
      <c r="Z951" s="319"/>
      <c r="AA951" s="319"/>
      <c r="AB951" s="319"/>
      <c r="AC951" s="319"/>
      <c r="AD951" s="319"/>
      <c r="AE951" s="319"/>
      <c r="AF951" s="319"/>
      <c r="AG951" s="319"/>
      <c r="AH951" s="319"/>
      <c r="AI951" s="319"/>
      <c r="AJ951" s="319"/>
      <c r="AK951" s="319"/>
      <c r="AL951" s="319"/>
      <c r="AM951" s="319"/>
      <c r="AN951" s="319"/>
      <c r="AO951" s="319">
        <v>3020000</v>
      </c>
      <c r="AP951" s="319"/>
      <c r="AQ951" s="319"/>
      <c r="AR951" s="319"/>
      <c r="AS951" s="319"/>
      <c r="AT951" s="319"/>
      <c r="AU951" s="319"/>
      <c r="AV951" s="319"/>
      <c r="AW951" s="319"/>
      <c r="AX951" s="319"/>
      <c r="AY951" s="319"/>
      <c r="AZ951" s="319"/>
      <c r="BA951" s="319"/>
      <c r="BB951" s="319"/>
      <c r="BC951" s="319"/>
      <c r="BD951" s="319"/>
      <c r="BE951" s="319"/>
      <c r="BF951" s="319"/>
      <c r="BG951" s="319"/>
      <c r="BH951" s="319"/>
      <c r="BI951" s="319"/>
      <c r="BJ951" s="319"/>
      <c r="BK951" s="319"/>
      <c r="BL951" s="319"/>
      <c r="BM951" s="319"/>
      <c r="BN951" s="319"/>
      <c r="BO951" s="319"/>
      <c r="BP951" s="319"/>
      <c r="BQ951" s="319"/>
      <c r="BR951" s="319"/>
      <c r="BS951" s="319"/>
      <c r="BT951" s="319"/>
      <c r="BU951" s="319"/>
      <c r="BV951" s="319"/>
      <c r="BW951" s="319"/>
      <c r="BX951" s="319"/>
      <c r="BY951" s="319"/>
      <c r="BZ951" s="319"/>
      <c r="CA951" s="319"/>
      <c r="CB951" s="319"/>
      <c r="CC951" s="319"/>
      <c r="CD951" s="319"/>
      <c r="CE951" s="319"/>
      <c r="CF951" s="319"/>
    </row>
    <row r="952" spans="1:84" ht="12.75" hidden="1" customHeight="1">
      <c r="A952" s="12"/>
      <c r="B952" s="8"/>
      <c r="C952" s="8"/>
      <c r="D952" s="21" t="e">
        <f t="shared" si="76"/>
        <v>#N/A</v>
      </c>
      <c r="E952" s="1"/>
      <c r="F952" s="21" t="str">
        <f>IF(OR(HideCode_projectType=1,HideCode_projectType=6)=TRUE,AE1114,"")</f>
        <v/>
      </c>
      <c r="G952" s="88" t="str">
        <f>IF(OR(HideCode_projectType=1,HideCode_projectType=6)=TRUE,AF1114,"")</f>
        <v/>
      </c>
      <c r="H952" s="125"/>
      <c r="I952" s="125">
        <f>$S$896*U952</f>
        <v>0</v>
      </c>
      <c r="J952" s="8"/>
      <c r="K952" s="9"/>
      <c r="L952" s="1"/>
      <c r="M952" s="319"/>
      <c r="N952" s="319">
        <f>IF(ISERROR(G952),1,IF(ISERROR(I952),1,IF(AND(G952=0,I952=0)=TRUE,1,IF(AND(G952="",I952=0)=TRUE,1,0))))</f>
        <v>1</v>
      </c>
      <c r="O952" s="319"/>
      <c r="P952" s="319"/>
      <c r="Q952" s="319"/>
      <c r="R952" s="319" t="str">
        <f>IF(OR(HideCode_projectType=1,HideCode_projectType=6)=TRUE,AA1114,"")</f>
        <v/>
      </c>
      <c r="S952" s="319">
        <f>IF(OR(HideCode_projectType=1,HideCode_projectType=6)=TRUE,AI1114,0)</f>
        <v>0</v>
      </c>
      <c r="T952" s="319" t="str">
        <f t="shared" si="75"/>
        <v/>
      </c>
      <c r="U952" s="319">
        <f>IF(OR(T952="",R950=""),0,T952/SUM($T$950:$T$952))</f>
        <v>0</v>
      </c>
      <c r="V952" s="319"/>
      <c r="W952" s="319"/>
      <c r="X952" s="319"/>
      <c r="Y952" s="319"/>
      <c r="Z952" s="319"/>
      <c r="AA952" s="319"/>
      <c r="AB952" s="319"/>
      <c r="AC952" s="319"/>
      <c r="AD952" s="319"/>
      <c r="AE952" s="319"/>
      <c r="AF952" s="319"/>
      <c r="AG952" s="319"/>
      <c r="AH952" s="319"/>
      <c r="AI952" s="319"/>
      <c r="AJ952" s="319"/>
      <c r="AK952" s="319"/>
      <c r="AL952" s="319"/>
      <c r="AM952" s="319"/>
      <c r="AN952" s="319"/>
      <c r="AO952" s="319">
        <v>3020000</v>
      </c>
      <c r="AP952" s="319"/>
      <c r="AQ952" s="319"/>
      <c r="AR952" s="319"/>
      <c r="AS952" s="319"/>
      <c r="AT952" s="319"/>
      <c r="AU952" s="319"/>
      <c r="AV952" s="319"/>
      <c r="AW952" s="319"/>
      <c r="AX952" s="319"/>
      <c r="AY952" s="319"/>
      <c r="AZ952" s="319"/>
      <c r="BA952" s="319"/>
      <c r="BB952" s="319"/>
      <c r="BC952" s="319"/>
      <c r="BD952" s="319"/>
      <c r="BE952" s="319"/>
      <c r="BF952" s="319"/>
      <c r="BG952" s="319"/>
      <c r="BH952" s="319"/>
      <c r="BI952" s="319"/>
      <c r="BJ952" s="319"/>
      <c r="BK952" s="319"/>
      <c r="BL952" s="319"/>
      <c r="BM952" s="319"/>
      <c r="BN952" s="319"/>
      <c r="BO952" s="319"/>
      <c r="BP952" s="319"/>
      <c r="BQ952" s="319"/>
      <c r="BR952" s="319"/>
      <c r="BS952" s="319"/>
      <c r="BT952" s="319"/>
      <c r="BU952" s="319"/>
      <c r="BV952" s="319"/>
      <c r="BW952" s="319"/>
      <c r="BX952" s="319"/>
      <c r="BY952" s="319"/>
      <c r="BZ952" s="319"/>
      <c r="CA952" s="319"/>
      <c r="CB952" s="319"/>
      <c r="CC952" s="319"/>
      <c r="CD952" s="319"/>
      <c r="CE952" s="319"/>
      <c r="CF952" s="319"/>
    </row>
    <row r="953" spans="1:84" ht="12.75" hidden="1" customHeight="1">
      <c r="A953" s="12"/>
      <c r="B953" s="8" t="str">
        <f>Language!C241</f>
        <v>Carga Intermediária</v>
      </c>
      <c r="C953" s="8"/>
      <c r="D953" s="21" t="str">
        <f t="shared" si="76"/>
        <v>Calor recuperado</v>
      </c>
      <c r="E953" s="1"/>
      <c r="F953" s="21" t="str">
        <f t="shared" ref="F953:G955" si="77">IF(OR(HideCode_projectType=1,HideCode_projectType=6)=TRUE,IF(HideCodeES_HSS=2,AE1115,""),"")</f>
        <v/>
      </c>
      <c r="G953" s="88" t="str">
        <f t="shared" si="77"/>
        <v/>
      </c>
      <c r="H953" s="125">
        <f>S899</f>
        <v>0</v>
      </c>
      <c r="I953" s="125">
        <f>$S$900*U953</f>
        <v>0</v>
      </c>
      <c r="J953" s="8"/>
      <c r="K953" s="9"/>
      <c r="L953" s="1"/>
      <c r="M953" s="319"/>
      <c r="N953" s="319">
        <f>IF(OR(AND(M31=6,HideCodeES_HSS=2),AND(O949=0,HideCodeES_PSS=2)),0,1)</f>
        <v>1</v>
      </c>
      <c r="O953" s="319"/>
      <c r="P953" s="319"/>
      <c r="Q953" s="319"/>
      <c r="R953" s="319" t="str">
        <f>IF(OR(HideCode_projectType=1,HideCode_projectType=6)=TRUE,IF(HideCodeES_HSS=2,AA1115,"bbbb"),Language!C1282)</f>
        <v>Calor recuperado</v>
      </c>
      <c r="S953" s="494">
        <f>IF(OR(HideCode_projectType=1,HideCode_projectType=6)=TRUE,IF(HideCodeES_HSS=2,AI1115,0),0)</f>
        <v>0</v>
      </c>
      <c r="T953" s="319" t="str">
        <f t="shared" si="75"/>
        <v/>
      </c>
      <c r="U953" s="319">
        <f>IF(OR(R953=T964,R953=""),1,IF(T953="",0,T953/SUM($T$953:$T$955)))</f>
        <v>1</v>
      </c>
      <c r="V953" s="319"/>
      <c r="W953" s="319"/>
      <c r="X953" s="319"/>
      <c r="Y953" s="319"/>
      <c r="Z953" s="319"/>
      <c r="AA953" s="319"/>
      <c r="AB953" s="319"/>
      <c r="AC953" s="319"/>
      <c r="AD953" s="319"/>
      <c r="AE953" s="319"/>
      <c r="AF953" s="319"/>
      <c r="AG953" s="319"/>
      <c r="AH953" s="319"/>
      <c r="AI953" s="319"/>
      <c r="AJ953" s="319"/>
      <c r="AK953" s="319"/>
      <c r="AL953" s="319"/>
      <c r="AM953" s="319"/>
      <c r="AN953" s="319"/>
      <c r="AO953" s="319">
        <v>3020000</v>
      </c>
      <c r="AP953" s="319"/>
      <c r="AQ953" s="319"/>
      <c r="AR953" s="319"/>
      <c r="AS953" s="319"/>
      <c r="AT953" s="319"/>
      <c r="AU953" s="319"/>
      <c r="AV953" s="319"/>
      <c r="AW953" s="319"/>
      <c r="AX953" s="319"/>
      <c r="AY953" s="319"/>
      <c r="AZ953" s="319"/>
      <c r="BA953" s="319"/>
      <c r="BB953" s="319"/>
      <c r="BC953" s="319"/>
      <c r="BD953" s="319"/>
      <c r="BE953" s="319"/>
      <c r="BF953" s="319"/>
      <c r="BG953" s="319"/>
      <c r="BH953" s="319"/>
      <c r="BI953" s="319"/>
      <c r="BJ953" s="319"/>
      <c r="BK953" s="319"/>
      <c r="BL953" s="319"/>
      <c r="BM953" s="319"/>
      <c r="BN953" s="319"/>
      <c r="BO953" s="319"/>
      <c r="BP953" s="319"/>
      <c r="BQ953" s="319"/>
      <c r="BR953" s="319"/>
      <c r="BS953" s="319"/>
      <c r="BT953" s="319"/>
      <c r="BU953" s="319"/>
      <c r="BV953" s="319"/>
      <c r="BW953" s="319"/>
      <c r="BX953" s="319"/>
      <c r="BY953" s="319"/>
      <c r="BZ953" s="319"/>
      <c r="CA953" s="319"/>
      <c r="CB953" s="319"/>
      <c r="CC953" s="319"/>
      <c r="CD953" s="319"/>
      <c r="CE953" s="319"/>
      <c r="CF953" s="319"/>
    </row>
    <row r="954" spans="1:84" ht="12.75" hidden="1" customHeight="1">
      <c r="A954" s="12"/>
      <c r="B954" s="8"/>
      <c r="C954" s="8"/>
      <c r="D954" s="21" t="e">
        <f t="shared" si="76"/>
        <v>#N/A</v>
      </c>
      <c r="E954" s="1"/>
      <c r="F954" s="21" t="str">
        <f t="shared" si="77"/>
        <v/>
      </c>
      <c r="G954" s="88" t="str">
        <f t="shared" si="77"/>
        <v/>
      </c>
      <c r="H954" s="125"/>
      <c r="I954" s="125">
        <f>$S$900*U954</f>
        <v>0</v>
      </c>
      <c r="J954" s="8"/>
      <c r="K954" s="9"/>
      <c r="L954" s="1"/>
      <c r="M954" s="319"/>
      <c r="N954" s="319">
        <f>IF(ISERROR(G954),1,IF(ISERROR(I954),1,IF(AND(G954=0,I954=0)=TRUE,1,IF(AND(G954="",I954=0)=TRUE,1,0))))</f>
        <v>1</v>
      </c>
      <c r="O954" s="319"/>
      <c r="P954" s="319"/>
      <c r="Q954" s="319"/>
      <c r="R954" s="319" t="str">
        <f>IF(OR(HideCode_projectType=1,HideCode_projectType=6)=TRUE,IF(HideCodeES_HSS=2,AA1116,"bbbb"),"")</f>
        <v/>
      </c>
      <c r="S954" s="494">
        <f>IF(OR(HideCode_projectType=1,HideCode_projectType=6)=TRUE,IF(HideCodeES_HSS=2,AI1116,0),0)</f>
        <v>0</v>
      </c>
      <c r="T954" s="319" t="str">
        <f t="shared" si="75"/>
        <v/>
      </c>
      <c r="U954" s="319">
        <f>IF(T954="",0,T954/SUM($T$953:$T$955))</f>
        <v>0</v>
      </c>
      <c r="V954" s="319"/>
      <c r="W954" s="319"/>
      <c r="X954" s="319"/>
      <c r="Y954" s="319"/>
      <c r="Z954" s="319"/>
      <c r="AA954" s="319"/>
      <c r="AB954" s="319"/>
      <c r="AC954" s="319"/>
      <c r="AD954" s="319"/>
      <c r="AE954" s="319"/>
      <c r="AF954" s="319"/>
      <c r="AG954" s="319"/>
      <c r="AH954" s="319"/>
      <c r="AI954" s="319"/>
      <c r="AJ954" s="319"/>
      <c r="AK954" s="319"/>
      <c r="AL954" s="319"/>
      <c r="AM954" s="319"/>
      <c r="AN954" s="319"/>
      <c r="AO954" s="319">
        <v>3020000</v>
      </c>
      <c r="AP954" s="319"/>
      <c r="AQ954" s="319"/>
      <c r="AR954" s="319"/>
      <c r="AS954" s="319"/>
      <c r="AT954" s="319"/>
      <c r="AU954" s="319"/>
      <c r="AV954" s="319"/>
      <c r="AW954" s="319"/>
      <c r="AX954" s="319"/>
      <c r="AY954" s="319"/>
      <c r="AZ954" s="319"/>
      <c r="BA954" s="319"/>
      <c r="BB954" s="319"/>
      <c r="BC954" s="319"/>
      <c r="BD954" s="319"/>
      <c r="BE954" s="319"/>
      <c r="BF954" s="319"/>
      <c r="BG954" s="319"/>
      <c r="BH954" s="319"/>
      <c r="BI954" s="319"/>
      <c r="BJ954" s="319"/>
      <c r="BK954" s="319"/>
      <c r="BL954" s="319"/>
      <c r="BM954" s="319"/>
      <c r="BN954" s="319"/>
      <c r="BO954" s="319"/>
      <c r="BP954" s="319"/>
      <c r="BQ954" s="319"/>
      <c r="BR954" s="319"/>
      <c r="BS954" s="319"/>
      <c r="BT954" s="319"/>
      <c r="BU954" s="319"/>
      <c r="BV954" s="319"/>
      <c r="BW954" s="319"/>
      <c r="BX954" s="319"/>
      <c r="BY954" s="319"/>
      <c r="BZ954" s="319"/>
      <c r="CA954" s="319"/>
      <c r="CB954" s="319"/>
      <c r="CC954" s="319"/>
      <c r="CD954" s="319"/>
      <c r="CE954" s="319"/>
      <c r="CF954" s="319"/>
    </row>
    <row r="955" spans="1:84" ht="12.75" hidden="1" customHeight="1">
      <c r="A955" s="12"/>
      <c r="B955" s="8"/>
      <c r="C955" s="8"/>
      <c r="D955" s="21" t="e">
        <f t="shared" si="76"/>
        <v>#N/A</v>
      </c>
      <c r="E955" s="1"/>
      <c r="F955" s="21" t="str">
        <f t="shared" si="77"/>
        <v/>
      </c>
      <c r="G955" s="88" t="str">
        <f t="shared" si="77"/>
        <v/>
      </c>
      <c r="H955" s="125"/>
      <c r="I955" s="125">
        <f>$S$900*U955</f>
        <v>0</v>
      </c>
      <c r="J955" s="8"/>
      <c r="K955" s="9"/>
      <c r="L955" s="1"/>
      <c r="M955" s="319"/>
      <c r="N955" s="319">
        <f>IF(ISERROR(G955),1,IF(ISERROR(I955),1,IF(AND(G955=0,I955=0)=TRUE,1,IF(AND(G955="",I955=0)=TRUE,1,0))))</f>
        <v>1</v>
      </c>
      <c r="O955" s="319"/>
      <c r="P955" s="319"/>
      <c r="Q955" s="319"/>
      <c r="R955" s="319" t="str">
        <f>IF(OR(HideCode_projectType=1,HideCode_projectType=6)=TRUE,IF(HideCodeES_HSS=2,AA1117,"bbbb"),"")</f>
        <v/>
      </c>
      <c r="S955" s="494">
        <f>IF(OR(HideCode_projectType=1,HideCode_projectType=6)=TRUE,IF(HideCodeES_HSS=2,AI1117,0),0)</f>
        <v>0</v>
      </c>
      <c r="T955" s="319" t="str">
        <f t="shared" si="75"/>
        <v/>
      </c>
      <c r="U955" s="319">
        <f>IF(T955="",0,T955/SUM($T$953:$T$955))</f>
        <v>0</v>
      </c>
      <c r="V955" s="319"/>
      <c r="W955" s="319"/>
      <c r="X955" s="319"/>
      <c r="Y955" s="319"/>
      <c r="Z955" s="319"/>
      <c r="AA955" s="319"/>
      <c r="AB955" s="319"/>
      <c r="AC955" s="319"/>
      <c r="AD955" s="319"/>
      <c r="AE955" s="319"/>
      <c r="AF955" s="319"/>
      <c r="AG955" s="319"/>
      <c r="AH955" s="319"/>
      <c r="AI955" s="319"/>
      <c r="AJ955" s="319"/>
      <c r="AK955" s="319"/>
      <c r="AL955" s="319"/>
      <c r="AM955" s="319"/>
      <c r="AN955" s="319"/>
      <c r="AO955" s="319">
        <v>3020000</v>
      </c>
      <c r="AP955" s="319"/>
      <c r="AQ955" s="319"/>
      <c r="AR955" s="319"/>
      <c r="AS955" s="319"/>
      <c r="AT955" s="319"/>
      <c r="AU955" s="319"/>
      <c r="AV955" s="319"/>
      <c r="AW955" s="319"/>
      <c r="AX955" s="319"/>
      <c r="AY955" s="319"/>
      <c r="AZ955" s="319"/>
      <c r="BA955" s="319"/>
      <c r="BB955" s="319"/>
      <c r="BC955" s="319"/>
      <c r="BD955" s="319"/>
      <c r="BE955" s="319"/>
      <c r="BF955" s="319"/>
      <c r="BG955" s="319"/>
      <c r="BH955" s="319"/>
      <c r="BI955" s="319"/>
      <c r="BJ955" s="319"/>
      <c r="BK955" s="319"/>
      <c r="BL955" s="319"/>
      <c r="BM955" s="319"/>
      <c r="BN955" s="319"/>
      <c r="BO955" s="319"/>
      <c r="BP955" s="319"/>
      <c r="BQ955" s="319"/>
      <c r="BR955" s="319"/>
      <c r="BS955" s="319"/>
      <c r="BT955" s="319"/>
      <c r="BU955" s="319"/>
      <c r="BV955" s="319"/>
      <c r="BW955" s="319"/>
      <c r="BX955" s="319"/>
      <c r="BY955" s="319"/>
      <c r="BZ955" s="319"/>
      <c r="CA955" s="319"/>
      <c r="CB955" s="319"/>
      <c r="CC955" s="319"/>
      <c r="CD955" s="319"/>
      <c r="CE955" s="319"/>
      <c r="CF955" s="319"/>
    </row>
    <row r="956" spans="1:84" ht="12.75" hidden="1" customHeight="1">
      <c r="A956" s="12"/>
      <c r="B956" s="8" t="str">
        <f>O903</f>
        <v>Carga Intermediária # 2</v>
      </c>
      <c r="C956" s="8"/>
      <c r="D956" s="21" t="str">
        <f t="shared" si="76"/>
        <v xml:space="preserve">Biomassa </v>
      </c>
      <c r="E956" s="1"/>
      <c r="F956" s="21" t="str">
        <f>IF(M902=0,"",VLOOKUP($R956,$P$1062:$T$1085,3,FALSE))</f>
        <v/>
      </c>
      <c r="G956" s="88">
        <f>IF(M902=0,0,IF(D909=0,0,S906*1000/VLOOKUP($R956,$P$1062:$T$1085,4,FALSE)/D909))</f>
        <v>0</v>
      </c>
      <c r="H956" s="125">
        <f>IF(M902=0,0,V905)</f>
        <v>0</v>
      </c>
      <c r="I956" s="125">
        <f>IF(H956=0,0,S906)</f>
        <v>0</v>
      </c>
      <c r="J956" s="8"/>
      <c r="K956" s="9"/>
      <c r="L956" s="1"/>
      <c r="M956" s="319"/>
      <c r="N956" s="319">
        <f>IF(ISERROR(M902),1,IF(M902=0,1,0))</f>
        <v>1</v>
      </c>
      <c r="O956" s="319"/>
      <c r="P956" s="319"/>
      <c r="Q956" s="319"/>
      <c r="R956" s="319" t="str">
        <f>D903</f>
        <v xml:space="preserve">Biomassa </v>
      </c>
      <c r="S956" s="494">
        <f>IF(ISERROR(V906),0,V906)</f>
        <v>0</v>
      </c>
      <c r="T956" s="319" t="str">
        <f t="shared" si="75"/>
        <v/>
      </c>
      <c r="U956" s="319"/>
      <c r="V956" s="319"/>
      <c r="W956" s="319"/>
      <c r="X956" s="319"/>
      <c r="Y956" s="319"/>
      <c r="Z956" s="319"/>
      <c r="AA956" s="319"/>
      <c r="AB956" s="319"/>
      <c r="AC956" s="319"/>
      <c r="AD956" s="319"/>
      <c r="AE956" s="319"/>
      <c r="AF956" s="319"/>
      <c r="AG956" s="319"/>
      <c r="AH956" s="319"/>
      <c r="AI956" s="319"/>
      <c r="AJ956" s="319"/>
      <c r="AK956" s="319"/>
      <c r="AL956" s="319"/>
      <c r="AM956" s="319"/>
      <c r="AN956" s="319"/>
      <c r="AO956" s="319">
        <v>3020000</v>
      </c>
      <c r="AP956" s="319"/>
      <c r="AQ956" s="319"/>
      <c r="AR956" s="319"/>
      <c r="AS956" s="319"/>
      <c r="AT956" s="319"/>
      <c r="AU956" s="319"/>
      <c r="AV956" s="319"/>
      <c r="AW956" s="319"/>
      <c r="AX956" s="319"/>
      <c r="AY956" s="319"/>
      <c r="AZ956" s="319"/>
      <c r="BA956" s="319"/>
      <c r="BB956" s="319"/>
      <c r="BC956" s="319"/>
      <c r="BD956" s="319"/>
      <c r="BE956" s="319"/>
      <c r="BF956" s="319"/>
      <c r="BG956" s="319"/>
      <c r="BH956" s="319"/>
      <c r="BI956" s="319"/>
      <c r="BJ956" s="319"/>
      <c r="BK956" s="319"/>
      <c r="BL956" s="319"/>
      <c r="BM956" s="319"/>
      <c r="BN956" s="319"/>
      <c r="BO956" s="319"/>
      <c r="BP956" s="319"/>
      <c r="BQ956" s="319"/>
      <c r="BR956" s="319"/>
      <c r="BS956" s="319"/>
      <c r="BT956" s="319"/>
      <c r="BU956" s="319"/>
      <c r="BV956" s="319"/>
      <c r="BW956" s="319"/>
      <c r="BX956" s="319"/>
      <c r="BY956" s="319"/>
      <c r="BZ956" s="319"/>
      <c r="CA956" s="319"/>
      <c r="CB956" s="319"/>
      <c r="CC956" s="319"/>
      <c r="CD956" s="319"/>
      <c r="CE956" s="319"/>
      <c r="CF956" s="319"/>
    </row>
    <row r="957" spans="1:84" ht="12.75" hidden="1" customHeight="1">
      <c r="A957" s="12"/>
      <c r="B957" s="8" t="str">
        <f>Language!C232</f>
        <v>Carga de Ponta</v>
      </c>
      <c r="C957" s="8"/>
      <c r="D957" s="21" t="str">
        <f t="shared" si="76"/>
        <v>Gás Natural</v>
      </c>
      <c r="E957" s="1"/>
      <c r="F957" s="21" t="str">
        <f>IF(M911=0,"",VLOOKUP($R957,$P$1062:$T$1085,3,FALSE))</f>
        <v/>
      </c>
      <c r="G957" s="88" t="str">
        <f>IF(M911=0,"",IF(D919=0,0,S916*1000/VLOOKUP($R957,$P$1062:$T$1085,4,FALSE)/D919))</f>
        <v/>
      </c>
      <c r="H957" s="125">
        <f>IF(M911=0,0,V915)</f>
        <v>0</v>
      </c>
      <c r="I957" s="125">
        <f>IF(H957=0,0,S916)</f>
        <v>0</v>
      </c>
      <c r="J957" s="8"/>
      <c r="K957" s="9"/>
      <c r="L957" s="1"/>
      <c r="M957" s="319"/>
      <c r="N957" s="319">
        <f>IF(HideCodeEM_Heat_Peak=100,0,1)</f>
        <v>1</v>
      </c>
      <c r="O957" s="319"/>
      <c r="P957" s="319"/>
      <c r="Q957" s="319"/>
      <c r="R957" s="319" t="str">
        <f>D912</f>
        <v>Gas natural - m³</v>
      </c>
      <c r="S957" s="494">
        <f>IF(ISERROR(V919),0,V919)</f>
        <v>0</v>
      </c>
      <c r="T957" s="494" t="str">
        <f t="shared" si="75"/>
        <v/>
      </c>
      <c r="U957" s="319"/>
      <c r="V957" s="319"/>
      <c r="W957" s="319"/>
      <c r="X957" s="319"/>
      <c r="Y957" s="319"/>
      <c r="Z957" s="319"/>
      <c r="AA957" s="319"/>
      <c r="AB957" s="319"/>
      <c r="AC957" s="319"/>
      <c r="AD957" s="319"/>
      <c r="AE957" s="319"/>
      <c r="AF957" s="319"/>
      <c r="AG957" s="319"/>
      <c r="AH957" s="319"/>
      <c r="AI957" s="319"/>
      <c r="AJ957" s="319"/>
      <c r="AK957" s="319"/>
      <c r="AL957" s="319"/>
      <c r="AM957" s="319"/>
      <c r="AN957" s="319"/>
      <c r="AO957" s="319">
        <v>3020000</v>
      </c>
      <c r="AP957" s="319"/>
      <c r="AQ957" s="319"/>
      <c r="AR957" s="319"/>
      <c r="AS957" s="319"/>
      <c r="AT957" s="319"/>
      <c r="AU957" s="319"/>
      <c r="AV957" s="319"/>
      <c r="AW957" s="319"/>
      <c r="AX957" s="319"/>
      <c r="AY957" s="319"/>
      <c r="AZ957" s="319"/>
      <c r="BA957" s="319"/>
      <c r="BB957" s="319"/>
      <c r="BC957" s="319"/>
      <c r="BD957" s="319"/>
      <c r="BE957" s="319"/>
      <c r="BF957" s="319"/>
      <c r="BG957" s="319"/>
      <c r="BH957" s="319"/>
      <c r="BI957" s="319"/>
      <c r="BJ957" s="319"/>
      <c r="BK957" s="319"/>
      <c r="BL957" s="319"/>
      <c r="BM957" s="319"/>
      <c r="BN957" s="319"/>
      <c r="BO957" s="319"/>
      <c r="BP957" s="319"/>
      <c r="BQ957" s="319"/>
      <c r="BR957" s="319"/>
      <c r="BS957" s="319"/>
      <c r="BT957" s="319"/>
      <c r="BU957" s="319"/>
      <c r="BV957" s="319"/>
      <c r="BW957" s="319"/>
      <c r="BX957" s="319"/>
      <c r="BY957" s="319"/>
      <c r="BZ957" s="319"/>
      <c r="CA957" s="319"/>
      <c r="CB957" s="319"/>
      <c r="CC957" s="319"/>
      <c r="CD957" s="319"/>
      <c r="CE957" s="319"/>
      <c r="CF957" s="319"/>
    </row>
    <row r="958" spans="1:84" ht="12.75" hidden="1" customHeight="1" thickBot="1">
      <c r="A958" s="12"/>
      <c r="B958" s="8"/>
      <c r="C958" s="8"/>
      <c r="D958" s="8"/>
      <c r="E958" s="1"/>
      <c r="F958" s="8"/>
      <c r="G958" s="228" t="str">
        <f>Language!C233</f>
        <v>Total</v>
      </c>
      <c r="H958" s="132">
        <f>SUM(H950:H957)*IF(N949=0,1,0)</f>
        <v>0</v>
      </c>
      <c r="I958" s="132">
        <f>SUM(I950:I957)</f>
        <v>0</v>
      </c>
      <c r="J958" s="8"/>
      <c r="K958" s="9"/>
      <c r="L958" s="1"/>
      <c r="M958" s="319"/>
      <c r="N958" s="319">
        <f>N949</f>
        <v>1</v>
      </c>
      <c r="O958" s="319"/>
      <c r="P958" s="319"/>
      <c r="Q958" s="319"/>
      <c r="R958" s="319"/>
      <c r="S958" s="319"/>
      <c r="T958" s="319"/>
      <c r="U958" s="319"/>
      <c r="V958" s="319" t="s">
        <v>2506</v>
      </c>
      <c r="W958" s="919">
        <v>0</v>
      </c>
      <c r="X958" s="919">
        <v>0</v>
      </c>
      <c r="Y958" s="319"/>
      <c r="Z958" s="319"/>
      <c r="AA958" s="319"/>
      <c r="AB958" s="319"/>
      <c r="AC958" s="319"/>
      <c r="AD958" s="319"/>
      <c r="AE958" s="319"/>
      <c r="AF958" s="319"/>
      <c r="AG958" s="319"/>
      <c r="AH958" s="319"/>
      <c r="AI958" s="319"/>
      <c r="AJ958" s="319"/>
      <c r="AK958" s="319"/>
      <c r="AL958" s="319"/>
      <c r="AM958" s="319"/>
      <c r="AN958" s="319"/>
      <c r="AO958" s="319">
        <v>3020000</v>
      </c>
      <c r="AP958" s="319"/>
      <c r="AQ958" s="319"/>
      <c r="AR958" s="319"/>
      <c r="AS958" s="319"/>
      <c r="AT958" s="319"/>
      <c r="AU958" s="319"/>
      <c r="AV958" s="319"/>
      <c r="AW958" s="319"/>
      <c r="AX958" s="319"/>
      <c r="AY958" s="319"/>
      <c r="AZ958" s="319"/>
      <c r="BA958" s="319"/>
      <c r="BB958" s="319"/>
      <c r="BC958" s="319"/>
      <c r="BD958" s="319"/>
      <c r="BE958" s="319"/>
      <c r="BF958" s="319"/>
      <c r="BG958" s="319"/>
      <c r="BH958" s="319"/>
      <c r="BI958" s="319"/>
      <c r="BJ958" s="319"/>
      <c r="BK958" s="319"/>
      <c r="BL958" s="319"/>
      <c r="BM958" s="319"/>
      <c r="BN958" s="319"/>
      <c r="BO958" s="319"/>
      <c r="BP958" s="319"/>
      <c r="BQ958" s="319"/>
      <c r="BR958" s="319"/>
      <c r="BS958" s="319"/>
      <c r="BT958" s="319"/>
      <c r="BU958" s="319"/>
      <c r="BV958" s="319"/>
      <c r="BW958" s="319"/>
      <c r="BX958" s="319"/>
      <c r="BY958" s="319"/>
      <c r="BZ958" s="319"/>
      <c r="CA958" s="319"/>
      <c r="CB958" s="319"/>
      <c r="CC958" s="319"/>
      <c r="CD958" s="319"/>
      <c r="CE958" s="319"/>
      <c r="CF958" s="319"/>
    </row>
    <row r="959" spans="1:84" ht="12.75" hidden="1" customHeight="1" thickTop="1">
      <c r="A959" s="436"/>
      <c r="B959" s="153" t="str">
        <f>R865</f>
        <v>Refrigeração</v>
      </c>
      <c r="C959" s="8"/>
      <c r="D959" s="8"/>
      <c r="E959" s="1"/>
      <c r="F959" s="8"/>
      <c r="G959" s="282"/>
      <c r="H959" s="282"/>
      <c r="I959" s="282"/>
      <c r="J959" s="8"/>
      <c r="K959" s="9"/>
      <c r="L959" s="1"/>
      <c r="M959" s="319"/>
      <c r="N959" s="319">
        <f>IF(OR(M31=3,M31=5,M31=6,M31=7),0,1)</f>
        <v>1</v>
      </c>
      <c r="O959" s="319"/>
      <c r="P959" s="319"/>
      <c r="Q959" s="319"/>
      <c r="R959" s="319"/>
      <c r="S959" s="319"/>
      <c r="T959" s="319"/>
      <c r="U959" s="319"/>
      <c r="V959" s="319"/>
      <c r="W959" s="319"/>
      <c r="X959" s="319"/>
      <c r="Y959" s="319"/>
      <c r="Z959" s="319"/>
      <c r="AA959" s="319"/>
      <c r="AB959" s="319"/>
      <c r="AC959" s="319"/>
      <c r="AD959" s="319"/>
      <c r="AE959" s="319"/>
      <c r="AF959" s="319"/>
      <c r="AG959" s="319"/>
      <c r="AH959" s="319"/>
      <c r="AI959" s="319"/>
      <c r="AJ959" s="319"/>
      <c r="AK959" s="319"/>
      <c r="AL959" s="319"/>
      <c r="AM959" s="319"/>
      <c r="AN959" s="319"/>
      <c r="AO959" s="319">
        <v>3020000</v>
      </c>
      <c r="AP959" s="319"/>
      <c r="AQ959" s="319"/>
      <c r="AR959" s="319"/>
      <c r="AS959" s="319"/>
      <c r="AT959" s="319"/>
      <c r="AU959" s="319"/>
      <c r="AV959" s="319"/>
      <c r="AW959" s="319"/>
      <c r="AX959" s="319"/>
      <c r="AY959" s="319"/>
      <c r="AZ959" s="319"/>
      <c r="BA959" s="319"/>
      <c r="BB959" s="319"/>
      <c r="BC959" s="319"/>
      <c r="BD959" s="319"/>
      <c r="BE959" s="319"/>
      <c r="BF959" s="319"/>
      <c r="BG959" s="319"/>
      <c r="BH959" s="319"/>
      <c r="BI959" s="319"/>
      <c r="BJ959" s="319"/>
      <c r="BK959" s="319"/>
      <c r="BL959" s="319"/>
      <c r="BM959" s="319"/>
      <c r="BN959" s="319"/>
      <c r="BO959" s="319"/>
      <c r="BP959" s="319"/>
      <c r="BQ959" s="319"/>
      <c r="BR959" s="319"/>
      <c r="BS959" s="319"/>
      <c r="BT959" s="319"/>
      <c r="BU959" s="319"/>
      <c r="BV959" s="319"/>
      <c r="BW959" s="319"/>
      <c r="BX959" s="319"/>
      <c r="BY959" s="319"/>
      <c r="BZ959" s="319"/>
      <c r="CA959" s="319"/>
      <c r="CB959" s="319"/>
      <c r="CC959" s="319"/>
      <c r="CD959" s="319"/>
      <c r="CE959" s="319"/>
      <c r="CF959" s="319"/>
    </row>
    <row r="960" spans="1:84" ht="12.75" hidden="1" customHeight="1">
      <c r="A960" s="12"/>
      <c r="B960" s="8" t="str">
        <f>Language!C231</f>
        <v>Carga de base</v>
      </c>
      <c r="C960" s="8"/>
      <c r="D960" s="21" t="e">
        <f>VLOOKUP(R960,$B$1176:$J$1294,8,FALSE)</f>
        <v>#N/A</v>
      </c>
      <c r="E960" s="1"/>
      <c r="F960" s="21" t="e">
        <f>VLOOKUP($R960,$P$1062:$T$1085,3,FALSE)</f>
        <v>#N/A</v>
      </c>
      <c r="G960" s="30" t="e">
        <f>IF(OR(F960=" ",M7=0),"",IF(OR(HideCode_projectType=3,HideCode_projectType&gt;4)=TRUE,S928*1000/VLOOKUP($R960,$P$1062:$S$1085,4,FALSE)/D11,0))</f>
        <v>#N/A</v>
      </c>
      <c r="H960" s="125">
        <f>IF(OR(HideCode_projectType=3,HideCode_projectType&gt;4)=TRUE,S927,0)</f>
        <v>0</v>
      </c>
      <c r="I960" s="125">
        <f>IF(OR(HideCode_projectType=3,HideCode_projectType&gt;4)=TRUE,S928,0)</f>
        <v>0</v>
      </c>
      <c r="J960" s="8"/>
      <c r="K960" s="9"/>
      <c r="L960" s="1"/>
      <c r="M960" s="319"/>
      <c r="N960" s="319">
        <f>$N$959</f>
        <v>1</v>
      </c>
      <c r="O960" s="319"/>
      <c r="P960" s="319"/>
      <c r="Q960" s="319"/>
      <c r="R960" s="319" t="str">
        <f>D926</f>
        <v/>
      </c>
      <c r="S960" s="494">
        <f>IF(OR(R960=P1085,R960=P1084,R960=P1083),0,IF(M7=0,0,IF(OR(HideCode_projectType=3,HideCode_projectType&gt;4)=TRUE,S928*1000/VLOOKUP($R960,$P$1062:$S$1085,4,FALSE)/D11,0))*D9)</f>
        <v>0</v>
      </c>
      <c r="T960" s="319" t="str">
        <f>IF(ISERROR(G960),"",IF(OR(R960="",G960=""),"",VLOOKUP(R960,$B$1176:$F$1291,4,FALSE)*VLOOKUP(R960,$B$1176:$F$1291,5,FALSE)*G960/1000))</f>
        <v/>
      </c>
      <c r="U960" s="319" t="e">
        <f>I960/D11</f>
        <v>#DIV/0!</v>
      </c>
      <c r="V960" s="319"/>
      <c r="W960" s="319"/>
      <c r="X960" s="319"/>
      <c r="Y960" s="319"/>
      <c r="Z960" s="319"/>
      <c r="AA960" s="319"/>
      <c r="AB960" s="319"/>
      <c r="AC960" s="319"/>
      <c r="AD960" s="319"/>
      <c r="AE960" s="319"/>
      <c r="AF960" s="319"/>
      <c r="AG960" s="319"/>
      <c r="AH960" s="319"/>
      <c r="AI960" s="319"/>
      <c r="AJ960" s="319"/>
      <c r="AK960" s="319"/>
      <c r="AL960" s="319"/>
      <c r="AM960" s="319"/>
      <c r="AN960" s="319"/>
      <c r="AO960" s="319">
        <v>3020000</v>
      </c>
      <c r="AP960" s="319"/>
      <c r="AQ960" s="319"/>
      <c r="AR960" s="319"/>
      <c r="AS960" s="319"/>
      <c r="AT960" s="319"/>
      <c r="AU960" s="319"/>
      <c r="AV960" s="319"/>
      <c r="AW960" s="319"/>
      <c r="AX960" s="319"/>
      <c r="AY960" s="319"/>
      <c r="AZ960" s="319"/>
      <c r="BA960" s="319"/>
      <c r="BB960" s="319"/>
      <c r="BC960" s="319"/>
      <c r="BD960" s="319"/>
      <c r="BE960" s="319"/>
      <c r="BF960" s="319"/>
      <c r="BG960" s="319"/>
      <c r="BH960" s="319"/>
      <c r="BI960" s="319"/>
      <c r="BJ960" s="319"/>
      <c r="BK960" s="319"/>
      <c r="BL960" s="319"/>
      <c r="BM960" s="319"/>
      <c r="BN960" s="319"/>
      <c r="BO960" s="319"/>
      <c r="BP960" s="319"/>
      <c r="BQ960" s="319"/>
      <c r="BR960" s="319"/>
      <c r="BS960" s="319"/>
      <c r="BT960" s="319"/>
      <c r="BU960" s="319"/>
      <c r="BV960" s="319"/>
      <c r="BW960" s="319"/>
      <c r="BX960" s="319"/>
      <c r="BY960" s="319"/>
      <c r="BZ960" s="319"/>
      <c r="CA960" s="319"/>
      <c r="CB960" s="319"/>
      <c r="CC960" s="319"/>
      <c r="CD960" s="319"/>
      <c r="CE960" s="319"/>
      <c r="CF960" s="319"/>
    </row>
    <row r="961" spans="1:84" ht="12.75" hidden="1" customHeight="1">
      <c r="A961" s="12"/>
      <c r="B961" s="8" t="str">
        <f>Language!C232</f>
        <v>Carga de Ponta</v>
      </c>
      <c r="C961" s="8"/>
      <c r="D961" s="21" t="e">
        <f>VLOOKUP(R961,$B$1176:$J$1294,8,FALSE)</f>
        <v>#N/A</v>
      </c>
      <c r="E961" s="1"/>
      <c r="F961" s="21" t="e">
        <f>VLOOKUP($R961,$P$1062:$T$1085,3,FALSE)</f>
        <v>#N/A</v>
      </c>
      <c r="G961" s="30" t="e">
        <f>IF(OR(F961=" ",M17=0),"",IF(HideCodeES_Cool_Peak=0,"",IF(OR(HideCode_projectType=3,HideCode_projectType&gt;4)=TRUE,S933*1000/VLOOKUP(R961,P1062:S1085,4,FALSE)/D22,0)))</f>
        <v>#N/A</v>
      </c>
      <c r="H961" s="125">
        <f>IF(HideCodeES_Cool_Peak=0,0,IF(OR(HideCode_projectType=3,HideCode_projectType&gt;4)=TRUE,S932,0))</f>
        <v>0</v>
      </c>
      <c r="I961" s="125">
        <f>IF(OR(HideCode_projectType=3,HideCode_projectType&gt;4)=TRUE,S933,0)</f>
        <v>0</v>
      </c>
      <c r="J961" s="8"/>
      <c r="K961" s="9"/>
      <c r="L961" s="1"/>
      <c r="M961" s="319"/>
      <c r="N961" s="319">
        <f>IF(OR(HideCodeES_Cool_Peak=0,$N$959=1),1,0)</f>
        <v>1</v>
      </c>
      <c r="O961" s="319"/>
      <c r="P961" s="319"/>
      <c r="Q961" s="319"/>
      <c r="R961" s="319" t="str">
        <f>IF(HideCodeES_Cool_Peak=0,"",D931)</f>
        <v/>
      </c>
      <c r="S961" s="494">
        <f>IF(OR(R961=P1085,R961=P1084,R961=P1083),0,IF(M17=0,0,IF(HideCodeES_Cool_Peak=0,"",IF(OR(HideCode_projectType=3,HideCode_projectType&gt;4)=TRUE,S933*1000/VLOOKUP(R961,P1062:S1085,4,FALSE)/D22,0)))*D19)</f>
        <v>0</v>
      </c>
      <c r="T961" s="319" t="str">
        <f>IF(ISERROR(G961),"",IF(OR(R961="",G961=""),"",VLOOKUP(R961,$B$1176:$F$1291,4,FALSE)*VLOOKUP(R961,$B$1176:$F$1291,5,FALSE)*G961/1000))</f>
        <v/>
      </c>
      <c r="U961" s="319" t="e">
        <f>I961/D22</f>
        <v>#DIV/0!</v>
      </c>
      <c r="V961" s="319"/>
      <c r="W961" s="319"/>
      <c r="X961" s="319"/>
      <c r="Y961" s="319"/>
      <c r="Z961" s="319"/>
      <c r="AA961" s="319"/>
      <c r="AB961" s="319"/>
      <c r="AC961" s="319"/>
      <c r="AD961" s="319"/>
      <c r="AE961" s="319"/>
      <c r="AF961" s="319"/>
      <c r="AG961" s="319"/>
      <c r="AH961" s="319"/>
      <c r="AI961" s="319"/>
      <c r="AJ961" s="319"/>
      <c r="AK961" s="319"/>
      <c r="AL961" s="319"/>
      <c r="AM961" s="319"/>
      <c r="AN961" s="319"/>
      <c r="AO961" s="319">
        <v>3020000</v>
      </c>
      <c r="AP961" s="319"/>
      <c r="AQ961" s="319"/>
      <c r="AR961" s="319"/>
      <c r="AS961" s="319"/>
      <c r="AT961" s="319"/>
      <c r="AU961" s="319"/>
      <c r="AV961" s="319"/>
      <c r="AW961" s="319"/>
      <c r="AX961" s="319"/>
      <c r="AY961" s="319"/>
      <c r="AZ961" s="319"/>
      <c r="BA961" s="319"/>
      <c r="BB961" s="319"/>
      <c r="BC961" s="319"/>
      <c r="BD961" s="319"/>
      <c r="BE961" s="319"/>
      <c r="BF961" s="319"/>
      <c r="BG961" s="319"/>
      <c r="BH961" s="319"/>
      <c r="BI961" s="319"/>
      <c r="BJ961" s="319"/>
      <c r="BK961" s="319"/>
      <c r="BL961" s="319"/>
      <c r="BM961" s="319"/>
      <c r="BN961" s="319"/>
      <c r="BO961" s="319"/>
      <c r="BP961" s="319"/>
      <c r="BQ961" s="319"/>
      <c r="BR961" s="319"/>
      <c r="BS961" s="319"/>
      <c r="BT961" s="319"/>
      <c r="BU961" s="319"/>
      <c r="BV961" s="319"/>
      <c r="BW961" s="319"/>
      <c r="BX961" s="319"/>
      <c r="BY961" s="319"/>
      <c r="BZ961" s="319"/>
      <c r="CA961" s="319"/>
      <c r="CB961" s="319"/>
      <c r="CC961" s="319"/>
      <c r="CD961" s="319"/>
      <c r="CE961" s="319"/>
      <c r="CF961" s="319"/>
    </row>
    <row r="962" spans="1:84" ht="12.75" hidden="1" customHeight="1" thickBot="1">
      <c r="A962" s="12"/>
      <c r="B962" s="8"/>
      <c r="C962" s="8"/>
      <c r="D962" s="8"/>
      <c r="E962" s="1"/>
      <c r="F962" s="8"/>
      <c r="G962" s="228" t="str">
        <f>Language!C233</f>
        <v>Total</v>
      </c>
      <c r="H962" s="132">
        <f>SUM(H960:H961)*IF(N959=0,1,0)</f>
        <v>0</v>
      </c>
      <c r="I962" s="132">
        <f>SUM(I960:I961)</f>
        <v>0</v>
      </c>
      <c r="J962" s="8"/>
      <c r="K962" s="9"/>
      <c r="L962" s="1"/>
      <c r="M962" s="319"/>
      <c r="N962" s="319">
        <f>$N$959</f>
        <v>1</v>
      </c>
      <c r="O962" s="319"/>
      <c r="P962" s="319"/>
      <c r="Q962" s="319"/>
      <c r="R962" s="319"/>
      <c r="S962" s="319"/>
      <c r="T962" s="319"/>
      <c r="U962" s="319"/>
      <c r="V962" s="319" t="s">
        <v>726</v>
      </c>
      <c r="W962" s="3">
        <v>0</v>
      </c>
      <c r="X962" s="3">
        <v>0</v>
      </c>
      <c r="Y962" s="319"/>
      <c r="Z962" s="319"/>
      <c r="AA962" s="319"/>
      <c r="AB962" s="319"/>
      <c r="AC962" s="319"/>
      <c r="AD962" s="319"/>
      <c r="AE962" s="319"/>
      <c r="AF962" s="319"/>
      <c r="AG962" s="319"/>
      <c r="AH962" s="319"/>
      <c r="AI962" s="319"/>
      <c r="AJ962" s="319"/>
      <c r="AK962" s="319"/>
      <c r="AL962" s="319"/>
      <c r="AM962" s="319"/>
      <c r="AN962" s="319"/>
      <c r="AO962" s="319">
        <v>3020000</v>
      </c>
      <c r="AP962" s="319"/>
      <c r="AQ962" s="319"/>
      <c r="AR962" s="319"/>
      <c r="AS962" s="319"/>
      <c r="AT962" s="319"/>
      <c r="AU962" s="319"/>
      <c r="AV962" s="319"/>
      <c r="AW962" s="319"/>
      <c r="AX962" s="319"/>
      <c r="AY962" s="319"/>
      <c r="AZ962" s="319"/>
      <c r="BA962" s="319"/>
      <c r="BB962" s="319"/>
      <c r="BC962" s="319"/>
      <c r="BD962" s="319"/>
      <c r="BE962" s="319"/>
      <c r="BF962" s="319"/>
      <c r="BG962" s="319"/>
      <c r="BH962" s="319"/>
      <c r="BI962" s="319"/>
      <c r="BJ962" s="319"/>
      <c r="BK962" s="319"/>
      <c r="BL962" s="319"/>
      <c r="BM962" s="319"/>
      <c r="BN962" s="319"/>
      <c r="BO962" s="319"/>
      <c r="BP962" s="319"/>
      <c r="BQ962" s="319"/>
      <c r="BR962" s="319"/>
      <c r="BS962" s="319"/>
      <c r="BT962" s="319"/>
      <c r="BU962" s="319"/>
      <c r="BV962" s="319"/>
      <c r="BW962" s="319"/>
      <c r="BX962" s="319"/>
      <c r="BY962" s="319"/>
      <c r="BZ962" s="319"/>
      <c r="CA962" s="319"/>
      <c r="CB962" s="319"/>
      <c r="CC962" s="319"/>
      <c r="CD962" s="319"/>
      <c r="CE962" s="319"/>
      <c r="CF962" s="319"/>
    </row>
    <row r="963" spans="1:84" ht="12.75" hidden="1" customHeight="1">
      <c r="A963" s="12"/>
      <c r="B963" s="8"/>
      <c r="C963" s="8"/>
      <c r="D963" s="8"/>
      <c r="E963" s="8"/>
      <c r="F963" s="8"/>
      <c r="G963" s="8"/>
      <c r="H963" s="8"/>
      <c r="I963" s="8"/>
      <c r="J963" s="8"/>
      <c r="K963" s="9"/>
      <c r="L963" s="1"/>
      <c r="M963" s="319"/>
      <c r="N963" s="319">
        <v>1</v>
      </c>
      <c r="O963" s="319"/>
      <c r="P963" s="319"/>
      <c r="Q963" s="319"/>
      <c r="R963" s="319"/>
      <c r="S963" s="319"/>
      <c r="T963" s="319"/>
      <c r="U963" s="319"/>
      <c r="V963" s="319"/>
      <c r="W963" s="319"/>
      <c r="X963" s="319"/>
      <c r="Y963" s="319"/>
      <c r="Z963" s="319"/>
      <c r="AA963" s="319"/>
      <c r="AB963" s="319"/>
      <c r="AC963" s="319"/>
      <c r="AD963" s="319"/>
      <c r="AE963" s="319"/>
      <c r="AF963" s="319"/>
      <c r="AG963" s="319"/>
      <c r="AH963" s="319"/>
      <c r="AI963" s="319"/>
      <c r="AJ963" s="319"/>
      <c r="AK963" s="319"/>
      <c r="AL963" s="319"/>
      <c r="AM963" s="319"/>
      <c r="AN963" s="319"/>
      <c r="AO963" s="319">
        <v>3020000</v>
      </c>
      <c r="AP963" s="319"/>
      <c r="AQ963" s="319"/>
      <c r="AR963" s="319"/>
      <c r="AS963" s="319"/>
      <c r="AT963" s="319"/>
      <c r="AU963" s="319"/>
      <c r="AV963" s="319"/>
      <c r="AW963" s="319"/>
      <c r="AX963" s="319"/>
      <c r="AY963" s="319"/>
      <c r="AZ963" s="319"/>
      <c r="BA963" s="319"/>
      <c r="BB963" s="319"/>
      <c r="BC963" s="319"/>
      <c r="BD963" s="319"/>
      <c r="BE963" s="319"/>
      <c r="BF963" s="319"/>
      <c r="BG963" s="319"/>
      <c r="BH963" s="319"/>
      <c r="BI963" s="319"/>
      <c r="BJ963" s="319"/>
      <c r="BK963" s="319"/>
      <c r="BL963" s="319"/>
      <c r="BM963" s="319"/>
      <c r="BN963" s="319"/>
      <c r="BO963" s="319"/>
      <c r="BP963" s="319"/>
      <c r="BQ963" s="319"/>
      <c r="BR963" s="319"/>
      <c r="BS963" s="319"/>
      <c r="BT963" s="319"/>
      <c r="BU963" s="319"/>
      <c r="BV963" s="319"/>
      <c r="BW963" s="319"/>
      <c r="BX963" s="319"/>
      <c r="BY963" s="319"/>
      <c r="BZ963" s="319"/>
      <c r="CA963" s="319"/>
      <c r="CB963" s="319"/>
      <c r="CC963" s="319"/>
      <c r="CD963" s="319"/>
      <c r="CE963" s="319"/>
      <c r="CF963" s="319"/>
    </row>
    <row r="964" spans="1:84" ht="12.75" hidden="1" customHeight="1">
      <c r="A964" s="12"/>
      <c r="B964" s="8"/>
      <c r="C964" s="8"/>
      <c r="D964" s="8"/>
      <c r="E964" s="8"/>
      <c r="F964" s="8"/>
      <c r="G964" s="8"/>
      <c r="H964" s="8"/>
      <c r="I964" s="8"/>
      <c r="J964" s="8"/>
      <c r="K964" s="9"/>
      <c r="L964" s="1"/>
      <c r="M964" s="319"/>
      <c r="N964" s="319">
        <v>1</v>
      </c>
      <c r="O964" s="319"/>
      <c r="P964" s="319"/>
      <c r="Q964" s="319"/>
      <c r="R964" s="319"/>
      <c r="S964" s="494">
        <f>SUM(S940:S961)</f>
        <v>0</v>
      </c>
      <c r="T964" s="319" t="str">
        <f>Language!C1282</f>
        <v>Calor recuperado</v>
      </c>
      <c r="U964" s="319"/>
      <c r="V964" s="319"/>
      <c r="W964" s="319"/>
      <c r="X964" s="319"/>
      <c r="Y964" s="319"/>
      <c r="Z964" s="319"/>
      <c r="AA964" s="319"/>
      <c r="AB964" s="319"/>
      <c r="AC964" s="319"/>
      <c r="AD964" s="319"/>
      <c r="AE964" s="319"/>
      <c r="AF964" s="319"/>
      <c r="AG964" s="319"/>
      <c r="AH964" s="319"/>
      <c r="AI964" s="319"/>
      <c r="AJ964" s="319"/>
      <c r="AK964" s="319"/>
      <c r="AL964" s="319"/>
      <c r="AM964" s="319"/>
      <c r="AN964" s="319"/>
      <c r="AO964" s="319">
        <v>3020000</v>
      </c>
      <c r="AP964" s="319"/>
      <c r="AQ964" s="319"/>
      <c r="AR964" s="319"/>
      <c r="AS964" s="319"/>
      <c r="AT964" s="319"/>
      <c r="AU964" s="319"/>
      <c r="AV964" s="319"/>
      <c r="AW964" s="319"/>
      <c r="AX964" s="319"/>
      <c r="AY964" s="319"/>
      <c r="AZ964" s="319"/>
      <c r="BA964" s="319"/>
      <c r="BB964" s="319"/>
      <c r="BC964" s="319"/>
      <c r="BD964" s="319"/>
      <c r="BE964" s="319"/>
      <c r="BF964" s="319"/>
      <c r="BG964" s="319"/>
      <c r="BH964" s="319"/>
      <c r="BI964" s="319"/>
      <c r="BJ964" s="319"/>
      <c r="BK964" s="319"/>
      <c r="BL964" s="319"/>
      <c r="BM964" s="319"/>
      <c r="BN964" s="319"/>
      <c r="BO964" s="319"/>
      <c r="BP964" s="319"/>
      <c r="BQ964" s="319"/>
      <c r="BR964" s="319"/>
      <c r="BS964" s="319"/>
      <c r="BT964" s="319"/>
      <c r="BU964" s="319"/>
      <c r="BV964" s="319"/>
      <c r="BW964" s="319"/>
      <c r="BX964" s="319"/>
      <c r="BY964" s="319"/>
      <c r="BZ964" s="319"/>
      <c r="CA964" s="319"/>
      <c r="CB964" s="319"/>
      <c r="CC964" s="319"/>
      <c r="CD964" s="319"/>
      <c r="CE964" s="319"/>
      <c r="CF964" s="319"/>
    </row>
    <row r="965" spans="1:84" ht="12.75" customHeight="1">
      <c r="A965" s="14"/>
      <c r="B965" s="15"/>
      <c r="C965" s="15"/>
      <c r="D965" s="15"/>
      <c r="E965" s="15"/>
      <c r="F965" s="15"/>
      <c r="G965" s="15"/>
      <c r="H965" s="15"/>
      <c r="I965" s="15"/>
      <c r="J965" s="15"/>
      <c r="K965" s="11"/>
      <c r="L965" s="1"/>
      <c r="M965" s="319"/>
      <c r="N965" s="319"/>
      <c r="O965" s="319"/>
      <c r="P965" s="319"/>
      <c r="Q965" s="319"/>
      <c r="R965" s="319"/>
      <c r="S965" s="319"/>
      <c r="T965" s="319"/>
      <c r="U965" s="319"/>
      <c r="V965" s="319"/>
      <c r="W965" s="319"/>
      <c r="X965" s="319"/>
      <c r="Y965" s="319"/>
      <c r="Z965" s="319"/>
      <c r="AA965" s="319"/>
      <c r="AB965" s="319"/>
      <c r="AC965" s="319"/>
      <c r="AD965" s="319"/>
      <c r="AE965" s="319"/>
      <c r="AF965" s="319"/>
      <c r="AG965" s="319"/>
      <c r="AH965" s="319"/>
      <c r="AI965" s="319"/>
      <c r="AJ965" s="319"/>
      <c r="AK965" s="319"/>
      <c r="AL965" s="319"/>
      <c r="AM965" s="319"/>
      <c r="AN965" s="319"/>
      <c r="AO965" s="319">
        <v>2030000</v>
      </c>
      <c r="AP965" s="319"/>
      <c r="AQ965" s="319"/>
      <c r="AR965" s="319"/>
      <c r="AS965" s="319"/>
      <c r="AT965" s="319"/>
      <c r="AU965" s="319"/>
      <c r="AV965" s="319"/>
      <c r="AW965" s="319"/>
      <c r="AX965" s="319"/>
      <c r="AY965" s="319"/>
      <c r="AZ965" s="319"/>
      <c r="BA965" s="319"/>
      <c r="BB965" s="319"/>
      <c r="BC965" s="319"/>
      <c r="BD965" s="319"/>
      <c r="BE965" s="319"/>
      <c r="BF965" s="319"/>
      <c r="BG965" s="319"/>
      <c r="BH965" s="319"/>
      <c r="BI965" s="319"/>
      <c r="BJ965" s="319"/>
      <c r="BK965" s="319"/>
      <c r="BL965" s="319"/>
      <c r="BM965" s="319"/>
      <c r="BN965" s="319"/>
      <c r="BO965" s="319"/>
      <c r="BP965" s="319"/>
      <c r="BQ965" s="319"/>
      <c r="BR965" s="319"/>
      <c r="BS965" s="319"/>
      <c r="BT965" s="319"/>
      <c r="BU965" s="319"/>
      <c r="BV965" s="319"/>
      <c r="BW965" s="319"/>
      <c r="BX965" s="319"/>
      <c r="BY965" s="319"/>
      <c r="BZ965" s="319"/>
      <c r="CA965" s="319"/>
      <c r="CB965" s="319"/>
      <c r="CC965" s="319"/>
      <c r="CD965" s="319"/>
      <c r="CE965" s="319"/>
      <c r="CF965" s="319"/>
    </row>
    <row r="966" spans="1:84" ht="12.75" hidden="1" customHeight="1">
      <c r="A966" s="8"/>
      <c r="B966" s="8"/>
      <c r="C966" s="8"/>
      <c r="D966" s="8"/>
      <c r="E966" s="8"/>
      <c r="F966" s="8"/>
      <c r="G966" s="8"/>
      <c r="H966" s="8"/>
      <c r="I966" s="8"/>
      <c r="J966" s="8"/>
      <c r="K966" s="8"/>
      <c r="L966" s="1"/>
      <c r="M966" s="319"/>
      <c r="N966" s="319"/>
      <c r="O966" s="319"/>
      <c r="P966" s="319"/>
      <c r="Q966" s="319"/>
      <c r="R966" s="319"/>
      <c r="S966" s="319"/>
      <c r="T966" s="319"/>
      <c r="U966" s="319"/>
      <c r="V966" s="319"/>
      <c r="W966" s="319"/>
      <c r="X966" s="319"/>
      <c r="Y966" s="319"/>
      <c r="Z966" s="319"/>
      <c r="AA966" s="319"/>
      <c r="AB966" s="319"/>
      <c r="AC966" s="319"/>
      <c r="AD966" s="319"/>
      <c r="AE966" s="319"/>
      <c r="AF966" s="319"/>
      <c r="AG966" s="319"/>
      <c r="AH966" s="319"/>
      <c r="AI966" s="319"/>
      <c r="AJ966" s="319"/>
      <c r="AK966" s="319"/>
      <c r="AL966" s="319"/>
      <c r="AM966" s="319"/>
      <c r="AN966" s="319"/>
      <c r="AO966" s="319">
        <v>2000000</v>
      </c>
      <c r="AP966" s="319"/>
      <c r="AQ966" s="319"/>
      <c r="AR966" s="319"/>
      <c r="AS966" s="319"/>
      <c r="AT966" s="319"/>
      <c r="AU966" s="319"/>
      <c r="AV966" s="319"/>
      <c r="AW966" s="319"/>
      <c r="AX966" s="319"/>
      <c r="AY966" s="319"/>
      <c r="AZ966" s="319"/>
      <c r="BA966" s="319"/>
      <c r="BB966" s="319"/>
      <c r="BC966" s="319"/>
      <c r="BD966" s="319"/>
      <c r="BE966" s="319"/>
      <c r="BF966" s="319"/>
      <c r="BG966" s="319"/>
      <c r="BH966" s="319"/>
      <c r="BI966" s="319"/>
      <c r="BJ966" s="319"/>
      <c r="BK966" s="319"/>
      <c r="BL966" s="319"/>
      <c r="BM966" s="319"/>
      <c r="BN966" s="319"/>
      <c r="BO966" s="319"/>
      <c r="BP966" s="319"/>
      <c r="BQ966" s="319"/>
      <c r="BR966" s="319"/>
      <c r="BS966" s="319"/>
      <c r="BT966" s="319"/>
      <c r="BU966" s="319"/>
      <c r="BV966" s="319"/>
      <c r="BW966" s="319"/>
      <c r="BX966" s="319"/>
      <c r="BY966" s="319"/>
      <c r="BZ966" s="319"/>
      <c r="CA966" s="319"/>
      <c r="CB966" s="319"/>
      <c r="CC966" s="319"/>
      <c r="CD966" s="319"/>
      <c r="CE966" s="319"/>
      <c r="CF966" s="319"/>
    </row>
    <row r="967" spans="1:84" ht="12.75" hidden="1" customHeight="1">
      <c r="A967" s="1027" t="s">
        <v>4190</v>
      </c>
      <c r="B967" s="25" t="str">
        <f>CHPGHGName</f>
        <v>Análise de Emissões</v>
      </c>
      <c r="C967" s="25"/>
      <c r="D967" s="505"/>
      <c r="E967" s="25"/>
      <c r="F967" s="25"/>
      <c r="G967" s="25"/>
      <c r="H967" s="25"/>
      <c r="I967" s="25"/>
      <c r="J967" s="25"/>
      <c r="K967" s="27"/>
      <c r="L967" s="1"/>
      <c r="M967" s="319">
        <f>IF(EM_GHG_CB=TRUE,99,0)</f>
        <v>99</v>
      </c>
      <c r="N967" s="319"/>
      <c r="O967" s="319"/>
      <c r="P967" s="299" t="b">
        <v>1</v>
      </c>
      <c r="Q967" s="319"/>
      <c r="R967" s="319"/>
      <c r="S967" s="319"/>
      <c r="T967" s="319"/>
      <c r="U967" s="319"/>
      <c r="V967" s="319"/>
      <c r="W967" s="319"/>
      <c r="X967" s="319"/>
      <c r="Y967" s="319"/>
      <c r="Z967" s="319"/>
      <c r="AA967" s="319"/>
      <c r="AB967" s="319"/>
      <c r="AC967" s="319"/>
      <c r="AD967" s="319"/>
      <c r="AE967" s="319"/>
      <c r="AF967" s="319"/>
      <c r="AG967" s="319"/>
      <c r="AH967" s="319"/>
      <c r="AI967" s="319"/>
      <c r="AJ967" s="319"/>
      <c r="AK967" s="319"/>
      <c r="AL967" s="319"/>
      <c r="AM967" s="319"/>
      <c r="AN967" s="319"/>
      <c r="AO967" s="319">
        <v>5110000</v>
      </c>
      <c r="AP967" s="319"/>
      <c r="AQ967" s="319"/>
      <c r="AR967" s="319"/>
      <c r="AS967" s="319"/>
      <c r="AT967" s="319"/>
      <c r="AU967" s="319"/>
      <c r="AV967" s="319"/>
      <c r="AW967" s="319"/>
      <c r="AX967" s="319"/>
      <c r="AY967" s="319"/>
      <c r="AZ967" s="319"/>
      <c r="BA967" s="319"/>
      <c r="BB967" s="319"/>
      <c r="BC967" s="319"/>
      <c r="BD967" s="319"/>
      <c r="BE967" s="319"/>
      <c r="BF967" s="319"/>
      <c r="BG967" s="319"/>
      <c r="BH967" s="319"/>
      <c r="BI967" s="319"/>
      <c r="BJ967" s="319"/>
      <c r="BK967" s="319"/>
      <c r="BL967" s="319"/>
      <c r="BM967" s="319"/>
      <c r="BN967" s="319"/>
      <c r="BO967" s="319"/>
      <c r="BP967" s="319"/>
      <c r="BQ967" s="319"/>
      <c r="BR967" s="319"/>
      <c r="BS967" s="319"/>
      <c r="BT967" s="319"/>
      <c r="BU967" s="319"/>
      <c r="BV967" s="319"/>
      <c r="BW967" s="319"/>
      <c r="BX967" s="319"/>
      <c r="BY967" s="319"/>
      <c r="BZ967" s="319"/>
      <c r="CA967" s="319"/>
      <c r="CB967" s="319"/>
      <c r="CC967" s="319"/>
      <c r="CD967" s="319"/>
      <c r="CE967" s="319"/>
      <c r="CF967" s="319"/>
    </row>
    <row r="968" spans="1:84" ht="12.75" hidden="1" customHeight="1">
      <c r="A968" s="12"/>
      <c r="B968" s="1"/>
      <c r="C968" s="1"/>
      <c r="D968" s="1"/>
      <c r="E968" s="1"/>
      <c r="F968" s="1"/>
      <c r="G968" s="1"/>
      <c r="H968" s="1"/>
      <c r="I968" s="1"/>
      <c r="J968" s="1"/>
      <c r="K968" s="9"/>
      <c r="L968" s="1"/>
      <c r="M968" s="319"/>
      <c r="N968" s="319"/>
      <c r="O968" s="319"/>
      <c r="P968" s="319"/>
      <c r="Q968" s="319"/>
      <c r="R968" s="319"/>
      <c r="S968" s="319"/>
      <c r="T968" s="319"/>
      <c r="U968" s="319"/>
      <c r="V968" s="319"/>
      <c r="W968" s="319"/>
      <c r="X968" s="319"/>
      <c r="Y968" s="319"/>
      <c r="Z968" s="319"/>
      <c r="AA968" s="319"/>
      <c r="AB968" s="319"/>
      <c r="AC968" s="319"/>
      <c r="AD968" s="319"/>
      <c r="AE968" s="319"/>
      <c r="AF968" s="319"/>
      <c r="AG968" s="319"/>
      <c r="AH968" s="319"/>
      <c r="AI968" s="319"/>
      <c r="AJ968" s="319"/>
      <c r="AK968" s="319"/>
      <c r="AL968" s="319"/>
      <c r="AM968" s="319"/>
      <c r="AN968" s="319"/>
      <c r="AO968" s="319">
        <v>5110000</v>
      </c>
      <c r="AP968" s="319"/>
      <c r="AQ968" s="319"/>
      <c r="AR968" s="319"/>
      <c r="AS968" s="319"/>
      <c r="AT968" s="319"/>
      <c r="AU968" s="319"/>
      <c r="AV968" s="319"/>
      <c r="AW968" s="319"/>
      <c r="AX968" s="319"/>
      <c r="AY968" s="319"/>
      <c r="AZ968" s="319"/>
      <c r="BA968" s="319"/>
      <c r="BB968" s="319"/>
      <c r="BC968" s="319"/>
      <c r="BD968" s="319"/>
      <c r="BE968" s="319"/>
      <c r="BF968" s="319"/>
      <c r="BG968" s="319"/>
      <c r="BH968" s="319"/>
      <c r="BI968" s="319"/>
      <c r="BJ968" s="319"/>
      <c r="BK968" s="319"/>
      <c r="BL968" s="319"/>
      <c r="BM968" s="319"/>
      <c r="BN968" s="319"/>
      <c r="BO968" s="319"/>
      <c r="BP968" s="319"/>
      <c r="BQ968" s="319"/>
      <c r="BR968" s="319"/>
      <c r="BS968" s="319"/>
      <c r="BT968" s="319"/>
      <c r="BU968" s="319"/>
      <c r="BV968" s="319"/>
      <c r="BW968" s="319"/>
      <c r="BX968" s="319"/>
      <c r="BY968" s="319"/>
      <c r="BZ968" s="319"/>
      <c r="CA968" s="319"/>
      <c r="CB968" s="319"/>
      <c r="CC968" s="319"/>
      <c r="CD968" s="319"/>
      <c r="CE968" s="319"/>
      <c r="CF968" s="319"/>
    </row>
    <row r="969" spans="1:84" ht="38.25" hidden="1" customHeight="1">
      <c r="A969" s="12"/>
      <c r="B969" s="905" t="str">
        <f>Language!C590</f>
        <v>Sistema elétrico de referência ( Baseline)</v>
      </c>
      <c r="C969" s="1"/>
      <c r="D969" s="82" t="str">
        <f>Language!C597</f>
        <v>Fator de
Emissão de GEE
(excl. T&amp;D)</v>
      </c>
      <c r="E969" s="82" t="str">
        <f>Language!C595</f>
        <v>Perdas
T&amp;D</v>
      </c>
      <c r="F969" s="82" t="str">
        <f>Language!C596</f>
        <v>Fator de emissão
de GEE</v>
      </c>
      <c r="G969" s="1"/>
      <c r="H969" s="1"/>
      <c r="I969" s="1"/>
      <c r="J969" s="1"/>
      <c r="K969" s="9"/>
      <c r="L969" s="1"/>
      <c r="M969" s="319">
        <f>IF(ISERROR('Análise de Emissões'!Q63+G1179),0,(IF(ABS('Análise de Emissões'!Q63+G1179)&lt;&gt;0,100,0)))</f>
        <v>100</v>
      </c>
      <c r="N969" s="319"/>
      <c r="O969" s="319"/>
      <c r="P969" s="319"/>
      <c r="Q969" s="319"/>
      <c r="R969" s="319"/>
      <c r="S969" s="319"/>
      <c r="T969" s="319"/>
      <c r="U969" s="319"/>
      <c r="V969" s="319"/>
      <c r="W969" s="319"/>
      <c r="X969" s="319"/>
      <c r="Y969" s="319"/>
      <c r="Z969" s="319"/>
      <c r="AA969" s="319"/>
      <c r="AB969" s="319"/>
      <c r="AC969" s="319"/>
      <c r="AD969" s="319"/>
      <c r="AE969" s="319"/>
      <c r="AF969" s="319"/>
      <c r="AG969" s="319"/>
      <c r="AH969" s="319"/>
      <c r="AI969" s="319"/>
      <c r="AJ969" s="319"/>
      <c r="AK969" s="319"/>
      <c r="AL969" s="319"/>
      <c r="AM969" s="319"/>
      <c r="AN969" s="319"/>
      <c r="AO969" s="319">
        <v>5111000</v>
      </c>
      <c r="AP969" s="319"/>
      <c r="AQ969" s="319"/>
      <c r="AR969" s="319"/>
      <c r="AS969" s="319"/>
      <c r="AT969" s="319"/>
      <c r="AU969" s="319"/>
      <c r="AV969" s="319"/>
      <c r="AW969" s="319"/>
      <c r="AX969" s="319"/>
      <c r="AY969" s="319"/>
      <c r="AZ969" s="319"/>
      <c r="BA969" s="319"/>
      <c r="BB969" s="319"/>
      <c r="BC969" s="319"/>
      <c r="BD969" s="319"/>
      <c r="BE969" s="319"/>
      <c r="BF969" s="319"/>
      <c r="BG969" s="319"/>
      <c r="BH969" s="319"/>
      <c r="BI969" s="319"/>
      <c r="BJ969" s="319"/>
      <c r="BK969" s="319"/>
      <c r="BL969" s="319"/>
      <c r="BM969" s="319"/>
      <c r="BN969" s="319"/>
      <c r="BO969" s="319"/>
      <c r="BP969" s="319"/>
      <c r="BQ969" s="319"/>
      <c r="BR969" s="319"/>
      <c r="BS969" s="319"/>
      <c r="BT969" s="319"/>
      <c r="BU969" s="319"/>
      <c r="BV969" s="319"/>
      <c r="BW969" s="319"/>
      <c r="BX969" s="319"/>
      <c r="BY969" s="319"/>
      <c r="BZ969" s="319"/>
      <c r="CA969" s="319"/>
      <c r="CB969" s="319"/>
      <c r="CC969" s="319"/>
      <c r="CD969" s="319"/>
      <c r="CE969" s="319"/>
      <c r="CF969" s="319"/>
    </row>
    <row r="970" spans="1:84" ht="12.75" hidden="1" customHeight="1">
      <c r="A970" s="12"/>
      <c r="B970" s="28" t="str">
        <f>Language!C631</f>
        <v>País - região</v>
      </c>
      <c r="C970" s="82" t="str">
        <f>B8</f>
        <v>Tipo de Combustível</v>
      </c>
      <c r="D970" s="936" t="s">
        <v>4285</v>
      </c>
      <c r="E970" s="45" t="str">
        <f>T35</f>
        <v>%</v>
      </c>
      <c r="F970" s="936" t="s">
        <v>4285</v>
      </c>
      <c r="G970" s="1"/>
      <c r="H970" s="1"/>
      <c r="I970" s="1"/>
      <c r="J970" s="1"/>
      <c r="K970" s="9"/>
      <c r="L970" s="1"/>
      <c r="M970" s="319"/>
      <c r="N970" s="319"/>
      <c r="O970" s="319"/>
      <c r="P970" s="319"/>
      <c r="Q970" s="319"/>
      <c r="R970" s="319"/>
      <c r="S970" s="319"/>
      <c r="T970" s="319"/>
      <c r="U970" s="319"/>
      <c r="V970" s="319"/>
      <c r="W970" s="319"/>
      <c r="X970" s="319"/>
      <c r="Y970" s="319"/>
      <c r="Z970" s="319"/>
      <c r="AA970" s="319"/>
      <c r="AB970" s="319"/>
      <c r="AC970" s="319"/>
      <c r="AD970" s="319"/>
      <c r="AE970" s="319"/>
      <c r="AF970" s="319"/>
      <c r="AG970" s="319"/>
      <c r="AH970" s="319"/>
      <c r="AI970" s="319"/>
      <c r="AJ970" s="319"/>
      <c r="AK970" s="319"/>
      <c r="AL970" s="319"/>
      <c r="AM970" s="319"/>
      <c r="AN970" s="319"/>
      <c r="AO970" s="319">
        <v>5111000</v>
      </c>
      <c r="AP970" s="319"/>
      <c r="AQ970" s="319"/>
      <c r="AR970" s="319"/>
      <c r="AS970" s="319"/>
      <c r="AT970" s="319"/>
      <c r="AU970" s="319"/>
      <c r="AV970" s="319"/>
      <c r="AW970" s="319"/>
      <c r="AX970" s="319"/>
      <c r="AY970" s="319"/>
      <c r="AZ970" s="319"/>
      <c r="BA970" s="319"/>
      <c r="BB970" s="319"/>
      <c r="BC970" s="319"/>
      <c r="BD970" s="319"/>
      <c r="BE970" s="319"/>
      <c r="BF970" s="319"/>
      <c r="BG970" s="319"/>
      <c r="BH970" s="319"/>
      <c r="BI970" s="319"/>
      <c r="BJ970" s="319"/>
      <c r="BK970" s="319"/>
      <c r="BL970" s="319"/>
      <c r="BM970" s="319"/>
      <c r="BN970" s="319"/>
      <c r="BO970" s="319"/>
      <c r="BP970" s="319"/>
      <c r="BQ970" s="319"/>
      <c r="BR970" s="319"/>
      <c r="BS970" s="319"/>
      <c r="BT970" s="319"/>
      <c r="BU970" s="319"/>
      <c r="BV970" s="319"/>
      <c r="BW970" s="319"/>
      <c r="BX970" s="319"/>
      <c r="BY970" s="319"/>
      <c r="BZ970" s="319"/>
      <c r="CA970" s="319"/>
      <c r="CB970" s="319"/>
      <c r="CC970" s="319"/>
      <c r="CD970" s="319"/>
      <c r="CE970" s="319"/>
      <c r="CF970" s="319"/>
    </row>
    <row r="971" spans="1:84" ht="12.75" hidden="1" customHeight="1">
      <c r="A971" s="12"/>
      <c r="B971" s="299" t="s">
        <v>5312</v>
      </c>
      <c r="C971" s="419" t="s">
        <v>6609</v>
      </c>
      <c r="D971" s="399"/>
      <c r="E971" s="422"/>
      <c r="F971" s="124">
        <f>D971*(1/(1-E971))</f>
        <v>0</v>
      </c>
      <c r="G971" s="1"/>
      <c r="H971" s="1"/>
      <c r="I971" s="1"/>
      <c r="J971" s="1"/>
      <c r="K971" s="9"/>
      <c r="L971" s="1"/>
      <c r="M971" s="319"/>
      <c r="N971" s="319"/>
      <c r="O971" s="319"/>
      <c r="P971" s="319">
        <f>IF(C971="",1,MATCH(C971,GHG_Etype,0))</f>
        <v>1</v>
      </c>
      <c r="Q971" s="319"/>
      <c r="R971" s="319"/>
      <c r="S971" s="319"/>
      <c r="T971" s="319"/>
      <c r="U971" s="319"/>
      <c r="V971" s="319"/>
      <c r="W971" s="319"/>
      <c r="X971" s="319"/>
      <c r="Y971" s="319"/>
      <c r="Z971" s="319"/>
      <c r="AA971" s="319"/>
      <c r="AB971" s="319"/>
      <c r="AC971" s="319"/>
      <c r="AD971" s="319"/>
      <c r="AE971" s="319"/>
      <c r="AF971" s="319"/>
      <c r="AG971" s="319"/>
      <c r="AH971" s="319"/>
      <c r="AI971" s="319"/>
      <c r="AJ971" s="319"/>
      <c r="AK971" s="319"/>
      <c r="AL971" s="319"/>
      <c r="AM971" s="319"/>
      <c r="AN971" s="319"/>
      <c r="AO971" s="319">
        <v>5111000</v>
      </c>
      <c r="AP971" s="319"/>
      <c r="AQ971" s="319"/>
      <c r="AR971" s="319"/>
      <c r="AS971" s="319"/>
      <c r="AT971" s="319"/>
      <c r="AU971" s="319"/>
      <c r="AV971" s="319"/>
      <c r="AW971" s="319"/>
      <c r="AX971" s="319"/>
      <c r="AY971" s="319"/>
      <c r="AZ971" s="319"/>
      <c r="BA971" s="319"/>
      <c r="BB971" s="319"/>
      <c r="BC971" s="319"/>
      <c r="BD971" s="319"/>
      <c r="BE971" s="319"/>
      <c r="BF971" s="319"/>
      <c r="BG971" s="319"/>
      <c r="BH971" s="319"/>
      <c r="BI971" s="319"/>
      <c r="BJ971" s="319"/>
      <c r="BK971" s="319"/>
      <c r="BL971" s="319"/>
      <c r="BM971" s="319"/>
      <c r="BN971" s="319"/>
      <c r="BO971" s="319"/>
      <c r="BP971" s="319"/>
      <c r="BQ971" s="319"/>
      <c r="BR971" s="319"/>
      <c r="BS971" s="319"/>
      <c r="BT971" s="319"/>
      <c r="BU971" s="319"/>
      <c r="BV971" s="319"/>
      <c r="BW971" s="319"/>
      <c r="BX971" s="319"/>
      <c r="BY971" s="319"/>
      <c r="BZ971" s="319"/>
      <c r="CA971" s="319"/>
      <c r="CB971" s="319"/>
      <c r="CC971" s="319"/>
      <c r="CD971" s="319"/>
      <c r="CE971" s="319"/>
      <c r="CF971" s="319"/>
    </row>
    <row r="972" spans="1:84" ht="12.75" hidden="1" customHeight="1">
      <c r="A972" s="12"/>
      <c r="B972" s="1"/>
      <c r="C972" s="1"/>
      <c r="D972" s="1"/>
      <c r="E972" s="1"/>
      <c r="F972" s="1"/>
      <c r="G972" s="1"/>
      <c r="H972" s="1"/>
      <c r="I972" s="1"/>
      <c r="J972" s="1"/>
      <c r="K972" s="9"/>
      <c r="L972" s="1"/>
      <c r="M972" s="319"/>
      <c r="N972" s="319"/>
      <c r="O972" s="319"/>
      <c r="P972" s="319"/>
      <c r="Q972" s="319"/>
      <c r="R972" s="319"/>
      <c r="S972" s="319"/>
      <c r="T972" s="319"/>
      <c r="U972" s="319"/>
      <c r="V972" s="319"/>
      <c r="W972" s="319"/>
      <c r="X972" s="319"/>
      <c r="Y972" s="319"/>
      <c r="Z972" s="319"/>
      <c r="AA972" s="319"/>
      <c r="AB972" s="319"/>
      <c r="AC972" s="319"/>
      <c r="AD972" s="319"/>
      <c r="AE972" s="319"/>
      <c r="AF972" s="319"/>
      <c r="AG972" s="319"/>
      <c r="AH972" s="319"/>
      <c r="AI972" s="319"/>
      <c r="AJ972" s="319"/>
      <c r="AK972" s="319"/>
      <c r="AL972" s="319"/>
      <c r="AM972" s="319"/>
      <c r="AN972" s="319"/>
      <c r="AO972" s="319">
        <v>5110000</v>
      </c>
      <c r="AP972" s="319"/>
      <c r="AQ972" s="319"/>
      <c r="AR972" s="319"/>
      <c r="AS972" s="319"/>
      <c r="AT972" s="319"/>
      <c r="AU972" s="319"/>
      <c r="AV972" s="319"/>
      <c r="AW972" s="319"/>
      <c r="AX972" s="319"/>
      <c r="AY972" s="319"/>
      <c r="AZ972" s="319"/>
      <c r="BA972" s="319"/>
      <c r="BB972" s="319"/>
      <c r="BC972" s="319"/>
      <c r="BD972" s="319"/>
      <c r="BE972" s="319"/>
      <c r="BF972" s="319"/>
      <c r="BG972" s="319"/>
      <c r="BH972" s="319"/>
      <c r="BI972" s="319"/>
      <c r="BJ972" s="319"/>
      <c r="BK972" s="319"/>
      <c r="BL972" s="319"/>
      <c r="BM972" s="319"/>
      <c r="BN972" s="319"/>
      <c r="BO972" s="319"/>
      <c r="BP972" s="319"/>
      <c r="BQ972" s="319"/>
      <c r="BR972" s="319"/>
      <c r="BS972" s="319"/>
      <c r="BT972" s="319"/>
      <c r="BU972" s="319"/>
      <c r="BV972" s="319"/>
      <c r="BW972" s="319"/>
      <c r="BX972" s="319"/>
      <c r="BY972" s="319"/>
      <c r="BZ972" s="319"/>
      <c r="CA972" s="319"/>
      <c r="CB972" s="319"/>
      <c r="CC972" s="319"/>
      <c r="CD972" s="319"/>
      <c r="CE972" s="319"/>
      <c r="CF972" s="319"/>
    </row>
    <row r="973" spans="1:84" ht="12.75" hidden="1" customHeight="1">
      <c r="A973" s="12"/>
      <c r="B973" s="1" t="str">
        <f>B872</f>
        <v>Eletricidade exportada p/ rede</v>
      </c>
      <c r="C973" s="29" t="str">
        <f>R14</f>
        <v>MWh</v>
      </c>
      <c r="D973" s="30">
        <f>J1107+J1108</f>
        <v>5.3903325633948667</v>
      </c>
      <c r="E973" s="143" t="str">
        <f>Language!C611</f>
        <v>Perdas T&amp;D</v>
      </c>
      <c r="F973" s="422"/>
      <c r="G973" s="1"/>
      <c r="H973" s="1"/>
      <c r="I973" s="1"/>
      <c r="J973" s="1"/>
      <c r="K973" s="9"/>
      <c r="L973" s="1"/>
      <c r="M973" s="319"/>
      <c r="N973" s="319"/>
      <c r="O973" s="319"/>
      <c r="P973" s="319"/>
      <c r="Q973" s="319"/>
      <c r="R973" s="319"/>
      <c r="S973" s="319"/>
      <c r="T973" s="319"/>
      <c r="U973" s="319"/>
      <c r="V973" s="319"/>
      <c r="W973" s="319"/>
      <c r="X973" s="319"/>
      <c r="Y973" s="319"/>
      <c r="Z973" s="319"/>
      <c r="AA973" s="319"/>
      <c r="AB973" s="319"/>
      <c r="AC973" s="319"/>
      <c r="AD973" s="319"/>
      <c r="AE973" s="319"/>
      <c r="AF973" s="319"/>
      <c r="AG973" s="319"/>
      <c r="AH973" s="319"/>
      <c r="AI973" s="319"/>
      <c r="AJ973" s="319"/>
      <c r="AK973" s="319"/>
      <c r="AL973" s="319"/>
      <c r="AM973" s="319"/>
      <c r="AN973" s="319"/>
      <c r="AO973" s="319">
        <v>5111012</v>
      </c>
      <c r="AP973" s="319"/>
      <c r="AQ973" s="319"/>
      <c r="AR973" s="319"/>
      <c r="AS973" s="319"/>
      <c r="AT973" s="319"/>
      <c r="AU973" s="319"/>
      <c r="AV973" s="319"/>
      <c r="AW973" s="319"/>
      <c r="AX973" s="319"/>
      <c r="AY973" s="319"/>
      <c r="AZ973" s="319"/>
      <c r="BA973" s="319"/>
      <c r="BB973" s="319"/>
      <c r="BC973" s="319"/>
      <c r="BD973" s="319"/>
      <c r="BE973" s="319"/>
      <c r="BF973" s="319"/>
      <c r="BG973" s="319"/>
      <c r="BH973" s="319"/>
      <c r="BI973" s="319"/>
      <c r="BJ973" s="319"/>
      <c r="BK973" s="319"/>
      <c r="BL973" s="319"/>
      <c r="BM973" s="319"/>
      <c r="BN973" s="319"/>
      <c r="BO973" s="319"/>
      <c r="BP973" s="319"/>
      <c r="BQ973" s="319"/>
      <c r="BR973" s="319"/>
      <c r="BS973" s="319"/>
      <c r="BT973" s="319"/>
      <c r="BU973" s="319"/>
      <c r="BV973" s="319"/>
      <c r="BW973" s="319"/>
      <c r="BX973" s="319"/>
      <c r="BY973" s="319"/>
      <c r="BZ973" s="319"/>
      <c r="CA973" s="319"/>
      <c r="CB973" s="319"/>
      <c r="CC973" s="319"/>
      <c r="CD973" s="319"/>
      <c r="CE973" s="319"/>
      <c r="CF973" s="319"/>
    </row>
    <row r="974" spans="1:84" ht="12.75" hidden="1" customHeight="1">
      <c r="A974" s="12"/>
      <c r="B974" s="1"/>
      <c r="C974" s="1"/>
      <c r="D974" s="1"/>
      <c r="E974" s="1"/>
      <c r="F974" s="1"/>
      <c r="G974" s="1"/>
      <c r="H974" s="1"/>
      <c r="I974" s="1"/>
      <c r="J974" s="1"/>
      <c r="K974" s="9"/>
      <c r="L974" s="1"/>
      <c r="M974" s="319"/>
      <c r="N974" s="319"/>
      <c r="O974" s="319"/>
      <c r="P974" s="319"/>
      <c r="Q974" s="319"/>
      <c r="R974" s="319"/>
      <c r="S974" s="319"/>
      <c r="T974" s="319"/>
      <c r="U974" s="319"/>
      <c r="V974" s="319"/>
      <c r="W974" s="319"/>
      <c r="X974" s="319"/>
      <c r="Y974" s="319"/>
      <c r="Z974" s="319"/>
      <c r="AA974" s="319"/>
      <c r="AB974" s="319"/>
      <c r="AC974" s="319"/>
      <c r="AD974" s="319"/>
      <c r="AE974" s="319"/>
      <c r="AF974" s="319"/>
      <c r="AG974" s="319"/>
      <c r="AH974" s="319"/>
      <c r="AI974" s="319"/>
      <c r="AJ974" s="319"/>
      <c r="AK974" s="319"/>
      <c r="AL974" s="319"/>
      <c r="AM974" s="319"/>
      <c r="AN974" s="319"/>
      <c r="AO974" s="319">
        <v>5110000</v>
      </c>
      <c r="AP974" s="319"/>
      <c r="AQ974" s="319"/>
      <c r="AR974" s="319"/>
      <c r="AS974" s="319"/>
      <c r="AT974" s="319"/>
      <c r="AU974" s="319"/>
      <c r="AV974" s="319"/>
      <c r="AW974" s="319"/>
      <c r="AX974" s="319"/>
      <c r="AY974" s="319"/>
      <c r="AZ974" s="319"/>
      <c r="BA974" s="319"/>
      <c r="BB974" s="319"/>
      <c r="BC974" s="319"/>
      <c r="BD974" s="319"/>
      <c r="BE974" s="319"/>
      <c r="BF974" s="319"/>
      <c r="BG974" s="319"/>
      <c r="BH974" s="319"/>
      <c r="BI974" s="319"/>
      <c r="BJ974" s="319"/>
      <c r="BK974" s="319"/>
      <c r="BL974" s="319"/>
      <c r="BM974" s="319"/>
      <c r="BN974" s="319"/>
      <c r="BO974" s="319"/>
      <c r="BP974" s="319"/>
      <c r="BQ974" s="319"/>
      <c r="BR974" s="319"/>
      <c r="BS974" s="319"/>
      <c r="BT974" s="319"/>
      <c r="BU974" s="319"/>
      <c r="BV974" s="319"/>
      <c r="BW974" s="319"/>
      <c r="BX974" s="319"/>
      <c r="BY974" s="319"/>
      <c r="BZ974" s="319"/>
      <c r="CA974" s="319"/>
      <c r="CB974" s="319"/>
      <c r="CC974" s="319"/>
      <c r="CD974" s="319"/>
      <c r="CE974" s="319"/>
      <c r="CF974" s="319"/>
    </row>
    <row r="975" spans="1:84" ht="12.75" hidden="1" customHeight="1">
      <c r="A975" s="12"/>
      <c r="B975" s="28" t="str">
        <f>Language!C599</f>
        <v>Emissão de GEE</v>
      </c>
      <c r="C975" s="1"/>
      <c r="D975" s="1"/>
      <c r="E975" s="1"/>
      <c r="F975" s="1"/>
      <c r="G975" s="1"/>
      <c r="H975" s="1"/>
      <c r="I975" s="1"/>
      <c r="J975" s="1"/>
      <c r="K975" s="9"/>
      <c r="L975" s="1"/>
      <c r="M975" s="319"/>
      <c r="N975" s="319"/>
      <c r="O975" s="319"/>
      <c r="P975" s="319"/>
      <c r="Q975" s="319"/>
      <c r="R975" s="319"/>
      <c r="S975" s="319"/>
      <c r="T975" s="319"/>
      <c r="U975" s="319"/>
      <c r="V975" s="319"/>
      <c r="W975" s="319"/>
      <c r="X975" s="319"/>
      <c r="Y975" s="319"/>
      <c r="Z975" s="319"/>
      <c r="AA975" s="319"/>
      <c r="AB975" s="319"/>
      <c r="AC975" s="319"/>
      <c r="AD975" s="319"/>
      <c r="AE975" s="319"/>
      <c r="AF975" s="319"/>
      <c r="AG975" s="319"/>
      <c r="AH975" s="319"/>
      <c r="AI975" s="319"/>
      <c r="AJ975" s="319"/>
      <c r="AK975" s="319"/>
      <c r="AL975" s="319"/>
      <c r="AM975" s="319"/>
      <c r="AN975" s="319"/>
      <c r="AO975" s="319">
        <v>5112000</v>
      </c>
      <c r="AP975" s="319"/>
      <c r="AQ975" s="319"/>
      <c r="AR975" s="319"/>
      <c r="AS975" s="319"/>
      <c r="AT975" s="319"/>
      <c r="AU975" s="319"/>
      <c r="AV975" s="319"/>
      <c r="AW975" s="319"/>
      <c r="AX975" s="319"/>
      <c r="AY975" s="319"/>
      <c r="AZ975" s="319"/>
      <c r="BA975" s="319"/>
      <c r="BB975" s="319"/>
      <c r="BC975" s="319"/>
      <c r="BD975" s="319"/>
      <c r="BE975" s="319"/>
      <c r="BF975" s="319"/>
      <c r="BG975" s="319"/>
      <c r="BH975" s="319"/>
      <c r="BI975" s="319"/>
      <c r="BJ975" s="319"/>
      <c r="BK975" s="319"/>
      <c r="BL975" s="319"/>
      <c r="BM975" s="319"/>
      <c r="BN975" s="319"/>
      <c r="BO975" s="319"/>
      <c r="BP975" s="319"/>
      <c r="BQ975" s="319"/>
      <c r="BR975" s="319"/>
      <c r="BS975" s="319"/>
      <c r="BT975" s="319"/>
      <c r="BU975" s="319"/>
      <c r="BV975" s="319"/>
      <c r="BW975" s="319"/>
      <c r="BX975" s="319"/>
      <c r="BY975" s="319"/>
      <c r="BZ975" s="319"/>
      <c r="CA975" s="319"/>
      <c r="CB975" s="319"/>
      <c r="CC975" s="319"/>
      <c r="CD975" s="319"/>
      <c r="CE975" s="319"/>
      <c r="CF975" s="319"/>
    </row>
    <row r="976" spans="1:84" ht="12.75" hidden="1" customHeight="1">
      <c r="A976" s="12"/>
      <c r="B976" s="5" t="str">
        <f>Language!C1498</f>
        <v>Caso de referência</v>
      </c>
      <c r="C976" s="85" t="str">
        <f>Language!C1409</f>
        <v>tCO2</v>
      </c>
      <c r="D976" s="244">
        <f>'Análise de Emissões'!E189</f>
        <v>2.4308661043954918</v>
      </c>
      <c r="E976" s="1"/>
      <c r="F976" s="1"/>
      <c r="G976" s="1"/>
      <c r="H976" s="1"/>
      <c r="I976" s="1"/>
      <c r="J976" s="1"/>
      <c r="K976" s="9"/>
      <c r="L976" s="1"/>
      <c r="M976" s="319"/>
      <c r="N976" s="319"/>
      <c r="O976" s="319"/>
      <c r="P976" s="319"/>
      <c r="Q976" s="319"/>
      <c r="R976" s="319"/>
      <c r="S976" s="319"/>
      <c r="T976" s="319"/>
      <c r="U976" s="319"/>
      <c r="V976" s="319"/>
      <c r="W976" s="319"/>
      <c r="X976" s="319"/>
      <c r="Y976" s="319"/>
      <c r="Z976" s="319"/>
      <c r="AA976" s="319"/>
      <c r="AB976" s="319"/>
      <c r="AC976" s="319"/>
      <c r="AD976" s="319"/>
      <c r="AE976" s="319"/>
      <c r="AF976" s="319"/>
      <c r="AG976" s="319"/>
      <c r="AH976" s="319"/>
      <c r="AI976" s="319"/>
      <c r="AJ976" s="319"/>
      <c r="AK976" s="319"/>
      <c r="AL976" s="319"/>
      <c r="AM976" s="319"/>
      <c r="AN976" s="319"/>
      <c r="AO976" s="319">
        <v>5112002</v>
      </c>
      <c r="AP976" s="319"/>
      <c r="AQ976" s="319"/>
      <c r="AR976" s="319"/>
      <c r="AS976" s="319"/>
      <c r="AT976" s="319"/>
      <c r="AU976" s="319"/>
      <c r="AV976" s="319"/>
      <c r="AW976" s="319"/>
      <c r="AX976" s="319"/>
      <c r="AY976" s="319"/>
      <c r="AZ976" s="319"/>
      <c r="BA976" s="319"/>
      <c r="BB976" s="319"/>
      <c r="BC976" s="319"/>
      <c r="BD976" s="319"/>
      <c r="BE976" s="319"/>
      <c r="BF976" s="319"/>
      <c r="BG976" s="319"/>
      <c r="BH976" s="319"/>
      <c r="BI976" s="319"/>
      <c r="BJ976" s="319"/>
      <c r="BK976" s="319"/>
      <c r="BL976" s="319"/>
      <c r="BM976" s="319"/>
      <c r="BN976" s="319"/>
      <c r="BO976" s="319"/>
      <c r="BP976" s="319"/>
      <c r="BQ976" s="319"/>
      <c r="BR976" s="319"/>
      <c r="BS976" s="319"/>
      <c r="BT976" s="319"/>
      <c r="BU976" s="319"/>
      <c r="BV976" s="319"/>
      <c r="BW976" s="319"/>
      <c r="BX976" s="319"/>
      <c r="BY976" s="319"/>
      <c r="BZ976" s="319"/>
      <c r="CA976" s="319"/>
      <c r="CB976" s="319"/>
      <c r="CC976" s="319"/>
      <c r="CD976" s="319"/>
      <c r="CE976" s="319"/>
      <c r="CF976" s="319"/>
    </row>
    <row r="977" spans="1:84" ht="12.75" hidden="1" customHeight="1">
      <c r="A977" s="12"/>
      <c r="B977" s="15" t="str">
        <f>Language!C1916</f>
        <v>Caso proposto</v>
      </c>
      <c r="C977" s="33" t="str">
        <f>C976</f>
        <v>tCO2</v>
      </c>
      <c r="D977" s="245">
        <f>'Análise de Emissões'!F189</f>
        <v>0</v>
      </c>
      <c r="E977" s="1"/>
      <c r="F977" s="1"/>
      <c r="G977" s="1"/>
      <c r="H977" s="1"/>
      <c r="I977" s="1"/>
      <c r="J977" s="1"/>
      <c r="K977" s="9"/>
      <c r="L977" s="1"/>
      <c r="M977" s="319"/>
      <c r="N977" s="319"/>
      <c r="O977" s="319"/>
      <c r="P977" s="319"/>
      <c r="Q977" s="319"/>
      <c r="R977" s="319"/>
      <c r="S977" s="319"/>
      <c r="T977" s="319"/>
      <c r="U977" s="319"/>
      <c r="V977" s="319"/>
      <c r="W977" s="319"/>
      <c r="X977" s="319"/>
      <c r="Y977" s="319"/>
      <c r="Z977" s="319"/>
      <c r="AA977" s="319"/>
      <c r="AB977" s="319"/>
      <c r="AC977" s="319"/>
      <c r="AD977" s="319"/>
      <c r="AE977" s="319"/>
      <c r="AF977" s="319"/>
      <c r="AG977" s="319"/>
      <c r="AH977" s="319"/>
      <c r="AI977" s="319"/>
      <c r="AJ977" s="319"/>
      <c r="AK977" s="319"/>
      <c r="AL977" s="319"/>
      <c r="AM977" s="319"/>
      <c r="AN977" s="319"/>
      <c r="AO977" s="319">
        <v>5112004</v>
      </c>
      <c r="AP977" s="319"/>
      <c r="AQ977" s="319"/>
      <c r="AR977" s="319"/>
      <c r="AS977" s="319"/>
      <c r="AT977" s="319"/>
      <c r="AU977" s="319"/>
      <c r="AV977" s="319"/>
      <c r="AW977" s="319"/>
      <c r="AX977" s="319"/>
      <c r="AY977" s="319"/>
      <c r="AZ977" s="319"/>
      <c r="BA977" s="319"/>
      <c r="BB977" s="319"/>
      <c r="BC977" s="319"/>
      <c r="BD977" s="319"/>
      <c r="BE977" s="319"/>
      <c r="BF977" s="319"/>
      <c r="BG977" s="319"/>
      <c r="BH977" s="319"/>
      <c r="BI977" s="319"/>
      <c r="BJ977" s="319"/>
      <c r="BK977" s="319"/>
      <c r="BL977" s="319"/>
      <c r="BM977" s="319"/>
      <c r="BN977" s="319"/>
      <c r="BO977" s="319"/>
      <c r="BP977" s="319"/>
      <c r="BQ977" s="319"/>
      <c r="BR977" s="319"/>
      <c r="BS977" s="319"/>
      <c r="BT977" s="319"/>
      <c r="BU977" s="319"/>
      <c r="BV977" s="319"/>
      <c r="BW977" s="319"/>
      <c r="BX977" s="319"/>
      <c r="BY977" s="319"/>
      <c r="BZ977" s="319"/>
      <c r="CA977" s="319"/>
      <c r="CB977" s="319"/>
      <c r="CC977" s="319"/>
      <c r="CD977" s="319"/>
      <c r="CE977" s="319"/>
      <c r="CF977" s="319"/>
    </row>
    <row r="978" spans="1:84" ht="12.75" hidden="1" customHeight="1">
      <c r="A978" s="12"/>
      <c r="B978" s="28" t="str">
        <f>Language!C2608</f>
        <v>Redução anual bruta de emissões de GEE</v>
      </c>
      <c r="C978" s="29" t="str">
        <f>C976</f>
        <v>tCO2</v>
      </c>
      <c r="D978" s="140">
        <f>D976-D977</f>
        <v>2.4308661043954918</v>
      </c>
      <c r="E978" s="1"/>
      <c r="F978" s="1"/>
      <c r="G978" s="1"/>
      <c r="H978" s="1"/>
      <c r="I978" s="1"/>
      <c r="J978" s="1"/>
      <c r="K978" s="9"/>
      <c r="L978" s="1"/>
      <c r="M978" s="319"/>
      <c r="N978" s="319"/>
      <c r="O978" s="319"/>
      <c r="P978" s="319"/>
      <c r="Q978" s="319"/>
      <c r="R978" s="319"/>
      <c r="S978" s="319"/>
      <c r="T978" s="319"/>
      <c r="U978" s="319"/>
      <c r="V978" s="319"/>
      <c r="W978" s="319"/>
      <c r="X978" s="319"/>
      <c r="Y978" s="319"/>
      <c r="Z978" s="319"/>
      <c r="AA978" s="319"/>
      <c r="AB978" s="319"/>
      <c r="AC978" s="319"/>
      <c r="AD978" s="319"/>
      <c r="AE978" s="319"/>
      <c r="AF978" s="319"/>
      <c r="AG978" s="319"/>
      <c r="AH978" s="319"/>
      <c r="AI978" s="319"/>
      <c r="AJ978" s="319"/>
      <c r="AK978" s="319"/>
      <c r="AL978" s="319"/>
      <c r="AM978" s="319"/>
      <c r="AN978" s="319"/>
      <c r="AO978" s="319">
        <v>96008</v>
      </c>
      <c r="AP978" s="319"/>
      <c r="AQ978" s="319"/>
      <c r="AR978" s="319"/>
      <c r="AS978" s="319"/>
      <c r="AT978" s="319"/>
      <c r="AU978" s="319"/>
      <c r="AV978" s="319"/>
      <c r="AW978" s="319"/>
      <c r="AX978" s="319"/>
      <c r="AY978" s="319"/>
      <c r="AZ978" s="319"/>
      <c r="BA978" s="319"/>
      <c r="BB978" s="319"/>
      <c r="BC978" s="319"/>
      <c r="BD978" s="319"/>
      <c r="BE978" s="319"/>
      <c r="BF978" s="319"/>
      <c r="BG978" s="319"/>
      <c r="BH978" s="319"/>
      <c r="BI978" s="319"/>
      <c r="BJ978" s="319"/>
      <c r="BK978" s="319"/>
      <c r="BL978" s="319"/>
      <c r="BM978" s="319"/>
      <c r="BN978" s="319"/>
      <c r="BO978" s="319"/>
      <c r="BP978" s="319"/>
      <c r="BQ978" s="319"/>
      <c r="BR978" s="319"/>
      <c r="BS978" s="319"/>
      <c r="BT978" s="319"/>
      <c r="BU978" s="319"/>
      <c r="BV978" s="319"/>
      <c r="BW978" s="319"/>
      <c r="BX978" s="319"/>
      <c r="BY978" s="319"/>
      <c r="BZ978" s="319"/>
      <c r="CA978" s="319"/>
      <c r="CB978" s="319"/>
      <c r="CC978" s="319"/>
      <c r="CD978" s="319"/>
      <c r="CE978" s="319"/>
      <c r="CF978" s="319"/>
    </row>
    <row r="979" spans="1:84" ht="12.75" hidden="1" customHeight="1">
      <c r="A979" s="12"/>
      <c r="B979" s="56" t="str">
        <f>Language!C2609</f>
        <v>Custo de transação dos créditos de GEE</v>
      </c>
      <c r="C979" s="29" t="str">
        <f>T35</f>
        <v>%</v>
      </c>
      <c r="D979" s="422"/>
      <c r="E979" s="1"/>
      <c r="F979" s="1"/>
      <c r="G979" s="1"/>
      <c r="H979" s="1"/>
      <c r="I979" s="1"/>
      <c r="J979" s="1"/>
      <c r="K979" s="9"/>
      <c r="L979" s="1"/>
      <c r="M979" s="319"/>
      <c r="N979" s="319"/>
      <c r="O979" s="319"/>
      <c r="P979" s="319"/>
      <c r="Q979" s="319"/>
      <c r="R979" s="319"/>
      <c r="S979" s="319"/>
      <c r="T979" s="319"/>
      <c r="U979" s="319"/>
      <c r="V979" s="319"/>
      <c r="W979" s="319"/>
      <c r="X979" s="319"/>
      <c r="Y979" s="319"/>
      <c r="Z979" s="319"/>
      <c r="AA979" s="319"/>
      <c r="AB979" s="319"/>
      <c r="AC979" s="319"/>
      <c r="AD979" s="319"/>
      <c r="AE979" s="319"/>
      <c r="AF979" s="319"/>
      <c r="AG979" s="319"/>
      <c r="AH979" s="319"/>
      <c r="AI979" s="319"/>
      <c r="AJ979" s="319"/>
      <c r="AK979" s="319"/>
      <c r="AL979" s="319"/>
      <c r="AM979" s="319"/>
      <c r="AN979" s="319"/>
      <c r="AO979" s="319">
        <v>96010</v>
      </c>
      <c r="AP979" s="319"/>
      <c r="AQ979" s="319"/>
      <c r="AR979" s="319"/>
      <c r="AS979" s="319"/>
      <c r="AT979" s="319"/>
      <c r="AU979" s="319"/>
      <c r="AV979" s="319"/>
      <c r="AW979" s="319"/>
      <c r="AX979" s="319"/>
      <c r="AY979" s="319"/>
      <c r="AZ979" s="319"/>
      <c r="BA979" s="319"/>
      <c r="BB979" s="319"/>
      <c r="BC979" s="319"/>
      <c r="BD979" s="319"/>
      <c r="BE979" s="319"/>
      <c r="BF979" s="319"/>
      <c r="BG979" s="319"/>
      <c r="BH979" s="319"/>
      <c r="BI979" s="319"/>
      <c r="BJ979" s="319"/>
      <c r="BK979" s="319"/>
      <c r="BL979" s="319"/>
      <c r="BM979" s="319"/>
      <c r="BN979" s="319"/>
      <c r="BO979" s="319"/>
      <c r="BP979" s="319"/>
      <c r="BQ979" s="319"/>
      <c r="BR979" s="319"/>
      <c r="BS979" s="319"/>
      <c r="BT979" s="319"/>
      <c r="BU979" s="319"/>
      <c r="BV979" s="319"/>
      <c r="BW979" s="319"/>
      <c r="BX979" s="319"/>
      <c r="BY979" s="319"/>
      <c r="BZ979" s="319"/>
      <c r="CA979" s="319"/>
      <c r="CB979" s="319"/>
      <c r="CC979" s="319"/>
      <c r="CD979" s="319"/>
      <c r="CE979" s="319"/>
      <c r="CF979" s="319"/>
    </row>
    <row r="980" spans="1:84" ht="12.75" hidden="1" customHeight="1">
      <c r="A980" s="12"/>
      <c r="B980" s="28" t="str">
        <f>Language!C619</f>
        <v>Redução anual líquida de emissões de GEE</v>
      </c>
      <c r="C980" s="29" t="str">
        <f>C976</f>
        <v>tCO2</v>
      </c>
      <c r="D980" s="140">
        <f>(D976-D977)*(1-D979)</f>
        <v>2.4308661043954918</v>
      </c>
      <c r="E980" s="29" t="str">
        <f>Language!C839</f>
        <v>é equivalente a</v>
      </c>
      <c r="F980" s="29" t="str">
        <f>FIXED(VLOOKUP(G980,GHG_convT,2,FALSE)/VLOOKUP(C980,GHG_convT,2,FALSE)*D980,IF(VLOOKUP(G980,GHG_convT,2,FALSE)/VLOOKUP(C980,GHG_convT,2,FALSE)*D980&gt;=100,0,1))</f>
        <v>0,4</v>
      </c>
      <c r="G980" s="1243" t="s">
        <v>6805</v>
      </c>
      <c r="H980" s="1244"/>
      <c r="I980" s="1245"/>
      <c r="J980" s="1"/>
      <c r="K980" s="9"/>
      <c r="L980" s="1"/>
      <c r="M980" s="319"/>
      <c r="N980" s="319"/>
      <c r="O980" s="319"/>
      <c r="P980" s="319"/>
      <c r="Q980" s="319"/>
      <c r="R980" s="319"/>
      <c r="S980" s="319"/>
      <c r="T980" s="319"/>
      <c r="U980" s="319"/>
      <c r="V980" s="319"/>
      <c r="W980" s="319"/>
      <c r="X980" s="319"/>
      <c r="Y980" s="319"/>
      <c r="Z980" s="319"/>
      <c r="AA980" s="319"/>
      <c r="AB980" s="319"/>
      <c r="AC980" s="319"/>
      <c r="AD980" s="319"/>
      <c r="AE980" s="319"/>
      <c r="AF980" s="319"/>
      <c r="AG980" s="319"/>
      <c r="AH980" s="319"/>
      <c r="AI980" s="319"/>
      <c r="AJ980" s="319"/>
      <c r="AK980" s="319"/>
      <c r="AL980" s="319"/>
      <c r="AM980" s="319"/>
      <c r="AN980" s="319"/>
      <c r="AO980" s="319">
        <v>5112010</v>
      </c>
      <c r="AP980" s="319"/>
      <c r="AQ980" s="319"/>
      <c r="AR980" s="319"/>
      <c r="AS980" s="319"/>
      <c r="AT980" s="319"/>
      <c r="AU980" s="319"/>
      <c r="AV980" s="319"/>
      <c r="AW980" s="319"/>
      <c r="AX980" s="319"/>
      <c r="AY980" s="319"/>
      <c r="AZ980" s="319"/>
      <c r="BA980" s="319"/>
      <c r="BB980" s="319"/>
      <c r="BC980" s="319"/>
      <c r="BD980" s="319"/>
      <c r="BE980" s="319"/>
      <c r="BF980" s="319"/>
      <c r="BG980" s="319"/>
      <c r="BH980" s="319"/>
      <c r="BI980" s="319"/>
      <c r="BJ980" s="319"/>
      <c r="BK980" s="319"/>
      <c r="BL980" s="319"/>
      <c r="BM980" s="319"/>
      <c r="BN980" s="319"/>
      <c r="BO980" s="319"/>
      <c r="BP980" s="319"/>
      <c r="BQ980" s="319"/>
      <c r="BR980" s="319"/>
      <c r="BS980" s="319"/>
      <c r="BT980" s="319"/>
      <c r="BU980" s="319"/>
      <c r="BV980" s="319"/>
      <c r="BW980" s="319"/>
      <c r="BX980" s="319"/>
      <c r="BY980" s="319"/>
      <c r="BZ980" s="319"/>
      <c r="CA980" s="319"/>
      <c r="CB980" s="319"/>
      <c r="CC980" s="319"/>
      <c r="CD980" s="319"/>
      <c r="CE980" s="319"/>
      <c r="CF980" s="319"/>
    </row>
    <row r="981" spans="1:84" ht="12.75" hidden="1" customHeight="1">
      <c r="A981" s="12"/>
      <c r="B981" s="1"/>
      <c r="C981" s="1"/>
      <c r="D981" s="1"/>
      <c r="E981" s="1"/>
      <c r="F981" s="1"/>
      <c r="G981" s="1"/>
      <c r="H981" s="1"/>
      <c r="I981" s="1"/>
      <c r="J981" s="1"/>
      <c r="K981" s="9"/>
      <c r="L981" s="1"/>
      <c r="M981" s="319"/>
      <c r="N981" s="319"/>
      <c r="O981" s="319"/>
      <c r="P981" s="319"/>
      <c r="Q981" s="319"/>
      <c r="R981" s="319"/>
      <c r="S981" s="319"/>
      <c r="T981" s="319"/>
      <c r="U981" s="319"/>
      <c r="V981" s="319"/>
      <c r="W981" s="319"/>
      <c r="X981" s="319"/>
      <c r="Y981" s="319"/>
      <c r="Z981" s="319"/>
      <c r="AA981" s="319"/>
      <c r="AB981" s="319"/>
      <c r="AC981" s="319"/>
      <c r="AD981" s="319"/>
      <c r="AE981" s="319"/>
      <c r="AF981" s="319"/>
      <c r="AG981" s="319"/>
      <c r="AH981" s="319"/>
      <c r="AI981" s="319"/>
      <c r="AJ981" s="319"/>
      <c r="AK981" s="319"/>
      <c r="AL981" s="319"/>
      <c r="AM981" s="319"/>
      <c r="AN981" s="319"/>
      <c r="AO981" s="319">
        <v>5110000</v>
      </c>
      <c r="AP981" s="319"/>
      <c r="AQ981" s="319"/>
      <c r="AR981" s="319"/>
      <c r="AS981" s="319"/>
      <c r="AT981" s="319"/>
      <c r="AU981" s="319"/>
      <c r="AV981" s="319"/>
      <c r="AW981" s="319"/>
      <c r="AX981" s="319"/>
      <c r="AY981" s="319"/>
      <c r="AZ981" s="319"/>
      <c r="BA981" s="319"/>
      <c r="BB981" s="319"/>
      <c r="BC981" s="319"/>
      <c r="BD981" s="319"/>
      <c r="BE981" s="319"/>
      <c r="BF981" s="319"/>
      <c r="BG981" s="319"/>
      <c r="BH981" s="319"/>
      <c r="BI981" s="319"/>
      <c r="BJ981" s="319"/>
      <c r="BK981" s="319"/>
      <c r="BL981" s="319"/>
      <c r="BM981" s="319"/>
      <c r="BN981" s="319"/>
      <c r="BO981" s="319"/>
      <c r="BP981" s="319"/>
      <c r="BQ981" s="319"/>
      <c r="BR981" s="319"/>
      <c r="BS981" s="319"/>
      <c r="BT981" s="319"/>
      <c r="BU981" s="319"/>
      <c r="BV981" s="319"/>
      <c r="BW981" s="319"/>
      <c r="BX981" s="319"/>
      <c r="BY981" s="319"/>
      <c r="BZ981" s="319"/>
      <c r="CA981" s="319"/>
      <c r="CB981" s="319"/>
      <c r="CC981" s="319"/>
      <c r="CD981" s="319"/>
      <c r="CE981" s="319"/>
      <c r="CF981" s="319"/>
    </row>
    <row r="982" spans="1:84" ht="12.75" hidden="1" customHeight="1">
      <c r="A982" s="12"/>
      <c r="B982" s="28" t="str">
        <f>Language!C690</f>
        <v>Receita pela redução de GEE</v>
      </c>
      <c r="C982" s="1"/>
      <c r="D982" s="1"/>
      <c r="E982" s="1"/>
      <c r="F982" s="1"/>
      <c r="G982" s="1"/>
      <c r="H982" s="1"/>
      <c r="I982" s="1"/>
      <c r="J982" s="1"/>
      <c r="K982" s="9"/>
      <c r="L982" s="1"/>
      <c r="M982" s="319"/>
      <c r="N982" s="319"/>
      <c r="O982" s="319"/>
      <c r="P982" s="319"/>
      <c r="Q982" s="319"/>
      <c r="R982" s="319"/>
      <c r="S982" s="319"/>
      <c r="T982" s="319"/>
      <c r="U982" s="319"/>
      <c r="V982" s="319"/>
      <c r="W982" s="319"/>
      <c r="X982" s="319"/>
      <c r="Y982" s="319"/>
      <c r="Z982" s="319"/>
      <c r="AA982" s="319"/>
      <c r="AB982" s="319"/>
      <c r="AC982" s="319"/>
      <c r="AD982" s="319"/>
      <c r="AE982" s="319"/>
      <c r="AF982" s="319"/>
      <c r="AG982" s="319"/>
      <c r="AH982" s="319"/>
      <c r="AI982" s="319"/>
      <c r="AJ982" s="319"/>
      <c r="AK982" s="319"/>
      <c r="AL982" s="319"/>
      <c r="AM982" s="319"/>
      <c r="AN982" s="319"/>
      <c r="AO982" s="319">
        <v>5113000</v>
      </c>
      <c r="AP982" s="319"/>
      <c r="AQ982" s="319"/>
      <c r="AR982" s="319"/>
      <c r="AS982" s="319"/>
      <c r="AT982" s="319"/>
      <c r="AU982" s="319"/>
      <c r="AV982" s="319"/>
      <c r="AW982" s="319"/>
      <c r="AX982" s="319"/>
      <c r="AY982" s="319"/>
      <c r="AZ982" s="319"/>
      <c r="BA982" s="319"/>
      <c r="BB982" s="319"/>
      <c r="BC982" s="319"/>
      <c r="BD982" s="319"/>
      <c r="BE982" s="319"/>
      <c r="BF982" s="319"/>
      <c r="BG982" s="319"/>
      <c r="BH982" s="319"/>
      <c r="BI982" s="319"/>
      <c r="BJ982" s="319"/>
      <c r="BK982" s="319"/>
      <c r="BL982" s="319"/>
      <c r="BM982" s="319"/>
      <c r="BN982" s="319"/>
      <c r="BO982" s="319"/>
      <c r="BP982" s="319"/>
      <c r="BQ982" s="319"/>
      <c r="BR982" s="319"/>
      <c r="BS982" s="319"/>
      <c r="BT982" s="319"/>
      <c r="BU982" s="319"/>
      <c r="BV982" s="319"/>
      <c r="BW982" s="319"/>
      <c r="BX982" s="319"/>
      <c r="BY982" s="319"/>
      <c r="BZ982" s="319"/>
      <c r="CA982" s="319"/>
      <c r="CB982" s="319"/>
      <c r="CC982" s="319"/>
      <c r="CD982" s="319"/>
      <c r="CE982" s="319"/>
      <c r="CF982" s="319"/>
    </row>
    <row r="983" spans="1:84" ht="12.75" hidden="1" customHeight="1">
      <c r="A983" s="12"/>
      <c r="B983" s="1" t="str">
        <f>Language!C654</f>
        <v>Crédito para redução de GEE</v>
      </c>
      <c r="C983" s="29" t="str">
        <f>C1000&amp;"/"&amp;C976</f>
        <v>€/tCO2</v>
      </c>
      <c r="D983" s="310"/>
      <c r="E983" s="1"/>
      <c r="F983" s="1"/>
      <c r="G983" s="1"/>
      <c r="H983" s="1"/>
      <c r="I983" s="1"/>
      <c r="J983" s="1"/>
      <c r="K983" s="9"/>
      <c r="L983" s="1"/>
      <c r="M983" s="319"/>
      <c r="N983" s="319"/>
      <c r="O983" s="319"/>
      <c r="P983" s="319"/>
      <c r="Q983" s="319"/>
      <c r="R983" s="319"/>
      <c r="S983" s="319"/>
      <c r="T983" s="319"/>
      <c r="U983" s="319"/>
      <c r="V983" s="319"/>
      <c r="W983" s="319"/>
      <c r="X983" s="319"/>
      <c r="Y983" s="319"/>
      <c r="Z983" s="319"/>
      <c r="AA983" s="319"/>
      <c r="AB983" s="319"/>
      <c r="AC983" s="319"/>
      <c r="AD983" s="319"/>
      <c r="AE983" s="319"/>
      <c r="AF983" s="319"/>
      <c r="AG983" s="319"/>
      <c r="AH983" s="319"/>
      <c r="AI983" s="319"/>
      <c r="AJ983" s="319"/>
      <c r="AK983" s="319"/>
      <c r="AL983" s="319"/>
      <c r="AM983" s="319"/>
      <c r="AN983" s="319"/>
      <c r="AO983" s="319">
        <v>73208</v>
      </c>
      <c r="AP983" s="319"/>
      <c r="AQ983" s="319"/>
      <c r="AR983" s="319"/>
      <c r="AS983" s="319"/>
      <c r="AT983" s="319"/>
      <c r="AU983" s="319"/>
      <c r="AV983" s="319"/>
      <c r="AW983" s="319"/>
      <c r="AX983" s="319"/>
      <c r="AY983" s="319"/>
      <c r="AZ983" s="319"/>
      <c r="BA983" s="319"/>
      <c r="BB983" s="319"/>
      <c r="BC983" s="319"/>
      <c r="BD983" s="319"/>
      <c r="BE983" s="319"/>
      <c r="BF983" s="319"/>
      <c r="BG983" s="319"/>
      <c r="BH983" s="319"/>
      <c r="BI983" s="319"/>
      <c r="BJ983" s="319"/>
      <c r="BK983" s="319"/>
      <c r="BL983" s="319"/>
      <c r="BM983" s="319"/>
      <c r="BN983" s="319"/>
      <c r="BO983" s="319"/>
      <c r="BP983" s="319"/>
      <c r="BQ983" s="319"/>
      <c r="BR983" s="319"/>
      <c r="BS983" s="319"/>
      <c r="BT983" s="319"/>
      <c r="BU983" s="319"/>
      <c r="BV983" s="319"/>
      <c r="BW983" s="319"/>
      <c r="BX983" s="319"/>
      <c r="BY983" s="319"/>
      <c r="BZ983" s="319"/>
      <c r="CA983" s="319"/>
      <c r="CB983" s="319"/>
      <c r="CC983" s="319"/>
      <c r="CD983" s="319"/>
      <c r="CE983" s="319"/>
      <c r="CF983" s="319"/>
    </row>
    <row r="984" spans="1:84" ht="12.75" hidden="1" customHeight="1">
      <c r="A984" s="12"/>
      <c r="B984" s="1" t="str">
        <f>Language!C655</f>
        <v>Duração do crédito para redução de GEE</v>
      </c>
      <c r="C984" s="29" t="str">
        <f>$C$1027</f>
        <v>ano</v>
      </c>
      <c r="D984" s="303"/>
      <c r="E984" s="1"/>
      <c r="F984" s="1"/>
      <c r="G984" s="1"/>
      <c r="H984" s="1"/>
      <c r="I984" s="1"/>
      <c r="J984" s="1"/>
      <c r="K984" s="9"/>
      <c r="L984" s="1"/>
      <c r="M984" s="319"/>
      <c r="N984" s="319"/>
      <c r="O984" s="319"/>
      <c r="P984" s="319"/>
      <c r="Q984" s="319"/>
      <c r="R984" s="319"/>
      <c r="S984" s="319"/>
      <c r="T984" s="319"/>
      <c r="U984" s="319"/>
      <c r="V984" s="319"/>
      <c r="W984" s="319"/>
      <c r="X984" s="319"/>
      <c r="Y984" s="319"/>
      <c r="Z984" s="319"/>
      <c r="AA984" s="319"/>
      <c r="AB984" s="319"/>
      <c r="AC984" s="319"/>
      <c r="AD984" s="319"/>
      <c r="AE984" s="319"/>
      <c r="AF984" s="319"/>
      <c r="AG984" s="319"/>
      <c r="AH984" s="319"/>
      <c r="AI984" s="319"/>
      <c r="AJ984" s="319"/>
      <c r="AK984" s="319"/>
      <c r="AL984" s="319"/>
      <c r="AM984" s="319"/>
      <c r="AN984" s="319"/>
      <c r="AO984" s="319">
        <v>73212</v>
      </c>
      <c r="AP984" s="319"/>
      <c r="AQ984" s="319"/>
      <c r="AR984" s="319"/>
      <c r="AS984" s="319"/>
      <c r="AT984" s="319"/>
      <c r="AU984" s="319"/>
      <c r="AV984" s="319"/>
      <c r="AW984" s="319"/>
      <c r="AX984" s="319"/>
      <c r="AY984" s="319"/>
      <c r="AZ984" s="319"/>
      <c r="BA984" s="319"/>
      <c r="BB984" s="319"/>
      <c r="BC984" s="319"/>
      <c r="BD984" s="319"/>
      <c r="BE984" s="319"/>
      <c r="BF984" s="319"/>
      <c r="BG984" s="319"/>
      <c r="BH984" s="319"/>
      <c r="BI984" s="319"/>
      <c r="BJ984" s="319"/>
      <c r="BK984" s="319"/>
      <c r="BL984" s="319"/>
      <c r="BM984" s="319"/>
      <c r="BN984" s="319"/>
      <c r="BO984" s="319"/>
      <c r="BP984" s="319"/>
      <c r="BQ984" s="319"/>
      <c r="BR984" s="319"/>
      <c r="BS984" s="319"/>
      <c r="BT984" s="319"/>
      <c r="BU984" s="319"/>
      <c r="BV984" s="319"/>
      <c r="BW984" s="319"/>
      <c r="BX984" s="319"/>
      <c r="BY984" s="319"/>
      <c r="BZ984" s="319"/>
      <c r="CA984" s="319"/>
      <c r="CB984" s="319"/>
      <c r="CC984" s="319"/>
      <c r="CD984" s="319"/>
      <c r="CE984" s="319"/>
      <c r="CF984" s="319"/>
    </row>
    <row r="985" spans="1:84" ht="12.75" hidden="1" customHeight="1">
      <c r="A985" s="12"/>
      <c r="B985" s="1" t="str">
        <f>Language!C656</f>
        <v>Taxa de indexação do crédito para redução de GEE</v>
      </c>
      <c r="C985" s="29" t="str">
        <f>T35</f>
        <v>%</v>
      </c>
      <c r="D985" s="422"/>
      <c r="E985" s="1"/>
      <c r="F985" s="1"/>
      <c r="G985" s="1"/>
      <c r="H985" s="1"/>
      <c r="I985" s="1"/>
      <c r="J985" s="1"/>
      <c r="K985" s="9"/>
      <c r="L985" s="1"/>
      <c r="M985" s="319"/>
      <c r="N985" s="319"/>
      <c r="O985" s="319"/>
      <c r="P985" s="319"/>
      <c r="Q985" s="319"/>
      <c r="R985" s="319"/>
      <c r="S985" s="319"/>
      <c r="T985" s="319"/>
      <c r="U985" s="319"/>
      <c r="V985" s="319"/>
      <c r="W985" s="319"/>
      <c r="X985" s="319"/>
      <c r="Y985" s="319"/>
      <c r="Z985" s="319"/>
      <c r="AA985" s="319"/>
      <c r="AB985" s="319"/>
      <c r="AC985" s="319"/>
      <c r="AD985" s="319"/>
      <c r="AE985" s="319"/>
      <c r="AF985" s="319"/>
      <c r="AG985" s="319"/>
      <c r="AH985" s="319"/>
      <c r="AI985" s="319"/>
      <c r="AJ985" s="319"/>
      <c r="AK985" s="319"/>
      <c r="AL985" s="319"/>
      <c r="AM985" s="319"/>
      <c r="AN985" s="319"/>
      <c r="AO985" s="319">
        <v>73216</v>
      </c>
      <c r="AP985" s="319"/>
      <c r="AQ985" s="319"/>
      <c r="AR985" s="319"/>
      <c r="AS985" s="319"/>
      <c r="AT985" s="319"/>
      <c r="AU985" s="319"/>
      <c r="AV985" s="319"/>
      <c r="AW985" s="319"/>
      <c r="AX985" s="319"/>
      <c r="AY985" s="319"/>
      <c r="AZ985" s="319"/>
      <c r="BA985" s="319"/>
      <c r="BB985" s="319"/>
      <c r="BC985" s="319"/>
      <c r="BD985" s="319"/>
      <c r="BE985" s="319"/>
      <c r="BF985" s="319"/>
      <c r="BG985" s="319"/>
      <c r="BH985" s="319"/>
      <c r="BI985" s="319"/>
      <c r="BJ985" s="319"/>
      <c r="BK985" s="319"/>
      <c r="BL985" s="319"/>
      <c r="BM985" s="319"/>
      <c r="BN985" s="319"/>
      <c r="BO985" s="319"/>
      <c r="BP985" s="319"/>
      <c r="BQ985" s="319"/>
      <c r="BR985" s="319"/>
      <c r="BS985" s="319"/>
      <c r="BT985" s="319"/>
      <c r="BU985" s="319"/>
      <c r="BV985" s="319"/>
      <c r="BW985" s="319"/>
      <c r="BX985" s="319"/>
      <c r="BY985" s="319"/>
      <c r="BZ985" s="319"/>
      <c r="CA985" s="319"/>
      <c r="CB985" s="319"/>
      <c r="CC985" s="319"/>
      <c r="CD985" s="319"/>
      <c r="CE985" s="319"/>
      <c r="CF985" s="319"/>
    </row>
    <row r="986" spans="1:84" ht="12.75" hidden="1" customHeight="1">
      <c r="A986" s="14"/>
      <c r="B986" s="15"/>
      <c r="C986" s="15"/>
      <c r="D986" s="15"/>
      <c r="E986" s="15"/>
      <c r="F986" s="15"/>
      <c r="G986" s="15"/>
      <c r="H986" s="15"/>
      <c r="I986" s="15"/>
      <c r="J986" s="15"/>
      <c r="K986" s="11"/>
      <c r="L986" s="1"/>
      <c r="M986" s="319"/>
      <c r="N986" s="319"/>
      <c r="O986" s="319"/>
      <c r="P986" s="319"/>
      <c r="Q986" s="319"/>
      <c r="R986" s="319"/>
      <c r="S986" s="319"/>
      <c r="T986" s="319"/>
      <c r="U986" s="319"/>
      <c r="V986" s="319"/>
      <c r="W986" s="319"/>
      <c r="X986" s="319"/>
      <c r="Y986" s="319"/>
      <c r="Z986" s="319"/>
      <c r="AA986" s="319"/>
      <c r="AB986" s="319"/>
      <c r="AC986" s="319"/>
      <c r="AD986" s="319"/>
      <c r="AE986" s="319"/>
      <c r="AF986" s="319"/>
      <c r="AG986" s="319"/>
      <c r="AH986" s="319"/>
      <c r="AI986" s="319"/>
      <c r="AJ986" s="319"/>
      <c r="AK986" s="319"/>
      <c r="AL986" s="319"/>
      <c r="AM986" s="319"/>
      <c r="AN986" s="319"/>
      <c r="AO986" s="319">
        <v>5110000</v>
      </c>
      <c r="AP986" s="319"/>
      <c r="AQ986" s="319"/>
      <c r="AR986" s="319"/>
      <c r="AS986" s="319"/>
      <c r="AT986" s="319"/>
      <c r="AU986" s="319"/>
      <c r="AV986" s="319"/>
      <c r="AW986" s="319"/>
      <c r="AX986" s="319"/>
      <c r="AY986" s="319"/>
      <c r="AZ986" s="319"/>
      <c r="BA986" s="319"/>
      <c r="BB986" s="319"/>
      <c r="BC986" s="319"/>
      <c r="BD986" s="319"/>
      <c r="BE986" s="319"/>
      <c r="BF986" s="319"/>
      <c r="BG986" s="319"/>
      <c r="BH986" s="319"/>
      <c r="BI986" s="319"/>
      <c r="BJ986" s="319"/>
      <c r="BK986" s="319"/>
      <c r="BL986" s="319"/>
      <c r="BM986" s="319"/>
      <c r="BN986" s="319"/>
      <c r="BO986" s="319"/>
      <c r="BP986" s="319"/>
      <c r="BQ986" s="319"/>
      <c r="BR986" s="319"/>
      <c r="BS986" s="319"/>
      <c r="BT986" s="319"/>
      <c r="BU986" s="319"/>
      <c r="BV986" s="319"/>
      <c r="BW986" s="319"/>
      <c r="BX986" s="319"/>
      <c r="BY986" s="319"/>
      <c r="BZ986" s="319"/>
      <c r="CA986" s="319"/>
      <c r="CB986" s="319"/>
      <c r="CC986" s="319"/>
      <c r="CD986" s="319"/>
      <c r="CE986" s="319"/>
      <c r="CF986" s="319"/>
    </row>
    <row r="987" spans="1:84" ht="12.75" hidden="1" customHeight="1">
      <c r="A987" s="1"/>
      <c r="B987" s="1"/>
      <c r="C987" s="1"/>
      <c r="D987" s="1"/>
      <c r="E987" s="1"/>
      <c r="F987" s="1"/>
      <c r="G987" s="1"/>
      <c r="H987" s="1"/>
      <c r="I987" s="1"/>
      <c r="J987" s="1"/>
      <c r="K987" s="1"/>
      <c r="L987" s="1"/>
      <c r="M987" s="319"/>
      <c r="N987" s="319"/>
      <c r="O987" s="319"/>
      <c r="P987" s="319"/>
      <c r="Q987" s="319"/>
      <c r="R987" s="319"/>
      <c r="S987" s="319"/>
      <c r="T987" s="319"/>
      <c r="U987" s="319"/>
      <c r="V987" s="319"/>
      <c r="W987" s="319"/>
      <c r="X987" s="319"/>
      <c r="Y987" s="319"/>
      <c r="Z987" s="319"/>
      <c r="AA987" s="319"/>
      <c r="AB987" s="319"/>
      <c r="AC987" s="319"/>
      <c r="AD987" s="319"/>
      <c r="AE987" s="319"/>
      <c r="AF987" s="319"/>
      <c r="AG987" s="319"/>
      <c r="AH987" s="319"/>
      <c r="AI987" s="319"/>
      <c r="AJ987" s="319"/>
      <c r="AK987" s="319"/>
      <c r="AL987" s="319"/>
      <c r="AM987" s="319"/>
      <c r="AN987" s="319"/>
      <c r="AO987" s="319">
        <v>2000000</v>
      </c>
      <c r="AP987" s="319"/>
      <c r="AQ987" s="319"/>
      <c r="AR987" s="319"/>
      <c r="AS987" s="319"/>
      <c r="AT987" s="319"/>
      <c r="AU987" s="319"/>
      <c r="AV987" s="319"/>
      <c r="AW987" s="319"/>
      <c r="AX987" s="319"/>
      <c r="AY987" s="319"/>
      <c r="AZ987" s="319"/>
      <c r="BA987" s="319"/>
      <c r="BB987" s="319"/>
      <c r="BC987" s="319"/>
      <c r="BD987" s="319"/>
      <c r="BE987" s="319"/>
      <c r="BF987" s="319"/>
      <c r="BG987" s="319"/>
      <c r="BH987" s="319"/>
      <c r="BI987" s="319"/>
      <c r="BJ987" s="319"/>
      <c r="BK987" s="319"/>
      <c r="BL987" s="319"/>
      <c r="BM987" s="319"/>
      <c r="BN987" s="319"/>
      <c r="BO987" s="319"/>
      <c r="BP987" s="319"/>
      <c r="BQ987" s="319"/>
      <c r="BR987" s="319"/>
      <c r="BS987" s="319"/>
      <c r="BT987" s="319"/>
      <c r="BU987" s="319"/>
      <c r="BV987" s="319"/>
      <c r="BW987" s="319"/>
      <c r="BX987" s="319"/>
      <c r="BY987" s="319"/>
      <c r="BZ987" s="319"/>
      <c r="CA987" s="319"/>
      <c r="CB987" s="319"/>
      <c r="CC987" s="319"/>
      <c r="CD987" s="319"/>
      <c r="CE987" s="319"/>
      <c r="CF987" s="319"/>
    </row>
    <row r="988" spans="1:84" ht="12.75" hidden="1" customHeight="1">
      <c r="A988" s="1174" t="str">
        <f>Language!C25</f>
        <v>Análise Financeira</v>
      </c>
      <c r="B988" s="1175"/>
      <c r="C988" s="25"/>
      <c r="D988" s="25"/>
      <c r="E988" s="25"/>
      <c r="F988" s="25"/>
      <c r="G988" s="25"/>
      <c r="H988" s="25"/>
      <c r="I988" s="25"/>
      <c r="J988" s="25"/>
      <c r="K988" s="27"/>
      <c r="L988" s="1"/>
      <c r="M988" s="319"/>
      <c r="N988" s="319"/>
      <c r="O988" s="319"/>
      <c r="P988" s="319"/>
      <c r="Q988" s="319"/>
      <c r="R988" s="319"/>
      <c r="S988" s="319"/>
      <c r="T988" s="319"/>
      <c r="U988" s="319"/>
      <c r="V988" s="319"/>
      <c r="W988" s="319"/>
      <c r="X988" s="319"/>
      <c r="Y988" s="319"/>
      <c r="Z988" s="319"/>
      <c r="AA988" s="319"/>
      <c r="AB988" s="319"/>
      <c r="AC988" s="319"/>
      <c r="AD988" s="319"/>
      <c r="AE988" s="319"/>
      <c r="AF988" s="319"/>
      <c r="AG988" s="319"/>
      <c r="AH988" s="319"/>
      <c r="AI988" s="319"/>
      <c r="AJ988" s="319"/>
      <c r="AK988" s="319"/>
      <c r="AL988" s="319"/>
      <c r="AM988" s="319"/>
      <c r="AN988" s="319"/>
      <c r="AO988" s="319">
        <v>5120000</v>
      </c>
      <c r="AP988" s="319"/>
      <c r="AQ988" s="319"/>
      <c r="AR988" s="319"/>
      <c r="AS988" s="319"/>
      <c r="AT988" s="319"/>
      <c r="AU988" s="319"/>
      <c r="AV988" s="319"/>
      <c r="AW988" s="319"/>
      <c r="AX988" s="319"/>
      <c r="AY988" s="319"/>
      <c r="AZ988" s="319"/>
      <c r="BA988" s="319"/>
      <c r="BB988" s="319"/>
      <c r="BC988" s="319"/>
      <c r="BD988" s="319"/>
      <c r="BE988" s="319"/>
      <c r="BF988" s="319"/>
      <c r="BG988" s="319"/>
      <c r="BH988" s="319"/>
      <c r="BI988" s="319"/>
      <c r="BJ988" s="319"/>
      <c r="BK988" s="319"/>
      <c r="BL988" s="319"/>
      <c r="BM988" s="319"/>
      <c r="BN988" s="319"/>
      <c r="BO988" s="319"/>
      <c r="BP988" s="319"/>
      <c r="BQ988" s="319"/>
      <c r="BR988" s="319"/>
      <c r="BS988" s="319"/>
      <c r="BT988" s="319"/>
      <c r="BU988" s="319"/>
      <c r="BV988" s="319"/>
      <c r="BW988" s="319"/>
      <c r="BX988" s="319"/>
      <c r="BY988" s="319"/>
      <c r="BZ988" s="319"/>
      <c r="CA988" s="319"/>
      <c r="CB988" s="319"/>
      <c r="CC988" s="319"/>
      <c r="CD988" s="319"/>
      <c r="CE988" s="319"/>
      <c r="CF988" s="319"/>
    </row>
    <row r="989" spans="1:84" ht="12.75" hidden="1" customHeight="1">
      <c r="A989" s="12"/>
      <c r="B989" s="1"/>
      <c r="C989" s="1"/>
      <c r="D989" s="1"/>
      <c r="E989" s="1"/>
      <c r="F989" s="1"/>
      <c r="G989" s="1"/>
      <c r="H989" s="1"/>
      <c r="I989" s="1"/>
      <c r="J989" s="1"/>
      <c r="K989" s="9"/>
      <c r="L989" s="1"/>
      <c r="M989" s="319"/>
      <c r="N989" s="319"/>
      <c r="O989" s="319"/>
      <c r="P989" s="319"/>
      <c r="Q989" s="319"/>
      <c r="R989" s="319"/>
      <c r="S989" s="319"/>
      <c r="T989" s="319"/>
      <c r="U989" s="319"/>
      <c r="V989" s="319"/>
      <c r="W989" s="319"/>
      <c r="X989" s="319"/>
      <c r="Y989" s="319"/>
      <c r="Z989" s="319"/>
      <c r="AA989" s="319"/>
      <c r="AB989" s="319"/>
      <c r="AC989" s="319"/>
      <c r="AD989" s="319"/>
      <c r="AE989" s="319"/>
      <c r="AF989" s="319"/>
      <c r="AG989" s="319"/>
      <c r="AH989" s="319"/>
      <c r="AI989" s="319"/>
      <c r="AJ989" s="319"/>
      <c r="AK989" s="319"/>
      <c r="AL989" s="319"/>
      <c r="AM989" s="319"/>
      <c r="AN989" s="319"/>
      <c r="AO989" s="319">
        <v>5120000</v>
      </c>
      <c r="AP989" s="319"/>
      <c r="AQ989" s="319"/>
      <c r="AR989" s="319"/>
      <c r="AS989" s="319"/>
      <c r="AT989" s="319"/>
      <c r="AU989" s="319"/>
      <c r="AV989" s="319"/>
      <c r="AW989" s="319"/>
      <c r="AX989" s="319"/>
      <c r="AY989" s="319"/>
      <c r="AZ989" s="319"/>
      <c r="BA989" s="319"/>
      <c r="BB989" s="319"/>
      <c r="BC989" s="319"/>
      <c r="BD989" s="319"/>
      <c r="BE989" s="319"/>
      <c r="BF989" s="319"/>
      <c r="BG989" s="319"/>
      <c r="BH989" s="319"/>
      <c r="BI989" s="319"/>
      <c r="BJ989" s="319"/>
      <c r="BK989" s="319"/>
      <c r="BL989" s="319"/>
      <c r="BM989" s="319"/>
      <c r="BN989" s="319"/>
      <c r="BO989" s="319"/>
      <c r="BP989" s="319"/>
      <c r="BQ989" s="319"/>
      <c r="BR989" s="319"/>
      <c r="BS989" s="319"/>
      <c r="BT989" s="319"/>
      <c r="BU989" s="319"/>
      <c r="BV989" s="319"/>
      <c r="BW989" s="319"/>
      <c r="BX989" s="319"/>
      <c r="BY989" s="319"/>
      <c r="BZ989" s="319"/>
      <c r="CA989" s="319"/>
      <c r="CB989" s="319"/>
      <c r="CC989" s="319"/>
      <c r="CD989" s="319"/>
      <c r="CE989" s="319"/>
      <c r="CF989" s="319"/>
    </row>
    <row r="990" spans="1:84" ht="12.75" hidden="1" customHeight="1">
      <c r="A990" s="12"/>
      <c r="B990" s="28" t="str">
        <f>Language!C647</f>
        <v>Parâmetros financeiros</v>
      </c>
      <c r="C990" s="1"/>
      <c r="D990" s="1"/>
      <c r="E990" s="1"/>
      <c r="F990" s="8"/>
      <c r="G990" s="8"/>
      <c r="H990" s="8"/>
      <c r="I990" s="8"/>
      <c r="J990" s="8"/>
      <c r="K990" s="9"/>
      <c r="L990" s="1"/>
      <c r="M990" s="319"/>
      <c r="N990" s="319"/>
      <c r="O990" s="319"/>
      <c r="P990" s="319"/>
      <c r="Q990" s="319"/>
      <c r="R990" s="319"/>
      <c r="S990" s="319"/>
      <c r="T990" s="319"/>
      <c r="U990" s="319"/>
      <c r="V990" s="319"/>
      <c r="W990" s="319"/>
      <c r="X990" s="319"/>
      <c r="Y990" s="319"/>
      <c r="Z990" s="319"/>
      <c r="AA990" s="319"/>
      <c r="AB990" s="319"/>
      <c r="AC990" s="319"/>
      <c r="AD990" s="319"/>
      <c r="AE990" s="319"/>
      <c r="AF990" s="319"/>
      <c r="AG990" s="319"/>
      <c r="AH990" s="319"/>
      <c r="AI990" s="319"/>
      <c r="AJ990" s="319"/>
      <c r="AK990" s="319"/>
      <c r="AL990" s="319"/>
      <c r="AM990" s="319"/>
      <c r="AN990" s="319"/>
      <c r="AO990" s="319">
        <v>5121000</v>
      </c>
      <c r="AP990" s="319"/>
      <c r="AQ990" s="319"/>
      <c r="AR990" s="319"/>
      <c r="AS990" s="319"/>
      <c r="AT990" s="319"/>
      <c r="AU990" s="319"/>
      <c r="AV990" s="319"/>
      <c r="AW990" s="319"/>
      <c r="AX990" s="319"/>
      <c r="AY990" s="319"/>
      <c r="AZ990" s="319"/>
      <c r="BA990" s="319"/>
      <c r="BB990" s="319"/>
      <c r="BC990" s="319"/>
      <c r="BD990" s="319"/>
      <c r="BE990" s="319"/>
      <c r="BF990" s="319"/>
      <c r="BG990" s="319"/>
      <c r="BH990" s="319"/>
      <c r="BI990" s="319"/>
      <c r="BJ990" s="319"/>
      <c r="BK990" s="319"/>
      <c r="BL990" s="319"/>
      <c r="BM990" s="319"/>
      <c r="BN990" s="319"/>
      <c r="BO990" s="319"/>
      <c r="BP990" s="319"/>
      <c r="BQ990" s="319"/>
      <c r="BR990" s="319"/>
      <c r="BS990" s="319"/>
      <c r="BT990" s="319"/>
      <c r="BU990" s="319"/>
      <c r="BV990" s="319"/>
      <c r="BW990" s="319"/>
      <c r="BX990" s="319"/>
      <c r="BY990" s="319"/>
      <c r="BZ990" s="319"/>
      <c r="CA990" s="319"/>
      <c r="CB990" s="319"/>
      <c r="CC990" s="319"/>
      <c r="CD990" s="319"/>
      <c r="CE990" s="319"/>
      <c r="CF990" s="319"/>
    </row>
    <row r="991" spans="1:84" ht="12.75" hidden="1" customHeight="1">
      <c r="A991" s="12"/>
      <c r="B991" s="1" t="str">
        <f>Language!C659</f>
        <v>Taxa de inflação</v>
      </c>
      <c r="C991" s="29" t="str">
        <f>$T$35</f>
        <v>%</v>
      </c>
      <c r="D991" s="426"/>
      <c r="E991" s="1"/>
      <c r="F991" s="8"/>
      <c r="G991" s="8"/>
      <c r="H991" s="8"/>
      <c r="I991" s="8"/>
      <c r="J991" s="8"/>
      <c r="K991" s="9"/>
      <c r="L991" s="1"/>
      <c r="M991" s="319">
        <f>ProjectLife_EM</f>
        <v>0</v>
      </c>
      <c r="N991" s="319"/>
      <c r="O991" s="319"/>
      <c r="P991" s="319"/>
      <c r="Q991" s="319"/>
      <c r="R991" s="319"/>
      <c r="S991" s="319"/>
      <c r="T991" s="319"/>
      <c r="U991" s="319"/>
      <c r="V991" s="319"/>
      <c r="W991" s="319"/>
      <c r="X991" s="319"/>
      <c r="Y991" s="319"/>
      <c r="Z991" s="319"/>
      <c r="AA991" s="319"/>
      <c r="AB991" s="319"/>
      <c r="AC991" s="319"/>
      <c r="AD991" s="319"/>
      <c r="AE991" s="319"/>
      <c r="AF991" s="319"/>
      <c r="AG991" s="319"/>
      <c r="AH991" s="319"/>
      <c r="AI991" s="319"/>
      <c r="AJ991" s="319"/>
      <c r="AK991" s="319"/>
      <c r="AL991" s="319"/>
      <c r="AM991" s="319"/>
      <c r="AN991" s="319"/>
      <c r="AO991" s="319">
        <v>72104</v>
      </c>
      <c r="AP991" s="319"/>
      <c r="AQ991" s="319"/>
      <c r="AR991" s="319"/>
      <c r="AS991" s="319"/>
      <c r="AT991" s="319"/>
      <c r="AU991" s="319"/>
      <c r="AV991" s="319"/>
      <c r="AW991" s="319"/>
      <c r="AX991" s="319"/>
      <c r="AY991" s="319"/>
      <c r="AZ991" s="319"/>
      <c r="BA991" s="319"/>
      <c r="BB991" s="319"/>
      <c r="BC991" s="319"/>
      <c r="BD991" s="319"/>
      <c r="BE991" s="319"/>
      <c r="BF991" s="319"/>
      <c r="BG991" s="319"/>
      <c r="BH991" s="319"/>
      <c r="BI991" s="319"/>
      <c r="BJ991" s="319"/>
      <c r="BK991" s="319"/>
      <c r="BL991" s="319"/>
      <c r="BM991" s="319"/>
      <c r="BN991" s="319"/>
      <c r="BO991" s="319"/>
      <c r="BP991" s="319"/>
      <c r="BQ991" s="319"/>
      <c r="BR991" s="319"/>
      <c r="BS991" s="319"/>
      <c r="BT991" s="319"/>
      <c r="BU991" s="319"/>
      <c r="BV991" s="319"/>
      <c r="BW991" s="319"/>
      <c r="BX991" s="319"/>
      <c r="BY991" s="319"/>
      <c r="BZ991" s="319"/>
      <c r="CA991" s="319"/>
      <c r="CB991" s="319"/>
      <c r="CC991" s="319"/>
      <c r="CD991" s="319"/>
      <c r="CE991" s="319"/>
      <c r="CF991" s="319"/>
    </row>
    <row r="992" spans="1:84" ht="12.75" hidden="1" customHeight="1">
      <c r="A992" s="12"/>
      <c r="B992" s="1" t="str">
        <f>Language!C661</f>
        <v>Vida do projeto</v>
      </c>
      <c r="C992" s="29" t="str">
        <f>$C$1027</f>
        <v>ano</v>
      </c>
      <c r="D992" s="299"/>
      <c r="E992" s="1"/>
      <c r="F992" s="8"/>
      <c r="G992" s="8"/>
      <c r="H992" s="8"/>
      <c r="I992" s="8"/>
      <c r="J992" s="8"/>
      <c r="K992" s="9"/>
      <c r="L992" s="1"/>
      <c r="M992" s="319"/>
      <c r="N992" s="319"/>
      <c r="O992" s="319"/>
      <c r="P992" s="319"/>
      <c r="Q992" s="319"/>
      <c r="R992" s="319"/>
      <c r="S992" s="319"/>
      <c r="T992" s="319"/>
      <c r="U992" s="319"/>
      <c r="V992" s="319"/>
      <c r="W992" s="319"/>
      <c r="X992" s="319"/>
      <c r="Y992" s="319"/>
      <c r="Z992" s="319"/>
      <c r="AA992" s="319"/>
      <c r="AB992" s="319"/>
      <c r="AC992" s="319"/>
      <c r="AD992" s="319"/>
      <c r="AE992" s="319"/>
      <c r="AF992" s="319"/>
      <c r="AG992" s="319"/>
      <c r="AH992" s="319"/>
      <c r="AI992" s="319"/>
      <c r="AJ992" s="319"/>
      <c r="AK992" s="319"/>
      <c r="AL992" s="319"/>
      <c r="AM992" s="319"/>
      <c r="AN992" s="319"/>
      <c r="AO992" s="319">
        <v>72108</v>
      </c>
      <c r="AP992" s="319"/>
      <c r="AQ992" s="319"/>
      <c r="AR992" s="319"/>
      <c r="AS992" s="319"/>
      <c r="AT992" s="319"/>
      <c r="AU992" s="319"/>
      <c r="AV992" s="319"/>
      <c r="AW992" s="319"/>
      <c r="AX992" s="319"/>
      <c r="AY992" s="319"/>
      <c r="AZ992" s="319"/>
      <c r="BA992" s="319"/>
      <c r="BB992" s="319"/>
      <c r="BC992" s="319"/>
      <c r="BD992" s="319"/>
      <c r="BE992" s="319"/>
      <c r="BF992" s="319"/>
      <c r="BG992" s="319"/>
      <c r="BH992" s="319"/>
      <c r="BI992" s="319"/>
      <c r="BJ992" s="319"/>
      <c r="BK992" s="319"/>
      <c r="BL992" s="319"/>
      <c r="BM992" s="319"/>
      <c r="BN992" s="319"/>
      <c r="BO992" s="319"/>
      <c r="BP992" s="319"/>
      <c r="BQ992" s="319"/>
      <c r="BR992" s="319"/>
      <c r="BS992" s="319"/>
      <c r="BT992" s="319"/>
      <c r="BU992" s="319"/>
      <c r="BV992" s="319"/>
      <c r="BW992" s="319"/>
      <c r="BX992" s="319"/>
      <c r="BY992" s="319"/>
      <c r="BZ992" s="319"/>
      <c r="CA992" s="319"/>
      <c r="CB992" s="319"/>
      <c r="CC992" s="319"/>
      <c r="CD992" s="319"/>
      <c r="CE992" s="319"/>
      <c r="CF992" s="319"/>
    </row>
    <row r="993" spans="1:84" ht="12.75" hidden="1" customHeight="1">
      <c r="A993" s="12"/>
      <c r="B993" s="56" t="str">
        <f>Language!C663</f>
        <v>Razão da dívida</v>
      </c>
      <c r="C993" s="29" t="str">
        <f>$T$35</f>
        <v>%</v>
      </c>
      <c r="D993" s="424"/>
      <c r="E993" s="1"/>
      <c r="F993" s="8"/>
      <c r="G993" s="8"/>
      <c r="H993" s="8"/>
      <c r="I993" s="8"/>
      <c r="J993" s="8"/>
      <c r="K993" s="9"/>
      <c r="L993" s="1"/>
      <c r="M993" s="319">
        <v>1</v>
      </c>
      <c r="N993" s="319"/>
      <c r="O993" s="319"/>
      <c r="P993" s="319"/>
      <c r="Q993" s="319"/>
      <c r="R993" s="319"/>
      <c r="S993" s="319"/>
      <c r="T993" s="319"/>
      <c r="U993" s="319"/>
      <c r="V993" s="319"/>
      <c r="W993" s="319"/>
      <c r="X993" s="319"/>
      <c r="Y993" s="319"/>
      <c r="Z993" s="319"/>
      <c r="AA993" s="319"/>
      <c r="AB993" s="319"/>
      <c r="AC993" s="319"/>
      <c r="AD993" s="319"/>
      <c r="AE993" s="319"/>
      <c r="AF993" s="319"/>
      <c r="AG993" s="319"/>
      <c r="AH993" s="319"/>
      <c r="AI993" s="319"/>
      <c r="AJ993" s="319"/>
      <c r="AK993" s="319"/>
      <c r="AL993" s="319"/>
      <c r="AM993" s="319"/>
      <c r="AN993" s="319"/>
      <c r="AO993" s="319">
        <v>72204</v>
      </c>
      <c r="AP993" s="319"/>
      <c r="AQ993" s="319"/>
      <c r="AR993" s="319"/>
      <c r="AS993" s="319"/>
      <c r="AT993" s="319"/>
      <c r="AU993" s="319"/>
      <c r="AV993" s="319"/>
      <c r="AW993" s="319"/>
      <c r="AX993" s="319"/>
      <c r="AY993" s="319"/>
      <c r="AZ993" s="319"/>
      <c r="BA993" s="319"/>
      <c r="BB993" s="319"/>
      <c r="BC993" s="319"/>
      <c r="BD993" s="319"/>
      <c r="BE993" s="319"/>
      <c r="BF993" s="319"/>
      <c r="BG993" s="319"/>
      <c r="BH993" s="319"/>
      <c r="BI993" s="319"/>
      <c r="BJ993" s="319"/>
      <c r="BK993" s="319"/>
      <c r="BL993" s="319"/>
      <c r="BM993" s="319"/>
      <c r="BN993" s="319"/>
      <c r="BO993" s="319"/>
      <c r="BP993" s="319"/>
      <c r="BQ993" s="319"/>
      <c r="BR993" s="319"/>
      <c r="BS993" s="319"/>
      <c r="BT993" s="319"/>
      <c r="BU993" s="319"/>
      <c r="BV993" s="319"/>
      <c r="BW993" s="319"/>
      <c r="BX993" s="319"/>
      <c r="BY993" s="319"/>
      <c r="BZ993" s="319"/>
      <c r="CA993" s="319"/>
      <c r="CB993" s="319"/>
      <c r="CC993" s="319"/>
      <c r="CD993" s="319"/>
      <c r="CE993" s="319"/>
      <c r="CF993" s="319"/>
    </row>
    <row r="994" spans="1:84" ht="12.75" hidden="1" customHeight="1">
      <c r="A994" s="12"/>
      <c r="B994" s="56" t="str">
        <f>Language!C664</f>
        <v>Taxa de juros da dívida</v>
      </c>
      <c r="C994" s="29" t="str">
        <f>$T$35</f>
        <v>%</v>
      </c>
      <c r="D994" s="425"/>
      <c r="E994" s="1"/>
      <c r="F994" s="8"/>
      <c r="G994" s="8"/>
      <c r="H994" s="8"/>
      <c r="I994" s="8"/>
      <c r="J994" s="8"/>
      <c r="K994" s="9"/>
      <c r="L994" s="1"/>
      <c r="M994" s="319">
        <f>IF(D993=0,0,1)</f>
        <v>0</v>
      </c>
      <c r="N994" s="319"/>
      <c r="O994" s="319"/>
      <c r="P994" s="319"/>
      <c r="Q994" s="319"/>
      <c r="R994" s="319"/>
      <c r="S994" s="319"/>
      <c r="T994" s="319"/>
      <c r="U994" s="319"/>
      <c r="V994" s="319"/>
      <c r="W994" s="319"/>
      <c r="X994" s="319"/>
      <c r="Y994" s="319"/>
      <c r="Z994" s="319"/>
      <c r="AA994" s="319"/>
      <c r="AB994" s="319"/>
      <c r="AC994" s="319"/>
      <c r="AD994" s="319"/>
      <c r="AE994" s="319"/>
      <c r="AF994" s="319"/>
      <c r="AG994" s="319"/>
      <c r="AH994" s="319"/>
      <c r="AI994" s="319"/>
      <c r="AJ994" s="319"/>
      <c r="AK994" s="319"/>
      <c r="AL994" s="319"/>
      <c r="AM994" s="319"/>
      <c r="AN994" s="319"/>
      <c r="AO994" s="319">
        <v>72210</v>
      </c>
      <c r="AP994" s="319"/>
      <c r="AQ994" s="319"/>
      <c r="AR994" s="319"/>
      <c r="AS994" s="319"/>
      <c r="AT994" s="319"/>
      <c r="AU994" s="319"/>
      <c r="AV994" s="319"/>
      <c r="AW994" s="319"/>
      <c r="AX994" s="319"/>
      <c r="AY994" s="319"/>
      <c r="AZ994" s="319"/>
      <c r="BA994" s="319"/>
      <c r="BB994" s="319"/>
      <c r="BC994" s="319"/>
      <c r="BD994" s="319"/>
      <c r="BE994" s="319"/>
      <c r="BF994" s="319"/>
      <c r="BG994" s="319"/>
      <c r="BH994" s="319"/>
      <c r="BI994" s="319"/>
      <c r="BJ994" s="319"/>
      <c r="BK994" s="319"/>
      <c r="BL994" s="319"/>
      <c r="BM994" s="319"/>
      <c r="BN994" s="319"/>
      <c r="BO994" s="319"/>
      <c r="BP994" s="319"/>
      <c r="BQ994" s="319"/>
      <c r="BR994" s="319"/>
      <c r="BS994" s="319"/>
      <c r="BT994" s="319"/>
      <c r="BU994" s="319"/>
      <c r="BV994" s="319"/>
      <c r="BW994" s="319"/>
      <c r="BX994" s="319"/>
      <c r="BY994" s="319"/>
      <c r="BZ994" s="319"/>
      <c r="CA994" s="319"/>
      <c r="CB994" s="319"/>
      <c r="CC994" s="319"/>
      <c r="CD994" s="319"/>
      <c r="CE994" s="319"/>
      <c r="CF994" s="319"/>
    </row>
    <row r="995" spans="1:84" ht="12.75" hidden="1" customHeight="1">
      <c r="A995" s="12"/>
      <c r="B995" s="56" t="str">
        <f>Language!C665</f>
        <v>Duração da dívida</v>
      </c>
      <c r="C995" s="29" t="str">
        <f>$C$1027</f>
        <v>ano</v>
      </c>
      <c r="D995" s="299"/>
      <c r="E995" s="1"/>
      <c r="F995" s="8"/>
      <c r="G995" s="8"/>
      <c r="H995" s="8"/>
      <c r="I995" s="8"/>
      <c r="J995" s="8"/>
      <c r="K995" s="9"/>
      <c r="L995" s="1"/>
      <c r="M995" s="319">
        <f>EM_FA</f>
        <v>0</v>
      </c>
      <c r="N995" s="319"/>
      <c r="O995" s="319"/>
      <c r="P995" s="319"/>
      <c r="Q995" s="319"/>
      <c r="R995" s="319"/>
      <c r="S995" s="319"/>
      <c r="T995" s="319"/>
      <c r="U995" s="319"/>
      <c r="V995" s="319"/>
      <c r="W995" s="319"/>
      <c r="X995" s="319"/>
      <c r="Y995" s="319"/>
      <c r="Z995" s="319"/>
      <c r="AA995" s="319"/>
      <c r="AB995" s="319"/>
      <c r="AC995" s="319"/>
      <c r="AD995" s="319"/>
      <c r="AE995" s="319"/>
      <c r="AF995" s="319"/>
      <c r="AG995" s="319"/>
      <c r="AH995" s="319"/>
      <c r="AI995" s="319"/>
      <c r="AJ995" s="319"/>
      <c r="AK995" s="319"/>
      <c r="AL995" s="319"/>
      <c r="AM995" s="319"/>
      <c r="AN995" s="319"/>
      <c r="AO995" s="319">
        <v>72212</v>
      </c>
      <c r="AP995" s="319"/>
      <c r="AQ995" s="319"/>
      <c r="AR995" s="319"/>
      <c r="AS995" s="319"/>
      <c r="AT995" s="319"/>
      <c r="AU995" s="319"/>
      <c r="AV995" s="319"/>
      <c r="AW995" s="319"/>
      <c r="AX995" s="319"/>
      <c r="AY995" s="319"/>
      <c r="AZ995" s="319"/>
      <c r="BA995" s="319"/>
      <c r="BB995" s="319"/>
      <c r="BC995" s="319"/>
      <c r="BD995" s="319"/>
      <c r="BE995" s="319"/>
      <c r="BF995" s="319"/>
      <c r="BG995" s="319"/>
      <c r="BH995" s="319"/>
      <c r="BI995" s="319"/>
      <c r="BJ995" s="319"/>
      <c r="BK995" s="319"/>
      <c r="BL995" s="319"/>
      <c r="BM995" s="319"/>
      <c r="BN995" s="319"/>
      <c r="BO995" s="319"/>
      <c r="BP995" s="319"/>
      <c r="BQ995" s="319"/>
      <c r="BR995" s="319"/>
      <c r="BS995" s="319"/>
      <c r="BT995" s="319"/>
      <c r="BU995" s="319"/>
      <c r="BV995" s="319"/>
      <c r="BW995" s="319"/>
      <c r="BX995" s="319"/>
      <c r="BY995" s="319"/>
      <c r="BZ995" s="319"/>
      <c r="CA995" s="319"/>
      <c r="CB995" s="319"/>
      <c r="CC995" s="319"/>
      <c r="CD995" s="319"/>
      <c r="CE995" s="319"/>
      <c r="CF995" s="319"/>
    </row>
    <row r="996" spans="1:84" ht="12.75" hidden="1" customHeight="1">
      <c r="A996" s="12"/>
      <c r="B996" s="56"/>
      <c r="C996" s="29"/>
      <c r="D996" s="1"/>
      <c r="E996" s="1"/>
      <c r="F996" s="8"/>
      <c r="G996" s="8"/>
      <c r="H996" s="8"/>
      <c r="I996" s="8"/>
      <c r="J996" s="8"/>
      <c r="K996" s="9"/>
      <c r="L996" s="1"/>
      <c r="M996" s="319">
        <v>1</v>
      </c>
      <c r="N996" s="319"/>
      <c r="O996" s="319"/>
      <c r="P996" s="319"/>
      <c r="Q996" s="319"/>
      <c r="R996" s="319"/>
      <c r="S996" s="319"/>
      <c r="T996" s="319"/>
      <c r="U996" s="319"/>
      <c r="V996" s="319"/>
      <c r="W996" s="319"/>
      <c r="X996" s="319"/>
      <c r="Y996" s="319"/>
      <c r="Z996" s="319"/>
      <c r="AA996" s="319"/>
      <c r="AB996" s="319"/>
      <c r="AC996" s="319"/>
      <c r="AD996" s="319"/>
      <c r="AE996" s="319"/>
      <c r="AF996" s="319"/>
      <c r="AG996" s="319"/>
      <c r="AH996" s="319"/>
      <c r="AI996" s="319"/>
      <c r="AJ996" s="319"/>
      <c r="AK996" s="319"/>
      <c r="AL996" s="319"/>
      <c r="AM996" s="319"/>
      <c r="AN996" s="319"/>
      <c r="AO996" s="319">
        <v>5120000</v>
      </c>
      <c r="AP996" s="319"/>
      <c r="AQ996" s="319"/>
      <c r="AR996" s="319"/>
      <c r="AS996" s="319"/>
      <c r="AT996" s="319"/>
      <c r="AU996" s="319"/>
      <c r="AV996" s="319"/>
      <c r="AW996" s="319"/>
      <c r="AX996" s="319"/>
      <c r="AY996" s="319"/>
      <c r="AZ996" s="319"/>
      <c r="BA996" s="319"/>
      <c r="BB996" s="319"/>
      <c r="BC996" s="319"/>
      <c r="BD996" s="319"/>
      <c r="BE996" s="319"/>
      <c r="BF996" s="319"/>
      <c r="BG996" s="319"/>
      <c r="BH996" s="319"/>
      <c r="BI996" s="319"/>
      <c r="BJ996" s="319"/>
      <c r="BK996" s="319"/>
      <c r="BL996" s="319"/>
      <c r="BM996" s="319"/>
      <c r="BN996" s="319"/>
      <c r="BO996" s="319"/>
      <c r="BP996" s="319"/>
      <c r="BQ996" s="319"/>
      <c r="BR996" s="319"/>
      <c r="BS996" s="319"/>
      <c r="BT996" s="319"/>
      <c r="BU996" s="319"/>
      <c r="BV996" s="319"/>
      <c r="BW996" s="319"/>
      <c r="BX996" s="319"/>
      <c r="BY996" s="319"/>
      <c r="BZ996" s="319"/>
      <c r="CA996" s="319"/>
      <c r="CB996" s="319"/>
      <c r="CC996" s="319"/>
      <c r="CD996" s="319"/>
      <c r="CE996" s="319"/>
      <c r="CF996" s="319"/>
    </row>
    <row r="997" spans="1:84" ht="12.75" hidden="1" customHeight="1">
      <c r="A997" s="12"/>
      <c r="B997" s="153" t="str">
        <f>Language!C683</f>
        <v>Custos iniciais</v>
      </c>
      <c r="C997" s="8"/>
      <c r="D997" s="8"/>
      <c r="E997" s="8"/>
      <c r="F997" s="8"/>
      <c r="G997" s="8"/>
      <c r="H997" s="8"/>
      <c r="I997" s="8"/>
      <c r="J997" s="8"/>
      <c r="K997" s="9"/>
      <c r="L997" s="1"/>
      <c r="M997" s="319">
        <v>1</v>
      </c>
      <c r="N997" s="319"/>
      <c r="O997" s="319"/>
      <c r="P997" s="319"/>
      <c r="Q997" s="319"/>
      <c r="R997" s="319"/>
      <c r="S997" s="319"/>
      <c r="T997" s="319"/>
      <c r="U997" s="319"/>
      <c r="V997" s="319"/>
      <c r="W997" s="319"/>
      <c r="X997" s="319"/>
      <c r="Y997" s="319"/>
      <c r="Z997" s="319"/>
      <c r="AA997" s="319"/>
      <c r="AB997" s="319"/>
      <c r="AC997" s="319"/>
      <c r="AD997" s="319"/>
      <c r="AE997" s="319"/>
      <c r="AF997" s="319"/>
      <c r="AG997" s="319"/>
      <c r="AH997" s="319"/>
      <c r="AI997" s="319"/>
      <c r="AJ997" s="319"/>
      <c r="AK997" s="319"/>
      <c r="AL997" s="319"/>
      <c r="AM997" s="319"/>
      <c r="AN997" s="319"/>
      <c r="AO997" s="319">
        <v>5122000</v>
      </c>
      <c r="AP997" s="319"/>
      <c r="AQ997" s="319"/>
      <c r="AR997" s="319"/>
      <c r="AS997" s="319"/>
      <c r="AT997" s="319"/>
      <c r="AU997" s="319"/>
      <c r="AV997" s="319"/>
      <c r="AW997" s="319"/>
      <c r="AX997" s="319"/>
      <c r="AY997" s="319"/>
      <c r="AZ997" s="319"/>
      <c r="BA997" s="319"/>
      <c r="BB997" s="319"/>
      <c r="BC997" s="319"/>
      <c r="BD997" s="319"/>
      <c r="BE997" s="319"/>
      <c r="BF997" s="319"/>
      <c r="BG997" s="319"/>
      <c r="BH997" s="319"/>
      <c r="BI997" s="319"/>
      <c r="BJ997" s="319"/>
      <c r="BK997" s="319"/>
      <c r="BL997" s="319"/>
      <c r="BM997" s="319"/>
      <c r="BN997" s="319"/>
      <c r="BO997" s="319"/>
      <c r="BP997" s="319"/>
      <c r="BQ997" s="319"/>
      <c r="BR997" s="319"/>
      <c r="BS997" s="319"/>
      <c r="BT997" s="319"/>
      <c r="BU997" s="319"/>
      <c r="BV997" s="319"/>
      <c r="BW997" s="319"/>
      <c r="BX997" s="319"/>
      <c r="BY997" s="319"/>
      <c r="BZ997" s="319"/>
      <c r="CA997" s="319"/>
      <c r="CB997" s="319"/>
      <c r="CC997" s="319"/>
      <c r="CD997" s="319"/>
      <c r="CE997" s="319"/>
      <c r="CF997" s="319"/>
    </row>
    <row r="998" spans="1:84" ht="12.75" hidden="1" customHeight="1">
      <c r="A998" s="12"/>
      <c r="B998" s="8"/>
      <c r="C998" s="1"/>
      <c r="D998" s="125"/>
      <c r="E998" s="235"/>
      <c r="F998" s="8"/>
      <c r="G998" s="8"/>
      <c r="H998" s="8"/>
      <c r="I998" s="8"/>
      <c r="J998" s="8"/>
      <c r="K998" s="9"/>
      <c r="L998" s="1"/>
      <c r="M998" s="319">
        <v>0</v>
      </c>
      <c r="N998" s="319"/>
      <c r="O998" s="319"/>
      <c r="P998" s="319"/>
      <c r="Q998" s="319"/>
      <c r="R998" s="319"/>
      <c r="S998" s="319"/>
      <c r="T998" s="319"/>
      <c r="U998" s="319"/>
      <c r="V998" s="319"/>
      <c r="W998" s="319"/>
      <c r="X998" s="319"/>
      <c r="Y998" s="319"/>
      <c r="Z998" s="319"/>
      <c r="AA998" s="319"/>
      <c r="AB998" s="319"/>
      <c r="AC998" s="319"/>
      <c r="AD998" s="319"/>
      <c r="AE998" s="319"/>
      <c r="AF998" s="319"/>
      <c r="AG998" s="319"/>
      <c r="AH998" s="319"/>
      <c r="AI998" s="319"/>
      <c r="AJ998" s="319"/>
      <c r="AK998" s="319"/>
      <c r="AL998" s="319"/>
      <c r="AM998" s="319"/>
      <c r="AN998" s="319"/>
      <c r="AO998" s="319">
        <v>5122000</v>
      </c>
      <c r="AP998" s="319"/>
      <c r="AQ998" s="319"/>
      <c r="AR998" s="319"/>
      <c r="AS998" s="319"/>
      <c r="AT998" s="319"/>
      <c r="AU998" s="319"/>
      <c r="AV998" s="319"/>
      <c r="AW998" s="319"/>
      <c r="AX998" s="319"/>
      <c r="AY998" s="319"/>
      <c r="AZ998" s="319"/>
      <c r="BA998" s="319"/>
      <c r="BB998" s="319"/>
      <c r="BC998" s="319"/>
      <c r="BD998" s="319"/>
      <c r="BE998" s="319"/>
      <c r="BF998" s="319"/>
      <c r="BG998" s="319"/>
      <c r="BH998" s="319"/>
      <c r="BI998" s="319"/>
      <c r="BJ998" s="319"/>
      <c r="BK998" s="319"/>
      <c r="BL998" s="319"/>
      <c r="BM998" s="319"/>
      <c r="BN998" s="319"/>
      <c r="BO998" s="319"/>
      <c r="BP998" s="319"/>
      <c r="BQ998" s="319"/>
      <c r="BR998" s="319"/>
      <c r="BS998" s="319"/>
      <c r="BT998" s="319"/>
      <c r="BU998" s="319"/>
      <c r="BV998" s="319"/>
      <c r="BW998" s="319"/>
      <c r="BX998" s="319"/>
      <c r="BY998" s="319"/>
      <c r="BZ998" s="319"/>
      <c r="CA998" s="319"/>
      <c r="CB998" s="319"/>
      <c r="CC998" s="319"/>
      <c r="CD998" s="319"/>
      <c r="CE998" s="319"/>
      <c r="CF998" s="319"/>
    </row>
    <row r="999" spans="1:84" ht="12.75" hidden="1" customHeight="1">
      <c r="A999" s="12"/>
      <c r="B999" s="8"/>
      <c r="C999" s="21"/>
      <c r="D999" s="125"/>
      <c r="E999" s="235"/>
      <c r="F999" s="8"/>
      <c r="G999" s="8"/>
      <c r="H999" s="8"/>
      <c r="I999" s="8"/>
      <c r="J999" s="8"/>
      <c r="K999" s="9"/>
      <c r="L999" s="1"/>
      <c r="M999" s="319">
        <v>0</v>
      </c>
      <c r="N999" s="319"/>
      <c r="O999" s="319"/>
      <c r="P999" s="319"/>
      <c r="Q999" s="319"/>
      <c r="R999" s="319"/>
      <c r="S999" s="319"/>
      <c r="T999" s="319"/>
      <c r="U999" s="319"/>
      <c r="V999" s="319"/>
      <c r="W999" s="319"/>
      <c r="X999" s="319"/>
      <c r="Y999" s="319"/>
      <c r="Z999" s="319"/>
      <c r="AA999" s="319"/>
      <c r="AB999" s="319"/>
      <c r="AC999" s="319"/>
      <c r="AD999" s="319"/>
      <c r="AE999" s="319"/>
      <c r="AF999" s="319"/>
      <c r="AG999" s="319"/>
      <c r="AH999" s="319"/>
      <c r="AI999" s="319"/>
      <c r="AJ999" s="319"/>
      <c r="AK999" s="319"/>
      <c r="AL999" s="319"/>
      <c r="AM999" s="319"/>
      <c r="AN999" s="319"/>
      <c r="AO999" s="319">
        <v>5122000</v>
      </c>
      <c r="AP999" s="319"/>
      <c r="AQ999" s="319"/>
      <c r="AR999" s="319"/>
      <c r="AS999" s="319"/>
      <c r="AT999" s="319"/>
      <c r="AU999" s="319"/>
      <c r="AV999" s="319"/>
      <c r="AW999" s="319"/>
      <c r="AX999" s="319"/>
      <c r="AY999" s="319"/>
      <c r="AZ999" s="319"/>
      <c r="BA999" s="319"/>
      <c r="BB999" s="319"/>
      <c r="BC999" s="319"/>
      <c r="BD999" s="319"/>
      <c r="BE999" s="319"/>
      <c r="BF999" s="319"/>
      <c r="BG999" s="319"/>
      <c r="BH999" s="319"/>
      <c r="BI999" s="319"/>
      <c r="BJ999" s="319"/>
      <c r="BK999" s="319"/>
      <c r="BL999" s="319"/>
      <c r="BM999" s="319"/>
      <c r="BN999" s="319"/>
      <c r="BO999" s="319"/>
      <c r="BP999" s="319"/>
      <c r="BQ999" s="319"/>
      <c r="BR999" s="319"/>
      <c r="BS999" s="319"/>
      <c r="BT999" s="319"/>
      <c r="BU999" s="319"/>
      <c r="BV999" s="319"/>
      <c r="BW999" s="319"/>
      <c r="BX999" s="319"/>
      <c r="BY999" s="319"/>
      <c r="BZ999" s="319"/>
      <c r="CA999" s="319"/>
      <c r="CB999" s="319"/>
      <c r="CC999" s="319"/>
      <c r="CD999" s="319"/>
      <c r="CE999" s="319"/>
      <c r="CF999" s="319"/>
    </row>
    <row r="1000" spans="1:84" ht="12.75" hidden="1" customHeight="1">
      <c r="A1000" s="12"/>
      <c r="B1000" s="8" t="str">
        <f>B1294</f>
        <v>Sistema de produção de eletricidade</v>
      </c>
      <c r="C1000" s="21" t="str">
        <f>Currency</f>
        <v>€</v>
      </c>
      <c r="D1000" s="125">
        <f>IF(EM_level=1,1,0)*M1000*(O1107+O1108+(F884*IF(HideCodeEM_Power_Peak=0,0,1)+F891)*IF(HideCode_projectType3=2,0,1))</f>
        <v>0</v>
      </c>
      <c r="E1000" s="235" t="str">
        <f>IF(ISERROR(D1000/$D$1004),"",D1000/$D$1004)</f>
        <v/>
      </c>
      <c r="F1000" s="8"/>
      <c r="G1000" s="8"/>
      <c r="H1000" s="8"/>
      <c r="I1000" s="8"/>
      <c r="J1000" s="8"/>
      <c r="K1000" s="9"/>
      <c r="L1000" s="1"/>
      <c r="M1000" s="319">
        <f>IF(OR(HideCode_projectType3=2,HideCode_projectType3=4,HideCode_projectType3=5,HideCode_projectType3=7,,HideCode_projectType3=10),1,0)</f>
        <v>1</v>
      </c>
      <c r="N1000" s="319"/>
      <c r="O1000" s="319"/>
      <c r="P1000" s="319"/>
      <c r="Q1000" s="319"/>
      <c r="R1000" s="319"/>
      <c r="S1000" s="319"/>
      <c r="T1000" s="319"/>
      <c r="U1000" s="319"/>
      <c r="V1000" s="319"/>
      <c r="W1000" s="319"/>
      <c r="X1000" s="319"/>
      <c r="Y1000" s="319"/>
      <c r="Z1000" s="319"/>
      <c r="AA1000" s="319"/>
      <c r="AB1000" s="319"/>
      <c r="AC1000" s="319"/>
      <c r="AD1000" s="319"/>
      <c r="AE1000" s="319"/>
      <c r="AF1000" s="319"/>
      <c r="AG1000" s="319"/>
      <c r="AH1000" s="319"/>
      <c r="AI1000" s="319"/>
      <c r="AJ1000" s="319"/>
      <c r="AK1000" s="319"/>
      <c r="AL1000" s="319"/>
      <c r="AM1000" s="319"/>
      <c r="AN1000" s="319"/>
      <c r="AO1000" s="319">
        <v>5122006</v>
      </c>
      <c r="AP1000" s="319"/>
      <c r="AQ1000" s="319"/>
      <c r="AR1000" s="319"/>
      <c r="AS1000" s="319"/>
      <c r="AT1000" s="319"/>
      <c r="AU1000" s="319"/>
      <c r="AV1000" s="319"/>
      <c r="AW1000" s="319"/>
      <c r="AX1000" s="319"/>
      <c r="AY1000" s="319"/>
      <c r="AZ1000" s="319"/>
      <c r="BA1000" s="319"/>
      <c r="BB1000" s="319"/>
      <c r="BC1000" s="319"/>
      <c r="BD1000" s="319"/>
      <c r="BE1000" s="319"/>
      <c r="BF1000" s="319"/>
      <c r="BG1000" s="319"/>
      <c r="BH1000" s="319"/>
      <c r="BI1000" s="319"/>
      <c r="BJ1000" s="319"/>
      <c r="BK1000" s="319"/>
      <c r="BL1000" s="319"/>
      <c r="BM1000" s="319"/>
      <c r="BN1000" s="319"/>
      <c r="BO1000" s="319"/>
      <c r="BP1000" s="319"/>
      <c r="BQ1000" s="319"/>
      <c r="BR1000" s="319"/>
      <c r="BS1000" s="319"/>
      <c r="BT1000" s="319"/>
      <c r="BU1000" s="319"/>
      <c r="BV1000" s="319"/>
      <c r="BW1000" s="319"/>
      <c r="BX1000" s="319"/>
      <c r="BY1000" s="319"/>
      <c r="BZ1000" s="319"/>
      <c r="CA1000" s="319"/>
      <c r="CB1000" s="319"/>
      <c r="CC1000" s="319"/>
      <c r="CD1000" s="319"/>
      <c r="CE1000" s="319"/>
      <c r="CF1000" s="319"/>
    </row>
    <row r="1001" spans="1:84" ht="12.75" hidden="1" customHeight="1">
      <c r="A1001" s="12"/>
      <c r="B1001" s="8" t="str">
        <f>B1293</f>
        <v>Sistema de Aquecimento</v>
      </c>
      <c r="C1001" s="21" t="str">
        <f>$C$1000</f>
        <v>€</v>
      </c>
      <c r="D1001" s="125">
        <f>IF(EM_level=1,1,0)*((IF(HideCodeES_HeatST1&gt;2,H72,H79)+(IF(HideCodeES_HeatST2&gt;2,H587,H595))*IF(HideCodeES_HSS=1,0,1))*IF(HideCode_projectType3=6,1,0)+(F905*IF(HideCodeEM_Heat_Int2=0,0,1)+(F915*IF(HideCodeEM_Heat_Peak=0,0,1))+SUM('Análise de Custos'!G79:G81)+F922))*M1001</f>
        <v>0</v>
      </c>
      <c r="E1001" s="235" t="str">
        <f>IF(ISERROR(D1001/$D$1004),"",D1001/$D$1004)</f>
        <v/>
      </c>
      <c r="F1001" s="8"/>
      <c r="G1001" s="8"/>
      <c r="H1001" s="8"/>
      <c r="I1001" s="8"/>
      <c r="J1001" s="8"/>
      <c r="K1001" s="9"/>
      <c r="L1001" s="1"/>
      <c r="M1001" s="319">
        <f>IF(OR(HideCode_projectType3=1,HideCode_projectType3=4,HideCode_projectType3=6,HideCode_projectType3=7),1,0)</f>
        <v>0</v>
      </c>
      <c r="N1001" s="319"/>
      <c r="O1001" s="319"/>
      <c r="P1001" s="319"/>
      <c r="Q1001" s="319"/>
      <c r="R1001" s="319"/>
      <c r="S1001" s="319"/>
      <c r="T1001" s="319"/>
      <c r="U1001" s="319"/>
      <c r="V1001" s="319"/>
      <c r="W1001" s="319"/>
      <c r="X1001" s="319"/>
      <c r="Y1001" s="319"/>
      <c r="Z1001" s="319"/>
      <c r="AA1001" s="319"/>
      <c r="AB1001" s="319"/>
      <c r="AC1001" s="319"/>
      <c r="AD1001" s="319"/>
      <c r="AE1001" s="319"/>
      <c r="AF1001" s="319"/>
      <c r="AG1001" s="319"/>
      <c r="AH1001" s="319"/>
      <c r="AI1001" s="319"/>
      <c r="AJ1001" s="319"/>
      <c r="AK1001" s="319"/>
      <c r="AL1001" s="319"/>
      <c r="AM1001" s="319"/>
      <c r="AN1001" s="319"/>
      <c r="AO1001" s="319">
        <v>5122008</v>
      </c>
      <c r="AP1001" s="319"/>
      <c r="AQ1001" s="319"/>
      <c r="AR1001" s="319"/>
      <c r="AS1001" s="319"/>
      <c r="AT1001" s="319"/>
      <c r="AU1001" s="319"/>
      <c r="AV1001" s="319"/>
      <c r="AW1001" s="319"/>
      <c r="AX1001" s="319"/>
      <c r="AY1001" s="319"/>
      <c r="AZ1001" s="319"/>
      <c r="BA1001" s="319"/>
      <c r="BB1001" s="319"/>
      <c r="BC1001" s="319"/>
      <c r="BD1001" s="319"/>
      <c r="BE1001" s="319"/>
      <c r="BF1001" s="319"/>
      <c r="BG1001" s="319"/>
      <c r="BH1001" s="319"/>
      <c r="BI1001" s="319"/>
      <c r="BJ1001" s="319"/>
      <c r="BK1001" s="319"/>
      <c r="BL1001" s="319"/>
      <c r="BM1001" s="319"/>
      <c r="BN1001" s="319"/>
      <c r="BO1001" s="319"/>
      <c r="BP1001" s="319"/>
      <c r="BQ1001" s="319"/>
      <c r="BR1001" s="319"/>
      <c r="BS1001" s="319"/>
      <c r="BT1001" s="319"/>
      <c r="BU1001" s="319"/>
      <c r="BV1001" s="319"/>
      <c r="BW1001" s="319"/>
      <c r="BX1001" s="319"/>
      <c r="BY1001" s="319"/>
      <c r="BZ1001" s="319"/>
      <c r="CA1001" s="319"/>
      <c r="CB1001" s="319"/>
      <c r="CC1001" s="319"/>
      <c r="CD1001" s="319"/>
      <c r="CE1001" s="319"/>
      <c r="CF1001" s="319"/>
    </row>
    <row r="1002" spans="1:84" ht="12.75" hidden="1" customHeight="1">
      <c r="A1002" s="12"/>
      <c r="B1002" s="8" t="str">
        <f>Language!C542</f>
        <v>Sistema de refrigeração</v>
      </c>
      <c r="C1002" s="21" t="str">
        <f>$C$1000</f>
        <v>€</v>
      </c>
      <c r="D1002" s="125">
        <f>IF(EM_level=1,1,0)*(H10+SUM('Análise de Custos'!G90:G92)+H21*IF(HideCodeES_Cool_PL&lt;&gt;5,1,0))*M1002</f>
        <v>0</v>
      </c>
      <c r="E1002" s="235" t="str">
        <f>IF(ISERROR(D1002/$D$1004),"",D1002/$D$1004)</f>
        <v/>
      </c>
      <c r="F1002" s="8"/>
      <c r="G1002" s="8"/>
      <c r="H1002" s="8"/>
      <c r="I1002" s="8"/>
      <c r="J1002" s="8"/>
      <c r="K1002" s="9"/>
      <c r="L1002" s="1"/>
      <c r="M1002" s="319">
        <f>IF(OR(HideCode_projectType3=3,HideCode_projectType3=5,HideCode_projectType3=6,HideCode_projectType3=7),1,0)</f>
        <v>0</v>
      </c>
      <c r="N1002" s="319"/>
      <c r="O1002" s="319"/>
      <c r="P1002" s="319"/>
      <c r="Q1002" s="319"/>
      <c r="R1002" s="319"/>
      <c r="S1002" s="319"/>
      <c r="T1002" s="319"/>
      <c r="U1002" s="319"/>
      <c r="V1002" s="319"/>
      <c r="W1002" s="319"/>
      <c r="X1002" s="319"/>
      <c r="Y1002" s="319"/>
      <c r="Z1002" s="319"/>
      <c r="AA1002" s="319"/>
      <c r="AB1002" s="319"/>
      <c r="AC1002" s="319"/>
      <c r="AD1002" s="319"/>
      <c r="AE1002" s="319"/>
      <c r="AF1002" s="319"/>
      <c r="AG1002" s="319"/>
      <c r="AH1002" s="319"/>
      <c r="AI1002" s="319"/>
      <c r="AJ1002" s="319"/>
      <c r="AK1002" s="319"/>
      <c r="AL1002" s="319"/>
      <c r="AM1002" s="319"/>
      <c r="AN1002" s="319"/>
      <c r="AO1002" s="319">
        <v>5122010</v>
      </c>
      <c r="AP1002" s="319"/>
      <c r="AQ1002" s="319"/>
      <c r="AR1002" s="319"/>
      <c r="AS1002" s="319"/>
      <c r="AT1002" s="319"/>
      <c r="AU1002" s="319"/>
      <c r="AV1002" s="319"/>
      <c r="AW1002" s="319"/>
      <c r="AX1002" s="319"/>
      <c r="AY1002" s="319"/>
      <c r="AZ1002" s="319"/>
      <c r="BA1002" s="319"/>
      <c r="BB1002" s="319"/>
      <c r="BC1002" s="319"/>
      <c r="BD1002" s="319"/>
      <c r="BE1002" s="319"/>
      <c r="BF1002" s="319"/>
      <c r="BG1002" s="319"/>
      <c r="BH1002" s="319"/>
      <c r="BI1002" s="319"/>
      <c r="BJ1002" s="319"/>
      <c r="BK1002" s="319"/>
      <c r="BL1002" s="319"/>
      <c r="BM1002" s="319"/>
      <c r="BN1002" s="319"/>
      <c r="BO1002" s="319"/>
      <c r="BP1002" s="319"/>
      <c r="BQ1002" s="319"/>
      <c r="BR1002" s="319"/>
      <c r="BS1002" s="319"/>
      <c r="BT1002" s="319"/>
      <c r="BU1002" s="319"/>
      <c r="BV1002" s="319"/>
      <c r="BW1002" s="319"/>
      <c r="BX1002" s="319"/>
      <c r="BY1002" s="319"/>
      <c r="BZ1002" s="319"/>
      <c r="CA1002" s="319"/>
      <c r="CB1002" s="319"/>
      <c r="CC1002" s="319"/>
      <c r="CD1002" s="319"/>
      <c r="CE1002" s="319"/>
      <c r="CF1002" s="319"/>
    </row>
    <row r="1003" spans="1:84" ht="12.75" hidden="1" customHeight="1">
      <c r="A1003" s="12"/>
      <c r="B1003" s="334" t="str">
        <f>Language!C142</f>
        <v>Outro</v>
      </c>
      <c r="C1003" s="33" t="str">
        <f>$C$1000</f>
        <v>€</v>
      </c>
      <c r="D1003" s="301"/>
      <c r="E1003" s="248" t="str">
        <f>IF(ISERROR(D1003/$D$1004),"",D1003/$D$1004)</f>
        <v/>
      </c>
      <c r="F1003" s="8"/>
      <c r="G1003" s="8"/>
      <c r="H1003" s="8"/>
      <c r="I1003" s="8"/>
      <c r="J1003" s="8"/>
      <c r="K1003" s="9"/>
      <c r="L1003" s="1"/>
      <c r="M1003" s="319">
        <v>1</v>
      </c>
      <c r="N1003" s="319"/>
      <c r="O1003" s="319"/>
      <c r="P1003" s="319"/>
      <c r="Q1003" s="319"/>
      <c r="R1003" s="319"/>
      <c r="S1003" s="319"/>
      <c r="T1003" s="319"/>
      <c r="U1003" s="319"/>
      <c r="V1003" s="319"/>
      <c r="W1003" s="319"/>
      <c r="X1003" s="319"/>
      <c r="Y1003" s="319"/>
      <c r="Z1003" s="319"/>
      <c r="AA1003" s="319"/>
      <c r="AB1003" s="319"/>
      <c r="AC1003" s="319"/>
      <c r="AD1003" s="319"/>
      <c r="AE1003" s="319"/>
      <c r="AF1003" s="319"/>
      <c r="AG1003" s="319"/>
      <c r="AH1003" s="319"/>
      <c r="AI1003" s="319"/>
      <c r="AJ1003" s="319"/>
      <c r="AK1003" s="319"/>
      <c r="AL1003" s="319"/>
      <c r="AM1003" s="319"/>
      <c r="AN1003" s="319"/>
      <c r="AO1003" s="319">
        <v>5122012</v>
      </c>
      <c r="AP1003" s="319"/>
      <c r="AQ1003" s="319"/>
      <c r="AR1003" s="319"/>
      <c r="AS1003" s="319"/>
      <c r="AT1003" s="319"/>
      <c r="AU1003" s="319"/>
      <c r="AV1003" s="319"/>
      <c r="AW1003" s="319"/>
      <c r="AX1003" s="319"/>
      <c r="AY1003" s="319"/>
      <c r="AZ1003" s="319"/>
      <c r="BA1003" s="319"/>
      <c r="BB1003" s="319"/>
      <c r="BC1003" s="319"/>
      <c r="BD1003" s="319"/>
      <c r="BE1003" s="319"/>
      <c r="BF1003" s="319"/>
      <c r="BG1003" s="319"/>
      <c r="BH1003" s="319"/>
      <c r="BI1003" s="319"/>
      <c r="BJ1003" s="319"/>
      <c r="BK1003" s="319"/>
      <c r="BL1003" s="319"/>
      <c r="BM1003" s="319"/>
      <c r="BN1003" s="319"/>
      <c r="BO1003" s="319"/>
      <c r="BP1003" s="319"/>
      <c r="BQ1003" s="319"/>
      <c r="BR1003" s="319"/>
      <c r="BS1003" s="319"/>
      <c r="BT1003" s="319"/>
      <c r="BU1003" s="319"/>
      <c r="BV1003" s="319"/>
      <c r="BW1003" s="319"/>
      <c r="BX1003" s="319"/>
      <c r="BY1003" s="319"/>
      <c r="BZ1003" s="319"/>
      <c r="CA1003" s="319"/>
      <c r="CB1003" s="319"/>
      <c r="CC1003" s="319"/>
      <c r="CD1003" s="319"/>
      <c r="CE1003" s="319"/>
      <c r="CF1003" s="319"/>
    </row>
    <row r="1004" spans="1:84" ht="12.75" hidden="1" customHeight="1">
      <c r="A1004" s="12"/>
      <c r="B1004" s="153" t="str">
        <f>Language!C572</f>
        <v>Total de custos de investimento</v>
      </c>
      <c r="C1004" s="29" t="str">
        <f>$C$1000</f>
        <v>€</v>
      </c>
      <c r="D1004" s="125">
        <f>SUM(D998:D1003)</f>
        <v>0</v>
      </c>
      <c r="E1004" s="235" t="str">
        <f>IF(ISERROR(D1004/$D$1004),"",D1004/$D$1004)</f>
        <v/>
      </c>
      <c r="F1004" s="8"/>
      <c r="G1004" s="8"/>
      <c r="H1004" s="8"/>
      <c r="I1004" s="8"/>
      <c r="J1004" s="8"/>
      <c r="K1004" s="9"/>
      <c r="L1004" s="1"/>
      <c r="M1004" s="319">
        <v>1</v>
      </c>
      <c r="N1004" s="319"/>
      <c r="O1004" s="319"/>
      <c r="P1004" s="319"/>
      <c r="Q1004" s="319"/>
      <c r="R1004" s="319"/>
      <c r="S1004" s="319"/>
      <c r="T1004" s="319"/>
      <c r="U1004" s="319"/>
      <c r="V1004" s="319"/>
      <c r="W1004" s="319"/>
      <c r="X1004" s="319"/>
      <c r="Y1004" s="319"/>
      <c r="Z1004" s="319"/>
      <c r="AA1004" s="319"/>
      <c r="AB1004" s="319"/>
      <c r="AC1004" s="319"/>
      <c r="AD1004" s="319"/>
      <c r="AE1004" s="319"/>
      <c r="AF1004" s="319"/>
      <c r="AG1004" s="319"/>
      <c r="AH1004" s="319"/>
      <c r="AI1004" s="319"/>
      <c r="AJ1004" s="319"/>
      <c r="AK1004" s="319"/>
      <c r="AL1004" s="319"/>
      <c r="AM1004" s="319"/>
      <c r="AN1004" s="319"/>
      <c r="AO1004" s="319">
        <v>5122000</v>
      </c>
      <c r="AP1004" s="319"/>
      <c r="AQ1004" s="319"/>
      <c r="AR1004" s="319"/>
      <c r="AS1004" s="319"/>
      <c r="AT1004" s="319"/>
      <c r="AU1004" s="319"/>
      <c r="AV1004" s="319"/>
      <c r="AW1004" s="319"/>
      <c r="AX1004" s="319"/>
      <c r="AY1004" s="319"/>
      <c r="AZ1004" s="319"/>
      <c r="BA1004" s="319"/>
      <c r="BB1004" s="319"/>
      <c r="BC1004" s="319"/>
      <c r="BD1004" s="319"/>
      <c r="BE1004" s="319"/>
      <c r="BF1004" s="319"/>
      <c r="BG1004" s="319"/>
      <c r="BH1004" s="319"/>
      <c r="BI1004" s="319"/>
      <c r="BJ1004" s="319"/>
      <c r="BK1004" s="319"/>
      <c r="BL1004" s="319"/>
      <c r="BM1004" s="319"/>
      <c r="BN1004" s="319"/>
      <c r="BO1004" s="319"/>
      <c r="BP1004" s="319"/>
      <c r="BQ1004" s="319"/>
      <c r="BR1004" s="319"/>
      <c r="BS1004" s="319"/>
      <c r="BT1004" s="319"/>
      <c r="BU1004" s="319"/>
      <c r="BV1004" s="319"/>
      <c r="BW1004" s="319"/>
      <c r="BX1004" s="319"/>
      <c r="BY1004" s="319"/>
      <c r="BZ1004" s="319"/>
      <c r="CA1004" s="319"/>
      <c r="CB1004" s="319"/>
      <c r="CC1004" s="319"/>
      <c r="CD1004" s="319"/>
      <c r="CE1004" s="319"/>
      <c r="CF1004" s="319"/>
    </row>
    <row r="1005" spans="1:84" ht="12.75" hidden="1" customHeight="1">
      <c r="A1005" s="12"/>
      <c r="B1005" s="8"/>
      <c r="C1005" s="8"/>
      <c r="D1005" s="8"/>
      <c r="E1005" s="8"/>
      <c r="F1005" s="1"/>
      <c r="G1005" s="1"/>
      <c r="H1005" s="1"/>
      <c r="I1005" s="1"/>
      <c r="J1005" s="1"/>
      <c r="K1005" s="9"/>
      <c r="L1005" s="1"/>
      <c r="M1005" s="319">
        <v>1</v>
      </c>
      <c r="N1005" s="319"/>
      <c r="O1005" s="319"/>
      <c r="P1005" s="319"/>
      <c r="Q1005" s="319"/>
      <c r="R1005" s="319"/>
      <c r="S1005" s="319"/>
      <c r="T1005" s="319"/>
      <c r="U1005" s="319"/>
      <c r="V1005" s="319"/>
      <c r="W1005" s="319"/>
      <c r="X1005" s="319"/>
      <c r="Y1005" s="319"/>
      <c r="Z1005" s="319"/>
      <c r="AA1005" s="319"/>
      <c r="AB1005" s="319"/>
      <c r="AC1005" s="319"/>
      <c r="AD1005" s="319"/>
      <c r="AE1005" s="319"/>
      <c r="AF1005" s="319"/>
      <c r="AG1005" s="319"/>
      <c r="AH1005" s="319"/>
      <c r="AI1005" s="319"/>
      <c r="AJ1005" s="319"/>
      <c r="AK1005" s="319"/>
      <c r="AL1005" s="319"/>
      <c r="AM1005" s="319"/>
      <c r="AN1005" s="319"/>
      <c r="AO1005" s="319">
        <v>5120000</v>
      </c>
      <c r="AP1005" s="319"/>
      <c r="AQ1005" s="319"/>
      <c r="AR1005" s="319"/>
      <c r="AS1005" s="319"/>
      <c r="AT1005" s="319"/>
      <c r="AU1005" s="319"/>
      <c r="AV1005" s="319"/>
      <c r="AW1005" s="319"/>
      <c r="AX1005" s="319"/>
      <c r="AY1005" s="319"/>
      <c r="AZ1005" s="319"/>
      <c r="BA1005" s="319"/>
      <c r="BB1005" s="319"/>
      <c r="BC1005" s="319"/>
      <c r="BD1005" s="319"/>
      <c r="BE1005" s="319"/>
      <c r="BF1005" s="319"/>
      <c r="BG1005" s="319"/>
      <c r="BH1005" s="319"/>
      <c r="BI1005" s="319"/>
      <c r="BJ1005" s="319"/>
      <c r="BK1005" s="319"/>
      <c r="BL1005" s="319"/>
      <c r="BM1005" s="319"/>
      <c r="BN1005" s="319"/>
      <c r="BO1005" s="319"/>
      <c r="BP1005" s="319"/>
      <c r="BQ1005" s="319"/>
      <c r="BR1005" s="319"/>
      <c r="BS1005" s="319"/>
      <c r="BT1005" s="319"/>
      <c r="BU1005" s="319"/>
      <c r="BV1005" s="319"/>
      <c r="BW1005" s="319"/>
      <c r="BX1005" s="319"/>
      <c r="BY1005" s="319"/>
      <c r="BZ1005" s="319"/>
      <c r="CA1005" s="319"/>
      <c r="CB1005" s="319"/>
      <c r="CC1005" s="319"/>
      <c r="CD1005" s="319"/>
      <c r="CE1005" s="319"/>
      <c r="CF1005" s="319"/>
    </row>
    <row r="1006" spans="1:84" ht="12.75" hidden="1" customHeight="1">
      <c r="A1006" s="12"/>
      <c r="B1006" s="153" t="str">
        <f>Language!C685</f>
        <v>Incentivos e subsídios</v>
      </c>
      <c r="C1006" s="21" t="str">
        <f>$C$1000</f>
        <v>€</v>
      </c>
      <c r="D1006" s="409"/>
      <c r="E1006" s="198">
        <v>0</v>
      </c>
      <c r="F1006" s="1241" t="str">
        <f>Language!C710</f>
        <v>Gráfico de fluxo de caixa cumulativo</v>
      </c>
      <c r="G1006" s="1241"/>
      <c r="H1006" s="1241"/>
      <c r="I1006" s="1241"/>
      <c r="J1006" s="1241"/>
      <c r="K1006" s="1242"/>
      <c r="L1006" s="1"/>
      <c r="M1006" s="319">
        <v>1</v>
      </c>
      <c r="N1006" s="319"/>
      <c r="O1006" s="319"/>
      <c r="P1006" s="319"/>
      <c r="Q1006" s="319"/>
      <c r="R1006" s="319"/>
      <c r="S1006" s="319"/>
      <c r="T1006" s="319"/>
      <c r="U1006" s="319"/>
      <c r="V1006" s="319"/>
      <c r="W1006" s="319"/>
      <c r="X1006" s="319"/>
      <c r="Y1006" s="319"/>
      <c r="Z1006" s="319"/>
      <c r="AA1006" s="319"/>
      <c r="AB1006" s="319"/>
      <c r="AC1006" s="319"/>
      <c r="AD1006" s="319"/>
      <c r="AE1006" s="319"/>
      <c r="AF1006" s="319"/>
      <c r="AG1006" s="319"/>
      <c r="AH1006" s="319"/>
      <c r="AI1006" s="319"/>
      <c r="AJ1006" s="319"/>
      <c r="AK1006" s="319"/>
      <c r="AL1006" s="319"/>
      <c r="AM1006" s="319"/>
      <c r="AN1006" s="319"/>
      <c r="AO1006" s="319">
        <v>5123000</v>
      </c>
      <c r="AP1006" s="319"/>
      <c r="AQ1006" s="319"/>
      <c r="AR1006" s="319"/>
      <c r="AS1006" s="319"/>
      <c r="AT1006" s="319"/>
      <c r="AU1006" s="319"/>
      <c r="AV1006" s="319"/>
      <c r="AW1006" s="319"/>
      <c r="AX1006" s="319"/>
      <c r="AY1006" s="319"/>
      <c r="AZ1006" s="319"/>
      <c r="BA1006" s="319"/>
      <c r="BB1006" s="319"/>
      <c r="BC1006" s="319"/>
      <c r="BD1006" s="319"/>
      <c r="BE1006" s="319"/>
      <c r="BF1006" s="319"/>
      <c r="BG1006" s="319"/>
      <c r="BH1006" s="319"/>
      <c r="BI1006" s="319"/>
      <c r="BJ1006" s="319"/>
      <c r="BK1006" s="319"/>
      <c r="BL1006" s="319"/>
      <c r="BM1006" s="319"/>
      <c r="BN1006" s="319"/>
      <c r="BO1006" s="319"/>
      <c r="BP1006" s="319"/>
      <c r="BQ1006" s="319"/>
      <c r="BR1006" s="319"/>
      <c r="BS1006" s="319"/>
      <c r="BT1006" s="319"/>
      <c r="BU1006" s="319"/>
      <c r="BV1006" s="319"/>
      <c r="BW1006" s="319"/>
      <c r="BX1006" s="319"/>
      <c r="BY1006" s="319"/>
      <c r="BZ1006" s="319"/>
      <c r="CA1006" s="319"/>
      <c r="CB1006" s="319"/>
      <c r="CC1006" s="319"/>
      <c r="CD1006" s="319"/>
      <c r="CE1006" s="319"/>
      <c r="CF1006" s="319"/>
    </row>
    <row r="1007" spans="1:84" ht="12.75" hidden="1" customHeight="1">
      <c r="A1007" s="12"/>
      <c r="B1007" s="1"/>
      <c r="C1007" s="1"/>
      <c r="D1007" s="1"/>
      <c r="E1007" s="1"/>
      <c r="F1007" s="1"/>
      <c r="G1007" s="1"/>
      <c r="H1007" s="1"/>
      <c r="I1007" s="1"/>
      <c r="J1007" s="1"/>
      <c r="K1007" s="9"/>
      <c r="L1007" s="1"/>
      <c r="M1007" s="319">
        <v>1</v>
      </c>
      <c r="N1007" s="319"/>
      <c r="O1007" s="319"/>
      <c r="P1007" s="319"/>
      <c r="Q1007" s="319"/>
      <c r="R1007" s="319"/>
      <c r="S1007" s="319"/>
      <c r="T1007" s="319"/>
      <c r="U1007" s="319"/>
      <c r="V1007" s="319"/>
      <c r="W1007" s="319"/>
      <c r="X1007" s="319"/>
      <c r="Y1007" s="319"/>
      <c r="Z1007" s="319"/>
      <c r="AA1007" s="319"/>
      <c r="AB1007" s="319"/>
      <c r="AC1007" s="319"/>
      <c r="AD1007" s="319"/>
      <c r="AE1007" s="319"/>
      <c r="AF1007" s="319"/>
      <c r="AG1007" s="319"/>
      <c r="AH1007" s="319"/>
      <c r="AI1007" s="319"/>
      <c r="AJ1007" s="319"/>
      <c r="AK1007" s="319"/>
      <c r="AL1007" s="319"/>
      <c r="AM1007" s="319"/>
      <c r="AN1007" s="319"/>
      <c r="AO1007" s="319">
        <v>5120000</v>
      </c>
      <c r="AP1007" s="319"/>
      <c r="AQ1007" s="319"/>
      <c r="AR1007" s="319"/>
      <c r="AS1007" s="319"/>
      <c r="AT1007" s="319"/>
      <c r="AU1007" s="319"/>
      <c r="AV1007" s="319"/>
      <c r="AW1007" s="319"/>
      <c r="AX1007" s="319"/>
      <c r="AY1007" s="319"/>
      <c r="AZ1007" s="319"/>
      <c r="BA1007" s="319"/>
      <c r="BB1007" s="319"/>
      <c r="BC1007" s="319"/>
      <c r="BD1007" s="319"/>
      <c r="BE1007" s="319"/>
      <c r="BF1007" s="319"/>
      <c r="BG1007" s="319"/>
      <c r="BH1007" s="319"/>
      <c r="BI1007" s="319"/>
      <c r="BJ1007" s="319"/>
      <c r="BK1007" s="319"/>
      <c r="BL1007" s="319"/>
      <c r="BM1007" s="319"/>
      <c r="BN1007" s="319"/>
      <c r="BO1007" s="319"/>
      <c r="BP1007" s="319"/>
      <c r="BQ1007" s="319"/>
      <c r="BR1007" s="319"/>
      <c r="BS1007" s="319"/>
      <c r="BT1007" s="319"/>
      <c r="BU1007" s="319"/>
      <c r="BV1007" s="319"/>
      <c r="BW1007" s="319"/>
      <c r="BX1007" s="319"/>
      <c r="BY1007" s="319"/>
      <c r="BZ1007" s="319"/>
      <c r="CA1007" s="319"/>
      <c r="CB1007" s="319"/>
      <c r="CC1007" s="319"/>
      <c r="CD1007" s="319"/>
      <c r="CE1007" s="319"/>
      <c r="CF1007" s="319"/>
    </row>
    <row r="1008" spans="1:84" ht="12.75" hidden="1" customHeight="1">
      <c r="A1008" s="12"/>
      <c r="B1008" s="28" t="str">
        <f>Language!C686</f>
        <v>Pagamento anual de custos e empréstimos</v>
      </c>
      <c r="C1008" s="1"/>
      <c r="D1008" s="1"/>
      <c r="E1008" s="1240" t="str">
        <f>'Modelo Energético '!E995</f>
        <v>Fluxo de caixa cumulativo (€)</v>
      </c>
      <c r="F1008" s="1"/>
      <c r="G1008" s="1"/>
      <c r="H1008" s="1"/>
      <c r="I1008" s="1"/>
      <c r="J1008" s="1"/>
      <c r="K1008" s="9"/>
      <c r="L1008" s="1"/>
      <c r="M1008" s="319">
        <v>1</v>
      </c>
      <c r="N1008" s="319"/>
      <c r="O1008" s="319"/>
      <c r="P1008" s="319"/>
      <c r="Q1008" s="319"/>
      <c r="R1008" s="319"/>
      <c r="S1008" s="319"/>
      <c r="T1008" s="319"/>
      <c r="U1008" s="319"/>
      <c r="V1008" s="319"/>
      <c r="W1008" s="319"/>
      <c r="X1008" s="319"/>
      <c r="Y1008" s="319"/>
      <c r="Z1008" s="319"/>
      <c r="AA1008" s="319"/>
      <c r="AB1008" s="319"/>
      <c r="AC1008" s="319"/>
      <c r="AD1008" s="319"/>
      <c r="AE1008" s="319"/>
      <c r="AF1008" s="319"/>
      <c r="AG1008" s="319"/>
      <c r="AH1008" s="319"/>
      <c r="AI1008" s="319"/>
      <c r="AJ1008" s="319"/>
      <c r="AK1008" s="319"/>
      <c r="AL1008" s="319"/>
      <c r="AM1008" s="319"/>
      <c r="AN1008" s="319"/>
      <c r="AO1008" s="319">
        <v>5124000</v>
      </c>
      <c r="AP1008" s="319"/>
      <c r="AQ1008" s="319"/>
      <c r="AR1008" s="319"/>
      <c r="AS1008" s="319"/>
      <c r="AT1008" s="319"/>
      <c r="AU1008" s="319"/>
      <c r="AV1008" s="319"/>
      <c r="AW1008" s="319"/>
      <c r="AX1008" s="319"/>
      <c r="AY1008" s="319"/>
      <c r="AZ1008" s="319"/>
      <c r="BA1008" s="319"/>
      <c r="BB1008" s="319"/>
      <c r="BC1008" s="319"/>
      <c r="BD1008" s="319"/>
      <c r="BE1008" s="319"/>
      <c r="BF1008" s="319"/>
      <c r="BG1008" s="319"/>
      <c r="BH1008" s="319"/>
      <c r="BI1008" s="319"/>
      <c r="BJ1008" s="319"/>
      <c r="BK1008" s="319"/>
      <c r="BL1008" s="319"/>
      <c r="BM1008" s="319"/>
      <c r="BN1008" s="319"/>
      <c r="BO1008" s="319"/>
      <c r="BP1008" s="319"/>
      <c r="BQ1008" s="319"/>
      <c r="BR1008" s="319"/>
      <c r="BS1008" s="319"/>
      <c r="BT1008" s="319"/>
      <c r="BU1008" s="319"/>
      <c r="BV1008" s="319"/>
      <c r="BW1008" s="319"/>
      <c r="BX1008" s="319"/>
      <c r="BY1008" s="319"/>
      <c r="BZ1008" s="319"/>
      <c r="CA1008" s="319"/>
      <c r="CB1008" s="319"/>
      <c r="CC1008" s="319"/>
      <c r="CD1008" s="319"/>
      <c r="CE1008" s="319"/>
      <c r="CF1008" s="319"/>
    </row>
    <row r="1009" spans="1:84" ht="12.75" hidden="1" customHeight="1">
      <c r="A1009" s="12"/>
      <c r="B1009" s="56" t="str">
        <f>Language!C2594</f>
        <v>Custo (economia) de O&amp;M</v>
      </c>
      <c r="C1009" s="21" t="str">
        <f>$C$1000</f>
        <v>€</v>
      </c>
      <c r="D1009" s="409"/>
      <c r="E1009" s="1240"/>
      <c r="F1009" s="1"/>
      <c r="G1009" s="1"/>
      <c r="H1009" s="1"/>
      <c r="I1009" s="1"/>
      <c r="J1009" s="1"/>
      <c r="K1009" s="9"/>
      <c r="L1009" s="1"/>
      <c r="M1009" s="319">
        <v>1</v>
      </c>
      <c r="N1009" s="319"/>
      <c r="O1009" s="319"/>
      <c r="P1009" s="319"/>
      <c r="Q1009" s="319"/>
      <c r="R1009" s="319"/>
      <c r="S1009" s="319"/>
      <c r="T1009" s="319"/>
      <c r="U1009" s="319"/>
      <c r="V1009" s="319"/>
      <c r="W1009" s="319"/>
      <c r="X1009" s="319"/>
      <c r="Y1009" s="319"/>
      <c r="Z1009" s="319"/>
      <c r="AA1009" s="319"/>
      <c r="AB1009" s="319"/>
      <c r="AC1009" s="319"/>
      <c r="AD1009" s="319"/>
      <c r="AE1009" s="319"/>
      <c r="AF1009" s="319"/>
      <c r="AG1009" s="319"/>
      <c r="AH1009" s="319"/>
      <c r="AI1009" s="319"/>
      <c r="AJ1009" s="319"/>
      <c r="AK1009" s="319"/>
      <c r="AL1009" s="319"/>
      <c r="AM1009" s="319"/>
      <c r="AN1009" s="319"/>
      <c r="AO1009" s="319">
        <v>5124002</v>
      </c>
      <c r="AP1009" s="319"/>
      <c r="AQ1009" s="319"/>
      <c r="AR1009" s="319"/>
      <c r="AS1009" s="319"/>
      <c r="AT1009" s="319"/>
      <c r="AU1009" s="319"/>
      <c r="AV1009" s="319"/>
      <c r="AW1009" s="319"/>
      <c r="AX1009" s="319"/>
      <c r="AY1009" s="319"/>
      <c r="AZ1009" s="319"/>
      <c r="BA1009" s="319"/>
      <c r="BB1009" s="319"/>
      <c r="BC1009" s="319"/>
      <c r="BD1009" s="319"/>
      <c r="BE1009" s="319"/>
      <c r="BF1009" s="319"/>
      <c r="BG1009" s="319"/>
      <c r="BH1009" s="319"/>
      <c r="BI1009" s="319"/>
      <c r="BJ1009" s="319"/>
      <c r="BK1009" s="319"/>
      <c r="BL1009" s="319"/>
      <c r="BM1009" s="319"/>
      <c r="BN1009" s="319"/>
      <c r="BO1009" s="319"/>
      <c r="BP1009" s="319"/>
      <c r="BQ1009" s="319"/>
      <c r="BR1009" s="319"/>
      <c r="BS1009" s="319"/>
      <c r="BT1009" s="319"/>
      <c r="BU1009" s="319"/>
      <c r="BV1009" s="319"/>
      <c r="BW1009" s="319"/>
      <c r="BX1009" s="319"/>
      <c r="BY1009" s="319"/>
      <c r="BZ1009" s="319"/>
      <c r="CA1009" s="319"/>
      <c r="CB1009" s="319"/>
      <c r="CC1009" s="319"/>
      <c r="CD1009" s="319"/>
      <c r="CE1009" s="319"/>
      <c r="CF1009" s="319"/>
    </row>
    <row r="1010" spans="1:84" ht="12.75" hidden="1" customHeight="1">
      <c r="A1010" s="12"/>
      <c r="B1010" s="56"/>
      <c r="C1010" s="21"/>
      <c r="D1010" s="144"/>
      <c r="E1010" s="1240"/>
      <c r="F1010" s="1"/>
      <c r="G1010" s="1"/>
      <c r="H1010" s="1"/>
      <c r="I1010" s="1"/>
      <c r="J1010" s="1"/>
      <c r="K1010" s="9"/>
      <c r="L1010" s="1"/>
      <c r="M1010" s="319">
        <v>0</v>
      </c>
      <c r="N1010" s="319"/>
      <c r="O1010" s="319"/>
      <c r="P1010" s="319"/>
      <c r="Q1010" s="319"/>
      <c r="R1010" s="319"/>
      <c r="S1010" s="319"/>
      <c r="T1010" s="319"/>
      <c r="U1010" s="319"/>
      <c r="V1010" s="319"/>
      <c r="W1010" s="319"/>
      <c r="X1010" s="319"/>
      <c r="Y1010" s="319"/>
      <c r="Z1010" s="319"/>
      <c r="AA1010" s="319"/>
      <c r="AB1010" s="319"/>
      <c r="AC1010" s="319"/>
      <c r="AD1010" s="319"/>
      <c r="AE1010" s="319"/>
      <c r="AF1010" s="319"/>
      <c r="AG1010" s="319"/>
      <c r="AH1010" s="319"/>
      <c r="AI1010" s="319"/>
      <c r="AJ1010" s="319"/>
      <c r="AK1010" s="319"/>
      <c r="AL1010" s="319"/>
      <c r="AM1010" s="319"/>
      <c r="AN1010" s="319"/>
      <c r="AO1010" s="319">
        <v>5124004</v>
      </c>
      <c r="AP1010" s="319"/>
      <c r="AQ1010" s="319"/>
      <c r="AR1010" s="319"/>
      <c r="AS1010" s="319"/>
      <c r="AT1010" s="319"/>
      <c r="AU1010" s="319"/>
      <c r="AV1010" s="319"/>
      <c r="AW1010" s="319"/>
      <c r="AX1010" s="319"/>
      <c r="AY1010" s="319"/>
      <c r="AZ1010" s="319"/>
      <c r="BA1010" s="319"/>
      <c r="BB1010" s="319"/>
      <c r="BC1010" s="319"/>
      <c r="BD1010" s="319"/>
      <c r="BE1010" s="319"/>
      <c r="BF1010" s="319"/>
      <c r="BG1010" s="319"/>
      <c r="BH1010" s="319"/>
      <c r="BI1010" s="319"/>
      <c r="BJ1010" s="319"/>
      <c r="BK1010" s="319"/>
      <c r="BL1010" s="319"/>
      <c r="BM1010" s="319"/>
      <c r="BN1010" s="319"/>
      <c r="BO1010" s="319"/>
      <c r="BP1010" s="319"/>
      <c r="BQ1010" s="319"/>
      <c r="BR1010" s="319"/>
      <c r="BS1010" s="319"/>
      <c r="BT1010" s="319"/>
      <c r="BU1010" s="319"/>
      <c r="BV1010" s="319"/>
      <c r="BW1010" s="319"/>
      <c r="BX1010" s="319"/>
      <c r="BY1010" s="319"/>
      <c r="BZ1010" s="319"/>
      <c r="CA1010" s="319"/>
      <c r="CB1010" s="319"/>
      <c r="CC1010" s="319"/>
      <c r="CD1010" s="319"/>
      <c r="CE1010" s="319"/>
      <c r="CF1010" s="319"/>
    </row>
    <row r="1011" spans="1:84" ht="12.75" hidden="1" customHeight="1">
      <c r="A1011" s="12"/>
      <c r="B1011" s="56" t="str">
        <f>Language!C692</f>
        <v>Custo combustível - caso proposto</v>
      </c>
      <c r="C1011" s="21" t="str">
        <f>$C$1000</f>
        <v>€</v>
      </c>
      <c r="D1011" s="144">
        <f>'Análise Financeira'!K20</f>
        <v>0</v>
      </c>
      <c r="E1011" s="1240"/>
      <c r="F1011" s="1"/>
      <c r="G1011" s="1"/>
      <c r="H1011" s="1"/>
      <c r="I1011" s="1"/>
      <c r="J1011" s="1"/>
      <c r="K1011" s="9"/>
      <c r="L1011" s="1"/>
      <c r="M1011" s="319">
        <v>1</v>
      </c>
      <c r="N1011" s="319"/>
      <c r="O1011" s="319"/>
      <c r="P1011" s="319"/>
      <c r="Q1011" s="319"/>
      <c r="R1011" s="319"/>
      <c r="S1011" s="319"/>
      <c r="T1011" s="319"/>
      <c r="U1011" s="319"/>
      <c r="V1011" s="319"/>
      <c r="W1011" s="319"/>
      <c r="X1011" s="319"/>
      <c r="Y1011" s="319"/>
      <c r="Z1011" s="319"/>
      <c r="AA1011" s="319"/>
      <c r="AB1011" s="319"/>
      <c r="AC1011" s="319"/>
      <c r="AD1011" s="319"/>
      <c r="AE1011" s="319"/>
      <c r="AF1011" s="319"/>
      <c r="AG1011" s="319"/>
      <c r="AH1011" s="319"/>
      <c r="AI1011" s="319"/>
      <c r="AJ1011" s="319"/>
      <c r="AK1011" s="319"/>
      <c r="AL1011" s="319"/>
      <c r="AM1011" s="319"/>
      <c r="AN1011" s="319"/>
      <c r="AO1011" s="319">
        <v>5124006</v>
      </c>
      <c r="AP1011" s="319"/>
      <c r="AQ1011" s="319"/>
      <c r="AR1011" s="319"/>
      <c r="AS1011" s="319"/>
      <c r="AT1011" s="319"/>
      <c r="AU1011" s="319"/>
      <c r="AV1011" s="319"/>
      <c r="AW1011" s="319"/>
      <c r="AX1011" s="319"/>
      <c r="AY1011" s="319"/>
      <c r="AZ1011" s="319"/>
      <c r="BA1011" s="319"/>
      <c r="BB1011" s="319"/>
      <c r="BC1011" s="319"/>
      <c r="BD1011" s="319"/>
      <c r="BE1011" s="319"/>
      <c r="BF1011" s="319"/>
      <c r="BG1011" s="319"/>
      <c r="BH1011" s="319"/>
      <c r="BI1011" s="319"/>
      <c r="BJ1011" s="319"/>
      <c r="BK1011" s="319"/>
      <c r="BL1011" s="319"/>
      <c r="BM1011" s="319"/>
      <c r="BN1011" s="319"/>
      <c r="BO1011" s="319"/>
      <c r="BP1011" s="319"/>
      <c r="BQ1011" s="319"/>
      <c r="BR1011" s="319"/>
      <c r="BS1011" s="319"/>
      <c r="BT1011" s="319"/>
      <c r="BU1011" s="319"/>
      <c r="BV1011" s="319"/>
      <c r="BW1011" s="319"/>
      <c r="BX1011" s="319"/>
      <c r="BY1011" s="319"/>
      <c r="BZ1011" s="319"/>
      <c r="CA1011" s="319"/>
      <c r="CB1011" s="319"/>
      <c r="CC1011" s="319"/>
      <c r="CD1011" s="319"/>
      <c r="CE1011" s="319"/>
      <c r="CF1011" s="319"/>
    </row>
    <row r="1012" spans="1:84" ht="12.75" hidden="1" customHeight="1">
      <c r="A1012" s="12"/>
      <c r="B1012" s="1" t="str">
        <f>'Análise Financeira'!G21</f>
        <v>Pagamento da dívida - 0 anos</v>
      </c>
      <c r="C1012" s="21" t="str">
        <f>$C$1000</f>
        <v>€</v>
      </c>
      <c r="D1012" s="144">
        <f>'Análise Financeira'!K21</f>
        <v>0</v>
      </c>
      <c r="E1012" s="1240"/>
      <c r="F1012" s="1"/>
      <c r="G1012" s="1"/>
      <c r="H1012" s="1"/>
      <c r="I1012" s="1"/>
      <c r="J1012" s="1"/>
      <c r="K1012" s="9"/>
      <c r="L1012" s="1"/>
      <c r="M1012" s="319">
        <f>IF(D993=0,0,1)</f>
        <v>0</v>
      </c>
      <c r="N1012" s="319"/>
      <c r="O1012" s="319"/>
      <c r="P1012" s="319"/>
      <c r="Q1012" s="319"/>
      <c r="R1012" s="319"/>
      <c r="S1012" s="319"/>
      <c r="T1012" s="319"/>
      <c r="U1012" s="319"/>
      <c r="V1012" s="319"/>
      <c r="W1012" s="319"/>
      <c r="X1012" s="319"/>
      <c r="Y1012" s="319"/>
      <c r="Z1012" s="319"/>
      <c r="AA1012" s="319"/>
      <c r="AB1012" s="319"/>
      <c r="AC1012" s="319"/>
      <c r="AD1012" s="319"/>
      <c r="AE1012" s="319"/>
      <c r="AF1012" s="319"/>
      <c r="AG1012" s="319"/>
      <c r="AH1012" s="319"/>
      <c r="AI1012" s="319"/>
      <c r="AJ1012" s="319"/>
      <c r="AK1012" s="319"/>
      <c r="AL1012" s="319"/>
      <c r="AM1012" s="319"/>
      <c r="AN1012" s="319"/>
      <c r="AO1012" s="319">
        <v>74306</v>
      </c>
      <c r="AP1012" s="319"/>
      <c r="AQ1012" s="319"/>
      <c r="AR1012" s="319"/>
      <c r="AS1012" s="319"/>
      <c r="AT1012" s="319"/>
      <c r="AU1012" s="319"/>
      <c r="AV1012" s="319"/>
      <c r="AW1012" s="319"/>
      <c r="AX1012" s="319"/>
      <c r="AY1012" s="319"/>
      <c r="AZ1012" s="319"/>
      <c r="BA1012" s="319"/>
      <c r="BB1012" s="319"/>
      <c r="BC1012" s="319"/>
      <c r="BD1012" s="319"/>
      <c r="BE1012" s="319"/>
      <c r="BF1012" s="319"/>
      <c r="BG1012" s="319"/>
      <c r="BH1012" s="319"/>
      <c r="BI1012" s="319"/>
      <c r="BJ1012" s="319"/>
      <c r="BK1012" s="319"/>
      <c r="BL1012" s="319"/>
      <c r="BM1012" s="319"/>
      <c r="BN1012" s="319"/>
      <c r="BO1012" s="319"/>
      <c r="BP1012" s="319"/>
      <c r="BQ1012" s="319"/>
      <c r="BR1012" s="319"/>
      <c r="BS1012" s="319"/>
      <c r="BT1012" s="319"/>
      <c r="BU1012" s="319"/>
      <c r="BV1012" s="319"/>
      <c r="BW1012" s="319"/>
      <c r="BX1012" s="319"/>
      <c r="BY1012" s="319"/>
      <c r="BZ1012" s="319"/>
      <c r="CA1012" s="319"/>
      <c r="CB1012" s="319"/>
      <c r="CC1012" s="319"/>
      <c r="CD1012" s="319"/>
      <c r="CE1012" s="319"/>
      <c r="CF1012" s="319"/>
    </row>
    <row r="1013" spans="1:84" ht="12.75" hidden="1" customHeight="1">
      <c r="A1013" s="12"/>
      <c r="B1013" s="377"/>
      <c r="C1013" s="33" t="str">
        <f>$C$1000</f>
        <v>€</v>
      </c>
      <c r="D1013" s="409"/>
      <c r="E1013" s="1240"/>
      <c r="F1013" s="1"/>
      <c r="G1013" s="1"/>
      <c r="H1013" s="1"/>
      <c r="I1013" s="1"/>
      <c r="J1013" s="1"/>
      <c r="K1013" s="9"/>
      <c r="L1013" s="1"/>
      <c r="M1013" s="319">
        <v>1</v>
      </c>
      <c r="N1013" s="319"/>
      <c r="O1013" s="319"/>
      <c r="P1013" s="319"/>
      <c r="Q1013" s="319"/>
      <c r="R1013" s="319"/>
      <c r="S1013" s="319"/>
      <c r="T1013" s="319"/>
      <c r="U1013" s="319"/>
      <c r="V1013" s="319"/>
      <c r="W1013" s="319"/>
      <c r="X1013" s="319"/>
      <c r="Y1013" s="319"/>
      <c r="Z1013" s="319"/>
      <c r="AA1013" s="319"/>
      <c r="AB1013" s="319"/>
      <c r="AC1013" s="319"/>
      <c r="AD1013" s="319"/>
      <c r="AE1013" s="319"/>
      <c r="AF1013" s="319"/>
      <c r="AG1013" s="319"/>
      <c r="AH1013" s="319"/>
      <c r="AI1013" s="319"/>
      <c r="AJ1013" s="319"/>
      <c r="AK1013" s="319"/>
      <c r="AL1013" s="319"/>
      <c r="AM1013" s="319"/>
      <c r="AN1013" s="319"/>
      <c r="AO1013" s="319">
        <v>5124010</v>
      </c>
      <c r="AP1013" s="319"/>
      <c r="AQ1013" s="319"/>
      <c r="AR1013" s="319"/>
      <c r="AS1013" s="319"/>
      <c r="AT1013" s="319"/>
      <c r="AU1013" s="319"/>
      <c r="AV1013" s="319"/>
      <c r="AW1013" s="319"/>
      <c r="AX1013" s="319"/>
      <c r="AY1013" s="319"/>
      <c r="AZ1013" s="319"/>
      <c r="BA1013" s="319"/>
      <c r="BB1013" s="319"/>
      <c r="BC1013" s="319"/>
      <c r="BD1013" s="319"/>
      <c r="BE1013" s="319"/>
      <c r="BF1013" s="319"/>
      <c r="BG1013" s="319"/>
      <c r="BH1013" s="319"/>
      <c r="BI1013" s="319"/>
      <c r="BJ1013" s="319"/>
      <c r="BK1013" s="319"/>
      <c r="BL1013" s="319"/>
      <c r="BM1013" s="319"/>
      <c r="BN1013" s="319"/>
      <c r="BO1013" s="319"/>
      <c r="BP1013" s="319"/>
      <c r="BQ1013" s="319"/>
      <c r="BR1013" s="319"/>
      <c r="BS1013" s="319"/>
      <c r="BT1013" s="319"/>
      <c r="BU1013" s="319"/>
      <c r="BV1013" s="319"/>
      <c r="BW1013" s="319"/>
      <c r="BX1013" s="319"/>
      <c r="BY1013" s="319"/>
      <c r="BZ1013" s="319"/>
      <c r="CA1013" s="319"/>
      <c r="CB1013" s="319"/>
      <c r="CC1013" s="319"/>
      <c r="CD1013" s="319"/>
      <c r="CE1013" s="319"/>
      <c r="CF1013" s="319"/>
    </row>
    <row r="1014" spans="1:84" ht="12.75" hidden="1" customHeight="1">
      <c r="A1014" s="12"/>
      <c r="B1014" s="98" t="str">
        <f>Language!C576</f>
        <v>Total de custos anuais</v>
      </c>
      <c r="C1014" s="29" t="str">
        <f>$C$1000</f>
        <v>€</v>
      </c>
      <c r="D1014" s="145">
        <f>'Análise Financeira'!Ann_costs</f>
        <v>300</v>
      </c>
      <c r="E1014" s="1240"/>
      <c r="F1014" s="1"/>
      <c r="G1014" s="1"/>
      <c r="H1014" s="1"/>
      <c r="I1014" s="1"/>
      <c r="J1014" s="1"/>
      <c r="K1014" s="9"/>
      <c r="L1014" s="1"/>
      <c r="M1014" s="319">
        <v>1</v>
      </c>
      <c r="N1014" s="319"/>
      <c r="O1014" s="319"/>
      <c r="P1014" s="319"/>
      <c r="Q1014" s="319"/>
      <c r="R1014" s="319"/>
      <c r="S1014" s="319"/>
      <c r="T1014" s="319"/>
      <c r="U1014" s="319"/>
      <c r="V1014" s="319"/>
      <c r="W1014" s="319"/>
      <c r="X1014" s="319"/>
      <c r="Y1014" s="319"/>
      <c r="Z1014" s="319"/>
      <c r="AA1014" s="319"/>
      <c r="AB1014" s="319"/>
      <c r="AC1014" s="319"/>
      <c r="AD1014" s="319"/>
      <c r="AE1014" s="319"/>
      <c r="AF1014" s="319"/>
      <c r="AG1014" s="319"/>
      <c r="AH1014" s="319"/>
      <c r="AI1014" s="319"/>
      <c r="AJ1014" s="319"/>
      <c r="AK1014" s="319"/>
      <c r="AL1014" s="319"/>
      <c r="AM1014" s="319"/>
      <c r="AN1014" s="319"/>
      <c r="AO1014" s="319">
        <v>5124000</v>
      </c>
      <c r="AP1014" s="319"/>
      <c r="AQ1014" s="319"/>
      <c r="AR1014" s="319"/>
      <c r="AS1014" s="319"/>
      <c r="AT1014" s="319"/>
      <c r="AU1014" s="319"/>
      <c r="AV1014" s="319"/>
      <c r="AW1014" s="319"/>
      <c r="AX1014" s="319"/>
      <c r="AY1014" s="319"/>
      <c r="AZ1014" s="319"/>
      <c r="BA1014" s="319"/>
      <c r="BB1014" s="319"/>
      <c r="BC1014" s="319"/>
      <c r="BD1014" s="319"/>
      <c r="BE1014" s="319"/>
      <c r="BF1014" s="319"/>
      <c r="BG1014" s="319"/>
      <c r="BH1014" s="319"/>
      <c r="BI1014" s="319"/>
      <c r="BJ1014" s="319"/>
      <c r="BK1014" s="319"/>
      <c r="BL1014" s="319"/>
      <c r="BM1014" s="319"/>
      <c r="BN1014" s="319"/>
      <c r="BO1014" s="319"/>
      <c r="BP1014" s="319"/>
      <c r="BQ1014" s="319"/>
      <c r="BR1014" s="319"/>
      <c r="BS1014" s="319"/>
      <c r="BT1014" s="319"/>
      <c r="BU1014" s="319"/>
      <c r="BV1014" s="319"/>
      <c r="BW1014" s="319"/>
      <c r="BX1014" s="319"/>
      <c r="BY1014" s="319"/>
      <c r="BZ1014" s="319"/>
      <c r="CA1014" s="319"/>
      <c r="CB1014" s="319"/>
      <c r="CC1014" s="319"/>
      <c r="CD1014" s="319"/>
      <c r="CE1014" s="319"/>
      <c r="CF1014" s="319"/>
    </row>
    <row r="1015" spans="1:84" ht="12.75" hidden="1" customHeight="1">
      <c r="A1015" s="12"/>
      <c r="B1015" s="1"/>
      <c r="C1015" s="1"/>
      <c r="D1015" s="1"/>
      <c r="E1015" s="1240"/>
      <c r="F1015" s="1"/>
      <c r="G1015" s="1"/>
      <c r="H1015" s="1"/>
      <c r="I1015" s="1"/>
      <c r="J1015" s="1"/>
      <c r="K1015" s="9"/>
      <c r="L1015" s="1"/>
      <c r="M1015" s="319">
        <v>1</v>
      </c>
      <c r="N1015" s="319"/>
      <c r="O1015" s="319"/>
      <c r="P1015" s="319"/>
      <c r="Q1015" s="319"/>
      <c r="R1015" s="319"/>
      <c r="S1015" s="319"/>
      <c r="T1015" s="319"/>
      <c r="U1015" s="319"/>
      <c r="V1015" s="319"/>
      <c r="W1015" s="319"/>
      <c r="X1015" s="319"/>
      <c r="Y1015" s="319"/>
      <c r="Z1015" s="319"/>
      <c r="AA1015" s="319"/>
      <c r="AB1015" s="319"/>
      <c r="AC1015" s="319"/>
      <c r="AD1015" s="319"/>
      <c r="AE1015" s="319"/>
      <c r="AF1015" s="319"/>
      <c r="AG1015" s="319"/>
      <c r="AH1015" s="319"/>
      <c r="AI1015" s="319"/>
      <c r="AJ1015" s="319"/>
      <c r="AK1015" s="319"/>
      <c r="AL1015" s="319"/>
      <c r="AM1015" s="319"/>
      <c r="AN1015" s="319"/>
      <c r="AO1015" s="319">
        <v>5120000</v>
      </c>
      <c r="AP1015" s="319"/>
      <c r="AQ1015" s="319"/>
      <c r="AR1015" s="319"/>
      <c r="AS1015" s="319"/>
      <c r="AT1015" s="319"/>
      <c r="AU1015" s="319"/>
      <c r="AV1015" s="319"/>
      <c r="AW1015" s="319"/>
      <c r="AX1015" s="319"/>
      <c r="AY1015" s="319"/>
      <c r="AZ1015" s="319"/>
      <c r="BA1015" s="319"/>
      <c r="BB1015" s="319"/>
      <c r="BC1015" s="319"/>
      <c r="BD1015" s="319"/>
      <c r="BE1015" s="319"/>
      <c r="BF1015" s="319"/>
      <c r="BG1015" s="319"/>
      <c r="BH1015" s="319"/>
      <c r="BI1015" s="319"/>
      <c r="BJ1015" s="319"/>
      <c r="BK1015" s="319"/>
      <c r="BL1015" s="319"/>
      <c r="BM1015" s="319"/>
      <c r="BN1015" s="319"/>
      <c r="BO1015" s="319"/>
      <c r="BP1015" s="319"/>
      <c r="BQ1015" s="319"/>
      <c r="BR1015" s="319"/>
      <c r="BS1015" s="319"/>
      <c r="BT1015" s="319"/>
      <c r="BU1015" s="319"/>
      <c r="BV1015" s="319"/>
      <c r="BW1015" s="319"/>
      <c r="BX1015" s="319"/>
      <c r="BY1015" s="319"/>
      <c r="BZ1015" s="319"/>
      <c r="CA1015" s="319"/>
      <c r="CB1015" s="319"/>
      <c r="CC1015" s="319"/>
      <c r="CD1015" s="319"/>
      <c r="CE1015" s="319"/>
      <c r="CF1015" s="319"/>
    </row>
    <row r="1016" spans="1:84" ht="12.75" hidden="1" customHeight="1">
      <c r="A1016" s="12"/>
      <c r="B1016" s="28" t="str">
        <f>Language!C687</f>
        <v>Economia anual e receita</v>
      </c>
      <c r="C1016" s="1"/>
      <c r="D1016" s="1"/>
      <c r="E1016" s="1240"/>
      <c r="F1016" s="1"/>
      <c r="G1016" s="1"/>
      <c r="H1016" s="1"/>
      <c r="I1016" s="1"/>
      <c r="J1016" s="1"/>
      <c r="K1016" s="9"/>
      <c r="L1016" s="1"/>
      <c r="M1016" s="319">
        <v>1</v>
      </c>
      <c r="N1016" s="319"/>
      <c r="O1016" s="319"/>
      <c r="P1016" s="319"/>
      <c r="Q1016" s="319"/>
      <c r="R1016" s="319"/>
      <c r="S1016" s="319"/>
      <c r="T1016" s="319"/>
      <c r="U1016" s="319"/>
      <c r="V1016" s="319"/>
      <c r="W1016" s="319"/>
      <c r="X1016" s="319"/>
      <c r="Y1016" s="319"/>
      <c r="Z1016" s="319"/>
      <c r="AA1016" s="319"/>
      <c r="AB1016" s="319"/>
      <c r="AC1016" s="319"/>
      <c r="AD1016" s="319"/>
      <c r="AE1016" s="319"/>
      <c r="AF1016" s="319"/>
      <c r="AG1016" s="319"/>
      <c r="AH1016" s="319"/>
      <c r="AI1016" s="319"/>
      <c r="AJ1016" s="319"/>
      <c r="AK1016" s="319"/>
      <c r="AL1016" s="319"/>
      <c r="AM1016" s="319"/>
      <c r="AN1016" s="319"/>
      <c r="AO1016" s="319">
        <v>5125000</v>
      </c>
      <c r="AP1016" s="319"/>
      <c r="AQ1016" s="319"/>
      <c r="AR1016" s="319"/>
      <c r="AS1016" s="319"/>
      <c r="AT1016" s="319"/>
      <c r="AU1016" s="319"/>
      <c r="AV1016" s="319"/>
      <c r="AW1016" s="319"/>
      <c r="AX1016" s="319"/>
      <c r="AY1016" s="319"/>
      <c r="AZ1016" s="319"/>
      <c r="BA1016" s="319"/>
      <c r="BB1016" s="319"/>
      <c r="BC1016" s="319"/>
      <c r="BD1016" s="319"/>
      <c r="BE1016" s="319"/>
      <c r="BF1016" s="319"/>
      <c r="BG1016" s="319"/>
      <c r="BH1016" s="319"/>
      <c r="BI1016" s="319"/>
      <c r="BJ1016" s="319"/>
      <c r="BK1016" s="319"/>
      <c r="BL1016" s="319"/>
      <c r="BM1016" s="319"/>
      <c r="BN1016" s="319"/>
      <c r="BO1016" s="319"/>
      <c r="BP1016" s="319"/>
      <c r="BQ1016" s="319"/>
      <c r="BR1016" s="319"/>
      <c r="BS1016" s="319"/>
      <c r="BT1016" s="319"/>
      <c r="BU1016" s="319"/>
      <c r="BV1016" s="319"/>
      <c r="BW1016" s="319"/>
      <c r="BX1016" s="319"/>
      <c r="BY1016" s="319"/>
      <c r="BZ1016" s="319"/>
      <c r="CA1016" s="319"/>
      <c r="CB1016" s="319"/>
      <c r="CC1016" s="319"/>
      <c r="CD1016" s="319"/>
      <c r="CE1016" s="319"/>
      <c r="CF1016" s="319"/>
    </row>
    <row r="1017" spans="1:84" ht="12.75" hidden="1" customHeight="1">
      <c r="A1017" s="12"/>
      <c r="B1017" s="56" t="str">
        <f>Language!C693</f>
        <v>Custo combustível - caso de referência</v>
      </c>
      <c r="C1017" s="21" t="str">
        <f>$C$1000</f>
        <v>€</v>
      </c>
      <c r="D1017" s="144">
        <f>'Análise Financeira'!Y75</f>
        <v>0</v>
      </c>
      <c r="E1017" s="1240"/>
      <c r="F1017" s="1"/>
      <c r="G1017" s="1"/>
      <c r="H1017" s="1"/>
      <c r="I1017" s="1"/>
      <c r="J1017" s="1"/>
      <c r="K1017" s="9"/>
      <c r="L1017" s="1"/>
      <c r="M1017" s="319">
        <v>1</v>
      </c>
      <c r="N1017" s="319"/>
      <c r="O1017" s="319"/>
      <c r="P1017" s="319"/>
      <c r="Q1017" s="319"/>
      <c r="R1017" s="319"/>
      <c r="S1017" s="319"/>
      <c r="T1017" s="319"/>
      <c r="U1017" s="319"/>
      <c r="V1017" s="319"/>
      <c r="W1017" s="319"/>
      <c r="X1017" s="319"/>
      <c r="Y1017" s="319"/>
      <c r="Z1017" s="319"/>
      <c r="AA1017" s="319"/>
      <c r="AB1017" s="319"/>
      <c r="AC1017" s="319"/>
      <c r="AD1017" s="319"/>
      <c r="AE1017" s="319"/>
      <c r="AF1017" s="319"/>
      <c r="AG1017" s="319"/>
      <c r="AH1017" s="319"/>
      <c r="AI1017" s="319"/>
      <c r="AJ1017" s="319"/>
      <c r="AK1017" s="319"/>
      <c r="AL1017" s="319"/>
      <c r="AM1017" s="319"/>
      <c r="AN1017" s="319"/>
      <c r="AO1017" s="319">
        <v>5125002</v>
      </c>
      <c r="AP1017" s="319"/>
      <c r="AQ1017" s="319"/>
      <c r="AR1017" s="319"/>
      <c r="AS1017" s="319"/>
      <c r="AT1017" s="319"/>
      <c r="AU1017" s="319"/>
      <c r="AV1017" s="319"/>
      <c r="AW1017" s="319"/>
      <c r="AX1017" s="319"/>
      <c r="AY1017" s="319"/>
      <c r="AZ1017" s="319"/>
      <c r="BA1017" s="319"/>
      <c r="BB1017" s="319"/>
      <c r="BC1017" s="319"/>
      <c r="BD1017" s="319"/>
      <c r="BE1017" s="319"/>
      <c r="BF1017" s="319"/>
      <c r="BG1017" s="319"/>
      <c r="BH1017" s="319"/>
      <c r="BI1017" s="319"/>
      <c r="BJ1017" s="319"/>
      <c r="BK1017" s="319"/>
      <c r="BL1017" s="319"/>
      <c r="BM1017" s="319"/>
      <c r="BN1017" s="319"/>
      <c r="BO1017" s="319"/>
      <c r="BP1017" s="319"/>
      <c r="BQ1017" s="319"/>
      <c r="BR1017" s="319"/>
      <c r="BS1017" s="319"/>
      <c r="BT1017" s="319"/>
      <c r="BU1017" s="319"/>
      <c r="BV1017" s="319"/>
      <c r="BW1017" s="319"/>
      <c r="BX1017" s="319"/>
      <c r="BY1017" s="319"/>
      <c r="BZ1017" s="319"/>
      <c r="CA1017" s="319"/>
      <c r="CB1017" s="319"/>
      <c r="CC1017" s="319"/>
      <c r="CD1017" s="319"/>
      <c r="CE1017" s="319"/>
      <c r="CF1017" s="319"/>
    </row>
    <row r="1018" spans="1:84" ht="12.75" hidden="1" customHeight="1">
      <c r="A1018" s="12"/>
      <c r="B1018" s="1" t="str">
        <f>Language!C207</f>
        <v>Receita com eletricidade exportada</v>
      </c>
      <c r="C1018" s="21" t="str">
        <f>$C$1000</f>
        <v>€</v>
      </c>
      <c r="D1018" s="144">
        <f>'Análise Financeira'!K31</f>
        <v>1078.0665126789729</v>
      </c>
      <c r="E1018" s="1240"/>
      <c r="F1018" s="1"/>
      <c r="G1018" s="1"/>
      <c r="H1018" s="1"/>
      <c r="I1018" s="1"/>
      <c r="J1018" s="1"/>
      <c r="K1018" s="9"/>
      <c r="L1018" s="1"/>
      <c r="M1018" s="319">
        <f>IF(ISERROR(D1018),0,IF(D1018=0,0,1))</f>
        <v>1</v>
      </c>
      <c r="N1018" s="319"/>
      <c r="O1018" s="319"/>
      <c r="P1018" s="319"/>
      <c r="Q1018" s="319"/>
      <c r="R1018" s="319"/>
      <c r="S1018" s="319"/>
      <c r="T1018" s="319"/>
      <c r="U1018" s="319"/>
      <c r="V1018" s="319"/>
      <c r="W1018" s="319"/>
      <c r="X1018" s="319"/>
      <c r="Y1018" s="319"/>
      <c r="Z1018" s="319"/>
      <c r="AA1018" s="319"/>
      <c r="AB1018" s="319"/>
      <c r="AC1018" s="319"/>
      <c r="AD1018" s="319"/>
      <c r="AE1018" s="319"/>
      <c r="AF1018" s="319"/>
      <c r="AG1018" s="319"/>
      <c r="AH1018" s="319"/>
      <c r="AI1018" s="319"/>
      <c r="AJ1018" s="319"/>
      <c r="AK1018" s="319"/>
      <c r="AL1018" s="319"/>
      <c r="AM1018" s="319"/>
      <c r="AN1018" s="319"/>
      <c r="AO1018" s="319">
        <v>5125004</v>
      </c>
      <c r="AP1018" s="319"/>
      <c r="AQ1018" s="319"/>
      <c r="AR1018" s="319"/>
      <c r="AS1018" s="319"/>
      <c r="AT1018" s="319"/>
      <c r="AU1018" s="319"/>
      <c r="AV1018" s="319"/>
      <c r="AW1018" s="319"/>
      <c r="AX1018" s="319"/>
      <c r="AY1018" s="319"/>
      <c r="AZ1018" s="319"/>
      <c r="BA1018" s="319"/>
      <c r="BB1018" s="319"/>
      <c r="BC1018" s="319"/>
      <c r="BD1018" s="319"/>
      <c r="BE1018" s="319"/>
      <c r="BF1018" s="319"/>
      <c r="BG1018" s="319"/>
      <c r="BH1018" s="319"/>
      <c r="BI1018" s="319"/>
      <c r="BJ1018" s="319"/>
      <c r="BK1018" s="319"/>
      <c r="BL1018" s="319"/>
      <c r="BM1018" s="319"/>
      <c r="BN1018" s="319"/>
      <c r="BO1018" s="319"/>
      <c r="BP1018" s="319"/>
      <c r="BQ1018" s="319"/>
      <c r="BR1018" s="319"/>
      <c r="BS1018" s="319"/>
      <c r="BT1018" s="319"/>
      <c r="BU1018" s="319"/>
      <c r="BV1018" s="319"/>
      <c r="BW1018" s="319"/>
      <c r="BX1018" s="319"/>
      <c r="BY1018" s="319"/>
      <c r="BZ1018" s="319"/>
      <c r="CA1018" s="319"/>
      <c r="CB1018" s="319"/>
      <c r="CC1018" s="319"/>
      <c r="CD1018" s="319"/>
      <c r="CE1018" s="319"/>
      <c r="CF1018" s="319"/>
    </row>
    <row r="1019" spans="1:84" ht="12.75" hidden="1" customHeight="1">
      <c r="A1019" s="12"/>
      <c r="B1019" s="1" t="str">
        <f>'Análise Financeira'!G32</f>
        <v>Receita pela redução de GEE - 0 anos</v>
      </c>
      <c r="C1019" s="21" t="str">
        <f>$C$1000</f>
        <v>€</v>
      </c>
      <c r="D1019" s="144">
        <f>'Análise Financeira'!K32</f>
        <v>0</v>
      </c>
      <c r="E1019" s="1240"/>
      <c r="F1019" s="1"/>
      <c r="G1019" s="1"/>
      <c r="H1019" s="1"/>
      <c r="I1019" s="1"/>
      <c r="J1019" s="1"/>
      <c r="K1019" s="9"/>
      <c r="L1019" s="1"/>
      <c r="M1019" s="319">
        <f>IF(ISERROR(D1019),0,IF(D1019=0,0,1))</f>
        <v>0</v>
      </c>
      <c r="N1019" s="319"/>
      <c r="O1019" s="319"/>
      <c r="P1019" s="319"/>
      <c r="Q1019" s="319"/>
      <c r="R1019" s="319"/>
      <c r="S1019" s="319"/>
      <c r="T1019" s="319"/>
      <c r="U1019" s="319"/>
      <c r="V1019" s="319"/>
      <c r="W1019" s="319"/>
      <c r="X1019" s="319"/>
      <c r="Y1019" s="319"/>
      <c r="Z1019" s="319"/>
      <c r="AA1019" s="319"/>
      <c r="AB1019" s="319"/>
      <c r="AC1019" s="319"/>
      <c r="AD1019" s="319"/>
      <c r="AE1019" s="319"/>
      <c r="AF1019" s="319"/>
      <c r="AG1019" s="319"/>
      <c r="AH1019" s="319"/>
      <c r="AI1019" s="319"/>
      <c r="AJ1019" s="319"/>
      <c r="AK1019" s="319"/>
      <c r="AL1019" s="319"/>
      <c r="AM1019" s="319"/>
      <c r="AN1019" s="319"/>
      <c r="AO1019" s="319">
        <v>74506</v>
      </c>
      <c r="AP1019" s="319"/>
      <c r="AQ1019" s="319"/>
      <c r="AR1019" s="319"/>
      <c r="AS1019" s="319"/>
      <c r="AT1019" s="319"/>
      <c r="AU1019" s="319"/>
      <c r="AV1019" s="319"/>
      <c r="AW1019" s="319"/>
      <c r="AX1019" s="319"/>
      <c r="AY1019" s="319"/>
      <c r="AZ1019" s="319"/>
      <c r="BA1019" s="319"/>
      <c r="BB1019" s="319"/>
      <c r="BC1019" s="319"/>
      <c r="BD1019" s="319"/>
      <c r="BE1019" s="319"/>
      <c r="BF1019" s="319"/>
      <c r="BG1019" s="319"/>
      <c r="BH1019" s="319"/>
      <c r="BI1019" s="319"/>
      <c r="BJ1019" s="319"/>
      <c r="BK1019" s="319"/>
      <c r="BL1019" s="319"/>
      <c r="BM1019" s="319"/>
      <c r="BN1019" s="319"/>
      <c r="BO1019" s="319"/>
      <c r="BP1019" s="319"/>
      <c r="BQ1019" s="319"/>
      <c r="BR1019" s="319"/>
      <c r="BS1019" s="319"/>
      <c r="BT1019" s="319"/>
      <c r="BU1019" s="319"/>
      <c r="BV1019" s="319"/>
      <c r="BW1019" s="319"/>
      <c r="BX1019" s="319"/>
      <c r="BY1019" s="319"/>
      <c r="BZ1019" s="319"/>
      <c r="CA1019" s="319"/>
      <c r="CB1019" s="319"/>
      <c r="CC1019" s="319"/>
      <c r="CD1019" s="319"/>
      <c r="CE1019" s="319"/>
      <c r="CF1019" s="319"/>
    </row>
    <row r="1020" spans="1:84" ht="12.75" hidden="1" customHeight="1">
      <c r="A1020" s="12"/>
      <c r="B1020" s="377"/>
      <c r="C1020" s="33" t="str">
        <f>$C$1000</f>
        <v>€</v>
      </c>
      <c r="D1020" s="409"/>
      <c r="E1020" s="1240"/>
      <c r="F1020" s="1"/>
      <c r="G1020" s="1"/>
      <c r="H1020" s="1"/>
      <c r="I1020" s="1"/>
      <c r="J1020" s="1"/>
      <c r="K1020" s="9"/>
      <c r="L1020" s="1"/>
      <c r="M1020" s="319">
        <v>1</v>
      </c>
      <c r="N1020" s="319"/>
      <c r="O1020" s="319"/>
      <c r="P1020" s="319"/>
      <c r="Q1020" s="319"/>
      <c r="R1020" s="319"/>
      <c r="S1020" s="319"/>
      <c r="T1020" s="319"/>
      <c r="U1020" s="319"/>
      <c r="V1020" s="319"/>
      <c r="W1020" s="319"/>
      <c r="X1020" s="319"/>
      <c r="Y1020" s="319"/>
      <c r="Z1020" s="319"/>
      <c r="AA1020" s="319"/>
      <c r="AB1020" s="319"/>
      <c r="AC1020" s="319"/>
      <c r="AD1020" s="319"/>
      <c r="AE1020" s="319"/>
      <c r="AF1020" s="319"/>
      <c r="AG1020" s="319"/>
      <c r="AH1020" s="319"/>
      <c r="AI1020" s="319"/>
      <c r="AJ1020" s="319"/>
      <c r="AK1020" s="319"/>
      <c r="AL1020" s="319"/>
      <c r="AM1020" s="319"/>
      <c r="AN1020" s="319"/>
      <c r="AO1020" s="319">
        <v>5125008</v>
      </c>
      <c r="AP1020" s="319"/>
      <c r="AQ1020" s="319"/>
      <c r="AR1020" s="319"/>
      <c r="AS1020" s="319"/>
      <c r="AT1020" s="319"/>
      <c r="AU1020" s="319"/>
      <c r="AV1020" s="319"/>
      <c r="AW1020" s="319"/>
      <c r="AX1020" s="319"/>
      <c r="AY1020" s="319"/>
      <c r="AZ1020" s="319"/>
      <c r="BA1020" s="319"/>
      <c r="BB1020" s="319"/>
      <c r="BC1020" s="319"/>
      <c r="BD1020" s="319"/>
      <c r="BE1020" s="319"/>
      <c r="BF1020" s="319"/>
      <c r="BG1020" s="319"/>
      <c r="BH1020" s="319"/>
      <c r="BI1020" s="319"/>
      <c r="BJ1020" s="319"/>
      <c r="BK1020" s="319"/>
      <c r="BL1020" s="319"/>
      <c r="BM1020" s="319"/>
      <c r="BN1020" s="319"/>
      <c r="BO1020" s="319"/>
      <c r="BP1020" s="319"/>
      <c r="BQ1020" s="319"/>
      <c r="BR1020" s="319"/>
      <c r="BS1020" s="319"/>
      <c r="BT1020" s="319"/>
      <c r="BU1020" s="319"/>
      <c r="BV1020" s="319"/>
      <c r="BW1020" s="319"/>
      <c r="BX1020" s="319"/>
      <c r="BY1020" s="319"/>
      <c r="BZ1020" s="319"/>
      <c r="CA1020" s="319"/>
      <c r="CB1020" s="319"/>
      <c r="CC1020" s="319"/>
      <c r="CD1020" s="319"/>
      <c r="CE1020" s="319"/>
      <c r="CF1020" s="319"/>
    </row>
    <row r="1021" spans="1:84" ht="12.75" hidden="1" customHeight="1">
      <c r="A1021" s="12"/>
      <c r="B1021" s="98" t="str">
        <f>Language!C691</f>
        <v>Total de economia e receita anual</v>
      </c>
      <c r="C1021" s="85" t="str">
        <f>$C$1000</f>
        <v>€</v>
      </c>
      <c r="D1021" s="145">
        <f>SUM(D1017:D1020)</f>
        <v>1078.0665126789729</v>
      </c>
      <c r="E1021" s="1240"/>
      <c r="F1021" s="1"/>
      <c r="G1021" s="1"/>
      <c r="H1021" s="1"/>
      <c r="I1021" s="1"/>
      <c r="J1021" s="1"/>
      <c r="K1021" s="9"/>
      <c r="L1021" s="1"/>
      <c r="M1021" s="319">
        <v>1</v>
      </c>
      <c r="N1021" s="319"/>
      <c r="O1021" s="319"/>
      <c r="P1021" s="319"/>
      <c r="Q1021" s="319"/>
      <c r="R1021" s="319"/>
      <c r="S1021" s="319"/>
      <c r="T1021" s="319"/>
      <c r="U1021" s="319"/>
      <c r="V1021" s="319"/>
      <c r="W1021" s="319"/>
      <c r="X1021" s="319"/>
      <c r="Y1021" s="319"/>
      <c r="Z1021" s="319"/>
      <c r="AA1021" s="319"/>
      <c r="AB1021" s="319"/>
      <c r="AC1021" s="319"/>
      <c r="AD1021" s="319"/>
      <c r="AE1021" s="319"/>
      <c r="AF1021" s="319"/>
      <c r="AG1021" s="319"/>
      <c r="AH1021" s="319"/>
      <c r="AI1021" s="319"/>
      <c r="AJ1021" s="319"/>
      <c r="AK1021" s="319"/>
      <c r="AL1021" s="319"/>
      <c r="AM1021" s="319"/>
      <c r="AN1021" s="319"/>
      <c r="AO1021" s="319">
        <v>5125000</v>
      </c>
      <c r="AP1021" s="319"/>
      <c r="AQ1021" s="319"/>
      <c r="AR1021" s="319"/>
      <c r="AS1021" s="319"/>
      <c r="AT1021" s="319"/>
      <c r="AU1021" s="319"/>
      <c r="AV1021" s="319"/>
      <c r="AW1021" s="319"/>
      <c r="AX1021" s="319"/>
      <c r="AY1021" s="319"/>
      <c r="AZ1021" s="319"/>
      <c r="BA1021" s="319"/>
      <c r="BB1021" s="319"/>
      <c r="BC1021" s="319"/>
      <c r="BD1021" s="319"/>
      <c r="BE1021" s="319"/>
      <c r="BF1021" s="319"/>
      <c r="BG1021" s="319"/>
      <c r="BH1021" s="319"/>
      <c r="BI1021" s="319"/>
      <c r="BJ1021" s="319"/>
      <c r="BK1021" s="319"/>
      <c r="BL1021" s="319"/>
      <c r="BM1021" s="319"/>
      <c r="BN1021" s="319"/>
      <c r="BO1021" s="319"/>
      <c r="BP1021" s="319"/>
      <c r="BQ1021" s="319"/>
      <c r="BR1021" s="319"/>
      <c r="BS1021" s="319"/>
      <c r="BT1021" s="319"/>
      <c r="BU1021" s="319"/>
      <c r="BV1021" s="319"/>
      <c r="BW1021" s="319"/>
      <c r="BX1021" s="319"/>
      <c r="BY1021" s="319"/>
      <c r="BZ1021" s="319"/>
      <c r="CA1021" s="319"/>
      <c r="CB1021" s="319"/>
      <c r="CC1021" s="319"/>
      <c r="CD1021" s="319"/>
      <c r="CE1021" s="319"/>
      <c r="CF1021" s="319"/>
    </row>
    <row r="1022" spans="1:84" ht="12.75" hidden="1" customHeight="1">
      <c r="A1022" s="12"/>
      <c r="B1022" s="1"/>
      <c r="C1022" s="1"/>
      <c r="D1022" s="1"/>
      <c r="E1022" s="1240"/>
      <c r="F1022" s="1"/>
      <c r="G1022" s="1"/>
      <c r="H1022" s="1"/>
      <c r="I1022" s="1"/>
      <c r="J1022" s="1"/>
      <c r="K1022" s="9"/>
      <c r="L1022" s="1"/>
      <c r="M1022" s="319">
        <v>1</v>
      </c>
      <c r="N1022" s="319"/>
      <c r="O1022" s="319"/>
      <c r="P1022" s="319"/>
      <c r="Q1022" s="319"/>
      <c r="R1022" s="319"/>
      <c r="S1022" s="319"/>
      <c r="T1022" s="319"/>
      <c r="U1022" s="319"/>
      <c r="V1022" s="319"/>
      <c r="W1022" s="319"/>
      <c r="X1022" s="319"/>
      <c r="Y1022" s="319"/>
      <c r="Z1022" s="319"/>
      <c r="AA1022" s="319"/>
      <c r="AB1022" s="319"/>
      <c r="AC1022" s="319"/>
      <c r="AD1022" s="319"/>
      <c r="AE1022" s="319"/>
      <c r="AF1022" s="319"/>
      <c r="AG1022" s="319"/>
      <c r="AH1022" s="319"/>
      <c r="AI1022" s="319"/>
      <c r="AJ1022" s="319"/>
      <c r="AK1022" s="319"/>
      <c r="AL1022" s="319"/>
      <c r="AM1022" s="319"/>
      <c r="AN1022" s="319"/>
      <c r="AO1022" s="319">
        <v>5120000</v>
      </c>
      <c r="AP1022" s="319"/>
      <c r="AQ1022" s="319"/>
      <c r="AR1022" s="319"/>
      <c r="AS1022" s="319"/>
      <c r="AT1022" s="319"/>
      <c r="AU1022" s="319"/>
      <c r="AV1022" s="319"/>
      <c r="AW1022" s="319"/>
      <c r="AX1022" s="319"/>
      <c r="AY1022" s="319"/>
      <c r="AZ1022" s="319"/>
      <c r="BA1022" s="319"/>
      <c r="BB1022" s="319"/>
      <c r="BC1022" s="319"/>
      <c r="BD1022" s="319"/>
      <c r="BE1022" s="319"/>
      <c r="BF1022" s="319"/>
      <c r="BG1022" s="319"/>
      <c r="BH1022" s="319"/>
      <c r="BI1022" s="319"/>
      <c r="BJ1022" s="319"/>
      <c r="BK1022" s="319"/>
      <c r="BL1022" s="319"/>
      <c r="BM1022" s="319"/>
      <c r="BN1022" s="319"/>
      <c r="BO1022" s="319"/>
      <c r="BP1022" s="319"/>
      <c r="BQ1022" s="319"/>
      <c r="BR1022" s="319"/>
      <c r="BS1022" s="319"/>
      <c r="BT1022" s="319"/>
      <c r="BU1022" s="319"/>
      <c r="BV1022" s="319"/>
      <c r="BW1022" s="319"/>
      <c r="BX1022" s="319"/>
      <c r="BY1022" s="319"/>
      <c r="BZ1022" s="319"/>
      <c r="CA1022" s="319"/>
      <c r="CB1022" s="319"/>
      <c r="CC1022" s="319"/>
      <c r="CD1022" s="319"/>
      <c r="CE1022" s="319"/>
      <c r="CF1022" s="319"/>
    </row>
    <row r="1023" spans="1:84" ht="12.75" hidden="1" customHeight="1">
      <c r="A1023" s="12"/>
      <c r="B1023" s="28" t="str">
        <f>Language!C694</f>
        <v>Viabil. Financeira</v>
      </c>
      <c r="C1023" s="1"/>
      <c r="D1023" s="1"/>
      <c r="E1023" s="1240"/>
      <c r="F1023" s="1"/>
      <c r="G1023" s="1"/>
      <c r="H1023" s="1"/>
      <c r="I1023" s="1"/>
      <c r="J1023" s="1"/>
      <c r="K1023" s="9"/>
      <c r="L1023" s="1"/>
      <c r="M1023" s="319">
        <v>1</v>
      </c>
      <c r="N1023" s="319"/>
      <c r="O1023" s="319"/>
      <c r="P1023" s="319"/>
      <c r="Q1023" s="319"/>
      <c r="R1023" s="319"/>
      <c r="S1023" s="319"/>
      <c r="T1023" s="319"/>
      <c r="U1023" s="319"/>
      <c r="V1023" s="319"/>
      <c r="W1023" s="319"/>
      <c r="X1023" s="319"/>
      <c r="Y1023" s="319"/>
      <c r="Z1023" s="319"/>
      <c r="AA1023" s="319"/>
      <c r="AB1023" s="319"/>
      <c r="AC1023" s="319"/>
      <c r="AD1023" s="319"/>
      <c r="AE1023" s="319"/>
      <c r="AF1023" s="319"/>
      <c r="AG1023" s="319"/>
      <c r="AH1023" s="319"/>
      <c r="AI1023" s="319"/>
      <c r="AJ1023" s="319"/>
      <c r="AK1023" s="319"/>
      <c r="AL1023" s="319"/>
      <c r="AM1023" s="319"/>
      <c r="AN1023" s="319"/>
      <c r="AO1023" s="319">
        <v>5126000</v>
      </c>
      <c r="AP1023" s="319"/>
      <c r="AQ1023" s="319"/>
      <c r="AR1023" s="319"/>
      <c r="AS1023" s="319"/>
      <c r="AT1023" s="319"/>
      <c r="AU1023" s="319"/>
      <c r="AV1023" s="319"/>
      <c r="AW1023" s="319"/>
      <c r="AX1023" s="319"/>
      <c r="AY1023" s="319"/>
      <c r="AZ1023" s="319"/>
      <c r="BA1023" s="319"/>
      <c r="BB1023" s="319"/>
      <c r="BC1023" s="319"/>
      <c r="BD1023" s="319"/>
      <c r="BE1023" s="319"/>
      <c r="BF1023" s="319"/>
      <c r="BG1023" s="319"/>
      <c r="BH1023" s="319"/>
      <c r="BI1023" s="319"/>
      <c r="BJ1023" s="319"/>
      <c r="BK1023" s="319"/>
      <c r="BL1023" s="319"/>
      <c r="BM1023" s="319"/>
      <c r="BN1023" s="319"/>
      <c r="BO1023" s="319"/>
      <c r="BP1023" s="319"/>
      <c r="BQ1023" s="319"/>
      <c r="BR1023" s="319"/>
      <c r="BS1023" s="319"/>
      <c r="BT1023" s="319"/>
      <c r="BU1023" s="319"/>
      <c r="BV1023" s="319"/>
      <c r="BW1023" s="319"/>
      <c r="BX1023" s="319"/>
      <c r="BY1023" s="319"/>
      <c r="BZ1023" s="319"/>
      <c r="CA1023" s="319"/>
      <c r="CB1023" s="319"/>
      <c r="CC1023" s="319"/>
      <c r="CD1023" s="319"/>
      <c r="CE1023" s="319"/>
      <c r="CF1023" s="319"/>
    </row>
    <row r="1024" spans="1:84" ht="12.75" hidden="1" customHeight="1">
      <c r="A1024" s="12"/>
      <c r="B1024" s="56" t="str">
        <f>Language!C695</f>
        <v>TIR antes impostos-capital próprio</v>
      </c>
      <c r="C1024" s="29" t="str">
        <f>$T$35</f>
        <v>%</v>
      </c>
      <c r="D1024" s="251">
        <f ca="1">'Análise Financeira'!K41</f>
        <v>0.15476812490800973</v>
      </c>
      <c r="E1024" s="1240"/>
      <c r="F1024" s="1"/>
      <c r="G1024" s="1"/>
      <c r="H1024" s="1"/>
      <c r="I1024" s="1"/>
      <c r="J1024" s="1"/>
      <c r="K1024" s="9"/>
      <c r="L1024" s="1"/>
      <c r="M1024" s="319">
        <f>M994</f>
        <v>0</v>
      </c>
      <c r="N1024" s="319"/>
      <c r="O1024" s="319"/>
      <c r="P1024" s="319"/>
      <c r="Q1024" s="319"/>
      <c r="R1024" s="319"/>
      <c r="S1024" s="319"/>
      <c r="T1024" s="319"/>
      <c r="U1024" s="319"/>
      <c r="V1024" s="319"/>
      <c r="W1024" s="319"/>
      <c r="X1024" s="319"/>
      <c r="Y1024" s="319"/>
      <c r="Z1024" s="319"/>
      <c r="AA1024" s="319"/>
      <c r="AB1024" s="319"/>
      <c r="AC1024" s="319"/>
      <c r="AD1024" s="319"/>
      <c r="AE1024" s="319"/>
      <c r="AF1024" s="319"/>
      <c r="AG1024" s="319"/>
      <c r="AH1024" s="319"/>
      <c r="AI1024" s="319"/>
      <c r="AJ1024" s="319"/>
      <c r="AK1024" s="319"/>
      <c r="AL1024" s="319"/>
      <c r="AM1024" s="319"/>
      <c r="AN1024" s="319"/>
      <c r="AO1024" s="319">
        <v>75002</v>
      </c>
      <c r="AP1024" s="319"/>
      <c r="AQ1024" s="319"/>
      <c r="AR1024" s="319"/>
      <c r="AS1024" s="319"/>
      <c r="AT1024" s="319"/>
      <c r="AU1024" s="319"/>
      <c r="AV1024" s="319"/>
      <c r="AW1024" s="319"/>
      <c r="AX1024" s="319"/>
      <c r="AY1024" s="319"/>
      <c r="AZ1024" s="319"/>
      <c r="BA1024" s="319"/>
      <c r="BB1024" s="319"/>
      <c r="BC1024" s="319"/>
      <c r="BD1024" s="319"/>
      <c r="BE1024" s="319"/>
      <c r="BF1024" s="319"/>
      <c r="BG1024" s="319"/>
      <c r="BH1024" s="319"/>
      <c r="BI1024" s="319"/>
      <c r="BJ1024" s="319"/>
      <c r="BK1024" s="319"/>
      <c r="BL1024" s="319"/>
      <c r="BM1024" s="319"/>
      <c r="BN1024" s="319"/>
      <c r="BO1024" s="319"/>
      <c r="BP1024" s="319"/>
      <c r="BQ1024" s="319"/>
      <c r="BR1024" s="319"/>
      <c r="BS1024" s="319"/>
      <c r="BT1024" s="319"/>
      <c r="BU1024" s="319"/>
      <c r="BV1024" s="319"/>
      <c r="BW1024" s="319"/>
      <c r="BX1024" s="319"/>
      <c r="BY1024" s="319"/>
      <c r="BZ1024" s="319"/>
      <c r="CA1024" s="319"/>
      <c r="CB1024" s="319"/>
      <c r="CC1024" s="319"/>
      <c r="CD1024" s="319"/>
      <c r="CE1024" s="319"/>
      <c r="CF1024" s="319"/>
    </row>
    <row r="1025" spans="1:84" ht="12.75" hidden="1" customHeight="1">
      <c r="A1025" s="12"/>
      <c r="B1025" s="1" t="str">
        <f>Language!C168</f>
        <v>TIR antes impostos - ativos</v>
      </c>
      <c r="C1025" s="29" t="str">
        <f>$T$35</f>
        <v>%</v>
      </c>
      <c r="D1025" s="251">
        <f ca="1">IF(ISERROR('Análise Financeira'!K42),"",'Análise Financeira'!K42)</f>
        <v>0.15476812490800973</v>
      </c>
      <c r="E1025" s="1240"/>
      <c r="F1025" s="1"/>
      <c r="G1025" s="1"/>
      <c r="H1025" s="1"/>
      <c r="I1025" s="1"/>
      <c r="J1025" s="1"/>
      <c r="K1025" s="9"/>
      <c r="L1025" s="1"/>
      <c r="M1025" s="319"/>
      <c r="N1025" s="319"/>
      <c r="O1025" s="319"/>
      <c r="P1025" s="319"/>
      <c r="Q1025" s="319"/>
      <c r="R1025" s="319"/>
      <c r="S1025" s="319"/>
      <c r="T1025" s="319"/>
      <c r="U1025" s="319"/>
      <c r="V1025" s="319"/>
      <c r="W1025" s="319"/>
      <c r="X1025" s="319"/>
      <c r="Y1025" s="319"/>
      <c r="Z1025" s="319"/>
      <c r="AA1025" s="319"/>
      <c r="AB1025" s="319"/>
      <c r="AC1025" s="319"/>
      <c r="AD1025" s="319"/>
      <c r="AE1025" s="319"/>
      <c r="AF1025" s="319"/>
      <c r="AG1025" s="319"/>
      <c r="AH1025" s="319"/>
      <c r="AI1025" s="319"/>
      <c r="AJ1025" s="319"/>
      <c r="AK1025" s="319"/>
      <c r="AL1025" s="319"/>
      <c r="AM1025" s="319"/>
      <c r="AN1025" s="319"/>
      <c r="AO1025" s="319">
        <v>75004</v>
      </c>
      <c r="AP1025" s="319"/>
      <c r="AQ1025" s="319"/>
      <c r="AR1025" s="319"/>
      <c r="AS1025" s="319"/>
      <c r="AT1025" s="319"/>
      <c r="AU1025" s="319"/>
      <c r="AV1025" s="319"/>
      <c r="AW1025" s="319"/>
      <c r="AX1025" s="319"/>
      <c r="AY1025" s="319"/>
      <c r="AZ1025" s="319"/>
      <c r="BA1025" s="319"/>
      <c r="BB1025" s="319"/>
      <c r="BC1025" s="319"/>
      <c r="BD1025" s="319"/>
      <c r="BE1025" s="319"/>
      <c r="BF1025" s="319"/>
      <c r="BG1025" s="319"/>
      <c r="BH1025" s="319"/>
      <c r="BI1025" s="319"/>
      <c r="BJ1025" s="319"/>
      <c r="BK1025" s="319"/>
      <c r="BL1025" s="319"/>
      <c r="BM1025" s="319"/>
      <c r="BN1025" s="319"/>
      <c r="BO1025" s="319"/>
      <c r="BP1025" s="319"/>
      <c r="BQ1025" s="319"/>
      <c r="BR1025" s="319"/>
      <c r="BS1025" s="319"/>
      <c r="BT1025" s="319"/>
      <c r="BU1025" s="319"/>
      <c r="BV1025" s="319"/>
      <c r="BW1025" s="319"/>
      <c r="BX1025" s="319"/>
      <c r="BY1025" s="319"/>
      <c r="BZ1025" s="319"/>
      <c r="CA1025" s="319"/>
      <c r="CB1025" s="319"/>
      <c r="CC1025" s="319"/>
      <c r="CD1025" s="319"/>
      <c r="CE1025" s="319"/>
      <c r="CF1025" s="319"/>
    </row>
    <row r="1026" spans="1:84" ht="12.75" hidden="1" customHeight="1">
      <c r="A1026" s="12"/>
      <c r="B1026" s="1" t="str">
        <f>Language!C696</f>
        <v>Retorno simples</v>
      </c>
      <c r="C1026" s="29" t="str">
        <f>$C$1027</f>
        <v>ano</v>
      </c>
      <c r="D1026" s="252">
        <f ca="1">IF(ISERROR('Análise Financeira'!K47),"",'Análise Financeira'!K47)</f>
        <v>7.8169731004853826</v>
      </c>
      <c r="E1026" s="1240"/>
      <c r="F1026" s="1"/>
      <c r="G1026" s="1"/>
      <c r="H1026" s="1"/>
      <c r="I1026" s="1"/>
      <c r="J1026" s="1"/>
      <c r="K1026" s="9"/>
      <c r="L1026" s="1"/>
      <c r="M1026" s="319"/>
      <c r="N1026" s="319"/>
      <c r="O1026" s="319"/>
      <c r="P1026" s="319"/>
      <c r="Q1026" s="319"/>
      <c r="R1026" s="319"/>
      <c r="S1026" s="319"/>
      <c r="T1026" s="319"/>
      <c r="U1026" s="319"/>
      <c r="V1026" s="319"/>
      <c r="W1026" s="319"/>
      <c r="X1026" s="319"/>
      <c r="Y1026" s="319"/>
      <c r="Z1026" s="319"/>
      <c r="AA1026" s="319"/>
      <c r="AB1026" s="319"/>
      <c r="AC1026" s="319"/>
      <c r="AD1026" s="319"/>
      <c r="AE1026" s="319"/>
      <c r="AF1026" s="319"/>
      <c r="AG1026" s="319"/>
      <c r="AH1026" s="319"/>
      <c r="AI1026" s="319"/>
      <c r="AJ1026" s="319"/>
      <c r="AK1026" s="319"/>
      <c r="AL1026" s="319"/>
      <c r="AM1026" s="319"/>
      <c r="AN1026" s="319"/>
      <c r="AO1026" s="319">
        <v>75010</v>
      </c>
      <c r="AP1026" s="319"/>
      <c r="AQ1026" s="319"/>
      <c r="AR1026" s="319"/>
      <c r="AS1026" s="319"/>
      <c r="AT1026" s="319"/>
      <c r="AU1026" s="319"/>
      <c r="AV1026" s="319"/>
      <c r="AW1026" s="319"/>
      <c r="AX1026" s="319"/>
      <c r="AY1026" s="319"/>
      <c r="AZ1026" s="319"/>
      <c r="BA1026" s="319"/>
      <c r="BB1026" s="319"/>
      <c r="BC1026" s="319"/>
      <c r="BD1026" s="319"/>
      <c r="BE1026" s="319"/>
      <c r="BF1026" s="319"/>
      <c r="BG1026" s="319"/>
      <c r="BH1026" s="319"/>
      <c r="BI1026" s="319"/>
      <c r="BJ1026" s="319"/>
      <c r="BK1026" s="319"/>
      <c r="BL1026" s="319"/>
      <c r="BM1026" s="319"/>
      <c r="BN1026" s="319"/>
      <c r="BO1026" s="319"/>
      <c r="BP1026" s="319"/>
      <c r="BQ1026" s="319"/>
      <c r="BR1026" s="319"/>
      <c r="BS1026" s="319"/>
      <c r="BT1026" s="319"/>
      <c r="BU1026" s="319"/>
      <c r="BV1026" s="319"/>
      <c r="BW1026" s="319"/>
      <c r="BX1026" s="319"/>
      <c r="BY1026" s="319"/>
      <c r="BZ1026" s="319"/>
      <c r="CA1026" s="319"/>
      <c r="CB1026" s="319"/>
      <c r="CC1026" s="319"/>
      <c r="CD1026" s="319"/>
      <c r="CE1026" s="319"/>
      <c r="CF1026" s="319"/>
    </row>
    <row r="1027" spans="1:84" ht="12.75" hidden="1" customHeight="1">
      <c r="A1027" s="12"/>
      <c r="B1027" s="1" t="str">
        <f>Language!C170</f>
        <v>Retorno do capital próprio</v>
      </c>
      <c r="C1027" s="29" t="str">
        <f>Lang_yr</f>
        <v>ano</v>
      </c>
      <c r="D1027" s="252">
        <f ca="1">IF(ISERROR(YearPos),"",YearPos)</f>
        <v>6.6135500499685849</v>
      </c>
      <c r="E1027" s="1240"/>
      <c r="F1027" s="1241" t="str">
        <f>Language!C643</f>
        <v>Ano</v>
      </c>
      <c r="G1027" s="1241"/>
      <c r="H1027" s="1241"/>
      <c r="I1027" s="1241"/>
      <c r="J1027" s="1241"/>
      <c r="K1027" s="1242"/>
      <c r="L1027" s="1"/>
      <c r="M1027" s="319"/>
      <c r="N1027" s="319"/>
      <c r="O1027" s="319"/>
      <c r="P1027" s="319"/>
      <c r="Q1027" s="319"/>
      <c r="R1027" s="319"/>
      <c r="S1027" s="319"/>
      <c r="T1027" s="319"/>
      <c r="U1027" s="319"/>
      <c r="V1027" s="319"/>
      <c r="W1027" s="319"/>
      <c r="X1027" s="319"/>
      <c r="Y1027" s="319"/>
      <c r="Z1027" s="319"/>
      <c r="AA1027" s="319"/>
      <c r="AB1027" s="319"/>
      <c r="AC1027" s="319"/>
      <c r="AD1027" s="319"/>
      <c r="AE1027" s="319"/>
      <c r="AF1027" s="319"/>
      <c r="AG1027" s="319"/>
      <c r="AH1027" s="319"/>
      <c r="AI1027" s="319"/>
      <c r="AJ1027" s="319"/>
      <c r="AK1027" s="319"/>
      <c r="AL1027" s="319"/>
      <c r="AM1027" s="319"/>
      <c r="AN1027" s="319"/>
      <c r="AO1027" s="319">
        <v>75012</v>
      </c>
      <c r="AP1027" s="319"/>
      <c r="AQ1027" s="319"/>
      <c r="AR1027" s="319"/>
      <c r="AS1027" s="319"/>
      <c r="AT1027" s="319"/>
      <c r="AU1027" s="319"/>
      <c r="AV1027" s="319"/>
      <c r="AW1027" s="319"/>
      <c r="AX1027" s="319"/>
      <c r="AY1027" s="319"/>
      <c r="AZ1027" s="319"/>
      <c r="BA1027" s="319"/>
      <c r="BB1027" s="319"/>
      <c r="BC1027" s="319"/>
      <c r="BD1027" s="319"/>
      <c r="BE1027" s="319"/>
      <c r="BF1027" s="319"/>
      <c r="BG1027" s="319"/>
      <c r="BH1027" s="319"/>
      <c r="BI1027" s="319"/>
      <c r="BJ1027" s="319"/>
      <c r="BK1027" s="319"/>
      <c r="BL1027" s="319"/>
      <c r="BM1027" s="319"/>
      <c r="BN1027" s="319"/>
      <c r="BO1027" s="319"/>
      <c r="BP1027" s="319"/>
      <c r="BQ1027" s="319"/>
      <c r="BR1027" s="319"/>
      <c r="BS1027" s="319"/>
      <c r="BT1027" s="319"/>
      <c r="BU1027" s="319"/>
      <c r="BV1027" s="319"/>
      <c r="BW1027" s="319"/>
      <c r="BX1027" s="319"/>
      <c r="BY1027" s="319"/>
      <c r="BZ1027" s="319"/>
      <c r="CA1027" s="319"/>
      <c r="CB1027" s="319"/>
      <c r="CC1027" s="319"/>
      <c r="CD1027" s="319"/>
      <c r="CE1027" s="319"/>
      <c r="CF1027" s="319"/>
    </row>
    <row r="1028" spans="1:84" ht="12.75" hidden="1" customHeight="1">
      <c r="A1028" s="14"/>
      <c r="B1028" s="15"/>
      <c r="C1028" s="15"/>
      <c r="D1028" s="15"/>
      <c r="E1028" s="15"/>
      <c r="F1028" s="15"/>
      <c r="G1028" s="15"/>
      <c r="H1028" s="15"/>
      <c r="I1028" s="15"/>
      <c r="J1028" s="15"/>
      <c r="K1028" s="11"/>
      <c r="L1028" s="1"/>
      <c r="M1028" s="319"/>
      <c r="N1028" s="319"/>
      <c r="O1028" s="319"/>
      <c r="P1028" s="319"/>
      <c r="Q1028" s="319"/>
      <c r="R1028" s="319"/>
      <c r="S1028" s="319"/>
      <c r="T1028" s="319"/>
      <c r="U1028" s="319"/>
      <c r="V1028" s="319"/>
      <c r="W1028" s="319"/>
      <c r="X1028" s="319"/>
      <c r="Y1028" s="319"/>
      <c r="Z1028" s="319"/>
      <c r="AA1028" s="319"/>
      <c r="AB1028" s="319"/>
      <c r="AC1028" s="319"/>
      <c r="AD1028" s="319"/>
      <c r="AE1028" s="319"/>
      <c r="AF1028" s="319"/>
      <c r="AG1028" s="319"/>
      <c r="AH1028" s="319"/>
      <c r="AI1028" s="319"/>
      <c r="AJ1028" s="319"/>
      <c r="AK1028" s="319"/>
      <c r="AL1028" s="319"/>
      <c r="AM1028" s="319"/>
      <c r="AN1028" s="319"/>
      <c r="AO1028" s="319">
        <v>5120000</v>
      </c>
      <c r="AP1028" s="319"/>
      <c r="AQ1028" s="319"/>
      <c r="AR1028" s="319"/>
      <c r="AS1028" s="319"/>
      <c r="AT1028" s="319"/>
      <c r="AU1028" s="319"/>
      <c r="AV1028" s="319"/>
      <c r="AW1028" s="319"/>
      <c r="AX1028" s="319"/>
      <c r="AY1028" s="319"/>
      <c r="AZ1028" s="319"/>
      <c r="BA1028" s="319"/>
      <c r="BB1028" s="319"/>
      <c r="BC1028" s="319"/>
      <c r="BD1028" s="319"/>
      <c r="BE1028" s="319"/>
      <c r="BF1028" s="319"/>
      <c r="BG1028" s="319"/>
      <c r="BH1028" s="319"/>
      <c r="BI1028" s="319"/>
      <c r="BJ1028" s="319"/>
      <c r="BK1028" s="319"/>
      <c r="BL1028" s="319"/>
      <c r="BM1028" s="319"/>
      <c r="BN1028" s="319"/>
      <c r="BO1028" s="319"/>
      <c r="BP1028" s="319"/>
      <c r="BQ1028" s="319"/>
      <c r="BR1028" s="319"/>
      <c r="BS1028" s="319"/>
      <c r="BT1028" s="319"/>
      <c r="BU1028" s="319"/>
      <c r="BV1028" s="319"/>
      <c r="BW1028" s="319"/>
      <c r="BX1028" s="319"/>
      <c r="BY1028" s="319"/>
      <c r="BZ1028" s="319"/>
      <c r="CA1028" s="319"/>
      <c r="CB1028" s="319"/>
      <c r="CC1028" s="319"/>
      <c r="CD1028" s="319"/>
      <c r="CE1028" s="319"/>
      <c r="CF1028" s="319"/>
    </row>
    <row r="1029" spans="1:84" ht="12.75" hidden="1" customHeight="1">
      <c r="A1029" s="8"/>
      <c r="B1029" s="8"/>
      <c r="C1029" s="8"/>
      <c r="D1029" s="8"/>
      <c r="E1029" s="8"/>
      <c r="F1029" s="8"/>
      <c r="G1029" s="8"/>
      <c r="H1029" s="8"/>
      <c r="I1029" s="8"/>
      <c r="J1029" s="8"/>
      <c r="K1029" s="8"/>
      <c r="L1029" s="1"/>
      <c r="M1029" s="319"/>
      <c r="N1029" s="319"/>
      <c r="O1029" s="319"/>
      <c r="P1029" s="319"/>
      <c r="Q1029" s="319"/>
      <c r="R1029" s="319"/>
      <c r="S1029" s="319"/>
      <c r="T1029" s="319"/>
      <c r="U1029" s="319"/>
      <c r="V1029" s="319"/>
      <c r="W1029" s="319"/>
      <c r="X1029" s="319"/>
      <c r="Y1029" s="319"/>
      <c r="Z1029" s="319"/>
      <c r="AA1029" s="319"/>
      <c r="AB1029" s="319"/>
      <c r="AC1029" s="319"/>
      <c r="AD1029" s="319"/>
      <c r="AE1029" s="319"/>
      <c r="AF1029" s="319"/>
      <c r="AG1029" s="319"/>
      <c r="AH1029" s="319"/>
      <c r="AI1029" s="319"/>
      <c r="AJ1029" s="319"/>
      <c r="AK1029" s="319"/>
      <c r="AL1029" s="319"/>
      <c r="AM1029" s="319"/>
      <c r="AN1029" s="319"/>
      <c r="AO1029" s="319">
        <v>2000000</v>
      </c>
      <c r="AP1029" s="319"/>
      <c r="AQ1029" s="319"/>
      <c r="AR1029" s="319"/>
      <c r="AS1029" s="319"/>
      <c r="AT1029" s="319"/>
      <c r="AU1029" s="319"/>
      <c r="AV1029" s="319"/>
      <c r="AW1029" s="319"/>
      <c r="AX1029" s="319"/>
      <c r="AY1029" s="319"/>
      <c r="AZ1029" s="319"/>
      <c r="BA1029" s="319"/>
      <c r="BB1029" s="319"/>
      <c r="BC1029" s="319"/>
      <c r="BD1029" s="319"/>
      <c r="BE1029" s="319"/>
      <c r="BF1029" s="319"/>
      <c r="BG1029" s="319"/>
      <c r="BH1029" s="319"/>
      <c r="BI1029" s="319"/>
      <c r="BJ1029" s="319"/>
      <c r="BK1029" s="319"/>
      <c r="BL1029" s="319"/>
      <c r="BM1029" s="319"/>
      <c r="BN1029" s="319"/>
      <c r="BO1029" s="319"/>
      <c r="BP1029" s="319"/>
      <c r="BQ1029" s="319"/>
      <c r="BR1029" s="319"/>
      <c r="BS1029" s="319"/>
      <c r="BT1029" s="319"/>
      <c r="BU1029" s="319"/>
      <c r="BV1029" s="319"/>
      <c r="BW1029" s="319"/>
      <c r="BX1029" s="319"/>
      <c r="BY1029" s="319"/>
      <c r="BZ1029" s="319"/>
      <c r="CA1029" s="319"/>
      <c r="CB1029" s="319"/>
      <c r="CC1029" s="319"/>
      <c r="CD1029" s="319"/>
      <c r="CE1029" s="319"/>
      <c r="CF1029" s="319"/>
    </row>
    <row r="1030" spans="1:84" ht="12.75" customHeight="1">
      <c r="A1030" s="8"/>
      <c r="B1030" s="8"/>
      <c r="C1030" s="8"/>
      <c r="D1030" s="8"/>
      <c r="E1030" s="8"/>
      <c r="F1030" s="8"/>
      <c r="G1030" s="8"/>
      <c r="H1030" s="8"/>
      <c r="I1030" s="8"/>
      <c r="J1030" s="8"/>
      <c r="K1030" s="8"/>
      <c r="L1030" s="1"/>
      <c r="M1030" s="319"/>
      <c r="N1030" s="319"/>
      <c r="O1030" s="319"/>
      <c r="P1030" s="319"/>
      <c r="Q1030" s="319"/>
      <c r="R1030" s="319"/>
      <c r="S1030" s="319"/>
      <c r="T1030" s="319"/>
      <c r="U1030" s="319"/>
      <c r="V1030" s="319"/>
      <c r="W1030" s="319"/>
      <c r="X1030" s="319"/>
      <c r="Y1030" s="319"/>
      <c r="Z1030" s="319"/>
      <c r="AA1030" s="319"/>
      <c r="AB1030" s="319"/>
      <c r="AC1030" s="319"/>
      <c r="AD1030" s="319"/>
      <c r="AE1030" s="319"/>
      <c r="AF1030" s="319"/>
      <c r="AG1030" s="319"/>
      <c r="AH1030" s="319"/>
      <c r="AI1030" s="319"/>
      <c r="AJ1030" s="319"/>
      <c r="AK1030" s="319"/>
      <c r="AL1030" s="319"/>
      <c r="AM1030" s="319"/>
      <c r="AN1030" s="319"/>
      <c r="AO1030" s="319">
        <v>2000000</v>
      </c>
      <c r="AP1030" s="319"/>
      <c r="AQ1030" s="319"/>
      <c r="AR1030" s="319"/>
      <c r="AS1030" s="319"/>
      <c r="AT1030" s="319"/>
      <c r="AU1030" s="319"/>
      <c r="AV1030" s="319"/>
      <c r="AW1030" s="319"/>
      <c r="AX1030" s="319"/>
      <c r="AY1030" s="319"/>
      <c r="AZ1030" s="319"/>
      <c r="BA1030" s="319"/>
      <c r="BB1030" s="319"/>
      <c r="BC1030" s="319"/>
      <c r="BD1030" s="319"/>
      <c r="BE1030" s="319"/>
      <c r="BF1030" s="319"/>
      <c r="BG1030" s="319"/>
      <c r="BH1030" s="319"/>
      <c r="BI1030" s="319"/>
      <c r="BJ1030" s="319"/>
      <c r="BK1030" s="319"/>
      <c r="BL1030" s="319"/>
      <c r="BM1030" s="319"/>
      <c r="BN1030" s="319"/>
      <c r="BO1030" s="319"/>
      <c r="BP1030" s="319"/>
      <c r="BQ1030" s="319"/>
      <c r="BR1030" s="319"/>
      <c r="BS1030" s="319"/>
      <c r="BT1030" s="319"/>
      <c r="BU1030" s="319"/>
      <c r="BV1030" s="319"/>
      <c r="BW1030" s="319"/>
      <c r="BX1030" s="319"/>
      <c r="BY1030" s="319"/>
      <c r="BZ1030" s="319"/>
      <c r="CA1030" s="319"/>
      <c r="CB1030" s="319"/>
      <c r="CC1030" s="319"/>
      <c r="CD1030" s="319"/>
      <c r="CE1030" s="319"/>
      <c r="CF1030" s="319"/>
    </row>
    <row r="1031" spans="1:84" ht="12.75" customHeight="1">
      <c r="A1031" s="8"/>
      <c r="B1031" s="8"/>
      <c r="C1031" s="1263" t="str">
        <f>Language!C55</f>
        <v>Completar planilha Análise de Custos</v>
      </c>
      <c r="D1031" s="1263"/>
      <c r="E1031" s="1263"/>
      <c r="F1031" s="8"/>
      <c r="G1031" s="8"/>
      <c r="H1031" s="8"/>
      <c r="I1031" s="8"/>
      <c r="J1031" s="8"/>
      <c r="K1031" s="8"/>
      <c r="L1031" s="1"/>
      <c r="M1031" s="319"/>
      <c r="N1031" s="319"/>
      <c r="O1031" s="319"/>
      <c r="P1031" s="319" t="s">
        <v>425</v>
      </c>
      <c r="Q1031" s="319"/>
      <c r="R1031" s="319"/>
      <c r="S1031" s="319"/>
      <c r="T1031" s="319"/>
      <c r="U1031" s="319"/>
      <c r="V1031" s="319"/>
      <c r="W1031" s="319"/>
      <c r="X1031" s="319"/>
      <c r="Y1031" s="319"/>
      <c r="Z1031" s="319"/>
      <c r="AA1031" s="319"/>
      <c r="AB1031" s="319"/>
      <c r="AC1031" s="319"/>
      <c r="AD1031" s="319"/>
      <c r="AE1031" s="319"/>
      <c r="AF1031" s="319"/>
      <c r="AG1031" s="319"/>
      <c r="AH1031" s="319"/>
      <c r="AI1031" s="319"/>
      <c r="AJ1031" s="319"/>
      <c r="AK1031" s="319"/>
      <c r="AL1031" s="319"/>
      <c r="AM1031" s="319"/>
      <c r="AN1031" s="319"/>
      <c r="AO1031" s="319">
        <v>2000000</v>
      </c>
      <c r="AP1031" s="319"/>
      <c r="AQ1031" s="319"/>
      <c r="AR1031" s="319"/>
      <c r="AS1031" s="319"/>
      <c r="AT1031" s="319"/>
      <c r="AU1031" s="319"/>
      <c r="AV1031" s="319"/>
      <c r="AW1031" s="319"/>
      <c r="AX1031" s="319"/>
      <c r="AY1031" s="319"/>
      <c r="AZ1031" s="319"/>
      <c r="BA1031" s="319"/>
      <c r="BB1031" s="319"/>
      <c r="BC1031" s="319"/>
      <c r="BD1031" s="319"/>
      <c r="BE1031" s="319"/>
      <c r="BF1031" s="319"/>
      <c r="BG1031" s="319"/>
      <c r="BH1031" s="319"/>
      <c r="BI1031" s="319"/>
      <c r="BJ1031" s="319"/>
      <c r="BK1031" s="319"/>
      <c r="BL1031" s="319"/>
      <c r="BM1031" s="319"/>
      <c r="BN1031" s="319"/>
      <c r="BO1031" s="319"/>
      <c r="BP1031" s="319"/>
      <c r="BQ1031" s="319"/>
      <c r="BR1031" s="319"/>
      <c r="BS1031" s="319"/>
      <c r="BT1031" s="319"/>
      <c r="BU1031" s="319"/>
      <c r="BV1031" s="319"/>
      <c r="BW1031" s="319"/>
      <c r="BX1031" s="319"/>
      <c r="BY1031" s="319"/>
      <c r="BZ1031" s="319"/>
      <c r="CA1031" s="319"/>
      <c r="CB1031" s="319"/>
      <c r="CC1031" s="319"/>
      <c r="CD1031" s="319"/>
      <c r="CE1031" s="319"/>
      <c r="CF1031" s="319"/>
    </row>
    <row r="1032" spans="1:84" ht="13.5" customHeight="1">
      <c r="A1032" s="1"/>
      <c r="B1032" s="1"/>
      <c r="C1032" s="1"/>
      <c r="D1032" s="1"/>
      <c r="E1032" s="1"/>
      <c r="F1032" s="1"/>
      <c r="G1032" s="1"/>
      <c r="H1032" s="1"/>
      <c r="I1032" s="1"/>
      <c r="J1032" s="1"/>
      <c r="K1032" s="1"/>
      <c r="L1032" s="1"/>
      <c r="M1032" s="319"/>
      <c r="N1032" s="319"/>
      <c r="O1032" s="319"/>
      <c r="P1032" s="319"/>
      <c r="Q1032" s="319"/>
      <c r="R1032" s="319"/>
      <c r="S1032" s="319"/>
      <c r="T1032" s="319"/>
      <c r="U1032" s="319"/>
      <c r="V1032" s="319"/>
      <c r="W1032" s="319"/>
      <c r="X1032" s="319"/>
      <c r="Y1032" s="319"/>
      <c r="Z1032" s="319"/>
      <c r="AA1032" s="319"/>
      <c r="AB1032" s="319"/>
      <c r="AC1032" s="319"/>
      <c r="AD1032" s="319"/>
      <c r="AE1032" s="319"/>
      <c r="AF1032" s="319"/>
      <c r="AG1032" s="319"/>
      <c r="AH1032" s="319"/>
      <c r="AI1032" s="319"/>
      <c r="AJ1032" s="319"/>
      <c r="AK1032" s="319"/>
      <c r="AL1032" s="319"/>
      <c r="AM1032" s="319"/>
      <c r="AN1032" s="319"/>
      <c r="AO1032" s="319">
        <v>2000000</v>
      </c>
      <c r="AP1032" s="319"/>
      <c r="AQ1032" s="319"/>
      <c r="AR1032" s="319"/>
      <c r="AS1032" s="319"/>
      <c r="AT1032" s="319"/>
      <c r="AU1032" s="319"/>
      <c r="AV1032" s="319"/>
      <c r="AW1032" s="319"/>
      <c r="AX1032" s="319"/>
      <c r="AY1032" s="319"/>
      <c r="AZ1032" s="319"/>
      <c r="BA1032" s="319"/>
      <c r="BB1032" s="319"/>
      <c r="BC1032" s="319"/>
      <c r="BD1032" s="319"/>
      <c r="BE1032" s="319"/>
      <c r="BF1032" s="319"/>
      <c r="BG1032" s="319"/>
      <c r="BH1032" s="319"/>
      <c r="BI1032" s="319"/>
      <c r="BJ1032" s="319"/>
      <c r="BK1032" s="319"/>
      <c r="BL1032" s="319"/>
      <c r="BM1032" s="319"/>
      <c r="BN1032" s="319"/>
      <c r="BO1032" s="319"/>
      <c r="BP1032" s="319"/>
      <c r="BQ1032" s="319"/>
      <c r="BR1032" s="319"/>
      <c r="BS1032" s="319"/>
      <c r="BT1032" s="319"/>
      <c r="BU1032" s="319"/>
      <c r="BV1032" s="319"/>
      <c r="BW1032" s="319"/>
      <c r="BX1032" s="319"/>
      <c r="BY1032" s="319"/>
      <c r="BZ1032" s="319"/>
      <c r="CA1032" s="319"/>
      <c r="CB1032" s="319"/>
      <c r="CC1032" s="319"/>
      <c r="CD1032" s="319"/>
      <c r="CE1032" s="319"/>
      <c r="CF1032" s="319"/>
    </row>
    <row r="1033" spans="1:84" ht="0.75" customHeight="1">
      <c r="A1033" s="319"/>
      <c r="B1033" s="319" t="str">
        <f>Language!C263</f>
        <v>Janeiro</v>
      </c>
      <c r="C1033" s="319"/>
      <c r="D1033" s="319"/>
      <c r="E1033" s="319"/>
      <c r="F1033" s="319"/>
      <c r="G1033" s="319"/>
      <c r="H1033" s="319"/>
      <c r="I1033" s="319"/>
      <c r="J1033" s="319"/>
      <c r="K1033" s="319"/>
      <c r="L1033" s="319"/>
      <c r="M1033" s="319"/>
      <c r="N1033" s="319"/>
      <c r="O1033" s="319"/>
      <c r="P1033" s="319"/>
      <c r="Q1033" s="319"/>
      <c r="R1033" s="319"/>
      <c r="S1033" s="319"/>
      <c r="T1033" s="319"/>
      <c r="U1033" s="319"/>
      <c r="V1033" s="319"/>
      <c r="W1033" s="319"/>
      <c r="X1033" s="319"/>
      <c r="Y1033" s="319"/>
      <c r="Z1033" s="319"/>
      <c r="AA1033" s="319"/>
      <c r="AB1033" s="319"/>
      <c r="AC1033" s="319"/>
      <c r="AD1033" s="319"/>
      <c r="AE1033" s="319"/>
      <c r="AF1033" s="319"/>
      <c r="AG1033" s="319"/>
      <c r="AH1033" s="319"/>
      <c r="AI1033" s="319"/>
      <c r="AJ1033" s="319"/>
      <c r="AK1033" s="319"/>
      <c r="AL1033" s="319"/>
      <c r="AM1033" s="319"/>
      <c r="AN1033" s="319"/>
      <c r="AO1033" s="587"/>
      <c r="AP1033" s="319"/>
      <c r="AQ1033" s="319"/>
      <c r="AR1033" s="319"/>
      <c r="AS1033" s="319"/>
      <c r="AT1033" s="319"/>
      <c r="AU1033" s="319"/>
      <c r="AV1033" s="319"/>
      <c r="AW1033" s="319"/>
      <c r="AX1033" s="319"/>
      <c r="AY1033" s="319"/>
      <c r="AZ1033" s="319"/>
      <c r="BA1033" s="319"/>
      <c r="BB1033" s="319"/>
      <c r="BC1033" s="319"/>
      <c r="BD1033" s="319"/>
      <c r="BE1033" s="319"/>
      <c r="BF1033" s="319"/>
      <c r="BG1033" s="319"/>
      <c r="BH1033" s="319"/>
      <c r="BI1033" s="319"/>
      <c r="BJ1033" s="319"/>
      <c r="BK1033" s="319"/>
      <c r="BL1033" s="319"/>
      <c r="BM1033" s="319"/>
      <c r="BN1033" s="319"/>
      <c r="BO1033" s="319"/>
      <c r="BP1033" s="319"/>
      <c r="BQ1033" s="319"/>
      <c r="BR1033" s="319"/>
      <c r="BS1033" s="319"/>
      <c r="BT1033" s="319"/>
      <c r="BU1033" s="319"/>
      <c r="BV1033" s="319"/>
      <c r="BW1033" s="319"/>
      <c r="BX1033" s="319"/>
      <c r="BY1033" s="319"/>
      <c r="BZ1033" s="319"/>
      <c r="CA1033" s="319" t="str">
        <f>Language!C189</f>
        <v xml:space="preserve">Eletricidade </v>
      </c>
      <c r="CB1033" s="319" t="str">
        <f>Language!C191</f>
        <v>Refrigeração</v>
      </c>
      <c r="CC1033" s="319" t="str">
        <f>Language!C190</f>
        <v>Aquecimento</v>
      </c>
      <c r="CD1033" s="319"/>
      <c r="CE1033" s="319"/>
      <c r="CF1033" s="319"/>
    </row>
    <row r="1034" spans="1:84" ht="0.75" customHeight="1">
      <c r="A1034" s="319"/>
      <c r="B1034" s="319" t="str">
        <f>Language!C264</f>
        <v>Fev</v>
      </c>
      <c r="C1034" s="742"/>
      <c r="D1034" s="319"/>
      <c r="E1034" s="319"/>
      <c r="F1034" s="319"/>
      <c r="G1034" s="319"/>
      <c r="H1034" s="319"/>
      <c r="I1034" s="319"/>
      <c r="J1034" s="319"/>
      <c r="K1034" s="319"/>
      <c r="L1034" s="319"/>
      <c r="M1034" s="319"/>
      <c r="N1034" s="319"/>
      <c r="O1034" s="319"/>
      <c r="P1034" s="319"/>
      <c r="Q1034" s="319"/>
      <c r="R1034" s="319"/>
      <c r="S1034" s="319"/>
      <c r="T1034" s="319"/>
      <c r="U1034" s="319"/>
      <c r="V1034" s="319"/>
      <c r="W1034" s="319"/>
      <c r="X1034" s="319"/>
      <c r="Y1034" s="319"/>
      <c r="Z1034" s="319"/>
      <c r="AA1034" s="319"/>
      <c r="AB1034" s="319"/>
      <c r="AC1034" s="319"/>
      <c r="AD1034" s="319"/>
      <c r="AE1034" s="319"/>
      <c r="AF1034" s="319"/>
      <c r="AG1034" s="319"/>
      <c r="AH1034" s="319"/>
      <c r="AI1034" s="319"/>
      <c r="AJ1034" s="319"/>
      <c r="AK1034" s="319"/>
      <c r="AL1034" s="319"/>
      <c r="AM1034" s="319"/>
      <c r="AN1034" s="319"/>
      <c r="AO1034" s="587"/>
      <c r="AP1034" s="319"/>
      <c r="AQ1034" s="319"/>
      <c r="AR1034" s="319"/>
      <c r="AS1034" s="319"/>
      <c r="AT1034" s="319"/>
      <c r="AU1034" s="319"/>
      <c r="AV1034" s="319"/>
      <c r="AW1034" s="319"/>
      <c r="AX1034" s="319"/>
      <c r="AY1034" s="319"/>
      <c r="AZ1034" s="319"/>
      <c r="BA1034" s="319"/>
      <c r="BB1034" s="319"/>
      <c r="BC1034" s="319"/>
      <c r="BD1034" s="319"/>
      <c r="BE1034" s="319"/>
      <c r="BF1034" s="319"/>
      <c r="BG1034" s="319"/>
      <c r="BH1034" s="319"/>
      <c r="BI1034" s="319"/>
      <c r="BJ1034" s="319"/>
      <c r="BK1034" s="319"/>
      <c r="BL1034" s="319"/>
      <c r="BM1034" s="319"/>
      <c r="BN1034" s="319"/>
      <c r="BO1034" s="319"/>
      <c r="BP1034" s="319"/>
      <c r="BQ1034" s="319"/>
      <c r="BR1034" s="319"/>
      <c r="BS1034" s="319"/>
      <c r="BT1034" s="319"/>
      <c r="BU1034" s="319"/>
      <c r="BV1034" s="319"/>
      <c r="BW1034" s="319"/>
      <c r="BX1034" s="319"/>
      <c r="BY1034" s="319"/>
      <c r="BZ1034" s="319"/>
      <c r="CA1034" s="494">
        <f>'Carga e Rede'!N230</f>
        <v>0</v>
      </c>
      <c r="CB1034" s="494">
        <f>'Carga e Rede'!O230</f>
        <v>0</v>
      </c>
      <c r="CC1034" s="494">
        <f>'Carga e Rede'!R230</f>
        <v>0</v>
      </c>
      <c r="CD1034" s="319"/>
      <c r="CE1034" s="319"/>
      <c r="CF1034" s="319"/>
    </row>
    <row r="1035" spans="1:84" ht="0.75" customHeight="1">
      <c r="A1035" s="319"/>
      <c r="B1035" s="319" t="str">
        <f>Language!C265</f>
        <v>Mar</v>
      </c>
      <c r="C1035" s="742"/>
      <c r="D1035" s="319"/>
      <c r="E1035" s="319"/>
      <c r="F1035" s="319"/>
      <c r="G1035" s="319"/>
      <c r="H1035" s="319"/>
      <c r="I1035" s="319"/>
      <c r="J1035" s="319"/>
      <c r="K1035" s="319"/>
      <c r="L1035" s="319"/>
      <c r="M1035" s="319"/>
      <c r="N1035" s="319"/>
      <c r="O1035" s="319"/>
      <c r="P1035" s="319"/>
      <c r="Q1035" s="319"/>
      <c r="R1035" s="319"/>
      <c r="S1035" s="319"/>
      <c r="T1035" s="319"/>
      <c r="U1035" s="319"/>
      <c r="V1035" s="319"/>
      <c r="W1035" s="319"/>
      <c r="X1035" s="319"/>
      <c r="Y1035" s="319"/>
      <c r="Z1035" s="319"/>
      <c r="AA1035" s="319"/>
      <c r="AB1035" s="319"/>
      <c r="AC1035" s="319"/>
      <c r="AD1035" s="319"/>
      <c r="AE1035" s="319"/>
      <c r="AF1035" s="319"/>
      <c r="AG1035" s="319"/>
      <c r="AH1035" s="319"/>
      <c r="AI1035" s="319"/>
      <c r="AJ1035" s="319"/>
      <c r="AK1035" s="319"/>
      <c r="AL1035" s="319"/>
      <c r="AM1035" s="319"/>
      <c r="AN1035" s="319"/>
      <c r="AO1035" s="587"/>
      <c r="AP1035" s="319"/>
      <c r="AQ1035" s="319"/>
      <c r="AR1035" s="319"/>
      <c r="AS1035" s="319"/>
      <c r="AT1035" s="319"/>
      <c r="AU1035" s="319"/>
      <c r="AV1035" s="319"/>
      <c r="AW1035" s="319"/>
      <c r="AX1035" s="319"/>
      <c r="AY1035" s="319"/>
      <c r="AZ1035" s="319"/>
      <c r="BA1035" s="319"/>
      <c r="BB1035" s="319"/>
      <c r="BC1035" s="319"/>
      <c r="BD1035" s="319"/>
      <c r="BE1035" s="319"/>
      <c r="BF1035" s="319"/>
      <c r="BG1035" s="319"/>
      <c r="BH1035" s="319"/>
      <c r="BI1035" s="319"/>
      <c r="BJ1035" s="319"/>
      <c r="BK1035" s="319"/>
      <c r="BL1035" s="319"/>
      <c r="BM1035" s="319"/>
      <c r="BN1035" s="319"/>
      <c r="BO1035" s="319"/>
      <c r="BP1035" s="319"/>
      <c r="BQ1035" s="319"/>
      <c r="BR1035" s="319"/>
      <c r="BS1035" s="319"/>
      <c r="BT1035" s="319"/>
      <c r="BU1035" s="319"/>
      <c r="BV1035" s="319"/>
      <c r="BW1035" s="319"/>
      <c r="BX1035" s="319"/>
      <c r="BY1035" s="319"/>
      <c r="BZ1035" s="319"/>
      <c r="CA1035" s="494">
        <f>'Carga e Rede'!N231</f>
        <v>0</v>
      </c>
      <c r="CB1035" s="494">
        <f>'Carga e Rede'!O231</f>
        <v>0</v>
      </c>
      <c r="CC1035" s="494">
        <f>'Carga e Rede'!R231</f>
        <v>0</v>
      </c>
      <c r="CD1035" s="319"/>
      <c r="CE1035" s="319"/>
      <c r="CF1035" s="319"/>
    </row>
    <row r="1036" spans="1:84" ht="0.75" customHeight="1">
      <c r="A1036" s="319"/>
      <c r="B1036" s="319" t="str">
        <f>Language!C266</f>
        <v>Abr</v>
      </c>
      <c r="C1036" s="742"/>
      <c r="D1036" s="319"/>
      <c r="E1036" s="319"/>
      <c r="F1036" s="319"/>
      <c r="G1036" s="319"/>
      <c r="H1036" s="319"/>
      <c r="I1036" s="319"/>
      <c r="J1036" s="319"/>
      <c r="K1036" s="319"/>
      <c r="L1036" s="319"/>
      <c r="M1036" s="319"/>
      <c r="N1036" s="319"/>
      <c r="O1036" s="319"/>
      <c r="P1036" s="319"/>
      <c r="Q1036" s="319"/>
      <c r="R1036" s="319"/>
      <c r="S1036" s="319"/>
      <c r="T1036" s="319"/>
      <c r="U1036" s="319"/>
      <c r="V1036" s="319"/>
      <c r="W1036" s="319"/>
      <c r="X1036" s="319"/>
      <c r="Y1036" s="319"/>
      <c r="Z1036" s="319"/>
      <c r="AA1036" s="319"/>
      <c r="AB1036" s="319"/>
      <c r="AC1036" s="319"/>
      <c r="AD1036" s="319"/>
      <c r="AE1036" s="319"/>
      <c r="AF1036" s="319"/>
      <c r="AG1036" s="319"/>
      <c r="AH1036" s="319"/>
      <c r="AI1036" s="319"/>
      <c r="AJ1036" s="319"/>
      <c r="AK1036" s="319"/>
      <c r="AL1036" s="319"/>
      <c r="AM1036" s="319"/>
      <c r="AN1036" s="319"/>
      <c r="AO1036" s="587"/>
      <c r="AP1036" s="319"/>
      <c r="AQ1036" s="319"/>
      <c r="AR1036" s="319"/>
      <c r="AS1036" s="319"/>
      <c r="AT1036" s="319"/>
      <c r="AU1036" s="319"/>
      <c r="AV1036" s="319"/>
      <c r="AW1036" s="319"/>
      <c r="AX1036" s="319"/>
      <c r="AY1036" s="319"/>
      <c r="AZ1036" s="319"/>
      <c r="BA1036" s="319"/>
      <c r="BB1036" s="319"/>
      <c r="BC1036" s="319"/>
      <c r="BD1036" s="319"/>
      <c r="BE1036" s="319"/>
      <c r="BF1036" s="319"/>
      <c r="BG1036" s="319"/>
      <c r="BH1036" s="319"/>
      <c r="BI1036" s="319"/>
      <c r="BJ1036" s="319"/>
      <c r="BK1036" s="319"/>
      <c r="BL1036" s="319"/>
      <c r="BM1036" s="319"/>
      <c r="BN1036" s="319"/>
      <c r="BO1036" s="319"/>
      <c r="BP1036" s="319"/>
      <c r="BQ1036" s="319"/>
      <c r="BR1036" s="319"/>
      <c r="BS1036" s="319"/>
      <c r="BT1036" s="319"/>
      <c r="BU1036" s="319"/>
      <c r="BV1036" s="319"/>
      <c r="BW1036" s="319"/>
      <c r="BX1036" s="319"/>
      <c r="BY1036" s="319"/>
      <c r="BZ1036" s="319"/>
      <c r="CA1036" s="494">
        <f>'Carga e Rede'!N232</f>
        <v>0</v>
      </c>
      <c r="CB1036" s="494">
        <f>'Carga e Rede'!O232</f>
        <v>0</v>
      </c>
      <c r="CC1036" s="494">
        <f>'Carga e Rede'!R232</f>
        <v>0</v>
      </c>
      <c r="CD1036" s="319"/>
      <c r="CE1036" s="319"/>
      <c r="CF1036" s="319"/>
    </row>
    <row r="1037" spans="1:84" ht="0.75" customHeight="1">
      <c r="A1037" s="319"/>
      <c r="B1037" s="319" t="str">
        <f>Language!C267</f>
        <v>Mai</v>
      </c>
      <c r="C1037" s="742"/>
      <c r="D1037" s="319"/>
      <c r="E1037" s="319"/>
      <c r="F1037" s="319"/>
      <c r="G1037" s="319"/>
      <c r="H1037" s="319"/>
      <c r="I1037" s="319"/>
      <c r="J1037" s="319"/>
      <c r="K1037" s="319"/>
      <c r="L1037" s="319"/>
      <c r="M1037" s="319"/>
      <c r="N1037" s="319"/>
      <c r="O1037" s="319"/>
      <c r="P1037" s="319"/>
      <c r="Q1037" s="319"/>
      <c r="R1037" s="319"/>
      <c r="S1037" s="319"/>
      <c r="T1037" s="319"/>
      <c r="U1037" s="319"/>
      <c r="V1037" s="319"/>
      <c r="W1037" s="319"/>
      <c r="X1037" s="319"/>
      <c r="Y1037" s="319"/>
      <c r="Z1037" s="319"/>
      <c r="AA1037" s="319"/>
      <c r="AB1037" s="319"/>
      <c r="AC1037" s="319"/>
      <c r="AD1037" s="319"/>
      <c r="AE1037" s="319"/>
      <c r="AF1037" s="319"/>
      <c r="AG1037" s="319"/>
      <c r="AH1037" s="319"/>
      <c r="AI1037" s="319"/>
      <c r="AJ1037" s="319"/>
      <c r="AK1037" s="319"/>
      <c r="AL1037" s="319"/>
      <c r="AM1037" s="319"/>
      <c r="AN1037" s="319"/>
      <c r="AO1037" s="587"/>
      <c r="AP1037" s="319"/>
      <c r="AQ1037" s="319"/>
      <c r="AR1037" s="319"/>
      <c r="AS1037" s="319"/>
      <c r="AT1037" s="319"/>
      <c r="AU1037" s="319"/>
      <c r="AV1037" s="319"/>
      <c r="AW1037" s="319"/>
      <c r="AX1037" s="319"/>
      <c r="AY1037" s="319"/>
      <c r="AZ1037" s="319"/>
      <c r="BA1037" s="319"/>
      <c r="BB1037" s="319"/>
      <c r="BC1037" s="319"/>
      <c r="BD1037" s="319"/>
      <c r="BE1037" s="319"/>
      <c r="BF1037" s="319"/>
      <c r="BG1037" s="319"/>
      <c r="BH1037" s="319"/>
      <c r="BI1037" s="319"/>
      <c r="BJ1037" s="319"/>
      <c r="BK1037" s="319"/>
      <c r="BL1037" s="319"/>
      <c r="BM1037" s="319"/>
      <c r="BN1037" s="319"/>
      <c r="BO1037" s="319"/>
      <c r="BP1037" s="319"/>
      <c r="BQ1037" s="319"/>
      <c r="BR1037" s="319"/>
      <c r="BS1037" s="319"/>
      <c r="BT1037" s="319"/>
      <c r="BU1037" s="319"/>
      <c r="BV1037" s="319"/>
      <c r="BW1037" s="319"/>
      <c r="BX1037" s="319"/>
      <c r="BY1037" s="319"/>
      <c r="BZ1037" s="319"/>
      <c r="CA1037" s="494">
        <f>'Carga e Rede'!N233</f>
        <v>0</v>
      </c>
      <c r="CB1037" s="494">
        <f>'Carga e Rede'!O233</f>
        <v>0</v>
      </c>
      <c r="CC1037" s="494">
        <f>'Carga e Rede'!R233</f>
        <v>0</v>
      </c>
      <c r="CD1037" s="319"/>
      <c r="CE1037" s="319"/>
      <c r="CF1037" s="319"/>
    </row>
    <row r="1038" spans="1:84" ht="0.75" customHeight="1">
      <c r="A1038" s="319"/>
      <c r="B1038" s="319" t="str">
        <f>Language!C268</f>
        <v>Junho</v>
      </c>
      <c r="C1038" s="742"/>
      <c r="D1038" s="319"/>
      <c r="E1038" s="319"/>
      <c r="F1038" s="319"/>
      <c r="G1038" s="319"/>
      <c r="H1038" s="319"/>
      <c r="I1038" s="319"/>
      <c r="J1038" s="319"/>
      <c r="K1038" s="319"/>
      <c r="L1038" s="319"/>
      <c r="M1038" s="319"/>
      <c r="N1038" s="319"/>
      <c r="O1038" s="319"/>
      <c r="P1038" s="319"/>
      <c r="Q1038" s="319"/>
      <c r="R1038" s="319"/>
      <c r="S1038" s="319"/>
      <c r="T1038" s="319"/>
      <c r="U1038" s="319"/>
      <c r="V1038" s="319"/>
      <c r="W1038" s="319"/>
      <c r="X1038" s="319"/>
      <c r="Y1038" s="319"/>
      <c r="Z1038" s="319"/>
      <c r="AA1038" s="319"/>
      <c r="AB1038" s="319"/>
      <c r="AC1038" s="319"/>
      <c r="AD1038" s="319"/>
      <c r="AE1038" s="319"/>
      <c r="AF1038" s="319"/>
      <c r="AG1038" s="319"/>
      <c r="AH1038" s="319"/>
      <c r="AI1038" s="319"/>
      <c r="AJ1038" s="319"/>
      <c r="AK1038" s="319"/>
      <c r="AL1038" s="319"/>
      <c r="AM1038" s="319"/>
      <c r="AN1038" s="319"/>
      <c r="AO1038" s="587"/>
      <c r="AP1038" s="319"/>
      <c r="AQ1038" s="319"/>
      <c r="AR1038" s="319"/>
      <c r="AS1038" s="319"/>
      <c r="AT1038" s="319"/>
      <c r="AU1038" s="319"/>
      <c r="AV1038" s="319"/>
      <c r="AW1038" s="319"/>
      <c r="AX1038" s="319"/>
      <c r="AY1038" s="319"/>
      <c r="AZ1038" s="319"/>
      <c r="BA1038" s="319"/>
      <c r="BB1038" s="319"/>
      <c r="BC1038" s="319"/>
      <c r="BD1038" s="319"/>
      <c r="BE1038" s="319"/>
      <c r="BF1038" s="319"/>
      <c r="BG1038" s="319"/>
      <c r="BH1038" s="319"/>
      <c r="BI1038" s="319"/>
      <c r="BJ1038" s="319"/>
      <c r="BK1038" s="319"/>
      <c r="BL1038" s="319"/>
      <c r="BM1038" s="319"/>
      <c r="BN1038" s="319"/>
      <c r="BO1038" s="319"/>
      <c r="BP1038" s="319"/>
      <c r="BQ1038" s="319"/>
      <c r="BR1038" s="319"/>
      <c r="BS1038" s="319"/>
      <c r="BT1038" s="319"/>
      <c r="BU1038" s="319"/>
      <c r="BV1038" s="319"/>
      <c r="BW1038" s="319"/>
      <c r="BX1038" s="319"/>
      <c r="BY1038" s="319"/>
      <c r="BZ1038" s="319"/>
      <c r="CA1038" s="494">
        <f>'Carga e Rede'!N234</f>
        <v>0</v>
      </c>
      <c r="CB1038" s="494">
        <f>'Carga e Rede'!O234</f>
        <v>0</v>
      </c>
      <c r="CC1038" s="494">
        <f>'Carga e Rede'!R234</f>
        <v>0</v>
      </c>
      <c r="CD1038" s="319"/>
      <c r="CE1038" s="319"/>
      <c r="CF1038" s="319"/>
    </row>
    <row r="1039" spans="1:84" ht="0.75" customHeight="1">
      <c r="A1039" s="319"/>
      <c r="B1039" s="319" t="str">
        <f>Language!C269</f>
        <v>Julho</v>
      </c>
      <c r="C1039" s="742"/>
      <c r="D1039" s="319"/>
      <c r="E1039" s="319"/>
      <c r="F1039" s="319"/>
      <c r="G1039" s="319"/>
      <c r="H1039" s="319"/>
      <c r="I1039" s="319"/>
      <c r="J1039" s="319"/>
      <c r="K1039" s="319"/>
      <c r="L1039" s="319"/>
      <c r="M1039" s="319"/>
      <c r="N1039" s="319"/>
      <c r="O1039" s="319"/>
      <c r="P1039" s="319"/>
      <c r="Q1039" s="319"/>
      <c r="R1039" s="319"/>
      <c r="S1039" s="319"/>
      <c r="T1039" s="319"/>
      <c r="U1039" s="319"/>
      <c r="V1039" s="319"/>
      <c r="W1039" s="319"/>
      <c r="X1039" s="319"/>
      <c r="Y1039" s="319"/>
      <c r="Z1039" s="319"/>
      <c r="AA1039" s="319"/>
      <c r="AB1039" s="319"/>
      <c r="AC1039" s="319"/>
      <c r="AD1039" s="319"/>
      <c r="AE1039" s="319"/>
      <c r="AF1039" s="319"/>
      <c r="AG1039" s="319"/>
      <c r="AH1039" s="319"/>
      <c r="AI1039" s="319"/>
      <c r="AJ1039" s="319"/>
      <c r="AK1039" s="319"/>
      <c r="AL1039" s="319"/>
      <c r="AM1039" s="319"/>
      <c r="AN1039" s="319"/>
      <c r="AO1039" s="587"/>
      <c r="AP1039" s="319"/>
      <c r="AQ1039" s="319"/>
      <c r="AR1039" s="319"/>
      <c r="AS1039" s="319"/>
      <c r="AT1039" s="319"/>
      <c r="AU1039" s="319"/>
      <c r="AV1039" s="319"/>
      <c r="AW1039" s="319"/>
      <c r="AX1039" s="319"/>
      <c r="AY1039" s="319"/>
      <c r="AZ1039" s="319"/>
      <c r="BA1039" s="319"/>
      <c r="BB1039" s="319"/>
      <c r="BC1039" s="319"/>
      <c r="BD1039" s="319"/>
      <c r="BE1039" s="319"/>
      <c r="BF1039" s="319"/>
      <c r="BG1039" s="319"/>
      <c r="BH1039" s="319"/>
      <c r="BI1039" s="319"/>
      <c r="BJ1039" s="319"/>
      <c r="BK1039" s="319"/>
      <c r="BL1039" s="319"/>
      <c r="BM1039" s="319"/>
      <c r="BN1039" s="319"/>
      <c r="BO1039" s="319"/>
      <c r="BP1039" s="319"/>
      <c r="BQ1039" s="319"/>
      <c r="BR1039" s="319"/>
      <c r="BS1039" s="319"/>
      <c r="BT1039" s="319"/>
      <c r="BU1039" s="319"/>
      <c r="BV1039" s="319"/>
      <c r="BW1039" s="319"/>
      <c r="BX1039" s="319"/>
      <c r="BY1039" s="319"/>
      <c r="BZ1039" s="319"/>
      <c r="CA1039" s="494">
        <f>'Carga e Rede'!N235</f>
        <v>0</v>
      </c>
      <c r="CB1039" s="494">
        <f>'Carga e Rede'!O235</f>
        <v>0</v>
      </c>
      <c r="CC1039" s="494">
        <f>'Carga e Rede'!R235</f>
        <v>0</v>
      </c>
      <c r="CD1039" s="319"/>
      <c r="CE1039" s="319"/>
      <c r="CF1039" s="319"/>
    </row>
    <row r="1040" spans="1:84" ht="0.75" customHeight="1">
      <c r="A1040" s="319"/>
      <c r="B1040" s="319" t="str">
        <f>Language!C270</f>
        <v>Ago</v>
      </c>
      <c r="C1040" s="742"/>
      <c r="D1040" s="319"/>
      <c r="E1040" s="319"/>
      <c r="F1040" s="319"/>
      <c r="G1040" s="319"/>
      <c r="H1040" s="319"/>
      <c r="I1040" s="319"/>
      <c r="J1040" s="319"/>
      <c r="K1040" s="319"/>
      <c r="L1040" s="319"/>
      <c r="M1040" s="319"/>
      <c r="N1040" s="319"/>
      <c r="O1040" s="319"/>
      <c r="P1040" s="319"/>
      <c r="Q1040" s="319"/>
      <c r="R1040" s="319"/>
      <c r="S1040" s="319"/>
      <c r="T1040" s="319"/>
      <c r="U1040" s="319"/>
      <c r="V1040" s="319"/>
      <c r="W1040" s="319"/>
      <c r="X1040" s="319"/>
      <c r="Y1040" s="319"/>
      <c r="Z1040" s="319"/>
      <c r="AA1040" s="319"/>
      <c r="AB1040" s="319"/>
      <c r="AC1040" s="319"/>
      <c r="AD1040" s="319"/>
      <c r="AE1040" s="319"/>
      <c r="AF1040" s="319"/>
      <c r="AG1040" s="319"/>
      <c r="AH1040" s="319"/>
      <c r="AI1040" s="319"/>
      <c r="AJ1040" s="319"/>
      <c r="AK1040" s="319"/>
      <c r="AL1040" s="319"/>
      <c r="AM1040" s="319"/>
      <c r="AN1040" s="319"/>
      <c r="AO1040" s="587"/>
      <c r="AP1040" s="319"/>
      <c r="AQ1040" s="319"/>
      <c r="AR1040" s="319"/>
      <c r="AS1040" s="319"/>
      <c r="AT1040" s="319"/>
      <c r="AU1040" s="319"/>
      <c r="AV1040" s="319"/>
      <c r="AW1040" s="319"/>
      <c r="AX1040" s="319"/>
      <c r="AY1040" s="319"/>
      <c r="AZ1040" s="319"/>
      <c r="BA1040" s="319"/>
      <c r="BB1040" s="319"/>
      <c r="BC1040" s="319"/>
      <c r="BD1040" s="319"/>
      <c r="BE1040" s="319"/>
      <c r="BF1040" s="319"/>
      <c r="BG1040" s="319"/>
      <c r="BH1040" s="319"/>
      <c r="BI1040" s="319"/>
      <c r="BJ1040" s="319"/>
      <c r="BK1040" s="319"/>
      <c r="BL1040" s="319"/>
      <c r="BM1040" s="319"/>
      <c r="BN1040" s="319"/>
      <c r="BO1040" s="319"/>
      <c r="BP1040" s="319"/>
      <c r="BQ1040" s="319"/>
      <c r="BR1040" s="319"/>
      <c r="BS1040" s="319"/>
      <c r="BT1040" s="319"/>
      <c r="BU1040" s="319"/>
      <c r="BV1040" s="319"/>
      <c r="BW1040" s="319"/>
      <c r="BX1040" s="319"/>
      <c r="BY1040" s="319"/>
      <c r="BZ1040" s="319"/>
      <c r="CA1040" s="494">
        <f>'Carga e Rede'!N236</f>
        <v>0</v>
      </c>
      <c r="CB1040" s="494">
        <f>'Carga e Rede'!O236</f>
        <v>0</v>
      </c>
      <c r="CC1040" s="494">
        <f>'Carga e Rede'!R236</f>
        <v>0</v>
      </c>
      <c r="CD1040" s="319"/>
      <c r="CE1040" s="319"/>
      <c r="CF1040" s="319"/>
    </row>
    <row r="1041" spans="1:84" ht="0.75" customHeight="1">
      <c r="A1041" s="319"/>
      <c r="B1041" s="319" t="str">
        <f>Language!C271</f>
        <v>Set</v>
      </c>
      <c r="C1041" s="742"/>
      <c r="D1041" s="319"/>
      <c r="E1041" s="319"/>
      <c r="F1041" s="319"/>
      <c r="G1041" s="319"/>
      <c r="H1041" s="319"/>
      <c r="I1041" s="319"/>
      <c r="J1041" s="319"/>
      <c r="K1041" s="319"/>
      <c r="L1041" s="319"/>
      <c r="M1041" s="319"/>
      <c r="N1041" s="319"/>
      <c r="O1041" s="319"/>
      <c r="P1041" s="319"/>
      <c r="Q1041" s="319"/>
      <c r="R1041" s="319"/>
      <c r="S1041" s="319"/>
      <c r="T1041" s="319"/>
      <c r="U1041" s="319"/>
      <c r="V1041" s="319"/>
      <c r="W1041" s="319"/>
      <c r="X1041" s="319"/>
      <c r="Y1041" s="319"/>
      <c r="Z1041" s="319"/>
      <c r="AA1041" s="319"/>
      <c r="AB1041" s="319"/>
      <c r="AC1041" s="319"/>
      <c r="AD1041" s="319"/>
      <c r="AE1041" s="319"/>
      <c r="AF1041" s="319"/>
      <c r="AG1041" s="319"/>
      <c r="AH1041" s="319"/>
      <c r="AI1041" s="319"/>
      <c r="AJ1041" s="319"/>
      <c r="AK1041" s="319"/>
      <c r="AL1041" s="319"/>
      <c r="AM1041" s="319"/>
      <c r="AN1041" s="319"/>
      <c r="AO1041" s="587"/>
      <c r="AP1041" s="319"/>
      <c r="AQ1041" s="319"/>
      <c r="AR1041" s="319"/>
      <c r="AS1041" s="319"/>
      <c r="AT1041" s="319"/>
      <c r="AU1041" s="319"/>
      <c r="AV1041" s="319"/>
      <c r="AW1041" s="319"/>
      <c r="AX1041" s="319"/>
      <c r="AY1041" s="319"/>
      <c r="AZ1041" s="319"/>
      <c r="BA1041" s="319"/>
      <c r="BB1041" s="319"/>
      <c r="BC1041" s="319"/>
      <c r="BD1041" s="319"/>
      <c r="BE1041" s="319"/>
      <c r="BF1041" s="319"/>
      <c r="BG1041" s="319"/>
      <c r="BH1041" s="319"/>
      <c r="BI1041" s="319"/>
      <c r="BJ1041" s="319"/>
      <c r="BK1041" s="319"/>
      <c r="BL1041" s="319"/>
      <c r="BM1041" s="319"/>
      <c r="BN1041" s="319"/>
      <c r="BO1041" s="319"/>
      <c r="BP1041" s="319"/>
      <c r="BQ1041" s="319"/>
      <c r="BR1041" s="319"/>
      <c r="BS1041" s="319"/>
      <c r="BT1041" s="319"/>
      <c r="BU1041" s="319"/>
      <c r="BV1041" s="319"/>
      <c r="BW1041" s="319"/>
      <c r="BX1041" s="319"/>
      <c r="BY1041" s="319"/>
      <c r="BZ1041" s="319"/>
      <c r="CA1041" s="494">
        <f>'Carga e Rede'!N237</f>
        <v>0</v>
      </c>
      <c r="CB1041" s="494">
        <f>'Carga e Rede'!O237</f>
        <v>0</v>
      </c>
      <c r="CC1041" s="494">
        <f>'Carga e Rede'!R237</f>
        <v>0</v>
      </c>
      <c r="CD1041" s="319"/>
      <c r="CE1041" s="319"/>
      <c r="CF1041" s="319"/>
    </row>
    <row r="1042" spans="1:84" ht="0.75" customHeight="1">
      <c r="A1042" s="319"/>
      <c r="B1042" s="319" t="str">
        <f>Language!C272</f>
        <v>Out</v>
      </c>
      <c r="C1042" s="742"/>
      <c r="D1042" s="319"/>
      <c r="E1042" s="319"/>
      <c r="F1042" s="319"/>
      <c r="G1042" s="319"/>
      <c r="H1042" s="319"/>
      <c r="I1042" s="319"/>
      <c r="J1042" s="319"/>
      <c r="K1042" s="319"/>
      <c r="L1042" s="319"/>
      <c r="M1042" s="319"/>
      <c r="N1042" s="319"/>
      <c r="O1042" s="319"/>
      <c r="P1042" s="319"/>
      <c r="Q1042" s="319"/>
      <c r="R1042" s="319"/>
      <c r="S1042" s="319"/>
      <c r="T1042" s="319"/>
      <c r="U1042" s="319"/>
      <c r="V1042" s="319"/>
      <c r="W1042" s="319"/>
      <c r="X1042" s="319"/>
      <c r="Y1042" s="319"/>
      <c r="Z1042" s="319"/>
      <c r="AA1042" s="319"/>
      <c r="AB1042" s="319"/>
      <c r="AC1042" s="319"/>
      <c r="AD1042" s="319"/>
      <c r="AE1042" s="319"/>
      <c r="AF1042" s="319"/>
      <c r="AG1042" s="319"/>
      <c r="AH1042" s="319"/>
      <c r="AI1042" s="319"/>
      <c r="AJ1042" s="319"/>
      <c r="AK1042" s="319"/>
      <c r="AL1042" s="319"/>
      <c r="AM1042" s="319"/>
      <c r="AN1042" s="319"/>
      <c r="AO1042" s="587"/>
      <c r="AP1042" s="319"/>
      <c r="AQ1042" s="319"/>
      <c r="AR1042" s="319"/>
      <c r="AS1042" s="319"/>
      <c r="AT1042" s="319"/>
      <c r="AU1042" s="319"/>
      <c r="AV1042" s="319"/>
      <c r="AW1042" s="319"/>
      <c r="AX1042" s="319"/>
      <c r="AY1042" s="319"/>
      <c r="AZ1042" s="319"/>
      <c r="BA1042" s="319"/>
      <c r="BB1042" s="319"/>
      <c r="BC1042" s="319"/>
      <c r="BD1042" s="319"/>
      <c r="BE1042" s="319"/>
      <c r="BF1042" s="319"/>
      <c r="BG1042" s="319"/>
      <c r="BH1042" s="319"/>
      <c r="BI1042" s="319"/>
      <c r="BJ1042" s="319"/>
      <c r="BK1042" s="319"/>
      <c r="BL1042" s="319"/>
      <c r="BM1042" s="319"/>
      <c r="BN1042" s="319"/>
      <c r="BO1042" s="319"/>
      <c r="BP1042" s="319"/>
      <c r="BQ1042" s="319"/>
      <c r="BR1042" s="319"/>
      <c r="BS1042" s="319"/>
      <c r="BT1042" s="319"/>
      <c r="BU1042" s="319"/>
      <c r="BV1042" s="319"/>
      <c r="BW1042" s="319"/>
      <c r="BX1042" s="319"/>
      <c r="BY1042" s="319"/>
      <c r="BZ1042" s="319"/>
      <c r="CA1042" s="494">
        <f>'Carga e Rede'!N238</f>
        <v>0</v>
      </c>
      <c r="CB1042" s="494">
        <f>'Carga e Rede'!O238</f>
        <v>0</v>
      </c>
      <c r="CC1042" s="494">
        <f>'Carga e Rede'!R238</f>
        <v>0</v>
      </c>
      <c r="CD1042" s="319"/>
      <c r="CE1042" s="319"/>
      <c r="CF1042" s="319"/>
    </row>
    <row r="1043" spans="1:84" ht="0.75" customHeight="1">
      <c r="A1043" s="319"/>
      <c r="B1043" s="319" t="str">
        <f>Language!C273</f>
        <v>Novembro</v>
      </c>
      <c r="C1043" s="742"/>
      <c r="D1043" s="742"/>
      <c r="E1043" s="319"/>
      <c r="F1043" s="319"/>
      <c r="G1043" s="319"/>
      <c r="H1043" s="319"/>
      <c r="I1043" s="319"/>
      <c r="J1043" s="319"/>
      <c r="K1043" s="319"/>
      <c r="L1043" s="319"/>
      <c r="M1043" s="319"/>
      <c r="N1043" s="319"/>
      <c r="O1043" s="319"/>
      <c r="P1043" s="319"/>
      <c r="Q1043" s="319"/>
      <c r="R1043" s="319"/>
      <c r="S1043" s="319"/>
      <c r="T1043" s="319"/>
      <c r="U1043" s="319"/>
      <c r="V1043" s="319"/>
      <c r="W1043" s="319"/>
      <c r="X1043" s="319"/>
      <c r="Y1043" s="319"/>
      <c r="Z1043" s="319"/>
      <c r="AA1043" s="319"/>
      <c r="AB1043" s="319"/>
      <c r="AC1043" s="319"/>
      <c r="AD1043" s="319"/>
      <c r="AE1043" s="319"/>
      <c r="AF1043" s="319"/>
      <c r="AG1043" s="319"/>
      <c r="AH1043" s="319"/>
      <c r="AI1043" s="319"/>
      <c r="AJ1043" s="319"/>
      <c r="AK1043" s="319"/>
      <c r="AL1043" s="319"/>
      <c r="AM1043" s="319"/>
      <c r="AN1043" s="319"/>
      <c r="AO1043" s="587"/>
      <c r="AP1043" s="319"/>
      <c r="AQ1043" s="319"/>
      <c r="AR1043" s="319"/>
      <c r="AS1043" s="319"/>
      <c r="AT1043" s="319"/>
      <c r="AU1043" s="319"/>
      <c r="AV1043" s="319"/>
      <c r="AW1043" s="319"/>
      <c r="AX1043" s="319"/>
      <c r="AY1043" s="319"/>
      <c r="AZ1043" s="319"/>
      <c r="BA1043" s="319"/>
      <c r="BB1043" s="319"/>
      <c r="BC1043" s="319"/>
      <c r="BD1043" s="319"/>
      <c r="BE1043" s="319"/>
      <c r="BF1043" s="319"/>
      <c r="BG1043" s="319"/>
      <c r="BH1043" s="319"/>
      <c r="BI1043" s="319"/>
      <c r="BJ1043" s="319"/>
      <c r="BK1043" s="319"/>
      <c r="BL1043" s="319"/>
      <c r="BM1043" s="319"/>
      <c r="BN1043" s="319"/>
      <c r="BO1043" s="319"/>
      <c r="BP1043" s="319"/>
      <c r="BQ1043" s="319"/>
      <c r="BR1043" s="319"/>
      <c r="BS1043" s="319"/>
      <c r="BT1043" s="319"/>
      <c r="BU1043" s="319"/>
      <c r="BV1043" s="319"/>
      <c r="BW1043" s="319"/>
      <c r="BX1043" s="319"/>
      <c r="BY1043" s="319"/>
      <c r="BZ1043" s="319"/>
      <c r="CA1043" s="494">
        <f>'Carga e Rede'!N239</f>
        <v>0</v>
      </c>
      <c r="CB1043" s="494">
        <f>'Carga e Rede'!O239</f>
        <v>0</v>
      </c>
      <c r="CC1043" s="494">
        <f>'Carga e Rede'!R239</f>
        <v>0</v>
      </c>
      <c r="CD1043" s="319"/>
      <c r="CE1043" s="319"/>
      <c r="CF1043" s="319"/>
    </row>
    <row r="1044" spans="1:84" ht="0.75" customHeight="1">
      <c r="A1044" s="319"/>
      <c r="B1044" s="319" t="str">
        <f>Language!C274</f>
        <v>Dez</v>
      </c>
      <c r="C1044" s="742"/>
      <c r="D1044" s="742"/>
      <c r="E1044" s="319"/>
      <c r="F1044" s="319"/>
      <c r="G1044" s="319"/>
      <c r="H1044" s="319"/>
      <c r="I1044" s="319"/>
      <c r="J1044" s="319"/>
      <c r="K1044" s="319"/>
      <c r="L1044" s="319"/>
      <c r="M1044" s="319"/>
      <c r="N1044" s="319"/>
      <c r="O1044" s="319"/>
      <c r="P1044" s="319"/>
      <c r="Q1044" s="319"/>
      <c r="R1044" s="319"/>
      <c r="S1044" s="319"/>
      <c r="T1044" s="319"/>
      <c r="U1044" s="319"/>
      <c r="V1044" s="319"/>
      <c r="W1044" s="319"/>
      <c r="X1044" s="319"/>
      <c r="Y1044" s="319"/>
      <c r="Z1044" s="319"/>
      <c r="AA1044" s="319"/>
      <c r="AB1044" s="319"/>
      <c r="AC1044" s="319"/>
      <c r="AD1044" s="319"/>
      <c r="AE1044" s="319"/>
      <c r="AF1044" s="319"/>
      <c r="AG1044" s="319"/>
      <c r="AH1044" s="319"/>
      <c r="AI1044" s="319"/>
      <c r="AJ1044" s="319"/>
      <c r="AK1044" s="319"/>
      <c r="AL1044" s="319"/>
      <c r="AM1044" s="319"/>
      <c r="AN1044" s="319"/>
      <c r="AO1044" s="587"/>
      <c r="AP1044" s="319"/>
      <c r="AQ1044" s="319"/>
      <c r="AR1044" s="319"/>
      <c r="AS1044" s="319"/>
      <c r="AT1044" s="319"/>
      <c r="AU1044" s="319"/>
      <c r="AV1044" s="319"/>
      <c r="AW1044" s="319"/>
      <c r="AX1044" s="319"/>
      <c r="AY1044" s="319"/>
      <c r="AZ1044" s="319"/>
      <c r="BA1044" s="319"/>
      <c r="BB1044" s="319"/>
      <c r="BC1044" s="319"/>
      <c r="BD1044" s="319"/>
      <c r="BE1044" s="319"/>
      <c r="BF1044" s="319"/>
      <c r="BG1044" s="319"/>
      <c r="BH1044" s="319"/>
      <c r="BI1044" s="319"/>
      <c r="BJ1044" s="319"/>
      <c r="BK1044" s="319"/>
      <c r="BL1044" s="319"/>
      <c r="BM1044" s="319"/>
      <c r="BN1044" s="319"/>
      <c r="BO1044" s="319"/>
      <c r="BP1044" s="319"/>
      <c r="BQ1044" s="319"/>
      <c r="BR1044" s="319"/>
      <c r="BS1044" s="319"/>
      <c r="BT1044" s="319"/>
      <c r="BU1044" s="319"/>
      <c r="BV1044" s="319"/>
      <c r="BW1044" s="319"/>
      <c r="BX1044" s="319"/>
      <c r="BY1044" s="319"/>
      <c r="BZ1044" s="319"/>
      <c r="CA1044" s="494">
        <f>'Carga e Rede'!N240</f>
        <v>0</v>
      </c>
      <c r="CB1044" s="494">
        <f>'Carga e Rede'!O240</f>
        <v>0</v>
      </c>
      <c r="CC1044" s="494">
        <f>'Carga e Rede'!R240</f>
        <v>0</v>
      </c>
      <c r="CD1044" s="319"/>
      <c r="CE1044" s="319"/>
      <c r="CF1044" s="319"/>
    </row>
    <row r="1045" spans="1:84" ht="0.75" customHeight="1">
      <c r="A1045" s="319"/>
      <c r="B1045" s="319"/>
      <c r="C1045" s="742"/>
      <c r="D1045" s="742"/>
      <c r="E1045" s="319"/>
      <c r="F1045" s="319"/>
      <c r="G1045" s="319"/>
      <c r="H1045" s="319"/>
      <c r="I1045" s="319"/>
      <c r="J1045" s="319"/>
      <c r="K1045" s="319"/>
      <c r="L1045" s="319"/>
      <c r="M1045" s="319"/>
      <c r="N1045" s="319"/>
      <c r="O1045" s="319"/>
      <c r="P1045" s="319"/>
      <c r="Q1045" s="319"/>
      <c r="R1045" s="319"/>
      <c r="S1045" s="319"/>
      <c r="T1045" s="319"/>
      <c r="U1045" s="319"/>
      <c r="V1045" s="319"/>
      <c r="W1045" s="319"/>
      <c r="X1045" s="319"/>
      <c r="Y1045" s="319"/>
      <c r="Z1045" s="319"/>
      <c r="AA1045" s="319"/>
      <c r="AB1045" s="319"/>
      <c r="AC1045" s="319"/>
      <c r="AD1045" s="319"/>
      <c r="AE1045" s="319"/>
      <c r="AF1045" s="319"/>
      <c r="AG1045" s="319"/>
      <c r="AH1045" s="319"/>
      <c r="AI1045" s="319"/>
      <c r="AJ1045" s="319"/>
      <c r="AK1045" s="319"/>
      <c r="AL1045" s="319"/>
      <c r="AM1045" s="319"/>
      <c r="AN1045" s="319"/>
      <c r="AO1045" s="587"/>
      <c r="AP1045" s="319"/>
      <c r="AQ1045" s="319"/>
      <c r="AR1045" s="319"/>
      <c r="AS1045" s="319"/>
      <c r="AT1045" s="319"/>
      <c r="AU1045" s="319"/>
      <c r="AV1045" s="319"/>
      <c r="AW1045" s="319"/>
      <c r="AX1045" s="319"/>
      <c r="AY1045" s="319"/>
      <c r="AZ1045" s="319"/>
      <c r="BA1045" s="319"/>
      <c r="BB1045" s="319"/>
      <c r="BC1045" s="319"/>
      <c r="BD1045" s="319"/>
      <c r="BE1045" s="319"/>
      <c r="BF1045" s="319"/>
      <c r="BG1045" s="319"/>
      <c r="BH1045" s="319"/>
      <c r="BI1045" s="319"/>
      <c r="BJ1045" s="319"/>
      <c r="BK1045" s="319"/>
      <c r="BL1045" s="319"/>
      <c r="BM1045" s="319"/>
      <c r="BN1045" s="319"/>
      <c r="BO1045" s="319"/>
      <c r="BP1045" s="319"/>
      <c r="BQ1045" s="319"/>
      <c r="BR1045" s="319"/>
      <c r="BS1045" s="319"/>
      <c r="BT1045" s="319"/>
      <c r="BU1045" s="319"/>
      <c r="BV1045" s="319"/>
      <c r="BW1045" s="319"/>
      <c r="BX1045" s="319"/>
      <c r="BY1045" s="319"/>
      <c r="BZ1045" s="319"/>
      <c r="CA1045" s="494">
        <f>'Carga e Rede'!N241</f>
        <v>0</v>
      </c>
      <c r="CB1045" s="494">
        <f>'Carga e Rede'!O241</f>
        <v>0</v>
      </c>
      <c r="CC1045" s="494">
        <f>'Carga e Rede'!R241</f>
        <v>0</v>
      </c>
      <c r="CD1045" s="319"/>
      <c r="CE1045" s="319"/>
      <c r="CF1045" s="319"/>
    </row>
    <row r="1046" spans="1:84" ht="0.75" customHeight="1">
      <c r="A1046" s="319"/>
      <c r="B1046" s="319"/>
      <c r="C1046" s="742"/>
      <c r="D1046" s="742"/>
      <c r="E1046" s="319"/>
      <c r="F1046" s="319"/>
      <c r="G1046" s="319"/>
      <c r="H1046" s="319"/>
      <c r="I1046" s="319"/>
      <c r="J1046" s="319"/>
      <c r="K1046" s="319"/>
      <c r="L1046" s="319"/>
      <c r="M1046" s="319"/>
      <c r="N1046" s="319"/>
      <c r="O1046" s="319"/>
      <c r="P1046" s="319"/>
      <c r="Q1046" s="319"/>
      <c r="R1046" s="319"/>
      <c r="S1046" s="319"/>
      <c r="T1046" s="319"/>
      <c r="U1046" s="319"/>
      <c r="V1046" s="319"/>
      <c r="W1046" s="319"/>
      <c r="X1046" s="319"/>
      <c r="Y1046" s="319"/>
      <c r="Z1046" s="319"/>
      <c r="AA1046" s="319"/>
      <c r="AB1046" s="319"/>
      <c r="AC1046" s="319"/>
      <c r="AD1046" s="319"/>
      <c r="AE1046" s="319"/>
      <c r="AF1046" s="319"/>
      <c r="AG1046" s="319"/>
      <c r="AH1046" s="319"/>
      <c r="AI1046" s="319"/>
      <c r="AJ1046" s="319"/>
      <c r="AK1046" s="319"/>
      <c r="AL1046" s="319"/>
      <c r="AM1046" s="319"/>
      <c r="AN1046" s="319"/>
      <c r="AO1046" s="587"/>
      <c r="AP1046" s="319"/>
      <c r="AQ1046" s="319"/>
      <c r="AR1046" s="319"/>
      <c r="AS1046" s="319"/>
      <c r="AT1046" s="319"/>
      <c r="AU1046" s="319"/>
      <c r="AV1046" s="319"/>
      <c r="AW1046" s="319"/>
      <c r="AX1046" s="319"/>
      <c r="AY1046" s="319"/>
      <c r="AZ1046" s="319"/>
      <c r="BA1046" s="319"/>
      <c r="BB1046" s="319"/>
      <c r="BC1046" s="319"/>
      <c r="BD1046" s="319"/>
      <c r="BE1046" s="319"/>
      <c r="BF1046" s="319"/>
      <c r="BG1046" s="319"/>
      <c r="BH1046" s="319"/>
      <c r="BI1046" s="319"/>
      <c r="BJ1046" s="319"/>
      <c r="BK1046" s="319"/>
      <c r="BL1046" s="319"/>
      <c r="BM1046" s="319"/>
      <c r="BN1046" s="319"/>
      <c r="BO1046" s="319"/>
      <c r="BP1046" s="319"/>
      <c r="BQ1046" s="319"/>
      <c r="BR1046" s="319"/>
      <c r="BS1046" s="319"/>
      <c r="BT1046" s="319"/>
      <c r="BU1046" s="319"/>
      <c r="BV1046" s="319"/>
      <c r="BW1046" s="319"/>
      <c r="BX1046" s="319"/>
      <c r="BY1046" s="319"/>
      <c r="BZ1046" s="319"/>
      <c r="CA1046" s="319"/>
      <c r="CB1046" s="319"/>
      <c r="CC1046" s="319"/>
      <c r="CD1046" s="319"/>
      <c r="CE1046" s="319"/>
      <c r="CF1046" s="319"/>
    </row>
    <row r="1047" spans="1:84" ht="0.75" hidden="1" customHeight="1">
      <c r="A1047" s="319"/>
      <c r="B1047" s="319" t="str">
        <f>Language!C190</f>
        <v>Aquecimento</v>
      </c>
      <c r="C1047" s="742" t="str">
        <f>B10</f>
        <v>Capacidade</v>
      </c>
      <c r="D1047" s="742" t="str">
        <f>Language!$C$229</f>
        <v>Energia Fornecida</v>
      </c>
      <c r="E1047" s="319"/>
      <c r="F1047" s="319"/>
      <c r="G1047" s="319"/>
      <c r="H1047" s="319"/>
      <c r="I1047" s="319"/>
      <c r="J1047" s="319"/>
      <c r="K1047" s="319"/>
      <c r="L1047" s="319"/>
      <c r="M1047" s="319"/>
      <c r="N1047" s="319"/>
      <c r="O1047" s="319"/>
      <c r="P1047" s="319"/>
      <c r="Q1047" s="319"/>
      <c r="R1047" s="319"/>
      <c r="S1047" s="319"/>
      <c r="T1047" s="319"/>
      <c r="U1047" s="319"/>
      <c r="V1047" s="319"/>
      <c r="W1047" s="319"/>
      <c r="X1047" s="319"/>
      <c r="Y1047" s="319"/>
      <c r="Z1047" s="319"/>
      <c r="AA1047" s="319"/>
      <c r="AB1047" s="319"/>
      <c r="AC1047" s="319"/>
      <c r="AD1047" s="319"/>
      <c r="AE1047" s="319"/>
      <c r="AF1047" s="319"/>
      <c r="AG1047" s="319"/>
      <c r="AH1047" s="319"/>
      <c r="AI1047" s="319"/>
      <c r="AJ1047" s="319"/>
      <c r="AK1047" s="319"/>
      <c r="AL1047" s="319"/>
      <c r="AM1047" s="319"/>
      <c r="AN1047" s="319"/>
      <c r="AO1047" s="587"/>
      <c r="AP1047" s="319"/>
      <c r="AQ1047" s="319"/>
      <c r="AR1047" s="319"/>
      <c r="AS1047" s="319"/>
      <c r="AT1047" s="319"/>
      <c r="AU1047" s="319"/>
      <c r="AV1047" s="319"/>
      <c r="AW1047" s="319"/>
      <c r="AX1047" s="319"/>
      <c r="AY1047" s="319"/>
      <c r="AZ1047" s="319"/>
      <c r="BA1047" s="319"/>
      <c r="BB1047" s="319"/>
      <c r="BC1047" s="319"/>
      <c r="BD1047" s="319"/>
      <c r="BE1047" s="319"/>
      <c r="BF1047" s="319"/>
      <c r="BG1047" s="319"/>
      <c r="BH1047" s="319"/>
      <c r="BI1047" s="319"/>
      <c r="BJ1047" s="319"/>
      <c r="BK1047" s="319"/>
      <c r="BL1047" s="319"/>
      <c r="BM1047" s="319"/>
      <c r="BN1047" s="319"/>
      <c r="BO1047" s="319"/>
      <c r="BP1047" s="319"/>
      <c r="BQ1047" s="319"/>
      <c r="BR1047" s="319"/>
      <c r="BS1047" s="319"/>
      <c r="BT1047" s="319"/>
      <c r="BU1047" s="319"/>
      <c r="BV1047" s="319"/>
      <c r="BW1047" s="319"/>
      <c r="BX1047" s="319"/>
      <c r="BY1047" s="319"/>
      <c r="BZ1047" s="319"/>
      <c r="CA1047" s="319"/>
      <c r="CB1047" s="319"/>
      <c r="CC1047" s="319"/>
      <c r="CD1047" s="319"/>
      <c r="CE1047" s="319"/>
      <c r="CF1047" s="319"/>
    </row>
    <row r="1048" spans="1:84" ht="0.75" hidden="1" customHeight="1">
      <c r="A1048" s="319"/>
      <c r="B1048" s="319" t="str">
        <f>Language!C194</f>
        <v>Base</v>
      </c>
      <c r="C1048" s="742">
        <f>E895</f>
        <v>0</v>
      </c>
      <c r="D1048" s="742" t="e">
        <f>S896/Q867</f>
        <v>#DIV/0!</v>
      </c>
      <c r="E1048" s="319"/>
      <c r="F1048" s="319"/>
      <c r="G1048" s="319"/>
      <c r="H1048" s="319"/>
      <c r="I1048" s="319"/>
      <c r="J1048" s="319"/>
      <c r="K1048" s="319"/>
      <c r="L1048" s="319"/>
      <c r="M1048" s="319"/>
      <c r="N1048" s="319"/>
      <c r="O1048" s="319"/>
      <c r="P1048" s="319"/>
      <c r="Q1048" s="319"/>
      <c r="R1048" s="319"/>
      <c r="S1048" s="319"/>
      <c r="T1048" s="319"/>
      <c r="U1048" s="319"/>
      <c r="V1048" s="319"/>
      <c r="W1048" s="319"/>
      <c r="X1048" s="319"/>
      <c r="Y1048" s="319"/>
      <c r="Z1048" s="319"/>
      <c r="AA1048" s="319"/>
      <c r="AB1048" s="319"/>
      <c r="AC1048" s="319"/>
      <c r="AD1048" s="319"/>
      <c r="AE1048" s="319"/>
      <c r="AF1048" s="319"/>
      <c r="AG1048" s="319"/>
      <c r="AH1048" s="319"/>
      <c r="AI1048" s="319"/>
      <c r="AJ1048" s="319"/>
      <c r="AK1048" s="319"/>
      <c r="AL1048" s="319"/>
      <c r="AM1048" s="319"/>
      <c r="AN1048" s="319"/>
      <c r="AO1048" s="587"/>
      <c r="AP1048" s="319"/>
      <c r="AQ1048" s="319"/>
      <c r="AR1048" s="319"/>
      <c r="AS1048" s="319"/>
      <c r="AT1048" s="319"/>
      <c r="AU1048" s="319"/>
      <c r="AV1048" s="319"/>
      <c r="AW1048" s="319"/>
      <c r="AX1048" s="319"/>
      <c r="AY1048" s="319"/>
      <c r="AZ1048" s="319"/>
      <c r="BA1048" s="319"/>
      <c r="BB1048" s="319"/>
      <c r="BC1048" s="319"/>
      <c r="BD1048" s="319"/>
      <c r="BE1048" s="319"/>
      <c r="BF1048" s="319"/>
      <c r="BG1048" s="319"/>
      <c r="BH1048" s="319"/>
      <c r="BI1048" s="319"/>
      <c r="BJ1048" s="319"/>
      <c r="BK1048" s="319"/>
      <c r="BL1048" s="319"/>
      <c r="BM1048" s="319"/>
      <c r="BN1048" s="319"/>
      <c r="BO1048" s="319"/>
      <c r="BP1048" s="319"/>
      <c r="BQ1048" s="319"/>
      <c r="BR1048" s="319"/>
      <c r="BS1048" s="319"/>
      <c r="BT1048" s="319"/>
      <c r="BU1048" s="319"/>
      <c r="BV1048" s="319"/>
      <c r="BW1048" s="319"/>
      <c r="BX1048" s="319"/>
      <c r="BY1048" s="319"/>
      <c r="BZ1048" s="319"/>
      <c r="CA1048" s="319"/>
      <c r="CB1048" s="319"/>
      <c r="CC1048" s="319"/>
      <c r="CD1048" s="319"/>
      <c r="CE1048" s="319"/>
      <c r="CF1048" s="319"/>
    </row>
    <row r="1049" spans="1:84" ht="0.75" hidden="1" customHeight="1">
      <c r="A1049" s="319"/>
      <c r="B1049" s="319" t="str">
        <f>Language!C195</f>
        <v>Interm.</v>
      </c>
      <c r="C1049" s="742">
        <f>IF(H953=0,0,H953/Q866)</f>
        <v>0</v>
      </c>
      <c r="D1049" s="742">
        <f>IF(S900=0,0,S900/Q867)</f>
        <v>0</v>
      </c>
      <c r="E1049" s="319"/>
      <c r="F1049" s="319"/>
      <c r="G1049" s="319"/>
      <c r="H1049" s="319"/>
      <c r="I1049" s="319"/>
      <c r="J1049" s="319"/>
      <c r="K1049" s="319"/>
      <c r="L1049" s="319"/>
      <c r="M1049" s="319"/>
      <c r="N1049" s="319"/>
      <c r="O1049" s="319"/>
      <c r="P1049" s="319"/>
      <c r="Q1049" s="319"/>
      <c r="R1049" s="319"/>
      <c r="S1049" s="319"/>
      <c r="T1049" s="319"/>
      <c r="U1049" s="319"/>
      <c r="V1049" s="319"/>
      <c r="W1049" s="319"/>
      <c r="X1049" s="319"/>
      <c r="Y1049" s="319"/>
      <c r="Z1049" s="319"/>
      <c r="AA1049" s="319"/>
      <c r="AB1049" s="319"/>
      <c r="AC1049" s="319"/>
      <c r="AD1049" s="319"/>
      <c r="AE1049" s="319"/>
      <c r="AF1049" s="319"/>
      <c r="AG1049" s="319"/>
      <c r="AH1049" s="319"/>
      <c r="AI1049" s="319"/>
      <c r="AJ1049" s="319"/>
      <c r="AK1049" s="319"/>
      <c r="AL1049" s="319"/>
      <c r="AM1049" s="319"/>
      <c r="AN1049" s="319"/>
      <c r="AO1049" s="587"/>
      <c r="AP1049" s="319"/>
      <c r="AQ1049" s="319"/>
      <c r="AR1049" s="319"/>
      <c r="AS1049" s="319"/>
      <c r="AT1049" s="319"/>
      <c r="AU1049" s="319"/>
      <c r="AV1049" s="319"/>
      <c r="AW1049" s="319"/>
      <c r="AX1049" s="319"/>
      <c r="AY1049" s="319"/>
      <c r="AZ1049" s="319"/>
      <c r="BA1049" s="319"/>
      <c r="BB1049" s="319"/>
      <c r="BC1049" s="319"/>
      <c r="BD1049" s="319"/>
      <c r="BE1049" s="319"/>
      <c r="BF1049" s="319"/>
      <c r="BG1049" s="319"/>
      <c r="BH1049" s="319"/>
      <c r="BI1049" s="319"/>
      <c r="BJ1049" s="319"/>
      <c r="BK1049" s="319"/>
      <c r="BL1049" s="319"/>
      <c r="BM1049" s="319"/>
      <c r="BN1049" s="319"/>
      <c r="BO1049" s="319"/>
      <c r="BP1049" s="319"/>
      <c r="BQ1049" s="319"/>
      <c r="BR1049" s="319"/>
      <c r="BS1049" s="319"/>
      <c r="BT1049" s="319"/>
      <c r="BU1049" s="319"/>
      <c r="BV1049" s="319"/>
      <c r="BW1049" s="319"/>
      <c r="BX1049" s="319"/>
      <c r="BY1049" s="319"/>
      <c r="BZ1049" s="319"/>
      <c r="CA1049" s="319"/>
      <c r="CB1049" s="319"/>
      <c r="CC1049" s="319"/>
      <c r="CD1049" s="319"/>
      <c r="CE1049" s="319"/>
      <c r="CF1049" s="319"/>
    </row>
    <row r="1050" spans="1:84" ht="0.75" hidden="1" customHeight="1">
      <c r="A1050" s="319"/>
      <c r="B1050" s="319" t="str">
        <f>IF(HideCodeEM_Heat_Int2=0,"",O901)</f>
        <v/>
      </c>
      <c r="C1050" s="742">
        <f>IF(H956=0,0,H956/$Q$866)</f>
        <v>0</v>
      </c>
      <c r="D1050" s="742">
        <f>IF(H956=0,0,I956/Q867)</f>
        <v>0</v>
      </c>
      <c r="E1050" s="319"/>
      <c r="F1050" s="319"/>
      <c r="G1050" s="319"/>
      <c r="H1050" s="319"/>
      <c r="I1050" s="319"/>
      <c r="J1050" s="319"/>
      <c r="K1050" s="319"/>
      <c r="L1050" s="319"/>
      <c r="M1050" s="319"/>
      <c r="N1050" s="319"/>
      <c r="O1050" s="319"/>
      <c r="P1050" s="319"/>
      <c r="Q1050" s="319"/>
      <c r="R1050" s="319"/>
      <c r="S1050" s="319"/>
      <c r="T1050" s="319"/>
      <c r="U1050" s="319"/>
      <c r="V1050" s="319"/>
      <c r="W1050" s="319"/>
      <c r="X1050" s="319"/>
      <c r="Y1050" s="319"/>
      <c r="Z1050" s="319"/>
      <c r="AA1050" s="319"/>
      <c r="AB1050" s="319"/>
      <c r="AC1050" s="319"/>
      <c r="AD1050" s="319"/>
      <c r="AE1050" s="319"/>
      <c r="AF1050" s="319"/>
      <c r="AG1050" s="319"/>
      <c r="AH1050" s="319"/>
      <c r="AI1050" s="319"/>
      <c r="AJ1050" s="319"/>
      <c r="AK1050" s="319"/>
      <c r="AL1050" s="319"/>
      <c r="AM1050" s="319"/>
      <c r="AN1050" s="319"/>
      <c r="AO1050" s="587"/>
      <c r="AP1050" s="319"/>
      <c r="AQ1050" s="319"/>
      <c r="AR1050" s="319"/>
      <c r="AS1050" s="319"/>
      <c r="AT1050" s="319"/>
      <c r="AU1050" s="319"/>
      <c r="AV1050" s="319"/>
      <c r="AW1050" s="319"/>
      <c r="AX1050" s="319"/>
      <c r="AY1050" s="319"/>
      <c r="AZ1050" s="319"/>
      <c r="BA1050" s="319"/>
      <c r="BB1050" s="319"/>
      <c r="BC1050" s="319"/>
      <c r="BD1050" s="319"/>
      <c r="BE1050" s="319"/>
      <c r="BF1050" s="319"/>
      <c r="BG1050" s="319"/>
      <c r="BH1050" s="319"/>
      <c r="BI1050" s="319"/>
      <c r="BJ1050" s="319"/>
      <c r="BK1050" s="319"/>
      <c r="BL1050" s="319"/>
      <c r="BM1050" s="319"/>
      <c r="BN1050" s="319"/>
      <c r="BO1050" s="319"/>
      <c r="BP1050" s="319"/>
      <c r="BQ1050" s="319"/>
      <c r="BR1050" s="319"/>
      <c r="BS1050" s="319"/>
      <c r="BT1050" s="319"/>
      <c r="BU1050" s="319"/>
      <c r="BV1050" s="319"/>
      <c r="BW1050" s="319"/>
      <c r="BX1050" s="319"/>
      <c r="BY1050" s="319"/>
      <c r="BZ1050" s="319"/>
      <c r="CA1050" s="319"/>
      <c r="CB1050" s="319"/>
      <c r="CC1050" s="319"/>
      <c r="CD1050" s="319"/>
      <c r="CE1050" s="319"/>
      <c r="CF1050" s="319"/>
    </row>
    <row r="1051" spans="1:84" ht="0.75" hidden="1" customHeight="1">
      <c r="A1051" s="319"/>
      <c r="B1051" s="319" t="str">
        <f>Language!C196</f>
        <v>Ponta</v>
      </c>
      <c r="C1051" s="742">
        <f>IF(H957=0,0,H957/$Q$866)</f>
        <v>0</v>
      </c>
      <c r="D1051" s="742">
        <f>IF(H957=0,0,I957/Q867)</f>
        <v>0</v>
      </c>
      <c r="E1051" s="319"/>
      <c r="F1051" s="319"/>
      <c r="G1051" s="319"/>
      <c r="H1051" s="319"/>
      <c r="I1051" s="319"/>
      <c r="J1051" s="319"/>
      <c r="K1051" s="319"/>
      <c r="L1051" s="319"/>
      <c r="M1051" s="319"/>
      <c r="N1051" s="319"/>
      <c r="O1051" s="319"/>
      <c r="P1051" s="319"/>
      <c r="Q1051" s="319"/>
      <c r="R1051" s="319"/>
      <c r="S1051" s="319"/>
      <c r="T1051" s="319"/>
      <c r="U1051" s="319"/>
      <c r="V1051" s="319"/>
      <c r="W1051" s="319"/>
      <c r="X1051" s="319"/>
      <c r="Y1051" s="319"/>
      <c r="Z1051" s="319"/>
      <c r="AA1051" s="319"/>
      <c r="AB1051" s="319"/>
      <c r="AC1051" s="319"/>
      <c r="AD1051" s="319"/>
      <c r="AE1051" s="319"/>
      <c r="AF1051" s="319"/>
      <c r="AG1051" s="319"/>
      <c r="AH1051" s="319"/>
      <c r="AI1051" s="319"/>
      <c r="AJ1051" s="319"/>
      <c r="AK1051" s="319"/>
      <c r="AL1051" s="319"/>
      <c r="AM1051" s="319"/>
      <c r="AN1051" s="319"/>
      <c r="AO1051" s="587"/>
      <c r="AP1051" s="319"/>
      <c r="AQ1051" s="319"/>
      <c r="AR1051" s="319"/>
      <c r="AS1051" s="319"/>
      <c r="AT1051" s="319"/>
      <c r="AU1051" s="319"/>
      <c r="AV1051" s="319"/>
      <c r="AW1051" s="319"/>
      <c r="AX1051" s="319"/>
      <c r="AY1051" s="319"/>
      <c r="AZ1051" s="319"/>
      <c r="BA1051" s="319"/>
      <c r="BB1051" s="319"/>
      <c r="BC1051" s="319"/>
      <c r="BD1051" s="319"/>
      <c r="BE1051" s="319"/>
      <c r="BF1051" s="319"/>
      <c r="BG1051" s="319"/>
      <c r="BH1051" s="319"/>
      <c r="BI1051" s="319"/>
      <c r="BJ1051" s="319"/>
      <c r="BK1051" s="319"/>
      <c r="BL1051" s="319"/>
      <c r="BM1051" s="319"/>
      <c r="BN1051" s="319"/>
      <c r="BO1051" s="319"/>
      <c r="BP1051" s="319"/>
      <c r="BQ1051" s="319"/>
      <c r="BR1051" s="319"/>
      <c r="BS1051" s="319"/>
      <c r="BT1051" s="319"/>
      <c r="BU1051" s="319"/>
      <c r="BV1051" s="319"/>
      <c r="BW1051" s="319"/>
      <c r="BX1051" s="319"/>
      <c r="BY1051" s="319"/>
      <c r="BZ1051" s="319"/>
      <c r="CA1051" s="319"/>
      <c r="CB1051" s="319"/>
      <c r="CC1051" s="319"/>
      <c r="CD1051" s="319"/>
      <c r="CE1051" s="319"/>
      <c r="CF1051" s="319"/>
    </row>
    <row r="1052" spans="1:84" ht="0.75" hidden="1" customHeight="1">
      <c r="A1052" s="319"/>
      <c r="B1052" s="319" t="str">
        <f>Language!C189</f>
        <v xml:space="preserve">Eletricidade </v>
      </c>
      <c r="C1052" s="742" t="str">
        <f>B10</f>
        <v>Capacidade</v>
      </c>
      <c r="D1052" s="742" t="str">
        <f>D1047</f>
        <v>Energia Fornecida</v>
      </c>
      <c r="E1052" s="319"/>
      <c r="F1052" s="319"/>
      <c r="G1052" s="319"/>
      <c r="H1052" s="319"/>
      <c r="I1052" s="319"/>
      <c r="J1052" s="319"/>
      <c r="K1052" s="319"/>
      <c r="L1052" s="319"/>
      <c r="M1052" s="319"/>
      <c r="N1052" s="319"/>
      <c r="O1052" s="319"/>
      <c r="P1052" s="319"/>
      <c r="Q1052" s="319"/>
      <c r="R1052" s="319"/>
      <c r="S1052" s="319"/>
      <c r="T1052" s="319"/>
      <c r="U1052" s="319"/>
      <c r="V1052" s="319"/>
      <c r="W1052" s="319"/>
      <c r="X1052" s="319"/>
      <c r="Y1052" s="319"/>
      <c r="Z1052" s="319"/>
      <c r="AA1052" s="319"/>
      <c r="AB1052" s="319"/>
      <c r="AC1052" s="319"/>
      <c r="AD1052" s="319"/>
      <c r="AE1052" s="319"/>
      <c r="AF1052" s="319"/>
      <c r="AG1052" s="319"/>
      <c r="AH1052" s="319"/>
      <c r="AI1052" s="319"/>
      <c r="AJ1052" s="319"/>
      <c r="AK1052" s="319"/>
      <c r="AL1052" s="319"/>
      <c r="AM1052" s="319"/>
      <c r="AN1052" s="319"/>
      <c r="AO1052" s="587"/>
      <c r="AP1052" s="319"/>
      <c r="AQ1052" s="319"/>
      <c r="AR1052" s="319"/>
      <c r="AS1052" s="319"/>
      <c r="AT1052" s="319"/>
      <c r="AU1052" s="319"/>
      <c r="AV1052" s="319"/>
      <c r="AW1052" s="319"/>
      <c r="AX1052" s="319"/>
      <c r="AY1052" s="319"/>
      <c r="AZ1052" s="319"/>
      <c r="BA1052" s="319"/>
      <c r="BB1052" s="319"/>
      <c r="BC1052" s="319"/>
      <c r="BD1052" s="319"/>
      <c r="BE1052" s="319"/>
      <c r="BF1052" s="319"/>
      <c r="BG1052" s="319"/>
      <c r="BH1052" s="319"/>
      <c r="BI1052" s="319"/>
      <c r="BJ1052" s="319"/>
      <c r="BK1052" s="319"/>
      <c r="BL1052" s="319"/>
      <c r="BM1052" s="319"/>
      <c r="BN1052" s="319"/>
      <c r="BO1052" s="319"/>
      <c r="BP1052" s="319"/>
      <c r="BQ1052" s="319"/>
      <c r="BR1052" s="319"/>
      <c r="BS1052" s="319"/>
      <c r="BT1052" s="319"/>
      <c r="BU1052" s="319"/>
      <c r="BV1052" s="319"/>
      <c r="BW1052" s="319"/>
      <c r="BX1052" s="319"/>
      <c r="BY1052" s="319"/>
      <c r="BZ1052" s="319"/>
      <c r="CA1052" s="319"/>
      <c r="CB1052" s="319"/>
      <c r="CC1052" s="319"/>
      <c r="CD1052" s="319"/>
      <c r="CE1052" s="319"/>
      <c r="CF1052" s="319"/>
    </row>
    <row r="1053" spans="1:84" ht="0.75" hidden="1" customHeight="1">
      <c r="A1053" s="319"/>
      <c r="B1053" s="319" t="str">
        <f>Language!C194</f>
        <v>Base</v>
      </c>
      <c r="C1053" s="742">
        <f>IF(B1053="Nothing",0,E870)</f>
        <v>0</v>
      </c>
      <c r="D1053" s="742">
        <f>E871</f>
        <v>0</v>
      </c>
      <c r="E1053" s="319"/>
      <c r="F1053" s="319"/>
      <c r="G1053" s="319"/>
      <c r="H1053" s="319"/>
      <c r="I1053" s="319"/>
      <c r="J1053" s="319"/>
      <c r="K1053" s="319"/>
      <c r="L1053" s="319"/>
      <c r="M1053" s="319"/>
      <c r="N1053" s="319"/>
      <c r="O1053" s="319"/>
      <c r="P1053" s="319"/>
      <c r="Q1053" s="319"/>
      <c r="R1053" s="319"/>
      <c r="S1053" s="319"/>
      <c r="T1053" s="319"/>
      <c r="U1053" s="319"/>
      <c r="V1053" s="319"/>
      <c r="W1053" s="319"/>
      <c r="X1053" s="319"/>
      <c r="Y1053" s="319"/>
      <c r="Z1053" s="319"/>
      <c r="AA1053" s="319"/>
      <c r="AB1053" s="319"/>
      <c r="AC1053" s="319"/>
      <c r="AD1053" s="319"/>
      <c r="AE1053" s="319"/>
      <c r="AF1053" s="319"/>
      <c r="AG1053" s="319"/>
      <c r="AH1053" s="319"/>
      <c r="AI1053" s="319"/>
      <c r="AJ1053" s="319"/>
      <c r="AK1053" s="319"/>
      <c r="AL1053" s="319"/>
      <c r="AM1053" s="319"/>
      <c r="AN1053" s="319"/>
      <c r="AO1053" s="587"/>
      <c r="AP1053" s="319"/>
      <c r="AQ1053" s="319"/>
      <c r="AR1053" s="319"/>
      <c r="AS1053" s="319"/>
      <c r="AT1053" s="319"/>
      <c r="AU1053" s="319"/>
      <c r="AV1053" s="319"/>
      <c r="AW1053" s="319"/>
      <c r="AX1053" s="319"/>
      <c r="AY1053" s="319"/>
      <c r="AZ1053" s="319"/>
      <c r="BA1053" s="319"/>
      <c r="BB1053" s="319"/>
      <c r="BC1053" s="319"/>
      <c r="BD1053" s="319"/>
      <c r="BE1053" s="319"/>
      <c r="BF1053" s="319"/>
      <c r="BG1053" s="319"/>
      <c r="BH1053" s="319"/>
      <c r="BI1053" s="319"/>
      <c r="BJ1053" s="319"/>
      <c r="BK1053" s="319"/>
      <c r="BL1053" s="319"/>
      <c r="BM1053" s="319"/>
      <c r="BN1053" s="319"/>
      <c r="BO1053" s="319"/>
      <c r="BP1053" s="319"/>
      <c r="BQ1053" s="319"/>
      <c r="BR1053" s="319"/>
      <c r="BS1053" s="319"/>
      <c r="BT1053" s="319"/>
      <c r="BU1053" s="319"/>
      <c r="BV1053" s="319"/>
      <c r="BW1053" s="319"/>
      <c r="BX1053" s="319"/>
      <c r="BY1053" s="319"/>
      <c r="BZ1053" s="319"/>
      <c r="CA1053" s="319"/>
      <c r="CB1053" s="319"/>
      <c r="CC1053" s="319"/>
      <c r="CD1053" s="319"/>
      <c r="CE1053" s="319"/>
      <c r="CF1053" s="319"/>
    </row>
    <row r="1054" spans="1:84" ht="0.75" hidden="1" customHeight="1">
      <c r="A1054" s="319"/>
      <c r="B1054" s="319" t="str">
        <f>Language!C195</f>
        <v>Interm.</v>
      </c>
      <c r="C1054" s="742">
        <f>IF(H943=0,0,H943/P866)</f>
        <v>0</v>
      </c>
      <c r="D1054" s="742">
        <f>IF(D877=0,0,D877/P867)</f>
        <v>0</v>
      </c>
      <c r="E1054" s="319"/>
      <c r="F1054" s="319"/>
      <c r="G1054" s="319"/>
      <c r="H1054" s="319"/>
      <c r="I1054" s="319"/>
      <c r="J1054" s="319"/>
      <c r="K1054" s="319"/>
      <c r="L1054" s="319"/>
      <c r="M1054" s="319"/>
      <c r="N1054" s="319"/>
      <c r="O1054" s="319"/>
      <c r="P1054" s="319"/>
      <c r="Q1054" s="319"/>
      <c r="R1054" s="319"/>
      <c r="S1054" s="319"/>
      <c r="T1054" s="319"/>
      <c r="U1054" s="319"/>
      <c r="V1054" s="319"/>
      <c r="W1054" s="319"/>
      <c r="X1054" s="319"/>
      <c r="Y1054" s="319"/>
      <c r="Z1054" s="319"/>
      <c r="AA1054" s="319"/>
      <c r="AB1054" s="319"/>
      <c r="AC1054" s="319"/>
      <c r="AD1054" s="319"/>
      <c r="AE1054" s="319"/>
      <c r="AF1054" s="319"/>
      <c r="AG1054" s="319"/>
      <c r="AH1054" s="319"/>
      <c r="AI1054" s="319"/>
      <c r="AJ1054" s="319"/>
      <c r="AK1054" s="319"/>
      <c r="AL1054" s="319"/>
      <c r="AM1054" s="319"/>
      <c r="AN1054" s="319"/>
      <c r="AO1054" s="587"/>
      <c r="AP1054" s="319"/>
      <c r="AQ1054" s="319"/>
      <c r="AR1054" s="319"/>
      <c r="AS1054" s="319"/>
      <c r="AT1054" s="319"/>
      <c r="AU1054" s="319"/>
      <c r="AV1054" s="319"/>
      <c r="AW1054" s="319"/>
      <c r="AX1054" s="319"/>
      <c r="AY1054" s="319"/>
      <c r="AZ1054" s="319"/>
      <c r="BA1054" s="319"/>
      <c r="BB1054" s="319"/>
      <c r="BC1054" s="319"/>
      <c r="BD1054" s="319"/>
      <c r="BE1054" s="319"/>
      <c r="BF1054" s="319"/>
      <c r="BG1054" s="319"/>
      <c r="BH1054" s="319"/>
      <c r="BI1054" s="319"/>
      <c r="BJ1054" s="319"/>
      <c r="BK1054" s="319"/>
      <c r="BL1054" s="319"/>
      <c r="BM1054" s="319"/>
      <c r="BN1054" s="319"/>
      <c r="BO1054" s="319"/>
      <c r="BP1054" s="319"/>
      <c r="BQ1054" s="319"/>
      <c r="BR1054" s="319"/>
      <c r="BS1054" s="319"/>
      <c r="BT1054" s="319"/>
      <c r="BU1054" s="319"/>
      <c r="BV1054" s="319"/>
      <c r="BW1054" s="319"/>
      <c r="BX1054" s="319"/>
      <c r="BY1054" s="319"/>
      <c r="BZ1054" s="319"/>
      <c r="CA1054" s="319"/>
      <c r="CB1054" s="319"/>
      <c r="CC1054" s="319"/>
      <c r="CD1054" s="319"/>
      <c r="CE1054" s="319"/>
      <c r="CF1054" s="319"/>
    </row>
    <row r="1055" spans="1:84" ht="0.75" hidden="1" customHeight="1">
      <c r="A1055" s="319"/>
      <c r="B1055" s="319" t="str">
        <f>Language!C196</f>
        <v>Ponta</v>
      </c>
      <c r="C1055" s="742" t="e">
        <f>IF(H946="",0,H946/P866)</f>
        <v>#DIV/0!</v>
      </c>
      <c r="D1055" s="742" t="e">
        <f>IF(I946="",0,I946/P867)</f>
        <v>#DIV/0!</v>
      </c>
      <c r="E1055" s="319"/>
      <c r="F1055" s="319"/>
      <c r="G1055" s="319"/>
      <c r="H1055" s="319"/>
      <c r="I1055" s="319"/>
      <c r="J1055" s="319"/>
      <c r="K1055" s="319"/>
      <c r="L1055" s="319"/>
      <c r="M1055" s="319"/>
      <c r="N1055" s="319"/>
      <c r="O1055" s="319"/>
      <c r="P1055" s="319"/>
      <c r="Q1055" s="319"/>
      <c r="R1055" s="319"/>
      <c r="S1055" s="319"/>
      <c r="T1055" s="319"/>
      <c r="U1055" s="319"/>
      <c r="V1055" s="319"/>
      <c r="W1055" s="319"/>
      <c r="X1055" s="319"/>
      <c r="Y1055" s="319"/>
      <c r="Z1055" s="319"/>
      <c r="AA1055" s="319"/>
      <c r="AB1055" s="319"/>
      <c r="AC1055" s="319"/>
      <c r="AD1055" s="319"/>
      <c r="AE1055" s="319"/>
      <c r="AF1055" s="319"/>
      <c r="AG1055" s="319"/>
      <c r="AH1055" s="319"/>
      <c r="AI1055" s="319"/>
      <c r="AJ1055" s="319"/>
      <c r="AK1055" s="319"/>
      <c r="AL1055" s="319"/>
      <c r="AM1055" s="319"/>
      <c r="AN1055" s="319"/>
      <c r="AO1055" s="587"/>
      <c r="AP1055" s="319"/>
      <c r="AQ1055" s="319"/>
      <c r="AR1055" s="319"/>
      <c r="AS1055" s="319"/>
      <c r="AT1055" s="319"/>
      <c r="AU1055" s="319"/>
      <c r="AV1055" s="319"/>
      <c r="AW1055" s="319"/>
      <c r="AX1055" s="319"/>
      <c r="AY1055" s="319"/>
      <c r="AZ1055" s="319"/>
      <c r="BA1055" s="319"/>
      <c r="BB1055" s="319"/>
      <c r="BC1055" s="319"/>
      <c r="BD1055" s="319"/>
      <c r="BE1055" s="319"/>
      <c r="BF1055" s="319"/>
      <c r="BG1055" s="319"/>
      <c r="BH1055" s="319"/>
      <c r="BI1055" s="319"/>
      <c r="BJ1055" s="319"/>
      <c r="BK1055" s="319"/>
      <c r="BL1055" s="319"/>
      <c r="BM1055" s="319"/>
      <c r="BN1055" s="319"/>
      <c r="BO1055" s="319"/>
      <c r="BP1055" s="319"/>
      <c r="BQ1055" s="319"/>
      <c r="BR1055" s="319"/>
      <c r="BS1055" s="319"/>
      <c r="BT1055" s="319"/>
      <c r="BU1055" s="319"/>
      <c r="BV1055" s="319"/>
      <c r="BW1055" s="319"/>
      <c r="BX1055" s="319"/>
      <c r="BY1055" s="319"/>
      <c r="BZ1055" s="319"/>
      <c r="CA1055" s="319"/>
      <c r="CB1055" s="319"/>
      <c r="CC1055" s="319"/>
      <c r="CD1055" s="319"/>
      <c r="CE1055" s="319"/>
      <c r="CF1055" s="319"/>
    </row>
    <row r="1056" spans="1:84" ht="0.75" hidden="1" customHeight="1">
      <c r="A1056" s="319"/>
      <c r="B1056" s="319" t="str">
        <f>Language!C191</f>
        <v>Refrigeração</v>
      </c>
      <c r="C1056" s="742" t="str">
        <f>B10</f>
        <v>Capacidade</v>
      </c>
      <c r="D1056" s="742" t="str">
        <f>D1047</f>
        <v>Energia Fornecida</v>
      </c>
      <c r="E1056" s="319"/>
      <c r="F1056" s="319"/>
      <c r="G1056" s="319"/>
      <c r="H1056" s="319"/>
      <c r="I1056" s="319"/>
      <c r="J1056" s="319"/>
      <c r="K1056" s="319"/>
      <c r="L1056" s="319"/>
      <c r="M1056" s="319"/>
      <c r="N1056" s="319"/>
      <c r="O1056" s="319"/>
      <c r="P1056" s="319"/>
      <c r="Q1056" s="319"/>
      <c r="R1056" s="319"/>
      <c r="S1056" s="319"/>
      <c r="T1056" s="319"/>
      <c r="U1056" s="319"/>
      <c r="V1056" s="319"/>
      <c r="W1056" s="319"/>
      <c r="X1056" s="319"/>
      <c r="Y1056" s="319"/>
      <c r="Z1056" s="319"/>
      <c r="AA1056" s="319"/>
      <c r="AB1056" s="319"/>
      <c r="AC1056" s="319"/>
      <c r="AD1056" s="319"/>
      <c r="AE1056" s="319"/>
      <c r="AF1056" s="319"/>
      <c r="AG1056" s="319"/>
      <c r="AH1056" s="319"/>
      <c r="AI1056" s="319"/>
      <c r="AJ1056" s="319"/>
      <c r="AK1056" s="319"/>
      <c r="AL1056" s="319"/>
      <c r="AM1056" s="319"/>
      <c r="AN1056" s="319"/>
      <c r="AO1056" s="587"/>
      <c r="AP1056" s="319"/>
      <c r="AQ1056" s="319"/>
      <c r="AR1056" s="319"/>
      <c r="AS1056" s="319"/>
      <c r="AT1056" s="319"/>
      <c r="AU1056" s="319"/>
      <c r="AV1056" s="319"/>
      <c r="AW1056" s="319"/>
      <c r="AX1056" s="319"/>
      <c r="AY1056" s="319"/>
      <c r="AZ1056" s="319"/>
      <c r="BA1056" s="319"/>
      <c r="BB1056" s="319"/>
      <c r="BC1056" s="319"/>
      <c r="BD1056" s="319"/>
      <c r="BE1056" s="319"/>
      <c r="BF1056" s="319"/>
      <c r="BG1056" s="319"/>
      <c r="BH1056" s="319"/>
      <c r="BI1056" s="319"/>
      <c r="BJ1056" s="319"/>
      <c r="BK1056" s="319"/>
      <c r="BL1056" s="319"/>
      <c r="BM1056" s="319"/>
      <c r="BN1056" s="319"/>
      <c r="BO1056" s="319"/>
      <c r="BP1056" s="319"/>
      <c r="BQ1056" s="319"/>
      <c r="BR1056" s="319"/>
      <c r="BS1056" s="319"/>
      <c r="BT1056" s="319"/>
      <c r="BU1056" s="319"/>
      <c r="BV1056" s="319"/>
      <c r="BW1056" s="319"/>
      <c r="BX1056" s="319"/>
      <c r="BY1056" s="319"/>
      <c r="BZ1056" s="319"/>
      <c r="CA1056" s="319"/>
      <c r="CB1056" s="319"/>
      <c r="CC1056" s="319"/>
      <c r="CD1056" s="319"/>
      <c r="CE1056" s="319"/>
      <c r="CF1056" s="319"/>
    </row>
    <row r="1057" spans="1:84" ht="0.75" hidden="1" customHeight="1">
      <c r="A1057" s="319"/>
      <c r="B1057" s="319" t="str">
        <f>Language!C194</f>
        <v>Base</v>
      </c>
      <c r="C1057" s="742">
        <f>IF(H960=0,0,E927)</f>
        <v>0</v>
      </c>
      <c r="D1057" s="742">
        <f>IF(I960=0,0,E928)</f>
        <v>0</v>
      </c>
      <c r="E1057" s="319"/>
      <c r="F1057" s="319"/>
      <c r="G1057" s="319"/>
      <c r="H1057" s="319"/>
      <c r="I1057" s="319"/>
      <c r="J1057" s="319"/>
      <c r="K1057" s="319"/>
      <c r="L1057" s="319"/>
      <c r="M1057" s="319"/>
      <c r="N1057" s="319"/>
      <c r="O1057" s="319"/>
      <c r="P1057" s="319"/>
      <c r="Q1057" s="319"/>
      <c r="R1057" s="319"/>
      <c r="S1057" s="319"/>
      <c r="T1057" s="319"/>
      <c r="U1057" s="319"/>
      <c r="V1057" s="319"/>
      <c r="W1057" s="319"/>
      <c r="X1057" s="319"/>
      <c r="Y1057" s="319"/>
      <c r="Z1057" s="319"/>
      <c r="AA1057" s="319"/>
      <c r="AB1057" s="319"/>
      <c r="AC1057" s="319"/>
      <c r="AD1057" s="319"/>
      <c r="AE1057" s="319"/>
      <c r="AF1057" s="319"/>
      <c r="AG1057" s="319"/>
      <c r="AH1057" s="319"/>
      <c r="AI1057" s="319"/>
      <c r="AJ1057" s="319"/>
      <c r="AK1057" s="319"/>
      <c r="AL1057" s="319"/>
      <c r="AM1057" s="319"/>
      <c r="AN1057" s="319"/>
      <c r="AO1057" s="587"/>
      <c r="AP1057" s="319"/>
      <c r="AQ1057" s="319"/>
      <c r="AR1057" s="319"/>
      <c r="AS1057" s="319"/>
      <c r="AT1057" s="319"/>
      <c r="AU1057" s="319"/>
      <c r="AV1057" s="319"/>
      <c r="AW1057" s="319"/>
      <c r="AX1057" s="319"/>
      <c r="AY1057" s="319"/>
      <c r="AZ1057" s="319"/>
      <c r="BA1057" s="319"/>
      <c r="BB1057" s="319"/>
      <c r="BC1057" s="319"/>
      <c r="BD1057" s="319"/>
      <c r="BE1057" s="319"/>
      <c r="BF1057" s="319"/>
      <c r="BG1057" s="319"/>
      <c r="BH1057" s="319"/>
      <c r="BI1057" s="319"/>
      <c r="BJ1057" s="319"/>
      <c r="BK1057" s="319"/>
      <c r="BL1057" s="319"/>
      <c r="BM1057" s="319"/>
      <c r="BN1057" s="319"/>
      <c r="BO1057" s="319"/>
      <c r="BP1057" s="319"/>
      <c r="BQ1057" s="319"/>
      <c r="BR1057" s="319"/>
      <c r="BS1057" s="319"/>
      <c r="BT1057" s="319"/>
      <c r="BU1057" s="319"/>
      <c r="BV1057" s="319"/>
      <c r="BW1057" s="319"/>
      <c r="BX1057" s="319"/>
      <c r="BY1057" s="319"/>
      <c r="BZ1057" s="319"/>
      <c r="CA1057" s="319"/>
      <c r="CB1057" s="319"/>
      <c r="CC1057" s="319"/>
      <c r="CD1057" s="319"/>
      <c r="CE1057" s="319"/>
      <c r="CF1057" s="319"/>
    </row>
    <row r="1058" spans="1:84" ht="0.75" hidden="1" customHeight="1">
      <c r="A1058" s="319"/>
      <c r="B1058" s="319" t="str">
        <f>Language!C196</f>
        <v>Ponta</v>
      </c>
      <c r="C1058" s="742">
        <f>IF(H961=0,0,H961/R866)</f>
        <v>0</v>
      </c>
      <c r="D1058" s="742">
        <f>IF(I961=0,0,I961/R867)</f>
        <v>0</v>
      </c>
      <c r="E1058" s="319"/>
      <c r="F1058" s="319"/>
      <c r="G1058" s="319"/>
      <c r="H1058" s="319"/>
      <c r="I1058" s="319"/>
      <c r="J1058" s="319"/>
      <c r="K1058" s="319"/>
      <c r="L1058" s="319"/>
      <c r="M1058" s="319"/>
      <c r="N1058" s="319"/>
      <c r="O1058" s="319"/>
      <c r="P1058" s="319"/>
      <c r="Q1058" s="319"/>
      <c r="R1058" s="319"/>
      <c r="S1058" s="319"/>
      <c r="T1058" s="319"/>
      <c r="U1058" s="319"/>
      <c r="V1058" s="319"/>
      <c r="W1058" s="319"/>
      <c r="X1058" s="319"/>
      <c r="Y1058" s="319"/>
      <c r="Z1058" s="319"/>
      <c r="AA1058" s="319"/>
      <c r="AB1058" s="319"/>
      <c r="AC1058" s="319"/>
      <c r="AD1058" s="319"/>
      <c r="AE1058" s="319"/>
      <c r="AF1058" s="319"/>
      <c r="AG1058" s="319"/>
      <c r="AH1058" s="319"/>
      <c r="AI1058" s="319"/>
      <c r="AJ1058" s="319"/>
      <c r="AK1058" s="319"/>
      <c r="AL1058" s="319"/>
      <c r="AM1058" s="319"/>
      <c r="AN1058" s="319"/>
      <c r="AO1058" s="587"/>
      <c r="AP1058" s="319"/>
      <c r="AQ1058" s="319"/>
      <c r="AR1058" s="319"/>
      <c r="AS1058" s="319"/>
      <c r="AT1058" s="319"/>
      <c r="AU1058" s="319"/>
      <c r="AV1058" s="319"/>
      <c r="AW1058" s="319"/>
      <c r="AX1058" s="319"/>
      <c r="AY1058" s="319"/>
      <c r="AZ1058" s="319"/>
      <c r="BA1058" s="319"/>
      <c r="BB1058" s="319"/>
      <c r="BC1058" s="319"/>
      <c r="BD1058" s="319"/>
      <c r="BE1058" s="319"/>
      <c r="BF1058" s="319"/>
      <c r="BG1058" s="319"/>
      <c r="BH1058" s="319"/>
      <c r="BI1058" s="319"/>
      <c r="BJ1058" s="319"/>
      <c r="BK1058" s="319"/>
      <c r="BL1058" s="319"/>
      <c r="BM1058" s="319"/>
      <c r="BN1058" s="319"/>
      <c r="BO1058" s="319"/>
      <c r="BP1058" s="319"/>
      <c r="BQ1058" s="319"/>
      <c r="BR1058" s="319"/>
      <c r="BS1058" s="319"/>
      <c r="BT1058" s="319"/>
      <c r="BU1058" s="319"/>
      <c r="BV1058" s="319"/>
      <c r="BW1058" s="319"/>
      <c r="BX1058" s="319"/>
      <c r="BY1058" s="319"/>
      <c r="BZ1058" s="319"/>
      <c r="CA1058" s="319"/>
      <c r="CB1058" s="319"/>
      <c r="CC1058" s="319"/>
      <c r="CD1058" s="319"/>
      <c r="CE1058" s="319"/>
      <c r="CF1058" s="319"/>
    </row>
    <row r="1059" spans="1:84" ht="13.5" hidden="1" customHeight="1">
      <c r="A1059" s="319"/>
      <c r="B1059" s="319"/>
      <c r="C1059" s="319"/>
      <c r="D1059" s="319"/>
      <c r="E1059" s="319"/>
      <c r="F1059" s="319"/>
      <c r="G1059" s="319"/>
      <c r="H1059" s="319"/>
      <c r="I1059" s="319"/>
      <c r="J1059" s="319"/>
      <c r="K1059" s="319"/>
      <c r="L1059" s="319"/>
      <c r="M1059" s="319"/>
      <c r="N1059" s="319"/>
      <c r="O1059" s="319"/>
      <c r="P1059" s="319"/>
      <c r="Q1059" s="319"/>
      <c r="R1059" s="319"/>
      <c r="S1059" s="319"/>
      <c r="T1059" s="319"/>
      <c r="U1059" s="319"/>
      <c r="V1059" s="319"/>
      <c r="W1059" s="319"/>
      <c r="X1059" s="319"/>
      <c r="Y1059" s="319"/>
      <c r="Z1059" s="319"/>
      <c r="AA1059" s="319"/>
      <c r="AB1059" s="319"/>
      <c r="AC1059" s="319"/>
      <c r="AD1059" s="319"/>
      <c r="AE1059" s="319"/>
      <c r="AF1059" s="319"/>
      <c r="AG1059" s="319"/>
      <c r="AH1059" s="319"/>
      <c r="AI1059" s="319"/>
      <c r="AJ1059" s="319"/>
      <c r="AK1059" s="319"/>
      <c r="AL1059" s="319"/>
      <c r="AM1059" s="319"/>
      <c r="AN1059" s="319"/>
      <c r="AO1059" s="587"/>
      <c r="AP1059" s="319"/>
      <c r="AQ1059" s="319"/>
      <c r="AR1059" s="319"/>
      <c r="AS1059" s="319"/>
      <c r="AT1059" s="319"/>
      <c r="AU1059" s="319"/>
      <c r="AV1059" s="319"/>
      <c r="AW1059" s="319"/>
      <c r="AX1059" s="319"/>
      <c r="AY1059" s="319"/>
      <c r="AZ1059" s="319"/>
      <c r="BA1059" s="319"/>
      <c r="BB1059" s="319"/>
      <c r="BC1059" s="319"/>
      <c r="BD1059" s="319"/>
      <c r="BE1059" s="319"/>
      <c r="BF1059" s="319"/>
      <c r="BG1059" s="319"/>
      <c r="BH1059" s="319"/>
      <c r="BI1059" s="319"/>
      <c r="BJ1059" s="319"/>
      <c r="BK1059" s="319"/>
      <c r="BL1059" s="319"/>
      <c r="BM1059" s="319"/>
      <c r="BN1059" s="319"/>
      <c r="BO1059" s="319"/>
      <c r="BP1059" s="319"/>
      <c r="BQ1059" s="319"/>
      <c r="BR1059" s="319"/>
      <c r="BS1059" s="319"/>
      <c r="BT1059" s="319"/>
      <c r="BU1059" s="319"/>
      <c r="BV1059" s="319"/>
      <c r="BW1059" s="319"/>
      <c r="BX1059" s="319"/>
      <c r="BY1059" s="319"/>
      <c r="BZ1059" s="319"/>
      <c r="CA1059" s="319"/>
      <c r="CB1059" s="319"/>
      <c r="CC1059" s="319"/>
      <c r="CD1059" s="319"/>
      <c r="CE1059" s="319"/>
      <c r="CF1059" s="319"/>
    </row>
    <row r="1060" spans="1:84" ht="13.5" hidden="1" customHeight="1">
      <c r="A1060" s="319"/>
      <c r="B1060" s="319"/>
      <c r="C1060" s="319"/>
      <c r="D1060" s="319"/>
      <c r="E1060" s="319"/>
      <c r="F1060" s="319"/>
      <c r="G1060" s="319"/>
      <c r="H1060" s="319"/>
      <c r="I1060" s="319"/>
      <c r="J1060" s="319"/>
      <c r="K1060" s="319"/>
      <c r="L1060" s="319"/>
      <c r="M1060" s="319"/>
      <c r="N1060" s="319"/>
      <c r="O1060" s="319"/>
      <c r="P1060" s="319"/>
      <c r="Q1060" s="319"/>
      <c r="R1060" s="319"/>
      <c r="S1060" s="319"/>
      <c r="T1060" s="319"/>
      <c r="U1060" s="319"/>
      <c r="V1060" s="319"/>
      <c r="W1060" s="319"/>
      <c r="X1060" s="319"/>
      <c r="Y1060" s="319"/>
      <c r="Z1060" s="319"/>
      <c r="AA1060" s="319"/>
      <c r="AB1060" s="319"/>
      <c r="AC1060" s="319"/>
      <c r="AD1060" s="319"/>
      <c r="AE1060" s="319"/>
      <c r="AF1060" s="319"/>
      <c r="AG1060" s="319"/>
      <c r="AH1060" s="319"/>
      <c r="AI1060" s="319"/>
      <c r="AJ1060" s="319"/>
      <c r="AK1060" s="319"/>
      <c r="AL1060" s="319"/>
      <c r="AM1060" s="319"/>
      <c r="AN1060" s="319"/>
      <c r="AO1060" s="587"/>
      <c r="AP1060" s="319"/>
      <c r="AQ1060" s="319"/>
      <c r="AR1060" s="319"/>
      <c r="AS1060" s="319"/>
      <c r="AT1060" s="319"/>
      <c r="AU1060" s="319"/>
      <c r="AV1060" s="319"/>
      <c r="AW1060" s="319"/>
      <c r="AX1060" s="319"/>
      <c r="AY1060" s="319"/>
      <c r="AZ1060" s="319"/>
      <c r="BA1060" s="319"/>
      <c r="BB1060" s="319"/>
      <c r="BC1060" s="319"/>
      <c r="BD1060" s="319"/>
      <c r="BE1060" s="319"/>
      <c r="BF1060" s="319"/>
      <c r="BG1060" s="319"/>
      <c r="BH1060" s="319"/>
      <c r="BI1060" s="319"/>
      <c r="BJ1060" s="319"/>
      <c r="BK1060" s="319"/>
      <c r="BL1060" s="319"/>
      <c r="BM1060" s="319"/>
      <c r="BN1060" s="319"/>
      <c r="BO1060" s="319"/>
      <c r="BP1060" s="319"/>
      <c r="BQ1060" s="319"/>
      <c r="BR1060" s="319"/>
      <c r="BS1060" s="319"/>
      <c r="BT1060" s="319"/>
      <c r="BU1060" s="319"/>
      <c r="BV1060" s="319"/>
      <c r="BW1060" s="319"/>
      <c r="BX1060" s="319"/>
      <c r="BY1060" s="319"/>
      <c r="BZ1060" s="319"/>
      <c r="CA1060" s="319"/>
      <c r="CB1060" s="319"/>
      <c r="CC1060" s="319"/>
      <c r="CD1060" s="319"/>
      <c r="CE1060" s="319"/>
      <c r="CF1060" s="319"/>
    </row>
    <row r="1061" spans="1:84" ht="13.5" hidden="1" customHeight="1">
      <c r="A1061" s="319"/>
      <c r="B1061" s="318" t="s">
        <v>616</v>
      </c>
      <c r="C1061" s="319"/>
      <c r="D1061" s="319"/>
      <c r="E1061" s="318"/>
      <c r="F1061" s="319"/>
      <c r="G1061" s="319"/>
      <c r="H1061" s="319"/>
      <c r="I1061" s="319"/>
      <c r="J1061" s="319"/>
      <c r="K1061" s="319"/>
      <c r="L1061" s="319"/>
      <c r="M1061" s="319"/>
      <c r="N1061" s="319"/>
      <c r="O1061" s="319"/>
      <c r="P1061" s="318" t="s">
        <v>3681</v>
      </c>
      <c r="Q1061" s="319"/>
      <c r="R1061" s="319"/>
      <c r="S1061" s="318" t="s">
        <v>2297</v>
      </c>
      <c r="T1061" s="319"/>
      <c r="U1061" s="319" t="str">
        <f>I938</f>
        <v>Energia Fornecida
(MWh)</v>
      </c>
      <c r="V1061" s="319"/>
      <c r="W1061" s="319"/>
      <c r="X1061" s="319"/>
      <c r="Y1061" s="319"/>
      <c r="Z1061" s="319" t="str">
        <f>Language!C1363</f>
        <v>kPa</v>
      </c>
      <c r="AA1061" s="319"/>
      <c r="AB1061" s="319"/>
      <c r="AC1061" s="319" t="str">
        <f>Z1061</f>
        <v>kPa</v>
      </c>
      <c r="AD1061" s="319">
        <v>1</v>
      </c>
      <c r="AE1061" s="319"/>
      <c r="AF1061" s="319"/>
      <c r="AG1061" s="319"/>
      <c r="AH1061" s="319"/>
      <c r="AI1061" s="319"/>
      <c r="AJ1061" s="319"/>
      <c r="AK1061" s="319"/>
      <c r="AL1061" s="319"/>
      <c r="AM1061" s="319"/>
      <c r="AN1061" s="319"/>
      <c r="AO1061" s="587"/>
      <c r="AP1061" s="319"/>
      <c r="AQ1061" s="319"/>
      <c r="AR1061" s="319"/>
      <c r="AS1061" s="319"/>
      <c r="AT1061" s="319"/>
      <c r="AU1061" s="319"/>
      <c r="AV1061" s="319"/>
      <c r="AW1061" s="319"/>
      <c r="AX1061" s="319"/>
      <c r="AY1061" s="319"/>
      <c r="AZ1061" s="319"/>
      <c r="BA1061" s="319"/>
      <c r="BB1061" s="319"/>
      <c r="BC1061" s="319"/>
      <c r="BD1061" s="319"/>
      <c r="BE1061" s="319"/>
      <c r="BF1061" s="319"/>
      <c r="BG1061" s="319"/>
      <c r="BH1061" s="319"/>
      <c r="BI1061" s="319"/>
      <c r="BJ1061" s="319"/>
      <c r="BK1061" s="319"/>
      <c r="BL1061" s="319"/>
      <c r="BM1061" s="319"/>
      <c r="BN1061" s="319"/>
      <c r="BO1061" s="319"/>
      <c r="BP1061" s="319"/>
      <c r="BQ1061" s="319"/>
      <c r="BR1061" s="319"/>
      <c r="BS1061" s="319"/>
      <c r="BT1061" s="319"/>
      <c r="BU1061" s="319"/>
      <c r="BV1061" s="319"/>
      <c r="BW1061" s="319"/>
      <c r="BX1061" s="319"/>
      <c r="BY1061" s="319"/>
      <c r="BZ1061" s="319"/>
      <c r="CA1061" s="319"/>
      <c r="CB1061" s="319"/>
      <c r="CC1061" s="319"/>
      <c r="CD1061" s="319"/>
      <c r="CE1061" s="319"/>
      <c r="CF1061" s="319"/>
    </row>
    <row r="1062" spans="1:84" ht="13.5" hidden="1" customHeight="1">
      <c r="A1062" s="319"/>
      <c r="B1062" s="319" t="str">
        <f>P1062</f>
        <v xml:space="preserve">Biomassa </v>
      </c>
      <c r="C1062" s="319" t="str">
        <f t="shared" ref="C1062:C1073" si="78">P1062</f>
        <v xml:space="preserve">Biomassa </v>
      </c>
      <c r="D1062" s="319"/>
      <c r="E1062" s="319" t="str">
        <f>Language!C235</f>
        <v>Carga de ponta não atendida</v>
      </c>
      <c r="F1062" s="319"/>
      <c r="G1062" s="319" t="str">
        <f>Language!C137</f>
        <v>Energia Geotérmica</v>
      </c>
      <c r="H1062" s="319" t="str">
        <f>Language!C622</f>
        <v>Geotérmica</v>
      </c>
      <c r="I1062" s="319"/>
      <c r="J1062" s="3">
        <v>1</v>
      </c>
      <c r="K1062" s="319"/>
      <c r="L1062" s="319"/>
      <c r="M1062" s="319"/>
      <c r="N1062" s="319"/>
      <c r="O1062" s="319"/>
      <c r="P1062" s="319" t="str">
        <f t="shared" ref="P1062:P1072" si="79">K1175</f>
        <v xml:space="preserve">Biomassa </v>
      </c>
      <c r="Q1062" s="319" t="str">
        <f t="shared" ref="Q1062:Q1072" si="80">L1175</f>
        <v xml:space="preserve">Biomassa </v>
      </c>
      <c r="R1062" s="319" t="str">
        <f t="shared" ref="R1062:R1072" si="81">M1175</f>
        <v>t</v>
      </c>
      <c r="S1062" s="476">
        <f t="shared" ref="S1062:S1072" si="82">N1175</f>
        <v>5123.3732222222206</v>
      </c>
      <c r="T1062" s="319" t="str">
        <f t="shared" ref="T1062:T1072" si="83">O1175</f>
        <v>€/t</v>
      </c>
      <c r="U1062" s="319"/>
      <c r="V1062" s="319"/>
      <c r="W1062" s="319"/>
      <c r="X1062" s="319"/>
      <c r="Y1062" s="319"/>
      <c r="Z1062" s="319" t="str">
        <f>Language!C1401</f>
        <v>psig</v>
      </c>
      <c r="AA1062" s="319"/>
      <c r="AB1062" s="319"/>
      <c r="AC1062" s="319" t="str">
        <f>Language!$C$2240</f>
        <v>mBar</v>
      </c>
      <c r="AD1062" s="319">
        <v>0.1</v>
      </c>
      <c r="AE1062" s="319"/>
      <c r="AF1062" s="319"/>
      <c r="AG1062" s="319"/>
      <c r="AH1062" s="319"/>
      <c r="AI1062" s="319"/>
      <c r="AJ1062" s="319"/>
      <c r="AK1062" s="319"/>
      <c r="AL1062" s="319"/>
      <c r="AM1062" s="319"/>
      <c r="AN1062" s="319"/>
      <c r="AO1062" s="587"/>
      <c r="AP1062" s="319"/>
      <c r="AQ1062" s="319"/>
      <c r="AR1062" s="319"/>
      <c r="AS1062" s="319"/>
      <c r="AT1062" s="319"/>
      <c r="AU1062" s="319"/>
      <c r="AV1062" s="319"/>
      <c r="AW1062" s="319"/>
      <c r="AX1062" s="319"/>
      <c r="AY1062" s="319"/>
      <c r="AZ1062" s="319"/>
      <c r="BA1062" s="319"/>
      <c r="BB1062" s="319"/>
      <c r="BC1062" s="319"/>
      <c r="BD1062" s="319"/>
      <c r="BE1062" s="319"/>
      <c r="BF1062" s="319"/>
      <c r="BG1062" s="319"/>
      <c r="BH1062" s="319"/>
      <c r="BI1062" s="319"/>
      <c r="BJ1062" s="319"/>
      <c r="BK1062" s="319"/>
      <c r="BL1062" s="319"/>
      <c r="BM1062" s="319"/>
      <c r="BN1062" s="319"/>
      <c r="BO1062" s="319"/>
      <c r="BP1062" s="319"/>
      <c r="BQ1062" s="319"/>
      <c r="BR1062" s="319"/>
      <c r="BS1062" s="319"/>
      <c r="BT1062" s="319"/>
      <c r="BU1062" s="319"/>
      <c r="BV1062" s="319"/>
      <c r="BW1062" s="319"/>
      <c r="BX1062" s="319"/>
      <c r="BY1062" s="319"/>
      <c r="BZ1062" s="319"/>
      <c r="CA1062" s="319"/>
      <c r="CB1062" s="319"/>
      <c r="CC1062" s="319"/>
      <c r="CD1062" s="319"/>
      <c r="CE1062" s="319"/>
      <c r="CF1062" s="319"/>
    </row>
    <row r="1063" spans="1:84" ht="13.5" hidden="1" customHeight="1">
      <c r="A1063" s="319"/>
      <c r="B1063" s="319" t="str">
        <f>P1063</f>
        <v>Carvão</v>
      </c>
      <c r="C1063" s="319" t="str">
        <f t="shared" si="78"/>
        <v>Carvão</v>
      </c>
      <c r="D1063" s="319"/>
      <c r="E1063" s="319" t="str">
        <f>Language!C236</f>
        <v>Sistema de ponta não requerido</v>
      </c>
      <c r="F1063" s="319"/>
      <c r="G1063" s="319" t="str">
        <f>Language!C139</f>
        <v>Turbina eólica</v>
      </c>
      <c r="H1063" s="319" t="str">
        <f>Language!C623</f>
        <v>Eólica</v>
      </c>
      <c r="I1063" s="319"/>
      <c r="J1063" s="3">
        <v>1</v>
      </c>
      <c r="K1063" s="319" t="str">
        <f>Language!C133</f>
        <v>Motor recíproco</v>
      </c>
      <c r="L1063" s="319"/>
      <c r="M1063" s="319" t="s">
        <v>6149</v>
      </c>
      <c r="N1063" s="319"/>
      <c r="O1063" s="319"/>
      <c r="P1063" s="319" t="str">
        <f t="shared" si="79"/>
        <v>Carvão</v>
      </c>
      <c r="Q1063" s="319" t="str">
        <f t="shared" si="80"/>
        <v>Carvão</v>
      </c>
      <c r="R1063" s="319" t="str">
        <f t="shared" si="81"/>
        <v>t</v>
      </c>
      <c r="S1063" s="476">
        <f t="shared" si="82"/>
        <v>9045.5370841666663</v>
      </c>
      <c r="T1063" s="319" t="str">
        <f t="shared" si="83"/>
        <v>€/t</v>
      </c>
      <c r="U1063" s="319"/>
      <c r="V1063" s="319"/>
      <c r="W1063" s="319"/>
      <c r="X1063" s="319"/>
      <c r="Y1063" s="319"/>
      <c r="Z1063" s="319" t="str">
        <f>Language!C1400</f>
        <v>psia</v>
      </c>
      <c r="AA1063" s="319"/>
      <c r="AB1063" s="319"/>
      <c r="AC1063" s="319" t="str">
        <f>Z1065</f>
        <v>po Hg</v>
      </c>
      <c r="AD1063" s="319">
        <v>3.38639</v>
      </c>
      <c r="AE1063" s="319"/>
      <c r="AF1063" s="319"/>
      <c r="AG1063" s="319"/>
      <c r="AH1063" s="319"/>
      <c r="AI1063" s="319"/>
      <c r="AJ1063" s="319"/>
      <c r="AK1063" s="319"/>
      <c r="AL1063" s="319"/>
      <c r="AM1063" s="319"/>
      <c r="AN1063" s="319"/>
      <c r="AO1063" s="587"/>
      <c r="AP1063" s="319"/>
      <c r="AQ1063" s="319"/>
      <c r="AR1063" s="319"/>
      <c r="AS1063" s="319"/>
      <c r="AT1063" s="319"/>
      <c r="AU1063" s="319"/>
      <c r="AV1063" s="319"/>
      <c r="AW1063" s="319"/>
      <c r="AX1063" s="319"/>
      <c r="AY1063" s="319"/>
      <c r="AZ1063" s="319"/>
      <c r="BA1063" s="319"/>
      <c r="BB1063" s="319"/>
      <c r="BC1063" s="319"/>
      <c r="BD1063" s="319"/>
      <c r="BE1063" s="319"/>
      <c r="BF1063" s="319"/>
      <c r="BG1063" s="319"/>
      <c r="BH1063" s="319"/>
      <c r="BI1063" s="319"/>
      <c r="BJ1063" s="319"/>
      <c r="BK1063" s="319"/>
      <c r="BL1063" s="319"/>
      <c r="BM1063" s="319"/>
      <c r="BN1063" s="319"/>
      <c r="BO1063" s="319"/>
      <c r="BP1063" s="319"/>
      <c r="BQ1063" s="319"/>
      <c r="BR1063" s="319"/>
      <c r="BS1063" s="319"/>
      <c r="BT1063" s="319"/>
      <c r="BU1063" s="319"/>
      <c r="BV1063" s="319"/>
      <c r="BW1063" s="319"/>
      <c r="BX1063" s="319"/>
      <c r="BY1063" s="319"/>
      <c r="BZ1063" s="319"/>
      <c r="CA1063" s="319"/>
      <c r="CB1063" s="319"/>
      <c r="CC1063" s="319"/>
      <c r="CD1063" s="319"/>
      <c r="CE1063" s="319"/>
      <c r="CF1063" s="319"/>
    </row>
    <row r="1064" spans="1:84" ht="13.5" hidden="1" customHeight="1">
      <c r="A1064" s="319"/>
      <c r="B1064" s="319" t="str">
        <f>P1064</f>
        <v>Diesel (óleo #2) - gal</v>
      </c>
      <c r="C1064" s="319" t="str">
        <f t="shared" si="78"/>
        <v>Diesel (óleo #2) - gal</v>
      </c>
      <c r="D1064" s="319"/>
      <c r="E1064" s="319" t="str">
        <f>Language!C235</f>
        <v>Carga de ponta não atendida</v>
      </c>
      <c r="F1064" s="319"/>
      <c r="G1064" s="319" t="str">
        <f>Language!C140</f>
        <v>Turbina hidráulica</v>
      </c>
      <c r="H1064" s="319" t="str">
        <f>Language!C621</f>
        <v>Hidro</v>
      </c>
      <c r="I1064" s="319"/>
      <c r="J1064" s="3">
        <v>1</v>
      </c>
      <c r="K1064" s="319" t="str">
        <f>Language!C134</f>
        <v>Turbina à gas</v>
      </c>
      <c r="L1064" s="319"/>
      <c r="M1064" s="319" t="s">
        <v>7824</v>
      </c>
      <c r="N1064" s="319"/>
      <c r="O1064" s="319"/>
      <c r="P1064" s="319" t="str">
        <f t="shared" si="79"/>
        <v>Diesel (óleo #2) - gal</v>
      </c>
      <c r="Q1064" s="319" t="str">
        <f t="shared" si="80"/>
        <v>Diesel (oleo#2)</v>
      </c>
      <c r="R1064" s="319" t="str">
        <f t="shared" si="81"/>
        <v>gal</v>
      </c>
      <c r="S1064" s="476">
        <f t="shared" si="82"/>
        <v>38.155524095297608</v>
      </c>
      <c r="T1064" s="319" t="str">
        <f t="shared" si="83"/>
        <v>€/gal</v>
      </c>
      <c r="U1064" s="319"/>
      <c r="V1064" s="319"/>
      <c r="W1064" s="319"/>
      <c r="X1064" s="319"/>
      <c r="Y1064" s="319"/>
      <c r="Z1064" s="319" t="str">
        <f>Language!C1348</f>
        <v>po H2O</v>
      </c>
      <c r="AA1064" s="319">
        <f>Ferramentas!F715*12*10</f>
        <v>4014.6368185651977</v>
      </c>
      <c r="AB1064" s="319"/>
      <c r="AC1064" s="319"/>
      <c r="AD1064" s="319"/>
      <c r="AE1064" s="319"/>
      <c r="AF1064" s="319"/>
      <c r="AG1064" s="319"/>
      <c r="AH1064" s="319"/>
      <c r="AI1064" s="319"/>
      <c r="AJ1064" s="319"/>
      <c r="AK1064" s="319"/>
      <c r="AL1064" s="319"/>
      <c r="AM1064" s="319"/>
      <c r="AN1064" s="319"/>
      <c r="AO1064" s="587"/>
      <c r="AP1064" s="319"/>
      <c r="AQ1064" s="319"/>
      <c r="AR1064" s="319"/>
      <c r="AS1064" s="319"/>
      <c r="AT1064" s="319"/>
      <c r="AU1064" s="319"/>
      <c r="AV1064" s="319"/>
      <c r="AW1064" s="319"/>
      <c r="AX1064" s="319"/>
      <c r="AY1064" s="319"/>
      <c r="AZ1064" s="319"/>
      <c r="BA1064" s="319"/>
      <c r="BB1064" s="319"/>
      <c r="BC1064" s="319"/>
      <c r="BD1064" s="319"/>
      <c r="BE1064" s="319"/>
      <c r="BF1064" s="319"/>
      <c r="BG1064" s="319"/>
      <c r="BH1064" s="319"/>
      <c r="BI1064" s="319"/>
      <c r="BJ1064" s="319"/>
      <c r="BK1064" s="319"/>
      <c r="BL1064" s="319"/>
      <c r="BM1064" s="319"/>
      <c r="BN1064" s="319"/>
      <c r="BO1064" s="319"/>
      <c r="BP1064" s="319"/>
      <c r="BQ1064" s="319"/>
      <c r="BR1064" s="319"/>
      <c r="BS1064" s="319"/>
      <c r="BT1064" s="319"/>
      <c r="BU1064" s="319"/>
      <c r="BV1064" s="319"/>
      <c r="BW1064" s="319"/>
      <c r="BX1064" s="319"/>
      <c r="BY1064" s="319"/>
      <c r="BZ1064" s="319"/>
      <c r="CA1064" s="319"/>
      <c r="CB1064" s="319"/>
      <c r="CC1064" s="319"/>
      <c r="CD1064" s="319"/>
      <c r="CE1064" s="319"/>
      <c r="CF1064" s="319"/>
    </row>
    <row r="1065" spans="1:84" ht="13.5" hidden="1" customHeight="1">
      <c r="A1065" s="319"/>
      <c r="B1065" s="319" t="str">
        <f>P1065</f>
        <v>Diesel (óleo #2) - L</v>
      </c>
      <c r="C1065" s="319" t="str">
        <f t="shared" si="78"/>
        <v>Diesel (óleo #2) - L</v>
      </c>
      <c r="D1065" s="319"/>
      <c r="E1065" s="319" t="str">
        <f>Language!C236</f>
        <v>Sistema de ponta não requerido</v>
      </c>
      <c r="F1065" s="319"/>
      <c r="G1065" s="319" t="str">
        <f>K1073</f>
        <v>Energia das correntes oceânicas</v>
      </c>
      <c r="H1065" s="319" t="str">
        <f>Language!C1847</f>
        <v>Oceano</v>
      </c>
      <c r="I1065" s="319"/>
      <c r="J1065" s="3">
        <v>1</v>
      </c>
      <c r="K1065" s="319" t="str">
        <f>Language!C135</f>
        <v>Turbina à gas-ciclo combinado</v>
      </c>
      <c r="L1065" s="319"/>
      <c r="M1065" s="319" t="s">
        <v>7616</v>
      </c>
      <c r="N1065" s="319"/>
      <c r="O1065" s="319"/>
      <c r="P1065" s="319" t="str">
        <f t="shared" si="79"/>
        <v>Diesel (óleo #2) - L</v>
      </c>
      <c r="Q1065" s="319" t="str">
        <f t="shared" si="80"/>
        <v>Diesel (oleo#2)</v>
      </c>
      <c r="R1065" s="319" t="str">
        <f t="shared" si="81"/>
        <v>L</v>
      </c>
      <c r="S1065" s="476">
        <f t="shared" si="82"/>
        <v>10.079623109055554</v>
      </c>
      <c r="T1065" s="319" t="str">
        <f t="shared" si="83"/>
        <v>€/L</v>
      </c>
      <c r="U1065" s="319"/>
      <c r="V1065" s="319"/>
      <c r="W1065" s="319"/>
      <c r="X1065" s="319"/>
      <c r="Y1065" s="319"/>
      <c r="Z1065" s="319" t="str">
        <f>Language!C1349</f>
        <v>po Hg</v>
      </c>
      <c r="AA1065" s="319">
        <f>Ferramentas!F713</f>
        <v>29.529987508038179</v>
      </c>
      <c r="AB1065" s="319"/>
      <c r="AC1065" s="319" t="str">
        <f>Z1076</f>
        <v>m</v>
      </c>
      <c r="AD1065" s="319">
        <v>1</v>
      </c>
      <c r="AE1065" s="319"/>
      <c r="AF1065" s="319"/>
      <c r="AG1065" s="319"/>
      <c r="AH1065" s="319"/>
      <c r="AI1065" s="319"/>
      <c r="AJ1065" s="319"/>
      <c r="AK1065" s="319"/>
      <c r="AL1065" s="319"/>
      <c r="AM1065" s="319"/>
      <c r="AN1065" s="319"/>
      <c r="AO1065" s="587"/>
      <c r="AP1065" s="319"/>
      <c r="AQ1065" s="319"/>
      <c r="AR1065" s="319"/>
      <c r="AS1065" s="319"/>
      <c r="AT1065" s="319"/>
      <c r="AU1065" s="319"/>
      <c r="AV1065" s="319"/>
      <c r="AW1065" s="319"/>
      <c r="AX1065" s="319"/>
      <c r="AY1065" s="319"/>
      <c r="AZ1065" s="319"/>
      <c r="BA1065" s="319"/>
      <c r="BB1065" s="319"/>
      <c r="BC1065" s="319"/>
      <c r="BD1065" s="319"/>
      <c r="BE1065" s="319"/>
      <c r="BF1065" s="319"/>
      <c r="BG1065" s="319"/>
      <c r="BH1065" s="319"/>
      <c r="BI1065" s="319"/>
      <c r="BJ1065" s="319"/>
      <c r="BK1065" s="319"/>
      <c r="BL1065" s="319"/>
      <c r="BM1065" s="319"/>
      <c r="BN1065" s="319"/>
      <c r="BO1065" s="319"/>
      <c r="BP1065" s="319"/>
      <c r="BQ1065" s="319"/>
      <c r="BR1065" s="319"/>
      <c r="BS1065" s="319"/>
      <c r="BT1065" s="319"/>
      <c r="BU1065" s="319"/>
      <c r="BV1065" s="319"/>
      <c r="BW1065" s="319"/>
      <c r="BX1065" s="319"/>
      <c r="BY1065" s="319"/>
      <c r="BZ1065" s="319"/>
      <c r="CA1065" s="319"/>
      <c r="CB1065" s="319"/>
      <c r="CC1065" s="319"/>
      <c r="CD1065" s="319"/>
      <c r="CE1065" s="319"/>
      <c r="CF1065" s="319"/>
    </row>
    <row r="1066" spans="1:84" ht="13.5" hidden="1" customHeight="1">
      <c r="A1066" s="319"/>
      <c r="B1066" s="319" t="str">
        <f t="shared" ref="B1066:B1072" si="84">P1067</f>
        <v>Gasolina - gal</v>
      </c>
      <c r="C1066" s="319" t="str">
        <f t="shared" si="78"/>
        <v>Eletricidade</v>
      </c>
      <c r="D1066" s="319"/>
      <c r="E1066" s="319"/>
      <c r="F1066" s="319"/>
      <c r="G1066" s="319" t="str">
        <f>K1074</f>
        <v>Energia das marés</v>
      </c>
      <c r="H1066" s="319" t="str">
        <f>$H$1065</f>
        <v>Oceano</v>
      </c>
      <c r="I1066" s="319"/>
      <c r="J1066" s="3">
        <v>1</v>
      </c>
      <c r="K1066" s="319" t="str">
        <f>Language!C136</f>
        <v>Turbina à vapor</v>
      </c>
      <c r="L1066" s="319"/>
      <c r="M1066" s="319" t="s">
        <v>7785</v>
      </c>
      <c r="N1066" s="319"/>
      <c r="O1066" s="319"/>
      <c r="P1066" s="319" t="str">
        <f t="shared" si="79"/>
        <v>Eletricidade</v>
      </c>
      <c r="Q1066" s="319" t="str">
        <f t="shared" si="80"/>
        <v>Eletricidade</v>
      </c>
      <c r="R1066" s="319" t="str">
        <f>R14</f>
        <v>MWh</v>
      </c>
      <c r="S1066" s="476">
        <f t="shared" si="82"/>
        <v>1000</v>
      </c>
      <c r="T1066" s="319" t="str">
        <f t="shared" si="83"/>
        <v>€/kWh</v>
      </c>
      <c r="U1066" s="319"/>
      <c r="V1066" s="319"/>
      <c r="W1066" s="319"/>
      <c r="X1066" s="319"/>
      <c r="Y1066" s="319"/>
      <c r="Z1066" s="319"/>
      <c r="AA1066" s="319"/>
      <c r="AB1066" s="319"/>
      <c r="AC1066" s="319" t="str">
        <f>Z1077</f>
        <v>pe</v>
      </c>
      <c r="AD1066" s="319">
        <v>0.30480000000000002</v>
      </c>
      <c r="AE1066" s="319"/>
      <c r="AF1066" s="319"/>
      <c r="AG1066" s="319"/>
      <c r="AH1066" s="319"/>
      <c r="AI1066" s="319"/>
      <c r="AJ1066" s="319"/>
      <c r="AK1066" s="319"/>
      <c r="AL1066" s="319"/>
      <c r="AM1066" s="319"/>
      <c r="AN1066" s="319"/>
      <c r="AO1066" s="587"/>
      <c r="AP1066" s="319"/>
      <c r="AQ1066" s="319"/>
      <c r="AR1066" s="319"/>
      <c r="AS1066" s="319"/>
      <c r="AT1066" s="319"/>
      <c r="AU1066" s="319"/>
      <c r="AV1066" s="319"/>
      <c r="AW1066" s="319"/>
      <c r="AX1066" s="319"/>
      <c r="AY1066" s="319"/>
      <c r="AZ1066" s="319"/>
      <c r="BA1066" s="319"/>
      <c r="BB1066" s="319"/>
      <c r="BC1066" s="319"/>
      <c r="BD1066" s="319"/>
      <c r="BE1066" s="319"/>
      <c r="BF1066" s="319"/>
      <c r="BG1066" s="319"/>
      <c r="BH1066" s="319"/>
      <c r="BI1066" s="319"/>
      <c r="BJ1066" s="319"/>
      <c r="BK1066" s="319"/>
      <c r="BL1066" s="319"/>
      <c r="BM1066" s="319"/>
      <c r="BN1066" s="319"/>
      <c r="BO1066" s="319"/>
      <c r="BP1066" s="319"/>
      <c r="BQ1066" s="319"/>
      <c r="BR1066" s="319"/>
      <c r="BS1066" s="319"/>
      <c r="BT1066" s="319"/>
      <c r="BU1066" s="319"/>
      <c r="BV1066" s="319"/>
      <c r="BW1066" s="319"/>
      <c r="BX1066" s="319"/>
      <c r="BY1066" s="319"/>
      <c r="BZ1066" s="319"/>
      <c r="CA1066" s="319"/>
      <c r="CB1066" s="319"/>
      <c r="CC1066" s="319"/>
      <c r="CD1066" s="319"/>
      <c r="CE1066" s="319"/>
      <c r="CF1066" s="319"/>
    </row>
    <row r="1067" spans="1:84" ht="13.5" hidden="1" customHeight="1">
      <c r="A1067" s="319"/>
      <c r="B1067" s="319" t="str">
        <f t="shared" si="84"/>
        <v>Gasolina - L</v>
      </c>
      <c r="C1067" s="319" t="str">
        <f t="shared" si="78"/>
        <v>Gasolina - gal</v>
      </c>
      <c r="D1067" s="319"/>
      <c r="E1067" s="319" t="str">
        <f>Language!C195</f>
        <v>Interm.</v>
      </c>
      <c r="F1067" s="319"/>
      <c r="G1067" s="319" t="str">
        <f>K1075</f>
        <v>Energia da onda</v>
      </c>
      <c r="H1067" s="319" t="str">
        <f>$H$1065</f>
        <v>Oceano</v>
      </c>
      <c r="I1067" s="319"/>
      <c r="J1067" s="3">
        <v>1</v>
      </c>
      <c r="K1067" s="319" t="str">
        <f>Language!C137</f>
        <v>Energia Geotérmica</v>
      </c>
      <c r="L1067" s="319"/>
      <c r="M1067" s="319" t="s">
        <v>6148</v>
      </c>
      <c r="N1067" s="319"/>
      <c r="O1067" s="319"/>
      <c r="P1067" s="319" t="str">
        <f t="shared" si="79"/>
        <v>Gasolina - gal</v>
      </c>
      <c r="Q1067" s="319" t="str">
        <f t="shared" si="80"/>
        <v>Gasolina</v>
      </c>
      <c r="R1067" s="319" t="str">
        <f t="shared" si="81"/>
        <v>gal</v>
      </c>
      <c r="S1067" s="476">
        <f t="shared" si="82"/>
        <v>33.613753884474576</v>
      </c>
      <c r="T1067" s="319" t="str">
        <f t="shared" si="83"/>
        <v>€/gal</v>
      </c>
      <c r="U1067" s="319"/>
      <c r="V1067" s="319"/>
      <c r="W1067" s="319"/>
      <c r="X1067" s="319"/>
      <c r="Y1067" s="319"/>
      <c r="Z1067" s="319" t="str">
        <f>Z1061</f>
        <v>kPa</v>
      </c>
      <c r="AA1067" s="319"/>
      <c r="AB1067" s="319"/>
      <c r="AC1067" s="319"/>
      <c r="AD1067" s="319"/>
      <c r="AE1067" s="319"/>
      <c r="AF1067" s="319"/>
      <c r="AG1067" s="319"/>
      <c r="AH1067" s="319"/>
      <c r="AI1067" s="319"/>
      <c r="AJ1067" s="319"/>
      <c r="AK1067" s="319"/>
      <c r="AL1067" s="319"/>
      <c r="AM1067" s="319"/>
      <c r="AN1067" s="319"/>
      <c r="AO1067" s="587"/>
      <c r="AP1067" s="319"/>
      <c r="AQ1067" s="319"/>
      <c r="AR1067" s="319"/>
      <c r="AS1067" s="319"/>
      <c r="AT1067" s="319"/>
      <c r="AU1067" s="319"/>
      <c r="AV1067" s="319"/>
      <c r="AW1067" s="319"/>
      <c r="AX1067" s="319"/>
      <c r="AY1067" s="319"/>
      <c r="AZ1067" s="319"/>
      <c r="BA1067" s="319"/>
      <c r="BB1067" s="319"/>
      <c r="BC1067" s="319"/>
      <c r="BD1067" s="319"/>
      <c r="BE1067" s="319"/>
      <c r="BF1067" s="319"/>
      <c r="BG1067" s="319"/>
      <c r="BH1067" s="319"/>
      <c r="BI1067" s="319"/>
      <c r="BJ1067" s="319"/>
      <c r="BK1067" s="319"/>
      <c r="BL1067" s="319"/>
      <c r="BM1067" s="319"/>
      <c r="BN1067" s="319"/>
      <c r="BO1067" s="319"/>
      <c r="BP1067" s="319"/>
      <c r="BQ1067" s="319"/>
      <c r="BR1067" s="319"/>
      <c r="BS1067" s="319"/>
      <c r="BT1067" s="319"/>
      <c r="BU1067" s="319"/>
      <c r="BV1067" s="319"/>
      <c r="BW1067" s="319"/>
      <c r="BX1067" s="319"/>
      <c r="BY1067" s="319"/>
      <c r="BZ1067" s="319"/>
      <c r="CA1067" s="319"/>
      <c r="CB1067" s="319"/>
      <c r="CC1067" s="319"/>
      <c r="CD1067" s="319"/>
      <c r="CE1067" s="319"/>
      <c r="CF1067" s="319"/>
    </row>
    <row r="1068" spans="1:84" ht="13.5" hidden="1" customHeight="1">
      <c r="A1068" s="319"/>
      <c r="B1068" s="319" t="str">
        <f t="shared" si="84"/>
        <v>Querosene - gal</v>
      </c>
      <c r="C1068" s="319" t="str">
        <f t="shared" si="78"/>
        <v>Gasolina - L</v>
      </c>
      <c r="D1068" s="319"/>
      <c r="E1068" s="319" t="str">
        <f>Language!C238</f>
        <v>Interm. # 2</v>
      </c>
      <c r="F1068" s="319"/>
      <c r="G1068" s="319" t="str">
        <f>K1076</f>
        <v>Energia solar térmica</v>
      </c>
      <c r="H1068" s="319" t="str">
        <f>H1069</f>
        <v>Solar</v>
      </c>
      <c r="I1068" s="319" t="s">
        <v>1672</v>
      </c>
      <c r="J1068" s="3">
        <v>1</v>
      </c>
      <c r="K1068" s="319" t="str">
        <f>Language!C138</f>
        <v>Célula combustível</v>
      </c>
      <c r="L1068" s="319"/>
      <c r="M1068" s="319" t="s">
        <v>7752</v>
      </c>
      <c r="N1068" s="319"/>
      <c r="O1068" s="319"/>
      <c r="P1068" s="319" t="str">
        <f t="shared" si="79"/>
        <v>Gasolina - L</v>
      </c>
      <c r="Q1068" s="319" t="str">
        <f t="shared" si="80"/>
        <v>Gasolina</v>
      </c>
      <c r="R1068" s="319" t="str">
        <f t="shared" si="81"/>
        <v>L</v>
      </c>
      <c r="S1068" s="476">
        <f t="shared" si="82"/>
        <v>8.8798143511233327</v>
      </c>
      <c r="T1068" s="319" t="str">
        <f t="shared" si="83"/>
        <v>€/L</v>
      </c>
      <c r="U1068" s="319"/>
      <c r="V1068" s="319"/>
      <c r="W1068" s="319"/>
      <c r="X1068" s="319"/>
      <c r="Y1068" s="319"/>
      <c r="Z1068" s="319" t="str">
        <f>Language!C1319</f>
        <v>bar</v>
      </c>
      <c r="AA1068" s="319">
        <v>1</v>
      </c>
      <c r="AB1068" s="319"/>
      <c r="AC1068" s="319" t="str">
        <f>Language!C2232</f>
        <v>m/s</v>
      </c>
      <c r="AD1068" s="319">
        <v>1</v>
      </c>
      <c r="AE1068" s="319"/>
      <c r="AF1068" s="319"/>
      <c r="AG1068" s="319"/>
      <c r="AH1068" s="319"/>
      <c r="AI1068" s="319"/>
      <c r="AJ1068" s="319"/>
      <c r="AK1068" s="319"/>
      <c r="AL1068" s="319"/>
      <c r="AM1068" s="319"/>
      <c r="AN1068" s="319"/>
      <c r="AO1068" s="587"/>
      <c r="AP1068" s="319"/>
      <c r="AQ1068" s="319"/>
      <c r="AR1068" s="319"/>
      <c r="AS1068" s="319"/>
      <c r="AT1068" s="319"/>
      <c r="AU1068" s="319"/>
      <c r="AV1068" s="319"/>
      <c r="AW1068" s="319"/>
      <c r="AX1068" s="319"/>
      <c r="AY1068" s="319"/>
      <c r="AZ1068" s="319"/>
      <c r="BA1068" s="319"/>
      <c r="BB1068" s="319"/>
      <c r="BC1068" s="319"/>
      <c r="BD1068" s="319"/>
      <c r="BE1068" s="319"/>
      <c r="BF1068" s="319"/>
      <c r="BG1068" s="319"/>
      <c r="BH1068" s="319"/>
      <c r="BI1068" s="319"/>
      <c r="BJ1068" s="319"/>
      <c r="BK1068" s="319"/>
      <c r="BL1068" s="319"/>
      <c r="BM1068" s="319"/>
      <c r="BN1068" s="319"/>
      <c r="BO1068" s="319"/>
      <c r="BP1068" s="319"/>
      <c r="BQ1068" s="319"/>
      <c r="BR1068" s="319"/>
      <c r="BS1068" s="319"/>
      <c r="BT1068" s="319"/>
      <c r="BU1068" s="319"/>
      <c r="BV1068" s="319"/>
      <c r="BW1068" s="319"/>
      <c r="BX1068" s="319"/>
      <c r="BY1068" s="319"/>
      <c r="BZ1068" s="319"/>
      <c r="CA1068" s="319"/>
      <c r="CB1068" s="319"/>
      <c r="CC1068" s="319"/>
      <c r="CD1068" s="319"/>
      <c r="CE1068" s="319"/>
      <c r="CF1068" s="319"/>
    </row>
    <row r="1069" spans="1:84" ht="13.5" hidden="1" customHeight="1">
      <c r="A1069" s="319"/>
      <c r="B1069" s="319" t="str">
        <f t="shared" si="84"/>
        <v>Querosene - L</v>
      </c>
      <c r="C1069" s="319" t="str">
        <f t="shared" si="78"/>
        <v>Querosene - gal</v>
      </c>
      <c r="D1069" s="319"/>
      <c r="E1069" s="319" t="str">
        <f>Language!C240</f>
        <v>Carga Intermediária do sistema de aquecimento</v>
      </c>
      <c r="F1069" s="319"/>
      <c r="G1069" s="319" t="str">
        <f>Language!C141</f>
        <v>Fotovoltaica</v>
      </c>
      <c r="H1069" s="319" t="str">
        <f>Language!C624</f>
        <v>Solar</v>
      </c>
      <c r="I1069" s="319" t="s">
        <v>147</v>
      </c>
      <c r="J1069" s="3">
        <v>1</v>
      </c>
      <c r="K1069" s="319" t="str">
        <f>Language!C139</f>
        <v>Turbina eólica</v>
      </c>
      <c r="L1069" s="319"/>
      <c r="M1069" s="319" t="s">
        <v>6152</v>
      </c>
      <c r="N1069" s="319"/>
      <c r="O1069" s="319"/>
      <c r="P1069" s="319" t="str">
        <f t="shared" si="79"/>
        <v>Querosene - gal</v>
      </c>
      <c r="Q1069" s="319" t="str">
        <f t="shared" si="80"/>
        <v>Querosene</v>
      </c>
      <c r="R1069" s="319" t="str">
        <f t="shared" si="81"/>
        <v>gal</v>
      </c>
      <c r="S1069" s="476">
        <f t="shared" si="82"/>
        <v>36.409867313488029</v>
      </c>
      <c r="T1069" s="319" t="str">
        <f t="shared" si="83"/>
        <v>€/gal</v>
      </c>
      <c r="U1069" s="319"/>
      <c r="V1069" s="319"/>
      <c r="W1069" s="319"/>
      <c r="X1069" s="319"/>
      <c r="Y1069" s="319">
        <v>14.50379566185919</v>
      </c>
      <c r="Z1069" s="319" t="str">
        <f>Z1062</f>
        <v>psig</v>
      </c>
      <c r="AA1069" s="319">
        <f>Ferramentas!E831</f>
        <v>14.695970954378822</v>
      </c>
      <c r="AB1069" s="319"/>
      <c r="AC1069" s="319" t="str">
        <f>Language!C2244</f>
        <v>mph</v>
      </c>
      <c r="AD1069" s="319">
        <v>0.44703999999999999</v>
      </c>
      <c r="AE1069" s="319"/>
      <c r="AF1069" s="319"/>
      <c r="AG1069" s="319"/>
      <c r="AH1069" s="319"/>
      <c r="AI1069" s="319"/>
      <c r="AJ1069" s="319"/>
      <c r="AK1069" s="319"/>
      <c r="AL1069" s="319"/>
      <c r="AM1069" s="319"/>
      <c r="AN1069" s="319"/>
      <c r="AO1069" s="587"/>
      <c r="AP1069" s="319"/>
      <c r="AQ1069" s="319"/>
      <c r="AR1069" s="319"/>
      <c r="AS1069" s="319"/>
      <c r="AT1069" s="319"/>
      <c r="AU1069" s="319"/>
      <c r="AV1069" s="319"/>
      <c r="AW1069" s="319"/>
      <c r="AX1069" s="319"/>
      <c r="AY1069" s="319"/>
      <c r="AZ1069" s="319"/>
      <c r="BA1069" s="319"/>
      <c r="BB1069" s="319"/>
      <c r="BC1069" s="319"/>
      <c r="BD1069" s="319"/>
      <c r="BE1069" s="319"/>
      <c r="BF1069" s="319"/>
      <c r="BG1069" s="319"/>
      <c r="BH1069" s="319"/>
      <c r="BI1069" s="319"/>
      <c r="BJ1069" s="319"/>
      <c r="BK1069" s="319"/>
      <c r="BL1069" s="319"/>
      <c r="BM1069" s="319"/>
      <c r="BN1069" s="319"/>
      <c r="BO1069" s="319"/>
      <c r="BP1069" s="319"/>
      <c r="BQ1069" s="319"/>
      <c r="BR1069" s="319"/>
      <c r="BS1069" s="319"/>
      <c r="BT1069" s="319"/>
      <c r="BU1069" s="319"/>
      <c r="BV1069" s="319"/>
      <c r="BW1069" s="319"/>
      <c r="BX1069" s="319"/>
      <c r="BY1069" s="319"/>
      <c r="BZ1069" s="319"/>
      <c r="CA1069" s="319"/>
      <c r="CB1069" s="319"/>
      <c r="CC1069" s="319"/>
      <c r="CD1069" s="319"/>
      <c r="CE1069" s="319"/>
      <c r="CF1069" s="319"/>
    </row>
    <row r="1070" spans="1:84" ht="13.5" hidden="1" customHeight="1">
      <c r="A1070" s="319"/>
      <c r="B1070" s="319" t="str">
        <f t="shared" si="84"/>
        <v>Gaz natural - 100 pi³</v>
      </c>
      <c r="C1070" s="319" t="str">
        <f t="shared" si="78"/>
        <v>Querosene - L</v>
      </c>
      <c r="D1070" s="319"/>
      <c r="E1070" s="319" t="str">
        <f>Language!C242</f>
        <v>Carga Intermediária # 2</v>
      </c>
      <c r="F1070" s="319"/>
      <c r="G1070" s="319"/>
      <c r="H1070" s="319"/>
      <c r="I1070" s="319" t="s">
        <v>6412</v>
      </c>
      <c r="J1070" s="3">
        <v>1</v>
      </c>
      <c r="K1070" s="319" t="str">
        <f>Language!C140</f>
        <v>Turbina hidráulica</v>
      </c>
      <c r="L1070" s="319"/>
      <c r="M1070" s="319" t="s">
        <v>6144</v>
      </c>
      <c r="N1070" s="319"/>
      <c r="O1070" s="319"/>
      <c r="P1070" s="319" t="str">
        <f t="shared" si="79"/>
        <v>Querosene - L</v>
      </c>
      <c r="Q1070" s="319" t="str">
        <f t="shared" si="80"/>
        <v>Querosene</v>
      </c>
      <c r="R1070" s="319" t="str">
        <f t="shared" si="81"/>
        <v>L</v>
      </c>
      <c r="S1070" s="476">
        <f t="shared" si="82"/>
        <v>9.6184693742919958</v>
      </c>
      <c r="T1070" s="319" t="str">
        <f t="shared" si="83"/>
        <v>€/L</v>
      </c>
      <c r="U1070" s="319"/>
      <c r="V1070" s="319"/>
      <c r="W1070" s="319"/>
      <c r="X1070" s="319"/>
      <c r="Y1070" s="319"/>
      <c r="Z1070" s="319" t="str">
        <f>Z1063</f>
        <v>psia</v>
      </c>
      <c r="AA1070" s="319"/>
      <c r="AB1070" s="319"/>
      <c r="AC1070" s="319" t="str">
        <f>C246</f>
        <v>W/m²</v>
      </c>
      <c r="AD1070" s="319"/>
      <c r="AE1070" s="319"/>
      <c r="AF1070" s="319"/>
      <c r="AG1070" s="319"/>
      <c r="AH1070" s="319"/>
      <c r="AI1070" s="319"/>
      <c r="AJ1070" s="319"/>
      <c r="AK1070" s="319"/>
      <c r="AL1070" s="319"/>
      <c r="AM1070" s="319"/>
      <c r="AN1070" s="319"/>
      <c r="AO1070" s="587"/>
      <c r="AP1070" s="319"/>
      <c r="AQ1070" s="319"/>
      <c r="AR1070" s="319"/>
      <c r="AS1070" s="319"/>
      <c r="AT1070" s="319"/>
      <c r="AU1070" s="319"/>
      <c r="AV1070" s="319"/>
      <c r="AW1070" s="319"/>
      <c r="AX1070" s="319"/>
      <c r="AY1070" s="319"/>
      <c r="AZ1070" s="319"/>
      <c r="BA1070" s="319"/>
      <c r="BB1070" s="319"/>
      <c r="BC1070" s="319"/>
      <c r="BD1070" s="319"/>
      <c r="BE1070" s="319"/>
      <c r="BF1070" s="319"/>
      <c r="BG1070" s="319"/>
      <c r="BH1070" s="319"/>
      <c r="BI1070" s="319"/>
      <c r="BJ1070" s="319"/>
      <c r="BK1070" s="319"/>
      <c r="BL1070" s="319"/>
      <c r="BM1070" s="319"/>
      <c r="BN1070" s="319"/>
      <c r="BO1070" s="319"/>
      <c r="BP1070" s="319"/>
      <c r="BQ1070" s="319"/>
      <c r="BR1070" s="319"/>
      <c r="BS1070" s="319"/>
      <c r="BT1070" s="319"/>
      <c r="BU1070" s="319"/>
      <c r="BV1070" s="319"/>
      <c r="BW1070" s="319"/>
      <c r="BX1070" s="319"/>
      <c r="BY1070" s="319"/>
      <c r="BZ1070" s="319"/>
      <c r="CA1070" s="319"/>
      <c r="CB1070" s="319"/>
      <c r="CC1070" s="319"/>
      <c r="CD1070" s="319"/>
      <c r="CE1070" s="319"/>
      <c r="CF1070" s="319"/>
    </row>
    <row r="1071" spans="1:84" ht="13.5" hidden="1" customHeight="1">
      <c r="A1071" s="319"/>
      <c r="B1071" s="319" t="str">
        <f t="shared" si="84"/>
        <v>Gás Natural - GJ</v>
      </c>
      <c r="C1071" s="319" t="str">
        <f t="shared" si="78"/>
        <v>Gaz natural - 100 pi³</v>
      </c>
      <c r="D1071" s="851" t="s">
        <v>5076</v>
      </c>
      <c r="E1071" s="319"/>
      <c r="F1071" s="319"/>
      <c r="G1071" s="319"/>
      <c r="H1071" s="319"/>
      <c r="I1071" s="319" t="s">
        <v>6139</v>
      </c>
      <c r="J1071" s="3">
        <v>1</v>
      </c>
      <c r="K1071" s="319" t="str">
        <f>Language!C141</f>
        <v>Fotovoltaica</v>
      </c>
      <c r="L1071" s="319"/>
      <c r="M1071" s="319" t="s">
        <v>6153</v>
      </c>
      <c r="N1071" s="319"/>
      <c r="O1071" s="319"/>
      <c r="P1071" s="319" t="str">
        <f t="shared" si="79"/>
        <v>Gaz natural - 100 pi³</v>
      </c>
      <c r="Q1071" s="319" t="str">
        <f t="shared" si="80"/>
        <v>Gás Natural</v>
      </c>
      <c r="R1071" s="319" t="str">
        <f t="shared" si="81"/>
        <v>100 pes³</v>
      </c>
      <c r="S1071" s="476">
        <f t="shared" si="82"/>
        <v>26.726194929438709</v>
      </c>
      <c r="T1071" s="319" t="str">
        <f t="shared" si="83"/>
        <v>€/100 pés³</v>
      </c>
      <c r="U1071" s="319"/>
      <c r="V1071" s="319"/>
      <c r="W1071" s="319"/>
      <c r="X1071" s="319"/>
      <c r="Y1071" s="319"/>
      <c r="Z1071" s="319"/>
      <c r="AA1071" s="319"/>
      <c r="AB1071" s="319"/>
      <c r="AC1071" s="319"/>
      <c r="AD1071" s="319"/>
      <c r="AE1071" s="319"/>
      <c r="AF1071" s="319"/>
      <c r="AG1071" s="319"/>
      <c r="AH1071" s="319"/>
      <c r="AI1071" s="319"/>
      <c r="AJ1071" s="319"/>
      <c r="AK1071" s="319"/>
      <c r="AL1071" s="319"/>
      <c r="AM1071" s="319"/>
      <c r="AN1071" s="319"/>
      <c r="AO1071" s="587"/>
      <c r="AP1071" s="319"/>
      <c r="AQ1071" s="319"/>
      <c r="AR1071" s="319"/>
      <c r="AS1071" s="319"/>
      <c r="AT1071" s="319"/>
      <c r="AU1071" s="319"/>
      <c r="AV1071" s="319"/>
      <c r="AW1071" s="319"/>
      <c r="AX1071" s="319"/>
      <c r="AY1071" s="319"/>
      <c r="AZ1071" s="319"/>
      <c r="BA1071" s="319"/>
      <c r="BB1071" s="319"/>
      <c r="BC1071" s="319"/>
      <c r="BD1071" s="319"/>
      <c r="BE1071" s="319"/>
      <c r="BF1071" s="319"/>
      <c r="BG1071" s="319"/>
      <c r="BH1071" s="319"/>
      <c r="BI1071" s="319"/>
      <c r="BJ1071" s="319"/>
      <c r="BK1071" s="319"/>
      <c r="BL1071" s="319"/>
      <c r="BM1071" s="319"/>
      <c r="BN1071" s="319"/>
      <c r="BO1071" s="319"/>
      <c r="BP1071" s="319"/>
      <c r="BQ1071" s="319"/>
      <c r="BR1071" s="319"/>
      <c r="BS1071" s="319"/>
      <c r="BT1071" s="319"/>
      <c r="BU1071" s="319"/>
      <c r="BV1071" s="319"/>
      <c r="BW1071" s="319"/>
      <c r="BX1071" s="319"/>
      <c r="BY1071" s="319"/>
      <c r="BZ1071" s="319"/>
      <c r="CA1071" s="319"/>
      <c r="CB1071" s="319"/>
      <c r="CC1071" s="319"/>
      <c r="CD1071" s="319"/>
      <c r="CE1071" s="319"/>
      <c r="CF1071" s="319"/>
    </row>
    <row r="1072" spans="1:84" ht="13.5" hidden="1" customHeight="1">
      <c r="A1072" s="319"/>
      <c r="B1072" s="319" t="str">
        <f t="shared" si="84"/>
        <v>Gaz natural - kWh</v>
      </c>
      <c r="C1072" s="319" t="str">
        <f t="shared" si="78"/>
        <v>Gás Natural - GJ</v>
      </c>
      <c r="D1072" s="851" t="s">
        <v>6411</v>
      </c>
      <c r="E1072" s="319" t="str">
        <f>Language!C418</f>
        <v>Sistema à biomassa</v>
      </c>
      <c r="F1072" s="319">
        <v>1</v>
      </c>
      <c r="G1072" s="319" t="s">
        <v>5373</v>
      </c>
      <c r="H1072" s="319"/>
      <c r="I1072" s="319" t="s">
        <v>6140</v>
      </c>
      <c r="J1072" s="3">
        <v>23</v>
      </c>
      <c r="K1072" s="319" t="str">
        <f>E1091</f>
        <v>Outro</v>
      </c>
      <c r="L1072" s="319"/>
      <c r="M1072" s="319" t="s">
        <v>6145</v>
      </c>
      <c r="N1072" s="319"/>
      <c r="O1072" s="319"/>
      <c r="P1072" s="319" t="str">
        <f t="shared" si="79"/>
        <v>Gás Natural - GJ</v>
      </c>
      <c r="Q1072" s="319" t="str">
        <f t="shared" si="80"/>
        <v>Gás Natural</v>
      </c>
      <c r="R1072" s="319" t="str">
        <f t="shared" si="81"/>
        <v>GJ</v>
      </c>
      <c r="S1072" s="476">
        <f t="shared" si="82"/>
        <v>277.77777777777777</v>
      </c>
      <c r="T1072" s="319" t="str">
        <f t="shared" si="83"/>
        <v>€/GJ</v>
      </c>
      <c r="U1072" s="319"/>
      <c r="V1072" s="319"/>
      <c r="W1072" s="319"/>
      <c r="X1072" s="319"/>
      <c r="Y1072" s="319"/>
      <c r="Z1072" s="319" t="str">
        <f>Language!C1359</f>
        <v>kJ/kg</v>
      </c>
      <c r="AA1072" s="319">
        <v>1</v>
      </c>
      <c r="AB1072" s="319"/>
      <c r="AC1072" s="319" t="str">
        <f>Language!C2215</f>
        <v>km²</v>
      </c>
      <c r="AD1072" s="319">
        <v>1</v>
      </c>
      <c r="AE1072" s="319"/>
      <c r="AF1072" s="319"/>
      <c r="AG1072" s="319"/>
      <c r="AH1072" s="319"/>
      <c r="AI1072" s="319"/>
      <c r="AJ1072" s="319"/>
      <c r="AK1072" s="319"/>
      <c r="AL1072" s="319"/>
      <c r="AM1072" s="319"/>
      <c r="AN1072" s="319"/>
      <c r="AO1072" s="587"/>
      <c r="AP1072" s="319"/>
      <c r="AQ1072" s="319"/>
      <c r="AR1072" s="319"/>
      <c r="AS1072" s="319"/>
      <c r="AT1072" s="319"/>
      <c r="AU1072" s="319"/>
      <c r="AV1072" s="319"/>
      <c r="AW1072" s="319"/>
      <c r="AX1072" s="319"/>
      <c r="AY1072" s="319"/>
      <c r="AZ1072" s="319"/>
      <c r="BA1072" s="319"/>
      <c r="BB1072" s="319"/>
      <c r="BC1072" s="319"/>
      <c r="BD1072" s="319"/>
      <c r="BE1072" s="319"/>
      <c r="BF1072" s="319"/>
      <c r="BG1072" s="319"/>
      <c r="BH1072" s="319"/>
      <c r="BI1072" s="319"/>
      <c r="BJ1072" s="319"/>
      <c r="BK1072" s="319"/>
      <c r="BL1072" s="319"/>
      <c r="BM1072" s="319"/>
      <c r="BN1072" s="319"/>
      <c r="BO1072" s="319"/>
      <c r="BP1072" s="319"/>
      <c r="BQ1072" s="319"/>
      <c r="BR1072" s="319"/>
      <c r="BS1072" s="319"/>
      <c r="BT1072" s="319"/>
      <c r="BU1072" s="319"/>
      <c r="BV1072" s="319"/>
      <c r="BW1072" s="319"/>
      <c r="BX1072" s="319"/>
      <c r="BY1072" s="319"/>
      <c r="BZ1072" s="319"/>
      <c r="CA1072" s="319"/>
      <c r="CB1072" s="319"/>
      <c r="CC1072" s="319"/>
      <c r="CD1072" s="319"/>
      <c r="CE1072" s="319"/>
      <c r="CF1072" s="319"/>
    </row>
    <row r="1073" spans="1:84" ht="13.5" hidden="1" customHeight="1">
      <c r="A1073" s="319"/>
      <c r="B1073" s="319" t="str">
        <f t="shared" ref="B1073:B1081" si="85">P1074</f>
        <v>Gas natural - m³</v>
      </c>
      <c r="C1073" s="319" t="str">
        <f t="shared" si="78"/>
        <v>Gaz natural - kWh</v>
      </c>
      <c r="D1073" s="851" t="s">
        <v>6408</v>
      </c>
      <c r="E1073" s="319" t="str">
        <f>Language!C417</f>
        <v>Caldeira</v>
      </c>
      <c r="F1073" s="319">
        <v>2</v>
      </c>
      <c r="G1073" s="319" t="str">
        <f>Language!C131</f>
        <v>Carga Base do Sistema</v>
      </c>
      <c r="H1073" s="319"/>
      <c r="I1073" s="319" t="s">
        <v>7153</v>
      </c>
      <c r="J1073" s="3">
        <v>1</v>
      </c>
      <c r="K1073" s="319" t="str">
        <f>Language!C1848</f>
        <v>Energia das correntes oceânicas</v>
      </c>
      <c r="L1073" s="319"/>
      <c r="M1073" s="319" t="s">
        <v>6146</v>
      </c>
      <c r="N1073" s="319"/>
      <c r="O1073" s="319"/>
      <c r="P1073" s="319" t="str">
        <f t="shared" ref="P1073:T1075" si="86">K1186</f>
        <v>Gaz natural - kWh</v>
      </c>
      <c r="Q1073" s="319" t="str">
        <f t="shared" si="86"/>
        <v>Gás Natural</v>
      </c>
      <c r="R1073" s="319" t="str">
        <f t="shared" si="86"/>
        <v>kWh</v>
      </c>
      <c r="S1073" s="476">
        <f t="shared" si="86"/>
        <v>0.99999999999999989</v>
      </c>
      <c r="T1073" s="319" t="str">
        <f t="shared" si="86"/>
        <v>€/kWh</v>
      </c>
      <c r="V1073" s="319"/>
      <c r="W1073" s="319"/>
      <c r="X1073" s="319"/>
      <c r="Y1073" s="319"/>
      <c r="Z1073" s="319" t="str">
        <f>Language!C1325</f>
        <v>Btu/lb</v>
      </c>
      <c r="AA1073" s="319">
        <f>Ferramentas!F705/1000</f>
        <v>0.42992261392949283</v>
      </c>
      <c r="AB1073" s="319"/>
      <c r="AC1073" s="319" t="str">
        <f>Language!C1379</f>
        <v>mi²</v>
      </c>
      <c r="AD1073" s="319">
        <v>0.38610215854244595</v>
      </c>
      <c r="AE1073" s="319"/>
      <c r="AF1073" s="319"/>
      <c r="AG1073" s="319"/>
      <c r="AH1073" s="319"/>
      <c r="AI1073" s="319"/>
      <c r="AJ1073" s="319"/>
      <c r="AK1073" s="319"/>
      <c r="AL1073" s="319"/>
      <c r="AM1073" s="319"/>
      <c r="AN1073" s="319"/>
      <c r="AO1073" s="587"/>
      <c r="AP1073" s="319"/>
      <c r="AQ1073" s="319"/>
      <c r="AR1073" s="319"/>
      <c r="AS1073" s="319"/>
      <c r="AT1073" s="319"/>
      <c r="AU1073" s="319"/>
      <c r="AV1073" s="319"/>
      <c r="AW1073" s="319"/>
      <c r="AX1073" s="319"/>
      <c r="AY1073" s="319"/>
      <c r="AZ1073" s="319"/>
      <c r="BA1073" s="319"/>
      <c r="BB1073" s="319"/>
      <c r="BC1073" s="319"/>
      <c r="BD1073" s="319"/>
      <c r="BE1073" s="319"/>
      <c r="BF1073" s="319"/>
      <c r="BG1073" s="319"/>
      <c r="BH1073" s="319"/>
      <c r="BI1073" s="319"/>
      <c r="BJ1073" s="319"/>
      <c r="BK1073" s="319"/>
      <c r="BL1073" s="319"/>
      <c r="BM1073" s="319"/>
      <c r="BN1073" s="319"/>
      <c r="BO1073" s="319"/>
      <c r="BP1073" s="319"/>
      <c r="BQ1073" s="319"/>
      <c r="BR1073" s="319"/>
      <c r="BS1073" s="319"/>
      <c r="BT1073" s="319"/>
      <c r="BU1073" s="319"/>
      <c r="BV1073" s="319"/>
      <c r="BW1073" s="319"/>
      <c r="BX1073" s="319"/>
      <c r="BY1073" s="319"/>
      <c r="BZ1073" s="319"/>
      <c r="CA1073" s="319"/>
      <c r="CB1073" s="319"/>
      <c r="CC1073" s="319"/>
      <c r="CD1073" s="319"/>
      <c r="CE1073" s="319"/>
      <c r="CF1073" s="319"/>
    </row>
    <row r="1074" spans="1:84" ht="13.5" hidden="1" customHeight="1">
      <c r="A1074" s="319"/>
      <c r="B1074" s="319" t="str">
        <f t="shared" si="85"/>
        <v>Gas natural - mmBtu</v>
      </c>
      <c r="C1074" s="319" t="str">
        <f t="shared" ref="C1074:C1082" si="87">P1074</f>
        <v>Gas natural - m³</v>
      </c>
      <c r="D1074" s="851" t="s">
        <v>6410</v>
      </c>
      <c r="E1074" s="319" t="str">
        <f>Language!C419</f>
        <v>Forno</v>
      </c>
      <c r="F1074" s="319">
        <v>3</v>
      </c>
      <c r="G1074" s="319" t="str">
        <f>Language!C132</f>
        <v>Cargas base e intermediária</v>
      </c>
      <c r="H1074" s="319"/>
      <c r="I1074" s="319" t="s">
        <v>6141</v>
      </c>
      <c r="J1074" s="3">
        <v>1</v>
      </c>
      <c r="K1074" s="319" t="str">
        <f>Language!C2024</f>
        <v>Energia das marés</v>
      </c>
      <c r="L1074" s="319"/>
      <c r="M1074" s="319" t="s">
        <v>6147</v>
      </c>
      <c r="N1074" s="319"/>
      <c r="O1074" s="319"/>
      <c r="P1074" s="319" t="str">
        <f t="shared" si="86"/>
        <v>Gas natural - m³</v>
      </c>
      <c r="Q1074" s="319" t="str">
        <f t="shared" si="86"/>
        <v>Gás Natural</v>
      </c>
      <c r="R1074" s="319" t="str">
        <f t="shared" si="86"/>
        <v>m³</v>
      </c>
      <c r="S1074" s="476">
        <f t="shared" si="86"/>
        <v>9.4382666666666655</v>
      </c>
      <c r="T1074" s="319" t="str">
        <f t="shared" si="86"/>
        <v>€/m³</v>
      </c>
      <c r="U1074" s="319"/>
      <c r="V1074" s="319"/>
      <c r="W1074" s="319"/>
      <c r="X1074" s="319"/>
      <c r="Y1074" s="319"/>
      <c r="Z1074" s="319" t="str">
        <f>Language!C1360</f>
        <v>kJ/kg/K</v>
      </c>
      <c r="AA1074" s="319">
        <v>1</v>
      </c>
      <c r="AB1074" s="319"/>
      <c r="AC1074" s="319"/>
      <c r="AD1074" s="319"/>
      <c r="AE1074" s="319"/>
      <c r="AF1074" s="319"/>
      <c r="AG1074" s="319"/>
      <c r="AH1074" s="319"/>
      <c r="AI1074" s="319"/>
      <c r="AJ1074" s="319"/>
      <c r="AK1074" s="319"/>
      <c r="AL1074" s="319"/>
      <c r="AM1074" s="319"/>
      <c r="AN1074" s="319"/>
      <c r="AO1074" s="587"/>
      <c r="AP1074" s="319"/>
      <c r="AQ1074" s="319"/>
      <c r="AR1074" s="319"/>
      <c r="AS1074" s="319"/>
      <c r="AT1074" s="319"/>
      <c r="AU1074" s="319"/>
      <c r="AV1074" s="319"/>
      <c r="AW1074" s="319"/>
      <c r="AX1074" s="319"/>
      <c r="AY1074" s="319"/>
      <c r="AZ1074" s="319"/>
      <c r="BA1074" s="319"/>
      <c r="BB1074" s="319"/>
      <c r="BC1074" s="319"/>
      <c r="BD1074" s="319"/>
      <c r="BE1074" s="319"/>
      <c r="BF1074" s="319"/>
      <c r="BG1074" s="319"/>
      <c r="BH1074" s="319"/>
      <c r="BI1074" s="319"/>
      <c r="BJ1074" s="319"/>
      <c r="BK1074" s="319"/>
      <c r="BL1074" s="319"/>
      <c r="BM1074" s="319"/>
      <c r="BN1074" s="319"/>
      <c r="BO1074" s="319"/>
      <c r="BP1074" s="319"/>
      <c r="BQ1074" s="319"/>
      <c r="BR1074" s="319"/>
      <c r="BS1074" s="319"/>
      <c r="BT1074" s="319"/>
      <c r="BU1074" s="319"/>
      <c r="BV1074" s="319"/>
      <c r="BW1074" s="319"/>
      <c r="BX1074" s="319"/>
      <c r="BY1074" s="319"/>
      <c r="BZ1074" s="319"/>
      <c r="CA1074" s="319"/>
      <c r="CB1074" s="319"/>
      <c r="CC1074" s="319"/>
      <c r="CD1074" s="319"/>
      <c r="CE1074" s="319"/>
      <c r="CF1074" s="319"/>
    </row>
    <row r="1075" spans="1:84" ht="13.5" hidden="1" customHeight="1">
      <c r="A1075" s="319"/>
      <c r="B1075" s="319" t="str">
        <f t="shared" si="85"/>
        <v>Gaz natural - térm.</v>
      </c>
      <c r="C1075" s="319" t="str">
        <f t="shared" si="87"/>
        <v>Gas natural - mmBtu</v>
      </c>
      <c r="D1075" s="851" t="s">
        <v>6141</v>
      </c>
      <c r="E1075" s="319" t="str">
        <f>Language!C420</f>
        <v>Aquecedores de fluido térmico</v>
      </c>
      <c r="F1075" s="319">
        <v>5</v>
      </c>
      <c r="G1075" s="319"/>
      <c r="H1075" s="319"/>
      <c r="I1075" s="319" t="s">
        <v>4682</v>
      </c>
      <c r="J1075" s="3">
        <v>1</v>
      </c>
      <c r="K1075" s="319" t="str">
        <f>Language!C2076</f>
        <v>Energia da onda</v>
      </c>
      <c r="L1075" s="319"/>
      <c r="M1075" s="319" t="s">
        <v>6150</v>
      </c>
      <c r="N1075" s="319"/>
      <c r="O1075" s="319"/>
      <c r="P1075" s="319" t="str">
        <f t="shared" ref="P1075:P1085" si="88">K1188</f>
        <v>Gas natural - mmBtu</v>
      </c>
      <c r="Q1075" s="319" t="str">
        <f t="shared" si="86"/>
        <v>Gás Natural</v>
      </c>
      <c r="R1075" s="319" t="str">
        <f t="shared" si="86"/>
        <v>mmBtu</v>
      </c>
      <c r="S1075" s="476">
        <f t="shared" si="86"/>
        <v>293.07107017222216</v>
      </c>
      <c r="T1075" s="319" t="str">
        <f t="shared" si="86"/>
        <v>€/mmBtu</v>
      </c>
      <c r="U1075" s="319"/>
      <c r="V1075" s="319"/>
      <c r="W1075" s="319"/>
      <c r="X1075" s="319"/>
      <c r="Y1075" s="319"/>
      <c r="Z1075" s="319" t="str">
        <f>Language!C1326</f>
        <v>Btu/lb/°R</v>
      </c>
      <c r="AA1075" s="319">
        <f>AA1073/1.8</f>
        <v>0.238845896627496</v>
      </c>
      <c r="AB1075" s="319"/>
      <c r="AC1075" s="319" t="str">
        <f>Language!C2239</f>
        <v>m³/s/km²</v>
      </c>
      <c r="AD1075" s="319">
        <v>1</v>
      </c>
      <c r="AE1075" s="319"/>
      <c r="AF1075" s="319"/>
      <c r="AG1075" s="319"/>
      <c r="AH1075" s="319"/>
      <c r="AI1075" s="319"/>
      <c r="AJ1075" s="319"/>
      <c r="AK1075" s="319"/>
      <c r="AL1075" s="319"/>
      <c r="AM1075" s="319"/>
      <c r="AN1075" s="319"/>
      <c r="AO1075" s="587"/>
      <c r="AP1075" s="319"/>
      <c r="AQ1075" s="319"/>
      <c r="AR1075" s="319"/>
      <c r="AS1075" s="319"/>
      <c r="AT1075" s="319"/>
      <c r="AU1075" s="319"/>
      <c r="AV1075" s="319"/>
      <c r="AW1075" s="319"/>
      <c r="AX1075" s="319"/>
      <c r="AY1075" s="319"/>
      <c r="AZ1075" s="319"/>
      <c r="BA1075" s="319"/>
      <c r="BB1075" s="319"/>
      <c r="BC1075" s="319"/>
      <c r="BD1075" s="319"/>
      <c r="BE1075" s="319"/>
      <c r="BF1075" s="319"/>
      <c r="BG1075" s="319"/>
      <c r="BH1075" s="319"/>
      <c r="BI1075" s="319"/>
      <c r="BJ1075" s="319"/>
      <c r="BK1075" s="319"/>
      <c r="BL1075" s="319"/>
      <c r="BM1075" s="319"/>
      <c r="BN1075" s="319"/>
      <c r="BO1075" s="319"/>
      <c r="BP1075" s="319"/>
      <c r="BQ1075" s="319"/>
      <c r="BR1075" s="319"/>
      <c r="BS1075" s="319"/>
      <c r="BT1075" s="319"/>
      <c r="BU1075" s="319"/>
      <c r="BV1075" s="319"/>
      <c r="BW1075" s="319"/>
      <c r="BX1075" s="319"/>
      <c r="BY1075" s="319"/>
      <c r="BZ1075" s="319"/>
      <c r="CA1075" s="319"/>
      <c r="CB1075" s="319"/>
      <c r="CC1075" s="319"/>
      <c r="CD1075" s="319"/>
      <c r="CE1075" s="319"/>
      <c r="CF1075" s="319"/>
    </row>
    <row r="1076" spans="1:84" ht="13.5" hidden="1" customHeight="1">
      <c r="A1076" s="319"/>
      <c r="B1076" s="319" t="str">
        <f t="shared" si="85"/>
        <v>Oleo (#6) - gal</v>
      </c>
      <c r="C1076" s="319" t="str">
        <f t="shared" si="87"/>
        <v>Gaz natural - térm.</v>
      </c>
      <c r="D1076" s="851" t="s">
        <v>6153</v>
      </c>
      <c r="E1076" s="319" t="str">
        <f>E1091</f>
        <v>Outro</v>
      </c>
      <c r="F1076" s="319">
        <v>16</v>
      </c>
      <c r="G1076" s="468" t="str">
        <f>Language!C127</f>
        <v>Compressor</v>
      </c>
      <c r="H1076" s="470">
        <v>1</v>
      </c>
      <c r="I1076" s="319" t="s">
        <v>6139</v>
      </c>
      <c r="J1076" s="3">
        <v>1</v>
      </c>
      <c r="K1076" s="319" t="str">
        <f>Language!C1991</f>
        <v>Energia solar térmica</v>
      </c>
      <c r="L1076" s="319"/>
      <c r="M1076" s="319" t="s">
        <v>6151</v>
      </c>
      <c r="N1076" s="319"/>
      <c r="O1076" s="319"/>
      <c r="P1076" s="319" t="str">
        <f t="shared" si="88"/>
        <v>Gaz natural - térm.</v>
      </c>
      <c r="Q1076" s="319" t="str">
        <f t="shared" ref="Q1076:T1082" si="89">L1189</f>
        <v>Gás Natural</v>
      </c>
      <c r="R1076" s="319" t="str">
        <f t="shared" si="89"/>
        <v>térm.</v>
      </c>
      <c r="S1076" s="476">
        <f t="shared" si="89"/>
        <v>29.307107017222215</v>
      </c>
      <c r="T1076" s="319" t="str">
        <f t="shared" si="89"/>
        <v>€/térm.</v>
      </c>
      <c r="V1076" s="319"/>
      <c r="W1076" s="319"/>
      <c r="X1076" s="319"/>
      <c r="Y1076" s="319"/>
      <c r="Z1076" s="319" t="str">
        <f>Language!C1372</f>
        <v>m</v>
      </c>
      <c r="AA1076" s="319">
        <v>1</v>
      </c>
      <c r="AB1076" s="319"/>
      <c r="AC1076" s="319" t="str">
        <f>Language!C2205</f>
        <v>pé³/s/mi²</v>
      </c>
      <c r="AD1076" s="481">
        <v>91.464566929133895</v>
      </c>
      <c r="AE1076" s="319"/>
      <c r="AF1076" s="319"/>
      <c r="AG1076" s="319"/>
      <c r="AH1076" s="319"/>
      <c r="AI1076" s="319"/>
      <c r="AJ1076" s="319"/>
      <c r="AK1076" s="319"/>
      <c r="AL1076" s="319"/>
      <c r="AM1076" s="319"/>
      <c r="AN1076" s="319"/>
      <c r="AO1076" s="587"/>
      <c r="AP1076" s="319"/>
      <c r="AQ1076" s="319"/>
      <c r="AR1076" s="319"/>
      <c r="AS1076" s="319"/>
      <c r="AT1076" s="319"/>
      <c r="AU1076" s="319"/>
      <c r="AV1076" s="319"/>
      <c r="AW1076" s="319"/>
      <c r="AX1076" s="319"/>
      <c r="AY1076" s="319"/>
      <c r="AZ1076" s="319"/>
      <c r="BA1076" s="319"/>
      <c r="BB1076" s="319"/>
      <c r="BC1076" s="319"/>
      <c r="BD1076" s="319"/>
      <c r="BE1076" s="319"/>
      <c r="BF1076" s="319"/>
      <c r="BG1076" s="319"/>
      <c r="BH1076" s="319"/>
      <c r="BI1076" s="319"/>
      <c r="BJ1076" s="319"/>
      <c r="BK1076" s="319"/>
      <c r="BL1076" s="319"/>
      <c r="BM1076" s="319"/>
      <c r="BN1076" s="319"/>
      <c r="BO1076" s="319"/>
      <c r="BP1076" s="319"/>
      <c r="BQ1076" s="319"/>
      <c r="BR1076" s="319"/>
      <c r="BS1076" s="319"/>
      <c r="BT1076" s="319"/>
      <c r="BU1076" s="319"/>
      <c r="BV1076" s="319"/>
      <c r="BW1076" s="319"/>
      <c r="BX1076" s="319"/>
      <c r="BY1076" s="319"/>
      <c r="BZ1076" s="319"/>
      <c r="CA1076" s="319"/>
      <c r="CB1076" s="319"/>
      <c r="CC1076" s="319"/>
      <c r="CD1076" s="319"/>
      <c r="CE1076" s="319"/>
      <c r="CF1076" s="319"/>
    </row>
    <row r="1077" spans="1:84" ht="13.5" hidden="1" customHeight="1">
      <c r="A1077" s="319"/>
      <c r="B1077" s="319" t="str">
        <f t="shared" si="85"/>
        <v>Oleo (#6) - L</v>
      </c>
      <c r="C1077" s="319" t="str">
        <f t="shared" si="87"/>
        <v>Oleo (#6) - gal</v>
      </c>
      <c r="D1077" s="851" t="s">
        <v>6409</v>
      </c>
      <c r="E1077" s="319" t="str">
        <f>E1092</f>
        <v>Não necessário</v>
      </c>
      <c r="F1077" s="319">
        <v>7</v>
      </c>
      <c r="G1077" s="450" t="str">
        <f>E1083</f>
        <v>Bomba de calor</v>
      </c>
      <c r="H1077" s="471">
        <v>1</v>
      </c>
      <c r="I1077" s="319" t="s">
        <v>6412</v>
      </c>
      <c r="J1077" s="3">
        <v>1</v>
      </c>
      <c r="K1077" s="319"/>
      <c r="L1077" s="319"/>
      <c r="M1077" s="319"/>
      <c r="N1077" s="319"/>
      <c r="O1077" s="319"/>
      <c r="P1077" s="319" t="str">
        <f t="shared" si="88"/>
        <v>Oleo (#6) - gal</v>
      </c>
      <c r="Q1077" s="319" t="str">
        <f t="shared" si="89"/>
        <v>Óleo (#6)</v>
      </c>
      <c r="R1077" s="319" t="str">
        <f t="shared" si="89"/>
        <v>gal</v>
      </c>
      <c r="S1077" s="476">
        <f t="shared" si="89"/>
        <v>40.682051659889886</v>
      </c>
      <c r="T1077" s="319" t="str">
        <f t="shared" si="89"/>
        <v>€/gal</v>
      </c>
      <c r="U1077" s="319"/>
      <c r="V1077" s="319"/>
      <c r="W1077" s="319"/>
      <c r="X1077" s="319"/>
      <c r="Y1077" s="319"/>
      <c r="Z1077" s="319" t="str">
        <f>Language!C1327</f>
        <v>pe</v>
      </c>
      <c r="AA1077" s="319">
        <v>0.30479999999999996</v>
      </c>
      <c r="AB1077" s="319"/>
      <c r="AC1077" s="319"/>
      <c r="AD1077" s="319"/>
      <c r="AE1077" s="319"/>
      <c r="AF1077" s="319"/>
      <c r="AG1077" s="319"/>
      <c r="AH1077" s="319"/>
      <c r="AI1077" s="319"/>
      <c r="AJ1077" s="319"/>
      <c r="AK1077" s="319"/>
      <c r="AL1077" s="319"/>
      <c r="AM1077" s="319"/>
      <c r="AN1077" s="319"/>
      <c r="AO1077" s="587"/>
      <c r="AP1077" s="319"/>
      <c r="AQ1077" s="319"/>
      <c r="AR1077" s="319"/>
      <c r="AS1077" s="319"/>
      <c r="AT1077" s="319"/>
      <c r="AU1077" s="319"/>
      <c r="AV1077" s="319"/>
      <c r="AW1077" s="319"/>
      <c r="AX1077" s="319"/>
      <c r="AY1077" s="319"/>
      <c r="AZ1077" s="319"/>
      <c r="BA1077" s="319"/>
      <c r="BB1077" s="319"/>
      <c r="BC1077" s="319"/>
      <c r="BD1077" s="319"/>
      <c r="BE1077" s="319"/>
      <c r="BF1077" s="319"/>
      <c r="BG1077" s="319"/>
      <c r="BH1077" s="319"/>
      <c r="BI1077" s="319"/>
      <c r="BJ1077" s="319"/>
      <c r="BK1077" s="319"/>
      <c r="BL1077" s="319"/>
      <c r="BM1077" s="319"/>
      <c r="BN1077" s="319"/>
      <c r="BO1077" s="319"/>
      <c r="BP1077" s="319"/>
      <c r="BQ1077" s="319"/>
      <c r="BR1077" s="319"/>
      <c r="BS1077" s="319"/>
      <c r="BT1077" s="319"/>
      <c r="BU1077" s="319"/>
      <c r="BV1077" s="319"/>
      <c r="BW1077" s="319"/>
      <c r="BX1077" s="319"/>
      <c r="BY1077" s="319"/>
      <c r="BZ1077" s="319"/>
      <c r="CA1077" s="319"/>
      <c r="CB1077" s="319"/>
      <c r="CC1077" s="319"/>
      <c r="CD1077" s="319"/>
      <c r="CE1077" s="319"/>
      <c r="CF1077" s="319"/>
    </row>
    <row r="1078" spans="1:84" ht="13.5" hidden="1" customHeight="1">
      <c r="A1078" s="319"/>
      <c r="B1078" s="319" t="str">
        <f t="shared" si="85"/>
        <v>Propano - gal</v>
      </c>
      <c r="C1078" s="319" t="str">
        <f t="shared" si="87"/>
        <v>Oleo (#6) - L</v>
      </c>
      <c r="D1078" s="851" t="s">
        <v>5076</v>
      </c>
      <c r="E1078" s="319"/>
      <c r="F1078" s="319"/>
      <c r="G1078" s="450" t="str">
        <f>Language!C128</f>
        <v>Absorção</v>
      </c>
      <c r="H1078" s="471">
        <v>2</v>
      </c>
      <c r="I1078" s="319" t="s">
        <v>147</v>
      </c>
      <c r="J1078" s="3">
        <v>1</v>
      </c>
      <c r="K1078" s="319"/>
      <c r="L1078" s="319"/>
      <c r="M1078" s="319"/>
      <c r="N1078" s="319"/>
      <c r="O1078" s="319"/>
      <c r="P1078" s="319" t="str">
        <f t="shared" si="88"/>
        <v>Oleo (#6) - L</v>
      </c>
      <c r="Q1078" s="319" t="str">
        <f t="shared" si="89"/>
        <v>Óleo (#6)</v>
      </c>
      <c r="R1078" s="319" t="str">
        <f t="shared" si="89"/>
        <v>L</v>
      </c>
      <c r="S1078" s="476">
        <f t="shared" si="89"/>
        <v>10.74706108113333</v>
      </c>
      <c r="T1078" s="319" t="str">
        <f t="shared" si="89"/>
        <v>€/L</v>
      </c>
      <c r="U1078" s="319"/>
      <c r="V1078" s="319"/>
      <c r="W1078" s="319"/>
      <c r="X1078" s="319"/>
      <c r="Y1078" s="319"/>
      <c r="Z1078" s="319" t="str">
        <f>Language!C1366</f>
        <v>L</v>
      </c>
      <c r="AA1078" s="319"/>
      <c r="AB1078" s="319"/>
      <c r="AC1078" s="319" t="str">
        <f>Language!C2238</f>
        <v>m³/s</v>
      </c>
      <c r="AD1078" s="319">
        <v>1</v>
      </c>
      <c r="AE1078" s="319"/>
      <c r="AF1078" s="319"/>
      <c r="AG1078" s="319"/>
      <c r="AH1078" s="319"/>
      <c r="AI1078" s="319"/>
      <c r="AJ1078" s="319"/>
      <c r="AK1078" s="319"/>
      <c r="AL1078" s="319"/>
      <c r="AM1078" s="319"/>
      <c r="AN1078" s="319"/>
      <c r="AO1078" s="587"/>
      <c r="AP1078" s="319"/>
      <c r="AQ1078" s="319"/>
      <c r="AR1078" s="319"/>
      <c r="AS1078" s="319"/>
      <c r="AT1078" s="319"/>
      <c r="AU1078" s="319"/>
      <c r="AV1078" s="319"/>
      <c r="AW1078" s="319"/>
      <c r="AX1078" s="319"/>
      <c r="AY1078" s="319"/>
      <c r="AZ1078" s="319"/>
      <c r="BA1078" s="319"/>
      <c r="BB1078" s="319"/>
      <c r="BC1078" s="319"/>
      <c r="BD1078" s="319"/>
      <c r="BE1078" s="319"/>
      <c r="BF1078" s="319"/>
      <c r="BG1078" s="319"/>
      <c r="BH1078" s="319"/>
      <c r="BI1078" s="319"/>
      <c r="BJ1078" s="319"/>
      <c r="BK1078" s="319"/>
      <c r="BL1078" s="319"/>
      <c r="BM1078" s="319"/>
      <c r="BN1078" s="319"/>
      <c r="BO1078" s="319"/>
      <c r="BP1078" s="319"/>
      <c r="BQ1078" s="319"/>
      <c r="BR1078" s="319"/>
      <c r="BS1078" s="319"/>
      <c r="BT1078" s="319"/>
      <c r="BU1078" s="319"/>
      <c r="BV1078" s="319"/>
      <c r="BW1078" s="319"/>
      <c r="BX1078" s="319"/>
      <c r="BY1078" s="319"/>
      <c r="BZ1078" s="319"/>
      <c r="CA1078" s="319"/>
      <c r="CB1078" s="319"/>
      <c r="CC1078" s="319"/>
      <c r="CD1078" s="319"/>
      <c r="CE1078" s="319"/>
      <c r="CF1078" s="319"/>
    </row>
    <row r="1079" spans="1:84" ht="13.5" hidden="1" customHeight="1">
      <c r="A1079" s="319"/>
      <c r="B1079" s="319" t="str">
        <f t="shared" si="85"/>
        <v>Propano - kg</v>
      </c>
      <c r="C1079" s="319" t="str">
        <f t="shared" si="87"/>
        <v>Propano - gal</v>
      </c>
      <c r="D1079" s="319" t="s">
        <v>6411</v>
      </c>
      <c r="E1079" s="319" t="str">
        <f>Language!C418</f>
        <v>Sistema à biomassa</v>
      </c>
      <c r="F1079" s="319">
        <v>1</v>
      </c>
      <c r="G1079" s="450" t="str">
        <f>Language!C129</f>
        <v>Desumidificador</v>
      </c>
      <c r="H1079" s="471">
        <v>3</v>
      </c>
      <c r="I1079" s="319" t="s">
        <v>6140</v>
      </c>
      <c r="J1079" s="3">
        <v>1</v>
      </c>
      <c r="K1079" s="319"/>
      <c r="L1079" s="319"/>
      <c r="M1079" s="319"/>
      <c r="N1079" s="319"/>
      <c r="O1079" s="319"/>
      <c r="P1079" s="319" t="str">
        <f t="shared" si="88"/>
        <v>Propano - gal</v>
      </c>
      <c r="Q1079" s="319" t="str">
        <f t="shared" si="89"/>
        <v>Propano</v>
      </c>
      <c r="R1079" s="319" t="str">
        <f t="shared" si="89"/>
        <v>gal</v>
      </c>
      <c r="S1079" s="476">
        <f t="shared" si="89"/>
        <v>25.790136664784796</v>
      </c>
      <c r="T1079" s="319" t="str">
        <f t="shared" si="89"/>
        <v>€/gal</v>
      </c>
      <c r="U1079" s="319"/>
      <c r="V1079" s="319"/>
      <c r="W1079" s="319"/>
      <c r="X1079" s="319"/>
      <c r="Y1079" s="319"/>
      <c r="Z1079" s="319" t="str">
        <f>Language!C1334</f>
        <v>gal</v>
      </c>
      <c r="AA1079" s="319">
        <f>Ferramentas!G781</f>
        <v>3.7854117839999999</v>
      </c>
      <c r="AB1079" s="319"/>
      <c r="AC1079" s="319" t="str">
        <f>Language!C2204</f>
        <v>pé³/s</v>
      </c>
      <c r="AD1079" s="669">
        <v>35.314666721488599</v>
      </c>
      <c r="AE1079" s="319"/>
      <c r="AF1079" s="319"/>
      <c r="AG1079" s="319"/>
      <c r="AH1079" s="319"/>
      <c r="AI1079" s="319"/>
      <c r="AJ1079" s="319"/>
      <c r="AK1079" s="319"/>
      <c r="AL1079" s="319"/>
      <c r="AM1079" s="319"/>
      <c r="AN1079" s="319"/>
      <c r="AO1079" s="587"/>
      <c r="AP1079" s="319"/>
      <c r="AQ1079" s="319"/>
      <c r="AR1079" s="319"/>
      <c r="AS1079" s="319"/>
      <c r="AT1079" s="319"/>
      <c r="AU1079" s="319"/>
      <c r="AV1079" s="319"/>
      <c r="AW1079" s="319"/>
      <c r="AX1079" s="319"/>
      <c r="AY1079" s="319"/>
      <c r="AZ1079" s="319"/>
      <c r="BA1079" s="319"/>
      <c r="BB1079" s="319"/>
      <c r="BC1079" s="319"/>
      <c r="BD1079" s="319"/>
      <c r="BE1079" s="319"/>
      <c r="BF1079" s="319"/>
      <c r="BG1079" s="319"/>
      <c r="BH1079" s="319"/>
      <c r="BI1079" s="319"/>
      <c r="BJ1079" s="319"/>
      <c r="BK1079" s="319"/>
      <c r="BL1079" s="319"/>
      <c r="BM1079" s="319"/>
      <c r="BN1079" s="319"/>
      <c r="BO1079" s="319"/>
      <c r="BP1079" s="319"/>
      <c r="BQ1079" s="319"/>
      <c r="BR1079" s="319"/>
      <c r="BS1079" s="319"/>
      <c r="BT1079" s="319"/>
      <c r="BU1079" s="319"/>
      <c r="BV1079" s="319"/>
      <c r="BW1079" s="319"/>
      <c r="BX1079" s="319"/>
      <c r="BY1079" s="319"/>
      <c r="BZ1079" s="319"/>
      <c r="CA1079" s="319"/>
      <c r="CB1079" s="319"/>
      <c r="CC1079" s="319"/>
      <c r="CD1079" s="319"/>
      <c r="CE1079" s="319"/>
      <c r="CF1079" s="319"/>
    </row>
    <row r="1080" spans="1:84" ht="13.5" hidden="1" customHeight="1">
      <c r="A1080" s="319"/>
      <c r="B1080" s="319" t="str">
        <f t="shared" si="85"/>
        <v>Propano - L</v>
      </c>
      <c r="C1080" s="319" t="str">
        <f t="shared" si="87"/>
        <v>Propano - kg</v>
      </c>
      <c r="D1080" s="319" t="s">
        <v>6412</v>
      </c>
      <c r="E1080" s="319" t="str">
        <f>Language!C417</f>
        <v>Caldeira</v>
      </c>
      <c r="F1080" s="319">
        <v>2</v>
      </c>
      <c r="G1080" s="450" t="str">
        <f>Language!C1281</f>
        <v>Refrigeração Natural</v>
      </c>
      <c r="H1080" s="471">
        <v>4</v>
      </c>
      <c r="I1080" s="319" t="s">
        <v>7153</v>
      </c>
      <c r="J1080" s="3">
        <v>1</v>
      </c>
      <c r="K1080" s="319"/>
      <c r="L1080" s="319"/>
      <c r="M1080" s="319"/>
      <c r="N1080" s="319"/>
      <c r="O1080" s="319"/>
      <c r="P1080" s="319" t="str">
        <f t="shared" si="88"/>
        <v>Propano - kg</v>
      </c>
      <c r="Q1080" s="319" t="str">
        <f t="shared" si="89"/>
        <v>Propano</v>
      </c>
      <c r="R1080" s="319" t="str">
        <f t="shared" si="89"/>
        <v>kg</v>
      </c>
      <c r="S1080" s="476">
        <f t="shared" si="89"/>
        <v>13.358888888888888</v>
      </c>
      <c r="T1080" s="319" t="str">
        <f t="shared" si="89"/>
        <v>€/kg</v>
      </c>
      <c r="U1080" s="319"/>
      <c r="V1080" s="319"/>
      <c r="W1080" s="319"/>
      <c r="X1080" s="319"/>
      <c r="Y1080" s="319"/>
      <c r="Z1080" s="319"/>
      <c r="AA1080" s="319"/>
      <c r="AB1080" s="319"/>
      <c r="AC1080" s="319" t="str">
        <f>Language!C1374</f>
        <v>m²</v>
      </c>
      <c r="AD1080" s="319"/>
      <c r="AE1080" s="319"/>
      <c r="AF1080" s="319"/>
      <c r="AG1080" s="319"/>
      <c r="AH1080" s="319"/>
      <c r="AI1080" s="319"/>
      <c r="AJ1080" s="319"/>
      <c r="AK1080" s="319"/>
      <c r="AL1080" s="319"/>
      <c r="AM1080" s="319"/>
      <c r="AN1080" s="319"/>
      <c r="AO1080" s="587"/>
      <c r="AP1080" s="319"/>
      <c r="AQ1080" s="319"/>
      <c r="AR1080" s="319"/>
      <c r="AS1080" s="319"/>
      <c r="AT1080" s="319"/>
      <c r="AU1080" s="319"/>
      <c r="AV1080" s="319"/>
      <c r="AW1080" s="319"/>
      <c r="AX1080" s="319"/>
      <c r="AY1080" s="319"/>
      <c r="AZ1080" s="319"/>
      <c r="BA1080" s="319"/>
      <c r="BB1080" s="319"/>
      <c r="BC1080" s="319"/>
      <c r="BD1080" s="319"/>
      <c r="BE1080" s="319"/>
      <c r="BF1080" s="319"/>
      <c r="BG1080" s="319"/>
      <c r="BH1080" s="319"/>
      <c r="BI1080" s="319"/>
      <c r="BJ1080" s="319"/>
      <c r="BK1080" s="319"/>
      <c r="BL1080" s="319"/>
      <c r="BM1080" s="319"/>
      <c r="BN1080" s="319"/>
      <c r="BO1080" s="319"/>
      <c r="BP1080" s="319"/>
      <c r="BQ1080" s="319"/>
      <c r="BR1080" s="319"/>
      <c r="BS1080" s="319"/>
      <c r="BT1080" s="319"/>
      <c r="BU1080" s="319"/>
      <c r="BV1080" s="319"/>
      <c r="BW1080" s="319"/>
      <c r="BX1080" s="319"/>
      <c r="BY1080" s="319"/>
      <c r="BZ1080" s="319"/>
      <c r="CA1080" s="319"/>
      <c r="CB1080" s="319"/>
      <c r="CC1080" s="319"/>
      <c r="CD1080" s="319"/>
      <c r="CE1080" s="319"/>
      <c r="CF1080" s="319"/>
    </row>
    <row r="1081" spans="1:84" ht="13.5" hidden="1" customHeight="1">
      <c r="A1081" s="319"/>
      <c r="B1081" s="319" t="str">
        <f t="shared" si="85"/>
        <v>Combustível definido pelo usuário</v>
      </c>
      <c r="C1081" s="319" t="str">
        <f t="shared" si="87"/>
        <v>Propano - L</v>
      </c>
      <c r="D1081" s="319" t="s">
        <v>6408</v>
      </c>
      <c r="E1081" s="319" t="str">
        <f>Language!C419</f>
        <v>Forno</v>
      </c>
      <c r="F1081" s="319">
        <v>3</v>
      </c>
      <c r="G1081" s="472" t="str">
        <f>Language!C130</f>
        <v>Não necessário</v>
      </c>
      <c r="H1081" s="473">
        <v>5</v>
      </c>
      <c r="I1081" s="319"/>
      <c r="J1081" s="3">
        <v>1</v>
      </c>
      <c r="K1081" s="319"/>
      <c r="L1081" s="319"/>
      <c r="M1081" s="319"/>
      <c r="N1081" s="319"/>
      <c r="O1081" s="319"/>
      <c r="P1081" s="319" t="str">
        <f t="shared" si="88"/>
        <v>Propano - L</v>
      </c>
      <c r="Q1081" s="319" t="str">
        <f t="shared" si="89"/>
        <v>Propano</v>
      </c>
      <c r="R1081" s="319" t="str">
        <f t="shared" si="89"/>
        <v>L</v>
      </c>
      <c r="S1081" s="476">
        <f t="shared" si="89"/>
        <v>6.8130333333333333</v>
      </c>
      <c r="T1081" s="319" t="str">
        <f t="shared" si="89"/>
        <v>€/L</v>
      </c>
      <c r="U1081" s="319"/>
      <c r="V1081" s="319"/>
      <c r="W1081" s="319"/>
      <c r="X1081" s="319"/>
      <c r="Y1081" s="319"/>
      <c r="Z1081" s="319" t="str">
        <f>Language!C1361</f>
        <v>kJ/kWh</v>
      </c>
      <c r="AA1081" s="319">
        <f>'Carga e Rede'!E272</f>
        <v>1</v>
      </c>
      <c r="AB1081" s="319"/>
      <c r="AC1081" s="319" t="str">
        <f>Language!C1329</f>
        <v>pe²</v>
      </c>
      <c r="AD1081" s="319">
        <v>10.763910416709725</v>
      </c>
      <c r="AE1081" s="319"/>
      <c r="AF1081" s="319"/>
      <c r="AG1081" s="319"/>
      <c r="AH1081" s="319"/>
      <c r="AI1081" s="319"/>
      <c r="AJ1081" s="319"/>
      <c r="AK1081" s="319"/>
      <c r="AL1081" s="319"/>
      <c r="AM1081" s="319"/>
      <c r="AN1081" s="319"/>
      <c r="AO1081" s="587"/>
      <c r="AP1081" s="319"/>
      <c r="AQ1081" s="319"/>
      <c r="AR1081" s="319"/>
      <c r="AS1081" s="319"/>
      <c r="AT1081" s="319"/>
      <c r="AU1081" s="319"/>
      <c r="AV1081" s="319"/>
      <c r="AW1081" s="319"/>
      <c r="AX1081" s="319"/>
      <c r="AY1081" s="319"/>
      <c r="AZ1081" s="319"/>
      <c r="BA1081" s="319"/>
      <c r="BB1081" s="319"/>
      <c r="BC1081" s="319"/>
      <c r="BD1081" s="319"/>
      <c r="BE1081" s="319"/>
      <c r="BF1081" s="319"/>
      <c r="BG1081" s="319"/>
      <c r="BH1081" s="319"/>
      <c r="BI1081" s="319"/>
      <c r="BJ1081" s="319"/>
      <c r="BK1081" s="319"/>
      <c r="BL1081" s="319"/>
      <c r="BM1081" s="319"/>
      <c r="BN1081" s="319"/>
      <c r="BO1081" s="319"/>
      <c r="BP1081" s="319"/>
      <c r="BQ1081" s="319"/>
      <c r="BR1081" s="319"/>
      <c r="BS1081" s="319"/>
      <c r="BT1081" s="319"/>
      <c r="BU1081" s="319"/>
      <c r="BV1081" s="319"/>
      <c r="BW1081" s="319"/>
      <c r="BX1081" s="319"/>
      <c r="BY1081" s="319"/>
      <c r="BZ1081" s="319"/>
      <c r="CA1081" s="319"/>
      <c r="CB1081" s="319"/>
      <c r="CC1081" s="319"/>
      <c r="CD1081" s="319"/>
      <c r="CE1081" s="319"/>
      <c r="CF1081" s="319"/>
    </row>
    <row r="1082" spans="1:84" ht="13.5" hidden="1" customHeight="1">
      <c r="A1082" s="319"/>
      <c r="B1082" s="319" t="str">
        <f>Language!C130</f>
        <v>Não necessário</v>
      </c>
      <c r="C1082" s="319" t="str">
        <f t="shared" si="87"/>
        <v>Combustível definido pelo usuário</v>
      </c>
      <c r="D1082" s="319" t="s">
        <v>6410</v>
      </c>
      <c r="E1082" s="319" t="str">
        <f>Language!C420</f>
        <v>Aquecedores de fluido térmico</v>
      </c>
      <c r="F1082" s="319">
        <v>5</v>
      </c>
      <c r="G1082" s="319"/>
      <c r="H1082" s="319"/>
      <c r="I1082" s="319"/>
      <c r="J1082" s="3">
        <v>1</v>
      </c>
      <c r="K1082" s="319"/>
      <c r="L1082" s="319"/>
      <c r="M1082" s="319"/>
      <c r="N1082" s="319"/>
      <c r="O1082" s="319"/>
      <c r="P1082" s="319" t="str">
        <f t="shared" si="88"/>
        <v>Combustível definido pelo usuário</v>
      </c>
      <c r="Q1082" s="319" t="str">
        <f t="shared" si="89"/>
        <v>Combustível definido pelo usuário</v>
      </c>
      <c r="R1082" s="319" t="str">
        <f t="shared" si="89"/>
        <v>kg</v>
      </c>
      <c r="S1082" s="476">
        <f t="shared" si="89"/>
        <v>5.5555555555555554</v>
      </c>
      <c r="T1082" s="319" t="str">
        <f t="shared" si="89"/>
        <v>€/kg</v>
      </c>
      <c r="U1082" s="319"/>
      <c r="V1082" s="319"/>
      <c r="W1082" s="319"/>
      <c r="X1082" s="319"/>
      <c r="Y1082" s="319"/>
      <c r="Z1082" s="319" t="str">
        <f>Language!C1324</f>
        <v>Btu/kWh</v>
      </c>
      <c r="AA1082" s="319">
        <f>'Carga e Rede'!E273</f>
        <v>1.0550558526199998</v>
      </c>
      <c r="AB1082" s="319">
        <f>AA1082*1000</f>
        <v>1055.0558526199998</v>
      </c>
      <c r="AC1082" s="319"/>
      <c r="AD1082" s="319"/>
      <c r="AE1082" s="319"/>
      <c r="AF1082" s="319"/>
      <c r="AG1082" s="319"/>
      <c r="AH1082" s="319"/>
      <c r="AI1082" s="319"/>
      <c r="AJ1082" s="319"/>
      <c r="AK1082" s="319"/>
      <c r="AL1082" s="319"/>
      <c r="AM1082" s="319"/>
      <c r="AN1082" s="319"/>
      <c r="AO1082" s="587"/>
      <c r="AP1082" s="319"/>
      <c r="AQ1082" s="319"/>
      <c r="AR1082" s="319"/>
      <c r="AS1082" s="319"/>
      <c r="AT1082" s="319"/>
      <c r="AU1082" s="319"/>
      <c r="AV1082" s="319"/>
      <c r="AW1082" s="319"/>
      <c r="AX1082" s="319"/>
      <c r="AY1082" s="319"/>
      <c r="AZ1082" s="319"/>
      <c r="BA1082" s="319"/>
      <c r="BB1082" s="319"/>
      <c r="BC1082" s="319"/>
      <c r="BD1082" s="319"/>
      <c r="BE1082" s="319"/>
      <c r="BF1082" s="319"/>
      <c r="BG1082" s="319"/>
      <c r="BH1082" s="319"/>
      <c r="BI1082" s="319"/>
      <c r="BJ1082" s="319"/>
      <c r="BK1082" s="319"/>
      <c r="BL1082" s="319"/>
      <c r="BM1082" s="319"/>
      <c r="BN1082" s="319"/>
      <c r="BO1082" s="319"/>
      <c r="BP1082" s="319"/>
      <c r="BQ1082" s="319"/>
      <c r="BR1082" s="319"/>
      <c r="BS1082" s="319"/>
      <c r="BT1082" s="319"/>
      <c r="BU1082" s="319"/>
      <c r="BV1082" s="319"/>
      <c r="BW1082" s="319"/>
      <c r="BX1082" s="319"/>
      <c r="BY1082" s="319"/>
      <c r="BZ1082" s="319"/>
      <c r="CA1082" s="319"/>
      <c r="CB1082" s="319"/>
      <c r="CC1082" s="319"/>
      <c r="CD1082" s="319"/>
      <c r="CE1082" s="319"/>
      <c r="CF1082" s="319"/>
    </row>
    <row r="1083" spans="1:84" ht="13.5" hidden="1" customHeight="1">
      <c r="A1083" s="319"/>
      <c r="B1083" s="319"/>
      <c r="C1083" s="319"/>
      <c r="D1083" s="319" t="s">
        <v>6153</v>
      </c>
      <c r="E1083" s="319" t="str">
        <f>Language!C421</f>
        <v>Bomba de calor</v>
      </c>
      <c r="F1083" s="319">
        <v>4</v>
      </c>
      <c r="G1083" s="318" t="s">
        <v>3267</v>
      </c>
      <c r="H1083" s="319"/>
      <c r="I1083" s="319"/>
      <c r="J1083" s="3">
        <v>1</v>
      </c>
      <c r="K1083" s="319"/>
      <c r="L1083" s="319"/>
      <c r="M1083" s="319"/>
      <c r="N1083" s="319"/>
      <c r="O1083" s="319"/>
      <c r="P1083" s="319" t="str">
        <f t="shared" si="88"/>
        <v>Refrigeração Natural</v>
      </c>
      <c r="Q1083" s="319" t="str">
        <f>L1196</f>
        <v>Refrigeração Natural</v>
      </c>
      <c r="R1083" s="319" t="s">
        <v>708</v>
      </c>
      <c r="S1083" s="476">
        <f t="shared" ref="S1083:T1085" si="90">N1196</f>
        <v>1000</v>
      </c>
      <c r="T1083" s="319" t="str">
        <f t="shared" si="90"/>
        <v>-</v>
      </c>
      <c r="U1083" s="319"/>
      <c r="V1083" s="319"/>
      <c r="W1083" s="319"/>
      <c r="X1083" s="319"/>
      <c r="Y1083" s="319"/>
      <c r="Z1083" s="319"/>
      <c r="AA1083" s="319"/>
      <c r="AB1083" s="319"/>
      <c r="AC1083" s="319" t="str">
        <f>Language!C1410</f>
        <v>tCO2/MWh</v>
      </c>
      <c r="AD1083" s="319"/>
      <c r="AE1083" s="319"/>
      <c r="AF1083" s="319"/>
      <c r="AG1083" s="319"/>
      <c r="AH1083" s="319"/>
      <c r="AI1083" s="319"/>
      <c r="AJ1083" s="319"/>
      <c r="AK1083" s="319"/>
      <c r="AL1083" s="319"/>
      <c r="AM1083" s="319"/>
      <c r="AN1083" s="319"/>
      <c r="AO1083" s="587"/>
      <c r="AP1083" s="319"/>
      <c r="AQ1083" s="319"/>
      <c r="AR1083" s="319"/>
      <c r="AS1083" s="319"/>
      <c r="AT1083" s="319"/>
      <c r="AU1083" s="319"/>
      <c r="AV1083" s="319"/>
      <c r="AW1083" s="319"/>
      <c r="AX1083" s="319"/>
      <c r="AY1083" s="319"/>
      <c r="AZ1083" s="319"/>
      <c r="BA1083" s="319"/>
      <c r="BB1083" s="319"/>
      <c r="BC1083" s="319"/>
      <c r="BD1083" s="319"/>
      <c r="BE1083" s="319"/>
      <c r="BF1083" s="319"/>
      <c r="BG1083" s="319"/>
      <c r="BH1083" s="319"/>
      <c r="BI1083" s="319"/>
      <c r="BJ1083" s="319"/>
      <c r="BK1083" s="319"/>
      <c r="BL1083" s="319"/>
      <c r="BM1083" s="319"/>
      <c r="BN1083" s="319"/>
      <c r="BO1083" s="319"/>
      <c r="BP1083" s="319"/>
      <c r="BQ1083" s="319"/>
      <c r="BR1083" s="319"/>
      <c r="BS1083" s="319"/>
      <c r="BT1083" s="319"/>
      <c r="BU1083" s="319"/>
      <c r="BV1083" s="319"/>
      <c r="BW1083" s="319"/>
      <c r="BX1083" s="319"/>
      <c r="BY1083" s="319"/>
      <c r="BZ1083" s="319"/>
      <c r="CA1083" s="319"/>
      <c r="CB1083" s="319"/>
      <c r="CC1083" s="319"/>
      <c r="CD1083" s="319"/>
      <c r="CE1083" s="319"/>
      <c r="CF1083" s="319"/>
    </row>
    <row r="1084" spans="1:84" ht="13.5" hidden="1" customHeight="1">
      <c r="A1084" s="319"/>
      <c r="B1084" s="319"/>
      <c r="C1084" s="319"/>
      <c r="D1084" s="319" t="s">
        <v>6409</v>
      </c>
      <c r="E1084" s="319" t="str">
        <f>E1091</f>
        <v>Outro</v>
      </c>
      <c r="F1084" s="319">
        <v>16</v>
      </c>
      <c r="G1084" s="319" t="str">
        <f>Language!C479</f>
        <v>Eletricidade não pode ser expertada para o grid</v>
      </c>
      <c r="H1084" s="319"/>
      <c r="I1084" s="319"/>
      <c r="J1084" s="3">
        <v>1</v>
      </c>
      <c r="K1084" s="319"/>
      <c r="L1084" s="319"/>
      <c r="M1084" s="319"/>
      <c r="N1084" s="319"/>
      <c r="O1084" s="319"/>
      <c r="P1084" s="319" t="str">
        <f t="shared" si="88"/>
        <v>Sistema de produção de eletricidade</v>
      </c>
      <c r="Q1084" s="319" t="str">
        <f>L1197</f>
        <v>Sistema de produção de eletricidade</v>
      </c>
      <c r="R1084" s="319" t="s">
        <v>708</v>
      </c>
      <c r="S1084" s="476">
        <f t="shared" si="90"/>
        <v>1000</v>
      </c>
      <c r="T1084" s="319" t="str">
        <f t="shared" si="90"/>
        <v>€/MWh</v>
      </c>
      <c r="U1084" s="319">
        <f>SUMIF($R$960:$R$961,Q1084,$U$960:$U$961)</f>
        <v>0</v>
      </c>
      <c r="V1084" s="319"/>
      <c r="W1084" s="319"/>
      <c r="X1084" s="319"/>
      <c r="Y1084" s="319"/>
      <c r="Z1084" s="319" t="str">
        <f>Language!C1355</f>
        <v>kg/h</v>
      </c>
      <c r="AA1084" s="319">
        <v>1</v>
      </c>
      <c r="AB1084" s="319"/>
      <c r="AC1084" s="319" t="str">
        <f>Language!C1353</f>
        <v>kgCO2/kWh</v>
      </c>
      <c r="AD1084" s="319"/>
      <c r="AE1084" s="319"/>
      <c r="AF1084" s="319"/>
      <c r="AG1084" s="319"/>
      <c r="AH1084" s="319"/>
      <c r="AI1084" s="319"/>
      <c r="AJ1084" s="319"/>
      <c r="AK1084" s="319"/>
      <c r="AL1084" s="319"/>
      <c r="AM1084" s="319"/>
      <c r="AN1084" s="319"/>
      <c r="AO1084" s="587"/>
      <c r="AP1084" s="319"/>
      <c r="AQ1084" s="319"/>
      <c r="AR1084" s="319"/>
      <c r="AS1084" s="319"/>
      <c r="AT1084" s="319"/>
      <c r="AU1084" s="319"/>
      <c r="AV1084" s="319"/>
      <c r="AW1084" s="319"/>
      <c r="AX1084" s="319"/>
      <c r="AY1084" s="319"/>
      <c r="AZ1084" s="319"/>
      <c r="BA1084" s="319"/>
      <c r="BB1084" s="319"/>
      <c r="BC1084" s="319"/>
      <c r="BD1084" s="319"/>
      <c r="BE1084" s="319"/>
      <c r="BF1084" s="319"/>
      <c r="BG1084" s="319"/>
      <c r="BH1084" s="319"/>
      <c r="BI1084" s="319"/>
      <c r="BJ1084" s="319"/>
      <c r="BK1084" s="319"/>
      <c r="BL1084" s="319"/>
      <c r="BM1084" s="319"/>
      <c r="BN1084" s="319"/>
      <c r="BO1084" s="319"/>
      <c r="BP1084" s="319"/>
      <c r="BQ1084" s="319"/>
      <c r="BR1084" s="319"/>
      <c r="BS1084" s="319"/>
      <c r="BT1084" s="319"/>
      <c r="BU1084" s="319"/>
      <c r="BV1084" s="319"/>
      <c r="BW1084" s="319"/>
      <c r="BX1084" s="319"/>
      <c r="BY1084" s="319"/>
      <c r="BZ1084" s="319"/>
      <c r="CA1084" s="319"/>
      <c r="CB1084" s="319"/>
      <c r="CC1084" s="319"/>
      <c r="CD1084" s="319"/>
      <c r="CE1084" s="319"/>
      <c r="CF1084" s="319"/>
    </row>
    <row r="1085" spans="1:84" ht="13.5" hidden="1" customHeight="1">
      <c r="A1085" s="319"/>
      <c r="B1085" s="319" t="str">
        <f>Language!C1811</f>
        <v xml:space="preserve">Método 1 </v>
      </c>
      <c r="C1085" s="319" t="str">
        <f>Language!C1306</f>
        <v>%</v>
      </c>
      <c r="D1085" s="319"/>
      <c r="E1085" s="319"/>
      <c r="F1085" s="319"/>
      <c r="G1085" s="319" t="str">
        <f>Language!C480</f>
        <v>A potência elétrica do sistema excede a carga mínima do sistema isolado</v>
      </c>
      <c r="H1085" s="319"/>
      <c r="I1085" s="319"/>
      <c r="J1085" s="3"/>
      <c r="K1085" s="319"/>
      <c r="L1085" s="319"/>
      <c r="M1085" s="319"/>
      <c r="N1085" s="319"/>
      <c r="O1085" s="319"/>
      <c r="P1085" s="319" t="str">
        <f t="shared" si="88"/>
        <v>Sistema de Aquecimento</v>
      </c>
      <c r="Q1085" s="319" t="str">
        <f>L1198</f>
        <v>Sistema de Aquecimento</v>
      </c>
      <c r="R1085" s="319" t="s">
        <v>708</v>
      </c>
      <c r="S1085" s="476">
        <f t="shared" si="90"/>
        <v>1000</v>
      </c>
      <c r="T1085" s="319" t="str">
        <f t="shared" si="90"/>
        <v>€/MWh</v>
      </c>
      <c r="U1085" s="319">
        <f>SUMIF($R$960:$R$961,Q1085,$U$960:$U$961)</f>
        <v>0</v>
      </c>
      <c r="V1085" s="319"/>
      <c r="W1085" s="319"/>
      <c r="X1085" s="319"/>
      <c r="Y1085" s="319"/>
      <c r="Z1085" s="319" t="str">
        <f>Language!C1368</f>
        <v>lb/h</v>
      </c>
      <c r="AA1085" s="319">
        <f>Ferramentas!G719</f>
        <v>0.45359237000000002</v>
      </c>
      <c r="AB1085" s="319"/>
      <c r="AC1085" s="319"/>
      <c r="AD1085" s="319"/>
      <c r="AE1085" s="319"/>
      <c r="AF1085" s="319"/>
      <c r="AG1085" s="319"/>
      <c r="AH1085" s="319"/>
      <c r="AI1085" s="319"/>
      <c r="AJ1085" s="319"/>
      <c r="AK1085" s="319"/>
      <c r="AL1085" s="319"/>
      <c r="AM1085" s="319"/>
      <c r="AN1085" s="319"/>
      <c r="AO1085" s="587"/>
      <c r="AP1085" s="319"/>
      <c r="AQ1085" s="319"/>
      <c r="AR1085" s="319"/>
      <c r="AS1085" s="319"/>
      <c r="AT1085" s="319"/>
      <c r="AU1085" s="319"/>
      <c r="AV1085" s="319"/>
      <c r="AW1085" s="319"/>
      <c r="AX1085" s="319"/>
      <c r="AY1085" s="319"/>
      <c r="AZ1085" s="319"/>
      <c r="BA1085" s="319"/>
      <c r="BB1085" s="319"/>
      <c r="BC1085" s="319"/>
      <c r="BD1085" s="319"/>
      <c r="BE1085" s="319"/>
      <c r="BF1085" s="319"/>
      <c r="BG1085" s="319"/>
      <c r="BH1085" s="319"/>
      <c r="BI1085" s="319"/>
      <c r="BJ1085" s="319"/>
      <c r="BK1085" s="319"/>
      <c r="BL1085" s="319"/>
      <c r="BM1085" s="319"/>
      <c r="BN1085" s="319"/>
      <c r="BO1085" s="319"/>
      <c r="BP1085" s="319"/>
      <c r="BQ1085" s="319"/>
      <c r="BR1085" s="319"/>
      <c r="BS1085" s="319"/>
      <c r="BT1085" s="319"/>
      <c r="BU1085" s="319"/>
      <c r="BV1085" s="319"/>
      <c r="BW1085" s="319"/>
      <c r="BX1085" s="319"/>
      <c r="BY1085" s="319"/>
      <c r="BZ1085" s="319"/>
      <c r="CA1085" s="319"/>
      <c r="CB1085" s="319"/>
      <c r="CC1085" s="319"/>
      <c r="CD1085" s="319"/>
      <c r="CE1085" s="319"/>
      <c r="CF1085" s="319"/>
    </row>
    <row r="1086" spans="1:84" ht="13.5" hidden="1" customHeight="1">
      <c r="A1086" s="319"/>
      <c r="B1086" s="319" t="str">
        <f>Language!C1812</f>
        <v xml:space="preserve">Método 2 </v>
      </c>
      <c r="C1086" s="319" t="str">
        <f>Language!C1361</f>
        <v>kJ/kWh</v>
      </c>
      <c r="D1086" s="319"/>
      <c r="E1086" s="319"/>
      <c r="F1086" s="319"/>
      <c r="G1086" s="319" t="str">
        <f>Language!C237</f>
        <v>Sistema de ponta necessário</v>
      </c>
      <c r="H1086" s="319"/>
      <c r="I1086" s="319"/>
      <c r="J1086" s="923"/>
      <c r="K1086" s="319"/>
      <c r="L1086" s="319"/>
      <c r="M1086" s="319"/>
      <c r="N1086" s="319"/>
      <c r="O1086" s="319"/>
      <c r="P1086" s="319"/>
      <c r="Q1086" s="319"/>
      <c r="R1086" s="319"/>
      <c r="S1086" s="319"/>
      <c r="T1086" s="319"/>
      <c r="U1086" s="319"/>
      <c r="V1086" s="319"/>
      <c r="W1086" s="319"/>
      <c r="X1086" s="319"/>
      <c r="Y1086" s="319"/>
      <c r="Z1086" s="319" t="str">
        <f>Language!C1364</f>
        <v>kW</v>
      </c>
      <c r="AA1086" s="319">
        <f>'Carga e Rede'!E269</f>
        <v>1</v>
      </c>
      <c r="AB1086" s="319"/>
      <c r="AC1086" s="319"/>
      <c r="AD1086" s="319"/>
      <c r="AE1086" s="319"/>
      <c r="AF1086" s="319"/>
      <c r="AG1086" s="319"/>
      <c r="AH1086" s="319"/>
      <c r="AI1086" s="319"/>
      <c r="AJ1086" s="319"/>
      <c r="AK1086" s="319"/>
      <c r="AL1086" s="319"/>
      <c r="AM1086" s="319"/>
      <c r="AN1086" s="319"/>
      <c r="AO1086" s="587"/>
      <c r="AP1086" s="319"/>
      <c r="AQ1086" s="319"/>
      <c r="AR1086" s="319"/>
      <c r="AS1086" s="319"/>
      <c r="AT1086" s="319"/>
      <c r="AU1086" s="319"/>
      <c r="AV1086" s="319"/>
      <c r="AW1086" s="319"/>
      <c r="AX1086" s="319"/>
      <c r="AY1086" s="319"/>
      <c r="AZ1086" s="319"/>
      <c r="BA1086" s="319"/>
      <c r="BB1086" s="319"/>
      <c r="BC1086" s="319"/>
      <c r="BD1086" s="319"/>
      <c r="BE1086" s="319"/>
      <c r="BF1086" s="319"/>
      <c r="BG1086" s="319"/>
      <c r="BH1086" s="319"/>
      <c r="BI1086" s="319"/>
      <c r="BJ1086" s="319"/>
      <c r="BK1086" s="319"/>
      <c r="BL1086" s="319"/>
      <c r="BM1086" s="319"/>
      <c r="BN1086" s="319"/>
      <c r="BO1086" s="319"/>
      <c r="BP1086" s="319"/>
      <c r="BQ1086" s="319"/>
      <c r="BR1086" s="319"/>
      <c r="BS1086" s="319"/>
      <c r="BT1086" s="319"/>
      <c r="BU1086" s="319"/>
      <c r="BV1086" s="319"/>
      <c r="BW1086" s="319"/>
      <c r="BX1086" s="319"/>
      <c r="BY1086" s="319"/>
      <c r="BZ1086" s="319"/>
      <c r="CA1086" s="319"/>
      <c r="CB1086" s="319"/>
      <c r="CC1086" s="319"/>
      <c r="CD1086" s="319"/>
      <c r="CE1086" s="319"/>
      <c r="CF1086" s="319"/>
    </row>
    <row r="1087" spans="1:84" ht="13.5" hidden="1" customHeight="1">
      <c r="A1087" s="319"/>
      <c r="B1087" s="319" t="str">
        <f>Language!C1813</f>
        <v>Método 3</v>
      </c>
      <c r="C1087" s="319" t="str">
        <f>Z1082</f>
        <v>Btu/kWh</v>
      </c>
      <c r="D1087" s="319"/>
      <c r="E1087" s="319"/>
      <c r="F1087" s="319"/>
      <c r="G1087" s="319" t="str">
        <f>Language!C236</f>
        <v>Sistema de ponta não requerido</v>
      </c>
      <c r="H1087" s="319"/>
      <c r="I1087" s="319"/>
      <c r="J1087" s="923">
        <v>0</v>
      </c>
      <c r="K1087" s="319"/>
      <c r="L1087" s="319"/>
      <c r="M1087" s="319"/>
      <c r="N1087" s="319"/>
      <c r="O1087" s="319"/>
      <c r="P1087" s="319" t="str">
        <f>Language!C153</f>
        <v>Potência elétr.máx.de saída</v>
      </c>
      <c r="Q1087" s="319"/>
      <c r="R1087" s="319" t="str">
        <f>P1087</f>
        <v>Potência elétr.máx.de saída</v>
      </c>
      <c r="S1087" s="319"/>
      <c r="T1087" s="319"/>
      <c r="U1087" s="319"/>
      <c r="V1087" s="319"/>
      <c r="W1087" s="319"/>
      <c r="X1087" s="319"/>
      <c r="Y1087" s="319"/>
      <c r="Z1087" s="319" t="str">
        <f>Language!C1383</f>
        <v>milhão Btu/h</v>
      </c>
      <c r="AA1087" s="319">
        <f>'Carga e Rede'!E270</f>
        <v>3.4121416331279429E-3</v>
      </c>
      <c r="AB1087" s="319">
        <f>'Carga e Rede'!F270</f>
        <v>3.4121416331279431</v>
      </c>
      <c r="AC1087" s="319"/>
      <c r="AD1087" s="319"/>
      <c r="AE1087" s="319"/>
      <c r="AF1087" s="319"/>
      <c r="AG1087" s="319"/>
      <c r="AH1087" s="319"/>
      <c r="AI1087" s="319"/>
      <c r="AJ1087" s="319"/>
      <c r="AK1087" s="319"/>
      <c r="AL1087" s="319"/>
      <c r="AM1087" s="319"/>
      <c r="AN1087" s="319"/>
      <c r="AO1087" s="587"/>
      <c r="AP1087" s="319"/>
      <c r="AQ1087" s="319"/>
      <c r="AR1087" s="319"/>
      <c r="AS1087" s="319"/>
      <c r="AT1087" s="319"/>
      <c r="AU1087" s="319"/>
      <c r="AV1087" s="319"/>
      <c r="AW1087" s="319"/>
      <c r="AX1087" s="319"/>
      <c r="AY1087" s="319"/>
      <c r="AZ1087" s="319"/>
      <c r="BA1087" s="319"/>
      <c r="BB1087" s="319"/>
      <c r="BC1087" s="319"/>
      <c r="BD1087" s="319"/>
      <c r="BE1087" s="319"/>
      <c r="BF1087" s="319"/>
      <c r="BG1087" s="319"/>
      <c r="BH1087" s="319"/>
      <c r="BI1087" s="319"/>
      <c r="BJ1087" s="319"/>
      <c r="BK1087" s="319"/>
      <c r="BL1087" s="319"/>
      <c r="BM1087" s="319"/>
      <c r="BN1087" s="319"/>
      <c r="BO1087" s="319"/>
      <c r="BP1087" s="319"/>
      <c r="BQ1087" s="319"/>
      <c r="BR1087" s="319"/>
      <c r="BS1087" s="319"/>
      <c r="BT1087" s="319"/>
      <c r="BU1087" s="319"/>
      <c r="BV1087" s="319"/>
      <c r="BW1087" s="319"/>
      <c r="BX1087" s="319"/>
      <c r="BY1087" s="319"/>
      <c r="BZ1087" s="319"/>
      <c r="CA1087" s="319"/>
      <c r="CB1087" s="319"/>
      <c r="CC1087" s="319"/>
      <c r="CD1087" s="319"/>
      <c r="CE1087" s="319"/>
      <c r="CF1087" s="319"/>
    </row>
    <row r="1088" spans="1:84" ht="13.5" hidden="1" customHeight="1">
      <c r="A1088" s="319"/>
      <c r="B1088" s="319"/>
      <c r="C1088" s="319"/>
      <c r="D1088" s="319"/>
      <c r="E1088" s="319" t="str">
        <f>Language!C95</f>
        <v>Eletricidade da Rede</v>
      </c>
      <c r="F1088" s="319"/>
      <c r="G1088" s="319" t="str">
        <f>Language!C481</f>
        <v>Pressão está fora do intervalo válido</v>
      </c>
      <c r="H1088" s="319"/>
      <c r="I1088" s="319"/>
      <c r="J1088" s="923">
        <v>0</v>
      </c>
      <c r="K1088" s="319"/>
      <c r="L1088" s="319"/>
      <c r="M1088" s="319"/>
      <c r="N1088" s="319"/>
      <c r="O1088" s="319"/>
      <c r="P1088" s="319" t="str">
        <f>Language!C154</f>
        <v>Acompanhando carga elétrica</v>
      </c>
      <c r="Q1088" s="319"/>
      <c r="R1088" s="319" t="str">
        <f>P1088</f>
        <v>Acompanhando carga elétrica</v>
      </c>
      <c r="S1088" s="319"/>
      <c r="T1088" s="319"/>
      <c r="U1088" s="319"/>
      <c r="V1088" s="319"/>
      <c r="W1088" s="319"/>
      <c r="X1088" s="319"/>
      <c r="Y1088" s="319"/>
      <c r="Z1088" s="319" t="str">
        <f>Language!C1403</f>
        <v>TR</v>
      </c>
      <c r="AA1088" s="319">
        <f>'Carga e Rede'!E271</f>
        <v>0.28434513609399525</v>
      </c>
      <c r="AB1088" s="319">
        <f>'Carga e Rede'!F271</f>
        <v>284.34513609399528</v>
      </c>
      <c r="AC1088" s="319"/>
      <c r="AD1088" s="319"/>
      <c r="AE1088" s="319"/>
      <c r="AF1088" s="319"/>
      <c r="AG1088" s="319"/>
      <c r="AH1088" s="319"/>
      <c r="AI1088" s="319"/>
      <c r="AJ1088" s="319"/>
      <c r="AK1088" s="319"/>
      <c r="AL1088" s="319"/>
      <c r="AM1088" s="319"/>
      <c r="AN1088" s="319"/>
      <c r="AO1088" s="587"/>
      <c r="AP1088" s="319"/>
      <c r="AQ1088" s="319"/>
      <c r="AR1088" s="319"/>
      <c r="AS1088" s="319"/>
      <c r="AT1088" s="319"/>
      <c r="AU1088" s="319"/>
      <c r="AV1088" s="319"/>
      <c r="AW1088" s="319"/>
      <c r="AX1088" s="319"/>
      <c r="AY1088" s="319"/>
      <c r="AZ1088" s="319"/>
      <c r="BA1088" s="319"/>
      <c r="BB1088" s="319"/>
      <c r="BC1088" s="319"/>
      <c r="BD1088" s="319"/>
      <c r="BE1088" s="319"/>
      <c r="BF1088" s="319"/>
      <c r="BG1088" s="319"/>
      <c r="BH1088" s="319"/>
      <c r="BI1088" s="319"/>
      <c r="BJ1088" s="319"/>
      <c r="BK1088" s="319"/>
      <c r="BL1088" s="319"/>
      <c r="BM1088" s="319"/>
      <c r="BN1088" s="319"/>
      <c r="BO1088" s="319"/>
      <c r="BP1088" s="319"/>
      <c r="BQ1088" s="319"/>
      <c r="BR1088" s="319"/>
      <c r="BS1088" s="319"/>
      <c r="BT1088" s="319"/>
      <c r="BU1088" s="319"/>
      <c r="BV1088" s="319"/>
      <c r="BW1088" s="319"/>
      <c r="BX1088" s="319"/>
      <c r="BY1088" s="319"/>
      <c r="BZ1088" s="319"/>
      <c r="CA1088" s="319"/>
      <c r="CB1088" s="319"/>
      <c r="CC1088" s="319"/>
      <c r="CD1088" s="319"/>
      <c r="CE1088" s="319"/>
      <c r="CF1088" s="319"/>
    </row>
    <row r="1089" spans="1:84" ht="13.5" hidden="1" customHeight="1">
      <c r="A1089" s="319"/>
      <c r="B1089" s="319"/>
      <c r="C1089" s="319"/>
      <c r="D1089" s="319"/>
      <c r="E1089" s="319" t="str">
        <f>Language!C133</f>
        <v>Motor recíproco</v>
      </c>
      <c r="F1089" s="319"/>
      <c r="G1089" s="319" t="str">
        <f>Language!C482</f>
        <v>Temp do vapor abaixo do ponto de saturação</v>
      </c>
      <c r="H1089" s="319"/>
      <c r="I1089" s="319"/>
      <c r="J1089" s="923">
        <v>0</v>
      </c>
      <c r="K1089" s="319"/>
      <c r="L1089" s="319"/>
      <c r="M1089" s="319"/>
      <c r="N1089" s="319"/>
      <c r="O1089" s="319"/>
      <c r="P1089" s="319" t="str">
        <f>Language!C155</f>
        <v>Acompanhando a carga de calor</v>
      </c>
      <c r="Q1089" s="319"/>
      <c r="R1089" s="319" t="str">
        <f>P1089</f>
        <v>Acompanhando a carga de calor</v>
      </c>
      <c r="S1089" s="319"/>
      <c r="T1089" s="319"/>
      <c r="U1089" s="319"/>
      <c r="V1089" s="319"/>
      <c r="W1089" s="319"/>
      <c r="X1089" s="319"/>
      <c r="Y1089" s="319"/>
      <c r="Z1089" s="319" t="str">
        <f>Language!C1310</f>
        <v>°C</v>
      </c>
      <c r="AA1089" s="319">
        <v>1</v>
      </c>
      <c r="AB1089" s="319"/>
      <c r="AC1089" s="319"/>
      <c r="AD1089" s="319"/>
      <c r="AE1089" s="319"/>
      <c r="AF1089" s="319"/>
      <c r="AG1089" s="319"/>
      <c r="AH1089" s="319"/>
      <c r="AI1089" s="319"/>
      <c r="AJ1089" s="319"/>
      <c r="AK1089" s="319"/>
      <c r="AL1089" s="319"/>
      <c r="AM1089" s="319"/>
      <c r="AN1089" s="319"/>
      <c r="AO1089" s="587"/>
      <c r="AP1089" s="319"/>
      <c r="AQ1089" s="319"/>
      <c r="AR1089" s="319"/>
      <c r="AS1089" s="319"/>
      <c r="AT1089" s="319"/>
      <c r="AU1089" s="319"/>
      <c r="AV1089" s="319"/>
      <c r="AW1089" s="319"/>
      <c r="AX1089" s="319"/>
      <c r="AY1089" s="319"/>
      <c r="AZ1089" s="319"/>
      <c r="BA1089" s="319"/>
      <c r="BB1089" s="319"/>
      <c r="BC1089" s="319"/>
      <c r="BD1089" s="319"/>
      <c r="BE1089" s="319"/>
      <c r="BF1089" s="319"/>
      <c r="BG1089" s="319"/>
      <c r="BH1089" s="319"/>
      <c r="BI1089" s="319"/>
      <c r="BJ1089" s="319"/>
      <c r="BK1089" s="319"/>
      <c r="BL1089" s="319"/>
      <c r="BM1089" s="319"/>
      <c r="BN1089" s="319"/>
      <c r="BO1089" s="319"/>
      <c r="BP1089" s="319"/>
      <c r="BQ1089" s="319"/>
      <c r="BR1089" s="319"/>
      <c r="BS1089" s="319"/>
      <c r="BT1089" s="319"/>
      <c r="BU1089" s="319"/>
      <c r="BV1089" s="319"/>
      <c r="BW1089" s="319"/>
      <c r="BX1089" s="319"/>
      <c r="BY1089" s="319"/>
      <c r="BZ1089" s="319"/>
      <c r="CA1089" s="319"/>
      <c r="CB1089" s="319"/>
      <c r="CC1089" s="319"/>
      <c r="CD1089" s="319"/>
      <c r="CE1089" s="319"/>
      <c r="CF1089" s="319"/>
    </row>
    <row r="1090" spans="1:84" ht="13.5" hidden="1" customHeight="1">
      <c r="A1090" s="319"/>
      <c r="B1090" s="319"/>
      <c r="C1090" s="319"/>
      <c r="D1090" s="319"/>
      <c r="E1090" s="319" t="str">
        <f>Language!C134</f>
        <v>Turbina à gas</v>
      </c>
      <c r="F1090" s="319"/>
      <c r="G1090" s="319" t="str">
        <f>Language!C483</f>
        <v>Equaçoes de vapor não são válidas</v>
      </c>
      <c r="H1090" s="319"/>
      <c r="I1090" s="319"/>
      <c r="J1090" s="923">
        <v>0</v>
      </c>
      <c r="K1090" s="319"/>
      <c r="L1090" s="319"/>
      <c r="M1090" s="319"/>
      <c r="N1090" s="319"/>
      <c r="O1090" s="319"/>
      <c r="P1090" s="319"/>
      <c r="Q1090" s="319"/>
      <c r="R1090" s="319"/>
      <c r="S1090" s="319"/>
      <c r="T1090" s="319"/>
      <c r="U1090" s="319"/>
      <c r="V1090" s="319"/>
      <c r="W1090" s="319"/>
      <c r="X1090" s="319"/>
      <c r="Y1090" s="319"/>
      <c r="Z1090" s="319" t="str">
        <f>Language!C1315</f>
        <v>K</v>
      </c>
      <c r="AA1090" s="319">
        <f>Ferramentas!F776</f>
        <v>273.14999999999998</v>
      </c>
      <c r="AB1090" s="319"/>
      <c r="AC1090" s="319"/>
      <c r="AD1090" s="319"/>
      <c r="AE1090" s="319"/>
      <c r="AF1090" s="319"/>
      <c r="AG1090" s="319"/>
      <c r="AH1090" s="319"/>
      <c r="AI1090" s="319"/>
      <c r="AJ1090" s="319"/>
      <c r="AK1090" s="319"/>
      <c r="AL1090" s="319"/>
      <c r="AM1090" s="319"/>
      <c r="AN1090" s="319"/>
      <c r="AO1090" s="587"/>
      <c r="AP1090" s="319"/>
      <c r="AQ1090" s="319"/>
      <c r="AR1090" s="319"/>
      <c r="AS1090" s="319"/>
      <c r="AT1090" s="319"/>
      <c r="AU1090" s="319"/>
      <c r="AV1090" s="319"/>
      <c r="AW1090" s="319"/>
      <c r="AX1090" s="319"/>
      <c r="AY1090" s="319"/>
      <c r="AZ1090" s="319"/>
      <c r="BA1090" s="319"/>
      <c r="BB1090" s="319"/>
      <c r="BC1090" s="319"/>
      <c r="BD1090" s="319"/>
      <c r="BE1090" s="319"/>
      <c r="BF1090" s="319"/>
      <c r="BG1090" s="319"/>
      <c r="BH1090" s="319"/>
      <c r="BI1090" s="319"/>
      <c r="BJ1090" s="319"/>
      <c r="BK1090" s="319"/>
      <c r="BL1090" s="319"/>
      <c r="BM1090" s="319"/>
      <c r="BN1090" s="319"/>
      <c r="BO1090" s="319"/>
      <c r="BP1090" s="319"/>
      <c r="BQ1090" s="319"/>
      <c r="BR1090" s="319"/>
      <c r="BS1090" s="319"/>
      <c r="BT1090" s="319"/>
      <c r="BU1090" s="319"/>
      <c r="BV1090" s="319"/>
      <c r="BW1090" s="319"/>
      <c r="BX1090" s="319"/>
      <c r="BY1090" s="319"/>
      <c r="BZ1090" s="319"/>
      <c r="CA1090" s="319"/>
      <c r="CB1090" s="319"/>
      <c r="CC1090" s="319"/>
      <c r="CD1090" s="319"/>
      <c r="CE1090" s="319"/>
      <c r="CF1090" s="319"/>
    </row>
    <row r="1091" spans="1:84" ht="13.5" hidden="1" customHeight="1">
      <c r="A1091" s="319"/>
      <c r="B1091" s="319"/>
      <c r="C1091" s="319"/>
      <c r="D1091" s="319"/>
      <c r="E1091" s="319" t="str">
        <f>Language!C142</f>
        <v>Outro</v>
      </c>
      <c r="F1091" s="319"/>
      <c r="G1091" s="319" t="str">
        <f>Language!C484</f>
        <v>Vapor está húmido</v>
      </c>
      <c r="H1091" s="319"/>
      <c r="I1091" s="319"/>
      <c r="J1091" s="923">
        <v>0</v>
      </c>
      <c r="K1091" s="319"/>
      <c r="L1091" s="319"/>
      <c r="M1091" s="319"/>
      <c r="N1091" s="319"/>
      <c r="O1091" s="319"/>
      <c r="P1091" s="319" t="str">
        <f>Equip_PowerType</f>
        <v>Fotovoltaica</v>
      </c>
      <c r="Q1091" s="319"/>
      <c r="R1091" s="319"/>
      <c r="S1091" s="319"/>
      <c r="T1091" s="319"/>
      <c r="U1091" s="319"/>
      <c r="V1091" s="319"/>
      <c r="W1091" s="319"/>
      <c r="X1091" s="319"/>
      <c r="Y1091" s="319"/>
      <c r="Z1091" s="319" t="str">
        <f>Language!C1388</f>
        <v>MJ/kg</v>
      </c>
      <c r="AA1091" s="319">
        <v>1</v>
      </c>
      <c r="AB1091" s="319"/>
      <c r="AC1091" s="319"/>
      <c r="AD1091" s="319"/>
      <c r="AE1091" s="319"/>
      <c r="AF1091" s="319"/>
      <c r="AG1091" s="319"/>
      <c r="AH1091" s="319"/>
      <c r="AI1091" s="319"/>
      <c r="AJ1091" s="319"/>
      <c r="AK1091" s="319"/>
      <c r="AL1091" s="319"/>
      <c r="AM1091" s="319"/>
      <c r="AN1091" s="319"/>
      <c r="AO1091" s="587"/>
      <c r="AP1091" s="319"/>
      <c r="AQ1091" s="319"/>
      <c r="AR1091" s="319"/>
      <c r="AS1091" s="319"/>
      <c r="AT1091" s="319"/>
      <c r="AU1091" s="319"/>
      <c r="AV1091" s="319"/>
      <c r="AW1091" s="319"/>
      <c r="AX1091" s="319"/>
      <c r="AY1091" s="319"/>
      <c r="AZ1091" s="319"/>
      <c r="BA1091" s="319"/>
      <c r="BB1091" s="319"/>
      <c r="BC1091" s="319"/>
      <c r="BD1091" s="319"/>
      <c r="BE1091" s="319"/>
      <c r="BF1091" s="319"/>
      <c r="BG1091" s="319"/>
      <c r="BH1091" s="319"/>
      <c r="BI1091" s="319"/>
      <c r="BJ1091" s="319"/>
      <c r="BK1091" s="319"/>
      <c r="BL1091" s="319"/>
      <c r="BM1091" s="319"/>
      <c r="BN1091" s="319"/>
      <c r="BO1091" s="319"/>
      <c r="BP1091" s="319"/>
      <c r="BQ1091" s="319"/>
      <c r="BR1091" s="319"/>
      <c r="BS1091" s="319"/>
      <c r="BT1091" s="319"/>
      <c r="BU1091" s="319"/>
      <c r="BV1091" s="319"/>
      <c r="BW1091" s="319"/>
      <c r="BX1091" s="319"/>
      <c r="BY1091" s="319"/>
      <c r="BZ1091" s="319"/>
      <c r="CA1091" s="319"/>
      <c r="CB1091" s="319"/>
      <c r="CC1091" s="319"/>
      <c r="CD1091" s="319"/>
      <c r="CE1091" s="319"/>
      <c r="CF1091" s="319"/>
    </row>
    <row r="1092" spans="1:84" ht="13.5" hidden="1" customHeight="1">
      <c r="A1092" s="319"/>
      <c r="B1092" s="319"/>
      <c r="C1092" s="319"/>
      <c r="D1092" s="319"/>
      <c r="E1092" s="319" t="str">
        <f>Language!C130</f>
        <v>Não necessário</v>
      </c>
      <c r="F1092" s="319"/>
      <c r="G1092" s="319" t="str">
        <f>Language!C485</f>
        <v>Pressão não válida</v>
      </c>
      <c r="H1092" s="319"/>
      <c r="I1092" s="319"/>
      <c r="J1092" s="319"/>
      <c r="K1092" s="319"/>
      <c r="L1092" s="319"/>
      <c r="M1092" s="319"/>
      <c r="N1092" s="319"/>
      <c r="O1092" s="319"/>
      <c r="P1092" s="319" t="str">
        <f>C550</f>
        <v>Turbina à gas</v>
      </c>
      <c r="Q1092" s="319"/>
      <c r="R1092" s="319"/>
      <c r="S1092" s="319"/>
      <c r="T1092" s="319"/>
      <c r="U1092" s="319"/>
      <c r="V1092" s="319"/>
      <c r="W1092" s="319"/>
      <c r="X1092" s="319"/>
      <c r="Y1092" s="319"/>
      <c r="Z1092" s="319" t="str">
        <f>Language!C1325</f>
        <v>Btu/lb</v>
      </c>
      <c r="AA1092" s="319">
        <f>AA1085/AA1082*1000</f>
        <v>429.9226139294928</v>
      </c>
      <c r="AB1092" s="319"/>
      <c r="AC1092" s="319"/>
      <c r="AD1092" s="319"/>
      <c r="AE1092" s="319"/>
      <c r="AF1092" s="319"/>
      <c r="AG1092" s="319"/>
      <c r="AH1092" s="319"/>
      <c r="AI1092" s="319"/>
      <c r="AJ1092" s="319"/>
      <c r="AK1092" s="319"/>
      <c r="AL1092" s="319"/>
      <c r="AM1092" s="319"/>
      <c r="AN1092" s="319"/>
      <c r="AO1092" s="587"/>
      <c r="AP1092" s="319"/>
      <c r="AQ1092" s="319"/>
      <c r="AR1092" s="319"/>
      <c r="AS1092" s="319"/>
      <c r="AT1092" s="319"/>
      <c r="AU1092" s="319"/>
      <c r="AV1092" s="319"/>
      <c r="AW1092" s="319"/>
      <c r="AX1092" s="319"/>
      <c r="AY1092" s="319"/>
      <c r="AZ1092" s="319"/>
      <c r="BA1092" s="319"/>
      <c r="BB1092" s="319"/>
      <c r="BC1092" s="319"/>
      <c r="BD1092" s="319"/>
      <c r="BE1092" s="319"/>
      <c r="BF1092" s="319"/>
      <c r="BG1092" s="319"/>
      <c r="BH1092" s="319"/>
      <c r="BI1092" s="319"/>
      <c r="BJ1092" s="319"/>
      <c r="BK1092" s="319"/>
      <c r="BL1092" s="319"/>
      <c r="BM1092" s="319"/>
      <c r="BN1092" s="319"/>
      <c r="BO1092" s="319"/>
      <c r="BP1092" s="319"/>
      <c r="BQ1092" s="319"/>
      <c r="BR1092" s="319"/>
      <c r="BS1092" s="319"/>
      <c r="BT1092" s="319"/>
      <c r="BU1092" s="319"/>
      <c r="BV1092" s="319"/>
      <c r="BW1092" s="319"/>
      <c r="BX1092" s="319"/>
      <c r="BY1092" s="319"/>
      <c r="BZ1092" s="319"/>
      <c r="CA1092" s="319"/>
      <c r="CB1092" s="319"/>
      <c r="CC1092" s="319"/>
      <c r="CD1092" s="319"/>
      <c r="CE1092" s="319"/>
      <c r="CF1092" s="319"/>
    </row>
    <row r="1093" spans="1:84" ht="13.5" hidden="1" customHeight="1">
      <c r="A1093" s="319"/>
      <c r="B1093" s="319"/>
      <c r="C1093" s="319"/>
      <c r="D1093" s="319"/>
      <c r="E1093" s="319"/>
      <c r="F1093" s="319"/>
      <c r="G1093" s="319" t="str">
        <f>B86</f>
        <v>Temperatura de saturação</v>
      </c>
      <c r="H1093" s="319"/>
      <c r="I1093" s="319"/>
      <c r="J1093" s="319"/>
      <c r="K1093" s="319"/>
      <c r="L1093" s="319"/>
      <c r="M1093" s="319"/>
      <c r="N1093" s="319"/>
      <c r="O1093" s="319"/>
      <c r="P1093" s="319"/>
      <c r="Q1093" s="319"/>
      <c r="R1093" s="319"/>
      <c r="S1093" s="319"/>
      <c r="T1093" s="319"/>
      <c r="U1093" s="319"/>
      <c r="V1093" s="319"/>
      <c r="W1093" s="319"/>
      <c r="X1093" s="319"/>
      <c r="Y1093" s="319"/>
      <c r="Z1093" s="319" t="str">
        <f>Language!C1406</f>
        <v>SteamP</v>
      </c>
      <c r="AA1093" s="319">
        <v>1.1100000000000001E-3</v>
      </c>
      <c r="AB1093" s="319" t="s">
        <v>1012</v>
      </c>
      <c r="AC1093" s="319"/>
      <c r="AD1093" s="319"/>
      <c r="AE1093" s="319"/>
      <c r="AF1093" s="319"/>
      <c r="AG1093" s="319"/>
      <c r="AH1093" s="319"/>
      <c r="AI1093" s="319"/>
      <c r="AJ1093" s="319"/>
      <c r="AK1093" s="319"/>
      <c r="AL1093" s="319"/>
      <c r="AM1093" s="319"/>
      <c r="AN1093" s="319"/>
      <c r="AO1093" s="587"/>
      <c r="AP1093" s="319"/>
      <c r="AQ1093" s="319"/>
      <c r="AR1093" s="319"/>
      <c r="AS1093" s="319"/>
      <c r="AT1093" s="319"/>
      <c r="AU1093" s="319"/>
      <c r="AV1093" s="319"/>
      <c r="AW1093" s="319"/>
      <c r="AX1093" s="319"/>
      <c r="AY1093" s="319"/>
      <c r="AZ1093" s="319"/>
      <c r="BA1093" s="319"/>
      <c r="BB1093" s="319"/>
      <c r="BC1093" s="319"/>
      <c r="BD1093" s="319"/>
      <c r="BE1093" s="319"/>
      <c r="BF1093" s="319"/>
      <c r="BG1093" s="319"/>
      <c r="BH1093" s="319"/>
      <c r="BI1093" s="319"/>
      <c r="BJ1093" s="319"/>
      <c r="BK1093" s="319"/>
      <c r="BL1093" s="319"/>
      <c r="BM1093" s="319"/>
      <c r="BN1093" s="319"/>
      <c r="BO1093" s="319"/>
      <c r="BP1093" s="319"/>
      <c r="BQ1093" s="319"/>
      <c r="BR1093" s="319"/>
      <c r="BS1093" s="319"/>
      <c r="BT1093" s="319"/>
      <c r="BU1093" s="319"/>
      <c r="BV1093" s="319"/>
      <c r="BW1093" s="319"/>
      <c r="BX1093" s="319"/>
      <c r="BY1093" s="319"/>
      <c r="BZ1093" s="319"/>
      <c r="CA1093" s="319"/>
      <c r="CB1093" s="319"/>
      <c r="CC1093" s="319"/>
      <c r="CD1093" s="319"/>
      <c r="CE1093" s="319"/>
      <c r="CF1093" s="319"/>
    </row>
    <row r="1094" spans="1:84" ht="13.5" hidden="1" customHeight="1">
      <c r="A1094" s="319"/>
      <c r="B1094" s="319"/>
      <c r="C1094" s="319"/>
      <c r="D1094" s="319"/>
      <c r="E1094" s="319" t="str">
        <f>Language!C151</f>
        <v>Sistema de eletricidade #1</v>
      </c>
      <c r="F1094" s="319"/>
      <c r="G1094" s="319" t="str">
        <f>Language!C486</f>
        <v>A soma de combustiveis de totalizar 100%</v>
      </c>
      <c r="H1094" s="319"/>
      <c r="I1094" s="319"/>
      <c r="J1094" s="319"/>
      <c r="K1094" s="319"/>
      <c r="L1094" s="319"/>
      <c r="M1094" s="319"/>
      <c r="N1094" s="319"/>
      <c r="O1094" s="319"/>
      <c r="P1094" s="319"/>
      <c r="Q1094" s="319"/>
      <c r="R1094" s="319"/>
      <c r="S1094" s="319"/>
      <c r="T1094" s="319"/>
      <c r="U1094" s="319"/>
      <c r="V1094" s="319"/>
      <c r="W1094" s="319"/>
      <c r="X1094" s="319"/>
      <c r="Y1094" s="319"/>
      <c r="Z1094" s="319"/>
      <c r="AA1094" s="319"/>
      <c r="AB1094" s="319"/>
      <c r="AC1094" s="319"/>
      <c r="AD1094" s="319"/>
      <c r="AE1094" s="319"/>
      <c r="AF1094" s="319"/>
      <c r="AG1094" s="319"/>
      <c r="AH1094" s="319"/>
      <c r="AI1094" s="319"/>
      <c r="AJ1094" s="319"/>
      <c r="AK1094" s="319"/>
      <c r="AL1094" s="319"/>
      <c r="AM1094" s="319"/>
      <c r="AN1094" s="319"/>
      <c r="AO1094" s="587"/>
      <c r="AP1094" s="319"/>
      <c r="AQ1094" s="319"/>
      <c r="AR1094" s="319"/>
      <c r="AS1094" s="319"/>
      <c r="AT1094" s="319"/>
      <c r="AU1094" s="319"/>
      <c r="AV1094" s="319"/>
      <c r="AW1094" s="319"/>
      <c r="AX1094" s="319"/>
      <c r="AY1094" s="319"/>
      <c r="AZ1094" s="319"/>
      <c r="BA1094" s="319"/>
      <c r="BB1094" s="319"/>
      <c r="BC1094" s="319"/>
      <c r="BD1094" s="319"/>
      <c r="BE1094" s="319"/>
      <c r="BF1094" s="319"/>
      <c r="BG1094" s="319"/>
      <c r="BH1094" s="319"/>
      <c r="BI1094" s="319"/>
      <c r="BJ1094" s="319"/>
      <c r="BK1094" s="319"/>
      <c r="BL1094" s="319"/>
      <c r="BM1094" s="319"/>
      <c r="BN1094" s="319"/>
      <c r="BO1094" s="319"/>
      <c r="BP1094" s="319"/>
      <c r="BQ1094" s="319"/>
      <c r="BR1094" s="319"/>
      <c r="BS1094" s="319"/>
      <c r="BT1094" s="319"/>
      <c r="BU1094" s="319"/>
      <c r="BV1094" s="319"/>
      <c r="BW1094" s="319"/>
      <c r="BX1094" s="319"/>
      <c r="BY1094" s="319"/>
      <c r="BZ1094" s="319"/>
      <c r="CA1094" s="319"/>
      <c r="CB1094" s="319"/>
      <c r="CC1094" s="319"/>
      <c r="CD1094" s="319"/>
      <c r="CE1094" s="319"/>
      <c r="CF1094" s="319"/>
    </row>
    <row r="1095" spans="1:84" ht="13.5" hidden="1" customHeight="1">
      <c r="A1095" s="319"/>
      <c r="B1095" s="319"/>
      <c r="C1095" s="319"/>
      <c r="D1095" s="319"/>
      <c r="E1095" s="319" t="str">
        <f>Language!C152</f>
        <v>Sistema de eletricidade #2</v>
      </c>
      <c r="F1095" s="319"/>
      <c r="G1095" s="319" t="str">
        <f>Language!C487</f>
        <v xml:space="preserve">Capacidade mínima excede a carga média líquida de eletricidade para </v>
      </c>
      <c r="H1095" s="319"/>
      <c r="I1095" s="319"/>
      <c r="J1095" s="319"/>
      <c r="K1095" s="319"/>
      <c r="L1095" s="319"/>
      <c r="M1095" s="319"/>
      <c r="N1095" s="319"/>
      <c r="O1095" s="319"/>
      <c r="P1095" s="319"/>
      <c r="Q1095" s="319"/>
      <c r="R1095" s="319"/>
      <c r="S1095" s="319"/>
      <c r="T1095" s="319"/>
      <c r="U1095" s="319"/>
      <c r="V1095" s="319"/>
      <c r="W1095" s="319"/>
      <c r="X1095" s="319"/>
      <c r="Y1095" s="319"/>
      <c r="Z1095" s="319" t="str">
        <f>Language!C1361</f>
        <v>kJ/kWh</v>
      </c>
      <c r="AA1095" s="319">
        <f>'Carga e Rede'!E272</f>
        <v>1</v>
      </c>
      <c r="AB1095" s="319"/>
      <c r="AC1095" s="319"/>
      <c r="AD1095" s="319"/>
      <c r="AE1095" s="319"/>
      <c r="AF1095" s="319"/>
      <c r="AG1095" s="319"/>
      <c r="AH1095" s="319"/>
      <c r="AI1095" s="319"/>
      <c r="AJ1095" s="319"/>
      <c r="AK1095" s="319"/>
      <c r="AL1095" s="319"/>
      <c r="AM1095" s="319"/>
      <c r="AN1095" s="319"/>
      <c r="AO1095" s="587"/>
      <c r="AP1095" s="319"/>
      <c r="AQ1095" s="319"/>
      <c r="AR1095" s="319"/>
      <c r="AS1095" s="319"/>
      <c r="AT1095" s="319"/>
      <c r="AU1095" s="319"/>
      <c r="AV1095" s="319"/>
      <c r="AW1095" s="319"/>
      <c r="AX1095" s="319"/>
      <c r="AY1095" s="319"/>
      <c r="AZ1095" s="319"/>
      <c r="BA1095" s="319"/>
      <c r="BB1095" s="319"/>
      <c r="BC1095" s="319"/>
      <c r="BD1095" s="319"/>
      <c r="BE1095" s="319"/>
      <c r="BF1095" s="319"/>
      <c r="BG1095" s="319"/>
      <c r="BH1095" s="319"/>
      <c r="BI1095" s="319"/>
      <c r="BJ1095" s="319"/>
      <c r="BK1095" s="319"/>
      <c r="BL1095" s="319"/>
      <c r="BM1095" s="319"/>
      <c r="BN1095" s="319"/>
      <c r="BO1095" s="319"/>
      <c r="BP1095" s="319"/>
      <c r="BQ1095" s="319"/>
      <c r="BR1095" s="319"/>
      <c r="BS1095" s="319"/>
      <c r="BT1095" s="319"/>
      <c r="BU1095" s="319"/>
      <c r="BV1095" s="319"/>
      <c r="BW1095" s="319"/>
      <c r="BX1095" s="319"/>
      <c r="BY1095" s="319"/>
      <c r="BZ1095" s="319"/>
      <c r="CA1095" s="319"/>
      <c r="CB1095" s="319"/>
      <c r="CC1095" s="319"/>
      <c r="CD1095" s="319"/>
      <c r="CE1095" s="319"/>
      <c r="CF1095" s="319"/>
    </row>
    <row r="1096" spans="1:84" ht="13.5" hidden="1" customHeight="1">
      <c r="A1096" s="319"/>
      <c r="B1096" s="319"/>
      <c r="C1096" s="319"/>
      <c r="D1096" s="319"/>
      <c r="E1096" s="319" t="str">
        <f>lang_yes</f>
        <v>Sim</v>
      </c>
      <c r="F1096" s="319"/>
      <c r="G1096" s="319" t="str">
        <f>Language!C488</f>
        <v xml:space="preserve"> mês(es)</v>
      </c>
      <c r="H1096" s="319"/>
      <c r="I1096" s="319"/>
      <c r="J1096" s="319"/>
      <c r="K1096" s="319"/>
      <c r="L1096" s="319"/>
      <c r="M1096" s="319"/>
      <c r="N1096" s="319"/>
      <c r="O1096" s="319"/>
      <c r="P1096" s="319"/>
      <c r="Q1096" s="319"/>
      <c r="R1096" s="319"/>
      <c r="S1096" s="319"/>
      <c r="T1096" s="319"/>
      <c r="U1096" s="319"/>
      <c r="V1096" s="319"/>
      <c r="W1096" s="319"/>
      <c r="X1096" s="319"/>
      <c r="Y1096" s="319"/>
      <c r="Z1096" s="319" t="str">
        <f>Language!C1324</f>
        <v>Btu/kWh</v>
      </c>
      <c r="AA1096" s="319">
        <f>'Carga e Rede'!E273</f>
        <v>1.0550558526199998</v>
      </c>
      <c r="AB1096" s="319"/>
      <c r="AC1096" s="319"/>
      <c r="AD1096" s="319"/>
      <c r="AE1096" s="319"/>
      <c r="AF1096" s="319"/>
      <c r="AG1096" s="319"/>
      <c r="AH1096" s="319"/>
      <c r="AI1096" s="319"/>
      <c r="AJ1096" s="319"/>
      <c r="AK1096" s="319"/>
      <c r="AL1096" s="319"/>
      <c r="AM1096" s="319"/>
      <c r="AN1096" s="319"/>
      <c r="AO1096" s="587"/>
      <c r="AP1096" s="319"/>
      <c r="AQ1096" s="319"/>
      <c r="AR1096" s="319"/>
      <c r="AS1096" s="319"/>
      <c r="AT1096" s="319"/>
      <c r="AU1096" s="319"/>
      <c r="AV1096" s="319"/>
      <c r="AW1096" s="319"/>
      <c r="AX1096" s="319"/>
      <c r="AY1096" s="319"/>
      <c r="AZ1096" s="319"/>
      <c r="BA1096" s="319"/>
      <c r="BB1096" s="319"/>
      <c r="BC1096" s="319"/>
      <c r="BD1096" s="319"/>
      <c r="BE1096" s="319"/>
      <c r="BF1096" s="319"/>
      <c r="BG1096" s="319"/>
      <c r="BH1096" s="319"/>
      <c r="BI1096" s="319"/>
      <c r="BJ1096" s="319"/>
      <c r="BK1096" s="319"/>
      <c r="BL1096" s="319"/>
      <c r="BM1096" s="319"/>
      <c r="BN1096" s="319"/>
      <c r="BO1096" s="319"/>
      <c r="BP1096" s="319"/>
      <c r="BQ1096" s="319"/>
      <c r="BR1096" s="319"/>
      <c r="BS1096" s="319"/>
      <c r="BT1096" s="319"/>
      <c r="BU1096" s="319"/>
      <c r="BV1096" s="319"/>
      <c r="BW1096" s="319"/>
      <c r="BX1096" s="319"/>
      <c r="BY1096" s="319"/>
      <c r="BZ1096" s="319"/>
      <c r="CA1096" s="319"/>
      <c r="CB1096" s="319"/>
      <c r="CC1096" s="319"/>
      <c r="CD1096" s="319"/>
      <c r="CE1096" s="319"/>
      <c r="CF1096" s="319"/>
    </row>
    <row r="1097" spans="1:84" ht="13.5" hidden="1" customHeight="1">
      <c r="A1097" s="319"/>
      <c r="B1097" s="319"/>
      <c r="C1097" s="319"/>
      <c r="D1097" s="319"/>
      <c r="E1097" s="319" t="str">
        <f>lang_no</f>
        <v>Não</v>
      </c>
      <c r="F1097" s="319"/>
      <c r="G1097" s="319" t="str">
        <f>Language!C489</f>
        <v>Combustível auxiliar é necessário</v>
      </c>
      <c r="H1097" s="319"/>
      <c r="I1097" s="319"/>
      <c r="J1097" s="319"/>
      <c r="K1097" s="319"/>
      <c r="L1097" s="319"/>
      <c r="M1097" s="319"/>
      <c r="N1097" s="319"/>
      <c r="O1097" s="319"/>
      <c r="P1097" s="319"/>
      <c r="Q1097" s="319"/>
      <c r="R1097" s="319"/>
      <c r="S1097" s="319"/>
      <c r="T1097" s="319"/>
      <c r="U1097" s="319"/>
      <c r="V1097" s="319"/>
      <c r="W1097" s="319"/>
      <c r="X1097" s="319"/>
      <c r="Y1097" s="319"/>
      <c r="Z1097" s="319" t="str">
        <f>Language!C1364</f>
        <v>kW</v>
      </c>
      <c r="AA1097" s="319">
        <f>'Carga e Rede'!E269</f>
        <v>1</v>
      </c>
      <c r="AB1097" s="319"/>
      <c r="AC1097" s="319"/>
      <c r="AD1097" s="319"/>
      <c r="AE1097" s="319"/>
      <c r="AF1097" s="319"/>
      <c r="AG1097" s="319"/>
      <c r="AH1097" s="319"/>
      <c r="AI1097" s="319"/>
      <c r="AJ1097" s="319"/>
      <c r="AK1097" s="319"/>
      <c r="AL1097" s="319"/>
      <c r="AM1097" s="319"/>
      <c r="AN1097" s="319"/>
      <c r="AO1097" s="587"/>
      <c r="AP1097" s="319"/>
      <c r="AQ1097" s="319"/>
      <c r="AR1097" s="319"/>
      <c r="AS1097" s="319"/>
      <c r="AT1097" s="319"/>
      <c r="AU1097" s="319"/>
      <c r="AV1097" s="319"/>
      <c r="AW1097" s="319"/>
      <c r="AX1097" s="319"/>
      <c r="AY1097" s="319"/>
      <c r="AZ1097" s="319"/>
      <c r="BA1097" s="319"/>
      <c r="BB1097" s="319"/>
      <c r="BC1097" s="319"/>
      <c r="BD1097" s="319"/>
      <c r="BE1097" s="319"/>
      <c r="BF1097" s="319"/>
      <c r="BG1097" s="319"/>
      <c r="BH1097" s="319"/>
      <c r="BI1097" s="319"/>
      <c r="BJ1097" s="319"/>
      <c r="BK1097" s="319"/>
      <c r="BL1097" s="319"/>
      <c r="BM1097" s="319"/>
      <c r="BN1097" s="319"/>
      <c r="BO1097" s="319"/>
      <c r="BP1097" s="319"/>
      <c r="BQ1097" s="319"/>
      <c r="BR1097" s="319"/>
      <c r="BS1097" s="319"/>
      <c r="BT1097" s="319"/>
      <c r="BU1097" s="319"/>
      <c r="BV1097" s="319"/>
      <c r="BW1097" s="319"/>
      <c r="BX1097" s="319"/>
      <c r="BY1097" s="319"/>
      <c r="BZ1097" s="319"/>
      <c r="CA1097" s="319"/>
      <c r="CB1097" s="319"/>
      <c r="CC1097" s="319"/>
      <c r="CD1097" s="319"/>
      <c r="CE1097" s="319"/>
      <c r="CF1097" s="319"/>
    </row>
    <row r="1098" spans="1:84" ht="13.5" hidden="1" customHeight="1">
      <c r="A1098" s="319"/>
      <c r="B1098" s="319"/>
      <c r="C1098" s="319"/>
      <c r="D1098" s="319"/>
      <c r="E1098" s="319" t="str">
        <f>Language!C130</f>
        <v>Não necessário</v>
      </c>
      <c r="F1098" s="319"/>
      <c r="G1098" s="319"/>
      <c r="H1098" s="319"/>
      <c r="I1098" s="319"/>
      <c r="J1098" s="319"/>
      <c r="K1098" s="319"/>
      <c r="L1098" s="319"/>
      <c r="M1098" s="319"/>
      <c r="N1098" s="319"/>
      <c r="O1098" s="319"/>
      <c r="P1098" s="319"/>
      <c r="Q1098" s="319"/>
      <c r="R1098" s="319"/>
      <c r="S1098" s="319"/>
      <c r="T1098" s="319"/>
      <c r="U1098" s="319"/>
      <c r="V1098" s="319"/>
      <c r="W1098" s="319"/>
      <c r="X1098" s="319"/>
      <c r="Y1098" s="319"/>
      <c r="Z1098" s="319" t="str">
        <f>Language!C1383</f>
        <v>milhão Btu/h</v>
      </c>
      <c r="AA1098" s="319">
        <f>'Carga e Rede'!E270</f>
        <v>3.4121416331279429E-3</v>
      </c>
      <c r="AB1098" s="319">
        <f>'Carga e Rede'!F270</f>
        <v>3.4121416331279431</v>
      </c>
      <c r="AC1098" s="319"/>
      <c r="AD1098" s="319"/>
      <c r="AE1098" s="319"/>
      <c r="AF1098" s="319"/>
      <c r="AG1098" s="319"/>
      <c r="AH1098" s="319"/>
      <c r="AI1098" s="319"/>
      <c r="AJ1098" s="319"/>
      <c r="AK1098" s="319"/>
      <c r="AL1098" s="319"/>
      <c r="AM1098" s="319"/>
      <c r="AN1098" s="319"/>
      <c r="AO1098" s="587"/>
      <c r="AP1098" s="319"/>
      <c r="AQ1098" s="319"/>
      <c r="AR1098" s="319"/>
      <c r="AS1098" s="319"/>
      <c r="AT1098" s="319"/>
      <c r="AU1098" s="319"/>
      <c r="AV1098" s="319"/>
      <c r="AW1098" s="319"/>
      <c r="AX1098" s="319"/>
      <c r="AY1098" s="319"/>
      <c r="AZ1098" s="319"/>
      <c r="BA1098" s="319"/>
      <c r="BB1098" s="319"/>
      <c r="BC1098" s="319"/>
      <c r="BD1098" s="319"/>
      <c r="BE1098" s="319"/>
      <c r="BF1098" s="319"/>
      <c r="BG1098" s="319"/>
      <c r="BH1098" s="319"/>
      <c r="BI1098" s="319"/>
      <c r="BJ1098" s="319"/>
      <c r="BK1098" s="319"/>
      <c r="BL1098" s="319"/>
      <c r="BM1098" s="319"/>
      <c r="BN1098" s="319"/>
      <c r="BO1098" s="319"/>
      <c r="BP1098" s="319"/>
      <c r="BQ1098" s="319"/>
      <c r="BR1098" s="319"/>
      <c r="BS1098" s="319"/>
      <c r="BT1098" s="319"/>
      <c r="BU1098" s="319"/>
      <c r="BV1098" s="319"/>
      <c r="BW1098" s="319"/>
      <c r="BX1098" s="319"/>
      <c r="BY1098" s="319"/>
      <c r="BZ1098" s="319"/>
      <c r="CA1098" s="319"/>
      <c r="CB1098" s="319"/>
      <c r="CC1098" s="319"/>
      <c r="CD1098" s="319"/>
      <c r="CE1098" s="319"/>
      <c r="CF1098" s="319"/>
    </row>
    <row r="1099" spans="1:84" ht="13.5" hidden="1" customHeight="1">
      <c r="A1099" s="319"/>
      <c r="B1099" s="319"/>
      <c r="C1099" s="319"/>
      <c r="D1099" s="319"/>
      <c r="E1099" s="319"/>
      <c r="F1099" s="319"/>
      <c r="G1099" s="319"/>
      <c r="H1099" s="319"/>
      <c r="I1099" s="319"/>
      <c r="J1099" s="319"/>
      <c r="K1099" s="319"/>
      <c r="L1099" s="319"/>
      <c r="M1099" s="319"/>
      <c r="N1099" s="319"/>
      <c r="O1099" s="319"/>
      <c r="P1099" s="319"/>
      <c r="Q1099" s="319"/>
      <c r="R1099" s="319"/>
      <c r="S1099" s="319"/>
      <c r="T1099" s="319"/>
      <c r="U1099" s="319"/>
      <c r="V1099" s="319"/>
      <c r="W1099" s="319"/>
      <c r="X1099" s="319"/>
      <c r="Y1099" s="319"/>
      <c r="Z1099" s="319" t="str">
        <f>Language!C1403</f>
        <v>TR</v>
      </c>
      <c r="AA1099" s="319">
        <f>'Carga e Rede'!E271</f>
        <v>0.28434513609399525</v>
      </c>
      <c r="AB1099" s="319">
        <f>'Carga e Rede'!F271</f>
        <v>284.34513609399528</v>
      </c>
      <c r="AC1099" s="319"/>
      <c r="AD1099" s="319"/>
      <c r="AE1099" s="319"/>
      <c r="AF1099" s="319"/>
      <c r="AG1099" s="319"/>
      <c r="AH1099" s="319"/>
      <c r="AI1099" s="319"/>
      <c r="AJ1099" s="319"/>
      <c r="AK1099" s="319"/>
      <c r="AL1099" s="319"/>
      <c r="AM1099" s="319"/>
      <c r="AN1099" s="319"/>
      <c r="AO1099" s="587"/>
      <c r="AP1099" s="319"/>
      <c r="AQ1099" s="319"/>
      <c r="AR1099" s="319"/>
      <c r="AS1099" s="319"/>
      <c r="AT1099" s="319"/>
      <c r="AU1099" s="319"/>
      <c r="AV1099" s="319"/>
      <c r="AW1099" s="319"/>
      <c r="AX1099" s="319"/>
      <c r="AY1099" s="319"/>
      <c r="AZ1099" s="319"/>
      <c r="BA1099" s="319"/>
      <c r="BB1099" s="319"/>
      <c r="BC1099" s="319"/>
      <c r="BD1099" s="319"/>
      <c r="BE1099" s="319"/>
      <c r="BF1099" s="319"/>
      <c r="BG1099" s="319"/>
      <c r="BH1099" s="319"/>
      <c r="BI1099" s="319"/>
      <c r="BJ1099" s="319"/>
      <c r="BK1099" s="319"/>
      <c r="BL1099" s="319"/>
      <c r="BM1099" s="319"/>
      <c r="BN1099" s="319"/>
      <c r="BO1099" s="319"/>
      <c r="BP1099" s="319"/>
      <c r="BQ1099" s="319"/>
      <c r="BR1099" s="319"/>
      <c r="BS1099" s="319"/>
      <c r="BT1099" s="319"/>
      <c r="BU1099" s="319"/>
      <c r="BV1099" s="319"/>
      <c r="BW1099" s="319"/>
      <c r="BX1099" s="319"/>
      <c r="BY1099" s="319"/>
      <c r="BZ1099" s="319"/>
      <c r="CA1099" s="319"/>
      <c r="CB1099" s="319"/>
      <c r="CC1099" s="319"/>
      <c r="CD1099" s="319"/>
      <c r="CE1099" s="319"/>
      <c r="CF1099" s="319"/>
    </row>
    <row r="1100" spans="1:84" ht="13.5" hidden="1" customHeight="1">
      <c r="A1100" s="319"/>
      <c r="B1100" s="319"/>
      <c r="C1100" s="319"/>
      <c r="D1100" s="319"/>
      <c r="E1100" s="319" t="str">
        <f>Language!C149</f>
        <v>Água quente</v>
      </c>
      <c r="F1100" s="319"/>
      <c r="G1100" s="319"/>
      <c r="H1100" s="319"/>
      <c r="I1100" s="319"/>
      <c r="J1100" s="319"/>
      <c r="K1100" s="319"/>
      <c r="L1100" s="319"/>
      <c r="M1100" s="319"/>
      <c r="N1100" s="319"/>
      <c r="O1100" s="319"/>
      <c r="P1100" s="319"/>
      <c r="Q1100" s="319"/>
      <c r="R1100" s="319"/>
      <c r="S1100" s="319"/>
      <c r="T1100" s="319"/>
      <c r="U1100" s="319"/>
      <c r="V1100" s="319"/>
      <c r="W1100" s="319"/>
      <c r="X1100" s="319"/>
      <c r="Y1100" s="319"/>
      <c r="Z1100" s="319"/>
      <c r="AA1100" s="319"/>
      <c r="AB1100" s="319"/>
      <c r="AC1100" s="319"/>
      <c r="AD1100" s="319"/>
      <c r="AE1100" s="319"/>
      <c r="AF1100" s="319"/>
      <c r="AG1100" s="319"/>
      <c r="AH1100" s="319"/>
      <c r="AI1100" s="319"/>
      <c r="AJ1100" s="319"/>
      <c r="AK1100" s="319"/>
      <c r="AL1100" s="319"/>
      <c r="AM1100" s="319"/>
      <c r="AN1100" s="319"/>
      <c r="AO1100" s="587"/>
      <c r="AP1100" s="319"/>
      <c r="AQ1100" s="319"/>
      <c r="AR1100" s="319"/>
      <c r="AS1100" s="319"/>
      <c r="AT1100" s="319"/>
      <c r="AU1100" s="319"/>
      <c r="AV1100" s="319"/>
      <c r="AW1100" s="319"/>
      <c r="AX1100" s="319"/>
      <c r="AY1100" s="319"/>
      <c r="AZ1100" s="319"/>
      <c r="BA1100" s="319"/>
      <c r="BB1100" s="319"/>
      <c r="BC1100" s="319"/>
      <c r="BD1100" s="319"/>
      <c r="BE1100" s="319"/>
      <c r="BF1100" s="319"/>
      <c r="BG1100" s="319"/>
      <c r="BH1100" s="319"/>
      <c r="BI1100" s="319"/>
      <c r="BJ1100" s="319"/>
      <c r="BK1100" s="319"/>
      <c r="BL1100" s="319"/>
      <c r="BM1100" s="319"/>
      <c r="BN1100" s="319"/>
      <c r="BO1100" s="319"/>
      <c r="BP1100" s="319"/>
      <c r="BQ1100" s="319"/>
      <c r="BR1100" s="319"/>
      <c r="BS1100" s="319"/>
      <c r="BT1100" s="319"/>
      <c r="BU1100" s="319"/>
      <c r="BV1100" s="319"/>
      <c r="BW1100" s="319"/>
      <c r="BX1100" s="319"/>
      <c r="BY1100" s="319"/>
      <c r="BZ1100" s="319"/>
      <c r="CA1100" s="319"/>
      <c r="CB1100" s="319"/>
      <c r="CC1100" s="319"/>
      <c r="CD1100" s="319"/>
      <c r="CE1100" s="319"/>
      <c r="CF1100" s="319"/>
    </row>
    <row r="1101" spans="1:84" ht="13.5" hidden="1" customHeight="1">
      <c r="A1101" s="319"/>
      <c r="B1101" s="319"/>
      <c r="C1101" s="319"/>
      <c r="D1101" s="319"/>
      <c r="E1101" s="319" t="str">
        <f>Language!C150</f>
        <v>Vapor</v>
      </c>
      <c r="F1101" s="319"/>
      <c r="G1101" s="319"/>
      <c r="H1101" s="319"/>
      <c r="I1101" s="319"/>
      <c r="J1101" s="319"/>
      <c r="K1101" s="319"/>
      <c r="L1101" s="319"/>
      <c r="M1101" s="319"/>
      <c r="N1101" s="319"/>
      <c r="O1101" s="319"/>
      <c r="P1101" s="319"/>
      <c r="Q1101" s="319"/>
      <c r="R1101" s="319"/>
      <c r="S1101" s="319"/>
      <c r="T1101" s="319"/>
      <c r="U1101" s="319"/>
      <c r="V1101" s="319"/>
      <c r="W1101" s="319"/>
      <c r="X1101" s="319"/>
      <c r="Y1101" s="319"/>
      <c r="Z1101" s="319" t="str">
        <f>R14</f>
        <v>MWh</v>
      </c>
      <c r="AA1101" s="319"/>
      <c r="AB1101" s="319"/>
      <c r="AC1101" s="319"/>
      <c r="AD1101" s="319"/>
      <c r="AE1101" s="319"/>
      <c r="AF1101" s="319"/>
      <c r="AG1101" s="319"/>
      <c r="AH1101" s="319"/>
      <c r="AI1101" s="319"/>
      <c r="AJ1101" s="319"/>
      <c r="AK1101" s="319"/>
      <c r="AL1101" s="319"/>
      <c r="AM1101" s="319"/>
      <c r="AN1101" s="319"/>
      <c r="AO1101" s="587"/>
      <c r="AP1101" s="319"/>
      <c r="AQ1101" s="319"/>
      <c r="AR1101" s="319"/>
      <c r="AS1101" s="319"/>
      <c r="AT1101" s="319"/>
      <c r="AU1101" s="319"/>
      <c r="AV1101" s="319"/>
      <c r="AW1101" s="319"/>
      <c r="AX1101" s="319"/>
      <c r="AY1101" s="319"/>
      <c r="AZ1101" s="319"/>
      <c r="BA1101" s="319"/>
      <c r="BB1101" s="319"/>
      <c r="BC1101" s="319"/>
      <c r="BD1101" s="319"/>
      <c r="BE1101" s="319"/>
      <c r="BF1101" s="319"/>
      <c r="BG1101" s="319"/>
      <c r="BH1101" s="319"/>
      <c r="BI1101" s="319"/>
      <c r="BJ1101" s="319"/>
      <c r="BK1101" s="319"/>
      <c r="BL1101" s="319"/>
      <c r="BM1101" s="319"/>
      <c r="BN1101" s="319"/>
      <c r="BO1101" s="319"/>
      <c r="BP1101" s="319"/>
      <c r="BQ1101" s="319"/>
      <c r="BR1101" s="319"/>
      <c r="BS1101" s="319"/>
      <c r="BT1101" s="319"/>
      <c r="BU1101" s="319"/>
      <c r="BV1101" s="319"/>
      <c r="BW1101" s="319"/>
      <c r="BX1101" s="319"/>
      <c r="BY1101" s="319"/>
      <c r="BZ1101" s="319"/>
      <c r="CA1101" s="319"/>
      <c r="CB1101" s="319"/>
      <c r="CC1101" s="319"/>
      <c r="CD1101" s="319"/>
      <c r="CE1101" s="319"/>
      <c r="CF1101" s="319"/>
    </row>
    <row r="1102" spans="1:84" ht="13.5" hidden="1" customHeight="1">
      <c r="A1102" s="319">
        <v>1</v>
      </c>
      <c r="B1102" s="319" t="str">
        <f>B1195</f>
        <v>Combustível definido pelo usuário</v>
      </c>
      <c r="C1102" s="319"/>
      <c r="D1102" s="319"/>
      <c r="E1102" s="319"/>
      <c r="F1102" s="319"/>
      <c r="G1102" s="319"/>
      <c r="H1102" s="319"/>
      <c r="I1102" s="319"/>
      <c r="J1102" s="319"/>
      <c r="K1102" s="319"/>
      <c r="L1102" s="319"/>
      <c r="M1102" s="319"/>
      <c r="N1102" s="319"/>
      <c r="O1102" s="319"/>
      <c r="P1102" s="319"/>
      <c r="Q1102" s="319"/>
      <c r="R1102" s="319"/>
      <c r="S1102" s="319"/>
      <c r="T1102" s="319"/>
      <c r="U1102" s="319"/>
      <c r="V1102" s="319"/>
      <c r="W1102" s="319"/>
      <c r="X1102" s="319"/>
      <c r="Y1102" s="319"/>
      <c r="Z1102" s="319" t="str">
        <f>Language!C1382</f>
        <v>milhão Btu</v>
      </c>
      <c r="AA1102" s="319"/>
      <c r="AB1102" s="319"/>
      <c r="AC1102" s="319"/>
      <c r="AD1102" s="319"/>
      <c r="AE1102" s="319"/>
      <c r="AF1102" s="319"/>
      <c r="AG1102" s="319"/>
      <c r="AH1102" s="319"/>
      <c r="AI1102" s="319"/>
      <c r="AJ1102" s="319"/>
      <c r="AK1102" s="319"/>
      <c r="AL1102" s="319"/>
      <c r="AM1102" s="319"/>
      <c r="AN1102" s="319"/>
      <c r="AO1102" s="587"/>
      <c r="AP1102" s="319"/>
      <c r="AQ1102" s="319"/>
      <c r="AR1102" s="319"/>
      <c r="AS1102" s="319"/>
      <c r="AT1102" s="319"/>
      <c r="AU1102" s="319"/>
      <c r="AV1102" s="319"/>
      <c r="AW1102" s="319"/>
      <c r="AX1102" s="319"/>
      <c r="AY1102" s="319"/>
      <c r="AZ1102" s="319"/>
      <c r="BA1102" s="319"/>
      <c r="BB1102" s="319"/>
      <c r="BC1102" s="319"/>
      <c r="BD1102" s="319"/>
      <c r="BE1102" s="319"/>
      <c r="BF1102" s="319"/>
      <c r="BG1102" s="319"/>
      <c r="BH1102" s="319"/>
      <c r="BI1102" s="319"/>
      <c r="BJ1102" s="319"/>
      <c r="BK1102" s="319"/>
      <c r="BL1102" s="319"/>
      <c r="BM1102" s="319"/>
      <c r="BN1102" s="319"/>
      <c r="BO1102" s="319"/>
      <c r="BP1102" s="319"/>
      <c r="BQ1102" s="319"/>
      <c r="BR1102" s="319"/>
      <c r="BS1102" s="319"/>
      <c r="BT1102" s="319"/>
      <c r="BU1102" s="319"/>
      <c r="BV1102" s="319"/>
      <c r="BW1102" s="319"/>
      <c r="BX1102" s="319"/>
      <c r="BY1102" s="319"/>
      <c r="BZ1102" s="319"/>
      <c r="CA1102" s="319"/>
      <c r="CB1102" s="319"/>
      <c r="CC1102" s="319"/>
      <c r="CD1102" s="319"/>
      <c r="CE1102" s="319"/>
      <c r="CF1102" s="319"/>
    </row>
    <row r="1103" spans="1:84" ht="13.5" hidden="1" customHeight="1">
      <c r="A1103" s="319">
        <v>1</v>
      </c>
      <c r="B1103" s="319" t="str">
        <f>B1226</f>
        <v>Gás de Lixo (Biogás)</v>
      </c>
      <c r="C1103" s="319"/>
      <c r="D1103" s="319"/>
      <c r="E1103" s="319"/>
      <c r="F1103" s="319"/>
      <c r="G1103" s="319"/>
      <c r="H1103" s="319"/>
      <c r="I1103" s="319"/>
      <c r="J1103" s="319"/>
      <c r="K1103" s="319"/>
      <c r="L1103" s="319"/>
      <c r="M1103" s="319"/>
      <c r="N1103" s="319"/>
      <c r="O1103" s="319"/>
      <c r="P1103" s="319"/>
      <c r="Q1103" s="319"/>
      <c r="R1103" s="319"/>
      <c r="S1103" s="319"/>
      <c r="T1103" s="319"/>
      <c r="U1103" s="319"/>
      <c r="V1103" s="319"/>
      <c r="W1103" s="319"/>
      <c r="X1103" s="319"/>
      <c r="Y1103" s="319"/>
      <c r="Z1103" s="319" t="str">
        <f>Language!C1405</f>
        <v>TRh</v>
      </c>
      <c r="AA1103" s="319"/>
      <c r="AB1103" s="319"/>
      <c r="AC1103" s="319"/>
      <c r="AD1103" s="319"/>
      <c r="AE1103" s="319"/>
      <c r="AF1103" s="319"/>
      <c r="AG1103" s="319"/>
      <c r="AH1103" s="319"/>
      <c r="AI1103" s="319"/>
      <c r="AJ1103" s="319"/>
      <c r="AK1103" s="319"/>
      <c r="AL1103" s="319"/>
      <c r="AM1103" s="319"/>
      <c r="AN1103" s="319"/>
      <c r="AO1103" s="587"/>
      <c r="AP1103" s="319"/>
      <c r="AQ1103" s="319"/>
      <c r="AR1103" s="319"/>
      <c r="AS1103" s="319"/>
      <c r="AT1103" s="319"/>
      <c r="AU1103" s="319"/>
      <c r="AV1103" s="319"/>
      <c r="AW1103" s="319"/>
      <c r="AX1103" s="319"/>
      <c r="AY1103" s="319"/>
      <c r="AZ1103" s="319"/>
      <c r="BA1103" s="319"/>
      <c r="BB1103" s="319"/>
      <c r="BC1103" s="319"/>
      <c r="BD1103" s="319"/>
      <c r="BE1103" s="319"/>
      <c r="BF1103" s="319"/>
      <c r="BG1103" s="319"/>
      <c r="BH1103" s="319"/>
      <c r="BI1103" s="319"/>
      <c r="BJ1103" s="319"/>
      <c r="BK1103" s="319"/>
      <c r="BL1103" s="319"/>
      <c r="BM1103" s="319"/>
      <c r="BN1103" s="319"/>
      <c r="BO1103" s="319"/>
      <c r="BP1103" s="319"/>
      <c r="BQ1103" s="319"/>
      <c r="BR1103" s="319"/>
      <c r="BS1103" s="319"/>
      <c r="BT1103" s="319"/>
      <c r="BU1103" s="319"/>
      <c r="BV1103" s="319"/>
      <c r="BW1103" s="319"/>
      <c r="BX1103" s="319"/>
      <c r="BY1103" s="319"/>
      <c r="BZ1103" s="319"/>
      <c r="CA1103" s="319"/>
      <c r="CB1103" s="319"/>
      <c r="CC1103" s="319"/>
      <c r="CD1103" s="319"/>
      <c r="CE1103" s="319"/>
      <c r="CF1103" s="319"/>
    </row>
    <row r="1104" spans="1:84" ht="13.5" hidden="1" customHeight="1">
      <c r="A1104" s="319">
        <v>1</v>
      </c>
      <c r="B1104" s="319" t="str">
        <f>B1287</f>
        <v>Combustível definido pelo usuário - gás</v>
      </c>
      <c r="C1104" s="319"/>
      <c r="D1104" s="319"/>
      <c r="E1104" s="319"/>
      <c r="F1104" s="319"/>
      <c r="G1104" s="319"/>
      <c r="H1104" s="319"/>
      <c r="I1104" s="319"/>
      <c r="J1104" s="319"/>
      <c r="K1104" s="319"/>
      <c r="L1104" s="319"/>
      <c r="M1104" s="319"/>
      <c r="N1104" s="319"/>
      <c r="O1104" s="319"/>
      <c r="P1104" s="319"/>
      <c r="Q1104" s="319"/>
      <c r="R1104" s="319"/>
      <c r="S1104" s="319"/>
      <c r="T1104" s="319"/>
      <c r="U1104" s="319"/>
      <c r="V1104" s="319"/>
      <c r="W1104" s="319"/>
      <c r="X1104" s="319"/>
      <c r="Y1104" s="319"/>
      <c r="Z1104" s="319"/>
      <c r="AA1104" s="319"/>
      <c r="AB1104" s="319"/>
      <c r="AC1104" s="319"/>
      <c r="AD1104" s="319"/>
      <c r="AE1104" s="319"/>
      <c r="AF1104" s="319"/>
      <c r="AG1104" s="319"/>
      <c r="AH1104" s="319"/>
      <c r="AI1104" s="319"/>
      <c r="AJ1104" s="319"/>
      <c r="AK1104" s="319"/>
      <c r="AL1104" s="319"/>
      <c r="AM1104" s="319"/>
      <c r="AN1104" s="319"/>
      <c r="AO1104" s="587"/>
      <c r="AP1104" s="319"/>
      <c r="AQ1104" s="319"/>
      <c r="AR1104" s="319"/>
      <c r="AS1104" s="319"/>
      <c r="AT1104" s="319"/>
      <c r="AU1104" s="319"/>
      <c r="AV1104" s="319"/>
      <c r="AW1104" s="319"/>
      <c r="AX1104" s="319"/>
      <c r="AY1104" s="319"/>
      <c r="AZ1104" s="319"/>
      <c r="BA1104" s="319"/>
      <c r="BB1104" s="319"/>
      <c r="BC1104" s="319"/>
      <c r="BD1104" s="319"/>
      <c r="BE1104" s="319"/>
      <c r="BF1104" s="319"/>
      <c r="BG1104" s="319"/>
      <c r="BH1104" s="319"/>
      <c r="BI1104" s="319"/>
      <c r="BJ1104" s="319"/>
      <c r="BK1104" s="319"/>
      <c r="BL1104" s="319"/>
      <c r="BM1104" s="319"/>
      <c r="BN1104" s="319"/>
      <c r="BO1104" s="319"/>
      <c r="BP1104" s="319"/>
      <c r="BQ1104" s="319"/>
      <c r="BR1104" s="319"/>
      <c r="BS1104" s="319"/>
      <c r="BT1104" s="319"/>
      <c r="BU1104" s="319"/>
      <c r="BV1104" s="319"/>
      <c r="BW1104" s="319"/>
      <c r="BX1104" s="319"/>
      <c r="BY1104" s="319"/>
      <c r="BZ1104" s="319"/>
      <c r="CA1104" s="319"/>
      <c r="CB1104" s="319"/>
      <c r="CC1104" s="319"/>
      <c r="CD1104" s="319"/>
      <c r="CE1104" s="319"/>
      <c r="CF1104" s="319"/>
    </row>
    <row r="1105" spans="1:84" ht="13.5" hidden="1" customHeight="1">
      <c r="A1105" s="319">
        <v>1</v>
      </c>
      <c r="B1105" s="319" t="str">
        <f>B1288</f>
        <v>Combustível definido pelo usuário - sólido</v>
      </c>
      <c r="C1105" s="319"/>
      <c r="D1105" s="319"/>
      <c r="E1105" s="319"/>
      <c r="F1105" s="319"/>
      <c r="G1105" s="319"/>
      <c r="H1105" s="319"/>
      <c r="I1105" s="319"/>
      <c r="J1105" s="319"/>
      <c r="K1105" s="319"/>
      <c r="L1105" s="319"/>
      <c r="M1105" s="319"/>
      <c r="N1105" s="855" t="s">
        <v>2915</v>
      </c>
      <c r="O1105" s="319">
        <f>IF(G1120=2,1,0)</f>
        <v>0</v>
      </c>
      <c r="P1105" s="319"/>
      <c r="Q1105" s="319"/>
      <c r="R1105" s="319"/>
      <c r="S1105" s="319"/>
      <c r="T1105" s="319"/>
      <c r="U1105" s="319"/>
      <c r="V1105" s="319"/>
      <c r="W1105" s="319"/>
      <c r="X1105" s="319"/>
      <c r="Y1105" s="319"/>
      <c r="Z1105" s="319" t="str">
        <f>R35</f>
        <v>h</v>
      </c>
      <c r="AA1105" s="319"/>
      <c r="AB1105" s="319"/>
      <c r="AC1105" s="319"/>
      <c r="AD1105" s="319"/>
      <c r="AE1105" s="319"/>
      <c r="AF1105" s="319"/>
      <c r="AG1105" s="319"/>
      <c r="AH1105" s="319"/>
      <c r="AI1105" s="319"/>
      <c r="AJ1105" s="319"/>
      <c r="AK1105" s="319"/>
      <c r="AL1105" s="319"/>
      <c r="AM1105" s="319"/>
      <c r="AN1105" s="319"/>
      <c r="AO1105" s="587"/>
      <c r="AP1105" s="319"/>
      <c r="AQ1105" s="319"/>
      <c r="AR1105" s="319"/>
      <c r="AS1105" s="319"/>
      <c r="AT1105" s="319"/>
      <c r="AU1105" s="319"/>
      <c r="AV1105" s="319"/>
      <c r="AW1105" s="319"/>
      <c r="AX1105" s="319"/>
      <c r="AY1105" s="319"/>
      <c r="AZ1105" s="319"/>
      <c r="BA1105" s="319"/>
      <c r="BB1105" s="319"/>
      <c r="BC1105" s="319"/>
      <c r="BD1105" s="319"/>
      <c r="BE1105" s="319"/>
      <c r="BF1105" s="319"/>
      <c r="BG1105" s="319"/>
      <c r="BH1105" s="319"/>
      <c r="BI1105" s="319"/>
      <c r="BJ1105" s="319"/>
      <c r="BK1105" s="319"/>
      <c r="BL1105" s="319"/>
      <c r="BM1105" s="319"/>
      <c r="BN1105" s="319"/>
      <c r="BO1105" s="319"/>
      <c r="BP1105" s="319"/>
      <c r="BQ1105" s="319"/>
      <c r="BR1105" s="319"/>
      <c r="BS1105" s="319"/>
      <c r="BT1105" s="319"/>
      <c r="BU1105" s="319"/>
      <c r="BV1105" s="319"/>
      <c r="BW1105" s="319"/>
      <c r="BX1105" s="319"/>
      <c r="BY1105" s="319"/>
      <c r="BZ1105" s="319"/>
      <c r="CA1105" s="319"/>
      <c r="CB1105" s="319"/>
      <c r="CC1105" s="319"/>
      <c r="CD1105" s="319"/>
      <c r="CE1105" s="319"/>
      <c r="CF1105" s="319"/>
    </row>
    <row r="1106" spans="1:84" ht="13.5" hidden="1" customHeight="1">
      <c r="A1106" s="319"/>
      <c r="B1106" s="319"/>
      <c r="C1106" s="319"/>
      <c r="D1106" s="319" t="s">
        <v>2977</v>
      </c>
      <c r="E1106" s="319" t="s">
        <v>5700</v>
      </c>
      <c r="F1106" s="319" t="s">
        <v>1705</v>
      </c>
      <c r="G1106" s="319" t="s">
        <v>2745</v>
      </c>
      <c r="H1106" s="319" t="s">
        <v>3615</v>
      </c>
      <c r="I1106" s="319" t="s">
        <v>717</v>
      </c>
      <c r="J1106" s="319" t="s">
        <v>2978</v>
      </c>
      <c r="K1106" s="319"/>
      <c r="L1106" s="319"/>
      <c r="M1106" s="319" t="s">
        <v>5207</v>
      </c>
      <c r="N1106" s="319" t="s">
        <v>739</v>
      </c>
      <c r="O1106" s="319" t="s">
        <v>709</v>
      </c>
      <c r="P1106" s="319"/>
      <c r="Q1106" s="319"/>
      <c r="R1106" s="319"/>
      <c r="S1106" s="319"/>
      <c r="T1106" s="319"/>
      <c r="U1106" s="319"/>
      <c r="V1106" s="319"/>
      <c r="W1106" s="319"/>
      <c r="X1106" s="319"/>
      <c r="Y1106" s="319"/>
      <c r="Z1106" s="319" t="str">
        <f>T35</f>
        <v>%</v>
      </c>
      <c r="AA1106" s="319"/>
      <c r="AB1106" s="319"/>
      <c r="AC1106" s="319"/>
      <c r="AD1106" s="319"/>
      <c r="AE1106" s="319"/>
      <c r="AF1106" s="319"/>
      <c r="AG1106" s="319"/>
      <c r="AH1106" s="319"/>
      <c r="AI1106" s="319"/>
      <c r="AJ1106" s="319"/>
      <c r="AK1106" s="319"/>
      <c r="AL1106" s="319"/>
      <c r="AM1106" s="319"/>
      <c r="AN1106" s="319"/>
      <c r="AO1106" s="587"/>
      <c r="AP1106" s="319"/>
      <c r="AQ1106" s="319"/>
      <c r="AR1106" s="319"/>
      <c r="AS1106" s="319"/>
      <c r="AT1106" s="319"/>
      <c r="AU1106" s="319"/>
      <c r="AV1106" s="319"/>
      <c r="AW1106" s="319"/>
      <c r="AX1106" s="319"/>
      <c r="AY1106" s="319"/>
      <c r="AZ1106" s="319"/>
      <c r="BA1106" s="319"/>
      <c r="BB1106" s="319"/>
      <c r="BC1106" s="319"/>
      <c r="BD1106" s="319"/>
      <c r="BE1106" s="319"/>
      <c r="BF1106" s="319"/>
      <c r="BG1106" s="319"/>
      <c r="BH1106" s="319"/>
      <c r="BI1106" s="319"/>
      <c r="BJ1106" s="319"/>
      <c r="BK1106" s="319"/>
      <c r="BL1106" s="319"/>
      <c r="BM1106" s="319"/>
      <c r="BN1106" s="319"/>
      <c r="BO1106" s="319"/>
      <c r="BP1106" s="319"/>
      <c r="BQ1106" s="319"/>
      <c r="BR1106" s="319"/>
      <c r="BS1106" s="319"/>
      <c r="BT1106" s="319"/>
      <c r="BU1106" s="319"/>
      <c r="BV1106" s="319"/>
      <c r="BW1106" s="319"/>
      <c r="BX1106" s="319"/>
      <c r="BY1106" s="319"/>
      <c r="BZ1106" s="319"/>
      <c r="CA1106" s="319"/>
      <c r="CB1106" s="319"/>
      <c r="CC1106" s="319"/>
      <c r="CD1106" s="319"/>
      <c r="CE1106" s="319"/>
      <c r="CF1106" s="319"/>
    </row>
    <row r="1107" spans="1:84" ht="13.5" hidden="1" customHeight="1">
      <c r="A1107" s="319"/>
      <c r="B1107" s="319" t="s">
        <v>3810</v>
      </c>
      <c r="C1107" s="319" t="str">
        <f>IF($C$1117=0,IF($C$30=$G$1073,F1122,E1122),'Modelo Energético '!B1113)</f>
        <v>Fotovoltaica</v>
      </c>
      <c r="D1107" s="319" t="str">
        <f>IF($C$1117=0,IF($C$30=$G$1073,IF(F1122=I1123,F1121,F1122),IF(E1122=I1123,E1121,E1122)),'Modelo Energético '!C1113)</f>
        <v>Fotovoltaica</v>
      </c>
      <c r="E1107" s="319">
        <f>IF($C$1117=0,IF($C$30=$G$1073,F1123,E1123),'Modelo Energético '!D1113)</f>
        <v>0.61533476751082972</v>
      </c>
      <c r="F1107" s="319">
        <f>IF($C$1117=0,IF(HideCodeES_PSS=1,VLOOKUP(C1107,$I$1114:$U$1127,12,FALSE),IF($C$854=$E$1094,VLOOKUP(C1107,$I$1114:$U$1127,12,FALSE),VLOOKUP(C1107,$I$1114:$U$1127,13,FALSE))),'Modelo Energético '!E1113)</f>
        <v>3.7949999999999999</v>
      </c>
      <c r="G1107" s="319">
        <f>IF($C$1117=0,IF($C$30=$G$1073,R862,F1137)*N1107,'Modelo Energético '!F1113)</f>
        <v>0</v>
      </c>
      <c r="H1107" s="319">
        <f>IF($C$1117=0,IF($C$30=$G$1073,F1127,E1127),0)</f>
        <v>0</v>
      </c>
      <c r="I1107" s="319">
        <f>IF($C$1117=0,IF($C$30=$G$1073,F1125,E1125),0)</f>
        <v>0</v>
      </c>
      <c r="J1107" s="319">
        <f>IF($C$1117=0,IF(OR(HideCode_projectType3=1,HideCode_projectType3=3,HideCode_projectType3=6,HideCode_projectType3=9),0,IF($C$30=$G$1073,S862,E1107*8.76*N1107-G1107)),'Modelo Energético '!I1113)</f>
        <v>5.3903325633948667</v>
      </c>
      <c r="K1107" s="319" t="str">
        <f>IF($C$30=$G$1073,P862,B819)</f>
        <v>Potência elétr.máx.de saída</v>
      </c>
      <c r="L1107" s="319"/>
      <c r="M1107" s="319">
        <f>IF($C$1117=0,IF($C$30=$G$1073,U862,H1137)*N1107,0)</f>
        <v>0</v>
      </c>
      <c r="N1107" s="319">
        <f>IF($C$1117=0,IF(HideCodeES_PSS=1,1,IF(C854=E1094,U35,U551)),'Modelo Energético '!M1113)</f>
        <v>1</v>
      </c>
      <c r="O1107" s="319">
        <f>VLOOKUP(C1107,$O$1114:$W$1127,8+O1105,FALSE)</f>
        <v>0</v>
      </c>
      <c r="P1107" s="319"/>
      <c r="Q1107" s="319"/>
      <c r="R1107" s="319"/>
      <c r="S1107" s="319"/>
      <c r="T1107" s="319"/>
      <c r="U1107" s="319"/>
      <c r="V1107" s="319"/>
      <c r="W1107" s="319"/>
      <c r="X1107" s="319"/>
      <c r="Y1107" s="319"/>
      <c r="Z1107" s="319" t="str">
        <f>R86</f>
        <v>°C</v>
      </c>
      <c r="AA1107" s="319"/>
      <c r="AB1107" s="319"/>
      <c r="AC1107" s="319"/>
      <c r="AD1107" s="319"/>
      <c r="AE1107" s="319"/>
      <c r="AF1107" s="319"/>
      <c r="AG1107" s="319"/>
      <c r="AH1107" s="319"/>
      <c r="AI1107" s="319"/>
      <c r="AJ1107" s="319"/>
      <c r="AK1107" s="319"/>
      <c r="AL1107" s="319"/>
      <c r="AM1107" s="319"/>
      <c r="AN1107" s="319"/>
      <c r="AO1107" s="587"/>
      <c r="AP1107" s="319"/>
      <c r="AQ1107" s="319"/>
      <c r="AR1107" s="319"/>
      <c r="AS1107" s="319"/>
      <c r="AT1107" s="319"/>
      <c r="AU1107" s="319"/>
      <c r="AV1107" s="319"/>
      <c r="AW1107" s="319"/>
      <c r="AX1107" s="319"/>
      <c r="AY1107" s="319"/>
      <c r="AZ1107" s="319"/>
      <c r="BA1107" s="319"/>
      <c r="BB1107" s="319"/>
      <c r="BC1107" s="319"/>
      <c r="BD1107" s="319"/>
      <c r="BE1107" s="319"/>
      <c r="BF1107" s="319"/>
      <c r="BG1107" s="319"/>
      <c r="BH1107" s="319"/>
      <c r="BI1107" s="319"/>
      <c r="BJ1107" s="319"/>
      <c r="BK1107" s="319"/>
      <c r="BL1107" s="319"/>
      <c r="BM1107" s="319"/>
      <c r="BN1107" s="319"/>
      <c r="BO1107" s="319"/>
      <c r="BP1107" s="319"/>
      <c r="BQ1107" s="319"/>
      <c r="BR1107" s="319"/>
      <c r="BS1107" s="319"/>
      <c r="BT1107" s="319"/>
      <c r="BU1107" s="319"/>
      <c r="BV1107" s="319"/>
      <c r="BW1107" s="319"/>
      <c r="BX1107" s="319"/>
      <c r="BY1107" s="319"/>
      <c r="BZ1107" s="319"/>
      <c r="CA1107" s="319"/>
      <c r="CB1107" s="319"/>
      <c r="CC1107" s="319"/>
      <c r="CD1107" s="319"/>
      <c r="CE1107" s="319"/>
      <c r="CF1107" s="319"/>
    </row>
    <row r="1108" spans="1:84" ht="13.5" hidden="1" customHeight="1">
      <c r="A1108" s="319"/>
      <c r="B1108" s="319" t="s">
        <v>3085</v>
      </c>
      <c r="C1108" s="319" t="str">
        <f>IF($C$30=$G$1073,"",F1122)</f>
        <v/>
      </c>
      <c r="D1108" s="319" t="str">
        <f>IF($C$30=$G$1073,"",IF(F1122=I1123,F1121,F1122))</f>
        <v/>
      </c>
      <c r="E1108" s="319">
        <f>IF($C$1117=0,IF($C$30=$G$1073,0,F1123),0)</f>
        <v>0</v>
      </c>
      <c r="F1108" s="319">
        <f>IF($C$1117=0,IF(C1108="",0,IF(HideCodeES_PSS=1,VLOOKUP(C1108,$I$1114:$U$1127,12,FALSE),IF($C$854=$E$1095,VLOOKUP(C1108,$I$1114:$U$1127,12,FALSE),VLOOKUP(C1108,$I$1114:$U$1127,13,FALSE)))),0)</f>
        <v>0</v>
      </c>
      <c r="G1108" s="319">
        <f>IF(I1153=0,IF($C$30=$G$1073,0,R862),0)</f>
        <v>0</v>
      </c>
      <c r="H1108" s="319">
        <f>IF(C1117=0,IF($C$30=$G$1073,0,F1127),0)</f>
        <v>0</v>
      </c>
      <c r="I1108" s="319">
        <f>IF(C1117=0,IF($C$30=$G$1073,0,F1125),0)</f>
        <v>0</v>
      </c>
      <c r="J1108" s="319">
        <f>IF(OR(HideCode_projectType3=1,HideCode_projectType3=3,HideCode_projectType3=6,HideCode_projectType3=9),0,IF($C$30=$G$1073,0,S862))</f>
        <v>0</v>
      </c>
      <c r="K1108" s="319" t="str">
        <f>IF($C$30=$G$1073,"",P862)</f>
        <v/>
      </c>
      <c r="L1108" s="319"/>
      <c r="M1108" s="319">
        <f>IF(C1117=0,IF($C$30=$G$1073,0,U862),0)</f>
        <v>0</v>
      </c>
      <c r="N1108" s="319"/>
      <c r="O1108" s="319">
        <f>IF(ISERROR(VLOOKUP(C1108,$O$1114:$W$1127,9-O1105,FALSE)),0,VLOOKUP(C1108,$O$1114:$W$1127,9-O1105,FALSE))</f>
        <v>0</v>
      </c>
      <c r="P1108" s="319"/>
      <c r="Q1108" s="319"/>
      <c r="R1108" s="319"/>
      <c r="S1108" s="319"/>
      <c r="T1108" s="319"/>
      <c r="U1108" s="319"/>
      <c r="V1108" s="319"/>
      <c r="W1108" s="319"/>
      <c r="X1108" s="319"/>
      <c r="Y1108" s="319"/>
      <c r="Z1108" s="319" t="str">
        <f>T86</f>
        <v>°F</v>
      </c>
      <c r="AA1108" s="319"/>
      <c r="AB1108" s="319"/>
      <c r="AC1108" s="319"/>
      <c r="AD1108" s="319"/>
      <c r="AE1108" s="319"/>
      <c r="AF1108" s="319"/>
      <c r="AG1108" s="319"/>
      <c r="AH1108" s="319"/>
      <c r="AI1108" s="319"/>
      <c r="AJ1108" s="319"/>
      <c r="AK1108" s="319"/>
      <c r="AL1108" s="319"/>
      <c r="AM1108" s="319"/>
      <c r="AN1108" s="319"/>
      <c r="AO1108" s="587"/>
      <c r="AP1108" s="319"/>
      <c r="AQ1108" s="319"/>
      <c r="AR1108" s="319"/>
      <c r="AS1108" s="319"/>
      <c r="AT1108" s="319"/>
      <c r="AU1108" s="319"/>
      <c r="AV1108" s="319"/>
      <c r="AW1108" s="319"/>
      <c r="AX1108" s="319"/>
      <c r="AY1108" s="319"/>
      <c r="AZ1108" s="319"/>
      <c r="BA1108" s="319"/>
      <c r="BB1108" s="319"/>
      <c r="BC1108" s="319"/>
      <c r="BD1108" s="319"/>
      <c r="BE1108" s="319"/>
      <c r="BF1108" s="319"/>
      <c r="BG1108" s="319"/>
      <c r="BH1108" s="319"/>
      <c r="BI1108" s="319"/>
      <c r="BJ1108" s="319"/>
      <c r="BK1108" s="319"/>
      <c r="BL1108" s="319"/>
      <c r="BM1108" s="319"/>
      <c r="BN1108" s="319"/>
      <c r="BO1108" s="319"/>
      <c r="BP1108" s="319"/>
      <c r="BQ1108" s="319"/>
      <c r="BR1108" s="319"/>
      <c r="BS1108" s="319"/>
      <c r="BT1108" s="319"/>
      <c r="BU1108" s="319"/>
      <c r="BV1108" s="319"/>
      <c r="BW1108" s="319"/>
      <c r="BX1108" s="319"/>
      <c r="BY1108" s="319"/>
      <c r="BZ1108" s="319"/>
      <c r="CA1108" s="319"/>
      <c r="CB1108" s="319"/>
      <c r="CC1108" s="319"/>
      <c r="CD1108" s="319"/>
      <c r="CE1108" s="319"/>
      <c r="CF1108" s="319"/>
    </row>
    <row r="1109" spans="1:84" ht="13.5" hidden="1" customHeight="1">
      <c r="A1109" s="319"/>
      <c r="B1109" s="319" t="s">
        <v>4596</v>
      </c>
      <c r="C1109" s="319" t="str">
        <f>IF($C$1117=0,IF(OR(HideCode_projectType3=1,HideCode_projectType3=6),IF(HideCodeES_HeatST1&gt;6,I1122,"Z9Z"),"Z9Z"),'Modelo Energético '!B1115)</f>
        <v>Z9Z</v>
      </c>
      <c r="D1109" s="319" t="str">
        <f>IF($C$1117=0,IF(OR(HideCode_projectType3=4,HideCode_projectType3=7)=TRUE,D1107,IF($C$28=$G$1073,F1131,E1131)),'Modelo Energético '!C1115)</f>
        <v>Sistema à biomassa</v>
      </c>
      <c r="E1109" s="319">
        <f>IF($C$1117=0,IF(OR(HideCode_projectType3=4,HideCode_projectType3=7)=TRUE,I1107,IF($C$28=$G$1073,F1132,E1132)),'Modelo Energético '!D1115)</f>
        <v>0</v>
      </c>
      <c r="F1109" s="319"/>
      <c r="G1109" s="319">
        <f>IF($C$1117=0,IF(OR(HideCode_projectType3=4,HideCode_projectType3=7)=TRUE,M1107,IF($C$28=$G$1073,F1134,E1134)),'Modelo Energético '!F1115)</f>
        <v>0</v>
      </c>
      <c r="H1109" s="319" t="e">
        <f>IF($C$1117=0,IF(OR(HideCode_projectType3=4,HideCode_projectType3=7)=TRUE,0,IF($C$28=$G$1073,F1133,E1133)),'Modelo Energético '!G1115)</f>
        <v>#DIV/0!</v>
      </c>
      <c r="I1109" s="319"/>
      <c r="J1109" s="319"/>
      <c r="K1109" s="319"/>
      <c r="L1109" s="319"/>
      <c r="M1109" s="319"/>
      <c r="N1109" s="319" t="e">
        <f>IF($C$1117=0,IF(H1109=0,0,E1109/(H1109/3.6)),'Modelo Energético '!M1115)</f>
        <v>#DIV/0!</v>
      </c>
      <c r="O1109" s="319"/>
      <c r="P1109" s="319"/>
      <c r="Q1109" s="319"/>
      <c r="R1109" s="319"/>
      <c r="S1109" s="319"/>
      <c r="T1109" s="319"/>
      <c r="U1109" s="319"/>
      <c r="V1109" s="319"/>
      <c r="W1109" s="319"/>
      <c r="X1109" s="319"/>
      <c r="Y1109" s="319"/>
      <c r="Z1109" s="319"/>
      <c r="AA1109" s="319"/>
      <c r="AB1109" s="319"/>
      <c r="AC1109" s="319"/>
      <c r="AD1109" s="319"/>
      <c r="AE1109" s="319"/>
      <c r="AF1109" s="319"/>
      <c r="AG1109" s="319"/>
      <c r="AH1109" s="319"/>
      <c r="AI1109" s="319"/>
      <c r="AJ1109" s="319"/>
      <c r="AK1109" s="319"/>
      <c r="AL1109" s="319"/>
      <c r="AM1109" s="319"/>
      <c r="AN1109" s="319"/>
      <c r="AO1109" s="587"/>
      <c r="AP1109" s="319"/>
      <c r="AQ1109" s="319"/>
      <c r="AR1109" s="319"/>
      <c r="AS1109" s="319"/>
      <c r="AT1109" s="319"/>
      <c r="AU1109" s="319"/>
      <c r="AV1109" s="319"/>
      <c r="AW1109" s="319"/>
      <c r="AX1109" s="319"/>
      <c r="AY1109" s="319"/>
      <c r="AZ1109" s="319"/>
      <c r="BA1109" s="319"/>
      <c r="BB1109" s="319"/>
      <c r="BC1109" s="319"/>
      <c r="BD1109" s="319"/>
      <c r="BE1109" s="319"/>
      <c r="BF1109" s="319"/>
      <c r="BG1109" s="319"/>
      <c r="BH1109" s="319"/>
      <c r="BI1109" s="319"/>
      <c r="BJ1109" s="319"/>
      <c r="BK1109" s="319"/>
      <c r="BL1109" s="319"/>
      <c r="BM1109" s="319"/>
      <c r="BN1109" s="319"/>
      <c r="BO1109" s="319"/>
      <c r="BP1109" s="319"/>
      <c r="BQ1109" s="319"/>
      <c r="BR1109" s="319"/>
      <c r="BS1109" s="319"/>
      <c r="BT1109" s="319"/>
      <c r="BU1109" s="319"/>
      <c r="BV1109" s="319"/>
      <c r="BW1109" s="319"/>
      <c r="BX1109" s="319"/>
      <c r="BY1109" s="319"/>
      <c r="BZ1109" s="319"/>
      <c r="CA1109" s="319"/>
      <c r="CB1109" s="319"/>
      <c r="CC1109" s="319"/>
      <c r="CD1109" s="319"/>
      <c r="CE1109" s="319"/>
      <c r="CF1109" s="319"/>
    </row>
    <row r="1110" spans="1:84" ht="13.5" hidden="1" customHeight="1">
      <c r="A1110" s="319"/>
      <c r="B1110" s="319" t="s">
        <v>931</v>
      </c>
      <c r="C1110" s="319"/>
      <c r="D1110" s="319" t="str">
        <f>IF(OR(HideCode_projectType3=4,HideCode_projectType3=7)=TRUE,D1108,IF($C$28=$G$1073,"",F1131))</f>
        <v/>
      </c>
      <c r="E1110" s="319">
        <f>IF($C$1117=0,IF(OR(HideCode_projectType3=4,HideCode_projectType3=7)=TRUE,I1108,IF($C$28=$G$1073,0,F1132)),0)</f>
        <v>0</v>
      </c>
      <c r="F1110" s="319"/>
      <c r="G1110" s="319">
        <f>IF($C$1117=0,IF(OR(HideCode_projectType3=4,HideCode_projectType3=7)=TRUE,M1108,IF($C$28=$G$1073,0,F1134)),0)</f>
        <v>0</v>
      </c>
      <c r="H1110" s="319">
        <f>IF($C$1117=0,IF(OR(HideCode_projectType3=4,HideCode_projectType3=7)=TRUE,0,IF($C$28=$G$1073,0,F1133)),0)</f>
        <v>0</v>
      </c>
      <c r="I1110" s="319"/>
      <c r="J1110" s="319"/>
      <c r="K1110" s="319"/>
      <c r="L1110" s="319"/>
      <c r="M1110" s="319"/>
      <c r="N1110" s="319">
        <f>IF($C$1117=0,IF(H1110=0,0,E1110/(H1110/3.6)),0)</f>
        <v>0</v>
      </c>
      <c r="O1110" s="319"/>
      <c r="P1110" s="319"/>
      <c r="Q1110" s="319"/>
      <c r="R1110" s="319"/>
      <c r="S1110" s="319"/>
      <c r="T1110" s="319"/>
      <c r="U1110" s="319"/>
      <c r="V1110" s="319"/>
      <c r="W1110" s="319"/>
      <c r="X1110" s="319"/>
      <c r="Y1110" s="319"/>
      <c r="Z1110" s="852" t="s">
        <v>1877</v>
      </c>
      <c r="AA1110" s="853"/>
      <c r="AB1110" s="854">
        <f>IF(OR(HideCode_projectType3=1,HideCode_projectType3=6),IF(HideCodeES_HeatST1&gt;6,"",1),1)</f>
        <v>1</v>
      </c>
      <c r="AC1110" s="319"/>
      <c r="AD1110" s="319"/>
      <c r="AE1110" s="319"/>
      <c r="AF1110" s="319"/>
      <c r="AG1110" s="319"/>
      <c r="AH1110" s="319"/>
      <c r="AI1110" s="319"/>
      <c r="AJ1110" s="319"/>
      <c r="AK1110" s="319"/>
      <c r="AL1110" s="319"/>
      <c r="AM1110" s="319"/>
      <c r="AN1110" s="319"/>
      <c r="AO1110" s="587"/>
      <c r="AP1110" s="319"/>
      <c r="AQ1110" s="319"/>
      <c r="AR1110" s="319"/>
      <c r="AS1110" s="319"/>
      <c r="AT1110" s="319"/>
      <c r="AU1110" s="319"/>
      <c r="AV1110" s="319"/>
      <c r="AW1110" s="319"/>
      <c r="AX1110" s="319"/>
      <c r="AY1110" s="319"/>
      <c r="AZ1110" s="319"/>
      <c r="BA1110" s="319"/>
      <c r="BB1110" s="319"/>
      <c r="BC1110" s="319"/>
      <c r="BD1110" s="319"/>
      <c r="BE1110" s="319"/>
      <c r="BF1110" s="319"/>
      <c r="BG1110" s="319"/>
      <c r="BH1110" s="319"/>
      <c r="BI1110" s="319" t="s">
        <v>5705</v>
      </c>
      <c r="BJ1110" s="319"/>
      <c r="BK1110" s="319"/>
      <c r="BL1110" s="319"/>
      <c r="BM1110" s="319"/>
      <c r="BN1110" s="319"/>
      <c r="BO1110" s="319"/>
      <c r="BP1110" s="319"/>
      <c r="BQ1110" s="319"/>
      <c r="BR1110" s="319"/>
      <c r="BS1110" s="319"/>
      <c r="BT1110" s="319"/>
      <c r="BU1110" s="319"/>
      <c r="BV1110" s="319"/>
      <c r="BW1110" s="319"/>
      <c r="BX1110" s="319"/>
      <c r="BY1110" s="319"/>
      <c r="BZ1110" s="319"/>
      <c r="CA1110" s="319"/>
      <c r="CB1110" s="319"/>
      <c r="CC1110" s="319"/>
      <c r="CD1110" s="319"/>
      <c r="CE1110" s="319"/>
      <c r="CF1110" s="319"/>
    </row>
    <row r="1111" spans="1:84" ht="13.5" hidden="1" customHeight="1">
      <c r="A1111" s="319"/>
      <c r="B1111" s="319"/>
      <c r="C1111" s="319"/>
      <c r="D1111" s="319"/>
      <c r="E1111" s="319"/>
      <c r="F1111" s="319"/>
      <c r="G1111" s="319"/>
      <c r="H1111" s="319"/>
      <c r="I1111" s="319"/>
      <c r="J1111" s="319"/>
      <c r="K1111" s="319"/>
      <c r="L1111" s="319"/>
      <c r="M1111" s="319"/>
      <c r="N1111" s="319"/>
      <c r="O1111" s="319"/>
      <c r="P1111" s="319"/>
      <c r="Q1111" s="319"/>
      <c r="R1111" s="319"/>
      <c r="S1111" s="319"/>
      <c r="T1111" s="319"/>
      <c r="U1111" s="319"/>
      <c r="V1111" s="319"/>
      <c r="W1111" s="319"/>
      <c r="X1111" s="319"/>
      <c r="Y1111" s="319"/>
      <c r="Z1111" s="468"/>
      <c r="AA1111" s="469" t="s">
        <v>5769</v>
      </c>
      <c r="AB1111" s="469" t="s">
        <v>4544</v>
      </c>
      <c r="AC1111" s="469" t="s">
        <v>5376</v>
      </c>
      <c r="AD1111" s="469" t="s">
        <v>739</v>
      </c>
      <c r="AE1111" s="469" t="s">
        <v>1065</v>
      </c>
      <c r="AF1111" s="469" t="s">
        <v>4546</v>
      </c>
      <c r="AG1111" s="469" t="s">
        <v>5070</v>
      </c>
      <c r="AH1111" s="469" t="s">
        <v>4545</v>
      </c>
      <c r="AI1111" s="470" t="s">
        <v>2746</v>
      </c>
      <c r="AJ1111" s="319"/>
      <c r="AK1111" s="319" t="s">
        <v>4933</v>
      </c>
      <c r="AL1111" s="319"/>
      <c r="AM1111" s="319"/>
      <c r="AN1111" s="319"/>
      <c r="AO1111" s="587"/>
      <c r="AP1111" s="319"/>
      <c r="AQ1111" s="319"/>
      <c r="AR1111" s="319"/>
      <c r="AS1111" s="319"/>
      <c r="AT1111" s="319"/>
      <c r="AU1111" s="319"/>
      <c r="AV1111" s="319"/>
      <c r="AW1111" s="319"/>
      <c r="AX1111" s="319"/>
      <c r="AY1111" s="319"/>
      <c r="AZ1111" s="319"/>
      <c r="BA1111" s="319"/>
      <c r="BB1111" s="319"/>
      <c r="BC1111" s="319"/>
      <c r="BD1111" s="319"/>
      <c r="BE1111" s="319"/>
      <c r="BF1111" s="319"/>
      <c r="BG1111" s="319"/>
      <c r="BH1111" s="319"/>
      <c r="BI1111" s="319"/>
      <c r="BJ1111" s="319"/>
      <c r="BK1111" s="319"/>
      <c r="BL1111" s="319"/>
      <c r="BM1111" s="319"/>
      <c r="BN1111" s="319"/>
      <c r="BO1111" s="319"/>
      <c r="BP1111" s="319"/>
      <c r="BQ1111" s="319"/>
      <c r="BR1111" s="319"/>
      <c r="BS1111" s="319"/>
      <c r="BT1111" s="319"/>
      <c r="BU1111" s="319"/>
      <c r="BV1111" s="319"/>
      <c r="BW1111" s="319"/>
      <c r="BX1111" s="319"/>
      <c r="BY1111" s="319"/>
      <c r="BZ1111" s="319"/>
      <c r="CA1111" s="319"/>
      <c r="CB1111" s="319"/>
      <c r="CC1111" s="319"/>
      <c r="CD1111" s="319"/>
      <c r="CE1111" s="319"/>
      <c r="CF1111" s="319"/>
    </row>
    <row r="1112" spans="1:84" ht="13.5" hidden="1" customHeight="1">
      <c r="A1112" s="319"/>
      <c r="B1112" s="319"/>
      <c r="C1112" s="319"/>
      <c r="D1112" s="319"/>
      <c r="E1112" s="319"/>
      <c r="F1112" s="319"/>
      <c r="G1112" s="319"/>
      <c r="H1112" s="319"/>
      <c r="I1112" s="319" t="s">
        <v>306</v>
      </c>
      <c r="J1112" s="319"/>
      <c r="K1112" s="319"/>
      <c r="L1112" s="319"/>
      <c r="M1112" s="319"/>
      <c r="N1112" s="319"/>
      <c r="O1112" s="319" t="s">
        <v>2670</v>
      </c>
      <c r="P1112" s="319"/>
      <c r="Q1112" s="319"/>
      <c r="R1112" s="319"/>
      <c r="S1112" s="319"/>
      <c r="T1112" s="319" t="s">
        <v>306</v>
      </c>
      <c r="U1112" s="319" t="s">
        <v>2670</v>
      </c>
      <c r="V1112" s="319" t="s">
        <v>306</v>
      </c>
      <c r="W1112" s="319" t="s">
        <v>2670</v>
      </c>
      <c r="X1112" s="319"/>
      <c r="Y1112" s="319"/>
      <c r="Z1112" s="450" t="s">
        <v>4355</v>
      </c>
      <c r="AA1112" s="463" t="str">
        <f>IF(AB1110=1,IF(OR(HideCode_projectType3=2,HideCode_projectType3=4,HideCode_projectType3=5,HideCode_projectType3=7),IF(OR(HideCodeES_PowerST1=5,HideCodeES_PowerST1=7,HideCodeES_PowerST1=8,HideCodeES_PowerST1=9,HideCodeES_PowerST1&gt;10),"",IF(HideCodeES_Fuel1=1,$C$38,IF(HideCodeES_Fuel1=2,C43,C65))),IF(HideCodeES_Fuel1=1,$C$38,IF(HideCodeES_Fuel1=2,C43,C65))),"")</f>
        <v/>
      </c>
      <c r="AB1112" s="463"/>
      <c r="AC1112" s="463" t="str">
        <f>IF(AB1110=1,IF(OR(HideCode_projectType3=2,HideCode_projectType3=4,HideCode_projectType3=5,HideCode_projectType3=7)=TRUE,IF(OR(HideCodeES_PowerST1=5,HideCodeES_PowerST1=7,HideCodeES_PowerST1=8,HideCodeES_PowerST1=9)=TRUE,"",IF(HideCodeES_Fuel1=1,$S$38,IF(HideCodeES_Fuel1=2,O43,O65))),IF(HideCodeES_Fuel1=1,$S$38,IF(HideCodeES_Fuel1=2,O43,O65))),"")</f>
        <v/>
      </c>
      <c r="AD1112" s="463" t="str">
        <f>IF(AB1110=1,IF(OR(HideCode_projectType3=2,HideCode_projectType3=4,HideCode_projectType3=5,HideCode_projectType3=7)=TRUE,IF(OR(HideCodeES_PowerST1=5,HideCodeES_PowerST1=7,HideCodeES_PowerST1=8,HideCodeES_PowerST1=9)=TRUE,"",IF(HideCodeES_Fuel1=1,1,IF(HideCodeES_Fuel1=2,E43,E65))),IF(HideCodeES_Fuel1=1,1,IF(HideCodeES_Fuel1=2,E43,E65))),"")</f>
        <v/>
      </c>
      <c r="AE1112" s="463" t="str">
        <f>IF(AB1110=1,IF(OR(HideCode_projectType3=2,HideCode_projectType3=4,HideCode_projectType3=5,HideCode_projectType3=7)=TRUE,IF(OR(HideCodeES_PowerST1=5,HideCodeES_PowerST1=7,HideCodeES_PowerST1=8,HideCodeES_PowerST1=9)=TRUE,"",IF(HideCodeES_Fuel1=1,VLOOKUP($C$38,$B$1176:$F$1289,2,FALSE),IF(HideCodeES_Fuel1=2,F43,F65))),IF(HideCodeES_Fuel1=1,VLOOKUP($C$38,$B$1176:$F$1289,2,FALSE),IF(HideCodeES_Fuel1=2,F43,F65))),"")</f>
        <v/>
      </c>
      <c r="AF1112" s="463" t="str">
        <f>IF(AB1110=1,IF(OR(HideCode_projectType3=2,HideCode_projectType3=4,HideCode_projectType3=5,HideCode_projectType3=7)=TRUE,IF(OR(HideCodeES_PowerST1=5,HideCodeES_PowerST1=7,HideCodeES_PowerST1=8,HideCodeES_PowerST1=9)=TRUE,"",IF(HideCodeES_Fuel1=1,$Q$46*1000/VLOOKUP($C$38,$B$1176:$F$1289,4,FALSE)/VLOOKUP($C$38,$B$1176:$F$1289,5,FALSE),IF(HideCodeES_Fuel1=2,G43,G65))),IF(HideCodeES_Fuel1=1,$Q$46*1000/VLOOKUP($C$38,$B$1176:$F$1289,4,FALSE)/VLOOKUP($C$38,$B$1176:$F$1289,5,FALSE),IF(HideCodeES_Fuel1=2,G43,G65))),"")</f>
        <v/>
      </c>
      <c r="AG1112" s="463" t="str">
        <f>IF(AB1110=1,IF(OR(HideCode_projectType3=2,HideCode_projectType3=4,HideCode_projectType3=5,HideCode_projectType3=7)=TRUE,IF(OR(HideCodeES_PowerST1=5,HideCodeES_PowerST1=7,HideCodeES_PowerST1=8,HideCodeES_PowerST1=9)=TRUE,"",IF(HideCodeES_Fuel1=1,$C$39,IF(HideCodeES_Fuel1=2,H43,H65))),IF(HideCodeES_Fuel1=1,$C$39,IF(HideCodeES_Fuel1=2,H43,H65))),"")</f>
        <v/>
      </c>
      <c r="AH1112" s="463" t="str">
        <f>IF(AB1110=1,IF(OR(HideCode_projectType3=2,HideCode_projectType3=4,HideCode_projectType3=5,HideCode_projectType3=7)=TRUE,IF(OR(HideCodeES_PowerST1=5,HideCodeES_PowerST1=7,HideCodeES_PowerST1=8,HideCodeES_PowerST1=9)=TRUE,"",IF(HideCodeES_Fuel1=1,$D$39,IF(HideCodeES_Fuel1=2,I43,I65))),IF(HideCodeES_Fuel1=1,$D$39,IF(HideCodeES_Fuel1=2,I43,I65))),"")</f>
        <v/>
      </c>
      <c r="AI1112" s="471" t="str">
        <f>IF(AB1110=1,IF(OR(HideCode_projectType3=2,HideCode_projectType3=4,HideCode_projectType3=5,HideCode_projectType3=7)=TRUE,IF(OR(HideCodeES_PowerST1=5,HideCodeES_PowerST1=7,HideCodeES_PowerST1=8,HideCodeES_PowerST1=9)=TRUE,"",IF(HideCodeES_Fuel1=1,AF1112*AH1112,IF(HideCodeES_Fuel1=2,J43,J65))),IF(HideCodeES_Fuel1=1,AF1112*AH1112,IF(HideCodeES_Fuel1=2,J43,J65))),"")</f>
        <v/>
      </c>
      <c r="AJ1112" s="319"/>
      <c r="AK1112" s="319"/>
      <c r="AL1112" s="319"/>
      <c r="AM1112" s="319"/>
      <c r="AN1112" s="319"/>
      <c r="AO1112" s="587"/>
      <c r="AP1112" s="319"/>
      <c r="AQ1112" s="319"/>
      <c r="AR1112" s="319"/>
      <c r="AS1112" s="319"/>
      <c r="AT1112" s="319"/>
      <c r="AU1112" s="319"/>
      <c r="AV1112" s="319"/>
      <c r="AW1112" s="319"/>
      <c r="AX1112" s="319"/>
      <c r="AY1112" s="319"/>
      <c r="AZ1112" s="319"/>
      <c r="BA1112" s="319"/>
      <c r="BB1112" s="319"/>
      <c r="BC1112" s="319"/>
      <c r="BD1112" s="319"/>
      <c r="BE1112" s="319"/>
      <c r="BF1112" s="319"/>
      <c r="BG1112" s="319"/>
      <c r="BH1112" s="319"/>
      <c r="BI1112" s="319"/>
      <c r="BJ1112" s="319"/>
      <c r="BK1112" s="319"/>
      <c r="BL1112" s="319"/>
      <c r="BM1112" s="319"/>
      <c r="BN1112" s="319"/>
      <c r="BO1112" s="319"/>
      <c r="BP1112" s="319"/>
      <c r="BQ1112" s="319"/>
      <c r="BR1112" s="319"/>
      <c r="BS1112" s="319"/>
      <c r="BT1112" s="319"/>
      <c r="BU1112" s="319"/>
      <c r="BV1112" s="319"/>
      <c r="BW1112" s="319"/>
      <c r="BX1112" s="319"/>
      <c r="BY1112" s="319"/>
      <c r="BZ1112" s="319"/>
      <c r="CA1112" s="319"/>
      <c r="CB1112" s="319"/>
      <c r="CC1112" s="319"/>
      <c r="CD1112" s="319"/>
      <c r="CE1112" s="319"/>
      <c r="CF1112" s="319"/>
    </row>
    <row r="1113" spans="1:84" ht="13.5" hidden="1" customHeight="1">
      <c r="A1113" s="319"/>
      <c r="B1113" s="319" t="s">
        <v>2604</v>
      </c>
      <c r="C1113" s="319"/>
      <c r="D1113" s="319"/>
      <c r="E1113" s="319"/>
      <c r="F1113" s="319"/>
      <c r="G1113" s="319"/>
      <c r="H1113" s="319"/>
      <c r="I1113" s="319"/>
      <c r="J1113" s="319" t="s">
        <v>1920</v>
      </c>
      <c r="K1113" s="319" t="s">
        <v>717</v>
      </c>
      <c r="L1113" s="319" t="s">
        <v>2176</v>
      </c>
      <c r="M1113" s="319" t="s">
        <v>4487</v>
      </c>
      <c r="N1113" s="319" t="s">
        <v>5137</v>
      </c>
      <c r="O1113" s="319" t="s">
        <v>5858</v>
      </c>
      <c r="P1113" s="319" t="s">
        <v>1920</v>
      </c>
      <c r="Q1113" s="319" t="s">
        <v>717</v>
      </c>
      <c r="R1113" s="319" t="s">
        <v>2176</v>
      </c>
      <c r="S1113" s="319" t="s">
        <v>4487</v>
      </c>
      <c r="T1113" s="319" t="s">
        <v>4296</v>
      </c>
      <c r="U1113" s="319"/>
      <c r="V1113" s="319" t="s">
        <v>709</v>
      </c>
      <c r="W1113" s="319" t="s">
        <v>709</v>
      </c>
      <c r="X1113" s="319"/>
      <c r="Y1113" s="319"/>
      <c r="Z1113" s="450"/>
      <c r="AA1113" s="463" t="str">
        <f>IF(AB1110=1,IF(OR(HideCode_projectType3=2,HideCode_projectType3=4,HideCode_projectType3=5,HideCode_projectType3=7)=TRUE,IF(OR(HideCodeES_PowerST1=5,HideCodeES_PowerST1=7,HideCodeES_PowerST1=8,HideCodeES_PowerST1=9)=TRUE,"",IF(HideCodeES_Fuel1=1,"",IF(HideCodeES_Fuel1=2,C44,C66))),IF(HideCodeES_Fuel1=1,"",IF(HideCodeES_Fuel1=2,C44,C66))),"")</f>
        <v/>
      </c>
      <c r="AB1113" s="463"/>
      <c r="AC1113" s="463" t="str">
        <f>IF(AB1110=1,IF(OR(HideCode_projectType3=2,HideCode_projectType3=4,HideCode_projectType3=5,HideCode_projectType3=7)=TRUE,IF(OR(HideCodeES_PowerST1=5,HideCodeES_PowerST1=7,HideCodeES_PowerST1=8,HideCodeES_PowerST1=9)=TRUE,"",IF(HideCodeES_Fuel1=1,"",IF(HideCodeES_Fuel1=2,O44,O66))),IF(HideCodeES_Fuel1=1,"",IF(HideCodeES_Fuel1=2,O44,O66))),"")</f>
        <v/>
      </c>
      <c r="AD1113" s="463" t="str">
        <f>IF(AB1110=1,IF(OR(HideCode_projectType3=2,HideCode_projectType3=4,HideCode_projectType3=5,HideCode_projectType3=7)=TRUE,IF(OR(HideCodeES_PowerST1=5,HideCodeES_PowerST1=7,HideCodeES_PowerST1=8,HideCodeES_PowerST1=9)=TRUE,"",IF(HideCodeES_Fuel1=1,"",IF(HideCodeES_Fuel1=2,E44,E66))),IF(HideCodeES_Fuel1=1,"",IF(HideCodeES_Fuel1=2,E44,E66))),"")</f>
        <v/>
      </c>
      <c r="AE1113" s="463" t="str">
        <f>IF(AB1110=1,IF(OR(HideCode_projectType3=2,HideCode_projectType3=4,HideCode_projectType3=5,HideCode_projectType3=7)=TRUE,IF(OR(HideCodeES_PowerST1=5,HideCodeES_PowerST1=7,HideCodeES_PowerST1=8,HideCodeES_PowerST1=9)=TRUE,"",IF(HideCodeES_Fuel1=1,"",IF(HideCodeES_Fuel1=2,F44,F66))),IF(HideCodeES_Fuel1=1,"",IF(HideCodeES_Fuel1=2,F44,F66))),"")</f>
        <v/>
      </c>
      <c r="AF1113" s="463" t="str">
        <f>IF(AB1110=1,IF(OR(HideCode_projectType3=2,HideCode_projectType3=4,HideCode_projectType3=5,HideCode_projectType3=7)=TRUE,IF(OR(HideCodeES_PowerST1=5,HideCodeES_PowerST1=7,HideCodeES_PowerST1=8,HideCodeES_PowerST1=9)=TRUE,"",IF(HideCodeES_Fuel1=1,"",IF(HideCodeES_Fuel1=2,G44,G66))),IF(HideCodeES_Fuel1=1,"",IF(HideCodeES_Fuel1=2,G44,G66))),"")</f>
        <v/>
      </c>
      <c r="AG1113" s="463" t="str">
        <f>IF(AB1110=1,IF(OR(HideCode_projectType3=2,HideCode_projectType3=4,HideCode_projectType3=5,HideCode_projectType3=7)=TRUE,IF(OR(HideCodeES_PowerST1=5,HideCodeES_PowerST1=7,HideCodeES_PowerST1=8,HideCodeES_PowerST1=9)=TRUE,"",IF(HideCodeES_Fuel1=1,"",IF(HideCodeES_Fuel1=2,H44,H66))),IF(HideCodeES_Fuel1=1,"",IF(HideCodeES_Fuel1=2,H44,H66))),"")</f>
        <v/>
      </c>
      <c r="AH1113" s="463" t="str">
        <f>IF(AB1110=1,IF(OR(HideCode_projectType3=2,HideCode_projectType3=4,HideCode_projectType3=5,HideCode_projectType3=7)=TRUE,IF(OR(HideCodeES_PowerST1=5,HideCodeES_PowerST1=7,HideCodeES_PowerST1=8,HideCodeES_PowerST1=9)=TRUE,"",IF(HideCodeES_Fuel1=1,"",IF(HideCodeES_Fuel1=2,I44,I66))),IF(HideCodeES_Fuel1=1,"",IF(HideCodeES_Fuel1=2,I44,I66))),"")</f>
        <v/>
      </c>
      <c r="AI1113" s="471" t="str">
        <f>IF(AB1110=1,IF(OR(HideCode_projectType3=2,HideCode_projectType3=4,HideCode_projectType3=5,HideCode_projectType3=7)=TRUE,IF(OR(HideCodeES_PowerST1=5,HideCodeES_PowerST1=7,HideCodeES_PowerST1=8,HideCodeES_PowerST1=9)=TRUE,"",IF(HideCodeES_Fuel1=1,"",IF(HideCodeES_Fuel1=2,J44,J66))),IF(HideCodeES_Fuel1=1,"",IF(HideCodeES_Fuel1=2,J44,J66))),"")</f>
        <v/>
      </c>
      <c r="AJ1113" s="319"/>
      <c r="AK1113" s="319"/>
      <c r="AL1113" s="319"/>
      <c r="AM1113" s="319"/>
      <c r="AN1113" s="319"/>
      <c r="AO1113" s="587"/>
      <c r="AP1113" s="319"/>
      <c r="AQ1113" s="319"/>
      <c r="AR1113" s="319"/>
      <c r="AS1113" s="319"/>
      <c r="AT1113" s="319"/>
      <c r="AU1113" s="319"/>
      <c r="AV1113" s="319"/>
      <c r="AW1113" s="319"/>
      <c r="AX1113" s="319"/>
      <c r="AY1113" s="319"/>
      <c r="AZ1113" s="319"/>
      <c r="BA1113" s="319"/>
      <c r="BB1113" s="319"/>
      <c r="BC1113" s="319"/>
      <c r="BD1113" s="319"/>
      <c r="BE1113" s="319"/>
      <c r="BF1113" s="319"/>
      <c r="BG1113" s="319"/>
      <c r="BH1113" s="319"/>
      <c r="BI1113" s="319"/>
      <c r="BJ1113" s="319"/>
      <c r="BK1113" s="319"/>
      <c r="BL1113" s="319"/>
      <c r="BM1113" s="319"/>
      <c r="BN1113" s="319"/>
      <c r="BO1113" s="319"/>
      <c r="BP1113" s="319"/>
      <c r="BQ1113" s="319"/>
      <c r="BR1113" s="319"/>
      <c r="BS1113" s="319"/>
      <c r="BT1113" s="319"/>
      <c r="BU1113" s="319"/>
      <c r="BV1113" s="319"/>
      <c r="BW1113" s="319"/>
      <c r="BX1113" s="319"/>
      <c r="BY1113" s="319"/>
      <c r="BZ1113" s="319"/>
      <c r="CA1113" s="319"/>
      <c r="CB1113" s="319"/>
      <c r="CC1113" s="319"/>
      <c r="CD1113" s="319"/>
      <c r="CE1113" s="319"/>
      <c r="CF1113" s="319"/>
    </row>
    <row r="1114" spans="1:84" ht="13.5" hidden="1" customHeight="1">
      <c r="A1114" s="319"/>
      <c r="B1114" s="3">
        <v>25</v>
      </c>
      <c r="C1114" s="3">
        <v>0</v>
      </c>
      <c r="D1114" s="3">
        <f>ROUND(RoundVal1,RoundDigit)</f>
        <v>25</v>
      </c>
      <c r="E1114" s="319"/>
      <c r="F1114" s="319"/>
      <c r="G1114" s="319"/>
      <c r="H1114" s="319"/>
      <c r="I1114" s="319" t="str">
        <f>K1063</f>
        <v>Motor recíproco</v>
      </c>
      <c r="J1114" s="494">
        <f>D92</f>
        <v>0</v>
      </c>
      <c r="K1114" s="494">
        <f>S101</f>
        <v>0</v>
      </c>
      <c r="L1114" s="319">
        <f>S100*1000</f>
        <v>0</v>
      </c>
      <c r="M1114" s="319">
        <f>IF(AND(HideCodeES_PSS=2,G1120=1),0,D93)</f>
        <v>0</v>
      </c>
      <c r="N1114" s="319">
        <v>1</v>
      </c>
      <c r="O1114" s="319" t="str">
        <f>K1063</f>
        <v>Motor recíproco</v>
      </c>
      <c r="P1114" s="494">
        <f>D609</f>
        <v>0</v>
      </c>
      <c r="Q1114" s="494">
        <f>S618</f>
        <v>0</v>
      </c>
      <c r="R1114" s="494">
        <f>S617*1000</f>
        <v>0</v>
      </c>
      <c r="S1114" s="494">
        <f>IF(AND(HideCodeES_PSS=2,G1120=2),0,D610)</f>
        <v>0</v>
      </c>
      <c r="T1114" s="494">
        <f t="shared" ref="T1114:T1119" si="91">J1114</f>
        <v>0</v>
      </c>
      <c r="U1114" s="494">
        <f t="shared" ref="U1114:U1119" si="92">P1114</f>
        <v>0</v>
      </c>
      <c r="V1114" s="494">
        <f>H92</f>
        <v>0</v>
      </c>
      <c r="W1114" s="494">
        <f>H609</f>
        <v>0</v>
      </c>
      <c r="X1114" s="319"/>
      <c r="Y1114" s="319"/>
      <c r="Z1114" s="450"/>
      <c r="AA1114" s="463" t="str">
        <f>IF(AB1110=1,IF(OR(HideCode_projectType3=2,HideCode_projectType3=4,HideCode_projectType3=5,HideCode_projectType3=7)=TRUE,IF(OR(HideCodeES_PowerST1=5,HideCodeES_PowerST1=7,HideCodeES_PowerST1=8,HideCodeES_PowerST1=9)=TRUE,"",IF(HideCodeES_Fuel1=1,"",IF(HideCodeES_Fuel1=2,C45,C67))),IF(HideCodeES_Fuel1=1,"",IF(HideCodeES_Fuel1=2,C45,C67))),"")</f>
        <v/>
      </c>
      <c r="AB1114" s="463"/>
      <c r="AC1114" s="463" t="str">
        <f>IF(AB1110=1,IF(OR(HideCode_projectType3=2,HideCode_projectType3=4,HideCode_projectType3=5,HideCode_projectType3=7)=TRUE,IF(OR(HideCodeES_PowerST1=5,HideCodeES_PowerST1=7,HideCodeES_PowerST1=8,HideCodeES_PowerST1=9)=TRUE,"",IF(HideCodeES_Fuel1=1,"",IF(HideCodeES_Fuel1=2,O45,O67))),IF(HideCodeES_Fuel1=1,"",IF(HideCodeES_Fuel1=2,O45,O67))),"")</f>
        <v/>
      </c>
      <c r="AD1114" s="463" t="str">
        <f>IF(AB1110=1,IF(OR(HideCode_projectType3=2,HideCode_projectType3=4,HideCode_projectType3=5,HideCode_projectType3=7)=TRUE,IF(OR(HideCodeES_PowerST1=5,HideCodeES_PowerST1=7,HideCodeES_PowerST1=8,HideCodeES_PowerST1=9)=TRUE,"",IF(HideCodeES_Fuel1=1,"",IF(HideCodeES_Fuel1=2,E45,E67))),IF(HideCodeES_Fuel1=1,"",IF(HideCodeES_Fuel1=2,E45,E67))),"")</f>
        <v/>
      </c>
      <c r="AE1114" s="463" t="str">
        <f>IF(AB1110=1,IF(OR(HideCode_projectType3=2,HideCode_projectType3=4,HideCode_projectType3=5,HideCode_projectType3=7)=TRUE,IF(OR(HideCodeES_PowerST1=5,HideCodeES_PowerST1=7,HideCodeES_PowerST1=8,HideCodeES_PowerST1=9)=TRUE,"",IF(HideCodeES_Fuel1=1,"",IF(HideCodeES_Fuel1=2,F45,F67))),IF(HideCodeES_Fuel1=1,"",IF(HideCodeES_Fuel1=2,F45,F67))),"")</f>
        <v/>
      </c>
      <c r="AF1114" s="463" t="str">
        <f>IF(AB1110=1,IF(OR(HideCode_projectType3=2,HideCode_projectType3=4,HideCode_projectType3=5,HideCode_projectType3=7)=TRUE,IF(OR(HideCodeES_PowerST1=5,HideCodeES_PowerST1=7,HideCodeES_PowerST1=8,HideCodeES_PowerST1=9)=TRUE,"",IF(HideCodeES_Fuel1=1,"",IF(HideCodeES_Fuel1=2,G45,G67))),IF(HideCodeES_Fuel1=1,"",IF(HideCodeES_Fuel1=2,G45,G67))),"")</f>
        <v/>
      </c>
      <c r="AG1114" s="463" t="str">
        <f>IF(AB1110=1,IF(OR(HideCode_projectType3=2,HideCode_projectType3=4,HideCode_projectType3=5,HideCode_projectType3=7)=TRUE,IF(OR(HideCodeES_PowerST1=5,HideCodeES_PowerST1=7,HideCodeES_PowerST1=8,HideCodeES_PowerST1=9)=TRUE,"",IF(HideCodeES_Fuel1=1,"",IF(HideCodeES_Fuel1=2,H45,H67))),IF(HideCodeES_Fuel1=1,"",IF(HideCodeES_Fuel1=2,H45,H67))),"")</f>
        <v/>
      </c>
      <c r="AH1114" s="463" t="str">
        <f>IF(AB1110=1,IF(OR(HideCode_projectType3=2,HideCode_projectType3=4,HideCode_projectType3=5,HideCode_projectType3=7)=TRUE,IF(OR(HideCodeES_PowerST1=5,HideCodeES_PowerST1=7,HideCodeES_PowerST1=8,HideCodeES_PowerST1=9)=TRUE,"",IF(HideCodeES_Fuel1=1,"",IF(HideCodeES_Fuel1=2,I45,I67))),IF(HideCodeES_Fuel1=1,"",IF(HideCodeES_Fuel1=2,I45,I67))),"")</f>
        <v/>
      </c>
      <c r="AI1114" s="471" t="str">
        <f>IF(AB1110=1,IF(OR(HideCode_projectType3=2,HideCode_projectType3=4,HideCode_projectType3=5,HideCode_projectType3=7)=TRUE,IF(OR(HideCodeES_PowerST1=5,HideCodeES_PowerST1=7,HideCodeES_PowerST1=8,HideCodeES_PowerST1=9)=TRUE,"",IF(HideCodeES_Fuel1=1,"",IF(HideCodeES_Fuel1=2,J45,J67))),IF(HideCodeES_Fuel1=1,"",IF(HideCodeES_Fuel1=2,J45,J67))),"")</f>
        <v/>
      </c>
      <c r="AJ1114" s="319"/>
      <c r="AK1114" s="319"/>
      <c r="AL1114" s="319"/>
      <c r="AM1114" s="319"/>
      <c r="AN1114" s="319"/>
      <c r="AO1114" s="587"/>
      <c r="AP1114" s="319"/>
      <c r="AQ1114" s="319"/>
      <c r="AR1114" s="319"/>
      <c r="AS1114" s="319"/>
      <c r="AT1114" s="319"/>
      <c r="AU1114" s="319"/>
      <c r="AV1114" s="319"/>
      <c r="AW1114" s="319"/>
      <c r="AX1114" s="319"/>
      <c r="AY1114" s="319"/>
      <c r="AZ1114" s="319"/>
      <c r="BA1114" s="319"/>
      <c r="BB1114" s="319"/>
      <c r="BC1114" s="319"/>
      <c r="BD1114" s="319"/>
      <c r="BE1114" s="319"/>
      <c r="BF1114" s="319"/>
      <c r="BG1114" s="319"/>
      <c r="BH1114" s="319"/>
      <c r="BI1114" s="319"/>
      <c r="BJ1114" s="319"/>
      <c r="BK1114" s="319"/>
      <c r="BL1114" s="319"/>
      <c r="BM1114" s="319"/>
      <c r="BN1114" s="319"/>
      <c r="BO1114" s="319"/>
      <c r="BP1114" s="319"/>
      <c r="BQ1114" s="319"/>
      <c r="BR1114" s="319"/>
      <c r="BS1114" s="319"/>
      <c r="BT1114" s="319"/>
      <c r="BU1114" s="319"/>
      <c r="BV1114" s="319"/>
      <c r="BW1114" s="319"/>
      <c r="BX1114" s="319"/>
      <c r="BY1114" s="319"/>
      <c r="BZ1114" s="319"/>
      <c r="CA1114" s="319"/>
      <c r="CB1114" s="319"/>
      <c r="CC1114" s="319"/>
      <c r="CD1114" s="319"/>
      <c r="CE1114" s="319"/>
      <c r="CF1114" s="319"/>
    </row>
    <row r="1115" spans="1:84" ht="13.5" hidden="1" customHeight="1">
      <c r="A1115" s="319"/>
      <c r="B1115" s="319"/>
      <c r="C1115" s="319"/>
      <c r="D1115" s="319"/>
      <c r="E1115" s="319"/>
      <c r="F1115" s="319"/>
      <c r="G1115" s="319"/>
      <c r="H1115" s="319"/>
      <c r="I1115" s="319" t="str">
        <f t="shared" ref="I1115:I1127" si="93">K1064</f>
        <v>Turbina à gas</v>
      </c>
      <c r="J1115" s="494">
        <f>D104</f>
        <v>0</v>
      </c>
      <c r="K1115" s="494">
        <f>S113</f>
        <v>0</v>
      </c>
      <c r="L1115" s="319">
        <f>D104*S110/1000</f>
        <v>0</v>
      </c>
      <c r="M1115" s="319">
        <f>IF(AND(HideCodeES_PSS=2,G1120=1),0,D105)</f>
        <v>0</v>
      </c>
      <c r="N1115" s="319">
        <v>2</v>
      </c>
      <c r="O1115" s="319" t="str">
        <f t="shared" ref="O1115:O1127" si="94">K1064</f>
        <v>Turbina à gas</v>
      </c>
      <c r="P1115" s="494">
        <f>D621</f>
        <v>0</v>
      </c>
      <c r="Q1115" s="494">
        <f>S630</f>
        <v>0</v>
      </c>
      <c r="R1115" s="494">
        <f>S629*1000</f>
        <v>0</v>
      </c>
      <c r="S1115" s="494">
        <f>IF(AND(HideCodeES_PSS=2,G1120=2),0,D622)</f>
        <v>0</v>
      </c>
      <c r="T1115" s="494">
        <f t="shared" si="91"/>
        <v>0</v>
      </c>
      <c r="U1115" s="494">
        <f t="shared" si="92"/>
        <v>0</v>
      </c>
      <c r="V1115" s="494">
        <f>H104</f>
        <v>0</v>
      </c>
      <c r="W1115" s="494">
        <f>H621</f>
        <v>0</v>
      </c>
      <c r="X1115" s="319"/>
      <c r="Y1115" s="319"/>
      <c r="Z1115" s="450" t="s">
        <v>1851</v>
      </c>
      <c r="AA1115" s="463" t="str">
        <f>IF(OR(HideCode_projectType3=2,HideCode_projectType3=4,HideCode_projectType3=5,HideCode_projectType3=7)=TRUE,IF(OR(HideCodeES_PSS=1,HideCodeES_PowerST2=5,HideCodeES_PowerST2=7,HideCodeES_PowerST2=8,HideCodeES_PowerST2=9,HideCodeES_PowerST2&gt;10)=TRUE,"",IF(HideCodeES_Fuel2=1,$C$554,IF(HideCodeES_Fuel2=2,C559,C581))),IF(HideCodeES_HSS=1,"",IF(HideCodeES_Fuel2=1,$C$554,IF(HideCodeES_Fuel2=2,C559,C581))))</f>
        <v/>
      </c>
      <c r="AB1115" s="463"/>
      <c r="AC1115" s="463" t="str">
        <f>IF(OR(HideCode_projectType3=2,HideCode_projectType3=4,HideCode_projectType3=5,HideCode_projectType3=7)=TRUE,IF(OR(HideCodeES_PSS=1,HideCodeES_PowerST2=5,HideCodeES_PowerST2=7,HideCodeES_PowerST2=8,HideCodeES_PowerST2=9)=TRUE,"",IF(HideCodeES_Fuel2=1,$S$554,IF(HideCodeES_Fuel2=2,O559,O581))),IF(HideCodeES_HSS=1,"",IF(HideCodeES_Fuel2=1,$S$554,IF(HideCodeES_Fuel2=2,O559,O581))))</f>
        <v/>
      </c>
      <c r="AD1115" s="463" t="str">
        <f>IF(OR(HideCode_projectType3=2,HideCode_projectType3=4,HideCode_projectType3=5,HideCode_projectType3=7)=TRUE,IF(OR(HideCodeES_PSS=1,HideCodeES_PowerST2=5,HideCodeES_PowerST2=7,HideCodeES_PowerST2=8,HideCodeES_PowerST2=9)=TRUE,"",IF(HideCodeES_Fuel2=1,1,IF(HideCodeES_Fuel2=2,E559,E581))),IF(HideCodeES_HSS=1,"",IF(HideCodeES_Fuel2=1,1,IF(HideCodeES_Fuel2=2,E559,E581))))</f>
        <v/>
      </c>
      <c r="AE1115" s="463" t="str">
        <f>IF(OR(HideCode_projectType3=2,HideCode_projectType3=4,HideCode_projectType3=5,HideCode_projectType3=7)=TRUE,IF(OR(HideCodeES_PSS=1,HideCodeES_PowerST2=5,HideCodeES_PowerST2=7,HideCodeES_PowerST2=8,HideCodeES_PowerST2=9)=TRUE,"",IF(HideCodeES_Fuel2=1,VLOOKUP($C$554,$B$1176:$F$1289,2,FALSE),IF(HideCodeES_Fuel2=2,F559,F581))),IF(HideCodeES_HSS=1,"",IF(HideCodeES_Fuel2=1,VLOOKUP($C$554,$B$1176:$F$1289,2,FALSE),IF(HideCodeES_Fuel2=2,F559,F581))))</f>
        <v/>
      </c>
      <c r="AF1115" s="463" t="str">
        <f>IF(OR(HideCode_projectType3=2,HideCode_projectType3=4,HideCode_projectType3=5,HideCode_projectType3=7)=TRUE,IF(OR(HideCodeES_PSS=1,HideCodeES_PowerST2=5,HideCodeES_PowerST2=7,HideCodeES_PowerST2=8,HideCodeES_PowerST2=9)=TRUE,"",IF(HideCodeES_Fuel2=1,$Q$562*1000/VLOOKUP($C$554,$B$1176:$F$1289,4,FALSE)/VLOOKUP($C$554,$B$1176:$F$1289,5,FALSE),IF(HideCodeES_Fuel2=2,G559,G581))),IF(HideCodeES_HSS=1,"",IF(HideCodeES_Fuel2=1,$Q$562*1000/VLOOKUP($C$554,$B$1176:$F$1289,4,FALSE)/VLOOKUP($C$554,$B$1176:$F$1289,5,FALSE),IF(HideCodeES_Fuel2=2,G559,G581))))</f>
        <v/>
      </c>
      <c r="AG1115" s="463" t="str">
        <f>IF(OR(HideCode_projectType3=2,HideCode_projectType3=4,HideCode_projectType3=5,HideCode_projectType3=7)=TRUE,IF(OR(HideCodeES_PSS=1,HideCodeES_PowerST2=5,HideCodeES_PowerST2=7,HideCodeES_PowerST2=8,HideCodeES_PowerST2=9)=TRUE,"",IF(HideCodeES_Fuel2=1,$C$555,IF(HideCodeES_Fuel2=2,H559,H581))),IF(HideCodeES_HSS=1,"",IF(HideCodeES_Fuel2=1,$C$555,IF(HideCodeES_Fuel2=2,H559,H581))))</f>
        <v/>
      </c>
      <c r="AH1115" s="463" t="str">
        <f>IF(OR(HideCode_projectType3=2,HideCode_projectType3=4,HideCode_projectType3=5,HideCode_projectType3=7)=TRUE,IF(OR(HideCodeES_PSS=1,HideCodeES_PowerST2=5,HideCodeES_PowerST2=7,HideCodeES_PowerST2=8,HideCodeES_PowerST2=9)=TRUE,"",IF(HideCodeES_Fuel2=1,$D$555,IF(HideCodeES_Fuel2=2,I559,I581))),IF(HideCodeES_HSS=1,"",IF(HideCodeES_Fuel2=1,$D$555,IF(HideCodeES_Fuel2=2,I559,I581))))</f>
        <v/>
      </c>
      <c r="AI1115" s="471" t="str">
        <f>IF(OR(HideCode_projectType3=2,HideCode_projectType3=4,HideCode_projectType3=5,HideCode_projectType3=7)=TRUE,IF(OR(HideCodeES_PSS=1,HideCodeES_PowerST2=5,HideCodeES_PowerST2=7,HideCodeES_PowerST2=8,HideCodeES_PowerST2=9)=TRUE,"",IF(HideCodeES_Fuel2=1,AH1115*AF1115,IF(HideCodeES_Fuel2=2,J559,J581))),IF(HideCodeES_HSS=1,"",IF(HideCodeES_Fuel2=1,AF1115*AH1115,IF(HideCodeES_Fuel2=2,J559,J581))))</f>
        <v/>
      </c>
      <c r="AJ1115" s="319"/>
      <c r="AK1115" s="319"/>
      <c r="AL1115" s="319"/>
      <c r="AM1115" s="319"/>
      <c r="AN1115" s="319"/>
      <c r="AO1115" s="587"/>
      <c r="AP1115" s="319"/>
      <c r="AQ1115" s="319"/>
      <c r="AR1115" s="319"/>
      <c r="AS1115" s="319"/>
      <c r="AT1115" s="319"/>
      <c r="AU1115" s="319"/>
      <c r="AV1115" s="319"/>
      <c r="AW1115" s="319"/>
      <c r="AX1115" s="319"/>
      <c r="AY1115" s="319"/>
      <c r="AZ1115" s="319"/>
      <c r="BA1115" s="319"/>
      <c r="BB1115" s="319"/>
      <c r="BC1115" s="319"/>
      <c r="BD1115" s="319"/>
      <c r="BE1115" s="319"/>
      <c r="BF1115" s="319"/>
      <c r="BG1115" s="319"/>
      <c r="BH1115" s="319"/>
      <c r="BI1115" s="319"/>
      <c r="BJ1115" s="319"/>
      <c r="BK1115" s="319"/>
      <c r="BL1115" s="319"/>
      <c r="BM1115" s="319"/>
      <c r="BN1115" s="319"/>
      <c r="BO1115" s="319"/>
      <c r="BP1115" s="319"/>
      <c r="BQ1115" s="319"/>
      <c r="BR1115" s="319"/>
      <c r="BS1115" s="319"/>
      <c r="BT1115" s="319"/>
      <c r="BU1115" s="319"/>
      <c r="BV1115" s="319"/>
      <c r="BW1115" s="319"/>
      <c r="BX1115" s="319"/>
      <c r="BY1115" s="319"/>
      <c r="BZ1115" s="319"/>
      <c r="CA1115" s="319"/>
      <c r="CB1115" s="319"/>
      <c r="CC1115" s="319"/>
      <c r="CD1115" s="319"/>
      <c r="CE1115" s="319"/>
      <c r="CF1115" s="319"/>
    </row>
    <row r="1116" spans="1:84" ht="13.5" hidden="1" customHeight="1">
      <c r="A1116" s="319"/>
      <c r="B1116" s="319"/>
      <c r="C1116" s="319"/>
      <c r="D1116" s="319"/>
      <c r="E1116" s="319"/>
      <c r="F1116" s="319"/>
      <c r="G1116" s="319"/>
      <c r="H1116" s="319"/>
      <c r="I1116" s="319" t="str">
        <f t="shared" si="93"/>
        <v>Turbina à gas-ciclo combinado</v>
      </c>
      <c r="J1116" s="494" t="e">
        <f>V153</f>
        <v>#DIV/0!</v>
      </c>
      <c r="K1116" s="494">
        <f>IF(HideCodeES_PSS=1,IF(OR(N860=12,N860=14),S158,S157),IF(G1120=1,S157,IF(OR(N860=12,N860=14),S158,S157)))</f>
        <v>0</v>
      </c>
      <c r="L1116" s="319">
        <f>S122*1000</f>
        <v>0</v>
      </c>
      <c r="M1116" s="319">
        <f>IF(AND(HideCodeES_PSS=2,G1120=1),0,D117)</f>
        <v>0</v>
      </c>
      <c r="N1116" s="319">
        <v>3</v>
      </c>
      <c r="O1116" s="319" t="str">
        <f t="shared" si="94"/>
        <v>Turbina à gas-ciclo combinado</v>
      </c>
      <c r="P1116" s="494" t="e">
        <f>V670</f>
        <v>#DIV/0!</v>
      </c>
      <c r="Q1116" s="494">
        <f>IF(HideCodeES_PSS=1,IF(OR(N860=12,N860=14),S675,S674),IF(G1120=2,S674,IF(OR(N860=12,N860=14),S675,S674)))</f>
        <v>0</v>
      </c>
      <c r="R1116" s="494">
        <f>S639*1000</f>
        <v>0</v>
      </c>
      <c r="S1116" s="494">
        <f>IF(AND(HideCodeES_PSS=2,G1120=2),0,D634)</f>
        <v>0</v>
      </c>
      <c r="T1116" s="494" t="e">
        <f t="shared" si="91"/>
        <v>#DIV/0!</v>
      </c>
      <c r="U1116" s="494" t="e">
        <f t="shared" si="92"/>
        <v>#DIV/0!</v>
      </c>
      <c r="V1116" s="494">
        <f>H116</f>
        <v>0</v>
      </c>
      <c r="W1116" s="494">
        <f>H633</f>
        <v>0</v>
      </c>
      <c r="X1116" s="319"/>
      <c r="Y1116" s="319"/>
      <c r="Z1116" s="450"/>
      <c r="AA1116" s="463" t="str">
        <f>IF(OR(HideCode_projectType3=2,HideCode_projectType3=4,HideCode_projectType3=5,HideCode_projectType3=7)=TRUE,IF(OR(HideCodeES_PSS=1,HideCodeES_PowerST2=5,HideCodeES_PowerST2=7,HideCodeES_PowerST2=8,HideCodeES_PowerST2=9)=TRUE,"",IF(HideCodeES_Fuel2=1,"",IF(HideCodeES_Fuel2=2,C560,C582))),IF(HideCodeES_HSS=1,"",IF(HideCodeES_Fuel2=1,"",IF(HideCodeES_Fuel2=2,C560,C582))))</f>
        <v/>
      </c>
      <c r="AB1116" s="463"/>
      <c r="AC1116" s="463" t="str">
        <f>IF(OR(HideCode_projectType3=2,HideCode_projectType3=4,HideCode_projectType3=5,HideCode_projectType3=7)=TRUE,IF(OR(HideCodeES_PSS=1,HideCodeES_PowerST2=5,HideCodeES_PowerST2=7,HideCodeES_PowerST2=8,HideCodeES_PowerST2=9)=TRUE,"",IF(HideCodeES_Fuel2=1,"",IF(HideCodeES_Fuel2=2,O560,O582))),IF(HideCodeES_HSS=1,"",IF(HideCodeES_Fuel2=1,"",IF(HideCodeES_Fuel2=2,O560,O582))))</f>
        <v/>
      </c>
      <c r="AD1116" s="463" t="str">
        <f t="shared" ref="AD1116:AI1117" si="95">IF(OR(HideCode_projectType3=2,HideCode_projectType3=4,HideCode_projectType3=5,HideCode_projectType3=7)=TRUE,IF(OR(HideCodeES_PSS=1,HideCodeES_PowerST2=5,HideCodeES_PowerST2=7,HideCodeES_PowerST2=8,HideCodeES_PowerST2=9)=TRUE,"",IF(HideCodeES_Fuel2=1,"",IF(HideCodeES_Fuel2=2,E560,E582))),IF(HideCodeES_HSS=1,"",IF(HideCodeES_Fuel2=1,"",IF(HideCodeES_Fuel2=2,E560,E582))))</f>
        <v/>
      </c>
      <c r="AE1116" s="463" t="str">
        <f t="shared" si="95"/>
        <v/>
      </c>
      <c r="AF1116" s="463" t="str">
        <f t="shared" si="95"/>
        <v/>
      </c>
      <c r="AG1116" s="463" t="str">
        <f t="shared" si="95"/>
        <v/>
      </c>
      <c r="AH1116" s="463" t="str">
        <f t="shared" si="95"/>
        <v/>
      </c>
      <c r="AI1116" s="471" t="str">
        <f t="shared" si="95"/>
        <v/>
      </c>
      <c r="AJ1116" s="319"/>
      <c r="AK1116" s="319"/>
      <c r="AL1116" s="319"/>
      <c r="AM1116" s="319"/>
      <c r="AN1116" s="319"/>
      <c r="AO1116" s="587"/>
      <c r="AP1116" s="319"/>
      <c r="AQ1116" s="319"/>
      <c r="AR1116" s="319"/>
      <c r="AS1116" s="319"/>
      <c r="AT1116" s="319"/>
      <c r="AU1116" s="319"/>
      <c r="AV1116" s="319"/>
      <c r="AW1116" s="319"/>
      <c r="AX1116" s="319"/>
      <c r="AY1116" s="319"/>
      <c r="AZ1116" s="319"/>
      <c r="BA1116" s="319"/>
      <c r="BB1116" s="319"/>
      <c r="BC1116" s="319"/>
      <c r="BD1116" s="319"/>
      <c r="BE1116" s="319"/>
      <c r="BF1116" s="319"/>
      <c r="BG1116" s="319"/>
      <c r="BH1116" s="319"/>
      <c r="BI1116" s="319"/>
      <c r="BJ1116" s="319"/>
      <c r="BK1116" s="319"/>
      <c r="BL1116" s="319"/>
      <c r="BM1116" s="319"/>
      <c r="BN1116" s="319"/>
      <c r="BO1116" s="319"/>
      <c r="BP1116" s="319"/>
      <c r="BQ1116" s="319"/>
      <c r="BR1116" s="319"/>
      <c r="BS1116" s="319"/>
      <c r="BT1116" s="319"/>
      <c r="BU1116" s="319"/>
      <c r="BV1116" s="319"/>
      <c r="BW1116" s="319"/>
      <c r="BX1116" s="319"/>
      <c r="BY1116" s="319"/>
      <c r="BZ1116" s="319"/>
      <c r="CA1116" s="319"/>
      <c r="CB1116" s="319"/>
      <c r="CC1116" s="319"/>
      <c r="CD1116" s="319"/>
      <c r="CE1116" s="319"/>
      <c r="CF1116" s="319"/>
    </row>
    <row r="1117" spans="1:84" ht="13.5" hidden="1" customHeight="1">
      <c r="A1117" s="319"/>
      <c r="B1117" s="319" t="s">
        <v>2279</v>
      </c>
      <c r="C1117" s="319">
        <f>Iniciar!P3</f>
        <v>0</v>
      </c>
      <c r="D1117" s="319"/>
      <c r="E1117" s="319"/>
      <c r="F1117" s="319"/>
      <c r="G1117" s="319"/>
      <c r="H1117" s="319"/>
      <c r="I1117" s="319" t="str">
        <f t="shared" si="93"/>
        <v>Turbina à vapor</v>
      </c>
      <c r="J1117" s="494" t="e">
        <f>V183</f>
        <v>#DIV/0!</v>
      </c>
      <c r="K1117" s="494">
        <f>IF(HideCodeES_PSS=1,IF(OR(N858=5,N858=7,N858=9),S194,S193),IF(G1120=1,S193,IF(OR(N858=5,N858=7,N858=9),S194,S193)))</f>
        <v>0</v>
      </c>
      <c r="L1117" s="319" t="e">
        <f>S192*1000</f>
        <v>#DIV/0!</v>
      </c>
      <c r="M1117" s="319">
        <f>IF(AND(HideCodeES_PSS=2,G1120=1),0,D185)</f>
        <v>0</v>
      </c>
      <c r="N1117" s="319">
        <v>4</v>
      </c>
      <c r="O1117" s="319" t="str">
        <f t="shared" si="94"/>
        <v>Turbina à vapor</v>
      </c>
      <c r="P1117" s="494" t="e">
        <f>V701</f>
        <v>#DIV/0!</v>
      </c>
      <c r="Q1117" s="494">
        <f>IF(HideCodeES_PSS=1,IF(OR(N858=5,N858=7,N858=9),S711,S710),IF(G1120=2,S710,IF(OR(N858=5,N858=7,N858=9),S711,S710)))</f>
        <v>0</v>
      </c>
      <c r="R1117" s="494" t="e">
        <f>S709*1000</f>
        <v>#DIV/0!</v>
      </c>
      <c r="S1117" s="494">
        <f>IF(AND(HideCodeES_PSS=2,G1120=2),0,D702)</f>
        <v>0</v>
      </c>
      <c r="T1117" s="494" t="e">
        <f t="shared" si="91"/>
        <v>#DIV/0!</v>
      </c>
      <c r="U1117" s="494" t="e">
        <f t="shared" si="92"/>
        <v>#DIV/0!</v>
      </c>
      <c r="V1117" s="494">
        <f>H161</f>
        <v>0</v>
      </c>
      <c r="W1117" s="494">
        <f>H678</f>
        <v>0</v>
      </c>
      <c r="X1117" s="319"/>
      <c r="Y1117" s="319"/>
      <c r="Z1117" s="472"/>
      <c r="AA1117" s="394" t="str">
        <f>IF(OR(HideCode_projectType3=2,HideCode_projectType3=4,HideCode_projectType3=5,HideCode_projectType3=7)=TRUE,IF(OR(HideCodeES_PSS=1,HideCodeES_PowerST2=5,HideCodeES_PowerST2=7,HideCodeES_PowerST2=8,HideCodeES_PowerST2=9)=TRUE,"",IF(HideCodeES_Fuel2=1,"",IF(HideCodeES_Fuel2=2,C561,C583))),IF(HideCodeES_HSS=1,"",IF(HideCodeES_Fuel2=1,"",IF(HideCodeES_Fuel2=2,C561,C583))))</f>
        <v/>
      </c>
      <c r="AB1117" s="394"/>
      <c r="AC1117" s="394" t="str">
        <f>IF(OR(HideCode_projectType3=2,HideCode_projectType3=4,HideCode_projectType3=5,HideCode_projectType3=7)=TRUE,IF(OR(HideCodeES_PSS=1,HideCodeES_PowerST2=5,HideCodeES_PowerST2=7,HideCodeES_PowerST2=8,HideCodeES_PowerST2=9)=TRUE,"",IF(HideCodeES_Fuel2=1,"",IF(HideCodeES_Fuel2=2,O561,O583))),IF(HideCodeES_HSS=1,"",IF(HideCodeES_Fuel2=1,"",IF(HideCodeES_Fuel2=2,O561,O583))))</f>
        <v/>
      </c>
      <c r="AD1117" s="394" t="str">
        <f t="shared" si="95"/>
        <v/>
      </c>
      <c r="AE1117" s="394" t="str">
        <f t="shared" si="95"/>
        <v/>
      </c>
      <c r="AF1117" s="394" t="str">
        <f t="shared" si="95"/>
        <v/>
      </c>
      <c r="AG1117" s="394" t="str">
        <f t="shared" si="95"/>
        <v/>
      </c>
      <c r="AH1117" s="394" t="str">
        <f t="shared" si="95"/>
        <v/>
      </c>
      <c r="AI1117" s="473" t="str">
        <f t="shared" si="95"/>
        <v/>
      </c>
      <c r="AJ1117" s="319"/>
      <c r="AK1117" s="319"/>
      <c r="AL1117" s="319"/>
      <c r="AM1117" s="319"/>
      <c r="AN1117" s="319"/>
      <c r="AO1117" s="587"/>
      <c r="AP1117" s="319"/>
      <c r="AQ1117" s="319"/>
      <c r="AR1117" s="319"/>
      <c r="AS1117" s="319"/>
      <c r="AT1117" s="319"/>
      <c r="AU1117" s="319"/>
      <c r="AV1117" s="319"/>
      <c r="AW1117" s="319"/>
      <c r="AX1117" s="319"/>
      <c r="AY1117" s="319"/>
      <c r="AZ1117" s="319"/>
      <c r="BA1117" s="319"/>
      <c r="BB1117" s="319"/>
      <c r="BC1117" s="319"/>
      <c r="BD1117" s="319"/>
      <c r="BE1117" s="319"/>
      <c r="BF1117" s="319"/>
      <c r="BG1117" s="319"/>
      <c r="BH1117" s="319"/>
      <c r="BI1117" s="319"/>
      <c r="BJ1117" s="319"/>
      <c r="BK1117" s="319"/>
      <c r="BL1117" s="319"/>
      <c r="BM1117" s="319"/>
      <c r="BN1117" s="319"/>
      <c r="BO1117" s="319"/>
      <c r="BP1117" s="319"/>
      <c r="BQ1117" s="319"/>
      <c r="BR1117" s="319"/>
      <c r="BS1117" s="319"/>
      <c r="BT1117" s="319"/>
      <c r="BU1117" s="319"/>
      <c r="BV1117" s="319"/>
      <c r="BW1117" s="319"/>
      <c r="BX1117" s="319"/>
      <c r="BY1117" s="319"/>
      <c r="BZ1117" s="319"/>
      <c r="CA1117" s="319"/>
      <c r="CB1117" s="319"/>
      <c r="CC1117" s="319"/>
      <c r="CD1117" s="319"/>
      <c r="CE1117" s="319"/>
      <c r="CF1117" s="319"/>
    </row>
    <row r="1118" spans="1:84" ht="13.5" hidden="1" customHeight="1">
      <c r="A1118" s="319"/>
      <c r="B1118" s="319"/>
      <c r="C1118" s="319"/>
      <c r="D1118" s="319"/>
      <c r="E1118" s="319">
        <f>IF(E1122=I1116,1,0)+IF(F1122=I1116,1,0)</f>
        <v>0</v>
      </c>
      <c r="F1118" s="319"/>
      <c r="G1118" s="319"/>
      <c r="H1118" s="319"/>
      <c r="I1118" s="319" t="str">
        <f t="shared" si="93"/>
        <v>Energia Geotérmica</v>
      </c>
      <c r="J1118" s="494" t="e">
        <f>D208</f>
        <v>#DIV/0!</v>
      </c>
      <c r="K1118" s="494"/>
      <c r="L1118" s="319"/>
      <c r="M1118" s="319">
        <f>IF(AND(HideCodeES_PSS=2,G1120=1),0,D207)</f>
        <v>0</v>
      </c>
      <c r="N1118" s="319">
        <v>5</v>
      </c>
      <c r="O1118" s="319" t="str">
        <f t="shared" si="94"/>
        <v>Energia Geotérmica</v>
      </c>
      <c r="P1118" s="494" t="e">
        <f>D725</f>
        <v>#DIV/0!</v>
      </c>
      <c r="Q1118" s="494"/>
      <c r="R1118" s="494"/>
      <c r="S1118" s="494">
        <f>IF(AND(HideCodeES_PSS=2,G1120=2),0,D724)</f>
        <v>0</v>
      </c>
      <c r="T1118" s="494" t="e">
        <f t="shared" si="91"/>
        <v>#DIV/0!</v>
      </c>
      <c r="U1118" s="494" t="e">
        <f t="shared" si="92"/>
        <v>#DIV/0!</v>
      </c>
      <c r="V1118" s="494">
        <f>H198</f>
        <v>0</v>
      </c>
      <c r="W1118" s="494">
        <f>H715</f>
        <v>0</v>
      </c>
      <c r="X1118" s="319"/>
      <c r="Y1118" s="319"/>
      <c r="Z1118" s="319"/>
      <c r="AA1118" s="319"/>
      <c r="AB1118" s="319"/>
      <c r="AC1118" s="319"/>
      <c r="AD1118" s="319"/>
      <c r="AE1118" s="319"/>
      <c r="AF1118" s="319"/>
      <c r="AG1118" s="319"/>
      <c r="AH1118" s="319"/>
      <c r="AI1118" s="319"/>
      <c r="AJ1118" s="319"/>
      <c r="AK1118" s="319" t="s">
        <v>1982</v>
      </c>
      <c r="AL1118" s="319">
        <f>IF(HideCodeES_PSS=1,V168,IF($C$854=$E$1095,V168,V685))</f>
        <v>0</v>
      </c>
      <c r="AM1118" s="319" t="s">
        <v>739</v>
      </c>
      <c r="AN1118" s="319" t="s">
        <v>5633</v>
      </c>
      <c r="AO1118" s="587"/>
      <c r="AP1118" s="319"/>
      <c r="AQ1118" s="319"/>
      <c r="AR1118" s="319"/>
      <c r="AS1118" s="319"/>
      <c r="AT1118" s="319"/>
      <c r="AU1118" s="319"/>
      <c r="AV1118" s="319"/>
      <c r="AW1118" s="319"/>
      <c r="AX1118" s="319"/>
      <c r="AY1118" s="319"/>
      <c r="AZ1118" s="319"/>
      <c r="BA1118" s="319"/>
      <c r="BB1118" s="319"/>
      <c r="BC1118" s="319"/>
      <c r="BD1118" s="319"/>
      <c r="BE1118" s="319"/>
      <c r="BF1118" s="319"/>
      <c r="BG1118" s="319"/>
      <c r="BH1118" s="319"/>
      <c r="BI1118" s="319" t="s">
        <v>4597</v>
      </c>
      <c r="BJ1118" s="319">
        <f>IF(HideCodeES_PSS=1,D116,IF($C$854=$E$1095,D116,D633))</f>
        <v>0</v>
      </c>
      <c r="BK1118" s="319" t="s">
        <v>5700</v>
      </c>
      <c r="BL1118" s="319"/>
      <c r="BM1118" s="319"/>
      <c r="BN1118" s="319"/>
      <c r="BO1118" s="319"/>
      <c r="BP1118" s="319"/>
      <c r="BQ1118" s="319"/>
      <c r="BR1118" s="319"/>
      <c r="BS1118" s="319"/>
      <c r="BT1118" s="319"/>
      <c r="BU1118" s="319"/>
      <c r="BV1118" s="319"/>
      <c r="BW1118" s="319"/>
      <c r="BX1118" s="319"/>
      <c r="BY1118" s="319"/>
      <c r="BZ1118" s="319"/>
      <c r="CA1118" s="319"/>
      <c r="CB1118" s="319"/>
      <c r="CC1118" s="319"/>
      <c r="CD1118" s="319"/>
      <c r="CE1118" s="319"/>
      <c r="CF1118" s="319"/>
    </row>
    <row r="1119" spans="1:84" ht="13.5" hidden="1" customHeight="1">
      <c r="A1119" s="319"/>
      <c r="B1119" s="319" t="s">
        <v>4607</v>
      </c>
      <c r="C1119" s="319">
        <f>IF(C1122=I1116,HideCodeES_Extract_GTCC1,HideCodeES_Extract_ST1)</f>
        <v>2</v>
      </c>
      <c r="D1119" s="319">
        <f>IF(D1122=I1116,HideCodeES_Extract_GTCC2,HideCodeES_Extract_ST2)</f>
        <v>2</v>
      </c>
      <c r="E1119" s="319" t="str">
        <f>IF($G$1120=0,"",IF($G$1120=1,C1119,D1119))</f>
        <v/>
      </c>
      <c r="F1119" s="319">
        <f>IF($G$1120=0,C1119,IF($G$1120=2,C1119,D1119))</f>
        <v>2</v>
      </c>
      <c r="G1119" s="319"/>
      <c r="H1119" s="319"/>
      <c r="I1119" s="319" t="str">
        <f t="shared" si="93"/>
        <v>Célula combustível</v>
      </c>
      <c r="J1119" s="494">
        <f>D213</f>
        <v>0</v>
      </c>
      <c r="K1119" s="494">
        <f>S222</f>
        <v>0</v>
      </c>
      <c r="L1119" s="319">
        <f>D213*S219/1000</f>
        <v>0</v>
      </c>
      <c r="M1119" s="319">
        <f>IF(AND(HideCodeES_PSS=2,G1120=1),0,D214)</f>
        <v>0</v>
      </c>
      <c r="N1119" s="319">
        <v>6</v>
      </c>
      <c r="O1119" s="319" t="str">
        <f t="shared" si="94"/>
        <v>Célula combustível</v>
      </c>
      <c r="P1119" s="494">
        <f>D730</f>
        <v>0</v>
      </c>
      <c r="Q1119" s="494">
        <f>S739</f>
        <v>0</v>
      </c>
      <c r="R1119" s="494">
        <f>S738*1000</f>
        <v>0</v>
      </c>
      <c r="S1119" s="494">
        <f>IF(AND(HideCodeES_PSS=2,G1120=2),0,D768)</f>
        <v>0</v>
      </c>
      <c r="T1119" s="494">
        <f t="shared" si="91"/>
        <v>0</v>
      </c>
      <c r="U1119" s="494">
        <f t="shared" si="92"/>
        <v>0</v>
      </c>
      <c r="V1119" s="494">
        <f>H213</f>
        <v>0</v>
      </c>
      <c r="W1119" s="494">
        <f>H730</f>
        <v>0</v>
      </c>
      <c r="X1119" s="319"/>
      <c r="Y1119" s="319"/>
      <c r="Z1119" s="319"/>
      <c r="AA1119" s="319"/>
      <c r="AB1119" s="319"/>
      <c r="AC1119" s="319"/>
      <c r="AD1119" s="319"/>
      <c r="AE1119" s="319"/>
      <c r="AF1119" s="319"/>
      <c r="AG1119" s="319" t="str">
        <f>IF(OR(HideCode_projectType3=2,HideCode_projectType3=4,HideCode_projectType3=5,HideCode_projectType3=7)=TRUE,IF(OR(HideCodeES_PowerST1=5,HideCodeES_PowerST1=7,HideCodeES_PowerST1=8,HideCodeES_PowerST1=9)=TRUE,"",IF(HideCodeES_Fuel1=1,$C$38,IF(HideCodeES_Fuel1=2,L43,L65))),IF(HideCodeES_Fuel1=1,$C$38,IF(HideCodeES_Fuel1=2,L43,L65)))</f>
        <v/>
      </c>
      <c r="AH1119" s="319"/>
      <c r="AI1119" s="319"/>
      <c r="AJ1119" s="319"/>
      <c r="AK1119" s="319" t="s">
        <v>1983</v>
      </c>
      <c r="AL1119" s="319">
        <f>IF(HideCodeES_PSS=1,S173,IF($C$854=$E$1095,S173,S690))</f>
        <v>2500.1495435522315</v>
      </c>
      <c r="AM1119" s="319" t="s">
        <v>2922</v>
      </c>
      <c r="AN1119" s="319"/>
      <c r="AO1119" s="587"/>
      <c r="AP1119" s="319"/>
      <c r="AQ1119" s="319"/>
      <c r="AR1119" s="319"/>
      <c r="AS1119" s="319"/>
      <c r="AT1119" s="319"/>
      <c r="AU1119" s="319"/>
      <c r="AV1119" s="319"/>
      <c r="AW1119" s="319"/>
      <c r="AX1119" s="319"/>
      <c r="AY1119" s="319"/>
      <c r="AZ1119" s="319"/>
      <c r="BA1119" s="319"/>
      <c r="BB1119" s="319"/>
      <c r="BC1119" s="319"/>
      <c r="BD1119" s="319"/>
      <c r="BE1119" s="319"/>
      <c r="BF1119" s="319"/>
      <c r="BG1119" s="319"/>
      <c r="BH1119" s="319"/>
      <c r="BI1119" s="319" t="s">
        <v>5254</v>
      </c>
      <c r="BJ1119" s="319">
        <f>IF(HideCodeES_PSS=1,S131,IF($C$854=$E$1095,S131,S648))</f>
        <v>0</v>
      </c>
      <c r="BK1119" s="319" t="s">
        <v>4448</v>
      </c>
      <c r="BL1119" s="319">
        <v>530</v>
      </c>
      <c r="BM1119" s="319"/>
      <c r="BN1119" s="319"/>
      <c r="BO1119" s="319"/>
      <c r="BP1119" s="319"/>
      <c r="BQ1119" s="319"/>
      <c r="BR1119" s="319"/>
      <c r="BS1119" s="319"/>
      <c r="BT1119" s="319"/>
      <c r="BU1119" s="319"/>
      <c r="BV1119" s="319"/>
      <c r="BW1119" s="319"/>
      <c r="BX1119" s="319"/>
      <c r="BY1119" s="319"/>
      <c r="BZ1119" s="319"/>
      <c r="CA1119" s="319"/>
      <c r="CB1119" s="319"/>
      <c r="CC1119" s="319"/>
      <c r="CD1119" s="319"/>
      <c r="CE1119" s="319"/>
      <c r="CF1119" s="319"/>
    </row>
    <row r="1120" spans="1:84" ht="13.5" hidden="1" customHeight="1">
      <c r="A1120" s="319"/>
      <c r="B1120" s="319"/>
      <c r="C1120" s="319" t="s">
        <v>306</v>
      </c>
      <c r="D1120" s="319" t="s">
        <v>2670</v>
      </c>
      <c r="E1120" s="319" t="str">
        <f>IF(C30=G1073,"","Base load")</f>
        <v/>
      </c>
      <c r="F1120" s="319" t="str">
        <f>IF(C30=G1073,"Base load","Intermediate")</f>
        <v>Base load</v>
      </c>
      <c r="G1120" s="319">
        <f>IF(C30=G1073,0,IF(C854=E1094,1,2))</f>
        <v>0</v>
      </c>
      <c r="H1120" s="319"/>
      <c r="I1120" s="319" t="str">
        <f t="shared" si="93"/>
        <v>Turbina eólica</v>
      </c>
      <c r="J1120" s="494">
        <f>P309</f>
        <v>0</v>
      </c>
      <c r="K1120" s="494"/>
      <c r="L1120" s="319"/>
      <c r="M1120" s="319">
        <v>0</v>
      </c>
      <c r="N1120" s="319">
        <v>7</v>
      </c>
      <c r="O1120" s="319" t="str">
        <f t="shared" si="94"/>
        <v>Turbina eólica</v>
      </c>
      <c r="P1120" s="494">
        <f>S745</f>
        <v>0</v>
      </c>
      <c r="Q1120" s="494"/>
      <c r="R1120" s="494"/>
      <c r="S1120" s="494">
        <v>0</v>
      </c>
      <c r="T1120" s="494">
        <f>P307</f>
        <v>0</v>
      </c>
      <c r="U1120" s="494">
        <f>D742</f>
        <v>0</v>
      </c>
      <c r="V1120" s="494">
        <f>IF(S226=TRUE,H306,H257)</f>
        <v>0</v>
      </c>
      <c r="W1120" s="494">
        <f>H742</f>
        <v>0</v>
      </c>
      <c r="X1120" s="319"/>
      <c r="Y1120" s="319"/>
      <c r="Z1120" s="319"/>
      <c r="AA1120" s="319"/>
      <c r="AB1120" s="319"/>
      <c r="AC1120" s="319"/>
      <c r="AD1120" s="319"/>
      <c r="AE1120" s="319"/>
      <c r="AF1120" s="319"/>
      <c r="AG1120" s="319" t="str">
        <f>IF(OR(HideCode_projectType3=2,HideCode_projectType3=4,HideCode_projectType3=5,HideCode_projectType3=7)=TRUE,IF(OR(HideCodeES_PowerST1=5,HideCodeES_PowerST1=7,HideCodeES_PowerST1=8,HideCodeES_PowerST1=9)=TRUE,"",IF(HideCodeES_Fuel1=1,"",IF(HideCodeES_Fuel1=2,L44,L66))),IF(HideCodeES_Fuel1=1,"",IF(HideCodeES_Fuel1=2,L44,L66)))</f>
        <v/>
      </c>
      <c r="AH1120" s="319"/>
      <c r="AI1120" s="319"/>
      <c r="AJ1120" s="319"/>
      <c r="AK1120" s="319"/>
      <c r="AL1120" s="319">
        <f>IF(HideCodeES_PSS=1,D185,IF($C$854=$E$1095,D185,D702))</f>
        <v>0</v>
      </c>
      <c r="AM1120" s="319"/>
      <c r="AN1120" s="319" t="s">
        <v>2497</v>
      </c>
      <c r="AO1120" s="587"/>
      <c r="AP1120" s="319"/>
      <c r="AQ1120" s="319"/>
      <c r="AR1120" s="319"/>
      <c r="AS1120" s="319"/>
      <c r="AT1120" s="319"/>
      <c r="AU1120" s="319"/>
      <c r="AV1120" s="319"/>
      <c r="AW1120" s="319"/>
      <c r="AX1120" s="319"/>
      <c r="AY1120" s="319"/>
      <c r="AZ1120" s="319"/>
      <c r="BA1120" s="319"/>
      <c r="BB1120" s="319"/>
      <c r="BC1120" s="319"/>
      <c r="BD1120" s="319"/>
      <c r="BE1120" s="319"/>
      <c r="BF1120" s="319"/>
      <c r="BG1120" s="319"/>
      <c r="BH1120" s="319"/>
      <c r="BI1120" s="319" t="s">
        <v>3297</v>
      </c>
      <c r="BJ1120" s="319">
        <f>IF(HideCodeES_PSS=1,V141,IF($C$854=$E$1095,V141,V658))</f>
        <v>14504.903208786885</v>
      </c>
      <c r="BK1120" s="319" t="s">
        <v>5699</v>
      </c>
      <c r="BL1120" s="319">
        <v>531</v>
      </c>
      <c r="BM1120" s="319"/>
      <c r="BN1120" s="319"/>
      <c r="BO1120" s="319"/>
      <c r="BP1120" s="319"/>
      <c r="BQ1120" s="319"/>
      <c r="BR1120" s="319"/>
      <c r="BS1120" s="319"/>
      <c r="BT1120" s="319"/>
      <c r="BU1120" s="319"/>
      <c r="BV1120" s="319"/>
      <c r="BW1120" s="319"/>
      <c r="BX1120" s="319"/>
      <c r="BY1120" s="319"/>
      <c r="BZ1120" s="319"/>
      <c r="CA1120" s="319"/>
      <c r="CB1120" s="319"/>
      <c r="CC1120" s="319"/>
      <c r="CD1120" s="319"/>
      <c r="CE1120" s="319"/>
      <c r="CF1120" s="319"/>
    </row>
    <row r="1121" spans="1:84" ht="13.5" hidden="1" customHeight="1">
      <c r="A1121" s="319"/>
      <c r="B1121" s="319" t="s">
        <v>2777</v>
      </c>
      <c r="C1121" s="319" t="str">
        <f>IF(C504="",B503,C504)</f>
        <v>Outro</v>
      </c>
      <c r="D1121" s="319" t="str">
        <f>IF(C766="",B765,C766)</f>
        <v>Outro #2</v>
      </c>
      <c r="E1121" s="319" t="str">
        <f>IF($G$1120=0,"",IF($G$1120=1,C1121,D1121))</f>
        <v/>
      </c>
      <c r="F1121" s="319" t="str">
        <f>IF($G$1120=0,C1121,IF($G$1120=2,C1121,D1121))</f>
        <v>Outro</v>
      </c>
      <c r="G1121" s="319"/>
      <c r="H1121" s="319"/>
      <c r="I1121" s="319" t="str">
        <f t="shared" si="93"/>
        <v>Turbina hidráulica</v>
      </c>
      <c r="J1121" s="494">
        <f>V442</f>
        <v>0</v>
      </c>
      <c r="K1121" s="494"/>
      <c r="L1121" s="319"/>
      <c r="M1121" s="319">
        <v>0</v>
      </c>
      <c r="N1121" s="319">
        <v>8</v>
      </c>
      <c r="O1121" s="319" t="str">
        <f t="shared" si="94"/>
        <v>Turbina hidráulica</v>
      </c>
      <c r="P1121" s="494">
        <f>S753</f>
        <v>0</v>
      </c>
      <c r="Q1121" s="494"/>
      <c r="R1121" s="494"/>
      <c r="S1121" s="494">
        <v>0</v>
      </c>
      <c r="T1121" s="494">
        <f>IF(HideES_Hydro1QF=200,D439,D434)</f>
        <v>0</v>
      </c>
      <c r="U1121" s="494">
        <f>D750</f>
        <v>0</v>
      </c>
      <c r="V1121" s="494">
        <f>IF(M312=TRUE,H439,H367)</f>
        <v>0</v>
      </c>
      <c r="W1121" s="494">
        <f>H750</f>
        <v>0</v>
      </c>
      <c r="X1121" s="319"/>
      <c r="Y1121" s="319"/>
      <c r="Z1121" s="319"/>
      <c r="AA1121" s="319"/>
      <c r="AB1121" s="319"/>
      <c r="AC1121" s="319"/>
      <c r="AD1121" s="319"/>
      <c r="AE1121" s="319"/>
      <c r="AF1121" s="319"/>
      <c r="AG1121" s="319" t="str">
        <f>IF(OR(HideCode_projectType3=2,HideCode_projectType3=4,HideCode_projectType3=5,HideCode_projectType3=7)=TRUE,IF(OR(HideCodeES_PowerST1=5,HideCodeES_PowerST1=7,HideCodeES_PowerST1=8,HideCodeES_PowerST1=9)=TRUE,"",IF(HideCodeES_Fuel1=1,"",IF(HideCodeES_Fuel1=2,L45,L67))),IF(HideCodeES_Fuel1=1,"",IF(HideCodeES_Fuel1=2,L45,L67)))</f>
        <v/>
      </c>
      <c r="AH1121" s="319"/>
      <c r="AI1121" s="319"/>
      <c r="AJ1121" s="319"/>
      <c r="AK1121" s="319" t="s">
        <v>1575</v>
      </c>
      <c r="AL1121" s="319">
        <f>IF(HideCodeES_PSS=1,S191,IF($C$854=$E$1095,S191,V708))</f>
        <v>0</v>
      </c>
      <c r="AM1121" s="319" t="s">
        <v>144</v>
      </c>
      <c r="AN1121" s="319"/>
      <c r="AO1121" s="587"/>
      <c r="AP1121" s="319"/>
      <c r="AQ1121" s="319"/>
      <c r="AR1121" s="319"/>
      <c r="AS1121" s="319"/>
      <c r="AT1121" s="319"/>
      <c r="AU1121" s="319"/>
      <c r="AV1121" s="319"/>
      <c r="AW1121" s="319"/>
      <c r="AX1121" s="319"/>
      <c r="AY1121" s="319"/>
      <c r="AZ1121" s="319"/>
      <c r="BA1121" s="319"/>
      <c r="BB1121" s="319"/>
      <c r="BC1121" s="319"/>
      <c r="BD1121" s="319"/>
      <c r="BE1121" s="319"/>
      <c r="BF1121" s="319"/>
      <c r="BG1121" s="319"/>
      <c r="BH1121" s="319"/>
      <c r="BI1121" s="319" t="s">
        <v>3298</v>
      </c>
      <c r="BJ1121" s="319">
        <f>IF(HideCodeES_PSS=1,V147,IF($C$854=$E$1095,V147,V663))</f>
        <v>14504.903208786885</v>
      </c>
      <c r="BK1121" s="319" t="s">
        <v>5699</v>
      </c>
      <c r="BL1121" s="319">
        <v>532</v>
      </c>
      <c r="BM1121" s="319"/>
      <c r="BN1121" s="319"/>
      <c r="BO1121" s="319"/>
      <c r="BP1121" s="319"/>
      <c r="BQ1121" s="319"/>
      <c r="BR1121" s="319"/>
      <c r="BS1121" s="319"/>
      <c r="BT1121" s="319"/>
      <c r="BU1121" s="319"/>
      <c r="BV1121" s="319"/>
      <c r="BW1121" s="319"/>
      <c r="BX1121" s="319"/>
      <c r="BY1121" s="319"/>
      <c r="BZ1121" s="319"/>
      <c r="CA1121" s="319"/>
      <c r="CB1121" s="319"/>
      <c r="CC1121" s="319"/>
      <c r="CD1121" s="319"/>
      <c r="CE1121" s="319"/>
      <c r="CF1121" s="319"/>
    </row>
    <row r="1122" spans="1:84" ht="13.5" hidden="1" customHeight="1">
      <c r="A1122" s="319"/>
      <c r="B1122" s="319" t="s">
        <v>3510</v>
      </c>
      <c r="C1122" s="319" t="str">
        <f>Equip_PowerType</f>
        <v>Fotovoltaica</v>
      </c>
      <c r="D1122" s="319" t="str">
        <f>C550</f>
        <v>Turbina à gas</v>
      </c>
      <c r="E1122" s="319" t="str">
        <f>IF($G$1120=0,"",IF($G$1120=1,C1122,D1122))</f>
        <v/>
      </c>
      <c r="F1122" s="319" t="str">
        <f>IF($G$1120=0,C1122,IF($G$1120=2,C1122,D1122))</f>
        <v>Fotovoltaica</v>
      </c>
      <c r="G1122" s="319"/>
      <c r="H1122" s="319"/>
      <c r="I1122" s="319" t="str">
        <f t="shared" si="93"/>
        <v>Fotovoltaica</v>
      </c>
      <c r="J1122" s="494">
        <f>V499</f>
        <v>0.61533476751082972</v>
      </c>
      <c r="K1122" s="494"/>
      <c r="L1122" s="319"/>
      <c r="M1122" s="319">
        <v>0</v>
      </c>
      <c r="N1122" s="319">
        <v>9</v>
      </c>
      <c r="O1122" s="319" t="str">
        <f t="shared" si="94"/>
        <v>Fotovoltaica</v>
      </c>
      <c r="P1122" s="494">
        <f>S761</f>
        <v>0</v>
      </c>
      <c r="Q1122" s="494"/>
      <c r="R1122" s="494"/>
      <c r="S1122" s="494">
        <v>0</v>
      </c>
      <c r="T1122" s="494">
        <f>IF(HideES_PV1QF=1,D496,S475)</f>
        <v>3.7949999999999999</v>
      </c>
      <c r="U1122" s="494">
        <f>D758</f>
        <v>0</v>
      </c>
      <c r="V1122" s="494">
        <f>IF(M447=TRUE,H496,H475)</f>
        <v>0</v>
      </c>
      <c r="W1122" s="494">
        <f>H758</f>
        <v>0</v>
      </c>
      <c r="X1122" s="319"/>
      <c r="Y1122" s="319"/>
      <c r="Z1122" s="319"/>
      <c r="AA1122" s="319"/>
      <c r="AB1122" s="319"/>
      <c r="AC1122" s="319"/>
      <c r="AD1122" s="319"/>
      <c r="AE1122" s="319"/>
      <c r="AF1122" s="319"/>
      <c r="AG1122" s="319" t="str">
        <f>IF(OR(HideCode_projectType3=2,HideCode_projectType3=4,HideCode_projectType3=5,HideCode_projectType3=7)=TRUE,IF(OR(HideCodeES_PSS=1,HideCodeES_PowerST2=5,HideCodeES_PowerST2=7,HideCodeES_PowerST2=8,HideCodeES_PowerST2=9)=TRUE,"",IF(HideCodeES_Fuel2=1,$C$554,IF(HideCodeES_Fuel2=2,L559,L581))),IF(HideCodeES_HSS=1,"",IF(HideCodeES_Fuel2=1,$C$554,IF(HideCodeES_Fuel2=2,L559,L581))))</f>
        <v/>
      </c>
      <c r="AH1122" s="319"/>
      <c r="AI1122" s="319"/>
      <c r="AJ1122" s="319"/>
      <c r="AK1122" s="319" t="s">
        <v>5574</v>
      </c>
      <c r="AL1122" s="319">
        <f>IF(HideCodeES_PSS=1,V175,IF($C$854=$E$1095,V175,V692))</f>
        <v>1.1100000000000001E-3</v>
      </c>
      <c r="AM1122" s="319" t="s">
        <v>3894</v>
      </c>
      <c r="AN1122" s="319"/>
      <c r="AO1122" s="587"/>
      <c r="AP1122" s="319"/>
      <c r="AQ1122" s="319"/>
      <c r="AR1122" s="319"/>
      <c r="AS1122" s="319"/>
      <c r="AT1122" s="319"/>
      <c r="AU1122" s="319"/>
      <c r="AV1122" s="319"/>
      <c r="AW1122" s="319"/>
      <c r="AX1122" s="319"/>
      <c r="AY1122" s="319"/>
      <c r="AZ1122" s="319"/>
      <c r="BA1122" s="319"/>
      <c r="BB1122" s="319"/>
      <c r="BC1122" s="319"/>
      <c r="BD1122" s="319"/>
      <c r="BE1122" s="319"/>
      <c r="BF1122" s="319"/>
      <c r="BG1122" s="319"/>
      <c r="BH1122" s="319"/>
      <c r="BI1122" s="319" t="s">
        <v>3509</v>
      </c>
      <c r="BJ1122" s="319">
        <f>IF(HideCodeES_PSS=1,D147,IF($C$854=$E$1095,D147,D664))</f>
        <v>0</v>
      </c>
      <c r="BK1122" s="319"/>
      <c r="BL1122" s="319">
        <v>533</v>
      </c>
      <c r="BM1122" s="319"/>
      <c r="BN1122" s="319"/>
      <c r="BO1122" s="319"/>
      <c r="BP1122" s="319"/>
      <c r="BQ1122" s="319"/>
      <c r="BR1122" s="319"/>
      <c r="BS1122" s="319"/>
      <c r="BT1122" s="319"/>
      <c r="BU1122" s="319"/>
      <c r="BV1122" s="319"/>
      <c r="BW1122" s="319"/>
      <c r="BX1122" s="319"/>
      <c r="BY1122" s="319"/>
      <c r="BZ1122" s="319"/>
      <c r="CA1122" s="319"/>
      <c r="CB1122" s="319"/>
      <c r="CC1122" s="319"/>
      <c r="CD1122" s="319"/>
      <c r="CE1122" s="319"/>
      <c r="CF1122" s="319"/>
    </row>
    <row r="1123" spans="1:84" ht="13.5" hidden="1" customHeight="1">
      <c r="A1123" s="319"/>
      <c r="B1123" s="319" t="s">
        <v>656</v>
      </c>
      <c r="C1123" s="494">
        <f>SUMIF($I$1114:$I$1127,$C$1122,$J$1114:$J$1127)</f>
        <v>0.61533476751082972</v>
      </c>
      <c r="D1123" s="494">
        <f>SUMIF($O$1114:$O$1127,$D$1122,$P$1114:$P$1127)</f>
        <v>0</v>
      </c>
      <c r="E1123" s="494">
        <f>IF($G$1120=2,D1123,IF($G$1120=1,C1123,0))</f>
        <v>0</v>
      </c>
      <c r="F1123" s="494">
        <f t="shared" ref="F1123:F1128" si="96">IF($G$1120=2,C1123,IF($G$1120=0,C1123,D1123))</f>
        <v>0.61533476751082972</v>
      </c>
      <c r="G1123" s="319"/>
      <c r="H1123" s="319"/>
      <c r="I1123" s="319" t="str">
        <f t="shared" si="93"/>
        <v>Outro</v>
      </c>
      <c r="J1123" s="494">
        <f>D505</f>
        <v>0</v>
      </c>
      <c r="K1123" s="494">
        <f>S514</f>
        <v>0</v>
      </c>
      <c r="L1123" s="319">
        <f>S513*1000</f>
        <v>0</v>
      </c>
      <c r="M1123" s="319">
        <f>IF(AND(HideCodeES_PSS=2,G1120=1),0,D506)</f>
        <v>0</v>
      </c>
      <c r="N1123" s="319">
        <v>10</v>
      </c>
      <c r="O1123" s="319" t="str">
        <f t="shared" si="94"/>
        <v>Outro</v>
      </c>
      <c r="P1123" s="494">
        <f>D767</f>
        <v>0</v>
      </c>
      <c r="Q1123" s="494">
        <f>S776</f>
        <v>0</v>
      </c>
      <c r="R1123" s="494">
        <f>S775*1000</f>
        <v>0</v>
      </c>
      <c r="S1123" s="494">
        <f>IF(AND(HideCodeES_PSS=2,G1120=2),0,D768)</f>
        <v>0</v>
      </c>
      <c r="T1123" s="494">
        <f>J1123</f>
        <v>0</v>
      </c>
      <c r="U1123" s="494">
        <f>P1123</f>
        <v>0</v>
      </c>
      <c r="V1123" s="494">
        <f>H505</f>
        <v>0</v>
      </c>
      <c r="W1123" s="494">
        <f>H767</f>
        <v>0</v>
      </c>
      <c r="X1123" s="319"/>
      <c r="Y1123" s="319"/>
      <c r="Z1123" s="319"/>
      <c r="AA1123" s="319"/>
      <c r="AB1123" s="319"/>
      <c r="AC1123" s="319"/>
      <c r="AD1123" s="319"/>
      <c r="AE1123" s="319"/>
      <c r="AF1123" s="319"/>
      <c r="AG1123" s="319" t="str">
        <f>IF(OR(HideCode_projectType3=2,HideCode_projectType3=4,HideCode_projectType3=5,HideCode_projectType3=7)=TRUE,IF(OR(HideCodeES_PSS=1,HideCodeES_PowerST2=5,HideCodeES_PowerST2=7,HideCodeES_PowerST2=8,HideCodeES_PowerST2=9)=TRUE,"",IF(HideCodeES_Fuel2=1,"",IF(HideCodeES_Fuel2=2,L560,L582))),IF(HideCodeES_HSS=1,"",IF(HideCodeES_Fuel2=1,"",IF(HideCodeES_Fuel2=2,L560,L582))))</f>
        <v/>
      </c>
      <c r="AH1123" s="319"/>
      <c r="AI1123" s="319"/>
      <c r="AJ1123" s="319"/>
      <c r="AK1123" s="319" t="s">
        <v>4300</v>
      </c>
      <c r="AL1123" s="319">
        <f>IF(HideCodeES_PSS=1,S176,IF($C$854=$E$1095,S176,S693))</f>
        <v>8.4990758364950239</v>
      </c>
      <c r="AM1123" s="319" t="s">
        <v>144</v>
      </c>
      <c r="AN1123" s="319"/>
      <c r="AO1123" s="587"/>
      <c r="AP1123" s="319"/>
      <c r="AQ1123" s="319"/>
      <c r="AR1123" s="319"/>
      <c r="AS1123" s="319"/>
      <c r="AT1123" s="319"/>
      <c r="AU1123" s="319"/>
      <c r="AV1123" s="319"/>
      <c r="AW1123" s="319"/>
      <c r="AX1123" s="319"/>
      <c r="AY1123" s="319"/>
      <c r="AZ1123" s="319"/>
      <c r="BA1123" s="319"/>
      <c r="BB1123" s="319"/>
      <c r="BC1123" s="319"/>
      <c r="BD1123" s="319"/>
      <c r="BE1123" s="319"/>
      <c r="BF1123" s="319"/>
      <c r="BG1123" s="319"/>
      <c r="BH1123" s="319"/>
      <c r="BI1123" s="319" t="s">
        <v>1210</v>
      </c>
      <c r="BJ1123" s="319">
        <f>IF(HideCodeES_PSS=1,S122,IF($C$854=$E$1095,S122,S639))</f>
        <v>0</v>
      </c>
      <c r="BK1123" s="319" t="s">
        <v>5250</v>
      </c>
      <c r="BL1123" s="319"/>
      <c r="BM1123" s="319"/>
      <c r="BN1123" s="319"/>
      <c r="BO1123" s="319"/>
      <c r="BP1123" s="319"/>
      <c r="BQ1123" s="319"/>
      <c r="BR1123" s="319"/>
      <c r="BS1123" s="319"/>
      <c r="BT1123" s="319"/>
      <c r="BU1123" s="319"/>
      <c r="BV1123" s="319"/>
      <c r="BW1123" s="319"/>
      <c r="BX1123" s="319"/>
      <c r="BY1123" s="319"/>
      <c r="BZ1123" s="319"/>
      <c r="CA1123" s="319"/>
      <c r="CB1123" s="319"/>
      <c r="CC1123" s="319"/>
      <c r="CD1123" s="319"/>
      <c r="CE1123" s="319"/>
      <c r="CF1123" s="319"/>
    </row>
    <row r="1124" spans="1:84" ht="13.5" hidden="1" customHeight="1">
      <c r="A1124" s="319"/>
      <c r="B1124" s="319" t="s">
        <v>1670</v>
      </c>
      <c r="C1124" s="494">
        <f>SUMIF($I$1114:$I$1127,$C$1122,$M$1114:$M$1127)</f>
        <v>0</v>
      </c>
      <c r="D1124" s="494">
        <f>SUMIF($O$1114:$O$1127,$D$1122,$S$1114:$S$1127)</f>
        <v>0</v>
      </c>
      <c r="E1124" s="494">
        <f>IF($G$1120=2,D1124,IF($G$1120=1,C1124,0))</f>
        <v>0</v>
      </c>
      <c r="F1124" s="494">
        <f t="shared" si="96"/>
        <v>0</v>
      </c>
      <c r="G1124" s="319"/>
      <c r="H1124" s="319"/>
      <c r="I1124" s="319" t="str">
        <f t="shared" si="93"/>
        <v>Energia das correntes oceânicas</v>
      </c>
      <c r="J1124" s="494">
        <f>V517</f>
        <v>0</v>
      </c>
      <c r="K1124" s="494"/>
      <c r="L1124" s="319"/>
      <c r="M1124" s="319">
        <v>0</v>
      </c>
      <c r="N1124" s="319">
        <v>11</v>
      </c>
      <c r="O1124" s="319" t="str">
        <f t="shared" si="94"/>
        <v>Energia das correntes oceânicas</v>
      </c>
      <c r="P1124" s="494">
        <f>D779*D782</f>
        <v>0</v>
      </c>
      <c r="Q1124" s="494"/>
      <c r="R1124" s="494"/>
      <c r="S1124" s="494">
        <v>0</v>
      </c>
      <c r="T1124" s="494">
        <f>D517</f>
        <v>0</v>
      </c>
      <c r="U1124" s="494">
        <f>D779</f>
        <v>0</v>
      </c>
      <c r="V1124" s="494">
        <f>H517</f>
        <v>0</v>
      </c>
      <c r="W1124" s="494">
        <f>H779</f>
        <v>0</v>
      </c>
      <c r="X1124" s="319"/>
      <c r="Y1124" s="319"/>
      <c r="Z1124" s="319"/>
      <c r="AA1124" s="319"/>
      <c r="AB1124" s="319"/>
      <c r="AC1124" s="319"/>
      <c r="AD1124" s="319"/>
      <c r="AE1124" s="319"/>
      <c r="AF1124" s="319"/>
      <c r="AG1124" s="319" t="str">
        <f>IF(OR(HideCode_projectType3=2,HideCode_projectType3=4,HideCode_projectType3=5,HideCode_projectType3=7)=TRUE,IF(OR(HideCodeES_PSS=1,HideCodeES_PowerST2=5,HideCodeES_PowerST2=7,HideCodeES_PowerST2=8,HideCodeES_PowerST2=9)=TRUE,"",IF(HideCodeES_Fuel2=1,"",IF(HideCodeES_Fuel2=2,L561,L583))),IF(HideCodeES_HSS=1,"",IF(HideCodeES_Fuel2=1,"",IF(HideCodeES_Fuel2=2,L561,L583))))</f>
        <v/>
      </c>
      <c r="AH1124" s="319"/>
      <c r="AI1124" s="319"/>
      <c r="AJ1124" s="319"/>
      <c r="AK1124" s="319" t="s">
        <v>5785</v>
      </c>
      <c r="AL1124" s="319">
        <f>IF(HideCodeES_PSS=1,D177,IF($C$854=$E$1095,D177,D694))</f>
        <v>0.9934117547612823</v>
      </c>
      <c r="AM1124" s="319"/>
      <c r="AN1124" s="319"/>
      <c r="AO1124" s="587"/>
      <c r="AP1124" s="319"/>
      <c r="AQ1124" s="319"/>
      <c r="AR1124" s="319"/>
      <c r="AS1124" s="319"/>
      <c r="AT1124" s="319"/>
      <c r="AU1124" s="319"/>
      <c r="AV1124" s="319"/>
      <c r="AW1124" s="319"/>
      <c r="AX1124" s="319"/>
      <c r="AY1124" s="319"/>
      <c r="AZ1124" s="319"/>
      <c r="BA1124" s="319"/>
      <c r="BB1124" s="319"/>
      <c r="BC1124" s="319"/>
      <c r="BD1124" s="319"/>
      <c r="BE1124" s="319"/>
      <c r="BF1124" s="319"/>
      <c r="BG1124" s="319"/>
      <c r="BH1124" s="319"/>
      <c r="BI1124" s="319" t="s">
        <v>1211</v>
      </c>
      <c r="BJ1124" s="319" t="e">
        <f>IF(HideCodeES_PSS=1,V153,IF($C$854=$E$1095,V153,V670))</f>
        <v>#DIV/0!</v>
      </c>
      <c r="BK1124" s="319" t="s">
        <v>5647</v>
      </c>
      <c r="BL1124" s="319">
        <f>IF(HideCodeES_PSS=1,S135*S131,IF($C$854=$E$1095,S131*S135,S648*V652))</f>
        <v>0</v>
      </c>
      <c r="BM1124" s="319" t="s">
        <v>4448</v>
      </c>
      <c r="BN1124" s="319"/>
      <c r="BO1124" s="319"/>
      <c r="BP1124" s="319"/>
      <c r="BQ1124" s="319"/>
      <c r="BR1124" s="319"/>
      <c r="BS1124" s="319"/>
      <c r="BT1124" s="319"/>
      <c r="BU1124" s="319"/>
      <c r="BV1124" s="319"/>
      <c r="BW1124" s="319"/>
      <c r="BX1124" s="319"/>
      <c r="BY1124" s="319"/>
      <c r="BZ1124" s="319"/>
      <c r="CA1124" s="319"/>
      <c r="CB1124" s="319"/>
      <c r="CC1124" s="319"/>
      <c r="CD1124" s="319"/>
      <c r="CE1124" s="319"/>
      <c r="CF1124" s="319"/>
    </row>
    <row r="1125" spans="1:84" ht="13.5" hidden="1" customHeight="1">
      <c r="A1125" s="319"/>
      <c r="B1125" s="319" t="s">
        <v>4120</v>
      </c>
      <c r="C1125" s="494">
        <f>SUMIF($I$1114:$I$1127,$C$1122,$K$1114:$K$1127)</f>
        <v>0</v>
      </c>
      <c r="D1125" s="494">
        <f>SUMIF($O$1114:$O$1127,$D$1122,$Q$1114:$Q$1127)</f>
        <v>0</v>
      </c>
      <c r="E1125" s="494">
        <f>IF($G$1120=2,D1125,IF($G$1120=1,C1125,0))</f>
        <v>0</v>
      </c>
      <c r="F1125" s="494">
        <f t="shared" si="96"/>
        <v>0</v>
      </c>
      <c r="G1125" s="319"/>
      <c r="H1125" s="319"/>
      <c r="I1125" s="319" t="str">
        <f t="shared" si="93"/>
        <v>Energia das marés</v>
      </c>
      <c r="J1125" s="494">
        <f>V525</f>
        <v>0</v>
      </c>
      <c r="K1125" s="494"/>
      <c r="L1125" s="319"/>
      <c r="M1125" s="319">
        <v>0</v>
      </c>
      <c r="N1125" s="319">
        <v>12</v>
      </c>
      <c r="O1125" s="319" t="str">
        <f t="shared" si="94"/>
        <v>Energia das marés</v>
      </c>
      <c r="P1125" s="494">
        <f>D787*D790</f>
        <v>0</v>
      </c>
      <c r="Q1125" s="494"/>
      <c r="R1125" s="494"/>
      <c r="S1125" s="494">
        <v>0</v>
      </c>
      <c r="T1125" s="494">
        <f>D525</f>
        <v>0</v>
      </c>
      <c r="U1125" s="494">
        <f>D787</f>
        <v>0</v>
      </c>
      <c r="V1125" s="494">
        <f>H525</f>
        <v>0</v>
      </c>
      <c r="W1125" s="494">
        <f>H787</f>
        <v>0</v>
      </c>
      <c r="X1125" s="319"/>
      <c r="Y1125" s="319" t="s">
        <v>5275</v>
      </c>
      <c r="Z1125" s="319" t="e">
        <f>IF(HideCodeES_PSS=1,V183,IF($C$854=$E$1095,V183,V701))</f>
        <v>#DIV/0!</v>
      </c>
      <c r="AA1125" s="319" t="s">
        <v>5700</v>
      </c>
      <c r="AB1125" s="319"/>
      <c r="AC1125" s="319"/>
      <c r="AD1125" s="319"/>
      <c r="AE1125" s="319"/>
      <c r="AF1125" s="319"/>
      <c r="AG1125" s="319"/>
      <c r="AH1125" s="319"/>
      <c r="AI1125" s="319"/>
      <c r="AJ1125" s="319">
        <v>546</v>
      </c>
      <c r="AK1125" s="319" t="s">
        <v>1133</v>
      </c>
      <c r="AL1125" s="319">
        <f>IF(HideCodeES_PSS=1,S161,IF($C$854=$E$1095,S161,S678))</f>
        <v>0</v>
      </c>
      <c r="AM1125" s="319" t="s">
        <v>4448</v>
      </c>
      <c r="AN1125" s="319">
        <f>IF(HideCodeES_PSS=1,S161*V168,IF($C$854=$E$1095,S161*V168,S678*V685))</f>
        <v>0</v>
      </c>
      <c r="AO1125" s="587" t="s">
        <v>4448</v>
      </c>
      <c r="AP1125" s="319"/>
      <c r="AQ1125" s="319"/>
      <c r="AR1125" s="319"/>
      <c r="AS1125" s="319"/>
      <c r="AT1125" s="319"/>
      <c r="AU1125" s="319"/>
      <c r="AV1125" s="319"/>
      <c r="AW1125" s="319"/>
      <c r="AX1125" s="319"/>
      <c r="AY1125" s="319"/>
      <c r="AZ1125" s="319"/>
      <c r="BA1125" s="319"/>
      <c r="BB1125" s="319"/>
      <c r="BC1125" s="319"/>
      <c r="BD1125" s="319"/>
      <c r="BE1125" s="319"/>
      <c r="BF1125" s="319"/>
      <c r="BG1125" s="319"/>
      <c r="BH1125" s="319"/>
      <c r="BI1125" s="319" t="s">
        <v>1068</v>
      </c>
      <c r="BJ1125" s="319">
        <f>IF(HideCodeES_PSS=1,S157,IF($C$854=$E$1095,S157,S674))</f>
        <v>0</v>
      </c>
      <c r="BK1125" s="319" t="s">
        <v>2664</v>
      </c>
      <c r="BL1125" s="319"/>
      <c r="BM1125" s="319"/>
      <c r="BN1125" s="319"/>
      <c r="BO1125" s="319"/>
      <c r="BP1125" s="319"/>
      <c r="BQ1125" s="319"/>
      <c r="BR1125" s="319"/>
      <c r="BS1125" s="319"/>
      <c r="BT1125" s="319"/>
      <c r="BU1125" s="319"/>
      <c r="BV1125" s="319"/>
      <c r="BW1125" s="319"/>
      <c r="BX1125" s="319"/>
      <c r="BY1125" s="319"/>
      <c r="BZ1125" s="319"/>
      <c r="CA1125" s="319"/>
      <c r="CB1125" s="319"/>
      <c r="CC1125" s="319"/>
      <c r="CD1125" s="319"/>
      <c r="CE1125" s="319"/>
      <c r="CF1125" s="319"/>
    </row>
    <row r="1126" spans="1:84" ht="13.5" hidden="1" customHeight="1">
      <c r="A1126" s="319"/>
      <c r="B1126" s="319" t="s">
        <v>2521</v>
      </c>
      <c r="C1126" s="494"/>
      <c r="D1126" s="494"/>
      <c r="E1126" s="494">
        <f>H1137</f>
        <v>0</v>
      </c>
      <c r="F1126" s="494">
        <f t="shared" si="96"/>
        <v>0</v>
      </c>
      <c r="G1126" s="319"/>
      <c r="H1126" s="319"/>
      <c r="I1126" s="319" t="str">
        <f t="shared" si="93"/>
        <v>Energia da onda</v>
      </c>
      <c r="J1126" s="494">
        <f>V533</f>
        <v>0</v>
      </c>
      <c r="K1126" s="494"/>
      <c r="L1126" s="319"/>
      <c r="M1126" s="319">
        <v>0</v>
      </c>
      <c r="N1126" s="319">
        <v>13</v>
      </c>
      <c r="O1126" s="319" t="str">
        <f t="shared" si="94"/>
        <v>Energia da onda</v>
      </c>
      <c r="P1126" s="494">
        <f>D795*D798</f>
        <v>0</v>
      </c>
      <c r="Q1126" s="494"/>
      <c r="R1126" s="494"/>
      <c r="S1126" s="494">
        <v>0</v>
      </c>
      <c r="T1126" s="494">
        <f>D533</f>
        <v>0</v>
      </c>
      <c r="U1126" s="494">
        <f>D795</f>
        <v>0</v>
      </c>
      <c r="V1126" s="494">
        <f>H533</f>
        <v>0</v>
      </c>
      <c r="W1126" s="494">
        <f>H795</f>
        <v>0</v>
      </c>
      <c r="X1126" s="319"/>
      <c r="Y1126" s="319" t="s">
        <v>5254</v>
      </c>
      <c r="Z1126" s="319">
        <f>IF(HideCodeES_PSS=1,S161,IF($C$854=$E$1095,S161,S678))</f>
        <v>0</v>
      </c>
      <c r="AA1126" s="319" t="s">
        <v>4448</v>
      </c>
      <c r="AB1126" s="319" t="s">
        <v>5228</v>
      </c>
      <c r="AC1126" s="319">
        <f>IF(HideCodeES_PSS=1,S165,IF($C$854=$E$1095,S165,S682))</f>
        <v>2500.3977354876192</v>
      </c>
      <c r="AD1126" s="319"/>
      <c r="AE1126" s="319"/>
      <c r="AF1126" s="319"/>
      <c r="AG1126" s="319"/>
      <c r="AH1126" s="319"/>
      <c r="AI1126" s="319"/>
      <c r="AJ1126" s="319">
        <v>547</v>
      </c>
      <c r="AK1126" s="319" t="s">
        <v>4608</v>
      </c>
      <c r="AL1126" s="319">
        <f>IF(HideCodeES_PSS=1,S193,IF($C$854=$E$1095,S193,S710))</f>
        <v>0</v>
      </c>
      <c r="AM1126" s="319" t="s">
        <v>1811</v>
      </c>
      <c r="AN1126" s="319"/>
      <c r="AO1126" s="587"/>
      <c r="AP1126" s="319"/>
      <c r="AQ1126" s="319"/>
      <c r="AR1126" s="319"/>
      <c r="AS1126" s="319"/>
      <c r="AT1126" s="319"/>
      <c r="AU1126" s="319"/>
      <c r="AV1126" s="319"/>
      <c r="AW1126" s="319"/>
      <c r="AX1126" s="319"/>
      <c r="AY1126" s="319"/>
      <c r="AZ1126" s="319"/>
      <c r="BA1126" s="319"/>
      <c r="BB1126" s="319"/>
      <c r="BC1126" s="319"/>
      <c r="BD1126" s="319"/>
      <c r="BE1126" s="319" t="s">
        <v>552</v>
      </c>
      <c r="BF1126" s="319">
        <f>IF(HideCodeES_PSS=1,V168,IF($C$854=$E$1095,V168,V685))</f>
        <v>0</v>
      </c>
      <c r="BG1126" s="319"/>
      <c r="BH1126" s="319"/>
      <c r="BI1126" s="319"/>
      <c r="BJ1126" s="319">
        <f>IF(HideCodeES_PSS=1,S158-S157,IF($C$854=$E$1095,S158-S157,S675-S674))</f>
        <v>0</v>
      </c>
      <c r="BK1126" s="319" t="s">
        <v>1852</v>
      </c>
      <c r="BL1126" s="319">
        <f>IF(HideCodeES_PSS=1,S140/1000/3.6,IF($C$854=$E$1095,S140/1000/3.6,S657/1000/3.6))</f>
        <v>0.69448598432006436</v>
      </c>
      <c r="BM1126" s="319" t="s">
        <v>5866</v>
      </c>
      <c r="BN1126" s="319"/>
      <c r="BO1126" s="319"/>
      <c r="BP1126" s="319"/>
      <c r="BQ1126" s="319"/>
      <c r="BR1126" s="319"/>
      <c r="BS1126" s="319"/>
      <c r="BT1126" s="319"/>
      <c r="BU1126" s="319"/>
      <c r="BV1126" s="319"/>
      <c r="BW1126" s="319"/>
      <c r="BX1126" s="319"/>
      <c r="BY1126" s="319"/>
      <c r="BZ1126" s="319"/>
      <c r="CA1126" s="319"/>
      <c r="CB1126" s="319"/>
      <c r="CC1126" s="319"/>
      <c r="CD1126" s="319"/>
      <c r="CE1126" s="319"/>
      <c r="CF1126" s="319"/>
    </row>
    <row r="1127" spans="1:84" ht="13.5" hidden="1" customHeight="1">
      <c r="A1127" s="319"/>
      <c r="B1127" s="319" t="s">
        <v>2148</v>
      </c>
      <c r="C1127" s="494">
        <f>SUMIF($I$1114:$I$1127,$C$1122,$L$1114:$L$1127)</f>
        <v>0</v>
      </c>
      <c r="D1127" s="494">
        <f>SUMIF($O$1114:$O$1127,$D$1122,$R$1114:$R$1127)</f>
        <v>0</v>
      </c>
      <c r="E1127" s="494">
        <f>IF($G$1120=2,D1127,IF($G$1120=1,C1127,0))</f>
        <v>0</v>
      </c>
      <c r="F1127" s="494">
        <f t="shared" si="96"/>
        <v>0</v>
      </c>
      <c r="G1127" s="319"/>
      <c r="H1127" s="319"/>
      <c r="I1127" s="319" t="str">
        <f t="shared" si="93"/>
        <v>Energia solar térmica</v>
      </c>
      <c r="J1127" s="494">
        <f>D541*D544</f>
        <v>0</v>
      </c>
      <c r="K1127" s="494"/>
      <c r="L1127" s="319"/>
      <c r="M1127" s="319">
        <v>0</v>
      </c>
      <c r="N1127" s="319">
        <v>14</v>
      </c>
      <c r="O1127" s="319" t="str">
        <f t="shared" si="94"/>
        <v>Energia solar térmica</v>
      </c>
      <c r="P1127" s="494">
        <f>D803*D806</f>
        <v>0</v>
      </c>
      <c r="Q1127" s="494"/>
      <c r="R1127" s="494"/>
      <c r="S1127" s="494">
        <v>0</v>
      </c>
      <c r="T1127" s="494">
        <f>D541</f>
        <v>0</v>
      </c>
      <c r="U1127" s="494">
        <f>D803</f>
        <v>0</v>
      </c>
      <c r="V1127" s="494">
        <f>H541</f>
        <v>0</v>
      </c>
      <c r="W1127" s="494">
        <f>H803</f>
        <v>0</v>
      </c>
      <c r="X1127" s="319"/>
      <c r="Y1127" s="319" t="s">
        <v>3297</v>
      </c>
      <c r="Z1127" s="319">
        <f>IF(HideCodeES_PSS=1,V174,IF($C$854=$E$1095,V174,V691))</f>
        <v>14504.903208786885</v>
      </c>
      <c r="AA1127" s="319" t="s">
        <v>5699</v>
      </c>
      <c r="AB1127" s="319" t="s">
        <v>5229</v>
      </c>
      <c r="AC1127" s="319">
        <f>IF(HideCodeES_PSS=1,S165-EnthalpyF(0.1,S191+$AA$1090),IF($C$854=$E$1095,S165-EnthalpyF(0.1,S191+$AA$1090),S682-EnthalpyF(0.1,V708+$AA$1090)))</f>
        <v>2500.3380732353721</v>
      </c>
      <c r="AD1127" s="319"/>
      <c r="AE1127" s="319"/>
      <c r="AF1127" s="319"/>
      <c r="AG1127" s="319"/>
      <c r="AH1127" s="319"/>
      <c r="AI1127" s="319"/>
      <c r="AJ1127" s="319">
        <v>548</v>
      </c>
      <c r="AK1127" s="319"/>
      <c r="AL1127" s="319">
        <f>IF(HideCodeES_PSS=1,S194-S193,IF($C$854=$E$1095,S194-S193,S711-S710))</f>
        <v>0</v>
      </c>
      <c r="AM1127" s="319" t="s">
        <v>4369</v>
      </c>
      <c r="AN1127" s="319"/>
      <c r="AO1127" s="587"/>
      <c r="AP1127" s="319"/>
      <c r="AQ1127" s="319"/>
      <c r="AR1127" s="319"/>
      <c r="AS1127" s="319"/>
      <c r="AT1127" s="319"/>
      <c r="AU1127" s="319"/>
      <c r="AV1127" s="319"/>
      <c r="AW1127" s="319"/>
      <c r="AX1127" s="319"/>
      <c r="AY1127" s="319"/>
      <c r="AZ1127" s="319"/>
      <c r="BA1127" s="319"/>
      <c r="BB1127" s="319"/>
      <c r="BC1127" s="319"/>
      <c r="BD1127" s="319"/>
      <c r="BE1127" s="319"/>
      <c r="BF1127" s="319"/>
      <c r="BG1127" s="319"/>
      <c r="BH1127" s="319"/>
      <c r="BI1127" s="319" t="s">
        <v>4664</v>
      </c>
      <c r="BJ1127" s="319">
        <f>IF(HideCodeES_PSS=1,S135,IF($C$854=$E$1095,S135,V652))</f>
        <v>0</v>
      </c>
      <c r="BK1127" s="319"/>
      <c r="BL1127" s="319"/>
      <c r="BM1127" s="319"/>
      <c r="BN1127" s="319"/>
      <c r="BO1127" s="319"/>
      <c r="BP1127" s="319"/>
      <c r="BQ1127" s="319"/>
      <c r="BR1127" s="319"/>
      <c r="BS1127" s="319"/>
      <c r="BT1127" s="319"/>
      <c r="BU1127" s="319"/>
      <c r="BV1127" s="319"/>
      <c r="BW1127" s="319"/>
      <c r="BX1127" s="319"/>
      <c r="BY1127" s="319"/>
      <c r="BZ1127" s="319"/>
      <c r="CA1127" s="319"/>
      <c r="CB1127" s="319"/>
      <c r="CC1127" s="319"/>
      <c r="CD1127" s="319"/>
      <c r="CE1127" s="319"/>
      <c r="CF1127" s="319"/>
    </row>
    <row r="1128" spans="1:84" ht="13.5" hidden="1" customHeight="1">
      <c r="A1128" s="319"/>
      <c r="B1128" s="319" t="s">
        <v>3656</v>
      </c>
      <c r="C1128" s="494">
        <f>S35</f>
        <v>8760</v>
      </c>
      <c r="D1128" s="494">
        <f>S551</f>
        <v>0</v>
      </c>
      <c r="E1128" s="494">
        <f>IF($G$1120=2,D1128,IF($G$1120=1,C1128,0))</f>
        <v>0</v>
      </c>
      <c r="F1128" s="494">
        <f t="shared" si="96"/>
        <v>8760</v>
      </c>
      <c r="G1128" s="319"/>
      <c r="H1128" s="319"/>
      <c r="I1128" s="319"/>
      <c r="J1128" s="319"/>
      <c r="K1128" s="319"/>
      <c r="L1128" s="319"/>
      <c r="M1128" s="319"/>
      <c r="N1128" s="319"/>
      <c r="O1128" s="319"/>
      <c r="P1128" s="319"/>
      <c r="Q1128" s="319"/>
      <c r="R1128" s="319"/>
      <c r="S1128" s="319"/>
      <c r="T1128" s="319"/>
      <c r="U1128" s="319"/>
      <c r="V1128" s="319"/>
      <c r="W1128" s="319"/>
      <c r="X1128" s="319"/>
      <c r="Y1128" s="319" t="s">
        <v>3298</v>
      </c>
      <c r="Z1128" s="319">
        <f>IF(HideCodeES_PSS=1,V179,IF($C$854=$E$1095,V179,V696))</f>
        <v>14504.903208786885</v>
      </c>
      <c r="AA1128" s="319" t="s">
        <v>5699</v>
      </c>
      <c r="AB1128" s="319"/>
      <c r="AC1128" s="319"/>
      <c r="AD1128" s="319"/>
      <c r="AE1128" s="319"/>
      <c r="AF1128" s="319"/>
      <c r="AG1128" s="319"/>
      <c r="AH1128" s="319"/>
      <c r="AI1128" s="319"/>
      <c r="AJ1128" s="319"/>
      <c r="AK1128" s="319" t="s">
        <v>5073</v>
      </c>
      <c r="AL1128" s="319">
        <f>IF(HideCodeES_PSS=1,S173/1000/3.6,IF($C$854=$E$1095,S173/1000/3.6,S690/1000/3.6))</f>
        <v>0.69448598432006436</v>
      </c>
      <c r="AM1128" s="319" t="s">
        <v>5866</v>
      </c>
      <c r="AN1128" s="319"/>
      <c r="AO1128" s="587"/>
      <c r="AP1128" s="319"/>
      <c r="AQ1128" s="319"/>
      <c r="AR1128" s="319"/>
      <c r="AS1128" s="319"/>
      <c r="AT1128" s="319"/>
      <c r="AU1128" s="319"/>
      <c r="AV1128" s="319"/>
      <c r="AW1128" s="319"/>
      <c r="AX1128" s="319"/>
      <c r="AY1128" s="319"/>
      <c r="AZ1128" s="319"/>
      <c r="BA1128" s="319"/>
      <c r="BB1128" s="319"/>
      <c r="BC1128" s="319"/>
      <c r="BD1128" s="319"/>
      <c r="BE1128" s="319"/>
      <c r="BF1128" s="319"/>
      <c r="BG1128" s="319"/>
      <c r="BH1128" s="319"/>
      <c r="BI1128" s="319" t="s">
        <v>2497</v>
      </c>
      <c r="BJ1128" s="319">
        <f>IF(HideCodeES_PSS=1,D117,IF($C$854=$E$1095,D117,D634))</f>
        <v>0</v>
      </c>
      <c r="BK1128" s="319"/>
      <c r="BL1128" s="319"/>
      <c r="BM1128" s="319"/>
      <c r="BN1128" s="319"/>
      <c r="BO1128" s="319"/>
      <c r="BP1128" s="319"/>
      <c r="BQ1128" s="319"/>
      <c r="BR1128" s="319"/>
      <c r="BS1128" s="319"/>
      <c r="BT1128" s="319"/>
      <c r="BU1128" s="319"/>
      <c r="BV1128" s="319"/>
      <c r="BW1128" s="319"/>
      <c r="BX1128" s="319"/>
      <c r="BY1128" s="319"/>
      <c r="BZ1128" s="319"/>
      <c r="CA1128" s="319"/>
      <c r="CB1128" s="319"/>
      <c r="CC1128" s="319"/>
      <c r="CD1128" s="319"/>
      <c r="CE1128" s="319"/>
      <c r="CF1128" s="319"/>
    </row>
    <row r="1129" spans="1:84" ht="13.5" hidden="1" customHeight="1">
      <c r="A1129" s="319"/>
      <c r="B1129" s="319" t="s">
        <v>3662</v>
      </c>
      <c r="C1129" s="319">
        <v>8760</v>
      </c>
      <c r="D1129" s="319"/>
      <c r="E1129" s="319"/>
      <c r="F1129" s="319">
        <f>F1128/C1129</f>
        <v>1</v>
      </c>
      <c r="G1129" s="319"/>
      <c r="H1129" s="319"/>
      <c r="I1129" s="319"/>
      <c r="J1129" s="319"/>
      <c r="K1129" s="319"/>
      <c r="L1129" s="319"/>
      <c r="M1129" s="319"/>
      <c r="N1129" s="319"/>
      <c r="O1129" s="319"/>
      <c r="P1129" s="319"/>
      <c r="Q1129" s="319"/>
      <c r="R1129" s="319"/>
      <c r="S1129" s="319"/>
      <c r="T1129" s="319"/>
      <c r="U1129" s="319"/>
      <c r="V1129" s="319"/>
      <c r="W1129" s="319"/>
      <c r="X1129" s="319"/>
      <c r="Y1129" s="319" t="s">
        <v>3509</v>
      </c>
      <c r="Z1129" s="319">
        <f>IF(HideCodeES_PSS=1,D180,IF($C$854=$E$1095,D180,D697))</f>
        <v>0</v>
      </c>
      <c r="AA1129" s="319" t="s">
        <v>1591</v>
      </c>
      <c r="AB1129" s="319" t="s">
        <v>5633</v>
      </c>
      <c r="AC1129" s="319">
        <f>IF(HideCodeES_PSS=1,D168,IF($C$854=$E$1095,D168,D685))</f>
        <v>0</v>
      </c>
      <c r="AD1129" s="319"/>
      <c r="AE1129" s="319"/>
      <c r="AF1129" s="319"/>
      <c r="AG1129" s="319"/>
      <c r="AH1129" s="319"/>
      <c r="AI1129" s="319"/>
      <c r="AJ1129" s="319"/>
      <c r="AK1129" s="319"/>
      <c r="AL1129" s="319"/>
      <c r="AM1129" s="319"/>
      <c r="AN1129" s="319"/>
      <c r="AO1129" s="587"/>
      <c r="AP1129" s="319"/>
      <c r="AQ1129" s="319"/>
      <c r="AR1129" s="319"/>
      <c r="AS1129" s="319"/>
      <c r="AT1129" s="319"/>
      <c r="AU1129" s="319"/>
      <c r="AV1129" s="319"/>
      <c r="AW1129" s="319"/>
      <c r="AX1129" s="319"/>
      <c r="AY1129" s="319"/>
      <c r="AZ1129" s="319"/>
      <c r="BA1129" s="319"/>
      <c r="BB1129" s="319"/>
      <c r="BC1129" s="319"/>
      <c r="BD1129" s="319"/>
      <c r="BE1129" s="319"/>
      <c r="BF1129" s="319"/>
      <c r="BG1129" s="319"/>
      <c r="BH1129" s="319"/>
      <c r="BI1129" s="319"/>
      <c r="BJ1129" s="319"/>
      <c r="BK1129" s="319"/>
      <c r="BL1129" s="319"/>
      <c r="BM1129" s="319"/>
      <c r="BN1129" s="319"/>
      <c r="BO1129" s="319"/>
      <c r="BP1129" s="319"/>
      <c r="BQ1129" s="319"/>
      <c r="BR1129" s="319"/>
      <c r="BS1129" s="319"/>
      <c r="BT1129" s="319"/>
      <c r="BU1129" s="319"/>
      <c r="BV1129" s="319"/>
      <c r="BW1129" s="319"/>
      <c r="BX1129" s="319"/>
      <c r="BY1129" s="319"/>
      <c r="BZ1129" s="319"/>
      <c r="CA1129" s="319"/>
      <c r="CB1129" s="319"/>
      <c r="CC1129" s="319"/>
      <c r="CD1129" s="319"/>
      <c r="CE1129" s="319"/>
      <c r="CF1129" s="319"/>
    </row>
    <row r="1130" spans="1:84" ht="13.5" hidden="1" customHeight="1">
      <c r="A1130" s="319"/>
      <c r="B1130" s="319" t="s">
        <v>3977</v>
      </c>
      <c r="C1130" s="319">
        <f>'Carga e Rede'!X243</f>
        <v>9.9999999999999995E-8</v>
      </c>
      <c r="D1130" s="319"/>
      <c r="E1130" s="319"/>
      <c r="F1130" s="319"/>
      <c r="G1130" s="319"/>
      <c r="H1130" s="319"/>
      <c r="I1130" s="319"/>
      <c r="J1130" s="319"/>
      <c r="K1130" s="319"/>
      <c r="L1130" s="319"/>
      <c r="M1130" s="319"/>
      <c r="N1130" s="319"/>
      <c r="O1130" s="319"/>
      <c r="P1130" s="319"/>
      <c r="Q1130" s="319"/>
      <c r="R1130" s="319"/>
      <c r="S1130" s="319"/>
      <c r="T1130" s="319"/>
      <c r="U1130" s="319"/>
      <c r="V1130" s="319"/>
      <c r="W1130" s="319"/>
      <c r="X1130" s="319"/>
      <c r="Y1130" s="319"/>
      <c r="Z1130" s="319"/>
      <c r="AA1130" s="319"/>
      <c r="AB1130" s="319"/>
      <c r="AC1130" s="319"/>
      <c r="AD1130" s="319"/>
      <c r="AE1130" s="319"/>
      <c r="AF1130" s="319"/>
      <c r="AG1130" s="319"/>
      <c r="AH1130" s="319"/>
      <c r="AI1130" s="319"/>
      <c r="AJ1130" s="319"/>
      <c r="AK1130" s="319"/>
      <c r="AL1130" s="319"/>
      <c r="AM1130" s="319"/>
      <c r="AN1130" s="319"/>
      <c r="AO1130" s="587"/>
      <c r="AP1130" s="319"/>
      <c r="AQ1130" s="319"/>
      <c r="AR1130" s="319"/>
      <c r="AS1130" s="319"/>
      <c r="AT1130" s="319"/>
      <c r="AU1130" s="319"/>
      <c r="AV1130" s="319"/>
      <c r="AW1130" s="319"/>
      <c r="AX1130" s="319"/>
      <c r="AY1130" s="319"/>
      <c r="AZ1130" s="319"/>
      <c r="BA1130" s="319"/>
      <c r="BB1130" s="319"/>
      <c r="BC1130" s="319"/>
      <c r="BD1130" s="319"/>
      <c r="BE1130" s="319"/>
      <c r="BF1130" s="319"/>
      <c r="BG1130" s="319"/>
      <c r="BH1130" s="319"/>
      <c r="BI1130" s="319"/>
      <c r="BJ1130" s="319"/>
      <c r="BK1130" s="319"/>
      <c r="BL1130" s="319"/>
      <c r="BM1130" s="319"/>
      <c r="BN1130" s="319"/>
      <c r="BO1130" s="319"/>
      <c r="BP1130" s="319"/>
      <c r="BQ1130" s="319"/>
      <c r="BR1130" s="319"/>
      <c r="BS1130" s="319"/>
      <c r="BT1130" s="319"/>
      <c r="BU1130" s="319"/>
      <c r="BV1130" s="319"/>
      <c r="BW1130" s="319"/>
      <c r="BX1130" s="319"/>
      <c r="BY1130" s="319"/>
      <c r="BZ1130" s="319"/>
      <c r="CA1130" s="319"/>
      <c r="CB1130" s="319"/>
      <c r="CC1130" s="319"/>
      <c r="CD1130" s="319"/>
      <c r="CE1130" s="319">
        <f>IF(OR(HideCode_projectType3=4,HideCode_projectType3=7),1,0)</f>
        <v>0</v>
      </c>
      <c r="CF1130" s="319"/>
    </row>
    <row r="1131" spans="1:84" ht="13.5" hidden="1" customHeight="1">
      <c r="A1131" s="319"/>
      <c r="B1131" s="319" t="s">
        <v>82</v>
      </c>
      <c r="C1131" s="319" t="str">
        <f>IF(HideCodeES_HeatST1&lt;3,C32,B70)</f>
        <v>Sistema à biomassa</v>
      </c>
      <c r="D1131" s="319" t="str">
        <f>IF(HideCodeES_HeatST2&lt;3,C549,B586)</f>
        <v>Sistema à biomassa</v>
      </c>
      <c r="E1131" s="319" t="str">
        <f>IF($C$28=$G$1073,"",C1131)</f>
        <v/>
      </c>
      <c r="F1131" s="319" t="str">
        <f>IF($C$28=$G$1074,D1131,C1131)</f>
        <v>Sistema à biomassa</v>
      </c>
      <c r="G1131" s="319"/>
      <c r="H1131" s="319"/>
      <c r="I1131" s="319"/>
      <c r="J1131" s="319"/>
      <c r="K1131" s="319" t="s">
        <v>4071</v>
      </c>
      <c r="L1131" s="319"/>
      <c r="M1131" s="319"/>
      <c r="N1131" s="319"/>
      <c r="O1131" s="319" t="str">
        <f>C1121</f>
        <v>Outro</v>
      </c>
      <c r="P1131" s="319"/>
      <c r="Q1131" s="319">
        <v>1</v>
      </c>
      <c r="R1131" s="319">
        <v>2</v>
      </c>
      <c r="S1131" s="319">
        <v>3</v>
      </c>
      <c r="T1131" s="319">
        <v>0</v>
      </c>
      <c r="U1131" s="319">
        <v>0</v>
      </c>
      <c r="V1131" s="319">
        <v>0</v>
      </c>
      <c r="W1131" s="319">
        <v>0</v>
      </c>
      <c r="X1131" s="319">
        <v>0</v>
      </c>
      <c r="Y1131" s="319">
        <v>0</v>
      </c>
      <c r="Z1131" s="319">
        <v>0</v>
      </c>
      <c r="AA1131" s="319">
        <v>0</v>
      </c>
      <c r="AB1131" s="319">
        <v>0</v>
      </c>
      <c r="AC1131" s="319">
        <v>0</v>
      </c>
      <c r="AD1131" s="319">
        <v>0</v>
      </c>
      <c r="AE1131" s="319">
        <v>0</v>
      </c>
      <c r="AF1131" s="319">
        <v>0</v>
      </c>
      <c r="AG1131" s="319">
        <v>0</v>
      </c>
      <c r="AH1131" s="319">
        <v>0</v>
      </c>
      <c r="AI1131" s="319">
        <v>4</v>
      </c>
      <c r="AJ1131" s="319">
        <v>6</v>
      </c>
      <c r="AK1131" s="319">
        <v>7</v>
      </c>
      <c r="AL1131" s="319">
        <v>0</v>
      </c>
      <c r="AM1131" s="319">
        <v>0</v>
      </c>
      <c r="AN1131" s="319">
        <v>8</v>
      </c>
      <c r="AO1131" s="587">
        <v>0</v>
      </c>
      <c r="AP1131" s="319">
        <v>5</v>
      </c>
      <c r="AQ1131" s="319">
        <v>0</v>
      </c>
      <c r="AR1131" s="319">
        <v>0</v>
      </c>
      <c r="AS1131" s="319">
        <v>0</v>
      </c>
      <c r="AT1131" s="319">
        <v>0</v>
      </c>
      <c r="AU1131" s="319">
        <v>0</v>
      </c>
      <c r="AV1131" s="319">
        <v>0</v>
      </c>
      <c r="AW1131" s="319"/>
      <c r="AX1131" s="319"/>
      <c r="AY1131" s="319"/>
      <c r="AZ1131" s="319"/>
      <c r="BA1131" s="319"/>
      <c r="BB1131" s="319">
        <v>0</v>
      </c>
      <c r="BC1131" s="319">
        <v>0</v>
      </c>
      <c r="BD1131" s="319">
        <v>0</v>
      </c>
      <c r="BE1131" s="319">
        <v>0</v>
      </c>
      <c r="BF1131" s="319">
        <v>0</v>
      </c>
      <c r="BG1131" s="319">
        <v>0</v>
      </c>
      <c r="BH1131" s="319">
        <v>0</v>
      </c>
      <c r="BI1131" s="319">
        <v>0</v>
      </c>
      <c r="BJ1131" s="319">
        <v>0</v>
      </c>
      <c r="BK1131" s="319"/>
      <c r="BL1131" s="319">
        <v>0</v>
      </c>
      <c r="BM1131" s="319">
        <v>0</v>
      </c>
      <c r="BN1131" s="319">
        <v>0</v>
      </c>
      <c r="BO1131" s="319">
        <v>0</v>
      </c>
      <c r="BP1131" s="319">
        <v>0</v>
      </c>
      <c r="BQ1131" s="319">
        <v>0</v>
      </c>
      <c r="BR1131" s="319">
        <v>0</v>
      </c>
      <c r="BS1131" s="319">
        <v>11</v>
      </c>
      <c r="BT1131" s="319">
        <v>12</v>
      </c>
      <c r="BU1131" s="319">
        <v>13</v>
      </c>
      <c r="BV1131" s="319">
        <v>14</v>
      </c>
      <c r="BW1131" s="319">
        <v>0</v>
      </c>
      <c r="BX1131" s="319">
        <v>0</v>
      </c>
      <c r="BY1131" s="319">
        <v>0</v>
      </c>
      <c r="BZ1131" s="319">
        <v>0</v>
      </c>
      <c r="CA1131" s="319"/>
      <c r="CB1131" s="319"/>
      <c r="CC1131" s="319"/>
      <c r="CD1131" s="319"/>
      <c r="CE1131" s="319" t="s">
        <v>4536</v>
      </c>
      <c r="CF1131" s="319" t="s">
        <v>482</v>
      </c>
    </row>
    <row r="1132" spans="1:84" ht="13.5" hidden="1" customHeight="1">
      <c r="A1132" s="319"/>
      <c r="B1132" s="319" t="s">
        <v>4956</v>
      </c>
      <c r="C1132" s="494">
        <f>IF(HideCodeES_HeatST1&lt;3,S79,S72)</f>
        <v>0</v>
      </c>
      <c r="D1132" s="494">
        <f>IF(HideCodeES_HeatST2&lt;3,S595,S587)</f>
        <v>0</v>
      </c>
      <c r="E1132" s="494">
        <f>IF($C$28=$G$1073,0,C1132)</f>
        <v>0</v>
      </c>
      <c r="F1132" s="494">
        <f>IF($C$28=$G$1074,D1132,C1132)</f>
        <v>0</v>
      </c>
      <c r="G1132" s="319"/>
      <c r="H1132" s="319"/>
      <c r="I1132" s="319"/>
      <c r="J1132" s="319"/>
      <c r="K1132" s="319" t="s">
        <v>4600</v>
      </c>
      <c r="L1132" s="319"/>
      <c r="M1132" s="319"/>
      <c r="N1132" s="319"/>
      <c r="O1132" s="319" t="str">
        <f>D1121</f>
        <v>Outro #2</v>
      </c>
      <c r="P1132" s="319"/>
      <c r="Q1132" s="319"/>
      <c r="R1132" s="319"/>
      <c r="S1132" s="319"/>
      <c r="T1132" s="319">
        <v>1</v>
      </c>
      <c r="U1132" s="319">
        <v>0</v>
      </c>
      <c r="V1132" s="319">
        <v>2</v>
      </c>
      <c r="W1132" s="319">
        <v>3</v>
      </c>
      <c r="X1132" s="319">
        <v>13</v>
      </c>
      <c r="Y1132" s="319">
        <v>0</v>
      </c>
      <c r="Z1132" s="319">
        <v>0</v>
      </c>
      <c r="AA1132" s="319">
        <v>0</v>
      </c>
      <c r="AB1132" s="319">
        <v>0</v>
      </c>
      <c r="AC1132" s="319">
        <v>0</v>
      </c>
      <c r="AD1132" s="319">
        <v>0</v>
      </c>
      <c r="AE1132" s="319">
        <v>0</v>
      </c>
      <c r="AF1132" s="319">
        <v>0</v>
      </c>
      <c r="AG1132" s="319">
        <v>0</v>
      </c>
      <c r="AH1132" s="319">
        <v>0</v>
      </c>
      <c r="AI1132" s="319">
        <v>0</v>
      </c>
      <c r="AJ1132" s="319">
        <v>0</v>
      </c>
      <c r="AK1132" s="319">
        <v>0</v>
      </c>
      <c r="AL1132" s="319">
        <v>0</v>
      </c>
      <c r="AM1132" s="319">
        <v>0</v>
      </c>
      <c r="AN1132" s="319">
        <v>0</v>
      </c>
      <c r="AO1132" s="587">
        <v>0</v>
      </c>
      <c r="AP1132" s="319">
        <v>0</v>
      </c>
      <c r="AQ1132" s="319">
        <v>0</v>
      </c>
      <c r="AR1132" s="319">
        <v>0</v>
      </c>
      <c r="AS1132" s="319">
        <v>0</v>
      </c>
      <c r="AT1132" s="319">
        <v>0</v>
      </c>
      <c r="AU1132" s="319">
        <v>4</v>
      </c>
      <c r="AV1132" s="319">
        <v>5</v>
      </c>
      <c r="AW1132" s="319"/>
      <c r="AX1132" s="319"/>
      <c r="AY1132" s="319"/>
      <c r="AZ1132" s="319"/>
      <c r="BA1132" s="319"/>
      <c r="BB1132" s="319">
        <v>6</v>
      </c>
      <c r="BC1132" s="319">
        <v>7</v>
      </c>
      <c r="BD1132" s="319">
        <v>8</v>
      </c>
      <c r="BE1132" s="319">
        <v>0</v>
      </c>
      <c r="BF1132" s="319">
        <v>10</v>
      </c>
      <c r="BG1132" s="319">
        <v>0</v>
      </c>
      <c r="BH1132" s="319">
        <v>0</v>
      </c>
      <c r="BI1132" s="319">
        <v>0</v>
      </c>
      <c r="BJ1132" s="319">
        <v>0</v>
      </c>
      <c r="BK1132" s="319">
        <v>0</v>
      </c>
      <c r="BL1132" s="319">
        <v>0</v>
      </c>
      <c r="BM1132" s="319">
        <v>0</v>
      </c>
      <c r="BN1132" s="319">
        <v>0</v>
      </c>
      <c r="BO1132" s="319">
        <v>0</v>
      </c>
      <c r="BP1132" s="319">
        <v>0</v>
      </c>
      <c r="BQ1132" s="319">
        <v>0</v>
      </c>
      <c r="BR1132" s="319">
        <v>0</v>
      </c>
      <c r="BS1132" s="319">
        <v>0</v>
      </c>
      <c r="BT1132" s="319">
        <v>0</v>
      </c>
      <c r="BU1132" s="319">
        <v>0</v>
      </c>
      <c r="BV1132" s="319">
        <v>0</v>
      </c>
      <c r="BW1132" s="319">
        <v>11</v>
      </c>
      <c r="BX1132" s="319">
        <v>12</v>
      </c>
      <c r="BY1132" s="319">
        <v>13</v>
      </c>
      <c r="BZ1132" s="319">
        <v>14</v>
      </c>
      <c r="CA1132" s="319"/>
      <c r="CB1132" s="319"/>
      <c r="CC1132" s="319"/>
      <c r="CD1132" s="319"/>
      <c r="CE1132" s="319"/>
      <c r="CF1132" s="319"/>
    </row>
    <row r="1133" spans="1:84" ht="13.5" hidden="1" customHeight="1">
      <c r="A1133" s="319"/>
      <c r="B1133" s="319" t="s">
        <v>2758</v>
      </c>
      <c r="C1133" s="494" t="e">
        <f>IF(HideCodeES_HeatST1&lt;3,S90,S77)*1000</f>
        <v>#DIV/0!</v>
      </c>
      <c r="D1133" s="494" t="e">
        <f>IF(HideCodeES_HeatST2&lt;3,S606,S592)*1000</f>
        <v>#DIV/0!</v>
      </c>
      <c r="E1133" s="494">
        <f>IF($C$28=$G$1073,0,C1133)</f>
        <v>0</v>
      </c>
      <c r="F1133" s="494" t="e">
        <f>IF($C$28=$G$1074,D1133,C1133)</f>
        <v>#DIV/0!</v>
      </c>
      <c r="G1133" s="319"/>
      <c r="H1133" s="319"/>
      <c r="I1133" s="319"/>
      <c r="J1133" s="319"/>
      <c r="K1133" s="319"/>
      <c r="L1133" s="319"/>
      <c r="M1133" s="319"/>
      <c r="N1133" s="319"/>
      <c r="O1133" s="319"/>
      <c r="P1133" s="319"/>
      <c r="Q1133" s="319"/>
      <c r="R1133" s="319"/>
      <c r="S1133" s="319"/>
      <c r="T1133" s="319"/>
      <c r="U1133" s="319"/>
      <c r="V1133" s="319"/>
      <c r="W1133" s="319"/>
      <c r="X1133" s="319"/>
      <c r="Y1133" s="319" t="s">
        <v>3242</v>
      </c>
      <c r="Z1133" s="319"/>
      <c r="AA1133" s="319"/>
      <c r="AB1133" s="319"/>
      <c r="AC1133" s="319"/>
      <c r="AD1133" s="319"/>
      <c r="AE1133" s="319"/>
      <c r="AF1133" s="319"/>
      <c r="AG1133" s="319"/>
      <c r="AH1133" s="319"/>
      <c r="AI1133" s="319"/>
      <c r="AJ1133" s="319"/>
      <c r="AK1133" s="319" t="s">
        <v>2747</v>
      </c>
      <c r="AL1133" s="319"/>
      <c r="AM1133" s="319"/>
      <c r="AN1133" s="319"/>
      <c r="AO1133" s="587"/>
      <c r="AP1133" s="319"/>
      <c r="AQ1133" s="319"/>
      <c r="AR1133" s="319"/>
      <c r="AS1133" s="319"/>
      <c r="AT1133" s="319"/>
      <c r="AU1133" s="319"/>
      <c r="AV1133" s="319"/>
      <c r="AW1133" s="319"/>
      <c r="AX1133" s="319"/>
      <c r="AY1133" s="319"/>
      <c r="AZ1133" s="319"/>
      <c r="BA1133" s="319"/>
      <c r="BB1133" s="319"/>
      <c r="BC1133" s="319"/>
      <c r="BD1133" s="319"/>
      <c r="BE1133" s="319"/>
      <c r="BF1133" s="319"/>
      <c r="BG1133" s="319"/>
      <c r="BH1133" s="319" t="s">
        <v>5904</v>
      </c>
      <c r="BI1133" s="319">
        <v>11</v>
      </c>
      <c r="BJ1133" s="319"/>
      <c r="BK1133" s="319">
        <v>12</v>
      </c>
      <c r="BL1133" s="319">
        <v>13</v>
      </c>
      <c r="BM1133" s="319">
        <v>14</v>
      </c>
      <c r="BN1133" s="319"/>
      <c r="BO1133" s="319"/>
      <c r="BP1133" s="319"/>
      <c r="BQ1133" s="319"/>
      <c r="BR1133" s="319"/>
      <c r="BS1133" s="319">
        <v>11</v>
      </c>
      <c r="BT1133" s="319">
        <v>12</v>
      </c>
      <c r="BU1133" s="319">
        <v>13</v>
      </c>
      <c r="BV1133" s="319">
        <v>14</v>
      </c>
      <c r="BW1133" s="319"/>
      <c r="BX1133" s="319"/>
      <c r="BY1133" s="319"/>
      <c r="BZ1133" s="319"/>
      <c r="CA1133" s="319"/>
      <c r="CB1133" s="319"/>
      <c r="CC1133" s="319"/>
      <c r="CD1133" s="319"/>
      <c r="CE1133" s="319"/>
      <c r="CF1133" s="319">
        <f>V905</f>
        <v>0</v>
      </c>
    </row>
    <row r="1134" spans="1:84" ht="13.5" hidden="1" customHeight="1">
      <c r="A1134" s="319"/>
      <c r="B1134" s="319" t="s">
        <v>5178</v>
      </c>
      <c r="C1134" s="319"/>
      <c r="D1134" s="319"/>
      <c r="E1134" s="494">
        <f>H1137</f>
        <v>0</v>
      </c>
      <c r="F1134" s="494">
        <f>K1137</f>
        <v>0</v>
      </c>
      <c r="G1134" s="319"/>
      <c r="H1134" s="319"/>
      <c r="I1134" s="319"/>
      <c r="J1134" s="319"/>
      <c r="K1134" s="319"/>
      <c r="L1134" s="319" t="s">
        <v>3442</v>
      </c>
      <c r="M1134" s="319" t="s">
        <v>3442</v>
      </c>
      <c r="N1134" s="319" t="s">
        <v>3442</v>
      </c>
      <c r="O1134" s="319" t="s">
        <v>3442</v>
      </c>
      <c r="P1134" s="319" t="s">
        <v>3442</v>
      </c>
      <c r="Q1134" s="319" t="s">
        <v>2747</v>
      </c>
      <c r="R1134" s="319" t="s">
        <v>2747</v>
      </c>
      <c r="S1134" s="319" t="s">
        <v>2747</v>
      </c>
      <c r="T1134" s="319" t="s">
        <v>5769</v>
      </c>
      <c r="U1134" s="319" t="s">
        <v>5769</v>
      </c>
      <c r="V1134" s="319" t="s">
        <v>5769</v>
      </c>
      <c r="W1134" s="319" t="s">
        <v>5769</v>
      </c>
      <c r="X1134" s="319" t="s">
        <v>5769</v>
      </c>
      <c r="Y1134" s="319" t="s">
        <v>3442</v>
      </c>
      <c r="Z1134" s="319" t="s">
        <v>3442</v>
      </c>
      <c r="AA1134" s="319" t="s">
        <v>3442</v>
      </c>
      <c r="AB1134" s="319" t="s">
        <v>3442</v>
      </c>
      <c r="AC1134" s="319" t="s">
        <v>3442</v>
      </c>
      <c r="AD1134" s="319" t="s">
        <v>3442</v>
      </c>
      <c r="AE1134" s="319" t="s">
        <v>3442</v>
      </c>
      <c r="AF1134" s="319" t="s">
        <v>3442</v>
      </c>
      <c r="AG1134" s="319"/>
      <c r="AH1134" s="319"/>
      <c r="AI1134" s="319" t="s">
        <v>2747</v>
      </c>
      <c r="AJ1134" s="319" t="s">
        <v>2747</v>
      </c>
      <c r="AK1134" s="319" t="s">
        <v>2747</v>
      </c>
      <c r="AL1134" s="319" t="s">
        <v>2747</v>
      </c>
      <c r="AM1134" s="319" t="s">
        <v>2747</v>
      </c>
      <c r="AN1134" s="319" t="s">
        <v>2747</v>
      </c>
      <c r="AO1134" s="587" t="s">
        <v>2747</v>
      </c>
      <c r="AP1134" s="319" t="s">
        <v>2747</v>
      </c>
      <c r="AQ1134" s="319" t="s">
        <v>2747</v>
      </c>
      <c r="AR1134" s="319"/>
      <c r="AS1134" s="319"/>
      <c r="AT1134" s="319"/>
      <c r="AU1134" s="319" t="s">
        <v>5769</v>
      </c>
      <c r="AV1134" s="319" t="s">
        <v>5769</v>
      </c>
      <c r="AW1134" s="319"/>
      <c r="AX1134" s="319"/>
      <c r="AY1134" s="319"/>
      <c r="AZ1134" s="319"/>
      <c r="BA1134" s="319"/>
      <c r="BB1134" s="319" t="s">
        <v>5769</v>
      </c>
      <c r="BC1134" s="319" t="s">
        <v>5769</v>
      </c>
      <c r="BD1134" s="319" t="s">
        <v>5769</v>
      </c>
      <c r="BE1134" s="319" t="s">
        <v>5769</v>
      </c>
      <c r="BF1134" s="319" t="s">
        <v>5769</v>
      </c>
      <c r="BG1134" s="319"/>
      <c r="BH1134" s="319" t="s">
        <v>3442</v>
      </c>
      <c r="BI1134" s="319" t="s">
        <v>3442</v>
      </c>
      <c r="BJ1134" s="319" t="s">
        <v>3442</v>
      </c>
      <c r="BK1134" s="319" t="s">
        <v>3442</v>
      </c>
      <c r="BL1134" s="319" t="s">
        <v>3442</v>
      </c>
      <c r="BM1134" s="319" t="s">
        <v>3442</v>
      </c>
      <c r="BN1134" s="319"/>
      <c r="BO1134" s="319"/>
      <c r="BP1134" s="319"/>
      <c r="BQ1134" s="319"/>
      <c r="BR1134" s="319" t="s">
        <v>2747</v>
      </c>
      <c r="BS1134" s="319" t="s">
        <v>2747</v>
      </c>
      <c r="BT1134" s="319" t="s">
        <v>2747</v>
      </c>
      <c r="BU1134" s="319" t="s">
        <v>2747</v>
      </c>
      <c r="BV1134" s="319" t="s">
        <v>2747</v>
      </c>
      <c r="BW1134" s="319" t="s">
        <v>5769</v>
      </c>
      <c r="BX1134" s="319" t="s">
        <v>5769</v>
      </c>
      <c r="BY1134" s="319" t="s">
        <v>5769</v>
      </c>
      <c r="BZ1134" s="319" t="s">
        <v>5769</v>
      </c>
      <c r="CA1134" s="319"/>
      <c r="CB1134" s="319"/>
      <c r="CC1134" s="319"/>
      <c r="CD1134" s="319"/>
      <c r="CE1134" s="319" t="s">
        <v>2747</v>
      </c>
      <c r="CF1134" s="319"/>
    </row>
    <row r="1135" spans="1:84" ht="13.5" hidden="1" customHeight="1">
      <c r="A1135" s="319"/>
      <c r="B1135" s="319"/>
      <c r="C1135" s="319"/>
      <c r="D1135" s="319" t="s">
        <v>5913</v>
      </c>
      <c r="E1135" s="319"/>
      <c r="F1135" s="319" t="s">
        <v>4955</v>
      </c>
      <c r="G1135" s="319"/>
      <c r="H1135" s="319"/>
      <c r="I1135" s="319" t="s">
        <v>3388</v>
      </c>
      <c r="J1135" s="319" t="s">
        <v>1808</v>
      </c>
      <c r="K1135" s="319" t="s">
        <v>3028</v>
      </c>
      <c r="L1135" s="319" t="s">
        <v>1116</v>
      </c>
      <c r="M1135" s="319" t="s">
        <v>1309</v>
      </c>
      <c r="N1135" s="319" t="s">
        <v>4705</v>
      </c>
      <c r="O1135" s="319" t="s">
        <v>4046</v>
      </c>
      <c r="P1135" s="319" t="s">
        <v>2974</v>
      </c>
      <c r="Q1135" s="319" t="s">
        <v>3636</v>
      </c>
      <c r="R1135" s="319" t="s">
        <v>4454</v>
      </c>
      <c r="S1135" s="319" t="s">
        <v>5733</v>
      </c>
      <c r="T1135" s="319" t="s">
        <v>2831</v>
      </c>
      <c r="U1135" s="319" t="s">
        <v>5732</v>
      </c>
      <c r="V1135" s="319" t="s">
        <v>4555</v>
      </c>
      <c r="W1135" s="319" t="s">
        <v>1181</v>
      </c>
      <c r="X1135" s="319" t="s">
        <v>410</v>
      </c>
      <c r="Y1135" s="319" t="s">
        <v>1067</v>
      </c>
      <c r="Z1135" s="319" t="s">
        <v>5886</v>
      </c>
      <c r="AA1135" s="319" t="s">
        <v>3580</v>
      </c>
      <c r="AB1135" s="319" t="s">
        <v>391</v>
      </c>
      <c r="AC1135" s="319" t="s">
        <v>1569</v>
      </c>
      <c r="AD1135" s="319" t="s">
        <v>3331</v>
      </c>
      <c r="AE1135" s="319" t="s">
        <v>5960</v>
      </c>
      <c r="AF1135" s="319" t="s">
        <v>455</v>
      </c>
      <c r="AG1135" s="319" t="s">
        <v>4777</v>
      </c>
      <c r="AH1135" s="319" t="s">
        <v>3888</v>
      </c>
      <c r="AI1135" s="319" t="s">
        <v>133</v>
      </c>
      <c r="AJ1135" s="319" t="s">
        <v>2878</v>
      </c>
      <c r="AK1135" s="319" t="s">
        <v>2883</v>
      </c>
      <c r="AL1135" s="319" t="s">
        <v>2920</v>
      </c>
      <c r="AM1135" s="319" t="s">
        <v>3367</v>
      </c>
      <c r="AN1135" s="319" t="s">
        <v>3080</v>
      </c>
      <c r="AO1135" s="587" t="s">
        <v>5387</v>
      </c>
      <c r="AP1135" s="319" t="s">
        <v>4857</v>
      </c>
      <c r="AQ1135" s="319" t="s">
        <v>2865</v>
      </c>
      <c r="AR1135" s="319"/>
      <c r="AS1135" s="319"/>
      <c r="AT1135" s="319"/>
      <c r="AU1135" s="319" t="s">
        <v>1960</v>
      </c>
      <c r="AV1135" s="319" t="s">
        <v>3257</v>
      </c>
      <c r="AW1135" s="319"/>
      <c r="AX1135" s="319"/>
      <c r="AY1135" s="319"/>
      <c r="AZ1135" s="319"/>
      <c r="BA1135" s="319"/>
      <c r="BB1135" s="319" t="s">
        <v>485</v>
      </c>
      <c r="BC1135" s="319" t="s">
        <v>4700</v>
      </c>
      <c r="BD1135" s="319" t="s">
        <v>3637</v>
      </c>
      <c r="BE1135" s="319" t="s">
        <v>3057</v>
      </c>
      <c r="BF1135" s="319" t="s">
        <v>5258</v>
      </c>
      <c r="BG1135" s="319"/>
      <c r="BH1135" s="319" t="s">
        <v>5034</v>
      </c>
      <c r="BI1135" s="319" t="s">
        <v>5231</v>
      </c>
      <c r="BJ1135" s="319" t="s">
        <v>1130</v>
      </c>
      <c r="BK1135" s="319" t="s">
        <v>2874</v>
      </c>
      <c r="BL1135" s="319" t="s">
        <v>209</v>
      </c>
      <c r="BM1135" s="319" t="s">
        <v>3976</v>
      </c>
      <c r="BN1135" s="319" t="s">
        <v>312</v>
      </c>
      <c r="BO1135" s="319" t="s">
        <v>5960</v>
      </c>
      <c r="BP1135" s="319"/>
      <c r="BQ1135" s="319" t="s">
        <v>3367</v>
      </c>
      <c r="BR1135" s="319" t="s">
        <v>4064</v>
      </c>
      <c r="BS1135" s="319" t="s">
        <v>3347</v>
      </c>
      <c r="BT1135" s="319" t="s">
        <v>2889</v>
      </c>
      <c r="BU1135" s="319" t="s">
        <v>3730</v>
      </c>
      <c r="BV1135" s="319" t="s">
        <v>4853</v>
      </c>
      <c r="BW1135" s="319" t="s">
        <v>4262</v>
      </c>
      <c r="BX1135" s="319" t="s">
        <v>5057</v>
      </c>
      <c r="BY1135" s="319" t="s">
        <v>209</v>
      </c>
      <c r="BZ1135" s="319" t="s">
        <v>5694</v>
      </c>
      <c r="CA1135" s="319"/>
      <c r="CB1135" s="319"/>
      <c r="CC1135" s="319"/>
      <c r="CD1135" s="319" t="s">
        <v>4601</v>
      </c>
      <c r="CE1135" s="319" t="s">
        <v>5429</v>
      </c>
      <c r="CF1135" s="319" t="s">
        <v>469</v>
      </c>
    </row>
    <row r="1136" spans="1:84" ht="13.5" hidden="1" customHeight="1">
      <c r="A1136" s="319"/>
      <c r="B1136" s="319"/>
      <c r="C1136" s="319"/>
      <c r="D1136" s="319" t="s">
        <v>2745</v>
      </c>
      <c r="E1136" s="319" t="s">
        <v>2745</v>
      </c>
      <c r="F1136" s="319" t="s">
        <v>2745</v>
      </c>
      <c r="G1136" s="319" t="s">
        <v>2536</v>
      </c>
      <c r="H1136" s="319" t="s">
        <v>2745</v>
      </c>
      <c r="I1136" s="319" t="s">
        <v>2745</v>
      </c>
      <c r="J1136" s="319" t="s">
        <v>2745</v>
      </c>
      <c r="K1136" s="319" t="s">
        <v>2745</v>
      </c>
      <c r="L1136" s="319" t="s">
        <v>2745</v>
      </c>
      <c r="M1136" s="319" t="s">
        <v>2745</v>
      </c>
      <c r="N1136" s="319" t="s">
        <v>2745</v>
      </c>
      <c r="O1136" s="319" t="s">
        <v>2745</v>
      </c>
      <c r="P1136" s="319" t="s">
        <v>2745</v>
      </c>
      <c r="Q1136" s="319" t="s">
        <v>2745</v>
      </c>
      <c r="R1136" s="319" t="s">
        <v>2745</v>
      </c>
      <c r="S1136" s="319" t="s">
        <v>2745</v>
      </c>
      <c r="T1136" s="319" t="s">
        <v>2745</v>
      </c>
      <c r="U1136" s="319"/>
      <c r="V1136" s="319" t="s">
        <v>2745</v>
      </c>
      <c r="W1136" s="319" t="s">
        <v>2745</v>
      </c>
      <c r="X1136" s="319" t="s">
        <v>2745</v>
      </c>
      <c r="Y1136" s="319" t="s">
        <v>2745</v>
      </c>
      <c r="Z1136" s="319" t="s">
        <v>2745</v>
      </c>
      <c r="AA1136" s="319" t="s">
        <v>2745</v>
      </c>
      <c r="AB1136" s="319" t="s">
        <v>2745</v>
      </c>
      <c r="AC1136" s="319" t="s">
        <v>2745</v>
      </c>
      <c r="AD1136" s="319" t="s">
        <v>2745</v>
      </c>
      <c r="AE1136" s="319" t="s">
        <v>2745</v>
      </c>
      <c r="AF1136" s="319" t="s">
        <v>2745</v>
      </c>
      <c r="AG1136" s="319"/>
      <c r="AH1136" s="319"/>
      <c r="AI1136" s="319" t="s">
        <v>2745</v>
      </c>
      <c r="AJ1136" s="319" t="s">
        <v>2745</v>
      </c>
      <c r="AK1136" s="319" t="s">
        <v>2745</v>
      </c>
      <c r="AL1136" s="319"/>
      <c r="AM1136" s="319" t="s">
        <v>739</v>
      </c>
      <c r="AN1136" s="319" t="s">
        <v>2745</v>
      </c>
      <c r="AO1136" s="587" t="s">
        <v>2745</v>
      </c>
      <c r="AP1136" s="319" t="s">
        <v>2745</v>
      </c>
      <c r="AQ1136" s="319"/>
      <c r="AR1136" s="319"/>
      <c r="AS1136" s="319"/>
      <c r="AT1136" s="319"/>
      <c r="AU1136" s="319" t="s">
        <v>2745</v>
      </c>
      <c r="AV1136" s="319" t="s">
        <v>2745</v>
      </c>
      <c r="AW1136" s="319"/>
      <c r="AX1136" s="319"/>
      <c r="AY1136" s="319"/>
      <c r="AZ1136" s="319"/>
      <c r="BA1136" s="319"/>
      <c r="BB1136" s="319" t="s">
        <v>2745</v>
      </c>
      <c r="BC1136" s="319" t="s">
        <v>2745</v>
      </c>
      <c r="BD1136" s="319" t="s">
        <v>2745</v>
      </c>
      <c r="BE1136" s="319" t="s">
        <v>2745</v>
      </c>
      <c r="BF1136" s="319" t="s">
        <v>2745</v>
      </c>
      <c r="BG1136" s="319"/>
      <c r="BH1136" s="319" t="s">
        <v>2745</v>
      </c>
      <c r="BI1136" s="319" t="s">
        <v>2745</v>
      </c>
      <c r="BJ1136" s="319" t="s">
        <v>2745</v>
      </c>
      <c r="BK1136" s="319" t="s">
        <v>2745</v>
      </c>
      <c r="BL1136" s="319" t="s">
        <v>2745</v>
      </c>
      <c r="BM1136" s="319" t="s">
        <v>2745</v>
      </c>
      <c r="BN1136" s="319"/>
      <c r="BO1136" s="319"/>
      <c r="BP1136" s="319"/>
      <c r="BQ1136" s="319"/>
      <c r="BR1136" s="319" t="s">
        <v>2745</v>
      </c>
      <c r="BS1136" s="319" t="s">
        <v>2745</v>
      </c>
      <c r="BT1136" s="319" t="s">
        <v>2745</v>
      </c>
      <c r="BU1136" s="319" t="s">
        <v>2745</v>
      </c>
      <c r="BV1136" s="319" t="s">
        <v>2745</v>
      </c>
      <c r="BW1136" s="319"/>
      <c r="BX1136" s="319" t="s">
        <v>2745</v>
      </c>
      <c r="BY1136" s="319" t="s">
        <v>2745</v>
      </c>
      <c r="BZ1136" s="319" t="s">
        <v>2745</v>
      </c>
      <c r="CA1136" s="319"/>
      <c r="CB1136" s="319"/>
      <c r="CC1136" s="319"/>
      <c r="CD1136" s="319"/>
      <c r="CE1136" s="319" t="s">
        <v>2745</v>
      </c>
      <c r="CF1136" s="319" t="s">
        <v>2745</v>
      </c>
    </row>
    <row r="1137" spans="1:84" ht="13.5" hidden="1" customHeight="1">
      <c r="A1137" s="319"/>
      <c r="B1137" s="319" t="s">
        <v>2746</v>
      </c>
      <c r="C1137" s="319"/>
      <c r="D1137" s="494">
        <f>IF($C$1130=0,SUMPRODUCT($C$1139:$C$1150*D1139:D1150)/1000,SUMPRODUCT($C$1139:$C$1151*D1139:D1151)/1000)</f>
        <v>0</v>
      </c>
      <c r="E1137" s="494">
        <f>SUMPRODUCT($C$1139:$C$1151*E1139:E1151)/1000</f>
        <v>0</v>
      </c>
      <c r="F1137" s="494">
        <f>IF($C$1130=0,SUMPRODUCT($C$1139:$C$1150*F1139:F1150)/1000,SUMPRODUCT($C$1139:$C$1151*F1139:F1151)/1000)</f>
        <v>0</v>
      </c>
      <c r="G1137" s="494">
        <f>IF($C$1130=0,SUMPRODUCT($C$1139:$C$1150*G1139:G1150)/1000,SUMPRODUCT($C$1139:$C$1151*G1139:G1151)/1000)</f>
        <v>0</v>
      </c>
      <c r="H1137" s="494">
        <f>SUMPRODUCT($C$1139:$C$1151*H1139:H1151)/1000</f>
        <v>0</v>
      </c>
      <c r="I1137" s="494">
        <f>IF($C$1130=0,SUMPRODUCT($C$1139:$C$1150*I1139:I1150)/1000,SUMPRODUCT($C$1139:$C$1151*I1139:I1151)/1000)</f>
        <v>0</v>
      </c>
      <c r="J1137" s="494">
        <f>SUMPRODUCT($C$1139:$C$1151*J1139:J1151)/1000</f>
        <v>0</v>
      </c>
      <c r="K1137" s="494">
        <f>SUMPRODUCT($C$1139:$C$1151*K1139:K1151)/1000</f>
        <v>0</v>
      </c>
      <c r="L1137" s="319">
        <f>IF($C$1130=0,SUMPRODUCT($C$1139:$C$1150*L1139:L1150)/1000,SUMPRODUCT($C$1139:$C$1151*L1139:L1151)/1000)</f>
        <v>0</v>
      </c>
      <c r="M1137" s="319">
        <f>IF($C$1130=0,SUMPRODUCT($C$1139:$C$1150*M1139:M1150)/1000,SUMPRODUCT($C$1139:$C$1151*M1139:M1151)/1000)</f>
        <v>0</v>
      </c>
      <c r="N1137" s="319">
        <f>IF($C$1130=0,SUMPRODUCT($C$1139:$C$1150*N1139:N1150)/1000,SUMPRODUCT($C$1139:$C$1151*N1139:N1151)/1000)</f>
        <v>0</v>
      </c>
      <c r="O1137" s="319">
        <f>IF($C$1130=0,SUMPRODUCT($C$1139:$C$1150*O1139:O1150)/1000,SUMPRODUCT($C$1139:$C$1151*O1139:O1151)/1000)</f>
        <v>0</v>
      </c>
      <c r="P1137" s="319">
        <f>IF($C$1130=0,SUMPRODUCT($C$1139:$C$1150*P1139:P1150)/1000,SUMPRODUCT($C$1139:$C$1151*P1139:P1151)/1000)</f>
        <v>5.3903325633948667</v>
      </c>
      <c r="Q1137" s="319">
        <f>SUMPRODUCT($C$1139:$C$1151*Q1139:Q1151)/1000</f>
        <v>0</v>
      </c>
      <c r="R1137" s="319">
        <f>SUMPRODUCT($C$1139:$C$1151*R1139:R1151)/1000</f>
        <v>0</v>
      </c>
      <c r="S1137" s="319">
        <f>SUMPRODUCT($C$1139:$C$1151*S1139:S1151)/1000</f>
        <v>0</v>
      </c>
      <c r="T1137" s="319">
        <f>SUMPRODUCT($C$1139:$C$1151*T1139:T1151)/1000/3.6</f>
        <v>0</v>
      </c>
      <c r="U1137" s="319"/>
      <c r="V1137" s="319">
        <f>SUMPRODUCT($C$1139:$C$1151*V1139:V1151)/1000/3.6</f>
        <v>0</v>
      </c>
      <c r="W1137" s="319">
        <f>SUMPRODUCT($C$1139:$C$1151*W1139:W1151)/1000/3.6</f>
        <v>0</v>
      </c>
      <c r="X1137" s="319" t="e">
        <f>SUMPRODUCT($C$1139:$C$1151*X1139:X1151)/1000/3.6</f>
        <v>#DIV/0!</v>
      </c>
      <c r="Y1137" s="319" t="e">
        <f t="shared" ref="Y1137:AF1137" si="97">IF($C$1130=0,SUMPRODUCT($C$1139:$C$1150*Y1139:Y1150)/1000,SUMPRODUCT($C$1139:$C$1151*Y1139:Y1151)/1000)</f>
        <v>#DIV/0!</v>
      </c>
      <c r="Z1137" s="319" t="e">
        <f t="shared" si="97"/>
        <v>#DIV/0!</v>
      </c>
      <c r="AA1137" s="319" t="e">
        <f t="shared" si="97"/>
        <v>#DIV/0!</v>
      </c>
      <c r="AB1137" s="319" t="e">
        <f t="shared" si="97"/>
        <v>#DIV/0!</v>
      </c>
      <c r="AC1137" s="319">
        <f t="shared" si="97"/>
        <v>0</v>
      </c>
      <c r="AD1137" s="319">
        <f t="shared" si="97"/>
        <v>0</v>
      </c>
      <c r="AE1137" s="319" t="e">
        <f t="shared" si="97"/>
        <v>#DIV/0!</v>
      </c>
      <c r="AF1137" s="319" t="e">
        <f t="shared" si="97"/>
        <v>#DIV/0!</v>
      </c>
      <c r="AG1137" s="319"/>
      <c r="AH1137" s="319"/>
      <c r="AI1137" s="319">
        <f>SUMPRODUCT($C$1139:$C$1151*AI1139:AI1151)/1000</f>
        <v>0</v>
      </c>
      <c r="AJ1137" s="319" t="e">
        <f>SUMPRODUCT($C$1139:$C$1151*AJ1139:AJ1151)/1000</f>
        <v>#DIV/0!</v>
      </c>
      <c r="AK1137" s="319" t="e">
        <f>SUMPRODUCT($C$1139:$C$1151*AK1139:AK1151)/1000</f>
        <v>#DIV/0!</v>
      </c>
      <c r="AL1137" s="319"/>
      <c r="AM1137" s="319"/>
      <c r="AN1137" s="319" t="e">
        <f>SUMPRODUCT($C$1139:$C$1151*AN1139:AN1151)/1000</f>
        <v>#DIV/0!</v>
      </c>
      <c r="AO1137" s="587">
        <f>SUMPRODUCT($C$1139:$C$1151*AO1139:AO1151)/1000</f>
        <v>0</v>
      </c>
      <c r="AP1137" s="319">
        <f>SUMPRODUCT($C$1139:$C$1151*AP1139:AP1151)/1000</f>
        <v>0</v>
      </c>
      <c r="AQ1137" s="319"/>
      <c r="AR1137" s="319"/>
      <c r="AS1137" s="319"/>
      <c r="AT1137" s="319"/>
      <c r="AU1137" s="319">
        <f t="shared" ref="AU1137:BF1137" si="98">SUMPRODUCT($C$1139:$C$1151*AU1139:AU1151)/3600</f>
        <v>0</v>
      </c>
      <c r="AV1137" s="319">
        <f t="shared" si="98"/>
        <v>0</v>
      </c>
      <c r="AW1137" s="319"/>
      <c r="AX1137" s="319"/>
      <c r="AY1137" s="319"/>
      <c r="AZ1137" s="319"/>
      <c r="BA1137" s="319"/>
      <c r="BB1137" s="319" t="e">
        <f t="shared" si="98"/>
        <v>#DIV/0!</v>
      </c>
      <c r="BC1137" s="319" t="e">
        <f t="shared" si="98"/>
        <v>#DIV/0!</v>
      </c>
      <c r="BD1137" s="319" t="e">
        <f t="shared" si="98"/>
        <v>#DIV/0!</v>
      </c>
      <c r="BE1137" s="319" t="e">
        <f t="shared" si="98"/>
        <v>#DIV/0!</v>
      </c>
      <c r="BF1137" s="319" t="e">
        <f t="shared" si="98"/>
        <v>#DIV/0!</v>
      </c>
      <c r="BG1137" s="319"/>
      <c r="BH1137" s="319" t="e">
        <f t="shared" ref="BH1137:BM1137" si="99">IF($C$1130=0,SUMPRODUCT($C$1139:$C$1150*BH1139:BH1150)/1000,SUMPRODUCT($C$1139:$C$1151*BH1139:BH1151)/1000)</f>
        <v>#DIV/0!</v>
      </c>
      <c r="BI1137" s="319" t="e">
        <f t="shared" si="99"/>
        <v>#DIV/0!</v>
      </c>
      <c r="BJ1137" s="319">
        <f t="shared" si="99"/>
        <v>0</v>
      </c>
      <c r="BK1137" s="319">
        <f t="shared" si="99"/>
        <v>0</v>
      </c>
      <c r="BL1137" s="319" t="e">
        <f t="shared" si="99"/>
        <v>#DIV/0!</v>
      </c>
      <c r="BM1137" s="319">
        <f t="shared" si="99"/>
        <v>0</v>
      </c>
      <c r="BN1137" s="319"/>
      <c r="BO1137" s="319"/>
      <c r="BP1137" s="319"/>
      <c r="BQ1137" s="319"/>
      <c r="BR1137" s="319">
        <f>SUMPRODUCT($C$1139:$C$1151*BR1139:BR1151)/1000</f>
        <v>0</v>
      </c>
      <c r="BS1137" s="319">
        <f>SUMPRODUCT($C$1139:$C$1151*BS1139:BS1151)/1000</f>
        <v>0</v>
      </c>
      <c r="BT1137" s="319">
        <f>SUMPRODUCT($C$1139:$C$1151*BT1139:BT1151)/1000</f>
        <v>0</v>
      </c>
      <c r="BU1137" s="319" t="e">
        <f>SUMPRODUCT($C$1139:$C$1151*BU1139:BU1151)/1000</f>
        <v>#DIV/0!</v>
      </c>
      <c r="BV1137" s="319">
        <f>SUMPRODUCT($C$1139:$C$1151*BV1139:BV1151)/1000</f>
        <v>0</v>
      </c>
      <c r="BW1137" s="319">
        <f>SUMPRODUCT($C$1139:$C$1151*BW1139:BW1151)/1000/3.6</f>
        <v>0</v>
      </c>
      <c r="BX1137" s="319">
        <f>SUMPRODUCT($C$1139:$C$1151*BX1139:BX1151)/1000/3.6</f>
        <v>0</v>
      </c>
      <c r="BY1137" s="319" t="e">
        <f>SUMPRODUCT($C$1139:$C$1151*BY1139:BY1151)/1000/3.6</f>
        <v>#DIV/0!</v>
      </c>
      <c r="BZ1137" s="319">
        <f>SUMPRODUCT($C$1139:$C$1151*BZ1139:BZ1151)/1000/3.6</f>
        <v>0</v>
      </c>
      <c r="CA1137" s="319"/>
      <c r="CB1137" s="319"/>
      <c r="CC1137" s="319"/>
      <c r="CD1137" s="319"/>
      <c r="CE1137" s="319">
        <f>SUMPRODUCT($C$1139:$C$1151*CE1139:CE1151)/1000</f>
        <v>0</v>
      </c>
      <c r="CF1137" s="319">
        <f>SUMPRODUCT($C$1139:$C$1151*CF1139:CF1151)/1000</f>
        <v>0</v>
      </c>
    </row>
    <row r="1138" spans="1:84" ht="13.5" hidden="1" customHeight="1">
      <c r="A1138" s="319"/>
      <c r="B1138" s="319"/>
      <c r="C1138" s="319" t="s">
        <v>732</v>
      </c>
      <c r="D1138" s="319" t="s">
        <v>3442</v>
      </c>
      <c r="E1138" s="319" t="s">
        <v>2747</v>
      </c>
      <c r="F1138" s="319" t="s">
        <v>3442</v>
      </c>
      <c r="G1138" s="319" t="s">
        <v>2536</v>
      </c>
      <c r="H1138" s="319" t="s">
        <v>2747</v>
      </c>
      <c r="I1138" s="319" t="s">
        <v>3442</v>
      </c>
      <c r="J1138" s="319" t="s">
        <v>2747</v>
      </c>
      <c r="K1138" s="319" t="s">
        <v>2747</v>
      </c>
      <c r="L1138" s="319" t="s">
        <v>5700</v>
      </c>
      <c r="M1138" s="319" t="s">
        <v>5700</v>
      </c>
      <c r="N1138" s="319" t="s">
        <v>5700</v>
      </c>
      <c r="O1138" s="319" t="s">
        <v>5700</v>
      </c>
      <c r="P1138" s="319" t="s">
        <v>5700</v>
      </c>
      <c r="Q1138" s="319" t="s">
        <v>5700</v>
      </c>
      <c r="R1138" s="319" t="s">
        <v>5700</v>
      </c>
      <c r="S1138" s="319" t="s">
        <v>5700</v>
      </c>
      <c r="T1138" s="319" t="s">
        <v>5090</v>
      </c>
      <c r="U1138" s="319"/>
      <c r="V1138" s="319" t="s">
        <v>5090</v>
      </c>
      <c r="W1138" s="319" t="s">
        <v>5090</v>
      </c>
      <c r="X1138" s="319" t="s">
        <v>5090</v>
      </c>
      <c r="Y1138" s="319" t="s">
        <v>5700</v>
      </c>
      <c r="Z1138" s="319" t="s">
        <v>5700</v>
      </c>
      <c r="AA1138" s="319" t="s">
        <v>5700</v>
      </c>
      <c r="AB1138" s="319" t="s">
        <v>5700</v>
      </c>
      <c r="AC1138" s="319" t="s">
        <v>5700</v>
      </c>
      <c r="AD1138" s="319" t="s">
        <v>5700</v>
      </c>
      <c r="AE1138" s="319" t="s">
        <v>5700</v>
      </c>
      <c r="AF1138" s="319" t="s">
        <v>5700</v>
      </c>
      <c r="AG1138" s="319"/>
      <c r="AH1138" s="319"/>
      <c r="AI1138" s="319" t="s">
        <v>5700</v>
      </c>
      <c r="AJ1138" s="319" t="s">
        <v>5700</v>
      </c>
      <c r="AK1138" s="319" t="s">
        <v>5700</v>
      </c>
      <c r="AL1138" s="319" t="s">
        <v>739</v>
      </c>
      <c r="AM1138" s="319" t="s">
        <v>739</v>
      </c>
      <c r="AN1138" s="319" t="s">
        <v>5700</v>
      </c>
      <c r="AO1138" s="587" t="s">
        <v>5700</v>
      </c>
      <c r="AP1138" s="319" t="s">
        <v>5700</v>
      </c>
      <c r="AQ1138" s="319"/>
      <c r="AR1138" s="319"/>
      <c r="AS1138" s="319"/>
      <c r="AT1138" s="319"/>
      <c r="AU1138" s="319" t="s">
        <v>5090</v>
      </c>
      <c r="AV1138" s="319" t="s">
        <v>5090</v>
      </c>
      <c r="AW1138" s="319"/>
      <c r="AX1138" s="319"/>
      <c r="AY1138" s="319"/>
      <c r="AZ1138" s="319"/>
      <c r="BA1138" s="319"/>
      <c r="BB1138" s="319" t="s">
        <v>5090</v>
      </c>
      <c r="BC1138" s="319" t="s">
        <v>5090</v>
      </c>
      <c r="BD1138" s="319" t="s">
        <v>5090</v>
      </c>
      <c r="BE1138" s="319" t="s">
        <v>5090</v>
      </c>
      <c r="BF1138" s="319" t="s">
        <v>5090</v>
      </c>
      <c r="BG1138" s="319"/>
      <c r="BH1138" s="319" t="s">
        <v>5700</v>
      </c>
      <c r="BI1138" s="319" t="s">
        <v>5700</v>
      </c>
      <c r="BJ1138" s="319" t="s">
        <v>5700</v>
      </c>
      <c r="BK1138" s="319" t="s">
        <v>5700</v>
      </c>
      <c r="BL1138" s="319" t="s">
        <v>5700</v>
      </c>
      <c r="BM1138" s="319" t="s">
        <v>5700</v>
      </c>
      <c r="BN1138" s="319" t="s">
        <v>739</v>
      </c>
      <c r="BO1138" s="319"/>
      <c r="BP1138" s="319"/>
      <c r="BQ1138" s="319"/>
      <c r="BR1138" s="319" t="s">
        <v>5700</v>
      </c>
      <c r="BS1138" s="319" t="s">
        <v>5700</v>
      </c>
      <c r="BT1138" s="319" t="s">
        <v>5700</v>
      </c>
      <c r="BU1138" s="319" t="s">
        <v>5700</v>
      </c>
      <c r="BV1138" s="319" t="s">
        <v>5700</v>
      </c>
      <c r="BW1138" s="319" t="s">
        <v>5090</v>
      </c>
      <c r="BX1138" s="319" t="s">
        <v>5090</v>
      </c>
      <c r="BY1138" s="319" t="s">
        <v>5090</v>
      </c>
      <c r="BZ1138" s="319" t="s">
        <v>5090</v>
      </c>
      <c r="CA1138" s="319"/>
      <c r="CB1138" s="319"/>
      <c r="CC1138" s="319"/>
      <c r="CD1138" s="319"/>
      <c r="CE1138" s="319" t="s">
        <v>5700</v>
      </c>
      <c r="CF1138" s="319" t="s">
        <v>5700</v>
      </c>
    </row>
    <row r="1139" spans="1:84" ht="13.5" hidden="1" customHeight="1">
      <c r="A1139" s="319"/>
      <c r="B1139" s="319" t="s">
        <v>3015</v>
      </c>
      <c r="C1139" s="319">
        <f>'Carga e Rede'!C321</f>
        <v>732</v>
      </c>
      <c r="D1139" s="494">
        <f>'Carga e Rede'!AK321</f>
        <v>0</v>
      </c>
      <c r="E1139" s="494">
        <f>'Carga e Rede'!AL321</f>
        <v>0</v>
      </c>
      <c r="F1139" s="494">
        <f t="shared" ref="F1139:F1151" si="100">IF($E$1123=0,0,IF(D1139&gt;$E$1123,$E$1123,IF(AND(D1139&lt;=$E$1123,D1139&gt;=$E$1123*$E$1124),D1139,0)))</f>
        <v>0</v>
      </c>
      <c r="G1139" s="494">
        <f t="shared" ref="G1139:G1151" si="101">IF($E$1127=0,0,F1139/$E$1123*$E$1127)</f>
        <v>0</v>
      </c>
      <c r="H1139" s="494">
        <f t="shared" ref="H1139:H1151" si="102">IF(OR(HideCode_projectType3=1,HideCode_projectType3=6),IF(E1139&gt;$E$1132,$E$1132,E1139),IF(OR($E$1125=0,F1139=0),0,IF(E1139&gt;$E$1125,$E$1125,E1139)))</f>
        <v>0</v>
      </c>
      <c r="I1139" s="494">
        <f t="shared" ref="I1139:I1151" si="103">IF(F1139&gt;D1139,0,D1139-F1139)</f>
        <v>0</v>
      </c>
      <c r="J1139" s="494">
        <f t="shared" ref="J1139:J1151" si="104">IF(H1139&gt;E1139,0,E1139-H1139)</f>
        <v>0</v>
      </c>
      <c r="K1139" s="494">
        <f t="shared" ref="K1139:K1151" si="105">IF(J1139&gt;$F$1132,$F$1132,J1139)</f>
        <v>0</v>
      </c>
      <c r="L1139" s="494">
        <f>IF(I1139&lt;P1139,0,I1139-P1139)</f>
        <v>0</v>
      </c>
      <c r="M1139" s="494">
        <f>IF(AND(I1139&lt;$F$1123,I1139&gt;=$F$1123*$F$1124),I1139,IF(I1139&gt;=$F$1123,$F$1123,0))</f>
        <v>0</v>
      </c>
      <c r="N1139" s="494">
        <f>IF($F$1125=0,0,IF(J1139&gt;=$F$1125,$F$1123,IF(AND(J1139&lt;$F$1125,J1139&gt;=$F$1125*$F$1124),J1139/$F$1125*$F$1123,0)))</f>
        <v>0</v>
      </c>
      <c r="O1139" s="494">
        <f>IF(N1139&gt;I1139,I1139,N1139)</f>
        <v>0</v>
      </c>
      <c r="P1139" s="494">
        <f t="shared" ref="P1139:P1151" si="106">$F$1123</f>
        <v>0.61533476751082972</v>
      </c>
      <c r="Q1139" s="494">
        <f>IF(J1139&gt;$F$1125,$F$1125,J1139)</f>
        <v>0</v>
      </c>
      <c r="R1139" s="494">
        <f t="shared" ref="R1139:R1151" si="107">IF(J1139&gt;M1139/$F$1123*$F$1125,M1139/$F$1123*$F$1125,J1139)</f>
        <v>0</v>
      </c>
      <c r="S1139" s="494">
        <f>IF(J1139&gt;=$F$1125,$F$1125,IF(J1139&gt;$F$1125*$F$1124,J1139,0))</f>
        <v>0</v>
      </c>
      <c r="T1139" s="494">
        <f t="shared" ref="T1139:T1151" si="108">$F$1127</f>
        <v>0</v>
      </c>
      <c r="U1139" s="494">
        <f t="shared" ref="U1139:U1151" si="109">M1139/$F$1123</f>
        <v>0</v>
      </c>
      <c r="V1139" s="494">
        <f t="shared" ref="V1139:W1151" si="110">M1139/$F$1123*$F$1127</f>
        <v>0</v>
      </c>
      <c r="W1139" s="494">
        <f t="shared" si="110"/>
        <v>0</v>
      </c>
      <c r="X1139" s="494" t="e">
        <f t="shared" ref="X1139:X1151" si="111">$F$1133*K1139/$F$1132</f>
        <v>#DIV/0!</v>
      </c>
      <c r="Y1139" s="494" t="e">
        <f t="shared" ref="Y1139:Y1151" si="112">$Z$1125</f>
        <v>#DIV/0!</v>
      </c>
      <c r="Z1139" s="494" t="e">
        <f>IF(I1139&gt;$Z$1125,$Z$1125,I1139)</f>
        <v>#DIV/0!</v>
      </c>
      <c r="AA1139" s="494" t="e">
        <f t="shared" ref="AA1139:AA1151" si="113">IF(AL1139=0,0,IF(HideCode_projectType3=2,0,($Z$1126*AL1139)^2/(AM1139*$AL$1118*$Z$1126*$Z$1127/$Z$1129+($Z$1126*AL1139-AM1139*$AL$1118*$Z$1126)*$Z$1128/$Z$1129)))</f>
        <v>#DIV/0!</v>
      </c>
      <c r="AB1139" s="494" t="e">
        <f t="shared" ref="AB1139:AB1151" si="114">IF(I1139&gt;AA1139,AA1139,I1139)</f>
        <v>#DIV/0!</v>
      </c>
      <c r="AC1139" s="494">
        <f t="shared" ref="AC1139:AC1151" si="115">IF(HideCode_projectType3=2,0,($Z$1126)^2/(AM1139*$AL$1118*$Z$1126*$Z$1127/$Z$1129+($Z$1126-AM1139*$AL$1118*$Z$1126)*$Z$1128/$Z$1129))</f>
        <v>0</v>
      </c>
      <c r="AD1139" s="494">
        <f t="shared" ref="AD1139:AD1151" si="116">IF(I1139&gt;AC1139,AC1139,I1139)</f>
        <v>0</v>
      </c>
      <c r="AE1139" s="494" t="e">
        <f t="shared" ref="AE1139:AE1151" si="117">IF(I1139&gt;$Z$1125,$Z$1125,IF(AND(I1139&lt;=$Z$1125,I1139&gt;=$Z$1125*$F$1124),I1139,0))</f>
        <v>#DIV/0!</v>
      </c>
      <c r="AF1139" s="494" t="e">
        <f t="shared" ref="AF1139:AF1151" si="118">IF(OR(ISERROR(AH1139),$F$1119=2,HideCode_projectType3=2),0,($Z$1126)^2/(AH1139*$AL$1118*$Z$1126*$Z$1127/$Z$1129+($Z$1126-AH1139*$AL$1118*$Z$1126)*$Z$1128/$Z$1129))*AE1139/Y1139</f>
        <v>#DIV/0!</v>
      </c>
      <c r="AG1139" s="494">
        <f>IF(I1139/$F$1123&lt;$F$1124,0,I1139/$F$1123*$AL$1118)</f>
        <v>0</v>
      </c>
      <c r="AH1139" s="494" t="e">
        <f>IF(AE1139/Y1139*($AL$1118*$AL$1125*$AL$1128+$AL$1126)&lt;J1139,1,J1139/(AE1139/Y1139*($AL$1118*$AL$1125*$AL$1128+$AL$1126)))</f>
        <v>#DIV/0!</v>
      </c>
      <c r="AI1139" s="494">
        <f t="shared" ref="AI1139:AI1151" si="119">IF($AL$1126&gt;J1139,J1139,$AL$1126)</f>
        <v>0</v>
      </c>
      <c r="AJ1139" s="494" t="e">
        <f>IF(AE1139/$Z$1125*$AL$1126&gt;J1139,J1139,AE1139/$Z$1125*$AL$1126)</f>
        <v>#DIV/0!</v>
      </c>
      <c r="AK1139" s="494" t="e">
        <f>IF(IF(AG1139&gt;1,1,AG1139)*($AL$1127/$AL$1118+$AL$1126)&gt;J1139,J1139,IF(AG1139&gt;1,1,AG1139)*($AL$1127/$AL$1118+$AL$1126))</f>
        <v>#DIV/0!</v>
      </c>
      <c r="AL1139" s="494" t="e">
        <f t="shared" ref="AL1139:AL1151" si="120">IF(J1139&gt;$AL$1126,100%,(IF(AND(J1139&lt;=$AL$1126,J1139&gt;=$AL$1126*$F$1124),J1139/$AL$1126,0)))</f>
        <v>#DIV/0!</v>
      </c>
      <c r="AM1139" s="494">
        <f>IF(J1139&gt;=$AL$1126+$AL$1127,100%,IF(J1139&gt;=$AL$1126,(J1139-$AL$1126)/($AL$1127-$AL$1126),0))</f>
        <v>1</v>
      </c>
      <c r="AN1139" s="494" t="e">
        <f>IF(J1139&lt;$AL$1126*$AL$1120,0,1)*IF((AM1139*($AL$1127)+$AL$1126)*AL1139&gt;J1139,J1139,(AM1139*($AL$1127)+$AL$1126)*AL1139)</f>
        <v>#DIV/0!</v>
      </c>
      <c r="AO1139" s="587">
        <f>AM1139*($AL$1127)+$AL$1126</f>
        <v>0</v>
      </c>
      <c r="AP1139" s="494">
        <f t="shared" ref="AP1139:AP1151" si="121">IF(J1139&gt;AO1139,AO1139,J1139)</f>
        <v>0</v>
      </c>
      <c r="AQ1139" s="494" t="e">
        <f>IF(AK1139&gt;J1139,J1139,AK1139)</f>
        <v>#DIV/0!</v>
      </c>
      <c r="AR1139" s="494"/>
      <c r="AS1139" s="494"/>
      <c r="AT1139" s="494"/>
      <c r="AU1139" s="494">
        <f t="shared" ref="AU1139:AV1151" si="122">$F$1127</f>
        <v>0</v>
      </c>
      <c r="AV1139" s="494">
        <f t="shared" si="122"/>
        <v>0</v>
      </c>
      <c r="AW1139" s="494"/>
      <c r="AX1139" s="494"/>
      <c r="AY1139" s="494"/>
      <c r="AZ1139" s="494"/>
      <c r="BA1139" s="494"/>
      <c r="BB1139" s="494" t="e">
        <f t="shared" ref="BB1139:BB1151" si="123">AE1139/$Z$1125*$F$1127</f>
        <v>#DIV/0!</v>
      </c>
      <c r="BC1139" s="494" t="e">
        <f>AE1139/$Z$1125*$F$1127</f>
        <v>#DIV/0!</v>
      </c>
      <c r="BD1139" s="494" t="e">
        <f t="shared" ref="BD1139:BD1151" si="124">AL1139*$F$1127</f>
        <v>#DIV/0!</v>
      </c>
      <c r="BE1139" s="494" t="e">
        <f t="shared" ref="BE1139:BE1151" si="125">IF(BF1139&gt;$Z$1126,$Z$1126,IF(AND(BF1139&lt;=$Z$1126,BF1139&gt;=$Z$1126*$F$1124),BF1139/($F$1127/$Z$1126),0))*$F$1127/$Z$1126</f>
        <v>#DIV/0!</v>
      </c>
      <c r="BF1139" s="494" t="e">
        <f t="shared" ref="BF1139:BF1151" si="126">(IF(AM1139&gt;$Z$1126*$BF$1126,($Z$1128*I1139+SQRT(I1139)*SQRT(4*$Z$1126*$BF$1126*$Z$1127*$Z$1129-4*$Z$1126*$BF$1126*$Z$1128*$Z$1129+$Z$1128^2*I1139))/(2*$Z$1129),($Z$1128*I1139+SQRT(I1139)*SQRT(4*AM1139*$Z$1127*$Z$1129-4*AM1139*$Z$1128*$Z$1129+$Z$1128^2*I1139))/(2*$Z$1129)))*$AC$1127/10^3</f>
        <v>#DIV/0!</v>
      </c>
      <c r="BG1139" s="494"/>
      <c r="BH1139" s="494" t="e">
        <f t="shared" ref="BH1139:BH1151" si="127">$BJ$1124</f>
        <v>#DIV/0!</v>
      </c>
      <c r="BI1139" s="494" t="e">
        <f t="shared" ref="BI1139:BI1151" si="128">IF(BH1139&gt;I1139,I1139,BH1139)</f>
        <v>#DIV/0!</v>
      </c>
      <c r="BJ1139" s="494">
        <f t="shared" ref="BJ1139:BJ1151" si="129">IF(HideCode_projectType3=2,0,($BJ$1119)^2/(BQ1139*$BJ$1127*$BJ$1119*$BJ$1120/$BJ$1122+($BJ$1119-BQ1139*$BJ$1127*$BJ$1119)*$BJ$1121/$BJ$1122)+$BJ$1118)</f>
        <v>0</v>
      </c>
      <c r="BK1139" s="494">
        <f t="shared" ref="BK1139:BK1151" si="130">IF(BJ1139&gt;I1139,I1139,BJ1139)</f>
        <v>0</v>
      </c>
      <c r="BL1139" s="494" t="e">
        <f t="shared" ref="BL1139:BL1151" si="131">BO1139*$BJ$1124</f>
        <v>#DIV/0!</v>
      </c>
      <c r="BM1139" s="494">
        <f t="shared" ref="BM1139:BM1151" si="132">IF(BN1139=0,0,IF(HideCode_projectType3=2,0,($BJ$1119*BN1139)^2/(BQ1139*$BJ$1127*$BJ$1119*BN1139*$BJ$1120/$BJ$1122+($BJ$1119*BN1139-BQ1139*$BJ$1127*$BJ$1119*BN1139)*$BJ$1121/$BJ$1122)+$BJ$1118*BN1139))</f>
        <v>0</v>
      </c>
      <c r="BN1139" s="494">
        <f t="shared" ref="BN1139:BN1151" si="133">IF(IF(I1139=0,0,IF(I1139&gt;BJ1139,1,I1139/BJ1139))&lt;$BJ$1128,0,IF(I1139=0,0,IF(I1139&gt;BJ1139,1,I1139/BJ1139)))</f>
        <v>0</v>
      </c>
      <c r="BO1139" s="494" t="e">
        <f t="shared" ref="BO1139:BO1151" si="134">IF(I1139&gt;$BJ$1124,100%,IF(AND(I1139&lt;=$BJ$1124,I1139&gt;=$BJ$1124*$BJ$1128),I1139/$BJ$1124,0))</f>
        <v>#DIV/0!</v>
      </c>
      <c r="BP1139" s="494"/>
      <c r="BQ1139" s="494">
        <f t="shared" ref="BQ1139:BQ1151" si="135">IF(J1139&gt;$F$1125,100%,IF(J1139&gt;$BJ$1125,(J1139-$BJ$1125)/($F$1125-$BJ$1125),0))</f>
        <v>0</v>
      </c>
      <c r="BR1139" s="494">
        <f>IF(J1139&gt;$BJ$1125+$BJ$1126,$BJ$1125+$BJ$1126,IF(AND(J1139&lt;=$BJ$1125+$BJ$1126,J1139&gt;=$BJ$1125*$F$1124),J1139,0))</f>
        <v>0</v>
      </c>
      <c r="BS1139" s="494">
        <f t="shared" ref="BS1139:BS1151" si="136">IF(J1139&gt;$BJ$1125,$BJ$1125,J1139)</f>
        <v>0</v>
      </c>
      <c r="BT1139" s="494">
        <f>IF((BQ1139*($BJ$1126)+$BJ$1125)&gt;J1139,J1139,(BQ1139*($BJ$1126)+$BJ$1125))</f>
        <v>0</v>
      </c>
      <c r="BU1139" s="494" t="e">
        <f t="shared" ref="BU1139:BU1151" si="137">IF(BO1139*$BJ$1125&gt;J1139,J1139,$BJ$1125*BO1139)</f>
        <v>#DIV/0!</v>
      </c>
      <c r="BV1139" s="494">
        <f>(BQ1139*($BJ$1126)+$BJ$1125)*BN1139</f>
        <v>0</v>
      </c>
      <c r="BW1139" s="494">
        <f t="shared" ref="BW1139:BW1151" si="138">$BJ$1123*1000</f>
        <v>0</v>
      </c>
      <c r="BX1139" s="494">
        <f>BW1139</f>
        <v>0</v>
      </c>
      <c r="BY1139" s="494" t="e">
        <f t="shared" ref="BY1139:BY1151" si="139">BO1139*$BJ$1123*1000</f>
        <v>#DIV/0!</v>
      </c>
      <c r="BZ1139" s="494">
        <f t="shared" ref="BZ1139:BZ1151" si="140">BN1139*$F$1127</f>
        <v>0</v>
      </c>
      <c r="CA1139" s="494"/>
      <c r="CB1139" s="494"/>
      <c r="CC1139" s="494"/>
      <c r="CD1139" s="494">
        <v>9</v>
      </c>
      <c r="CE1139" s="494">
        <f t="shared" ref="CE1139:CE1151" si="141">IF(OR(HideCode_projectType3=1,HideCode_projectType3=6),IF(E1139-$E$1132-$F$1132&lt;=0,0,E1139-$E$1132-$F$1132),J1139-HLOOKUP($N$863,$Q$1131:$BZ$1151,CD1139,FALSE)*IF(OR(HideCode_projectType3=4,HideCode_projectType3=7),1,0))</f>
        <v>0</v>
      </c>
      <c r="CF1139" s="494">
        <f t="shared" ref="CF1139:CF1151" si="142">IF(CE1139&gt;$CF$1133,$CF$1133,CE1139)</f>
        <v>0</v>
      </c>
    </row>
    <row r="1140" spans="1:84" ht="13.5" hidden="1" customHeight="1">
      <c r="A1140" s="319"/>
      <c r="B1140" s="319" t="s">
        <v>3358</v>
      </c>
      <c r="C1140" s="319">
        <f>'Carga e Rede'!C322</f>
        <v>661</v>
      </c>
      <c r="D1140" s="494">
        <f>'Carga e Rede'!AK322</f>
        <v>0</v>
      </c>
      <c r="E1140" s="494">
        <f>'Carga e Rede'!AL322</f>
        <v>0</v>
      </c>
      <c r="F1140" s="494">
        <f t="shared" si="100"/>
        <v>0</v>
      </c>
      <c r="G1140" s="494">
        <f t="shared" si="101"/>
        <v>0</v>
      </c>
      <c r="H1140" s="494">
        <f t="shared" si="102"/>
        <v>0</v>
      </c>
      <c r="I1140" s="494">
        <f t="shared" si="103"/>
        <v>0</v>
      </c>
      <c r="J1140" s="494">
        <f t="shared" si="104"/>
        <v>0</v>
      </c>
      <c r="K1140" s="494">
        <f t="shared" si="105"/>
        <v>0</v>
      </c>
      <c r="L1140" s="494">
        <f t="shared" ref="L1140:L1151" si="143">IF(I1140&lt;P1140,0,I1140-P1140)</f>
        <v>0</v>
      </c>
      <c r="M1140" s="494">
        <f t="shared" ref="M1140:M1151" si="144">IF(AND(I1140&lt;$F$1123,I1140&gt;=$F$1123*$F$1124),I1140,IF(I1140&gt;=$F$1123,$F$1123,0))</f>
        <v>0</v>
      </c>
      <c r="N1140" s="494">
        <f t="shared" ref="N1140:N1151" si="145">IF($F$1125=0,0,IF(J1140&gt;=$F$1125,$F$1123,IF(AND(J1140&lt;$F$1125,J1140&gt;=$F$1125*$F$1124),J1140/$F$1125*$F$1123,0)))</f>
        <v>0</v>
      </c>
      <c r="O1140" s="494">
        <f t="shared" ref="O1140:O1151" si="146">IF(N1140&gt;I1140,I1140,N1140)</f>
        <v>0</v>
      </c>
      <c r="P1140" s="494">
        <f t="shared" si="106"/>
        <v>0.61533476751082972</v>
      </c>
      <c r="Q1140" s="494">
        <f t="shared" ref="Q1140:Q1151" si="147">IF(J1140&gt;$F$1125,$F$1125,J1140)</f>
        <v>0</v>
      </c>
      <c r="R1140" s="494">
        <f t="shared" si="107"/>
        <v>0</v>
      </c>
      <c r="S1140" s="494">
        <f t="shared" ref="S1140:S1151" si="148">IF(J1140&gt;=$F$1125,$F$1125,IF(J1140&gt;$F$1125*$F$1124,J1140,0))</f>
        <v>0</v>
      </c>
      <c r="T1140" s="494">
        <f t="shared" si="108"/>
        <v>0</v>
      </c>
      <c r="U1140" s="494">
        <f t="shared" si="109"/>
        <v>0</v>
      </c>
      <c r="V1140" s="494">
        <f t="shared" si="110"/>
        <v>0</v>
      </c>
      <c r="W1140" s="494">
        <f t="shared" si="110"/>
        <v>0</v>
      </c>
      <c r="X1140" s="494" t="e">
        <f t="shared" si="111"/>
        <v>#DIV/0!</v>
      </c>
      <c r="Y1140" s="494" t="e">
        <f t="shared" si="112"/>
        <v>#DIV/0!</v>
      </c>
      <c r="Z1140" s="494" t="e">
        <f t="shared" ref="Z1140:Z1151" si="149">IF(I1140&gt;$Z$1125,$Z$1125,I1140)</f>
        <v>#DIV/0!</v>
      </c>
      <c r="AA1140" s="494" t="e">
        <f t="shared" si="113"/>
        <v>#DIV/0!</v>
      </c>
      <c r="AB1140" s="494" t="e">
        <f t="shared" si="114"/>
        <v>#DIV/0!</v>
      </c>
      <c r="AC1140" s="494">
        <f t="shared" si="115"/>
        <v>0</v>
      </c>
      <c r="AD1140" s="494">
        <f t="shared" si="116"/>
        <v>0</v>
      </c>
      <c r="AE1140" s="494" t="e">
        <f t="shared" si="117"/>
        <v>#DIV/0!</v>
      </c>
      <c r="AF1140" s="494" t="e">
        <f t="shared" si="118"/>
        <v>#DIV/0!</v>
      </c>
      <c r="AG1140" s="494">
        <f t="shared" ref="AG1140:AG1151" si="150">IF(I1140/$F$1123&lt;$F$1124,0,I1140/$F$1123*$AL$1118)</f>
        <v>0</v>
      </c>
      <c r="AH1140" s="494" t="e">
        <f t="shared" ref="AH1140:AH1151" si="151">IF(AE1140/Y1140*($AL$1118*$AL$1125*$AL$1128+$AL$1126)&lt;J1140,1,J1140/(AE1140/Y1140*($AL$1118*$AL$1125*$AL$1128+$AL$1126)))</f>
        <v>#DIV/0!</v>
      </c>
      <c r="AI1140" s="494">
        <f t="shared" si="119"/>
        <v>0</v>
      </c>
      <c r="AJ1140" s="494" t="e">
        <f t="shared" ref="AJ1140:AJ1151" si="152">IF(AE1140/$Z$1125*$AL$1126&gt;J1140,J1140,AE1140/$Z$1125*$AL$1126)</f>
        <v>#DIV/0!</v>
      </c>
      <c r="AK1140" s="494" t="e">
        <f t="shared" ref="AK1140:AK1151" si="153">IF(IF(AG1140&gt;1,1,AG1140)*($AL$1127/$AL$1118+$AL$1126)&gt;J1140,J1140,IF(AG1140&gt;1,1,AG1140)*($AL$1127/$AL$1118+$AL$1126))</f>
        <v>#DIV/0!</v>
      </c>
      <c r="AL1140" s="494" t="e">
        <f t="shared" si="120"/>
        <v>#DIV/0!</v>
      </c>
      <c r="AM1140" s="494">
        <f t="shared" ref="AM1140:AM1151" si="154">IF(J1140&gt;=$AL$1126+$AL$1127,100%,IF(J1140&gt;=$AL$1126,(J1140-$AL$1126)/($AL$1127-$AL$1126),0))</f>
        <v>1</v>
      </c>
      <c r="AN1140" s="494" t="e">
        <f t="shared" ref="AN1140:AN1151" si="155">IF(J1140&lt;$AL$1126*$AL$1120,0,1)*IF((AM1140*($AL$1127)+$AL$1126)*AL1140&gt;J1140,J1140,(AM1140*($AL$1127)+$AL$1126)*AL1140)</f>
        <v>#DIV/0!</v>
      </c>
      <c r="AO1140" s="587">
        <f t="shared" ref="AO1140:AO1151" si="156">AM1140*($AL$1127)+$AL$1126</f>
        <v>0</v>
      </c>
      <c r="AP1140" s="494">
        <f t="shared" si="121"/>
        <v>0</v>
      </c>
      <c r="AQ1140" s="494" t="e">
        <f t="shared" ref="AQ1140:AQ1151" si="157">IF(AK1140&gt;J1140,J1140,AK1140)</f>
        <v>#DIV/0!</v>
      </c>
      <c r="AR1140" s="494"/>
      <c r="AS1140" s="494"/>
      <c r="AT1140" s="494"/>
      <c r="AU1140" s="494">
        <f t="shared" si="122"/>
        <v>0</v>
      </c>
      <c r="AV1140" s="494">
        <f t="shared" si="122"/>
        <v>0</v>
      </c>
      <c r="AW1140" s="494"/>
      <c r="AX1140" s="494"/>
      <c r="AY1140" s="494"/>
      <c r="AZ1140" s="494"/>
      <c r="BA1140" s="494"/>
      <c r="BB1140" s="494" t="e">
        <f t="shared" si="123"/>
        <v>#DIV/0!</v>
      </c>
      <c r="BC1140" s="494" t="e">
        <f t="shared" ref="BC1140:BC1151" si="158">AE1140/$Z$1125*$F$1127</f>
        <v>#DIV/0!</v>
      </c>
      <c r="BD1140" s="494" t="e">
        <f t="shared" si="124"/>
        <v>#DIV/0!</v>
      </c>
      <c r="BE1140" s="494" t="e">
        <f t="shared" si="125"/>
        <v>#DIV/0!</v>
      </c>
      <c r="BF1140" s="494" t="e">
        <f t="shared" si="126"/>
        <v>#DIV/0!</v>
      </c>
      <c r="BG1140" s="494"/>
      <c r="BH1140" s="494" t="e">
        <f t="shared" si="127"/>
        <v>#DIV/0!</v>
      </c>
      <c r="BI1140" s="494" t="e">
        <f t="shared" si="128"/>
        <v>#DIV/0!</v>
      </c>
      <c r="BJ1140" s="494">
        <f t="shared" si="129"/>
        <v>0</v>
      </c>
      <c r="BK1140" s="494">
        <f t="shared" si="130"/>
        <v>0</v>
      </c>
      <c r="BL1140" s="494" t="e">
        <f t="shared" si="131"/>
        <v>#DIV/0!</v>
      </c>
      <c r="BM1140" s="494">
        <f t="shared" si="132"/>
        <v>0</v>
      </c>
      <c r="BN1140" s="494">
        <f t="shared" si="133"/>
        <v>0</v>
      </c>
      <c r="BO1140" s="494" t="e">
        <f t="shared" si="134"/>
        <v>#DIV/0!</v>
      </c>
      <c r="BP1140" s="494"/>
      <c r="BQ1140" s="494">
        <f t="shared" si="135"/>
        <v>0</v>
      </c>
      <c r="BR1140" s="494">
        <f t="shared" ref="BR1140:BR1151" si="159">IF(J1140&gt;$BJ$1125+$BJ$1126,$BJ$1125+$BJ$1126,IF(AND(J1140&lt;=$BJ$1125+$BJ$1126,J1140&gt;=$BJ$1125*$F$1124),J1140,0))</f>
        <v>0</v>
      </c>
      <c r="BS1140" s="494">
        <f t="shared" si="136"/>
        <v>0</v>
      </c>
      <c r="BT1140" s="494">
        <f t="shared" ref="BT1140:BT1151" si="160">IF((BQ1140*($BJ$1126)+$BJ$1125)&gt;J1140,J1140,(BQ1140*($BJ$1126)+$BJ$1125))</f>
        <v>0</v>
      </c>
      <c r="BU1140" s="494" t="e">
        <f t="shared" si="137"/>
        <v>#DIV/0!</v>
      </c>
      <c r="BV1140" s="494">
        <f t="shared" ref="BV1140:BV1151" si="161">(BQ1140*($BJ$1126)+$BJ$1125)*BN1140</f>
        <v>0</v>
      </c>
      <c r="BW1140" s="494">
        <f t="shared" si="138"/>
        <v>0</v>
      </c>
      <c r="BX1140" s="494">
        <f t="shared" ref="BX1140:BX1151" si="162">BW1140</f>
        <v>0</v>
      </c>
      <c r="BY1140" s="494" t="e">
        <f t="shared" si="139"/>
        <v>#DIV/0!</v>
      </c>
      <c r="BZ1140" s="494">
        <f t="shared" si="140"/>
        <v>0</v>
      </c>
      <c r="CA1140" s="494"/>
      <c r="CB1140" s="494"/>
      <c r="CC1140" s="494"/>
      <c r="CD1140" s="494">
        <v>10</v>
      </c>
      <c r="CE1140" s="494">
        <f t="shared" si="141"/>
        <v>0</v>
      </c>
      <c r="CF1140" s="494">
        <f t="shared" si="142"/>
        <v>0</v>
      </c>
    </row>
    <row r="1141" spans="1:84" ht="13.5" hidden="1" customHeight="1">
      <c r="A1141" s="319"/>
      <c r="B1141" s="319" t="s">
        <v>3359</v>
      </c>
      <c r="C1141" s="319">
        <f>'Carga e Rede'!C323</f>
        <v>732</v>
      </c>
      <c r="D1141" s="494">
        <f>'Carga e Rede'!AK323</f>
        <v>0</v>
      </c>
      <c r="E1141" s="494">
        <f>'Carga e Rede'!AL323</f>
        <v>0</v>
      </c>
      <c r="F1141" s="494">
        <f t="shared" si="100"/>
        <v>0</v>
      </c>
      <c r="G1141" s="494">
        <f t="shared" si="101"/>
        <v>0</v>
      </c>
      <c r="H1141" s="494">
        <f t="shared" si="102"/>
        <v>0</v>
      </c>
      <c r="I1141" s="494">
        <f t="shared" si="103"/>
        <v>0</v>
      </c>
      <c r="J1141" s="494">
        <f t="shared" si="104"/>
        <v>0</v>
      </c>
      <c r="K1141" s="494">
        <f t="shared" si="105"/>
        <v>0</v>
      </c>
      <c r="L1141" s="494">
        <f t="shared" si="143"/>
        <v>0</v>
      </c>
      <c r="M1141" s="494">
        <f t="shared" si="144"/>
        <v>0</v>
      </c>
      <c r="N1141" s="494">
        <f t="shared" si="145"/>
        <v>0</v>
      </c>
      <c r="O1141" s="494">
        <f t="shared" si="146"/>
        <v>0</v>
      </c>
      <c r="P1141" s="494">
        <f t="shared" si="106"/>
        <v>0.61533476751082972</v>
      </c>
      <c r="Q1141" s="494">
        <f t="shared" si="147"/>
        <v>0</v>
      </c>
      <c r="R1141" s="494">
        <f t="shared" si="107"/>
        <v>0</v>
      </c>
      <c r="S1141" s="494">
        <f t="shared" si="148"/>
        <v>0</v>
      </c>
      <c r="T1141" s="494">
        <f t="shared" si="108"/>
        <v>0</v>
      </c>
      <c r="U1141" s="494">
        <f t="shared" si="109"/>
        <v>0</v>
      </c>
      <c r="V1141" s="494">
        <f t="shared" si="110"/>
        <v>0</v>
      </c>
      <c r="W1141" s="494">
        <f t="shared" si="110"/>
        <v>0</v>
      </c>
      <c r="X1141" s="494" t="e">
        <f t="shared" si="111"/>
        <v>#DIV/0!</v>
      </c>
      <c r="Y1141" s="494" t="e">
        <f t="shared" si="112"/>
        <v>#DIV/0!</v>
      </c>
      <c r="Z1141" s="494" t="e">
        <f t="shared" si="149"/>
        <v>#DIV/0!</v>
      </c>
      <c r="AA1141" s="494" t="e">
        <f t="shared" si="113"/>
        <v>#DIV/0!</v>
      </c>
      <c r="AB1141" s="494" t="e">
        <f t="shared" si="114"/>
        <v>#DIV/0!</v>
      </c>
      <c r="AC1141" s="494">
        <f t="shared" si="115"/>
        <v>0</v>
      </c>
      <c r="AD1141" s="494">
        <f t="shared" si="116"/>
        <v>0</v>
      </c>
      <c r="AE1141" s="494" t="e">
        <f t="shared" si="117"/>
        <v>#DIV/0!</v>
      </c>
      <c r="AF1141" s="494" t="e">
        <f t="shared" si="118"/>
        <v>#DIV/0!</v>
      </c>
      <c r="AG1141" s="494">
        <f t="shared" si="150"/>
        <v>0</v>
      </c>
      <c r="AH1141" s="494" t="e">
        <f t="shared" si="151"/>
        <v>#DIV/0!</v>
      </c>
      <c r="AI1141" s="494">
        <f t="shared" si="119"/>
        <v>0</v>
      </c>
      <c r="AJ1141" s="494" t="e">
        <f t="shared" si="152"/>
        <v>#DIV/0!</v>
      </c>
      <c r="AK1141" s="494" t="e">
        <f t="shared" si="153"/>
        <v>#DIV/0!</v>
      </c>
      <c r="AL1141" s="494" t="e">
        <f t="shared" si="120"/>
        <v>#DIV/0!</v>
      </c>
      <c r="AM1141" s="494">
        <f t="shared" si="154"/>
        <v>1</v>
      </c>
      <c r="AN1141" s="494" t="e">
        <f t="shared" si="155"/>
        <v>#DIV/0!</v>
      </c>
      <c r="AO1141" s="587">
        <f t="shared" si="156"/>
        <v>0</v>
      </c>
      <c r="AP1141" s="494">
        <f t="shared" si="121"/>
        <v>0</v>
      </c>
      <c r="AQ1141" s="494" t="e">
        <f t="shared" si="157"/>
        <v>#DIV/0!</v>
      </c>
      <c r="AR1141" s="494"/>
      <c r="AS1141" s="494"/>
      <c r="AT1141" s="494"/>
      <c r="AU1141" s="494">
        <f t="shared" si="122"/>
        <v>0</v>
      </c>
      <c r="AV1141" s="494">
        <f t="shared" si="122"/>
        <v>0</v>
      </c>
      <c r="AW1141" s="494"/>
      <c r="AX1141" s="494"/>
      <c r="AY1141" s="494"/>
      <c r="AZ1141" s="494"/>
      <c r="BA1141" s="494"/>
      <c r="BB1141" s="494" t="e">
        <f t="shared" si="123"/>
        <v>#DIV/0!</v>
      </c>
      <c r="BC1141" s="494" t="e">
        <f t="shared" si="158"/>
        <v>#DIV/0!</v>
      </c>
      <c r="BD1141" s="494" t="e">
        <f t="shared" si="124"/>
        <v>#DIV/0!</v>
      </c>
      <c r="BE1141" s="494" t="e">
        <f t="shared" si="125"/>
        <v>#DIV/0!</v>
      </c>
      <c r="BF1141" s="494" t="e">
        <f t="shared" si="126"/>
        <v>#DIV/0!</v>
      </c>
      <c r="BG1141" s="494"/>
      <c r="BH1141" s="494" t="e">
        <f t="shared" si="127"/>
        <v>#DIV/0!</v>
      </c>
      <c r="BI1141" s="494" t="e">
        <f t="shared" si="128"/>
        <v>#DIV/0!</v>
      </c>
      <c r="BJ1141" s="494">
        <f t="shared" si="129"/>
        <v>0</v>
      </c>
      <c r="BK1141" s="494">
        <f t="shared" si="130"/>
        <v>0</v>
      </c>
      <c r="BL1141" s="494" t="e">
        <f t="shared" si="131"/>
        <v>#DIV/0!</v>
      </c>
      <c r="BM1141" s="494">
        <f t="shared" si="132"/>
        <v>0</v>
      </c>
      <c r="BN1141" s="494">
        <f t="shared" si="133"/>
        <v>0</v>
      </c>
      <c r="BO1141" s="494" t="e">
        <f t="shared" si="134"/>
        <v>#DIV/0!</v>
      </c>
      <c r="BP1141" s="494"/>
      <c r="BQ1141" s="494">
        <f t="shared" si="135"/>
        <v>0</v>
      </c>
      <c r="BR1141" s="494">
        <f t="shared" si="159"/>
        <v>0</v>
      </c>
      <c r="BS1141" s="494">
        <f t="shared" si="136"/>
        <v>0</v>
      </c>
      <c r="BT1141" s="494">
        <f t="shared" si="160"/>
        <v>0</v>
      </c>
      <c r="BU1141" s="494" t="e">
        <f t="shared" si="137"/>
        <v>#DIV/0!</v>
      </c>
      <c r="BV1141" s="494">
        <f t="shared" si="161"/>
        <v>0</v>
      </c>
      <c r="BW1141" s="494">
        <f t="shared" si="138"/>
        <v>0</v>
      </c>
      <c r="BX1141" s="494">
        <f t="shared" si="162"/>
        <v>0</v>
      </c>
      <c r="BY1141" s="494" t="e">
        <f t="shared" si="139"/>
        <v>#DIV/0!</v>
      </c>
      <c r="BZ1141" s="494">
        <f t="shared" si="140"/>
        <v>0</v>
      </c>
      <c r="CA1141" s="494"/>
      <c r="CB1141" s="494"/>
      <c r="CC1141" s="494"/>
      <c r="CD1141" s="494">
        <v>11</v>
      </c>
      <c r="CE1141" s="494">
        <f t="shared" si="141"/>
        <v>0</v>
      </c>
      <c r="CF1141" s="494">
        <f t="shared" si="142"/>
        <v>0</v>
      </c>
    </row>
    <row r="1142" spans="1:84" ht="13.5" hidden="1" customHeight="1">
      <c r="A1142" s="319"/>
      <c r="B1142" s="319" t="s">
        <v>916</v>
      </c>
      <c r="C1142" s="319">
        <f>'Carga e Rede'!C324</f>
        <v>708</v>
      </c>
      <c r="D1142" s="494">
        <f>'Carga e Rede'!AK324</f>
        <v>0</v>
      </c>
      <c r="E1142" s="494">
        <f>'Carga e Rede'!AL324</f>
        <v>0</v>
      </c>
      <c r="F1142" s="494">
        <f t="shared" si="100"/>
        <v>0</v>
      </c>
      <c r="G1142" s="494">
        <f t="shared" si="101"/>
        <v>0</v>
      </c>
      <c r="H1142" s="494">
        <f t="shared" si="102"/>
        <v>0</v>
      </c>
      <c r="I1142" s="494">
        <f t="shared" si="103"/>
        <v>0</v>
      </c>
      <c r="J1142" s="494">
        <f t="shared" si="104"/>
        <v>0</v>
      </c>
      <c r="K1142" s="494">
        <f t="shared" si="105"/>
        <v>0</v>
      </c>
      <c r="L1142" s="494">
        <f t="shared" si="143"/>
        <v>0</v>
      </c>
      <c r="M1142" s="494">
        <f t="shared" si="144"/>
        <v>0</v>
      </c>
      <c r="N1142" s="494">
        <f t="shared" si="145"/>
        <v>0</v>
      </c>
      <c r="O1142" s="494">
        <f t="shared" si="146"/>
        <v>0</v>
      </c>
      <c r="P1142" s="494">
        <f t="shared" si="106"/>
        <v>0.61533476751082972</v>
      </c>
      <c r="Q1142" s="494">
        <f t="shared" si="147"/>
        <v>0</v>
      </c>
      <c r="R1142" s="494">
        <f t="shared" si="107"/>
        <v>0</v>
      </c>
      <c r="S1142" s="494">
        <f t="shared" si="148"/>
        <v>0</v>
      </c>
      <c r="T1142" s="494">
        <f t="shared" si="108"/>
        <v>0</v>
      </c>
      <c r="U1142" s="494">
        <f t="shared" si="109"/>
        <v>0</v>
      </c>
      <c r="V1142" s="494">
        <f t="shared" si="110"/>
        <v>0</v>
      </c>
      <c r="W1142" s="494">
        <f t="shared" si="110"/>
        <v>0</v>
      </c>
      <c r="X1142" s="494" t="e">
        <f t="shared" si="111"/>
        <v>#DIV/0!</v>
      </c>
      <c r="Y1142" s="494" t="e">
        <f t="shared" si="112"/>
        <v>#DIV/0!</v>
      </c>
      <c r="Z1142" s="494" t="e">
        <f t="shared" si="149"/>
        <v>#DIV/0!</v>
      </c>
      <c r="AA1142" s="494" t="e">
        <f t="shared" si="113"/>
        <v>#DIV/0!</v>
      </c>
      <c r="AB1142" s="494" t="e">
        <f t="shared" si="114"/>
        <v>#DIV/0!</v>
      </c>
      <c r="AC1142" s="494">
        <f t="shared" si="115"/>
        <v>0</v>
      </c>
      <c r="AD1142" s="494">
        <f t="shared" si="116"/>
        <v>0</v>
      </c>
      <c r="AE1142" s="494" t="e">
        <f t="shared" si="117"/>
        <v>#DIV/0!</v>
      </c>
      <c r="AF1142" s="494" t="e">
        <f t="shared" si="118"/>
        <v>#DIV/0!</v>
      </c>
      <c r="AG1142" s="494">
        <f t="shared" si="150"/>
        <v>0</v>
      </c>
      <c r="AH1142" s="494" t="e">
        <f t="shared" si="151"/>
        <v>#DIV/0!</v>
      </c>
      <c r="AI1142" s="494">
        <f t="shared" si="119"/>
        <v>0</v>
      </c>
      <c r="AJ1142" s="494" t="e">
        <f t="shared" si="152"/>
        <v>#DIV/0!</v>
      </c>
      <c r="AK1142" s="494" t="e">
        <f t="shared" si="153"/>
        <v>#DIV/0!</v>
      </c>
      <c r="AL1142" s="494" t="e">
        <f t="shared" si="120"/>
        <v>#DIV/0!</v>
      </c>
      <c r="AM1142" s="494">
        <f t="shared" si="154"/>
        <v>1</v>
      </c>
      <c r="AN1142" s="494" t="e">
        <f t="shared" si="155"/>
        <v>#DIV/0!</v>
      </c>
      <c r="AO1142" s="587">
        <f t="shared" si="156"/>
        <v>0</v>
      </c>
      <c r="AP1142" s="494">
        <f t="shared" si="121"/>
        <v>0</v>
      </c>
      <c r="AQ1142" s="494" t="e">
        <f t="shared" si="157"/>
        <v>#DIV/0!</v>
      </c>
      <c r="AR1142" s="494"/>
      <c r="AS1142" s="494"/>
      <c r="AT1142" s="494"/>
      <c r="AU1142" s="494">
        <f t="shared" si="122"/>
        <v>0</v>
      </c>
      <c r="AV1142" s="494">
        <f t="shared" si="122"/>
        <v>0</v>
      </c>
      <c r="AW1142" s="494"/>
      <c r="AX1142" s="494"/>
      <c r="AY1142" s="494"/>
      <c r="AZ1142" s="494"/>
      <c r="BA1142" s="494"/>
      <c r="BB1142" s="494" t="e">
        <f t="shared" si="123"/>
        <v>#DIV/0!</v>
      </c>
      <c r="BC1142" s="494" t="e">
        <f t="shared" si="158"/>
        <v>#DIV/0!</v>
      </c>
      <c r="BD1142" s="494" t="e">
        <f t="shared" si="124"/>
        <v>#DIV/0!</v>
      </c>
      <c r="BE1142" s="494" t="e">
        <f t="shared" si="125"/>
        <v>#DIV/0!</v>
      </c>
      <c r="BF1142" s="494" t="e">
        <f t="shared" si="126"/>
        <v>#DIV/0!</v>
      </c>
      <c r="BG1142" s="494"/>
      <c r="BH1142" s="494" t="e">
        <f t="shared" si="127"/>
        <v>#DIV/0!</v>
      </c>
      <c r="BI1142" s="494" t="e">
        <f t="shared" si="128"/>
        <v>#DIV/0!</v>
      </c>
      <c r="BJ1142" s="494">
        <f t="shared" si="129"/>
        <v>0</v>
      </c>
      <c r="BK1142" s="494">
        <f t="shared" si="130"/>
        <v>0</v>
      </c>
      <c r="BL1142" s="494" t="e">
        <f t="shared" si="131"/>
        <v>#DIV/0!</v>
      </c>
      <c r="BM1142" s="494">
        <f t="shared" si="132"/>
        <v>0</v>
      </c>
      <c r="BN1142" s="494">
        <f t="shared" si="133"/>
        <v>0</v>
      </c>
      <c r="BO1142" s="494" t="e">
        <f t="shared" si="134"/>
        <v>#DIV/0!</v>
      </c>
      <c r="BP1142" s="494"/>
      <c r="BQ1142" s="494">
        <f t="shared" si="135"/>
        <v>0</v>
      </c>
      <c r="BR1142" s="494">
        <f t="shared" si="159"/>
        <v>0</v>
      </c>
      <c r="BS1142" s="494">
        <f t="shared" si="136"/>
        <v>0</v>
      </c>
      <c r="BT1142" s="494">
        <f t="shared" si="160"/>
        <v>0</v>
      </c>
      <c r="BU1142" s="494" t="e">
        <f t="shared" si="137"/>
        <v>#DIV/0!</v>
      </c>
      <c r="BV1142" s="494">
        <f t="shared" si="161"/>
        <v>0</v>
      </c>
      <c r="BW1142" s="494">
        <f t="shared" si="138"/>
        <v>0</v>
      </c>
      <c r="BX1142" s="494">
        <f t="shared" si="162"/>
        <v>0</v>
      </c>
      <c r="BY1142" s="494" t="e">
        <f t="shared" si="139"/>
        <v>#DIV/0!</v>
      </c>
      <c r="BZ1142" s="494">
        <f t="shared" si="140"/>
        <v>0</v>
      </c>
      <c r="CA1142" s="494"/>
      <c r="CB1142" s="494"/>
      <c r="CC1142" s="494"/>
      <c r="CD1142" s="494">
        <v>12</v>
      </c>
      <c r="CE1142" s="494">
        <f t="shared" si="141"/>
        <v>0</v>
      </c>
      <c r="CF1142" s="494">
        <f t="shared" si="142"/>
        <v>0</v>
      </c>
    </row>
    <row r="1143" spans="1:84" ht="13.5" hidden="1" customHeight="1">
      <c r="A1143" s="319"/>
      <c r="B1143" s="319" t="s">
        <v>917</v>
      </c>
      <c r="C1143" s="319">
        <f>'Carga e Rede'!C325</f>
        <v>732</v>
      </c>
      <c r="D1143" s="494">
        <f>'Carga e Rede'!AK325</f>
        <v>0</v>
      </c>
      <c r="E1143" s="494">
        <f>'Carga e Rede'!AL325</f>
        <v>0</v>
      </c>
      <c r="F1143" s="494">
        <f t="shared" si="100"/>
        <v>0</v>
      </c>
      <c r="G1143" s="494">
        <f t="shared" si="101"/>
        <v>0</v>
      </c>
      <c r="H1143" s="494">
        <f t="shared" si="102"/>
        <v>0</v>
      </c>
      <c r="I1143" s="494">
        <f t="shared" si="103"/>
        <v>0</v>
      </c>
      <c r="J1143" s="494">
        <f t="shared" si="104"/>
        <v>0</v>
      </c>
      <c r="K1143" s="494">
        <f t="shared" si="105"/>
        <v>0</v>
      </c>
      <c r="L1143" s="494">
        <f t="shared" si="143"/>
        <v>0</v>
      </c>
      <c r="M1143" s="494">
        <f t="shared" si="144"/>
        <v>0</v>
      </c>
      <c r="N1143" s="494">
        <f t="shared" si="145"/>
        <v>0</v>
      </c>
      <c r="O1143" s="494">
        <f t="shared" si="146"/>
        <v>0</v>
      </c>
      <c r="P1143" s="494">
        <f t="shared" si="106"/>
        <v>0.61533476751082972</v>
      </c>
      <c r="Q1143" s="494">
        <f t="shared" si="147"/>
        <v>0</v>
      </c>
      <c r="R1143" s="494">
        <f t="shared" si="107"/>
        <v>0</v>
      </c>
      <c r="S1143" s="494">
        <f t="shared" si="148"/>
        <v>0</v>
      </c>
      <c r="T1143" s="494">
        <f t="shared" si="108"/>
        <v>0</v>
      </c>
      <c r="U1143" s="494">
        <f t="shared" si="109"/>
        <v>0</v>
      </c>
      <c r="V1143" s="494">
        <f t="shared" si="110"/>
        <v>0</v>
      </c>
      <c r="W1143" s="494">
        <f t="shared" si="110"/>
        <v>0</v>
      </c>
      <c r="X1143" s="494" t="e">
        <f t="shared" si="111"/>
        <v>#DIV/0!</v>
      </c>
      <c r="Y1143" s="494" t="e">
        <f t="shared" si="112"/>
        <v>#DIV/0!</v>
      </c>
      <c r="Z1143" s="494" t="e">
        <f t="shared" si="149"/>
        <v>#DIV/0!</v>
      </c>
      <c r="AA1143" s="494" t="e">
        <f t="shared" si="113"/>
        <v>#DIV/0!</v>
      </c>
      <c r="AB1143" s="494" t="e">
        <f t="shared" si="114"/>
        <v>#DIV/0!</v>
      </c>
      <c r="AC1143" s="494">
        <f t="shared" si="115"/>
        <v>0</v>
      </c>
      <c r="AD1143" s="494">
        <f t="shared" si="116"/>
        <v>0</v>
      </c>
      <c r="AE1143" s="494" t="e">
        <f t="shared" si="117"/>
        <v>#DIV/0!</v>
      </c>
      <c r="AF1143" s="494" t="e">
        <f t="shared" si="118"/>
        <v>#DIV/0!</v>
      </c>
      <c r="AG1143" s="494">
        <f t="shared" si="150"/>
        <v>0</v>
      </c>
      <c r="AH1143" s="494" t="e">
        <f t="shared" si="151"/>
        <v>#DIV/0!</v>
      </c>
      <c r="AI1143" s="494">
        <f t="shared" si="119"/>
        <v>0</v>
      </c>
      <c r="AJ1143" s="494" t="e">
        <f t="shared" si="152"/>
        <v>#DIV/0!</v>
      </c>
      <c r="AK1143" s="494" t="e">
        <f t="shared" si="153"/>
        <v>#DIV/0!</v>
      </c>
      <c r="AL1143" s="494" t="e">
        <f t="shared" si="120"/>
        <v>#DIV/0!</v>
      </c>
      <c r="AM1143" s="494">
        <f t="shared" si="154"/>
        <v>1</v>
      </c>
      <c r="AN1143" s="494" t="e">
        <f t="shared" si="155"/>
        <v>#DIV/0!</v>
      </c>
      <c r="AO1143" s="587">
        <f t="shared" si="156"/>
        <v>0</v>
      </c>
      <c r="AP1143" s="494">
        <f t="shared" si="121"/>
        <v>0</v>
      </c>
      <c r="AQ1143" s="494" t="e">
        <f t="shared" si="157"/>
        <v>#DIV/0!</v>
      </c>
      <c r="AR1143" s="494"/>
      <c r="AS1143" s="494"/>
      <c r="AT1143" s="494"/>
      <c r="AU1143" s="494">
        <f t="shared" si="122"/>
        <v>0</v>
      </c>
      <c r="AV1143" s="494">
        <f t="shared" si="122"/>
        <v>0</v>
      </c>
      <c r="AW1143" s="494"/>
      <c r="AX1143" s="494"/>
      <c r="AY1143" s="494"/>
      <c r="AZ1143" s="494"/>
      <c r="BA1143" s="494"/>
      <c r="BB1143" s="494" t="e">
        <f t="shared" si="123"/>
        <v>#DIV/0!</v>
      </c>
      <c r="BC1143" s="494" t="e">
        <f t="shared" si="158"/>
        <v>#DIV/0!</v>
      </c>
      <c r="BD1143" s="494" t="e">
        <f t="shared" si="124"/>
        <v>#DIV/0!</v>
      </c>
      <c r="BE1143" s="494" t="e">
        <f t="shared" si="125"/>
        <v>#DIV/0!</v>
      </c>
      <c r="BF1143" s="494" t="e">
        <f t="shared" si="126"/>
        <v>#DIV/0!</v>
      </c>
      <c r="BG1143" s="494"/>
      <c r="BH1143" s="494" t="e">
        <f t="shared" si="127"/>
        <v>#DIV/0!</v>
      </c>
      <c r="BI1143" s="494" t="e">
        <f t="shared" si="128"/>
        <v>#DIV/0!</v>
      </c>
      <c r="BJ1143" s="494">
        <f t="shared" si="129"/>
        <v>0</v>
      </c>
      <c r="BK1143" s="494">
        <f t="shared" si="130"/>
        <v>0</v>
      </c>
      <c r="BL1143" s="494" t="e">
        <f t="shared" si="131"/>
        <v>#DIV/0!</v>
      </c>
      <c r="BM1143" s="494">
        <f t="shared" si="132"/>
        <v>0</v>
      </c>
      <c r="BN1143" s="494">
        <f t="shared" si="133"/>
        <v>0</v>
      </c>
      <c r="BO1143" s="494" t="e">
        <f t="shared" si="134"/>
        <v>#DIV/0!</v>
      </c>
      <c r="BP1143" s="494"/>
      <c r="BQ1143" s="494">
        <f t="shared" si="135"/>
        <v>0</v>
      </c>
      <c r="BR1143" s="494">
        <f t="shared" si="159"/>
        <v>0</v>
      </c>
      <c r="BS1143" s="494">
        <f t="shared" si="136"/>
        <v>0</v>
      </c>
      <c r="BT1143" s="494">
        <f t="shared" si="160"/>
        <v>0</v>
      </c>
      <c r="BU1143" s="494" t="e">
        <f t="shared" si="137"/>
        <v>#DIV/0!</v>
      </c>
      <c r="BV1143" s="494">
        <f t="shared" si="161"/>
        <v>0</v>
      </c>
      <c r="BW1143" s="494">
        <f t="shared" si="138"/>
        <v>0</v>
      </c>
      <c r="BX1143" s="494">
        <f t="shared" si="162"/>
        <v>0</v>
      </c>
      <c r="BY1143" s="494" t="e">
        <f t="shared" si="139"/>
        <v>#DIV/0!</v>
      </c>
      <c r="BZ1143" s="494">
        <f t="shared" si="140"/>
        <v>0</v>
      </c>
      <c r="CA1143" s="494"/>
      <c r="CB1143" s="494"/>
      <c r="CC1143" s="494"/>
      <c r="CD1143" s="494">
        <v>13</v>
      </c>
      <c r="CE1143" s="494">
        <f t="shared" si="141"/>
        <v>0</v>
      </c>
      <c r="CF1143" s="494">
        <f t="shared" si="142"/>
        <v>0</v>
      </c>
    </row>
    <row r="1144" spans="1:84" ht="13.5" hidden="1" customHeight="1">
      <c r="A1144" s="319"/>
      <c r="B1144" s="319" t="s">
        <v>2783</v>
      </c>
      <c r="C1144" s="319">
        <f>'Carga e Rede'!C326</f>
        <v>708</v>
      </c>
      <c r="D1144" s="494">
        <f>'Carga e Rede'!AK326</f>
        <v>0</v>
      </c>
      <c r="E1144" s="494">
        <f>'Carga e Rede'!AL326</f>
        <v>0</v>
      </c>
      <c r="F1144" s="494">
        <f t="shared" si="100"/>
        <v>0</v>
      </c>
      <c r="G1144" s="494">
        <f t="shared" si="101"/>
        <v>0</v>
      </c>
      <c r="H1144" s="494">
        <f t="shared" si="102"/>
        <v>0</v>
      </c>
      <c r="I1144" s="494">
        <f t="shared" si="103"/>
        <v>0</v>
      </c>
      <c r="J1144" s="494">
        <f>IF(H1144&gt;E1144,0,E1144-H1144)</f>
        <v>0</v>
      </c>
      <c r="K1144" s="494">
        <f t="shared" si="105"/>
        <v>0</v>
      </c>
      <c r="L1144" s="494">
        <f t="shared" si="143"/>
        <v>0</v>
      </c>
      <c r="M1144" s="494">
        <f t="shared" si="144"/>
        <v>0</v>
      </c>
      <c r="N1144" s="494">
        <f t="shared" si="145"/>
        <v>0</v>
      </c>
      <c r="O1144" s="494">
        <f t="shared" si="146"/>
        <v>0</v>
      </c>
      <c r="P1144" s="494">
        <f t="shared" si="106"/>
        <v>0.61533476751082972</v>
      </c>
      <c r="Q1144" s="494">
        <f t="shared" si="147"/>
        <v>0</v>
      </c>
      <c r="R1144" s="494">
        <f t="shared" si="107"/>
        <v>0</v>
      </c>
      <c r="S1144" s="494">
        <f t="shared" si="148"/>
        <v>0</v>
      </c>
      <c r="T1144" s="494">
        <f t="shared" si="108"/>
        <v>0</v>
      </c>
      <c r="U1144" s="494">
        <f t="shared" si="109"/>
        <v>0</v>
      </c>
      <c r="V1144" s="494">
        <f t="shared" si="110"/>
        <v>0</v>
      </c>
      <c r="W1144" s="494">
        <f t="shared" si="110"/>
        <v>0</v>
      </c>
      <c r="X1144" s="494" t="e">
        <f t="shared" si="111"/>
        <v>#DIV/0!</v>
      </c>
      <c r="Y1144" s="494" t="e">
        <f t="shared" si="112"/>
        <v>#DIV/0!</v>
      </c>
      <c r="Z1144" s="494" t="e">
        <f t="shared" si="149"/>
        <v>#DIV/0!</v>
      </c>
      <c r="AA1144" s="494" t="e">
        <f t="shared" si="113"/>
        <v>#DIV/0!</v>
      </c>
      <c r="AB1144" s="494" t="e">
        <f t="shared" si="114"/>
        <v>#DIV/0!</v>
      </c>
      <c r="AC1144" s="494">
        <f t="shared" si="115"/>
        <v>0</v>
      </c>
      <c r="AD1144" s="494">
        <f t="shared" si="116"/>
        <v>0</v>
      </c>
      <c r="AE1144" s="494" t="e">
        <f t="shared" si="117"/>
        <v>#DIV/0!</v>
      </c>
      <c r="AF1144" s="494" t="e">
        <f t="shared" si="118"/>
        <v>#DIV/0!</v>
      </c>
      <c r="AG1144" s="494">
        <f t="shared" si="150"/>
        <v>0</v>
      </c>
      <c r="AH1144" s="494" t="e">
        <f t="shared" si="151"/>
        <v>#DIV/0!</v>
      </c>
      <c r="AI1144" s="494">
        <f t="shared" si="119"/>
        <v>0</v>
      </c>
      <c r="AJ1144" s="494" t="e">
        <f t="shared" si="152"/>
        <v>#DIV/0!</v>
      </c>
      <c r="AK1144" s="494" t="e">
        <f t="shared" si="153"/>
        <v>#DIV/0!</v>
      </c>
      <c r="AL1144" s="494" t="e">
        <f t="shared" si="120"/>
        <v>#DIV/0!</v>
      </c>
      <c r="AM1144" s="494">
        <f t="shared" si="154"/>
        <v>1</v>
      </c>
      <c r="AN1144" s="494" t="e">
        <f t="shared" si="155"/>
        <v>#DIV/0!</v>
      </c>
      <c r="AO1144" s="587">
        <f t="shared" si="156"/>
        <v>0</v>
      </c>
      <c r="AP1144" s="494">
        <f t="shared" si="121"/>
        <v>0</v>
      </c>
      <c r="AQ1144" s="494" t="e">
        <f t="shared" si="157"/>
        <v>#DIV/0!</v>
      </c>
      <c r="AR1144" s="494"/>
      <c r="AS1144" s="494"/>
      <c r="AT1144" s="494"/>
      <c r="AU1144" s="494">
        <f t="shared" si="122"/>
        <v>0</v>
      </c>
      <c r="AV1144" s="494">
        <f t="shared" si="122"/>
        <v>0</v>
      </c>
      <c r="AW1144" s="494"/>
      <c r="AX1144" s="494"/>
      <c r="AY1144" s="494"/>
      <c r="AZ1144" s="494"/>
      <c r="BA1144" s="494"/>
      <c r="BB1144" s="494" t="e">
        <f t="shared" si="123"/>
        <v>#DIV/0!</v>
      </c>
      <c r="BC1144" s="494" t="e">
        <f t="shared" si="158"/>
        <v>#DIV/0!</v>
      </c>
      <c r="BD1144" s="494" t="e">
        <f t="shared" si="124"/>
        <v>#DIV/0!</v>
      </c>
      <c r="BE1144" s="494" t="e">
        <f t="shared" si="125"/>
        <v>#DIV/0!</v>
      </c>
      <c r="BF1144" s="494" t="e">
        <f t="shared" si="126"/>
        <v>#DIV/0!</v>
      </c>
      <c r="BG1144" s="494"/>
      <c r="BH1144" s="494" t="e">
        <f t="shared" si="127"/>
        <v>#DIV/0!</v>
      </c>
      <c r="BI1144" s="494" t="e">
        <f t="shared" si="128"/>
        <v>#DIV/0!</v>
      </c>
      <c r="BJ1144" s="494">
        <f t="shared" si="129"/>
        <v>0</v>
      </c>
      <c r="BK1144" s="494">
        <f t="shared" si="130"/>
        <v>0</v>
      </c>
      <c r="BL1144" s="494" t="e">
        <f t="shared" si="131"/>
        <v>#DIV/0!</v>
      </c>
      <c r="BM1144" s="494">
        <f t="shared" si="132"/>
        <v>0</v>
      </c>
      <c r="BN1144" s="494">
        <f t="shared" si="133"/>
        <v>0</v>
      </c>
      <c r="BO1144" s="494" t="e">
        <f t="shared" si="134"/>
        <v>#DIV/0!</v>
      </c>
      <c r="BP1144" s="494"/>
      <c r="BQ1144" s="494">
        <f t="shared" si="135"/>
        <v>0</v>
      </c>
      <c r="BR1144" s="494">
        <f t="shared" si="159"/>
        <v>0</v>
      </c>
      <c r="BS1144" s="494">
        <f t="shared" si="136"/>
        <v>0</v>
      </c>
      <c r="BT1144" s="494">
        <f t="shared" si="160"/>
        <v>0</v>
      </c>
      <c r="BU1144" s="494" t="e">
        <f t="shared" si="137"/>
        <v>#DIV/0!</v>
      </c>
      <c r="BV1144" s="494">
        <f t="shared" si="161"/>
        <v>0</v>
      </c>
      <c r="BW1144" s="494">
        <f t="shared" si="138"/>
        <v>0</v>
      </c>
      <c r="BX1144" s="494">
        <f t="shared" si="162"/>
        <v>0</v>
      </c>
      <c r="BY1144" s="494" t="e">
        <f t="shared" si="139"/>
        <v>#DIV/0!</v>
      </c>
      <c r="BZ1144" s="494">
        <f t="shared" si="140"/>
        <v>0</v>
      </c>
      <c r="CA1144" s="494"/>
      <c r="CB1144" s="494"/>
      <c r="CC1144" s="494"/>
      <c r="CD1144" s="494">
        <v>14</v>
      </c>
      <c r="CE1144" s="494">
        <f t="shared" si="141"/>
        <v>0</v>
      </c>
      <c r="CF1144" s="494">
        <f t="shared" si="142"/>
        <v>0</v>
      </c>
    </row>
    <row r="1145" spans="1:84" ht="13.5" hidden="1" customHeight="1">
      <c r="A1145" s="319"/>
      <c r="B1145" s="319" t="s">
        <v>4453</v>
      </c>
      <c r="C1145" s="319">
        <f>'Carga e Rede'!C327</f>
        <v>732</v>
      </c>
      <c r="D1145" s="494">
        <f>'Carga e Rede'!AK327</f>
        <v>0</v>
      </c>
      <c r="E1145" s="494">
        <f>'Carga e Rede'!AL327</f>
        <v>0</v>
      </c>
      <c r="F1145" s="494">
        <f t="shared" si="100"/>
        <v>0</v>
      </c>
      <c r="G1145" s="494">
        <f t="shared" si="101"/>
        <v>0</v>
      </c>
      <c r="H1145" s="494">
        <f t="shared" si="102"/>
        <v>0</v>
      </c>
      <c r="I1145" s="494">
        <f t="shared" si="103"/>
        <v>0</v>
      </c>
      <c r="J1145" s="494">
        <f t="shared" si="104"/>
        <v>0</v>
      </c>
      <c r="K1145" s="494">
        <f t="shared" si="105"/>
        <v>0</v>
      </c>
      <c r="L1145" s="494">
        <f t="shared" si="143"/>
        <v>0</v>
      </c>
      <c r="M1145" s="494">
        <f t="shared" si="144"/>
        <v>0</v>
      </c>
      <c r="N1145" s="494">
        <f t="shared" si="145"/>
        <v>0</v>
      </c>
      <c r="O1145" s="494">
        <f t="shared" si="146"/>
        <v>0</v>
      </c>
      <c r="P1145" s="494">
        <f t="shared" si="106"/>
        <v>0.61533476751082972</v>
      </c>
      <c r="Q1145" s="494">
        <f t="shared" si="147"/>
        <v>0</v>
      </c>
      <c r="R1145" s="494">
        <f t="shared" si="107"/>
        <v>0</v>
      </c>
      <c r="S1145" s="494">
        <f t="shared" si="148"/>
        <v>0</v>
      </c>
      <c r="T1145" s="494">
        <f t="shared" si="108"/>
        <v>0</v>
      </c>
      <c r="U1145" s="494">
        <f t="shared" si="109"/>
        <v>0</v>
      </c>
      <c r="V1145" s="494">
        <f t="shared" si="110"/>
        <v>0</v>
      </c>
      <c r="W1145" s="494">
        <f t="shared" si="110"/>
        <v>0</v>
      </c>
      <c r="X1145" s="494" t="e">
        <f t="shared" si="111"/>
        <v>#DIV/0!</v>
      </c>
      <c r="Y1145" s="494" t="e">
        <f t="shared" si="112"/>
        <v>#DIV/0!</v>
      </c>
      <c r="Z1145" s="494" t="e">
        <f t="shared" si="149"/>
        <v>#DIV/0!</v>
      </c>
      <c r="AA1145" s="494" t="e">
        <f t="shared" si="113"/>
        <v>#DIV/0!</v>
      </c>
      <c r="AB1145" s="494" t="e">
        <f t="shared" si="114"/>
        <v>#DIV/0!</v>
      </c>
      <c r="AC1145" s="494">
        <f t="shared" si="115"/>
        <v>0</v>
      </c>
      <c r="AD1145" s="494">
        <f t="shared" si="116"/>
        <v>0</v>
      </c>
      <c r="AE1145" s="494" t="e">
        <f t="shared" si="117"/>
        <v>#DIV/0!</v>
      </c>
      <c r="AF1145" s="494" t="e">
        <f t="shared" si="118"/>
        <v>#DIV/0!</v>
      </c>
      <c r="AG1145" s="494">
        <f t="shared" si="150"/>
        <v>0</v>
      </c>
      <c r="AH1145" s="494" t="e">
        <f t="shared" si="151"/>
        <v>#DIV/0!</v>
      </c>
      <c r="AI1145" s="494">
        <f t="shared" si="119"/>
        <v>0</v>
      </c>
      <c r="AJ1145" s="494" t="e">
        <f t="shared" si="152"/>
        <v>#DIV/0!</v>
      </c>
      <c r="AK1145" s="494" t="e">
        <f t="shared" si="153"/>
        <v>#DIV/0!</v>
      </c>
      <c r="AL1145" s="494" t="e">
        <f t="shared" si="120"/>
        <v>#DIV/0!</v>
      </c>
      <c r="AM1145" s="494">
        <f t="shared" si="154"/>
        <v>1</v>
      </c>
      <c r="AN1145" s="494" t="e">
        <f t="shared" si="155"/>
        <v>#DIV/0!</v>
      </c>
      <c r="AO1145" s="587">
        <f t="shared" si="156"/>
        <v>0</v>
      </c>
      <c r="AP1145" s="494">
        <f t="shared" si="121"/>
        <v>0</v>
      </c>
      <c r="AQ1145" s="494" t="e">
        <f t="shared" si="157"/>
        <v>#DIV/0!</v>
      </c>
      <c r="AR1145" s="494"/>
      <c r="AS1145" s="494"/>
      <c r="AT1145" s="494"/>
      <c r="AU1145" s="494">
        <f t="shared" si="122"/>
        <v>0</v>
      </c>
      <c r="AV1145" s="494">
        <f t="shared" si="122"/>
        <v>0</v>
      </c>
      <c r="AW1145" s="494"/>
      <c r="AX1145" s="494"/>
      <c r="AY1145" s="494"/>
      <c r="AZ1145" s="494"/>
      <c r="BA1145" s="494"/>
      <c r="BB1145" s="494" t="e">
        <f t="shared" si="123"/>
        <v>#DIV/0!</v>
      </c>
      <c r="BC1145" s="494" t="e">
        <f t="shared" si="158"/>
        <v>#DIV/0!</v>
      </c>
      <c r="BD1145" s="494" t="e">
        <f t="shared" si="124"/>
        <v>#DIV/0!</v>
      </c>
      <c r="BE1145" s="494" t="e">
        <f t="shared" si="125"/>
        <v>#DIV/0!</v>
      </c>
      <c r="BF1145" s="494" t="e">
        <f t="shared" si="126"/>
        <v>#DIV/0!</v>
      </c>
      <c r="BG1145" s="494"/>
      <c r="BH1145" s="494" t="e">
        <f t="shared" si="127"/>
        <v>#DIV/0!</v>
      </c>
      <c r="BI1145" s="494" t="e">
        <f t="shared" si="128"/>
        <v>#DIV/0!</v>
      </c>
      <c r="BJ1145" s="494">
        <f t="shared" si="129"/>
        <v>0</v>
      </c>
      <c r="BK1145" s="494">
        <f t="shared" si="130"/>
        <v>0</v>
      </c>
      <c r="BL1145" s="494" t="e">
        <f t="shared" si="131"/>
        <v>#DIV/0!</v>
      </c>
      <c r="BM1145" s="494">
        <f t="shared" si="132"/>
        <v>0</v>
      </c>
      <c r="BN1145" s="494">
        <f t="shared" si="133"/>
        <v>0</v>
      </c>
      <c r="BO1145" s="494" t="e">
        <f t="shared" si="134"/>
        <v>#DIV/0!</v>
      </c>
      <c r="BP1145" s="494"/>
      <c r="BQ1145" s="494">
        <f t="shared" si="135"/>
        <v>0</v>
      </c>
      <c r="BR1145" s="494">
        <f t="shared" si="159"/>
        <v>0</v>
      </c>
      <c r="BS1145" s="494">
        <f t="shared" si="136"/>
        <v>0</v>
      </c>
      <c r="BT1145" s="494">
        <f t="shared" si="160"/>
        <v>0</v>
      </c>
      <c r="BU1145" s="494" t="e">
        <f t="shared" si="137"/>
        <v>#DIV/0!</v>
      </c>
      <c r="BV1145" s="494">
        <f t="shared" si="161"/>
        <v>0</v>
      </c>
      <c r="BW1145" s="494">
        <f t="shared" si="138"/>
        <v>0</v>
      </c>
      <c r="BX1145" s="494">
        <f t="shared" si="162"/>
        <v>0</v>
      </c>
      <c r="BY1145" s="494" t="e">
        <f t="shared" si="139"/>
        <v>#DIV/0!</v>
      </c>
      <c r="BZ1145" s="494">
        <f t="shared" si="140"/>
        <v>0</v>
      </c>
      <c r="CA1145" s="494"/>
      <c r="CB1145" s="494"/>
      <c r="CC1145" s="494"/>
      <c r="CD1145" s="494">
        <v>15</v>
      </c>
      <c r="CE1145" s="494">
        <f t="shared" si="141"/>
        <v>0</v>
      </c>
      <c r="CF1145" s="494">
        <f t="shared" si="142"/>
        <v>0</v>
      </c>
    </row>
    <row r="1146" spans="1:84" ht="13.5" hidden="1" customHeight="1">
      <c r="A1146" s="319"/>
      <c r="B1146" s="319" t="s">
        <v>1648</v>
      </c>
      <c r="C1146" s="319">
        <f>'Carga e Rede'!C328</f>
        <v>732</v>
      </c>
      <c r="D1146" s="494">
        <f>'Carga e Rede'!AK328</f>
        <v>0</v>
      </c>
      <c r="E1146" s="494">
        <f>'Carga e Rede'!AL328</f>
        <v>0</v>
      </c>
      <c r="F1146" s="494">
        <f t="shared" si="100"/>
        <v>0</v>
      </c>
      <c r="G1146" s="494">
        <f t="shared" si="101"/>
        <v>0</v>
      </c>
      <c r="H1146" s="494">
        <f t="shared" si="102"/>
        <v>0</v>
      </c>
      <c r="I1146" s="494">
        <f t="shared" si="103"/>
        <v>0</v>
      </c>
      <c r="J1146" s="494">
        <f t="shared" si="104"/>
        <v>0</v>
      </c>
      <c r="K1146" s="494">
        <f t="shared" si="105"/>
        <v>0</v>
      </c>
      <c r="L1146" s="494">
        <f t="shared" si="143"/>
        <v>0</v>
      </c>
      <c r="M1146" s="494">
        <f t="shared" si="144"/>
        <v>0</v>
      </c>
      <c r="N1146" s="494">
        <f t="shared" si="145"/>
        <v>0</v>
      </c>
      <c r="O1146" s="494">
        <f t="shared" si="146"/>
        <v>0</v>
      </c>
      <c r="P1146" s="494">
        <f t="shared" si="106"/>
        <v>0.61533476751082972</v>
      </c>
      <c r="Q1146" s="494">
        <f t="shared" si="147"/>
        <v>0</v>
      </c>
      <c r="R1146" s="494">
        <f t="shared" si="107"/>
        <v>0</v>
      </c>
      <c r="S1146" s="494">
        <f t="shared" si="148"/>
        <v>0</v>
      </c>
      <c r="T1146" s="494">
        <f t="shared" si="108"/>
        <v>0</v>
      </c>
      <c r="U1146" s="494">
        <f t="shared" si="109"/>
        <v>0</v>
      </c>
      <c r="V1146" s="494">
        <f t="shared" si="110"/>
        <v>0</v>
      </c>
      <c r="W1146" s="494">
        <f t="shared" si="110"/>
        <v>0</v>
      </c>
      <c r="X1146" s="494" t="e">
        <f t="shared" si="111"/>
        <v>#DIV/0!</v>
      </c>
      <c r="Y1146" s="494" t="e">
        <f t="shared" si="112"/>
        <v>#DIV/0!</v>
      </c>
      <c r="Z1146" s="494" t="e">
        <f t="shared" si="149"/>
        <v>#DIV/0!</v>
      </c>
      <c r="AA1146" s="494" t="e">
        <f t="shared" si="113"/>
        <v>#DIV/0!</v>
      </c>
      <c r="AB1146" s="494" t="e">
        <f t="shared" si="114"/>
        <v>#DIV/0!</v>
      </c>
      <c r="AC1146" s="494">
        <f t="shared" si="115"/>
        <v>0</v>
      </c>
      <c r="AD1146" s="494">
        <f t="shared" si="116"/>
        <v>0</v>
      </c>
      <c r="AE1146" s="494" t="e">
        <f t="shared" si="117"/>
        <v>#DIV/0!</v>
      </c>
      <c r="AF1146" s="494" t="e">
        <f t="shared" si="118"/>
        <v>#DIV/0!</v>
      </c>
      <c r="AG1146" s="494">
        <f t="shared" si="150"/>
        <v>0</v>
      </c>
      <c r="AH1146" s="494" t="e">
        <f t="shared" si="151"/>
        <v>#DIV/0!</v>
      </c>
      <c r="AI1146" s="494">
        <f t="shared" si="119"/>
        <v>0</v>
      </c>
      <c r="AJ1146" s="494" t="e">
        <f t="shared" si="152"/>
        <v>#DIV/0!</v>
      </c>
      <c r="AK1146" s="494" t="e">
        <f t="shared" si="153"/>
        <v>#DIV/0!</v>
      </c>
      <c r="AL1146" s="494" t="e">
        <f t="shared" si="120"/>
        <v>#DIV/0!</v>
      </c>
      <c r="AM1146" s="494">
        <f t="shared" si="154"/>
        <v>1</v>
      </c>
      <c r="AN1146" s="494" t="e">
        <f t="shared" si="155"/>
        <v>#DIV/0!</v>
      </c>
      <c r="AO1146" s="587">
        <f t="shared" si="156"/>
        <v>0</v>
      </c>
      <c r="AP1146" s="494">
        <f t="shared" si="121"/>
        <v>0</v>
      </c>
      <c r="AQ1146" s="494" t="e">
        <f t="shared" si="157"/>
        <v>#DIV/0!</v>
      </c>
      <c r="AR1146" s="494"/>
      <c r="AS1146" s="494"/>
      <c r="AT1146" s="494"/>
      <c r="AU1146" s="494">
        <f t="shared" si="122"/>
        <v>0</v>
      </c>
      <c r="AV1146" s="494">
        <f t="shared" si="122"/>
        <v>0</v>
      </c>
      <c r="AW1146" s="494"/>
      <c r="AX1146" s="494"/>
      <c r="AY1146" s="494"/>
      <c r="AZ1146" s="494"/>
      <c r="BA1146" s="494"/>
      <c r="BB1146" s="494" t="e">
        <f t="shared" si="123"/>
        <v>#DIV/0!</v>
      </c>
      <c r="BC1146" s="494" t="e">
        <f t="shared" si="158"/>
        <v>#DIV/0!</v>
      </c>
      <c r="BD1146" s="494" t="e">
        <f t="shared" si="124"/>
        <v>#DIV/0!</v>
      </c>
      <c r="BE1146" s="494" t="e">
        <f t="shared" si="125"/>
        <v>#DIV/0!</v>
      </c>
      <c r="BF1146" s="494" t="e">
        <f t="shared" si="126"/>
        <v>#DIV/0!</v>
      </c>
      <c r="BG1146" s="494"/>
      <c r="BH1146" s="494" t="e">
        <f t="shared" si="127"/>
        <v>#DIV/0!</v>
      </c>
      <c r="BI1146" s="494" t="e">
        <f t="shared" si="128"/>
        <v>#DIV/0!</v>
      </c>
      <c r="BJ1146" s="494">
        <f t="shared" si="129"/>
        <v>0</v>
      </c>
      <c r="BK1146" s="494">
        <f t="shared" si="130"/>
        <v>0</v>
      </c>
      <c r="BL1146" s="494" t="e">
        <f t="shared" si="131"/>
        <v>#DIV/0!</v>
      </c>
      <c r="BM1146" s="494">
        <f t="shared" si="132"/>
        <v>0</v>
      </c>
      <c r="BN1146" s="494">
        <f t="shared" si="133"/>
        <v>0</v>
      </c>
      <c r="BO1146" s="494" t="e">
        <f t="shared" si="134"/>
        <v>#DIV/0!</v>
      </c>
      <c r="BP1146" s="494"/>
      <c r="BQ1146" s="494">
        <f t="shared" si="135"/>
        <v>0</v>
      </c>
      <c r="BR1146" s="494">
        <f t="shared" si="159"/>
        <v>0</v>
      </c>
      <c r="BS1146" s="494">
        <f t="shared" si="136"/>
        <v>0</v>
      </c>
      <c r="BT1146" s="494">
        <f t="shared" si="160"/>
        <v>0</v>
      </c>
      <c r="BU1146" s="494" t="e">
        <f t="shared" si="137"/>
        <v>#DIV/0!</v>
      </c>
      <c r="BV1146" s="494">
        <f t="shared" si="161"/>
        <v>0</v>
      </c>
      <c r="BW1146" s="494">
        <f t="shared" si="138"/>
        <v>0</v>
      </c>
      <c r="BX1146" s="494">
        <f t="shared" si="162"/>
        <v>0</v>
      </c>
      <c r="BY1146" s="494" t="e">
        <f t="shared" si="139"/>
        <v>#DIV/0!</v>
      </c>
      <c r="BZ1146" s="494">
        <f t="shared" si="140"/>
        <v>0</v>
      </c>
      <c r="CA1146" s="494"/>
      <c r="CB1146" s="494"/>
      <c r="CC1146" s="494"/>
      <c r="CD1146" s="494">
        <v>16</v>
      </c>
      <c r="CE1146" s="494">
        <f t="shared" si="141"/>
        <v>0</v>
      </c>
      <c r="CF1146" s="494">
        <f t="shared" si="142"/>
        <v>0</v>
      </c>
    </row>
    <row r="1147" spans="1:84" ht="13.5" hidden="1" customHeight="1">
      <c r="A1147" s="319"/>
      <c r="B1147" s="319" t="s">
        <v>3426</v>
      </c>
      <c r="C1147" s="319">
        <f>'Carga e Rede'!C329</f>
        <v>708</v>
      </c>
      <c r="D1147" s="494">
        <f>'Carga e Rede'!AK329</f>
        <v>0</v>
      </c>
      <c r="E1147" s="494">
        <f>'Carga e Rede'!AL329</f>
        <v>0</v>
      </c>
      <c r="F1147" s="494">
        <f t="shared" si="100"/>
        <v>0</v>
      </c>
      <c r="G1147" s="494">
        <f t="shared" si="101"/>
        <v>0</v>
      </c>
      <c r="H1147" s="494">
        <f t="shared" si="102"/>
        <v>0</v>
      </c>
      <c r="I1147" s="494">
        <f t="shared" si="103"/>
        <v>0</v>
      </c>
      <c r="J1147" s="494">
        <f t="shared" si="104"/>
        <v>0</v>
      </c>
      <c r="K1147" s="494">
        <f t="shared" si="105"/>
        <v>0</v>
      </c>
      <c r="L1147" s="494">
        <f t="shared" si="143"/>
        <v>0</v>
      </c>
      <c r="M1147" s="494">
        <f t="shared" si="144"/>
        <v>0</v>
      </c>
      <c r="N1147" s="494">
        <f t="shared" si="145"/>
        <v>0</v>
      </c>
      <c r="O1147" s="494">
        <f t="shared" si="146"/>
        <v>0</v>
      </c>
      <c r="P1147" s="494">
        <f t="shared" si="106"/>
        <v>0.61533476751082972</v>
      </c>
      <c r="Q1147" s="494">
        <f t="shared" si="147"/>
        <v>0</v>
      </c>
      <c r="R1147" s="494">
        <f t="shared" si="107"/>
        <v>0</v>
      </c>
      <c r="S1147" s="494">
        <f t="shared" si="148"/>
        <v>0</v>
      </c>
      <c r="T1147" s="494">
        <f t="shared" si="108"/>
        <v>0</v>
      </c>
      <c r="U1147" s="494">
        <f t="shared" si="109"/>
        <v>0</v>
      </c>
      <c r="V1147" s="494">
        <f t="shared" si="110"/>
        <v>0</v>
      </c>
      <c r="W1147" s="494">
        <f t="shared" si="110"/>
        <v>0</v>
      </c>
      <c r="X1147" s="494" t="e">
        <f t="shared" si="111"/>
        <v>#DIV/0!</v>
      </c>
      <c r="Y1147" s="494" t="e">
        <f t="shared" si="112"/>
        <v>#DIV/0!</v>
      </c>
      <c r="Z1147" s="494" t="e">
        <f t="shared" si="149"/>
        <v>#DIV/0!</v>
      </c>
      <c r="AA1147" s="494" t="e">
        <f t="shared" si="113"/>
        <v>#DIV/0!</v>
      </c>
      <c r="AB1147" s="494" t="e">
        <f t="shared" si="114"/>
        <v>#DIV/0!</v>
      </c>
      <c r="AC1147" s="494">
        <f t="shared" si="115"/>
        <v>0</v>
      </c>
      <c r="AD1147" s="494">
        <f t="shared" si="116"/>
        <v>0</v>
      </c>
      <c r="AE1147" s="494" t="e">
        <f t="shared" si="117"/>
        <v>#DIV/0!</v>
      </c>
      <c r="AF1147" s="494" t="e">
        <f t="shared" si="118"/>
        <v>#DIV/0!</v>
      </c>
      <c r="AG1147" s="494">
        <f t="shared" si="150"/>
        <v>0</v>
      </c>
      <c r="AH1147" s="494" t="e">
        <f t="shared" si="151"/>
        <v>#DIV/0!</v>
      </c>
      <c r="AI1147" s="494">
        <f t="shared" si="119"/>
        <v>0</v>
      </c>
      <c r="AJ1147" s="494" t="e">
        <f t="shared" si="152"/>
        <v>#DIV/0!</v>
      </c>
      <c r="AK1147" s="494" t="e">
        <f t="shared" si="153"/>
        <v>#DIV/0!</v>
      </c>
      <c r="AL1147" s="494" t="e">
        <f t="shared" si="120"/>
        <v>#DIV/0!</v>
      </c>
      <c r="AM1147" s="494">
        <f t="shared" si="154"/>
        <v>1</v>
      </c>
      <c r="AN1147" s="494" t="e">
        <f t="shared" si="155"/>
        <v>#DIV/0!</v>
      </c>
      <c r="AO1147" s="587">
        <f t="shared" si="156"/>
        <v>0</v>
      </c>
      <c r="AP1147" s="494">
        <f t="shared" si="121"/>
        <v>0</v>
      </c>
      <c r="AQ1147" s="494" t="e">
        <f t="shared" si="157"/>
        <v>#DIV/0!</v>
      </c>
      <c r="AR1147" s="494"/>
      <c r="AS1147" s="494"/>
      <c r="AT1147" s="494"/>
      <c r="AU1147" s="494">
        <f t="shared" si="122"/>
        <v>0</v>
      </c>
      <c r="AV1147" s="494">
        <f t="shared" si="122"/>
        <v>0</v>
      </c>
      <c r="AW1147" s="494"/>
      <c r="AX1147" s="494"/>
      <c r="AY1147" s="494"/>
      <c r="AZ1147" s="494"/>
      <c r="BA1147" s="494"/>
      <c r="BB1147" s="494" t="e">
        <f t="shared" si="123"/>
        <v>#DIV/0!</v>
      </c>
      <c r="BC1147" s="494" t="e">
        <f t="shared" si="158"/>
        <v>#DIV/0!</v>
      </c>
      <c r="BD1147" s="494" t="e">
        <f t="shared" si="124"/>
        <v>#DIV/0!</v>
      </c>
      <c r="BE1147" s="494" t="e">
        <f t="shared" si="125"/>
        <v>#DIV/0!</v>
      </c>
      <c r="BF1147" s="494" t="e">
        <f t="shared" si="126"/>
        <v>#DIV/0!</v>
      </c>
      <c r="BG1147" s="494"/>
      <c r="BH1147" s="494" t="e">
        <f t="shared" si="127"/>
        <v>#DIV/0!</v>
      </c>
      <c r="BI1147" s="494" t="e">
        <f t="shared" si="128"/>
        <v>#DIV/0!</v>
      </c>
      <c r="BJ1147" s="494">
        <f t="shared" si="129"/>
        <v>0</v>
      </c>
      <c r="BK1147" s="494">
        <f t="shared" si="130"/>
        <v>0</v>
      </c>
      <c r="BL1147" s="494" t="e">
        <f t="shared" si="131"/>
        <v>#DIV/0!</v>
      </c>
      <c r="BM1147" s="494">
        <f t="shared" si="132"/>
        <v>0</v>
      </c>
      <c r="BN1147" s="494">
        <f t="shared" si="133"/>
        <v>0</v>
      </c>
      <c r="BO1147" s="494" t="e">
        <f t="shared" si="134"/>
        <v>#DIV/0!</v>
      </c>
      <c r="BP1147" s="494"/>
      <c r="BQ1147" s="494">
        <f t="shared" si="135"/>
        <v>0</v>
      </c>
      <c r="BR1147" s="494">
        <f t="shared" si="159"/>
        <v>0</v>
      </c>
      <c r="BS1147" s="494">
        <f t="shared" si="136"/>
        <v>0</v>
      </c>
      <c r="BT1147" s="494">
        <f t="shared" si="160"/>
        <v>0</v>
      </c>
      <c r="BU1147" s="494" t="e">
        <f t="shared" si="137"/>
        <v>#DIV/0!</v>
      </c>
      <c r="BV1147" s="494">
        <f t="shared" si="161"/>
        <v>0</v>
      </c>
      <c r="BW1147" s="494">
        <f t="shared" si="138"/>
        <v>0</v>
      </c>
      <c r="BX1147" s="494">
        <f t="shared" si="162"/>
        <v>0</v>
      </c>
      <c r="BY1147" s="494" t="e">
        <f t="shared" si="139"/>
        <v>#DIV/0!</v>
      </c>
      <c r="BZ1147" s="494">
        <f t="shared" si="140"/>
        <v>0</v>
      </c>
      <c r="CA1147" s="494"/>
      <c r="CB1147" s="494"/>
      <c r="CC1147" s="494"/>
      <c r="CD1147" s="494">
        <v>17</v>
      </c>
      <c r="CE1147" s="494">
        <f t="shared" si="141"/>
        <v>0</v>
      </c>
      <c r="CF1147" s="494">
        <f t="shared" si="142"/>
        <v>0</v>
      </c>
    </row>
    <row r="1148" spans="1:84" ht="13.5" hidden="1" customHeight="1">
      <c r="A1148" s="319"/>
      <c r="B1148" s="319" t="s">
        <v>5753</v>
      </c>
      <c r="C1148" s="319">
        <f>'Carga e Rede'!C330</f>
        <v>732</v>
      </c>
      <c r="D1148" s="494">
        <f>'Carga e Rede'!AK330</f>
        <v>0</v>
      </c>
      <c r="E1148" s="494">
        <f>'Carga e Rede'!AL330</f>
        <v>0</v>
      </c>
      <c r="F1148" s="494">
        <f t="shared" si="100"/>
        <v>0</v>
      </c>
      <c r="G1148" s="494">
        <f t="shared" si="101"/>
        <v>0</v>
      </c>
      <c r="H1148" s="494">
        <f t="shared" si="102"/>
        <v>0</v>
      </c>
      <c r="I1148" s="494">
        <f t="shared" si="103"/>
        <v>0</v>
      </c>
      <c r="J1148" s="494">
        <f t="shared" si="104"/>
        <v>0</v>
      </c>
      <c r="K1148" s="494">
        <f t="shared" si="105"/>
        <v>0</v>
      </c>
      <c r="L1148" s="494">
        <f t="shared" si="143"/>
        <v>0</v>
      </c>
      <c r="M1148" s="494">
        <f t="shared" si="144"/>
        <v>0</v>
      </c>
      <c r="N1148" s="494">
        <f t="shared" si="145"/>
        <v>0</v>
      </c>
      <c r="O1148" s="494">
        <f t="shared" si="146"/>
        <v>0</v>
      </c>
      <c r="P1148" s="494">
        <f t="shared" si="106"/>
        <v>0.61533476751082972</v>
      </c>
      <c r="Q1148" s="494">
        <f t="shared" si="147"/>
        <v>0</v>
      </c>
      <c r="R1148" s="494">
        <f t="shared" si="107"/>
        <v>0</v>
      </c>
      <c r="S1148" s="494">
        <f t="shared" si="148"/>
        <v>0</v>
      </c>
      <c r="T1148" s="494">
        <f t="shared" si="108"/>
        <v>0</v>
      </c>
      <c r="U1148" s="494">
        <f t="shared" si="109"/>
        <v>0</v>
      </c>
      <c r="V1148" s="494">
        <f t="shared" si="110"/>
        <v>0</v>
      </c>
      <c r="W1148" s="494">
        <f t="shared" si="110"/>
        <v>0</v>
      </c>
      <c r="X1148" s="494" t="e">
        <f t="shared" si="111"/>
        <v>#DIV/0!</v>
      </c>
      <c r="Y1148" s="494" t="e">
        <f t="shared" si="112"/>
        <v>#DIV/0!</v>
      </c>
      <c r="Z1148" s="494" t="e">
        <f t="shared" si="149"/>
        <v>#DIV/0!</v>
      </c>
      <c r="AA1148" s="494" t="e">
        <f t="shared" si="113"/>
        <v>#DIV/0!</v>
      </c>
      <c r="AB1148" s="494" t="e">
        <f t="shared" si="114"/>
        <v>#DIV/0!</v>
      </c>
      <c r="AC1148" s="494">
        <f t="shared" si="115"/>
        <v>0</v>
      </c>
      <c r="AD1148" s="494">
        <f t="shared" si="116"/>
        <v>0</v>
      </c>
      <c r="AE1148" s="494" t="e">
        <f t="shared" si="117"/>
        <v>#DIV/0!</v>
      </c>
      <c r="AF1148" s="494" t="e">
        <f t="shared" si="118"/>
        <v>#DIV/0!</v>
      </c>
      <c r="AG1148" s="494">
        <f t="shared" si="150"/>
        <v>0</v>
      </c>
      <c r="AH1148" s="494" t="e">
        <f t="shared" si="151"/>
        <v>#DIV/0!</v>
      </c>
      <c r="AI1148" s="494">
        <f t="shared" si="119"/>
        <v>0</v>
      </c>
      <c r="AJ1148" s="494" t="e">
        <f t="shared" si="152"/>
        <v>#DIV/0!</v>
      </c>
      <c r="AK1148" s="494" t="e">
        <f t="shared" si="153"/>
        <v>#DIV/0!</v>
      </c>
      <c r="AL1148" s="494" t="e">
        <f t="shared" si="120"/>
        <v>#DIV/0!</v>
      </c>
      <c r="AM1148" s="494">
        <f t="shared" si="154"/>
        <v>1</v>
      </c>
      <c r="AN1148" s="494" t="e">
        <f t="shared" si="155"/>
        <v>#DIV/0!</v>
      </c>
      <c r="AO1148" s="587">
        <f t="shared" si="156"/>
        <v>0</v>
      </c>
      <c r="AP1148" s="494">
        <f t="shared" si="121"/>
        <v>0</v>
      </c>
      <c r="AQ1148" s="494" t="e">
        <f t="shared" si="157"/>
        <v>#DIV/0!</v>
      </c>
      <c r="AR1148" s="494"/>
      <c r="AS1148" s="494"/>
      <c r="AT1148" s="494"/>
      <c r="AU1148" s="494">
        <f t="shared" si="122"/>
        <v>0</v>
      </c>
      <c r="AV1148" s="494">
        <f t="shared" si="122"/>
        <v>0</v>
      </c>
      <c r="AW1148" s="494"/>
      <c r="AX1148" s="494"/>
      <c r="AY1148" s="494"/>
      <c r="AZ1148" s="494"/>
      <c r="BA1148" s="494"/>
      <c r="BB1148" s="494" t="e">
        <f t="shared" si="123"/>
        <v>#DIV/0!</v>
      </c>
      <c r="BC1148" s="494" t="e">
        <f t="shared" si="158"/>
        <v>#DIV/0!</v>
      </c>
      <c r="BD1148" s="494" t="e">
        <f t="shared" si="124"/>
        <v>#DIV/0!</v>
      </c>
      <c r="BE1148" s="494" t="e">
        <f t="shared" si="125"/>
        <v>#DIV/0!</v>
      </c>
      <c r="BF1148" s="494" t="e">
        <f t="shared" si="126"/>
        <v>#DIV/0!</v>
      </c>
      <c r="BG1148" s="494"/>
      <c r="BH1148" s="494" t="e">
        <f t="shared" si="127"/>
        <v>#DIV/0!</v>
      </c>
      <c r="BI1148" s="494" t="e">
        <f t="shared" si="128"/>
        <v>#DIV/0!</v>
      </c>
      <c r="BJ1148" s="494">
        <f t="shared" si="129"/>
        <v>0</v>
      </c>
      <c r="BK1148" s="494">
        <f t="shared" si="130"/>
        <v>0</v>
      </c>
      <c r="BL1148" s="494" t="e">
        <f t="shared" si="131"/>
        <v>#DIV/0!</v>
      </c>
      <c r="BM1148" s="494">
        <f t="shared" si="132"/>
        <v>0</v>
      </c>
      <c r="BN1148" s="494">
        <f t="shared" si="133"/>
        <v>0</v>
      </c>
      <c r="BO1148" s="494" t="e">
        <f t="shared" si="134"/>
        <v>#DIV/0!</v>
      </c>
      <c r="BP1148" s="494"/>
      <c r="BQ1148" s="494">
        <f t="shared" si="135"/>
        <v>0</v>
      </c>
      <c r="BR1148" s="494">
        <f t="shared" si="159"/>
        <v>0</v>
      </c>
      <c r="BS1148" s="494">
        <f t="shared" si="136"/>
        <v>0</v>
      </c>
      <c r="BT1148" s="494">
        <f t="shared" si="160"/>
        <v>0</v>
      </c>
      <c r="BU1148" s="494" t="e">
        <f t="shared" si="137"/>
        <v>#DIV/0!</v>
      </c>
      <c r="BV1148" s="494">
        <f t="shared" si="161"/>
        <v>0</v>
      </c>
      <c r="BW1148" s="494">
        <f t="shared" si="138"/>
        <v>0</v>
      </c>
      <c r="BX1148" s="494">
        <f t="shared" si="162"/>
        <v>0</v>
      </c>
      <c r="BY1148" s="494" t="e">
        <f t="shared" si="139"/>
        <v>#DIV/0!</v>
      </c>
      <c r="BZ1148" s="494">
        <f t="shared" si="140"/>
        <v>0</v>
      </c>
      <c r="CA1148" s="494"/>
      <c r="CB1148" s="494"/>
      <c r="CC1148" s="494"/>
      <c r="CD1148" s="494">
        <v>18</v>
      </c>
      <c r="CE1148" s="494">
        <f t="shared" si="141"/>
        <v>0</v>
      </c>
      <c r="CF1148" s="494">
        <f t="shared" si="142"/>
        <v>0</v>
      </c>
    </row>
    <row r="1149" spans="1:84" ht="13.5" hidden="1" customHeight="1">
      <c r="A1149" s="319"/>
      <c r="B1149" s="319" t="s">
        <v>5390</v>
      </c>
      <c r="C1149" s="319">
        <f>'Carga e Rede'!C331</f>
        <v>708</v>
      </c>
      <c r="D1149" s="494">
        <f>'Carga e Rede'!AK331</f>
        <v>0</v>
      </c>
      <c r="E1149" s="494">
        <f>'Carga e Rede'!AL331</f>
        <v>0</v>
      </c>
      <c r="F1149" s="494">
        <f t="shared" si="100"/>
        <v>0</v>
      </c>
      <c r="G1149" s="494">
        <f t="shared" si="101"/>
        <v>0</v>
      </c>
      <c r="H1149" s="494">
        <f t="shared" si="102"/>
        <v>0</v>
      </c>
      <c r="I1149" s="494">
        <f t="shared" si="103"/>
        <v>0</v>
      </c>
      <c r="J1149" s="494">
        <f t="shared" si="104"/>
        <v>0</v>
      </c>
      <c r="K1149" s="494">
        <f t="shared" si="105"/>
        <v>0</v>
      </c>
      <c r="L1149" s="494">
        <f t="shared" si="143"/>
        <v>0</v>
      </c>
      <c r="M1149" s="494">
        <f t="shared" si="144"/>
        <v>0</v>
      </c>
      <c r="N1149" s="494">
        <f t="shared" si="145"/>
        <v>0</v>
      </c>
      <c r="O1149" s="494">
        <f t="shared" si="146"/>
        <v>0</v>
      </c>
      <c r="P1149" s="494">
        <f t="shared" si="106"/>
        <v>0.61533476751082972</v>
      </c>
      <c r="Q1149" s="494">
        <f t="shared" si="147"/>
        <v>0</v>
      </c>
      <c r="R1149" s="494">
        <f t="shared" si="107"/>
        <v>0</v>
      </c>
      <c r="S1149" s="494">
        <f t="shared" si="148"/>
        <v>0</v>
      </c>
      <c r="T1149" s="494">
        <f t="shared" si="108"/>
        <v>0</v>
      </c>
      <c r="U1149" s="494">
        <f t="shared" si="109"/>
        <v>0</v>
      </c>
      <c r="V1149" s="494">
        <f t="shared" si="110"/>
        <v>0</v>
      </c>
      <c r="W1149" s="494">
        <f t="shared" si="110"/>
        <v>0</v>
      </c>
      <c r="X1149" s="494" t="e">
        <f t="shared" si="111"/>
        <v>#DIV/0!</v>
      </c>
      <c r="Y1149" s="494" t="e">
        <f t="shared" si="112"/>
        <v>#DIV/0!</v>
      </c>
      <c r="Z1149" s="494" t="e">
        <f t="shared" si="149"/>
        <v>#DIV/0!</v>
      </c>
      <c r="AA1149" s="494" t="e">
        <f t="shared" si="113"/>
        <v>#DIV/0!</v>
      </c>
      <c r="AB1149" s="494" t="e">
        <f t="shared" si="114"/>
        <v>#DIV/0!</v>
      </c>
      <c r="AC1149" s="494">
        <f t="shared" si="115"/>
        <v>0</v>
      </c>
      <c r="AD1149" s="494">
        <f t="shared" si="116"/>
        <v>0</v>
      </c>
      <c r="AE1149" s="494" t="e">
        <f t="shared" si="117"/>
        <v>#DIV/0!</v>
      </c>
      <c r="AF1149" s="494" t="e">
        <f t="shared" si="118"/>
        <v>#DIV/0!</v>
      </c>
      <c r="AG1149" s="494">
        <f t="shared" si="150"/>
        <v>0</v>
      </c>
      <c r="AH1149" s="494" t="e">
        <f t="shared" si="151"/>
        <v>#DIV/0!</v>
      </c>
      <c r="AI1149" s="494">
        <f t="shared" si="119"/>
        <v>0</v>
      </c>
      <c r="AJ1149" s="494" t="e">
        <f t="shared" si="152"/>
        <v>#DIV/0!</v>
      </c>
      <c r="AK1149" s="494" t="e">
        <f t="shared" si="153"/>
        <v>#DIV/0!</v>
      </c>
      <c r="AL1149" s="494" t="e">
        <f t="shared" si="120"/>
        <v>#DIV/0!</v>
      </c>
      <c r="AM1149" s="494">
        <f t="shared" si="154"/>
        <v>1</v>
      </c>
      <c r="AN1149" s="494" t="e">
        <f t="shared" si="155"/>
        <v>#DIV/0!</v>
      </c>
      <c r="AO1149" s="587">
        <f t="shared" si="156"/>
        <v>0</v>
      </c>
      <c r="AP1149" s="494">
        <f t="shared" si="121"/>
        <v>0</v>
      </c>
      <c r="AQ1149" s="494" t="e">
        <f t="shared" si="157"/>
        <v>#DIV/0!</v>
      </c>
      <c r="AR1149" s="494"/>
      <c r="AS1149" s="494"/>
      <c r="AT1149" s="494"/>
      <c r="AU1149" s="494">
        <f t="shared" si="122"/>
        <v>0</v>
      </c>
      <c r="AV1149" s="494">
        <f t="shared" si="122"/>
        <v>0</v>
      </c>
      <c r="AW1149" s="494"/>
      <c r="AX1149" s="494"/>
      <c r="AY1149" s="494"/>
      <c r="AZ1149" s="494"/>
      <c r="BA1149" s="494"/>
      <c r="BB1149" s="494" t="e">
        <f t="shared" si="123"/>
        <v>#DIV/0!</v>
      </c>
      <c r="BC1149" s="494" t="e">
        <f t="shared" si="158"/>
        <v>#DIV/0!</v>
      </c>
      <c r="BD1149" s="494" t="e">
        <f t="shared" si="124"/>
        <v>#DIV/0!</v>
      </c>
      <c r="BE1149" s="494" t="e">
        <f t="shared" si="125"/>
        <v>#DIV/0!</v>
      </c>
      <c r="BF1149" s="494" t="e">
        <f t="shared" si="126"/>
        <v>#DIV/0!</v>
      </c>
      <c r="BG1149" s="494"/>
      <c r="BH1149" s="494" t="e">
        <f t="shared" si="127"/>
        <v>#DIV/0!</v>
      </c>
      <c r="BI1149" s="494" t="e">
        <f t="shared" si="128"/>
        <v>#DIV/0!</v>
      </c>
      <c r="BJ1149" s="494">
        <f t="shared" si="129"/>
        <v>0</v>
      </c>
      <c r="BK1149" s="494">
        <f t="shared" si="130"/>
        <v>0</v>
      </c>
      <c r="BL1149" s="494" t="e">
        <f t="shared" si="131"/>
        <v>#DIV/0!</v>
      </c>
      <c r="BM1149" s="494">
        <f t="shared" si="132"/>
        <v>0</v>
      </c>
      <c r="BN1149" s="494">
        <f t="shared" si="133"/>
        <v>0</v>
      </c>
      <c r="BO1149" s="494" t="e">
        <f t="shared" si="134"/>
        <v>#DIV/0!</v>
      </c>
      <c r="BP1149" s="494"/>
      <c r="BQ1149" s="494">
        <f t="shared" si="135"/>
        <v>0</v>
      </c>
      <c r="BR1149" s="494">
        <f t="shared" si="159"/>
        <v>0</v>
      </c>
      <c r="BS1149" s="494">
        <f t="shared" si="136"/>
        <v>0</v>
      </c>
      <c r="BT1149" s="494">
        <f t="shared" si="160"/>
        <v>0</v>
      </c>
      <c r="BU1149" s="494" t="e">
        <f t="shared" si="137"/>
        <v>#DIV/0!</v>
      </c>
      <c r="BV1149" s="494">
        <f t="shared" si="161"/>
        <v>0</v>
      </c>
      <c r="BW1149" s="494">
        <f t="shared" si="138"/>
        <v>0</v>
      </c>
      <c r="BX1149" s="494">
        <f t="shared" si="162"/>
        <v>0</v>
      </c>
      <c r="BY1149" s="494" t="e">
        <f t="shared" si="139"/>
        <v>#DIV/0!</v>
      </c>
      <c r="BZ1149" s="494">
        <f t="shared" si="140"/>
        <v>0</v>
      </c>
      <c r="CA1149" s="494"/>
      <c r="CB1149" s="494"/>
      <c r="CC1149" s="494"/>
      <c r="CD1149" s="494">
        <v>19</v>
      </c>
      <c r="CE1149" s="494">
        <f t="shared" si="141"/>
        <v>0</v>
      </c>
      <c r="CF1149" s="494">
        <f t="shared" si="142"/>
        <v>0</v>
      </c>
    </row>
    <row r="1150" spans="1:84" ht="13.5" hidden="1" customHeight="1">
      <c r="A1150" s="319"/>
      <c r="B1150" s="319" t="s">
        <v>3389</v>
      </c>
      <c r="C1150" s="319">
        <f>'Carga e Rede'!C332</f>
        <v>732</v>
      </c>
      <c r="D1150" s="494">
        <f>'Carga e Rede'!AK332</f>
        <v>0</v>
      </c>
      <c r="E1150" s="494">
        <f>'Carga e Rede'!AL332</f>
        <v>0</v>
      </c>
      <c r="F1150" s="494">
        <f t="shared" si="100"/>
        <v>0</v>
      </c>
      <c r="G1150" s="494">
        <f t="shared" si="101"/>
        <v>0</v>
      </c>
      <c r="H1150" s="494">
        <f t="shared" si="102"/>
        <v>0</v>
      </c>
      <c r="I1150" s="494">
        <f t="shared" si="103"/>
        <v>0</v>
      </c>
      <c r="J1150" s="494">
        <f t="shared" si="104"/>
        <v>0</v>
      </c>
      <c r="K1150" s="494">
        <f t="shared" si="105"/>
        <v>0</v>
      </c>
      <c r="L1150" s="494">
        <f t="shared" si="143"/>
        <v>0</v>
      </c>
      <c r="M1150" s="494">
        <f t="shared" si="144"/>
        <v>0</v>
      </c>
      <c r="N1150" s="494">
        <f t="shared" si="145"/>
        <v>0</v>
      </c>
      <c r="O1150" s="494">
        <f t="shared" si="146"/>
        <v>0</v>
      </c>
      <c r="P1150" s="494">
        <f t="shared" si="106"/>
        <v>0.61533476751082972</v>
      </c>
      <c r="Q1150" s="494">
        <f t="shared" si="147"/>
        <v>0</v>
      </c>
      <c r="R1150" s="494">
        <f t="shared" si="107"/>
        <v>0</v>
      </c>
      <c r="S1150" s="494">
        <f t="shared" si="148"/>
        <v>0</v>
      </c>
      <c r="T1150" s="494">
        <f t="shared" si="108"/>
        <v>0</v>
      </c>
      <c r="U1150" s="494">
        <f t="shared" si="109"/>
        <v>0</v>
      </c>
      <c r="V1150" s="494">
        <f t="shared" si="110"/>
        <v>0</v>
      </c>
      <c r="W1150" s="494">
        <f t="shared" si="110"/>
        <v>0</v>
      </c>
      <c r="X1150" s="494" t="e">
        <f t="shared" si="111"/>
        <v>#DIV/0!</v>
      </c>
      <c r="Y1150" s="494" t="e">
        <f t="shared" si="112"/>
        <v>#DIV/0!</v>
      </c>
      <c r="Z1150" s="494" t="e">
        <f t="shared" si="149"/>
        <v>#DIV/0!</v>
      </c>
      <c r="AA1150" s="494" t="e">
        <f t="shared" si="113"/>
        <v>#DIV/0!</v>
      </c>
      <c r="AB1150" s="494" t="e">
        <f t="shared" si="114"/>
        <v>#DIV/0!</v>
      </c>
      <c r="AC1150" s="494">
        <f t="shared" si="115"/>
        <v>0</v>
      </c>
      <c r="AD1150" s="494">
        <f t="shared" si="116"/>
        <v>0</v>
      </c>
      <c r="AE1150" s="494" t="e">
        <f t="shared" si="117"/>
        <v>#DIV/0!</v>
      </c>
      <c r="AF1150" s="494" t="e">
        <f t="shared" si="118"/>
        <v>#DIV/0!</v>
      </c>
      <c r="AG1150" s="494">
        <f t="shared" si="150"/>
        <v>0</v>
      </c>
      <c r="AH1150" s="494" t="e">
        <f t="shared" si="151"/>
        <v>#DIV/0!</v>
      </c>
      <c r="AI1150" s="494">
        <f t="shared" si="119"/>
        <v>0</v>
      </c>
      <c r="AJ1150" s="494" t="e">
        <f t="shared" si="152"/>
        <v>#DIV/0!</v>
      </c>
      <c r="AK1150" s="494" t="e">
        <f t="shared" si="153"/>
        <v>#DIV/0!</v>
      </c>
      <c r="AL1150" s="494" t="e">
        <f t="shared" si="120"/>
        <v>#DIV/0!</v>
      </c>
      <c r="AM1150" s="494">
        <f t="shared" si="154"/>
        <v>1</v>
      </c>
      <c r="AN1150" s="494" t="e">
        <f t="shared" si="155"/>
        <v>#DIV/0!</v>
      </c>
      <c r="AO1150" s="587">
        <f t="shared" si="156"/>
        <v>0</v>
      </c>
      <c r="AP1150" s="494">
        <f t="shared" si="121"/>
        <v>0</v>
      </c>
      <c r="AQ1150" s="494" t="e">
        <f t="shared" si="157"/>
        <v>#DIV/0!</v>
      </c>
      <c r="AR1150" s="494"/>
      <c r="AS1150" s="494"/>
      <c r="AT1150" s="494"/>
      <c r="AU1150" s="494">
        <f t="shared" si="122"/>
        <v>0</v>
      </c>
      <c r="AV1150" s="494">
        <f t="shared" si="122"/>
        <v>0</v>
      </c>
      <c r="AW1150" s="494"/>
      <c r="AX1150" s="494"/>
      <c r="AY1150" s="494"/>
      <c r="AZ1150" s="494"/>
      <c r="BA1150" s="494"/>
      <c r="BB1150" s="494" t="e">
        <f t="shared" si="123"/>
        <v>#DIV/0!</v>
      </c>
      <c r="BC1150" s="494" t="e">
        <f t="shared" si="158"/>
        <v>#DIV/0!</v>
      </c>
      <c r="BD1150" s="494" t="e">
        <f t="shared" si="124"/>
        <v>#DIV/0!</v>
      </c>
      <c r="BE1150" s="494" t="e">
        <f t="shared" si="125"/>
        <v>#DIV/0!</v>
      </c>
      <c r="BF1150" s="494" t="e">
        <f t="shared" si="126"/>
        <v>#DIV/0!</v>
      </c>
      <c r="BG1150" s="494"/>
      <c r="BH1150" s="494" t="e">
        <f t="shared" si="127"/>
        <v>#DIV/0!</v>
      </c>
      <c r="BI1150" s="494" t="e">
        <f t="shared" si="128"/>
        <v>#DIV/0!</v>
      </c>
      <c r="BJ1150" s="494">
        <f t="shared" si="129"/>
        <v>0</v>
      </c>
      <c r="BK1150" s="494">
        <f t="shared" si="130"/>
        <v>0</v>
      </c>
      <c r="BL1150" s="494" t="e">
        <f t="shared" si="131"/>
        <v>#DIV/0!</v>
      </c>
      <c r="BM1150" s="494">
        <f t="shared" si="132"/>
        <v>0</v>
      </c>
      <c r="BN1150" s="494">
        <f t="shared" si="133"/>
        <v>0</v>
      </c>
      <c r="BO1150" s="494" t="e">
        <f t="shared" si="134"/>
        <v>#DIV/0!</v>
      </c>
      <c r="BP1150" s="494"/>
      <c r="BQ1150" s="494">
        <f t="shared" si="135"/>
        <v>0</v>
      </c>
      <c r="BR1150" s="494">
        <f t="shared" si="159"/>
        <v>0</v>
      </c>
      <c r="BS1150" s="494">
        <f t="shared" si="136"/>
        <v>0</v>
      </c>
      <c r="BT1150" s="494">
        <f t="shared" si="160"/>
        <v>0</v>
      </c>
      <c r="BU1150" s="494" t="e">
        <f t="shared" si="137"/>
        <v>#DIV/0!</v>
      </c>
      <c r="BV1150" s="494">
        <f t="shared" si="161"/>
        <v>0</v>
      </c>
      <c r="BW1150" s="494">
        <f t="shared" si="138"/>
        <v>0</v>
      </c>
      <c r="BX1150" s="494">
        <f t="shared" si="162"/>
        <v>0</v>
      </c>
      <c r="BY1150" s="494" t="e">
        <f t="shared" si="139"/>
        <v>#DIV/0!</v>
      </c>
      <c r="BZ1150" s="494">
        <f t="shared" si="140"/>
        <v>0</v>
      </c>
      <c r="CA1150" s="494"/>
      <c r="CB1150" s="494"/>
      <c r="CC1150" s="494"/>
      <c r="CD1150" s="494">
        <v>20</v>
      </c>
      <c r="CE1150" s="494">
        <f t="shared" si="141"/>
        <v>0</v>
      </c>
      <c r="CF1150" s="494">
        <f t="shared" si="142"/>
        <v>0</v>
      </c>
    </row>
    <row r="1151" spans="1:84" ht="13.5" hidden="1" customHeight="1">
      <c r="A1151" s="319"/>
      <c r="B1151" s="319" t="s">
        <v>3354</v>
      </c>
      <c r="C1151" s="319">
        <f>'Carga e Rede'!C333</f>
        <v>143</v>
      </c>
      <c r="D1151" s="494">
        <f>'Carga e Rede'!AK333</f>
        <v>0</v>
      </c>
      <c r="E1151" s="494">
        <f>'Carga e Rede'!AL333</f>
        <v>0</v>
      </c>
      <c r="F1151" s="494">
        <f t="shared" si="100"/>
        <v>0</v>
      </c>
      <c r="G1151" s="494">
        <f t="shared" si="101"/>
        <v>0</v>
      </c>
      <c r="H1151" s="494">
        <f t="shared" si="102"/>
        <v>0</v>
      </c>
      <c r="I1151" s="494">
        <f t="shared" si="103"/>
        <v>0</v>
      </c>
      <c r="J1151" s="494">
        <f t="shared" si="104"/>
        <v>0</v>
      </c>
      <c r="K1151" s="494">
        <f t="shared" si="105"/>
        <v>0</v>
      </c>
      <c r="L1151" s="494">
        <f t="shared" si="143"/>
        <v>0</v>
      </c>
      <c r="M1151" s="494">
        <f t="shared" si="144"/>
        <v>0</v>
      </c>
      <c r="N1151" s="494">
        <f t="shared" si="145"/>
        <v>0</v>
      </c>
      <c r="O1151" s="494">
        <f t="shared" si="146"/>
        <v>0</v>
      </c>
      <c r="P1151" s="494">
        <f t="shared" si="106"/>
        <v>0.61533476751082972</v>
      </c>
      <c r="Q1151" s="494">
        <f t="shared" si="147"/>
        <v>0</v>
      </c>
      <c r="R1151" s="494">
        <f t="shared" si="107"/>
        <v>0</v>
      </c>
      <c r="S1151" s="494">
        <f t="shared" si="148"/>
        <v>0</v>
      </c>
      <c r="T1151" s="494">
        <f t="shared" si="108"/>
        <v>0</v>
      </c>
      <c r="U1151" s="494">
        <f t="shared" si="109"/>
        <v>0</v>
      </c>
      <c r="V1151" s="494">
        <f t="shared" si="110"/>
        <v>0</v>
      </c>
      <c r="W1151" s="494">
        <f t="shared" si="110"/>
        <v>0</v>
      </c>
      <c r="X1151" s="494" t="e">
        <f t="shared" si="111"/>
        <v>#DIV/0!</v>
      </c>
      <c r="Y1151" s="494" t="e">
        <f t="shared" si="112"/>
        <v>#DIV/0!</v>
      </c>
      <c r="Z1151" s="494" t="e">
        <f t="shared" si="149"/>
        <v>#DIV/0!</v>
      </c>
      <c r="AA1151" s="494" t="e">
        <f t="shared" si="113"/>
        <v>#DIV/0!</v>
      </c>
      <c r="AB1151" s="494" t="e">
        <f t="shared" si="114"/>
        <v>#DIV/0!</v>
      </c>
      <c r="AC1151" s="494">
        <f t="shared" si="115"/>
        <v>0</v>
      </c>
      <c r="AD1151" s="494">
        <f t="shared" si="116"/>
        <v>0</v>
      </c>
      <c r="AE1151" s="494" t="e">
        <f t="shared" si="117"/>
        <v>#DIV/0!</v>
      </c>
      <c r="AF1151" s="494" t="e">
        <f t="shared" si="118"/>
        <v>#DIV/0!</v>
      </c>
      <c r="AG1151" s="494">
        <f t="shared" si="150"/>
        <v>0</v>
      </c>
      <c r="AH1151" s="494" t="e">
        <f t="shared" si="151"/>
        <v>#DIV/0!</v>
      </c>
      <c r="AI1151" s="494">
        <f t="shared" si="119"/>
        <v>0</v>
      </c>
      <c r="AJ1151" s="494" t="e">
        <f t="shared" si="152"/>
        <v>#DIV/0!</v>
      </c>
      <c r="AK1151" s="494" t="e">
        <f t="shared" si="153"/>
        <v>#DIV/0!</v>
      </c>
      <c r="AL1151" s="494" t="e">
        <f t="shared" si="120"/>
        <v>#DIV/0!</v>
      </c>
      <c r="AM1151" s="494">
        <f t="shared" si="154"/>
        <v>1</v>
      </c>
      <c r="AN1151" s="494" t="e">
        <f t="shared" si="155"/>
        <v>#DIV/0!</v>
      </c>
      <c r="AO1151" s="587">
        <f t="shared" si="156"/>
        <v>0</v>
      </c>
      <c r="AP1151" s="494">
        <f t="shared" si="121"/>
        <v>0</v>
      </c>
      <c r="AQ1151" s="494" t="e">
        <f t="shared" si="157"/>
        <v>#DIV/0!</v>
      </c>
      <c r="AR1151" s="494"/>
      <c r="AS1151" s="494"/>
      <c r="AT1151" s="494"/>
      <c r="AU1151" s="494">
        <f t="shared" si="122"/>
        <v>0</v>
      </c>
      <c r="AV1151" s="494">
        <f t="shared" si="122"/>
        <v>0</v>
      </c>
      <c r="AW1151" s="494"/>
      <c r="AX1151" s="494"/>
      <c r="AY1151" s="494"/>
      <c r="AZ1151" s="494"/>
      <c r="BA1151" s="494"/>
      <c r="BB1151" s="494" t="e">
        <f t="shared" si="123"/>
        <v>#DIV/0!</v>
      </c>
      <c r="BC1151" s="494" t="e">
        <f t="shared" si="158"/>
        <v>#DIV/0!</v>
      </c>
      <c r="BD1151" s="494" t="e">
        <f t="shared" si="124"/>
        <v>#DIV/0!</v>
      </c>
      <c r="BE1151" s="494" t="e">
        <f t="shared" si="125"/>
        <v>#DIV/0!</v>
      </c>
      <c r="BF1151" s="494" t="e">
        <f t="shared" si="126"/>
        <v>#DIV/0!</v>
      </c>
      <c r="BG1151" s="494"/>
      <c r="BH1151" s="494" t="e">
        <f t="shared" si="127"/>
        <v>#DIV/0!</v>
      </c>
      <c r="BI1151" s="494" t="e">
        <f t="shared" si="128"/>
        <v>#DIV/0!</v>
      </c>
      <c r="BJ1151" s="494">
        <f t="shared" si="129"/>
        <v>0</v>
      </c>
      <c r="BK1151" s="494">
        <f t="shared" si="130"/>
        <v>0</v>
      </c>
      <c r="BL1151" s="494" t="e">
        <f t="shared" si="131"/>
        <v>#DIV/0!</v>
      </c>
      <c r="BM1151" s="494">
        <f t="shared" si="132"/>
        <v>0</v>
      </c>
      <c r="BN1151" s="494">
        <f t="shared" si="133"/>
        <v>0</v>
      </c>
      <c r="BO1151" s="494" t="e">
        <f t="shared" si="134"/>
        <v>#DIV/0!</v>
      </c>
      <c r="BP1151" s="494"/>
      <c r="BQ1151" s="494">
        <f t="shared" si="135"/>
        <v>0</v>
      </c>
      <c r="BR1151" s="494">
        <f t="shared" si="159"/>
        <v>0</v>
      </c>
      <c r="BS1151" s="494">
        <f t="shared" si="136"/>
        <v>0</v>
      </c>
      <c r="BT1151" s="494">
        <f t="shared" si="160"/>
        <v>0</v>
      </c>
      <c r="BU1151" s="494" t="e">
        <f t="shared" si="137"/>
        <v>#DIV/0!</v>
      </c>
      <c r="BV1151" s="494">
        <f t="shared" si="161"/>
        <v>0</v>
      </c>
      <c r="BW1151" s="494">
        <f t="shared" si="138"/>
        <v>0</v>
      </c>
      <c r="BX1151" s="494">
        <f t="shared" si="162"/>
        <v>0</v>
      </c>
      <c r="BY1151" s="494" t="e">
        <f t="shared" si="139"/>
        <v>#DIV/0!</v>
      </c>
      <c r="BZ1151" s="494">
        <f t="shared" si="140"/>
        <v>0</v>
      </c>
      <c r="CA1151" s="494"/>
      <c r="CB1151" s="494"/>
      <c r="CC1151" s="494"/>
      <c r="CD1151" s="494">
        <v>21</v>
      </c>
      <c r="CE1151" s="494">
        <f t="shared" si="141"/>
        <v>0</v>
      </c>
      <c r="CF1151" s="494">
        <f t="shared" si="142"/>
        <v>0</v>
      </c>
    </row>
    <row r="1152" spans="1:84" ht="13.5" hidden="1" customHeight="1">
      <c r="A1152" s="319"/>
      <c r="B1152" s="319"/>
      <c r="C1152" s="319"/>
      <c r="D1152" s="319"/>
      <c r="E1152" s="319"/>
      <c r="F1152" s="319"/>
      <c r="G1152" s="319"/>
      <c r="H1152" s="319"/>
      <c r="I1152" s="319"/>
      <c r="J1152" s="319"/>
      <c r="K1152" s="319" t="s">
        <v>2747</v>
      </c>
      <c r="L1152" s="319"/>
      <c r="M1152" s="319"/>
      <c r="N1152" s="319"/>
      <c r="O1152" s="319"/>
      <c r="P1152" s="319"/>
      <c r="Q1152" s="319">
        <v>1</v>
      </c>
      <c r="R1152" s="319">
        <v>2</v>
      </c>
      <c r="S1152" s="319">
        <v>3</v>
      </c>
      <c r="T1152" s="319"/>
      <c r="U1152" s="319"/>
      <c r="V1152" s="319"/>
      <c r="W1152" s="319"/>
      <c r="X1152" s="319"/>
      <c r="Y1152" s="319"/>
      <c r="Z1152" s="319"/>
      <c r="AA1152" s="319"/>
      <c r="AB1152" s="319"/>
      <c r="AC1152" s="319"/>
      <c r="AD1152" s="319"/>
      <c r="AE1152" s="319"/>
      <c r="AF1152" s="319"/>
      <c r="AG1152" s="319"/>
      <c r="AH1152" s="319"/>
      <c r="AI1152" s="319">
        <v>4</v>
      </c>
      <c r="AJ1152" s="319">
        <v>6</v>
      </c>
      <c r="AK1152" s="319">
        <v>7</v>
      </c>
      <c r="AL1152" s="319"/>
      <c r="AM1152" s="319"/>
      <c r="AN1152" s="319">
        <v>8</v>
      </c>
      <c r="AO1152" s="587"/>
      <c r="AP1152" s="319">
        <v>5</v>
      </c>
      <c r="AQ1152" s="319"/>
      <c r="AR1152" s="319"/>
      <c r="AS1152" s="319"/>
      <c r="AT1152" s="319"/>
      <c r="AU1152" s="319"/>
      <c r="AV1152" s="319"/>
      <c r="AW1152" s="319"/>
      <c r="AX1152" s="319"/>
      <c r="AY1152" s="319"/>
      <c r="AZ1152" s="319"/>
      <c r="BA1152" s="319"/>
      <c r="BB1152" s="319"/>
      <c r="BC1152" s="319"/>
      <c r="BD1152" s="319"/>
      <c r="BE1152" s="319"/>
      <c r="BF1152" s="319"/>
      <c r="BG1152" s="319"/>
      <c r="BH1152" s="319"/>
      <c r="BI1152" s="319"/>
      <c r="BJ1152" s="319"/>
      <c r="BK1152" s="319"/>
      <c r="BL1152" s="319"/>
      <c r="BM1152" s="319"/>
      <c r="BN1152" s="319"/>
      <c r="BO1152" s="319"/>
      <c r="BP1152" s="319"/>
      <c r="BQ1152" s="319"/>
      <c r="BR1152" s="319"/>
      <c r="BS1152" s="319">
        <v>11</v>
      </c>
      <c r="BT1152" s="319">
        <v>12</v>
      </c>
      <c r="BU1152" s="319">
        <v>13</v>
      </c>
      <c r="BV1152" s="319">
        <v>14</v>
      </c>
      <c r="BW1152" s="319"/>
      <c r="BX1152" s="319"/>
      <c r="BY1152" s="319"/>
      <c r="BZ1152" s="319"/>
      <c r="CA1152" s="319"/>
      <c r="CB1152" s="319"/>
      <c r="CC1152" s="319"/>
      <c r="CD1152" s="319"/>
      <c r="CE1152" s="319"/>
      <c r="CF1152" s="319"/>
    </row>
    <row r="1153" spans="1:84" ht="13.5" hidden="1" customHeight="1">
      <c r="A1153" s="319"/>
      <c r="B1153" s="319"/>
      <c r="C1153" s="319"/>
      <c r="D1153" s="319"/>
      <c r="E1153" s="319"/>
      <c r="F1153" s="319"/>
      <c r="G1153" s="319"/>
      <c r="H1153" s="319"/>
      <c r="I1153" s="319"/>
      <c r="J1153" s="319"/>
      <c r="K1153" s="319"/>
      <c r="L1153" s="319"/>
      <c r="M1153" s="319"/>
      <c r="N1153" s="319"/>
      <c r="O1153" s="319"/>
      <c r="P1153" s="319"/>
      <c r="Q1153" s="319"/>
      <c r="R1153" s="319"/>
      <c r="S1153" s="319"/>
      <c r="T1153" s="319"/>
      <c r="U1153" s="319"/>
      <c r="V1153" s="319"/>
      <c r="W1153" s="319"/>
      <c r="X1153" s="319"/>
      <c r="Y1153" s="319" t="s">
        <v>5887</v>
      </c>
      <c r="Z1153" s="319" t="s">
        <v>5887</v>
      </c>
      <c r="AA1153" s="319" t="s">
        <v>1567</v>
      </c>
      <c r="AB1153" s="319" t="s">
        <v>1567</v>
      </c>
      <c r="AC1153" s="319" t="s">
        <v>5888</v>
      </c>
      <c r="AD1153" s="319" t="s">
        <v>5888</v>
      </c>
      <c r="AE1153" s="319" t="s">
        <v>5889</v>
      </c>
      <c r="AF1153" s="319" t="s">
        <v>566</v>
      </c>
      <c r="AG1153" s="319" t="s">
        <v>566</v>
      </c>
      <c r="AH1153" s="319" t="s">
        <v>566</v>
      </c>
      <c r="AI1153" s="319" t="s">
        <v>5887</v>
      </c>
      <c r="AJ1153" s="319" t="s">
        <v>5889</v>
      </c>
      <c r="AK1153" s="319" t="s">
        <v>566</v>
      </c>
      <c r="AL1153" s="319"/>
      <c r="AM1153" s="319"/>
      <c r="AN1153" s="319" t="s">
        <v>1567</v>
      </c>
      <c r="AO1153" s="587"/>
      <c r="AP1153" s="319"/>
      <c r="AQ1153" s="319"/>
      <c r="AR1153" s="319"/>
      <c r="AS1153" s="319"/>
      <c r="AT1153" s="319"/>
      <c r="AU1153" s="319" t="s">
        <v>5887</v>
      </c>
      <c r="AV1153" s="319" t="s">
        <v>5888</v>
      </c>
      <c r="AW1153" s="319"/>
      <c r="AX1153" s="319"/>
      <c r="AY1153" s="319"/>
      <c r="AZ1153" s="319"/>
      <c r="BA1153" s="319"/>
      <c r="BB1153" s="319" t="s">
        <v>5889</v>
      </c>
      <c r="BC1153" s="319" t="s">
        <v>566</v>
      </c>
      <c r="BD1153" s="319" t="s">
        <v>1567</v>
      </c>
      <c r="BE1153" s="319"/>
      <c r="BF1153" s="319"/>
      <c r="BG1153" s="319"/>
      <c r="BH1153" s="319" t="s">
        <v>5887</v>
      </c>
      <c r="BI1153" s="319" t="s">
        <v>5887</v>
      </c>
      <c r="BJ1153" s="319" t="s">
        <v>5888</v>
      </c>
      <c r="BK1153" s="319" t="s">
        <v>5888</v>
      </c>
      <c r="BL1153" s="319" t="s">
        <v>5889</v>
      </c>
      <c r="BM1153" s="319" t="s">
        <v>566</v>
      </c>
      <c r="BN1153" s="319"/>
      <c r="BO1153" s="319" t="s">
        <v>5889</v>
      </c>
      <c r="BP1153" s="319"/>
      <c r="BQ1153" s="319"/>
      <c r="BR1153" s="319"/>
      <c r="BS1153" s="319"/>
      <c r="BT1153" s="319"/>
      <c r="BU1153" s="319"/>
      <c r="BV1153" s="319"/>
      <c r="BW1153" s="319"/>
      <c r="BX1153" s="319"/>
      <c r="BY1153" s="319"/>
      <c r="BZ1153" s="319"/>
      <c r="CA1153" s="319"/>
      <c r="CB1153" s="319"/>
      <c r="CC1153" s="319"/>
      <c r="CD1153" s="319"/>
      <c r="CE1153" s="319"/>
      <c r="CF1153" s="319"/>
    </row>
    <row r="1154" spans="1:84" ht="13.5" hidden="1" customHeight="1">
      <c r="A1154" s="319"/>
      <c r="B1154" s="319"/>
      <c r="C1154" s="319"/>
      <c r="D1154" s="319" t="s">
        <v>5504</v>
      </c>
      <c r="E1154" s="319" t="s">
        <v>5685</v>
      </c>
      <c r="F1154" s="319" t="s">
        <v>5503</v>
      </c>
      <c r="G1154" s="319" t="s">
        <v>5865</v>
      </c>
      <c r="H1154" s="319" t="s">
        <v>2329</v>
      </c>
      <c r="K1154" s="319"/>
      <c r="L1154" s="319"/>
      <c r="M1154" s="319"/>
      <c r="N1154" s="319"/>
      <c r="O1154" s="319"/>
      <c r="P1154" s="319"/>
      <c r="Q1154" s="319"/>
      <c r="R1154" s="319"/>
      <c r="S1154" s="319"/>
      <c r="T1154" s="319"/>
      <c r="U1154" s="319"/>
      <c r="V1154" s="319"/>
      <c r="W1154" s="319"/>
      <c r="X1154" s="319"/>
      <c r="Y1154" s="319"/>
      <c r="Z1154" s="319"/>
      <c r="AA1154" s="319"/>
      <c r="AB1154" s="319"/>
      <c r="AC1154" s="319"/>
      <c r="AD1154" s="319"/>
      <c r="AE1154" s="319"/>
      <c r="AF1154" s="319"/>
      <c r="AG1154" s="319"/>
      <c r="AH1154" s="319"/>
      <c r="AI1154" s="319"/>
      <c r="AJ1154" s="319"/>
      <c r="AK1154" s="319"/>
      <c r="AL1154" s="319"/>
      <c r="AM1154" s="319"/>
      <c r="AN1154" s="319"/>
      <c r="AO1154" s="587"/>
      <c r="AP1154" s="319"/>
      <c r="AQ1154" s="319"/>
      <c r="AR1154" s="319"/>
      <c r="AS1154" s="319"/>
      <c r="AT1154" s="319"/>
      <c r="AU1154" s="319"/>
      <c r="AV1154" s="319"/>
      <c r="AW1154" s="319"/>
      <c r="AX1154" s="319"/>
      <c r="AY1154" s="319"/>
      <c r="AZ1154" s="319"/>
      <c r="BA1154" s="319"/>
      <c r="BB1154" s="319"/>
      <c r="BC1154" s="319"/>
      <c r="BD1154" s="319"/>
      <c r="BE1154" s="319"/>
      <c r="BF1154" s="319"/>
      <c r="BG1154" s="319"/>
      <c r="BH1154" s="319"/>
      <c r="BI1154" s="319"/>
      <c r="BJ1154" s="319"/>
      <c r="BK1154" s="319"/>
      <c r="BL1154" s="319"/>
      <c r="BM1154" s="319"/>
      <c r="BN1154" s="319"/>
      <c r="BO1154" s="319"/>
      <c r="BP1154" s="319"/>
      <c r="BQ1154" s="319"/>
      <c r="BR1154" s="319"/>
      <c r="BS1154" s="319"/>
      <c r="BT1154" s="319"/>
      <c r="BU1154" s="319"/>
      <c r="BV1154" s="319"/>
      <c r="BW1154" s="319"/>
      <c r="BX1154" s="319"/>
      <c r="BY1154" s="319"/>
      <c r="BZ1154" s="319"/>
      <c r="CA1154" s="319"/>
      <c r="CB1154" s="319"/>
      <c r="CC1154" s="319"/>
      <c r="CD1154" s="319"/>
      <c r="CE1154" s="319"/>
      <c r="CF1154" s="319"/>
    </row>
    <row r="1155" spans="1:84" ht="13.5" hidden="1" customHeight="1">
      <c r="A1155" s="319">
        <v>1</v>
      </c>
      <c r="B1155" s="319" t="str">
        <f t="shared" ref="B1155:B1164" si="163">IF(ISERROR(VLOOKUP($A1155,$A$1175:$I$1291,9,FALSE)),$I$1187,VLOOKUP($A1155,$A$1175:$I$1291,9,FALSE))</f>
        <v xml:space="preserve">Biomassa </v>
      </c>
      <c r="C1155" s="319" t="str">
        <f t="shared" ref="C1155:C1164" si="164">VLOOKUP($A1155,$A$1175:$I$1291,3,FALSE)</f>
        <v>t</v>
      </c>
      <c r="D1155" s="319">
        <f t="shared" ref="D1155:D1164" si="165">VLOOKUP($A1155,$A$1175:$I$1291,7,FALSE)</f>
        <v>0</v>
      </c>
      <c r="E1155" s="319">
        <f t="shared" ref="E1155:E1164" si="166">VLOOKUP($A1155,$A$1175:$I$1291,8,FALSE)</f>
        <v>0</v>
      </c>
      <c r="F1155" s="319">
        <f t="shared" ref="F1155:F1164" si="167">VLOOKUP($A1155,$A$1175:$I$1291,5,FALSE)*VLOOKUP($A1155,$A$1175:$I$1291,6,FALSE)</f>
        <v>18444.143599999996</v>
      </c>
      <c r="G1155" s="319">
        <f>IF(ISERROR(F1155*D1155/1000),0,F1155*D1155/1000)</f>
        <v>0</v>
      </c>
      <c r="H1155" s="319">
        <f>IF(E1155=0,0,E1155/D1155)</f>
        <v>0</v>
      </c>
      <c r="I1155" s="319" t="str">
        <f>'Modelo Energético '!F1094</f>
        <v>Gas natural - m³</v>
      </c>
      <c r="J1155" s="319">
        <f>'Modelo Energético '!G1094</f>
        <v>0</v>
      </c>
      <c r="K1155" s="319">
        <f>'Modelo Energético '!H1094</f>
        <v>0</v>
      </c>
      <c r="L1155" s="319"/>
      <c r="M1155" s="319" t="b">
        <f>IF(A1155&lt;$A$1173,IF(ISERROR(VLOOKUP($A1155,$A$1175:$I$1291,2,FALSE)),$B$1187,VLOOKUP($A1155,$A$1175:$I$1291,2,FALSE)),FALSE)</f>
        <v>0</v>
      </c>
      <c r="N1155" s="319">
        <f ca="1">IF(OR(SUMIF('Análise Financeira'!$AH$61:$AH$78,M1155,$D$1155:$D$1164)&gt;0,M1155=FALSE),0,1)</f>
        <v>0</v>
      </c>
      <c r="O1155" s="319"/>
      <c r="P1155" s="319"/>
      <c r="Q1155" s="319"/>
      <c r="R1155" s="319"/>
      <c r="S1155" s="319"/>
      <c r="T1155" s="319"/>
      <c r="U1155" s="319"/>
      <c r="V1155" s="319"/>
      <c r="W1155" s="319"/>
      <c r="X1155" s="319"/>
      <c r="Y1155" s="319"/>
      <c r="Z1155" s="319"/>
      <c r="AA1155" s="319"/>
      <c r="AB1155" s="319"/>
      <c r="AC1155" s="319"/>
      <c r="AD1155" s="319"/>
      <c r="AE1155" s="319"/>
      <c r="AF1155" s="319"/>
      <c r="AG1155" s="319"/>
      <c r="AH1155" s="319"/>
      <c r="AI1155" s="319"/>
      <c r="AJ1155" s="319"/>
      <c r="AK1155" s="319"/>
      <c r="AL1155" s="319"/>
      <c r="AM1155" s="319"/>
      <c r="AN1155" s="319"/>
      <c r="AO1155" s="587"/>
      <c r="AP1155" s="319"/>
      <c r="AQ1155" s="319"/>
      <c r="AR1155" s="319"/>
      <c r="AS1155" s="319"/>
      <c r="AT1155" s="319"/>
      <c r="AU1155" s="319"/>
      <c r="AV1155" s="319"/>
      <c r="AW1155" s="319"/>
      <c r="AX1155" s="319"/>
      <c r="AY1155" s="319"/>
      <c r="AZ1155" s="319"/>
      <c r="BA1155" s="319"/>
      <c r="BB1155" s="319"/>
      <c r="BC1155" s="319"/>
      <c r="BD1155" s="319"/>
      <c r="BE1155" s="319"/>
      <c r="BF1155" s="319"/>
      <c r="BG1155" s="319"/>
      <c r="BH1155" s="319"/>
      <c r="BI1155" s="319"/>
      <c r="BJ1155" s="319"/>
      <c r="BK1155" s="319"/>
      <c r="BL1155" s="319"/>
      <c r="BM1155" s="319"/>
      <c r="BN1155" s="319"/>
      <c r="BO1155" s="319"/>
      <c r="BP1155" s="319"/>
      <c r="BQ1155" s="319"/>
      <c r="BR1155" s="319"/>
      <c r="BS1155" s="319"/>
      <c r="BT1155" s="319"/>
      <c r="BU1155" s="319"/>
      <c r="BV1155" s="319"/>
      <c r="BW1155" s="319"/>
      <c r="BX1155" s="319"/>
      <c r="BY1155" s="319"/>
      <c r="BZ1155" s="319"/>
      <c r="CA1155" s="319"/>
      <c r="CB1155" s="319"/>
      <c r="CC1155" s="319"/>
      <c r="CD1155" s="319"/>
      <c r="CE1155" s="319"/>
      <c r="CF1155" s="319"/>
    </row>
    <row r="1156" spans="1:84" ht="13.5" hidden="1" customHeight="1">
      <c r="A1156" s="319">
        <v>2</v>
      </c>
      <c r="B1156" s="319" t="str">
        <f t="shared" si="163"/>
        <v>Gás Natural</v>
      </c>
      <c r="C1156" s="319" t="e">
        <f t="shared" si="164"/>
        <v>#N/A</v>
      </c>
      <c r="D1156" s="319" t="e">
        <f t="shared" si="165"/>
        <v>#N/A</v>
      </c>
      <c r="E1156" s="319" t="e">
        <f t="shared" si="166"/>
        <v>#N/A</v>
      </c>
      <c r="F1156" s="319" t="e">
        <f t="shared" si="167"/>
        <v>#N/A</v>
      </c>
      <c r="G1156" s="319">
        <f t="shared" ref="G1156:G1164" si="168">IF(ISERROR(F1156*D1156/1000),0,F1156*D1156/1000)</f>
        <v>0</v>
      </c>
      <c r="H1156" s="319" t="e">
        <f t="shared" ref="H1156:H1164" si="169">IF(E1156=0,0,E1156/D1156)</f>
        <v>#N/A</v>
      </c>
      <c r="I1156" s="319" t="str">
        <f>'Modelo Energético '!F1095</f>
        <v>Eletricidade</v>
      </c>
      <c r="J1156" s="319">
        <f>'Modelo Energético '!G1095</f>
        <v>0</v>
      </c>
      <c r="K1156" s="319">
        <f>'Modelo Energético '!H1095</f>
        <v>0</v>
      </c>
      <c r="L1156" s="319"/>
      <c r="M1156" s="319" t="b">
        <f t="shared" ref="M1156:M1164" si="170">IF(A1156&lt;$A$1173,IF(ISERROR(VLOOKUP($A1156,$A$1175:$I$1291,2,FALSE)),$B$1187,VLOOKUP($A1156,$A$1175:$I$1291,2,FALSE)),FALSE)</f>
        <v>0</v>
      </c>
      <c r="N1156" s="319">
        <f ca="1">IF(OR(SUMIF('Análise Financeira'!$AH$61:$AH$78,M1156,$D$1155:$D$1164)&gt;0,M1156=FALSE),0,1)</f>
        <v>0</v>
      </c>
      <c r="O1156" s="319"/>
      <c r="P1156" s="319"/>
      <c r="Q1156" s="319"/>
      <c r="R1156" s="319"/>
      <c r="S1156" s="319"/>
      <c r="T1156" s="319"/>
      <c r="U1156" s="319"/>
      <c r="V1156" s="319"/>
      <c r="W1156" s="319"/>
      <c r="X1156" s="319"/>
      <c r="Y1156" s="319"/>
      <c r="Z1156" s="319"/>
      <c r="AA1156" s="319"/>
      <c r="AB1156" s="319"/>
      <c r="AC1156" s="319"/>
      <c r="AD1156" s="319"/>
      <c r="AE1156" s="319"/>
      <c r="AF1156" s="319"/>
      <c r="AG1156" s="319"/>
      <c r="AH1156" s="319"/>
      <c r="AI1156" s="319"/>
      <c r="AJ1156" s="319"/>
      <c r="AK1156" s="319"/>
      <c r="AL1156" s="319"/>
      <c r="AM1156" s="319"/>
      <c r="AN1156" s="319"/>
      <c r="AO1156" s="587"/>
      <c r="AP1156" s="319"/>
      <c r="AQ1156" s="319"/>
      <c r="AR1156" s="319"/>
      <c r="AS1156" s="319"/>
      <c r="AT1156" s="319"/>
      <c r="AU1156" s="319"/>
      <c r="AV1156" s="319"/>
      <c r="AW1156" s="319"/>
      <c r="AX1156" s="319"/>
      <c r="AY1156" s="319"/>
      <c r="AZ1156" s="319"/>
      <c r="BA1156" s="319"/>
      <c r="BB1156" s="319"/>
      <c r="BC1156" s="319"/>
      <c r="BD1156" s="319"/>
      <c r="BE1156" s="319"/>
      <c r="BF1156" s="319"/>
      <c r="BG1156" s="319"/>
      <c r="BH1156" s="319"/>
      <c r="BI1156" s="319"/>
      <c r="BJ1156" s="319"/>
      <c r="BK1156" s="319"/>
      <c r="BL1156" s="319"/>
      <c r="BM1156" s="319"/>
      <c r="BN1156" s="319"/>
      <c r="BO1156" s="319"/>
      <c r="BP1156" s="319"/>
      <c r="BQ1156" s="319"/>
      <c r="BR1156" s="319"/>
      <c r="BS1156" s="319"/>
      <c r="BT1156" s="319"/>
      <c r="BU1156" s="319"/>
      <c r="BV1156" s="319"/>
      <c r="BW1156" s="319"/>
      <c r="BX1156" s="319"/>
      <c r="BY1156" s="319"/>
      <c r="BZ1156" s="319"/>
      <c r="CA1156" s="319"/>
      <c r="CB1156" s="319"/>
      <c r="CC1156" s="319"/>
      <c r="CD1156" s="319"/>
      <c r="CE1156" s="319"/>
      <c r="CF1156" s="319"/>
    </row>
    <row r="1157" spans="1:84" ht="13.5" hidden="1" customHeight="1">
      <c r="A1157" s="319">
        <v>3</v>
      </c>
      <c r="B1157" s="319" t="str">
        <f t="shared" si="163"/>
        <v>Gás Natural</v>
      </c>
      <c r="C1157" s="319" t="e">
        <f t="shared" si="164"/>
        <v>#N/A</v>
      </c>
      <c r="D1157" s="319" t="e">
        <f t="shared" si="165"/>
        <v>#N/A</v>
      </c>
      <c r="E1157" s="319" t="e">
        <f t="shared" si="166"/>
        <v>#N/A</v>
      </c>
      <c r="F1157" s="319" t="e">
        <f t="shared" si="167"/>
        <v>#N/A</v>
      </c>
      <c r="G1157" s="319">
        <f t="shared" si="168"/>
        <v>0</v>
      </c>
      <c r="H1157" s="319" t="e">
        <f t="shared" si="169"/>
        <v>#N/A</v>
      </c>
      <c r="I1157" s="319" t="str">
        <f>'Modelo Energético '!F1096</f>
        <v>Eletricidade</v>
      </c>
      <c r="J1157" s="319">
        <f>'Modelo Energético '!G1096</f>
        <v>0</v>
      </c>
      <c r="K1157" s="319">
        <f>'Modelo Energético '!H1096</f>
        <v>0</v>
      </c>
      <c r="L1157" s="319"/>
      <c r="M1157" s="319" t="b">
        <f t="shared" si="170"/>
        <v>0</v>
      </c>
      <c r="N1157" s="319">
        <f ca="1">IF(OR(SUMIF('Análise Financeira'!$AH$61:$AH$78,M1157,$D$1155:$D$1164)&gt;0,M1157=FALSE),0,1)</f>
        <v>0</v>
      </c>
      <c r="O1157" s="319"/>
      <c r="P1157" s="319"/>
      <c r="Q1157" s="319"/>
      <c r="R1157" s="319"/>
      <c r="S1157" s="319"/>
      <c r="T1157" s="319"/>
      <c r="U1157" s="319"/>
      <c r="V1157" s="319"/>
      <c r="W1157" s="319"/>
      <c r="X1157" s="319"/>
      <c r="Y1157" s="319"/>
      <c r="Z1157" s="319"/>
      <c r="AA1157" s="319"/>
      <c r="AB1157" s="319"/>
      <c r="AC1157" s="319"/>
      <c r="AD1157" s="319"/>
      <c r="AE1157" s="319"/>
      <c r="AF1157" s="319"/>
      <c r="AG1157" s="319"/>
      <c r="AH1157" s="319"/>
      <c r="AI1157" s="319"/>
      <c r="AJ1157" s="319"/>
      <c r="AK1157" s="319"/>
      <c r="AL1157" s="319"/>
      <c r="AM1157" s="319"/>
      <c r="AN1157" s="319"/>
      <c r="AO1157" s="587"/>
      <c r="AP1157" s="319"/>
      <c r="AQ1157" s="319"/>
      <c r="AR1157" s="319"/>
      <c r="AS1157" s="319"/>
      <c r="AT1157" s="319"/>
      <c r="AU1157" s="319"/>
      <c r="AV1157" s="319"/>
      <c r="AW1157" s="319"/>
      <c r="AX1157" s="319"/>
      <c r="AY1157" s="319"/>
      <c r="AZ1157" s="319"/>
      <c r="BA1157" s="319"/>
      <c r="BB1157" s="319"/>
      <c r="BC1157" s="319"/>
      <c r="BD1157" s="319"/>
      <c r="BE1157" s="319"/>
      <c r="BF1157" s="319"/>
      <c r="BG1157" s="319"/>
      <c r="BH1157" s="319"/>
      <c r="BI1157" s="319"/>
      <c r="BJ1157" s="319"/>
      <c r="BK1157" s="319"/>
      <c r="BL1157" s="319"/>
      <c r="BM1157" s="319"/>
      <c r="BN1157" s="319"/>
      <c r="BO1157" s="319"/>
      <c r="BP1157" s="319"/>
      <c r="BQ1157" s="319"/>
      <c r="BR1157" s="319"/>
      <c r="BS1157" s="319"/>
      <c r="BT1157" s="319"/>
      <c r="BU1157" s="319"/>
      <c r="BV1157" s="319"/>
      <c r="BW1157" s="319"/>
      <c r="BX1157" s="319"/>
      <c r="BY1157" s="319"/>
      <c r="BZ1157" s="319"/>
      <c r="CA1157" s="319"/>
      <c r="CB1157" s="319"/>
      <c r="CC1157" s="319"/>
      <c r="CD1157" s="319"/>
      <c r="CE1157" s="319"/>
      <c r="CF1157" s="319"/>
    </row>
    <row r="1158" spans="1:84" ht="13.5" hidden="1" customHeight="1">
      <c r="A1158" s="319">
        <v>4</v>
      </c>
      <c r="B1158" s="319" t="str">
        <f t="shared" si="163"/>
        <v>Gás Natural</v>
      </c>
      <c r="C1158" s="319" t="e">
        <f t="shared" si="164"/>
        <v>#N/A</v>
      </c>
      <c r="D1158" s="319" t="e">
        <f t="shared" si="165"/>
        <v>#N/A</v>
      </c>
      <c r="E1158" s="319" t="e">
        <f t="shared" si="166"/>
        <v>#N/A</v>
      </c>
      <c r="F1158" s="319" t="e">
        <f t="shared" si="167"/>
        <v>#N/A</v>
      </c>
      <c r="G1158" s="319">
        <f t="shared" si="168"/>
        <v>0</v>
      </c>
      <c r="H1158" s="319" t="e">
        <f t="shared" si="169"/>
        <v>#N/A</v>
      </c>
      <c r="I1158" s="319">
        <f>'Modelo Energético '!F1097</f>
        <v>0</v>
      </c>
      <c r="J1158" s="319">
        <f>'Modelo Energético '!G1097</f>
        <v>0</v>
      </c>
      <c r="K1158" s="319">
        <f>'Modelo Energético '!H1097</f>
        <v>0</v>
      </c>
      <c r="L1158" s="319"/>
      <c r="M1158" s="319" t="b">
        <f t="shared" si="170"/>
        <v>0</v>
      </c>
      <c r="N1158" s="319">
        <f ca="1">IF(OR(SUMIF('Análise Financeira'!$AH$61:$AH$78,M1158,$D$1155:$D$1164)&gt;0,M1158=FALSE),0,1)</f>
        <v>0</v>
      </c>
      <c r="O1158" s="319"/>
      <c r="P1158" s="319"/>
      <c r="Q1158" s="319"/>
      <c r="R1158" s="319"/>
      <c r="S1158" s="319"/>
      <c r="T1158" s="319"/>
      <c r="U1158" s="319"/>
      <c r="V1158" s="319"/>
      <c r="W1158" s="319"/>
      <c r="X1158" s="319"/>
      <c r="Y1158" s="319"/>
      <c r="Z1158" s="319"/>
      <c r="AA1158" s="319"/>
      <c r="AB1158" s="319"/>
      <c r="AC1158" s="319"/>
      <c r="AD1158" s="319"/>
      <c r="AE1158" s="319"/>
      <c r="AF1158" s="319"/>
      <c r="AG1158" s="319"/>
      <c r="AH1158" s="319"/>
      <c r="AI1158" s="319"/>
      <c r="AJ1158" s="319"/>
      <c r="AK1158" s="319"/>
      <c r="AL1158" s="319"/>
      <c r="AM1158" s="319"/>
      <c r="AN1158" s="319"/>
      <c r="AO1158" s="587"/>
      <c r="AP1158" s="319"/>
      <c r="AQ1158" s="319"/>
      <c r="AR1158" s="319"/>
      <c r="AS1158" s="319"/>
      <c r="AT1158" s="319"/>
      <c r="AU1158" s="319"/>
      <c r="AV1158" s="319"/>
      <c r="AW1158" s="319"/>
      <c r="AX1158" s="319"/>
      <c r="AY1158" s="319"/>
      <c r="AZ1158" s="319"/>
      <c r="BA1158" s="319"/>
      <c r="BB1158" s="319"/>
      <c r="BC1158" s="319"/>
      <c r="BD1158" s="319"/>
      <c r="BE1158" s="319"/>
      <c r="BF1158" s="319"/>
      <c r="BG1158" s="319"/>
      <c r="BH1158" s="319"/>
      <c r="BI1158" s="319"/>
      <c r="BJ1158" s="319"/>
      <c r="BK1158" s="319"/>
      <c r="BL1158" s="319"/>
      <c r="BM1158" s="319"/>
      <c r="BN1158" s="319"/>
      <c r="BO1158" s="319"/>
      <c r="BP1158" s="319"/>
      <c r="BQ1158" s="319"/>
      <c r="BR1158" s="319"/>
      <c r="BS1158" s="319"/>
      <c r="BT1158" s="319"/>
      <c r="BU1158" s="319"/>
      <c r="BV1158" s="319"/>
      <c r="BW1158" s="319"/>
      <c r="BX1158" s="319"/>
      <c r="BY1158" s="319"/>
      <c r="BZ1158" s="319"/>
      <c r="CA1158" s="319"/>
      <c r="CB1158" s="319"/>
      <c r="CC1158" s="319"/>
      <c r="CD1158" s="319"/>
      <c r="CE1158" s="319"/>
      <c r="CF1158" s="319"/>
    </row>
    <row r="1159" spans="1:84" ht="13.5" hidden="1" customHeight="1">
      <c r="A1159" s="319">
        <v>5</v>
      </c>
      <c r="B1159" s="319" t="str">
        <f t="shared" si="163"/>
        <v>Gás Natural</v>
      </c>
      <c r="C1159" s="319" t="e">
        <f t="shared" si="164"/>
        <v>#N/A</v>
      </c>
      <c r="D1159" s="319" t="e">
        <f t="shared" si="165"/>
        <v>#N/A</v>
      </c>
      <c r="E1159" s="319" t="e">
        <f t="shared" si="166"/>
        <v>#N/A</v>
      </c>
      <c r="F1159" s="319" t="e">
        <f t="shared" si="167"/>
        <v>#N/A</v>
      </c>
      <c r="G1159" s="319">
        <f t="shared" si="168"/>
        <v>0</v>
      </c>
      <c r="H1159" s="319" t="e">
        <f t="shared" si="169"/>
        <v>#N/A</v>
      </c>
      <c r="I1159" s="319" t="str">
        <f>'Modelo Energético '!F1098</f>
        <v>Eletricidade</v>
      </c>
      <c r="J1159" s="319">
        <f>'Modelo Energético '!G1098</f>
        <v>0</v>
      </c>
      <c r="K1159" s="319">
        <f>'Modelo Energético '!H1098</f>
        <v>0</v>
      </c>
      <c r="L1159" s="319"/>
      <c r="M1159" s="319" t="b">
        <f t="shared" si="170"/>
        <v>0</v>
      </c>
      <c r="N1159" s="319">
        <f ca="1">IF(OR(SUMIF('Análise Financeira'!$AH$61:$AH$78,M1159,$D$1155:$D$1164)&gt;0,M1159=FALSE),0,1)</f>
        <v>0</v>
      </c>
      <c r="O1159" s="319"/>
      <c r="P1159" s="319"/>
      <c r="Q1159" s="319"/>
      <c r="R1159" s="319"/>
      <c r="S1159" s="319"/>
      <c r="T1159" s="319"/>
      <c r="U1159" s="319"/>
      <c r="V1159" s="319"/>
      <c r="W1159" s="319"/>
      <c r="X1159" s="319"/>
      <c r="Y1159" s="319"/>
      <c r="Z1159" s="319"/>
      <c r="AA1159" s="319"/>
      <c r="AB1159" s="319"/>
      <c r="AC1159" s="319"/>
      <c r="AD1159" s="319"/>
      <c r="AE1159" s="319"/>
      <c r="AF1159" s="319"/>
      <c r="AG1159" s="319"/>
      <c r="AH1159" s="319"/>
      <c r="AI1159" s="319"/>
      <c r="AJ1159" s="319"/>
      <c r="AK1159" s="319"/>
      <c r="AL1159" s="319"/>
      <c r="AM1159" s="319"/>
      <c r="AN1159" s="319"/>
      <c r="AO1159" s="587"/>
      <c r="AP1159" s="319"/>
      <c r="AQ1159" s="319"/>
      <c r="AR1159" s="319"/>
      <c r="AS1159" s="319"/>
      <c r="AT1159" s="319"/>
      <c r="AU1159" s="319"/>
      <c r="AV1159" s="319"/>
      <c r="AW1159" s="319"/>
      <c r="AX1159" s="319"/>
      <c r="AY1159" s="319"/>
      <c r="AZ1159" s="319"/>
      <c r="BA1159" s="319"/>
      <c r="BB1159" s="319"/>
      <c r="BC1159" s="319"/>
      <c r="BD1159" s="319"/>
      <c r="BE1159" s="319"/>
      <c r="BF1159" s="319"/>
      <c r="BG1159" s="319"/>
      <c r="BH1159" s="319"/>
      <c r="BI1159" s="319"/>
      <c r="BJ1159" s="319"/>
      <c r="BK1159" s="319"/>
      <c r="BL1159" s="319"/>
      <c r="BM1159" s="319"/>
      <c r="BN1159" s="319"/>
      <c r="BO1159" s="319"/>
      <c r="BP1159" s="319"/>
      <c r="BQ1159" s="319"/>
      <c r="BR1159" s="319"/>
      <c r="BS1159" s="319"/>
      <c r="BT1159" s="319"/>
      <c r="BU1159" s="319"/>
      <c r="BV1159" s="319"/>
      <c r="BW1159" s="319"/>
      <c r="BX1159" s="319"/>
      <c r="BY1159" s="319"/>
      <c r="BZ1159" s="319"/>
      <c r="CA1159" s="319"/>
      <c r="CB1159" s="319"/>
      <c r="CC1159" s="319"/>
      <c r="CD1159" s="319"/>
      <c r="CE1159" s="319"/>
      <c r="CF1159" s="319"/>
    </row>
    <row r="1160" spans="1:84" ht="13.5" hidden="1" customHeight="1">
      <c r="A1160" s="319">
        <v>6</v>
      </c>
      <c r="B1160" s="319" t="str">
        <f t="shared" si="163"/>
        <v>Gás Natural</v>
      </c>
      <c r="C1160" s="319" t="e">
        <f t="shared" si="164"/>
        <v>#N/A</v>
      </c>
      <c r="D1160" s="319" t="e">
        <f t="shared" si="165"/>
        <v>#N/A</v>
      </c>
      <c r="E1160" s="319" t="e">
        <f t="shared" si="166"/>
        <v>#N/A</v>
      </c>
      <c r="F1160" s="319" t="e">
        <f t="shared" si="167"/>
        <v>#N/A</v>
      </c>
      <c r="G1160" s="319">
        <f t="shared" si="168"/>
        <v>0</v>
      </c>
      <c r="H1160" s="319" t="e">
        <f t="shared" si="169"/>
        <v>#N/A</v>
      </c>
      <c r="I1160" s="319" t="str">
        <f>'Modelo Energético '!F1099</f>
        <v xml:space="preserve">Biomassa </v>
      </c>
      <c r="J1160" s="319">
        <f>'Modelo Energético '!G1099</f>
        <v>0</v>
      </c>
      <c r="K1160" s="319">
        <f>'Modelo Energético '!H1099</f>
        <v>0</v>
      </c>
      <c r="L1160" s="319"/>
      <c r="M1160" s="319" t="b">
        <f t="shared" si="170"/>
        <v>0</v>
      </c>
      <c r="N1160" s="319">
        <f ca="1">IF(OR(SUMIF('Análise Financeira'!$AH$61:$AH$78,M1160,$D$1155:$D$1164)&gt;0,M1160=FALSE),0,1)</f>
        <v>0</v>
      </c>
      <c r="O1160" s="319"/>
      <c r="P1160" s="319"/>
      <c r="Q1160" s="319"/>
      <c r="R1160" s="319"/>
      <c r="S1160" s="319"/>
      <c r="T1160" s="319"/>
      <c r="U1160" s="319"/>
      <c r="V1160" s="319"/>
      <c r="W1160" s="319"/>
      <c r="X1160" s="319"/>
      <c r="Y1160" s="319"/>
      <c r="Z1160" s="319"/>
      <c r="AA1160" s="319"/>
      <c r="AB1160" s="319"/>
      <c r="AC1160" s="319"/>
      <c r="AD1160" s="319"/>
      <c r="AE1160" s="319"/>
      <c r="AF1160" s="319"/>
      <c r="AG1160" s="319"/>
      <c r="AH1160" s="319"/>
      <c r="AI1160" s="319"/>
      <c r="AJ1160" s="319"/>
      <c r="AK1160" s="319"/>
      <c r="AL1160" s="319"/>
      <c r="AM1160" s="319"/>
      <c r="AN1160" s="319"/>
      <c r="AO1160" s="587"/>
      <c r="AP1160" s="319"/>
      <c r="AQ1160" s="319"/>
      <c r="AR1160" s="319"/>
      <c r="AS1160" s="319"/>
      <c r="AT1160" s="319"/>
      <c r="AU1160" s="319"/>
      <c r="AV1160" s="319"/>
      <c r="AW1160" s="319"/>
      <c r="AX1160" s="319"/>
      <c r="AY1160" s="319"/>
      <c r="AZ1160" s="319"/>
      <c r="BA1160" s="319"/>
      <c r="BB1160" s="319"/>
      <c r="BC1160" s="319"/>
      <c r="BD1160" s="319"/>
      <c r="BE1160" s="319"/>
      <c r="BF1160" s="319"/>
      <c r="BG1160" s="319"/>
      <c r="BH1160" s="319"/>
      <c r="BI1160" s="319"/>
      <c r="BJ1160" s="319"/>
      <c r="BK1160" s="319"/>
      <c r="BL1160" s="319"/>
      <c r="BM1160" s="319"/>
      <c r="BN1160" s="319"/>
      <c r="BO1160" s="319"/>
      <c r="BP1160" s="319"/>
      <c r="BQ1160" s="319"/>
      <c r="BR1160" s="319"/>
      <c r="BS1160" s="319"/>
      <c r="BT1160" s="319"/>
      <c r="BU1160" s="319"/>
      <c r="BV1160" s="319"/>
      <c r="BW1160" s="319"/>
      <c r="BX1160" s="319"/>
      <c r="BY1160" s="319"/>
      <c r="BZ1160" s="319"/>
      <c r="CA1160" s="319"/>
      <c r="CB1160" s="319"/>
      <c r="CC1160" s="319"/>
      <c r="CD1160" s="319"/>
      <c r="CE1160" s="319"/>
      <c r="CF1160" s="319"/>
    </row>
    <row r="1161" spans="1:84" ht="13.5" hidden="1" customHeight="1">
      <c r="A1161" s="319">
        <v>7</v>
      </c>
      <c r="B1161" s="319" t="str">
        <f t="shared" si="163"/>
        <v>Gás Natural</v>
      </c>
      <c r="C1161" s="319" t="e">
        <f t="shared" si="164"/>
        <v>#N/A</v>
      </c>
      <c r="D1161" s="319" t="e">
        <f t="shared" si="165"/>
        <v>#N/A</v>
      </c>
      <c r="E1161" s="319" t="e">
        <f t="shared" si="166"/>
        <v>#N/A</v>
      </c>
      <c r="F1161" s="319" t="e">
        <f t="shared" si="167"/>
        <v>#N/A</v>
      </c>
      <c r="G1161" s="319">
        <f t="shared" si="168"/>
        <v>0</v>
      </c>
      <c r="H1161" s="319" t="e">
        <f t="shared" si="169"/>
        <v>#N/A</v>
      </c>
      <c r="I1161" s="319" t="str">
        <f>'Modelo Energético '!B1100</f>
        <v>Gas natural - m³</v>
      </c>
      <c r="J1161" s="319">
        <f>'Modelo Energético '!G1100</f>
        <v>0</v>
      </c>
      <c r="K1161" s="319">
        <f>'Modelo Energético '!H1100</f>
        <v>0</v>
      </c>
      <c r="L1161" s="319"/>
      <c r="M1161" s="319" t="b">
        <f t="shared" si="170"/>
        <v>0</v>
      </c>
      <c r="N1161" s="319">
        <f ca="1">IF(OR(SUMIF('Análise Financeira'!$AH$61:$AH$78,M1161,$D$1155:$D$1164)&gt;0,M1161=FALSE),0,1)</f>
        <v>0</v>
      </c>
      <c r="O1161" s="319"/>
      <c r="P1161" s="319"/>
      <c r="Q1161" s="319"/>
      <c r="R1161" s="319"/>
      <c r="S1161" s="319"/>
      <c r="T1161" s="319"/>
      <c r="U1161" s="319"/>
      <c r="V1161" s="319"/>
      <c r="W1161" s="319"/>
      <c r="X1161" s="319"/>
      <c r="Y1161" s="319"/>
      <c r="Z1161" s="319"/>
      <c r="AA1161" s="319"/>
      <c r="AB1161" s="319"/>
      <c r="AC1161" s="319"/>
      <c r="AD1161" s="319"/>
      <c r="AE1161" s="319"/>
      <c r="AF1161" s="319"/>
      <c r="AG1161" s="319"/>
      <c r="AH1161" s="319"/>
      <c r="AI1161" s="319"/>
      <c r="AJ1161" s="319"/>
      <c r="AK1161" s="319"/>
      <c r="AL1161" s="319"/>
      <c r="AM1161" s="319"/>
      <c r="AN1161" s="319"/>
      <c r="AO1161" s="587"/>
      <c r="AP1161" s="319"/>
      <c r="AQ1161" s="319"/>
      <c r="AR1161" s="319"/>
      <c r="AS1161" s="319"/>
      <c r="AT1161" s="319"/>
      <c r="AU1161" s="319"/>
      <c r="AV1161" s="319"/>
      <c r="AW1161" s="319"/>
      <c r="AX1161" s="319"/>
      <c r="AY1161" s="319"/>
      <c r="AZ1161" s="319"/>
      <c r="BA1161" s="319"/>
      <c r="BB1161" s="319"/>
      <c r="BC1161" s="319"/>
      <c r="BD1161" s="319"/>
      <c r="BE1161" s="319"/>
      <c r="BF1161" s="319"/>
      <c r="BG1161" s="319"/>
      <c r="BH1161" s="319"/>
      <c r="BI1161" s="319"/>
      <c r="BJ1161" s="319"/>
      <c r="BK1161" s="319"/>
      <c r="BL1161" s="319"/>
      <c r="BM1161" s="319"/>
      <c r="BN1161" s="319"/>
      <c r="BO1161" s="319"/>
      <c r="BP1161" s="319"/>
      <c r="BQ1161" s="319"/>
      <c r="BR1161" s="319"/>
      <c r="BS1161" s="319"/>
      <c r="BT1161" s="319"/>
      <c r="BU1161" s="319"/>
      <c r="BV1161" s="319"/>
      <c r="BW1161" s="319"/>
      <c r="BX1161" s="319"/>
      <c r="BY1161" s="319"/>
      <c r="BZ1161" s="319"/>
      <c r="CA1161" s="319"/>
      <c r="CB1161" s="319"/>
      <c r="CC1161" s="319"/>
      <c r="CD1161" s="319"/>
      <c r="CE1161" s="319"/>
      <c r="CF1161" s="319"/>
    </row>
    <row r="1162" spans="1:84" ht="13.5" hidden="1" customHeight="1">
      <c r="A1162" s="319">
        <v>8</v>
      </c>
      <c r="B1162" s="319" t="str">
        <f t="shared" si="163"/>
        <v>Gás Natural</v>
      </c>
      <c r="C1162" s="319" t="e">
        <f t="shared" si="164"/>
        <v>#N/A</v>
      </c>
      <c r="D1162" s="319" t="e">
        <f t="shared" si="165"/>
        <v>#N/A</v>
      </c>
      <c r="E1162" s="319" t="e">
        <f t="shared" si="166"/>
        <v>#N/A</v>
      </c>
      <c r="F1162" s="319" t="e">
        <f t="shared" si="167"/>
        <v>#N/A</v>
      </c>
      <c r="G1162" s="319">
        <f t="shared" si="168"/>
        <v>0</v>
      </c>
      <c r="H1162" s="319" t="e">
        <f t="shared" si="169"/>
        <v>#N/A</v>
      </c>
      <c r="I1162" s="319" t="str">
        <f>'Modelo Energético '!B1101</f>
        <v>Gas natural - m³</v>
      </c>
      <c r="J1162" s="319">
        <f>'Modelo Energético '!G1101</f>
        <v>0</v>
      </c>
      <c r="K1162" s="319">
        <f>'Modelo Energético '!H1101</f>
        <v>0</v>
      </c>
      <c r="L1162" s="319"/>
      <c r="M1162" s="319" t="b">
        <f t="shared" si="170"/>
        <v>0</v>
      </c>
      <c r="N1162" s="319">
        <f ca="1">IF(OR(SUMIF('Análise Financeira'!$AH$61:$AH$78,M1162,$D$1155:$D$1164)&gt;0,M1162=FALSE),0,1)</f>
        <v>0</v>
      </c>
      <c r="O1162" s="319"/>
      <c r="P1162" s="319"/>
      <c r="Q1162" s="319"/>
      <c r="R1162" s="319"/>
      <c r="S1162" s="319"/>
      <c r="T1162" s="319"/>
      <c r="U1162" s="319"/>
      <c r="V1162" s="319"/>
      <c r="W1162" s="319"/>
      <c r="X1162" s="319"/>
      <c r="Y1162" s="319"/>
      <c r="Z1162" s="319"/>
      <c r="AA1162" s="319"/>
      <c r="AB1162" s="319"/>
      <c r="AC1162" s="319"/>
      <c r="AD1162" s="319"/>
      <c r="AE1162" s="319"/>
      <c r="AF1162" s="319"/>
      <c r="AG1162" s="319"/>
      <c r="AH1162" s="319"/>
      <c r="AI1162" s="319"/>
      <c r="AJ1162" s="319"/>
      <c r="AK1162" s="319"/>
      <c r="AL1162" s="319"/>
      <c r="AM1162" s="319"/>
      <c r="AN1162" s="319"/>
      <c r="AO1162" s="587"/>
      <c r="AP1162" s="319"/>
      <c r="AQ1162" s="319"/>
      <c r="AR1162" s="319"/>
      <c r="AS1162" s="319"/>
      <c r="AT1162" s="319"/>
      <c r="AU1162" s="319"/>
      <c r="AV1162" s="319"/>
      <c r="AW1162" s="319"/>
      <c r="AX1162" s="319"/>
      <c r="AY1162" s="319"/>
      <c r="AZ1162" s="319"/>
      <c r="BA1162" s="319"/>
      <c r="BB1162" s="319"/>
      <c r="BC1162" s="319"/>
      <c r="BD1162" s="319"/>
      <c r="BE1162" s="319"/>
      <c r="BF1162" s="319"/>
      <c r="BG1162" s="319"/>
      <c r="BH1162" s="319"/>
      <c r="BI1162" s="319"/>
      <c r="BJ1162" s="319"/>
      <c r="BK1162" s="319"/>
      <c r="BL1162" s="319"/>
      <c r="BM1162" s="319"/>
      <c r="BN1162" s="319"/>
      <c r="BO1162" s="319"/>
      <c r="BP1162" s="319"/>
      <c r="BQ1162" s="319"/>
      <c r="BR1162" s="319"/>
      <c r="BS1162" s="319"/>
      <c r="BT1162" s="319"/>
      <c r="BU1162" s="319"/>
      <c r="BV1162" s="319"/>
      <c r="BW1162" s="319"/>
      <c r="BX1162" s="319"/>
      <c r="BY1162" s="319"/>
      <c r="BZ1162" s="319"/>
      <c r="CA1162" s="319"/>
      <c r="CB1162" s="319"/>
      <c r="CC1162" s="319"/>
      <c r="CD1162" s="319"/>
      <c r="CE1162" s="319"/>
      <c r="CF1162" s="319"/>
    </row>
    <row r="1163" spans="1:84" ht="13.5" hidden="1" customHeight="1">
      <c r="A1163" s="319">
        <v>9</v>
      </c>
      <c r="B1163" s="319" t="str">
        <f t="shared" si="163"/>
        <v>Gás Natural</v>
      </c>
      <c r="C1163" s="319" t="e">
        <f t="shared" si="164"/>
        <v>#N/A</v>
      </c>
      <c r="D1163" s="319" t="e">
        <f t="shared" si="165"/>
        <v>#N/A</v>
      </c>
      <c r="E1163" s="319" t="e">
        <f t="shared" si="166"/>
        <v>#N/A</v>
      </c>
      <c r="F1163" s="319" t="e">
        <f t="shared" si="167"/>
        <v>#N/A</v>
      </c>
      <c r="G1163" s="319">
        <f t="shared" si="168"/>
        <v>0</v>
      </c>
      <c r="H1163" s="319" t="e">
        <f t="shared" si="169"/>
        <v>#N/A</v>
      </c>
      <c r="I1163" s="319" t="str">
        <f>'Modelo Energético '!B1102</f>
        <v>Gas natural - m³</v>
      </c>
      <c r="J1163" s="319">
        <f>'Modelo Energético '!G1102</f>
        <v>0</v>
      </c>
      <c r="K1163" s="319">
        <f>'Modelo Energético '!H1102</f>
        <v>0</v>
      </c>
      <c r="L1163" s="319"/>
      <c r="M1163" s="319" t="b">
        <f t="shared" si="170"/>
        <v>0</v>
      </c>
      <c r="N1163" s="319">
        <f ca="1">IF(OR(SUMIF('Análise Financeira'!$AH$61:$AH$78,M1163,$D$1155:$D$1164)&gt;0,M1163=FALSE),0,1)</f>
        <v>0</v>
      </c>
      <c r="O1163" s="319"/>
      <c r="P1163" s="319"/>
      <c r="Q1163" s="319"/>
      <c r="R1163" s="319"/>
      <c r="S1163" s="319"/>
      <c r="T1163" s="319"/>
      <c r="U1163" s="319"/>
      <c r="V1163" s="319"/>
      <c r="W1163" s="319"/>
      <c r="X1163" s="319"/>
      <c r="Y1163" s="319"/>
      <c r="Z1163" s="319"/>
      <c r="AA1163" s="319"/>
      <c r="AB1163" s="319"/>
      <c r="AC1163" s="319"/>
      <c r="AD1163" s="319"/>
      <c r="AE1163" s="319"/>
      <c r="AF1163" s="319"/>
      <c r="AG1163" s="319"/>
      <c r="AH1163" s="319"/>
      <c r="AI1163" s="319"/>
      <c r="AJ1163" s="319"/>
      <c r="AK1163" s="319"/>
      <c r="AL1163" s="319"/>
      <c r="AM1163" s="319"/>
      <c r="AN1163" s="319"/>
      <c r="AO1163" s="587"/>
      <c r="AP1163" s="319"/>
      <c r="AQ1163" s="319"/>
      <c r="AR1163" s="319"/>
      <c r="AS1163" s="319"/>
      <c r="AT1163" s="319"/>
      <c r="AU1163" s="319"/>
      <c r="AV1163" s="319"/>
      <c r="AW1163" s="319"/>
      <c r="AX1163" s="319"/>
      <c r="AY1163" s="319"/>
      <c r="AZ1163" s="319"/>
      <c r="BA1163" s="319"/>
      <c r="BB1163" s="319"/>
      <c r="BC1163" s="319"/>
      <c r="BD1163" s="319"/>
      <c r="BE1163" s="319"/>
      <c r="BF1163" s="319"/>
      <c r="BG1163" s="319"/>
      <c r="BH1163" s="319"/>
      <c r="BI1163" s="319"/>
      <c r="BJ1163" s="319"/>
      <c r="BK1163" s="319"/>
      <c r="BL1163" s="319"/>
      <c r="BM1163" s="319"/>
      <c r="BN1163" s="319"/>
      <c r="BO1163" s="319"/>
      <c r="BP1163" s="319"/>
      <c r="BQ1163" s="319"/>
      <c r="BR1163" s="319"/>
      <c r="BS1163" s="319"/>
      <c r="BT1163" s="319"/>
      <c r="BU1163" s="319"/>
      <c r="BV1163" s="319"/>
      <c r="BW1163" s="319"/>
      <c r="BX1163" s="319"/>
      <c r="BY1163" s="319"/>
      <c r="BZ1163" s="319"/>
      <c r="CA1163" s="319"/>
      <c r="CB1163" s="319"/>
      <c r="CC1163" s="319"/>
      <c r="CD1163" s="319"/>
      <c r="CE1163" s="319"/>
      <c r="CF1163" s="319"/>
    </row>
    <row r="1164" spans="1:84" ht="13.5" hidden="1" customHeight="1">
      <c r="A1164" s="319">
        <v>10</v>
      </c>
      <c r="B1164" s="319" t="str">
        <f t="shared" si="163"/>
        <v>Gás Natural</v>
      </c>
      <c r="C1164" s="319" t="e">
        <f t="shared" si="164"/>
        <v>#N/A</v>
      </c>
      <c r="D1164" s="319" t="e">
        <f t="shared" si="165"/>
        <v>#N/A</v>
      </c>
      <c r="E1164" s="319" t="e">
        <f t="shared" si="166"/>
        <v>#N/A</v>
      </c>
      <c r="F1164" s="319" t="e">
        <f t="shared" si="167"/>
        <v>#N/A</v>
      </c>
      <c r="G1164" s="319">
        <f t="shared" si="168"/>
        <v>0</v>
      </c>
      <c r="H1164" s="319" t="e">
        <f t="shared" si="169"/>
        <v>#N/A</v>
      </c>
      <c r="I1164" s="319" t="str">
        <f>'Modelo Energético '!B1103</f>
        <v>Eletricidade</v>
      </c>
      <c r="J1164" s="319">
        <f>'Modelo Energético '!G1103</f>
        <v>0</v>
      </c>
      <c r="K1164" s="319">
        <f>'Modelo Energético '!H1103</f>
        <v>0</v>
      </c>
      <c r="L1164" s="319"/>
      <c r="M1164" s="319" t="b">
        <f t="shared" si="170"/>
        <v>0</v>
      </c>
      <c r="N1164" s="319">
        <f ca="1">IF(OR(SUMIF('Análise Financeira'!$AH$61:$AH$78,M1164,$D$1155:$D$1164)&gt;0,M1164=FALSE),0,1)</f>
        <v>0</v>
      </c>
      <c r="O1164" s="319"/>
      <c r="P1164" s="319"/>
      <c r="Q1164" s="319"/>
      <c r="R1164" s="319"/>
      <c r="S1164" s="319"/>
      <c r="T1164" s="319"/>
      <c r="U1164" s="319"/>
      <c r="V1164" s="319"/>
      <c r="W1164" s="319"/>
      <c r="X1164" s="319"/>
      <c r="Y1164" s="319"/>
      <c r="Z1164" s="319"/>
      <c r="AA1164" s="319"/>
      <c r="AB1164" s="319"/>
      <c r="AC1164" s="319"/>
      <c r="AD1164" s="319"/>
      <c r="AE1164" s="319"/>
      <c r="AF1164" s="319"/>
      <c r="AG1164" s="319"/>
      <c r="AH1164" s="319"/>
      <c r="AI1164" s="319"/>
      <c r="AJ1164" s="319"/>
      <c r="AK1164" s="319"/>
      <c r="AL1164" s="319"/>
      <c r="AM1164" s="319"/>
      <c r="AN1164" s="319"/>
      <c r="AO1164" s="587"/>
      <c r="AP1164" s="319"/>
      <c r="AQ1164" s="319"/>
      <c r="AR1164" s="319"/>
      <c r="AS1164" s="319"/>
      <c r="AT1164" s="319"/>
      <c r="AU1164" s="319"/>
      <c r="AV1164" s="319"/>
      <c r="AW1164" s="319"/>
      <c r="AX1164" s="319"/>
      <c r="AY1164" s="319"/>
      <c r="AZ1164" s="319"/>
      <c r="BA1164" s="319"/>
      <c r="BB1164" s="319"/>
      <c r="BC1164" s="319"/>
      <c r="BD1164" s="319"/>
      <c r="BE1164" s="319"/>
      <c r="BF1164" s="319"/>
      <c r="BG1164" s="319"/>
      <c r="BH1164" s="319"/>
      <c r="BI1164" s="319"/>
      <c r="BJ1164" s="319"/>
      <c r="BK1164" s="319"/>
      <c r="BL1164" s="319"/>
      <c r="BM1164" s="319"/>
      <c r="BN1164" s="319"/>
      <c r="BO1164" s="319"/>
      <c r="BP1164" s="319"/>
      <c r="BQ1164" s="319"/>
      <c r="BR1164" s="319"/>
      <c r="BS1164" s="319"/>
      <c r="BT1164" s="319"/>
      <c r="BU1164" s="319"/>
      <c r="BV1164" s="319"/>
      <c r="BW1164" s="319"/>
      <c r="BX1164" s="319"/>
      <c r="BY1164" s="319"/>
      <c r="BZ1164" s="319"/>
      <c r="CA1164" s="319"/>
      <c r="CB1164" s="319"/>
      <c r="CC1164" s="319"/>
      <c r="CD1164" s="319"/>
      <c r="CE1164" s="319"/>
      <c r="CF1164" s="319"/>
    </row>
    <row r="1165" spans="1:84" ht="13.5" hidden="1" customHeight="1">
      <c r="A1165" s="319"/>
      <c r="B1165" s="319"/>
      <c r="C1165" s="319"/>
      <c r="D1165" s="319"/>
      <c r="E1165" s="319"/>
      <c r="F1165" s="319"/>
      <c r="G1165" s="319"/>
      <c r="H1165" s="319"/>
      <c r="I1165" s="319" t="str">
        <f>'Modelo Energético '!B1104</f>
        <v>Eletricidade</v>
      </c>
      <c r="J1165" s="319">
        <f>'Modelo Energético '!G1104</f>
        <v>0</v>
      </c>
      <c r="K1165" s="319">
        <f>'Modelo Energético '!H1104</f>
        <v>0</v>
      </c>
      <c r="L1165" s="319"/>
      <c r="M1165" s="319"/>
      <c r="N1165" s="319"/>
      <c r="O1165" s="319"/>
      <c r="P1165" s="319"/>
      <c r="Q1165" s="319"/>
      <c r="R1165" s="319"/>
      <c r="S1165" s="319"/>
      <c r="T1165" s="319"/>
      <c r="U1165" s="319"/>
      <c r="V1165" s="319"/>
      <c r="W1165" s="319"/>
      <c r="X1165" s="319"/>
      <c r="Y1165" s="319"/>
      <c r="Z1165" s="319"/>
      <c r="AA1165" s="319"/>
      <c r="AB1165" s="319"/>
      <c r="AC1165" s="319"/>
      <c r="AD1165" s="319"/>
      <c r="AE1165" s="319"/>
      <c r="AF1165" s="319"/>
      <c r="AG1165" s="319"/>
      <c r="AH1165" s="319"/>
      <c r="AI1165" s="319"/>
      <c r="AJ1165" s="319"/>
      <c r="AK1165" s="319"/>
      <c r="AL1165" s="319"/>
      <c r="AM1165" s="319"/>
      <c r="AN1165" s="319"/>
      <c r="AO1165" s="587"/>
      <c r="AP1165" s="319"/>
      <c r="AQ1165" s="319"/>
      <c r="AR1165" s="319"/>
      <c r="AS1165" s="319"/>
      <c r="AT1165" s="319"/>
      <c r="AU1165" s="319"/>
      <c r="AV1165" s="319"/>
      <c r="AW1165" s="319"/>
      <c r="AX1165" s="319"/>
      <c r="AY1165" s="319"/>
      <c r="AZ1165" s="319"/>
      <c r="BA1165" s="319"/>
      <c r="BB1165" s="319"/>
      <c r="BC1165" s="319"/>
      <c r="BD1165" s="319"/>
      <c r="BE1165" s="319"/>
      <c r="BF1165" s="319"/>
      <c r="BG1165" s="319"/>
      <c r="BH1165" s="319"/>
      <c r="BI1165" s="319"/>
      <c r="BJ1165" s="319"/>
      <c r="BK1165" s="319"/>
      <c r="BL1165" s="319"/>
      <c r="BM1165" s="319"/>
      <c r="BN1165" s="319"/>
      <c r="BO1165" s="319"/>
      <c r="BP1165" s="319"/>
      <c r="BQ1165" s="319"/>
      <c r="BR1165" s="319"/>
      <c r="BS1165" s="319"/>
      <c r="BT1165" s="319"/>
      <c r="BU1165" s="319"/>
      <c r="BV1165" s="319"/>
      <c r="BW1165" s="319"/>
      <c r="BX1165" s="319"/>
      <c r="BY1165" s="319"/>
      <c r="BZ1165" s="319"/>
      <c r="CA1165" s="319"/>
      <c r="CB1165" s="319"/>
      <c r="CC1165" s="319"/>
      <c r="CD1165" s="319"/>
      <c r="CE1165" s="319"/>
      <c r="CF1165" s="319"/>
    </row>
    <row r="1166" spans="1:84" ht="13.5" hidden="1" customHeight="1">
      <c r="A1166" s="319"/>
      <c r="B1166" s="319"/>
      <c r="C1166" s="319"/>
      <c r="D1166" s="319"/>
      <c r="E1166" s="319"/>
      <c r="F1166" s="319"/>
      <c r="G1166" s="319"/>
      <c r="H1166" s="319"/>
      <c r="I1166" s="319">
        <f>'Modelo Energético '!B1105</f>
        <v>0</v>
      </c>
      <c r="J1166" s="319">
        <f>'Modelo Energético '!G1105</f>
        <v>0</v>
      </c>
      <c r="K1166" s="319">
        <f>'Modelo Energético '!H1105</f>
        <v>0</v>
      </c>
      <c r="L1166" s="319"/>
      <c r="M1166" s="319"/>
      <c r="N1166" s="319"/>
      <c r="O1166" s="319"/>
      <c r="P1166" s="319"/>
      <c r="Q1166" s="319"/>
      <c r="R1166" s="319"/>
      <c r="S1166" s="319"/>
      <c r="T1166" s="319"/>
      <c r="U1166" s="319"/>
      <c r="V1166" s="319"/>
      <c r="W1166" s="319"/>
      <c r="X1166" s="319"/>
      <c r="Y1166" s="319"/>
      <c r="Z1166" s="319"/>
      <c r="AA1166" s="319"/>
      <c r="AB1166" s="319"/>
      <c r="AC1166" s="319"/>
      <c r="AD1166" s="319"/>
      <c r="AE1166" s="319"/>
      <c r="AF1166" s="319"/>
      <c r="AG1166" s="319"/>
      <c r="AH1166" s="319"/>
      <c r="AI1166" s="319"/>
      <c r="AJ1166" s="319"/>
      <c r="AK1166" s="319"/>
      <c r="AL1166" s="319"/>
      <c r="AM1166" s="319"/>
      <c r="AN1166" s="319"/>
      <c r="AO1166" s="587"/>
      <c r="AP1166" s="319"/>
      <c r="AQ1166" s="319"/>
      <c r="AR1166" s="319"/>
      <c r="AS1166" s="319"/>
      <c r="AT1166" s="319"/>
      <c r="AU1166" s="319"/>
      <c r="AV1166" s="319"/>
      <c r="AW1166" s="319"/>
      <c r="AX1166" s="319"/>
      <c r="AY1166" s="319"/>
      <c r="AZ1166" s="319"/>
      <c r="BA1166" s="319"/>
      <c r="BB1166" s="319"/>
      <c r="BC1166" s="319"/>
      <c r="BD1166" s="319"/>
      <c r="BE1166" s="319"/>
      <c r="BF1166" s="319"/>
      <c r="BG1166" s="319"/>
      <c r="BH1166" s="319"/>
      <c r="BI1166" s="319"/>
      <c r="BJ1166" s="319"/>
      <c r="BK1166" s="319"/>
      <c r="BL1166" s="319"/>
      <c r="BM1166" s="319"/>
      <c r="BN1166" s="319"/>
      <c r="BO1166" s="319"/>
      <c r="BP1166" s="319"/>
      <c r="BQ1166" s="319"/>
      <c r="BR1166" s="319"/>
      <c r="BS1166" s="319"/>
      <c r="BT1166" s="319"/>
      <c r="BU1166" s="319"/>
      <c r="BV1166" s="319"/>
      <c r="BW1166" s="319"/>
      <c r="BX1166" s="319"/>
      <c r="BY1166" s="319"/>
      <c r="BZ1166" s="319"/>
      <c r="CA1166" s="319"/>
      <c r="CB1166" s="319"/>
      <c r="CC1166" s="319"/>
      <c r="CD1166" s="319"/>
      <c r="CE1166" s="319"/>
      <c r="CF1166" s="319"/>
    </row>
    <row r="1167" spans="1:84" ht="13.5" hidden="1" customHeight="1">
      <c r="A1167" s="319"/>
      <c r="B1167" s="319"/>
      <c r="C1167" s="319"/>
      <c r="D1167" s="319"/>
      <c r="E1167" s="319"/>
      <c r="F1167" s="319"/>
      <c r="G1167" s="319"/>
      <c r="H1167" s="319"/>
      <c r="I1167" s="319">
        <f>'Modelo Energético '!B1106</f>
        <v>0</v>
      </c>
      <c r="J1167" s="319">
        <f>'Modelo Energético '!G1106</f>
        <v>0</v>
      </c>
      <c r="K1167" s="319">
        <f>'Modelo Energético '!H1106</f>
        <v>0</v>
      </c>
      <c r="L1167" s="319"/>
      <c r="M1167" s="319"/>
      <c r="N1167" s="319"/>
      <c r="O1167" s="319"/>
      <c r="P1167" s="319"/>
      <c r="Q1167" s="319"/>
      <c r="R1167" s="319"/>
      <c r="S1167" s="319"/>
      <c r="T1167" s="319"/>
      <c r="U1167" s="319"/>
      <c r="V1167" s="319"/>
      <c r="W1167" s="319"/>
      <c r="X1167" s="319"/>
      <c r="Y1167" s="319"/>
      <c r="Z1167" s="319"/>
      <c r="AA1167" s="319"/>
      <c r="AB1167" s="319"/>
      <c r="AC1167" s="319"/>
      <c r="AD1167" s="319"/>
      <c r="AE1167" s="319"/>
      <c r="AF1167" s="319"/>
      <c r="AG1167" s="319"/>
      <c r="AH1167" s="319"/>
      <c r="AI1167" s="319"/>
      <c r="AJ1167" s="319"/>
      <c r="AK1167" s="319"/>
      <c r="AL1167" s="319"/>
      <c r="AM1167" s="319"/>
      <c r="AN1167" s="319"/>
      <c r="AO1167" s="587"/>
      <c r="AP1167" s="319"/>
      <c r="AQ1167" s="319"/>
      <c r="AR1167" s="319"/>
      <c r="AS1167" s="319"/>
      <c r="AT1167" s="319"/>
      <c r="AU1167" s="319"/>
      <c r="AV1167" s="319"/>
      <c r="AW1167" s="319"/>
      <c r="AX1167" s="319"/>
      <c r="AY1167" s="319"/>
      <c r="AZ1167" s="319"/>
      <c r="BA1167" s="319"/>
      <c r="BB1167" s="319"/>
      <c r="BC1167" s="319"/>
      <c r="BD1167" s="319"/>
      <c r="BE1167" s="319"/>
      <c r="BF1167" s="319"/>
      <c r="BG1167" s="319"/>
      <c r="BH1167" s="319"/>
      <c r="BI1167" s="319"/>
      <c r="BJ1167" s="319"/>
      <c r="BK1167" s="319"/>
      <c r="BL1167" s="319"/>
      <c r="BM1167" s="319"/>
      <c r="BN1167" s="319"/>
      <c r="BO1167" s="319"/>
      <c r="BP1167" s="319"/>
      <c r="BQ1167" s="319"/>
      <c r="BR1167" s="319"/>
      <c r="BS1167" s="319"/>
      <c r="BT1167" s="319"/>
      <c r="BU1167" s="319"/>
      <c r="BV1167" s="319"/>
      <c r="BW1167" s="319"/>
      <c r="BX1167" s="319"/>
      <c r="BY1167" s="319"/>
      <c r="BZ1167" s="319"/>
      <c r="CA1167" s="319"/>
      <c r="CB1167" s="319"/>
      <c r="CC1167" s="319"/>
      <c r="CD1167" s="319"/>
      <c r="CE1167" s="319"/>
      <c r="CF1167" s="319"/>
    </row>
    <row r="1168" spans="1:84" ht="13.5" hidden="1" customHeight="1">
      <c r="A1168" s="319"/>
      <c r="B1168" s="319"/>
      <c r="C1168" s="319"/>
      <c r="D1168" s="319"/>
      <c r="E1168" s="319"/>
      <c r="F1168" s="319"/>
      <c r="G1168" s="319"/>
      <c r="H1168" s="319"/>
      <c r="I1168" s="319">
        <f>'Modelo Energético '!B1107</f>
        <v>0</v>
      </c>
      <c r="J1168" s="319">
        <f>'Modelo Energético '!G1107</f>
        <v>0</v>
      </c>
      <c r="K1168" s="319">
        <f>'Modelo Energético '!H1107</f>
        <v>0</v>
      </c>
      <c r="L1168" s="319"/>
      <c r="M1168" s="319"/>
      <c r="N1168" s="319"/>
      <c r="O1168" s="319"/>
      <c r="P1168" s="319"/>
      <c r="Q1168" s="319"/>
      <c r="R1168" s="319"/>
      <c r="S1168" s="319"/>
      <c r="T1168" s="319"/>
      <c r="U1168" s="319"/>
      <c r="V1168" s="319"/>
      <c r="W1168" s="319"/>
      <c r="X1168" s="319"/>
      <c r="Y1168" s="319"/>
      <c r="Z1168" s="319"/>
      <c r="AA1168" s="319"/>
      <c r="AB1168" s="319"/>
      <c r="AC1168" s="319"/>
      <c r="AD1168" s="319"/>
      <c r="AE1168" s="319"/>
      <c r="AF1168" s="319"/>
      <c r="AG1168" s="319"/>
      <c r="AH1168" s="319"/>
      <c r="AI1168" s="319"/>
      <c r="AJ1168" s="319"/>
      <c r="AK1168" s="319"/>
      <c r="AL1168" s="319"/>
      <c r="AM1168" s="319"/>
      <c r="AN1168" s="319"/>
      <c r="AO1168" s="587"/>
      <c r="AP1168" s="319"/>
      <c r="AQ1168" s="319"/>
      <c r="AR1168" s="319"/>
      <c r="AS1168" s="319"/>
      <c r="AT1168" s="319"/>
      <c r="AU1168" s="319"/>
      <c r="AV1168" s="319"/>
      <c r="AW1168" s="319"/>
      <c r="AX1168" s="319"/>
      <c r="AY1168" s="319"/>
      <c r="AZ1168" s="319"/>
      <c r="BA1168" s="319"/>
      <c r="BB1168" s="319"/>
      <c r="BC1168" s="319"/>
      <c r="BD1168" s="319"/>
      <c r="BE1168" s="319"/>
      <c r="BF1168" s="319"/>
      <c r="BG1168" s="319"/>
      <c r="BH1168" s="319"/>
      <c r="BI1168" s="319"/>
      <c r="BJ1168" s="319"/>
      <c r="BK1168" s="319"/>
      <c r="BL1168" s="319"/>
      <c r="BM1168" s="319"/>
      <c r="BN1168" s="319"/>
      <c r="BO1168" s="319"/>
      <c r="BP1168" s="319"/>
      <c r="BQ1168" s="319"/>
      <c r="BR1168" s="319"/>
      <c r="BS1168" s="319"/>
      <c r="BT1168" s="319"/>
      <c r="BU1168" s="319"/>
      <c r="BV1168" s="319"/>
      <c r="BW1168" s="319"/>
      <c r="BX1168" s="319"/>
      <c r="BY1168" s="319"/>
      <c r="BZ1168" s="319"/>
      <c r="CA1168" s="319"/>
      <c r="CB1168" s="319"/>
      <c r="CC1168" s="319"/>
      <c r="CD1168" s="319"/>
      <c r="CE1168" s="319"/>
      <c r="CF1168" s="319"/>
    </row>
    <row r="1169" spans="1:84" ht="13.5" hidden="1" customHeight="1">
      <c r="A1169" s="319"/>
      <c r="B1169" s="319"/>
      <c r="C1169" s="319"/>
      <c r="D1169" s="319"/>
      <c r="E1169" s="319"/>
      <c r="F1169" s="319"/>
      <c r="G1169" s="319"/>
      <c r="H1169" s="319"/>
      <c r="I1169" s="319">
        <f>'Modelo Energético '!B1108</f>
        <v>0</v>
      </c>
      <c r="J1169" s="319">
        <f>'Modelo Energético '!G1108</f>
        <v>0</v>
      </c>
      <c r="K1169" s="319">
        <f>'Modelo Energético '!H1108</f>
        <v>0</v>
      </c>
      <c r="L1169" s="319"/>
      <c r="M1169" s="319"/>
      <c r="N1169" s="319"/>
      <c r="O1169" s="319"/>
      <c r="P1169" s="319"/>
      <c r="Q1169" s="319"/>
      <c r="R1169" s="319"/>
      <c r="S1169" s="319"/>
      <c r="T1169" s="319"/>
      <c r="U1169" s="319"/>
      <c r="V1169" s="319"/>
      <c r="W1169" s="319"/>
      <c r="X1169" s="319"/>
      <c r="Y1169" s="319"/>
      <c r="Z1169" s="319"/>
      <c r="AA1169" s="319"/>
      <c r="AB1169" s="319"/>
      <c r="AC1169" s="319"/>
      <c r="AD1169" s="319"/>
      <c r="AE1169" s="319"/>
      <c r="AF1169" s="319"/>
      <c r="AG1169" s="319"/>
      <c r="AH1169" s="319"/>
      <c r="AI1169" s="319"/>
      <c r="AJ1169" s="319"/>
      <c r="AK1169" s="319"/>
      <c r="AL1169" s="319"/>
      <c r="AM1169" s="319"/>
      <c r="AN1169" s="319"/>
      <c r="AO1169" s="587"/>
      <c r="AP1169" s="319"/>
      <c r="AQ1169" s="319"/>
      <c r="AR1169" s="319"/>
      <c r="AS1169" s="319"/>
      <c r="AT1169" s="319"/>
      <c r="AU1169" s="319"/>
      <c r="AV1169" s="319"/>
      <c r="AW1169" s="319"/>
      <c r="AX1169" s="319"/>
      <c r="AY1169" s="319"/>
      <c r="AZ1169" s="319"/>
      <c r="BA1169" s="319"/>
      <c r="BB1169" s="319"/>
      <c r="BC1169" s="319"/>
      <c r="BD1169" s="319"/>
      <c r="BE1169" s="319"/>
      <c r="BF1169" s="319"/>
      <c r="BG1169" s="319"/>
      <c r="BH1169" s="319"/>
      <c r="BI1169" s="319"/>
      <c r="BJ1169" s="319"/>
      <c r="BK1169" s="319"/>
      <c r="BL1169" s="319"/>
      <c r="BM1169" s="319"/>
      <c r="BN1169" s="319"/>
      <c r="BO1169" s="319"/>
      <c r="BP1169" s="319"/>
      <c r="BQ1169" s="319"/>
      <c r="BR1169" s="319"/>
      <c r="BS1169" s="319"/>
      <c r="BT1169" s="319"/>
      <c r="BU1169" s="319"/>
      <c r="BV1169" s="319"/>
      <c r="BW1169" s="319"/>
      <c r="BX1169" s="319"/>
      <c r="BY1169" s="319"/>
      <c r="BZ1169" s="319"/>
      <c r="CA1169" s="319"/>
      <c r="CB1169" s="319"/>
      <c r="CC1169" s="319"/>
      <c r="CD1169" s="319"/>
      <c r="CE1169" s="319"/>
      <c r="CF1169" s="319"/>
    </row>
    <row r="1170" spans="1:84" ht="13.5" hidden="1" customHeight="1">
      <c r="A1170" s="319"/>
      <c r="B1170" s="319"/>
      <c r="C1170" s="319"/>
      <c r="D1170" s="319"/>
      <c r="E1170" s="319"/>
      <c r="F1170" s="319"/>
      <c r="G1170" s="319"/>
      <c r="H1170" s="319"/>
      <c r="I1170" s="319">
        <f>'Modelo Energético '!B1109</f>
        <v>0</v>
      </c>
      <c r="J1170" s="319">
        <f>'Modelo Energético '!G1109</f>
        <v>0</v>
      </c>
      <c r="K1170" s="319">
        <f>'Modelo Energético '!H1109</f>
        <v>0</v>
      </c>
      <c r="L1170" s="319"/>
      <c r="M1170" s="319"/>
      <c r="N1170" s="319"/>
      <c r="O1170" s="319"/>
      <c r="P1170" s="319"/>
      <c r="Q1170" s="319"/>
      <c r="R1170" s="319"/>
      <c r="S1170" s="319"/>
      <c r="T1170" s="319"/>
      <c r="U1170" s="319"/>
      <c r="V1170" s="319"/>
      <c r="W1170" s="319"/>
      <c r="X1170" s="319"/>
      <c r="Y1170" s="319"/>
      <c r="Z1170" s="319"/>
      <c r="AA1170" s="319"/>
      <c r="AB1170" s="319"/>
      <c r="AC1170" s="319"/>
      <c r="AD1170" s="319"/>
      <c r="AE1170" s="319"/>
      <c r="AF1170" s="319"/>
      <c r="AG1170" s="319"/>
      <c r="AH1170" s="319"/>
      <c r="AI1170" s="319"/>
      <c r="AJ1170" s="319"/>
      <c r="AK1170" s="319"/>
      <c r="AL1170" s="319"/>
      <c r="AM1170" s="319"/>
      <c r="AN1170" s="319"/>
      <c r="AO1170" s="587"/>
      <c r="AP1170" s="319"/>
      <c r="AQ1170" s="319"/>
      <c r="AR1170" s="319"/>
      <c r="AS1170" s="319"/>
      <c r="AT1170" s="319"/>
      <c r="AU1170" s="319"/>
      <c r="AV1170" s="319"/>
      <c r="AW1170" s="319"/>
      <c r="AX1170" s="319"/>
      <c r="AY1170" s="319"/>
      <c r="AZ1170" s="319"/>
      <c r="BA1170" s="319"/>
      <c r="BB1170" s="319"/>
      <c r="BC1170" s="319"/>
      <c r="BD1170" s="319"/>
      <c r="BE1170" s="319"/>
      <c r="BF1170" s="319"/>
      <c r="BG1170" s="319"/>
      <c r="BH1170" s="319"/>
      <c r="BI1170" s="319"/>
      <c r="BJ1170" s="319"/>
      <c r="BK1170" s="319"/>
      <c r="BL1170" s="319"/>
      <c r="BM1170" s="319"/>
      <c r="BN1170" s="319"/>
      <c r="BO1170" s="319"/>
      <c r="BP1170" s="319"/>
      <c r="BQ1170" s="319"/>
      <c r="BR1170" s="319"/>
      <c r="BS1170" s="319"/>
      <c r="BT1170" s="319"/>
      <c r="BU1170" s="319"/>
      <c r="BV1170" s="319"/>
      <c r="BW1170" s="319"/>
      <c r="BX1170" s="319"/>
      <c r="BY1170" s="319"/>
      <c r="BZ1170" s="319"/>
      <c r="CA1170" s="319"/>
      <c r="CB1170" s="319"/>
      <c r="CC1170" s="319"/>
      <c r="CD1170" s="319"/>
      <c r="CE1170" s="319"/>
      <c r="CF1170" s="319"/>
    </row>
    <row r="1171" spans="1:84" ht="13.5" hidden="1" customHeight="1">
      <c r="A1171" s="319"/>
      <c r="B1171" s="319"/>
      <c r="C1171" s="319"/>
      <c r="D1171" s="319"/>
      <c r="E1171" s="319"/>
      <c r="F1171" s="319"/>
      <c r="G1171" s="319"/>
      <c r="H1171" s="319"/>
      <c r="I1171" s="319"/>
      <c r="J1171" s="319"/>
      <c r="K1171" s="319"/>
      <c r="L1171" s="319"/>
      <c r="M1171" s="319"/>
      <c r="N1171" s="319"/>
      <c r="O1171" s="319"/>
      <c r="P1171" s="319"/>
      <c r="Q1171" s="319"/>
      <c r="R1171" s="319"/>
      <c r="S1171" s="319"/>
      <c r="T1171" s="319"/>
      <c r="U1171" s="319"/>
      <c r="V1171" s="319"/>
      <c r="W1171" s="319"/>
      <c r="X1171" s="319"/>
      <c r="Y1171" s="319"/>
      <c r="Z1171" s="319"/>
      <c r="AA1171" s="319"/>
      <c r="AB1171" s="319"/>
      <c r="AC1171" s="319"/>
      <c r="AD1171" s="319"/>
      <c r="AE1171" s="319"/>
      <c r="AF1171" s="319"/>
      <c r="AG1171" s="319"/>
      <c r="AH1171" s="319"/>
      <c r="AI1171" s="319"/>
      <c r="AJ1171" s="319"/>
      <c r="AK1171" s="319"/>
      <c r="AL1171" s="319"/>
      <c r="AM1171" s="319"/>
      <c r="AN1171" s="319"/>
      <c r="AO1171" s="587"/>
      <c r="AP1171" s="319"/>
      <c r="AQ1171" s="319"/>
      <c r="AR1171" s="319"/>
      <c r="AS1171" s="319"/>
      <c r="AT1171" s="319"/>
      <c r="AU1171" s="319"/>
      <c r="AV1171" s="319"/>
      <c r="AW1171" s="319"/>
      <c r="AX1171" s="319"/>
      <c r="AY1171" s="319"/>
      <c r="AZ1171" s="319"/>
      <c r="BA1171" s="319"/>
      <c r="BB1171" s="319"/>
      <c r="BC1171" s="319"/>
      <c r="BD1171" s="319"/>
      <c r="BE1171" s="319"/>
      <c r="BF1171" s="319"/>
      <c r="BG1171" s="319"/>
      <c r="BH1171" s="319"/>
      <c r="BI1171" s="319"/>
      <c r="BJ1171" s="319"/>
      <c r="BK1171" s="319"/>
      <c r="BL1171" s="319"/>
      <c r="BM1171" s="319"/>
      <c r="BN1171" s="319"/>
      <c r="BO1171" s="319"/>
      <c r="BP1171" s="319"/>
      <c r="BQ1171" s="319"/>
      <c r="BR1171" s="319"/>
      <c r="BS1171" s="319"/>
      <c r="BT1171" s="319"/>
      <c r="BU1171" s="319"/>
      <c r="BV1171" s="319"/>
      <c r="BW1171" s="319"/>
      <c r="BX1171" s="319"/>
      <c r="BY1171" s="319"/>
      <c r="BZ1171" s="319"/>
      <c r="CA1171" s="319"/>
      <c r="CB1171" s="319"/>
      <c r="CC1171" s="319"/>
      <c r="CD1171" s="319"/>
      <c r="CE1171" s="319"/>
      <c r="CF1171" s="319"/>
    </row>
    <row r="1172" spans="1:84" ht="13.5" hidden="1" customHeight="1">
      <c r="A1172" s="319"/>
      <c r="B1172" s="319"/>
      <c r="C1172" s="319"/>
      <c r="D1172" s="319"/>
      <c r="E1172" s="319"/>
      <c r="F1172" s="319"/>
      <c r="G1172" s="319"/>
      <c r="H1172" s="319"/>
      <c r="I1172" s="319"/>
      <c r="J1172" s="319"/>
      <c r="K1172" s="319"/>
      <c r="L1172" s="319"/>
      <c r="M1172" s="319"/>
      <c r="N1172" s="319"/>
      <c r="O1172" s="319"/>
      <c r="P1172" s="319"/>
      <c r="Q1172" s="319"/>
      <c r="R1172" s="319"/>
      <c r="S1172" s="319"/>
      <c r="T1172" s="319"/>
      <c r="U1172" s="319"/>
      <c r="V1172" s="319"/>
      <c r="W1172" s="319"/>
      <c r="X1172" s="319"/>
      <c r="Y1172" s="319"/>
      <c r="Z1172" s="319"/>
      <c r="AA1172" s="319"/>
      <c r="AB1172" s="319"/>
      <c r="AC1172" s="319"/>
      <c r="AD1172" s="319"/>
      <c r="AE1172" s="319"/>
      <c r="AF1172" s="319"/>
      <c r="AG1172" s="319"/>
      <c r="AH1172" s="319"/>
      <c r="AI1172" s="319"/>
      <c r="AJ1172" s="319"/>
      <c r="AK1172" s="319"/>
      <c r="AL1172" s="319"/>
      <c r="AM1172" s="319"/>
      <c r="AN1172" s="319"/>
      <c r="AO1172" s="587"/>
      <c r="AP1172" s="319"/>
      <c r="AQ1172" s="319"/>
      <c r="AR1172" s="319"/>
      <c r="AS1172" s="319"/>
      <c r="AT1172" s="319"/>
      <c r="AU1172" s="319"/>
      <c r="AV1172" s="319"/>
      <c r="AW1172" s="319"/>
      <c r="AX1172" s="319"/>
      <c r="AY1172" s="319"/>
      <c r="AZ1172" s="319"/>
      <c r="BA1172" s="319"/>
      <c r="BB1172" s="319"/>
      <c r="BC1172" s="319"/>
      <c r="BD1172" s="319"/>
      <c r="BE1172" s="319"/>
      <c r="BF1172" s="319"/>
      <c r="BG1172" s="319"/>
      <c r="BH1172" s="319"/>
      <c r="BI1172" s="319"/>
      <c r="BJ1172" s="319"/>
      <c r="BK1172" s="319"/>
      <c r="BL1172" s="319"/>
      <c r="BM1172" s="319"/>
      <c r="BN1172" s="319"/>
      <c r="BO1172" s="319"/>
      <c r="BP1172" s="319"/>
      <c r="BQ1172" s="319"/>
      <c r="BR1172" s="319"/>
      <c r="BS1172" s="319"/>
      <c r="BT1172" s="319"/>
      <c r="BU1172" s="319"/>
      <c r="BV1172" s="319"/>
      <c r="BW1172" s="319"/>
      <c r="BX1172" s="319"/>
      <c r="BY1172" s="319"/>
      <c r="BZ1172" s="319"/>
      <c r="CA1172" s="319"/>
      <c r="CB1172" s="319"/>
      <c r="CC1172" s="319"/>
      <c r="CD1172" s="319"/>
      <c r="CE1172" s="319"/>
      <c r="CF1172" s="319"/>
    </row>
    <row r="1173" spans="1:84" ht="13.5" hidden="1" customHeight="1">
      <c r="A1173" s="319">
        <f>MAX(A1175:A1291)</f>
        <v>1</v>
      </c>
      <c r="B1173" s="319"/>
      <c r="C1173" s="319"/>
      <c r="D1173" s="319"/>
      <c r="E1173" s="319"/>
      <c r="F1173" s="319"/>
      <c r="G1173" s="319"/>
      <c r="H1173" s="319">
        <f>SUM(H1175:H1291)</f>
        <v>0</v>
      </c>
      <c r="I1173" s="319"/>
      <c r="J1173" s="319"/>
      <c r="K1173" s="319"/>
      <c r="L1173" s="319"/>
      <c r="M1173" s="319"/>
      <c r="N1173" s="319"/>
      <c r="O1173" s="319"/>
      <c r="P1173" s="319"/>
      <c r="Q1173" s="319"/>
      <c r="R1173" s="319"/>
      <c r="S1173" s="319"/>
      <c r="T1173" s="319"/>
      <c r="U1173" s="319"/>
      <c r="V1173" s="319"/>
      <c r="W1173" s="319"/>
      <c r="X1173" s="319"/>
      <c r="Y1173" s="319"/>
      <c r="Z1173" s="319"/>
      <c r="AA1173" s="319"/>
      <c r="AB1173" s="319"/>
      <c r="AC1173" s="319"/>
      <c r="AD1173" s="319"/>
      <c r="AE1173" s="319"/>
      <c r="AF1173" s="319"/>
      <c r="AG1173" s="319"/>
      <c r="AH1173" s="319"/>
      <c r="AI1173" s="319"/>
      <c r="AJ1173" s="319"/>
      <c r="AK1173" s="319"/>
      <c r="AL1173" s="319"/>
      <c r="AM1173" s="319"/>
      <c r="AN1173" s="319"/>
      <c r="AO1173" s="587"/>
      <c r="AP1173" s="319"/>
      <c r="AQ1173" s="319"/>
      <c r="AR1173" s="319"/>
      <c r="AS1173" s="319"/>
      <c r="AT1173" s="319"/>
      <c r="AU1173" s="319"/>
      <c r="AV1173" s="319"/>
      <c r="AW1173" s="319"/>
      <c r="AX1173" s="319"/>
      <c r="AY1173" s="319"/>
      <c r="AZ1173" s="319"/>
      <c r="BA1173" s="319"/>
      <c r="BB1173" s="319"/>
      <c r="BC1173" s="319"/>
      <c r="BD1173" s="319"/>
      <c r="BE1173" s="319"/>
      <c r="BF1173" s="319"/>
      <c r="BG1173" s="319"/>
      <c r="BH1173" s="319"/>
      <c r="BI1173" s="319"/>
      <c r="BJ1173" s="319"/>
      <c r="BK1173" s="319"/>
      <c r="BL1173" s="319"/>
      <c r="BM1173" s="319"/>
      <c r="BN1173" s="319"/>
      <c r="BO1173" s="319"/>
      <c r="BP1173" s="319"/>
      <c r="BQ1173" s="319"/>
      <c r="BR1173" s="319"/>
      <c r="BS1173" s="319"/>
      <c r="BT1173" s="319"/>
      <c r="BU1173" s="319"/>
      <c r="BV1173" s="319"/>
      <c r="BW1173" s="319"/>
      <c r="BX1173" s="319"/>
      <c r="BY1173" s="319"/>
      <c r="BZ1173" s="319"/>
      <c r="CA1173" s="319"/>
      <c r="CB1173" s="319"/>
      <c r="CC1173" s="319"/>
      <c r="CD1173" s="319"/>
      <c r="CE1173" s="319"/>
      <c r="CF1173" s="319"/>
    </row>
    <row r="1174" spans="1:84" ht="13.5" hidden="1" customHeight="1">
      <c r="A1174" s="319"/>
      <c r="B1174" s="319" t="s">
        <v>629</v>
      </c>
      <c r="C1174" s="319" t="s">
        <v>3968</v>
      </c>
      <c r="D1174" s="319" t="s">
        <v>1106</v>
      </c>
      <c r="E1174" s="319" t="s">
        <v>1587</v>
      </c>
      <c r="F1174" s="319" t="s">
        <v>4701</v>
      </c>
      <c r="G1174" s="319" t="s">
        <v>1438</v>
      </c>
      <c r="H1174" s="319" t="s">
        <v>3122</v>
      </c>
      <c r="I1174" s="319" t="s">
        <v>5786</v>
      </c>
      <c r="J1174" s="319"/>
      <c r="K1174" s="319" t="s">
        <v>629</v>
      </c>
      <c r="L1174" s="319"/>
      <c r="M1174" s="319" t="s">
        <v>3968</v>
      </c>
      <c r="N1174" s="319" t="s">
        <v>5707</v>
      </c>
      <c r="O1174" s="319" t="s">
        <v>1106</v>
      </c>
      <c r="P1174" s="319" t="s">
        <v>3692</v>
      </c>
      <c r="Q1174" s="319" t="s">
        <v>3693</v>
      </c>
      <c r="R1174" s="319"/>
      <c r="S1174" s="319"/>
      <c r="T1174" s="319"/>
      <c r="U1174" s="319"/>
      <c r="V1174" s="319"/>
      <c r="W1174" s="319"/>
      <c r="X1174" s="319"/>
      <c r="Y1174" s="319"/>
      <c r="Z1174" s="319"/>
      <c r="AA1174" s="319"/>
      <c r="AB1174" s="319"/>
      <c r="AC1174" s="319"/>
      <c r="AD1174" s="319"/>
      <c r="AE1174" s="319"/>
      <c r="AF1174" s="319"/>
      <c r="AG1174" s="319"/>
      <c r="AH1174" s="319"/>
      <c r="AI1174" s="319"/>
      <c r="AJ1174" s="319"/>
      <c r="AK1174" s="319"/>
      <c r="AL1174" s="319"/>
      <c r="AM1174" s="319"/>
      <c r="AN1174" s="319"/>
      <c r="AO1174" s="587"/>
      <c r="AP1174" s="319"/>
      <c r="AQ1174" s="319"/>
      <c r="AR1174" s="319"/>
      <c r="AS1174" s="319"/>
      <c r="AT1174" s="319"/>
      <c r="AU1174" s="319"/>
      <c r="AV1174" s="319"/>
      <c r="AW1174" s="319"/>
      <c r="AX1174" s="319"/>
      <c r="AY1174" s="319"/>
      <c r="AZ1174" s="319"/>
      <c r="BA1174" s="319"/>
      <c r="BB1174" s="319"/>
      <c r="BC1174" s="319"/>
      <c r="BD1174" s="319"/>
      <c r="BE1174" s="319"/>
      <c r="BF1174" s="319"/>
      <c r="BG1174" s="319"/>
      <c r="BH1174" s="319"/>
      <c r="BI1174" s="319"/>
      <c r="BJ1174" s="319"/>
      <c r="BK1174" s="319"/>
      <c r="BL1174" s="319"/>
      <c r="BM1174" s="319"/>
      <c r="BN1174" s="319"/>
      <c r="BO1174" s="319"/>
      <c r="BP1174" s="319"/>
      <c r="BQ1174" s="319"/>
      <c r="BR1174" s="319"/>
      <c r="BS1174" s="319"/>
      <c r="BT1174" s="319"/>
      <c r="BU1174" s="319"/>
      <c r="BV1174" s="319"/>
      <c r="BW1174" s="319"/>
      <c r="BX1174" s="319"/>
      <c r="BY1174" s="319"/>
      <c r="BZ1174" s="319"/>
      <c r="CA1174" s="319"/>
      <c r="CB1174" s="319"/>
      <c r="CC1174" s="319"/>
      <c r="CD1174" s="319"/>
      <c r="CE1174" s="319"/>
      <c r="CF1174" s="319"/>
    </row>
    <row r="1175" spans="1:84" ht="13.5" hidden="1" customHeight="1">
      <c r="A1175" s="319">
        <f t="shared" ref="A1175:A1240" si="171">RANK(G1175,$G$1175:$G$1291)</f>
        <v>1</v>
      </c>
      <c r="B1175" s="319" t="str">
        <f>K1175</f>
        <v xml:space="preserve">Biomassa </v>
      </c>
      <c r="C1175" s="319" t="str">
        <f>M1175</f>
        <v>t</v>
      </c>
      <c r="D1175" s="319" t="str">
        <f>O1175</f>
        <v>€/t</v>
      </c>
      <c r="E1175" s="494">
        <f>IF(EMHV=1,P1175,Q1175)</f>
        <v>18.444143599999997</v>
      </c>
      <c r="F1175" s="494">
        <v>1000</v>
      </c>
      <c r="G1175" s="494">
        <f t="shared" ref="G1175:G1208" si="172">IF($C$1117=0,SUMIF($R$940:$R$961,B1175,$G$940:$G$961),SUMIF($I$1155:$I$1170,B1175,$J$1155:$J$1170))</f>
        <v>0</v>
      </c>
      <c r="H1175" s="494">
        <f t="shared" ref="H1175:H1208" si="173">IF($C$1117=0,SUMIF($R$940:$R$961,B1175,$S$940:$S$961),SUMIF($I$1155:$I$1170,B1175,$K$1155:$K$1170))</f>
        <v>0</v>
      </c>
      <c r="I1175" s="319" t="str">
        <f>B1175</f>
        <v xml:space="preserve">Biomassa </v>
      </c>
      <c r="J1175" s="319"/>
      <c r="K1175" s="319" t="str">
        <f>B1289</f>
        <v xml:space="preserve">Biomassa </v>
      </c>
      <c r="L1175" s="319" t="str">
        <f>K1175</f>
        <v xml:space="preserve">Biomassa </v>
      </c>
      <c r="M1175" s="319" t="str">
        <f>Language!C1407</f>
        <v>t</v>
      </c>
      <c r="N1175" s="494">
        <f>E1289*F1289/3.6</f>
        <v>5123.3732222222206</v>
      </c>
      <c r="O1175" s="319" t="str">
        <f>Currency&amp;Language!C1303</f>
        <v>€/t</v>
      </c>
      <c r="P1175" s="494">
        <v>19.759343599999998</v>
      </c>
      <c r="Q1175" s="494">
        <v>18.444143599999997</v>
      </c>
      <c r="R1175" s="319" t="s">
        <v>7152</v>
      </c>
      <c r="S1175" s="319" t="s">
        <v>7152</v>
      </c>
      <c r="T1175" s="319"/>
      <c r="U1175" s="319"/>
      <c r="V1175" s="319"/>
      <c r="W1175" s="319"/>
      <c r="X1175" s="319"/>
      <c r="Y1175" s="319"/>
      <c r="Z1175" s="319"/>
      <c r="AA1175" s="319"/>
      <c r="AB1175" s="319"/>
      <c r="AC1175" s="319"/>
      <c r="AD1175" s="319"/>
      <c r="AE1175" s="319"/>
      <c r="AF1175" s="319"/>
      <c r="AG1175" s="319"/>
      <c r="AH1175" s="319"/>
      <c r="AI1175" s="319"/>
      <c r="AJ1175" s="319"/>
      <c r="AK1175" s="319"/>
      <c r="AL1175" s="319"/>
      <c r="AM1175" s="319"/>
      <c r="AN1175" s="319"/>
      <c r="AO1175" s="587"/>
      <c r="AP1175" s="319"/>
      <c r="AQ1175" s="319"/>
      <c r="AR1175" s="319"/>
      <c r="AS1175" s="319"/>
      <c r="AT1175" s="319"/>
      <c r="AU1175" s="319"/>
      <c r="AV1175" s="319"/>
      <c r="AW1175" s="319"/>
      <c r="AX1175" s="319"/>
      <c r="AY1175" s="319"/>
      <c r="AZ1175" s="319"/>
      <c r="BA1175" s="319"/>
      <c r="BB1175" s="319"/>
      <c r="BC1175" s="319"/>
      <c r="BD1175" s="319"/>
      <c r="BE1175" s="319"/>
      <c r="BF1175" s="319"/>
      <c r="BG1175" s="319"/>
      <c r="BH1175" s="319"/>
      <c r="BI1175" s="319"/>
      <c r="BJ1175" s="319"/>
      <c r="BK1175" s="319"/>
      <c r="BL1175" s="319"/>
      <c r="BM1175" s="319"/>
      <c r="BN1175" s="319"/>
      <c r="BO1175" s="319"/>
      <c r="BP1175" s="319"/>
      <c r="BQ1175" s="319"/>
      <c r="BR1175" s="319"/>
      <c r="BS1175" s="319"/>
      <c r="BT1175" s="319"/>
      <c r="BU1175" s="319"/>
      <c r="BV1175" s="319"/>
      <c r="BW1175" s="319"/>
      <c r="BX1175" s="319"/>
      <c r="BY1175" s="319"/>
      <c r="BZ1175" s="319"/>
      <c r="CA1175" s="319"/>
      <c r="CB1175" s="319"/>
      <c r="CC1175" s="319"/>
      <c r="CD1175" s="319"/>
      <c r="CE1175" s="319"/>
      <c r="CF1175" s="319"/>
    </row>
    <row r="1176" spans="1:84" ht="13.5" hidden="1" customHeight="1">
      <c r="A1176" s="319">
        <f t="shared" si="171"/>
        <v>1</v>
      </c>
      <c r="B1176" s="319" t="str">
        <f>Language!C1185</f>
        <v>Carvão</v>
      </c>
      <c r="C1176" s="319" t="str">
        <f>M1176</f>
        <v>t</v>
      </c>
      <c r="D1176" s="319" t="str">
        <f>O1176</f>
        <v>€/t</v>
      </c>
      <c r="E1176" s="494">
        <f>IF(EMHV=1,P1176,Q1176)</f>
        <v>32.563933503000001</v>
      </c>
      <c r="F1176" s="494">
        <v>1000</v>
      </c>
      <c r="G1176" s="494">
        <f t="shared" si="172"/>
        <v>0</v>
      </c>
      <c r="H1176" s="494">
        <f t="shared" si="173"/>
        <v>0</v>
      </c>
      <c r="I1176" s="319" t="str">
        <f>B1176</f>
        <v>Carvão</v>
      </c>
      <c r="J1176" s="319"/>
      <c r="K1176" s="319" t="str">
        <f t="shared" ref="K1176:K1195" si="174">B1176</f>
        <v>Carvão</v>
      </c>
      <c r="L1176" s="319" t="str">
        <f>K1176</f>
        <v>Carvão</v>
      </c>
      <c r="M1176" s="319" t="str">
        <f>$M$1175</f>
        <v>t</v>
      </c>
      <c r="N1176" s="494">
        <f>E1176*F1176/3.6</f>
        <v>9045.5370841666663</v>
      </c>
      <c r="O1176" s="319" t="str">
        <f>$O$1175</f>
        <v>€/t</v>
      </c>
      <c r="P1176" s="494">
        <v>33.681853502999999</v>
      </c>
      <c r="Q1176" s="494">
        <v>32.563933503000001</v>
      </c>
      <c r="R1176" s="319" t="s">
        <v>7061</v>
      </c>
      <c r="S1176" s="319" t="s">
        <v>7061</v>
      </c>
      <c r="T1176" s="319"/>
      <c r="U1176" s="319"/>
      <c r="V1176" s="319"/>
      <c r="W1176" s="319"/>
      <c r="X1176" s="319"/>
      <c r="Y1176" s="319"/>
      <c r="Z1176" s="319"/>
      <c r="AA1176" s="319"/>
      <c r="AB1176" s="319"/>
      <c r="AC1176" s="319"/>
      <c r="AD1176" s="319"/>
      <c r="AE1176" s="319"/>
      <c r="AF1176" s="319"/>
      <c r="AG1176" s="319"/>
      <c r="AH1176" s="319"/>
      <c r="AI1176" s="319"/>
      <c r="AJ1176" s="319"/>
      <c r="AK1176" s="319"/>
      <c r="AL1176" s="319"/>
      <c r="AM1176" s="319"/>
      <c r="AN1176" s="319"/>
      <c r="AO1176" s="587"/>
      <c r="AP1176" s="319"/>
      <c r="AQ1176" s="319"/>
      <c r="AR1176" s="319"/>
      <c r="AS1176" s="319"/>
      <c r="AT1176" s="319"/>
      <c r="AU1176" s="319"/>
      <c r="AV1176" s="319"/>
      <c r="AW1176" s="319"/>
      <c r="AX1176" s="319"/>
      <c r="AY1176" s="319"/>
      <c r="AZ1176" s="319"/>
      <c r="BA1176" s="319"/>
      <c r="BB1176" s="319"/>
      <c r="BC1176" s="319"/>
      <c r="BD1176" s="319"/>
      <c r="BE1176" s="319"/>
      <c r="BF1176" s="319"/>
      <c r="BG1176" s="319"/>
      <c r="BH1176" s="319"/>
      <c r="BI1176" s="319"/>
      <c r="BJ1176" s="319"/>
      <c r="BK1176" s="319"/>
      <c r="BL1176" s="319"/>
      <c r="BM1176" s="319"/>
      <c r="BN1176" s="319"/>
      <c r="BO1176" s="319"/>
      <c r="BP1176" s="319"/>
      <c r="BQ1176" s="319"/>
      <c r="BR1176" s="319"/>
      <c r="BS1176" s="319"/>
      <c r="BT1176" s="319"/>
      <c r="BU1176" s="319"/>
      <c r="BV1176" s="319"/>
      <c r="BW1176" s="319"/>
      <c r="BX1176" s="319"/>
      <c r="BY1176" s="319"/>
      <c r="BZ1176" s="319"/>
      <c r="CA1176" s="319"/>
      <c r="CB1176" s="319"/>
      <c r="CC1176" s="319"/>
      <c r="CD1176" s="319"/>
      <c r="CE1176" s="319"/>
      <c r="CF1176" s="319"/>
    </row>
    <row r="1177" spans="1:84" ht="13.5" hidden="1" customHeight="1">
      <c r="A1177" s="319">
        <f t="shared" si="171"/>
        <v>1</v>
      </c>
      <c r="B1177" s="319" t="str">
        <f>Language!C1182</f>
        <v>Diesel (óleo #2) - gal</v>
      </c>
      <c r="C1177" s="319" t="str">
        <f>$M$1192</f>
        <v>gal</v>
      </c>
      <c r="D1177" s="319" t="str">
        <f>$O$1192</f>
        <v>€/gal</v>
      </c>
      <c r="E1177" s="494">
        <f>E1178</f>
        <v>43.718847219999994</v>
      </c>
      <c r="F1177" s="494">
        <f>F1178*$AA$1079</f>
        <v>3.14189178072</v>
      </c>
      <c r="G1177" s="494">
        <f t="shared" si="172"/>
        <v>0</v>
      </c>
      <c r="H1177" s="494">
        <f t="shared" si="173"/>
        <v>0</v>
      </c>
      <c r="I1177" s="319" t="str">
        <f>I1178</f>
        <v>Diesel (oleo#2)</v>
      </c>
      <c r="J1177" s="319"/>
      <c r="K1177" s="319" t="str">
        <f t="shared" si="174"/>
        <v>Diesel (óleo #2) - gal</v>
      </c>
      <c r="L1177" s="319" t="str">
        <f>$I$1178</f>
        <v>Diesel (oleo#2)</v>
      </c>
      <c r="M1177" s="319" t="str">
        <f>$M$1192</f>
        <v>gal</v>
      </c>
      <c r="N1177" s="494">
        <f>E1177*F1177/3.6</f>
        <v>38.155524095297608</v>
      </c>
      <c r="O1177" s="319" t="str">
        <f>$O$1192</f>
        <v>€/gal</v>
      </c>
      <c r="P1177" s="494"/>
      <c r="Q1177" s="494"/>
      <c r="R1177" s="319" t="s">
        <v>7235</v>
      </c>
      <c r="S1177" s="319" t="s">
        <v>7058</v>
      </c>
      <c r="T1177" s="319"/>
      <c r="U1177" s="319"/>
      <c r="V1177" s="319"/>
      <c r="W1177" s="319"/>
      <c r="X1177" s="319"/>
      <c r="Y1177" s="319"/>
      <c r="Z1177" s="319"/>
      <c r="AA1177" s="319"/>
      <c r="AB1177" s="319"/>
      <c r="AC1177" s="319"/>
      <c r="AD1177" s="319"/>
      <c r="AE1177" s="319"/>
      <c r="AF1177" s="319"/>
      <c r="AG1177" s="319"/>
      <c r="AH1177" s="319"/>
      <c r="AI1177" s="319"/>
      <c r="AJ1177" s="319"/>
      <c r="AK1177" s="319"/>
      <c r="AL1177" s="319"/>
      <c r="AM1177" s="319"/>
      <c r="AN1177" s="319"/>
      <c r="AO1177" s="587"/>
      <c r="AP1177" s="319"/>
      <c r="AQ1177" s="319"/>
      <c r="AR1177" s="319"/>
      <c r="AS1177" s="319"/>
      <c r="AT1177" s="319"/>
      <c r="AU1177" s="319"/>
      <c r="AV1177" s="319"/>
      <c r="AW1177" s="319"/>
      <c r="AX1177" s="319"/>
      <c r="AY1177" s="319"/>
      <c r="AZ1177" s="319"/>
      <c r="BA1177" s="319"/>
      <c r="BB1177" s="319"/>
      <c r="BC1177" s="319"/>
      <c r="BD1177" s="319"/>
      <c r="BE1177" s="319"/>
      <c r="BF1177" s="319"/>
      <c r="BG1177" s="319"/>
      <c r="BH1177" s="319"/>
      <c r="BI1177" s="319"/>
      <c r="BJ1177" s="319"/>
      <c r="BK1177" s="319"/>
      <c r="BL1177" s="319"/>
      <c r="BM1177" s="319"/>
      <c r="BN1177" s="319"/>
      <c r="BO1177" s="319"/>
      <c r="BP1177" s="319"/>
      <c r="BQ1177" s="319"/>
      <c r="BR1177" s="319"/>
      <c r="BS1177" s="319"/>
      <c r="BT1177" s="319"/>
      <c r="BU1177" s="319"/>
      <c r="BV1177" s="319"/>
      <c r="BW1177" s="319"/>
      <c r="BX1177" s="319"/>
      <c r="BY1177" s="319"/>
      <c r="BZ1177" s="319"/>
      <c r="CA1177" s="319"/>
      <c r="CB1177" s="319"/>
      <c r="CC1177" s="319"/>
      <c r="CD1177" s="319"/>
      <c r="CE1177" s="319"/>
      <c r="CF1177" s="319"/>
    </row>
    <row r="1178" spans="1:84" ht="13.5" hidden="1" customHeight="1">
      <c r="A1178" s="319">
        <f t="shared" si="171"/>
        <v>1</v>
      </c>
      <c r="B1178" s="319" t="str">
        <f>Language!C1181</f>
        <v>Diesel (óleo #2) - L</v>
      </c>
      <c r="C1178" s="319" t="str">
        <f>$M$1194</f>
        <v>L</v>
      </c>
      <c r="D1178" s="319" t="str">
        <f>$O$1194</f>
        <v>€/L</v>
      </c>
      <c r="E1178" s="494">
        <f>IF(EMHV=1,P1178,Q1178)</f>
        <v>43.718847219999994</v>
      </c>
      <c r="F1178" s="494">
        <v>0.83</v>
      </c>
      <c r="G1178" s="494">
        <f t="shared" si="172"/>
        <v>0</v>
      </c>
      <c r="H1178" s="494">
        <f t="shared" si="173"/>
        <v>0</v>
      </c>
      <c r="I1178" s="319" t="str">
        <f>B1299</f>
        <v>Diesel (oleo#2)</v>
      </c>
      <c r="J1178" s="319"/>
      <c r="K1178" s="319" t="str">
        <f t="shared" si="174"/>
        <v>Diesel (óleo #2) - L</v>
      </c>
      <c r="L1178" s="319" t="str">
        <f>$I$1178</f>
        <v>Diesel (oleo#2)</v>
      </c>
      <c r="M1178" s="319" t="str">
        <f>$M$1194</f>
        <v>L</v>
      </c>
      <c r="N1178" s="494">
        <f>E1178*F1178/3.6</f>
        <v>10.079623109055554</v>
      </c>
      <c r="O1178" s="319" t="str">
        <f>$O$1194</f>
        <v>€/L</v>
      </c>
      <c r="P1178" s="494">
        <v>46.239647219999995</v>
      </c>
      <c r="Q1178" s="494">
        <v>43.718847219999994</v>
      </c>
      <c r="R1178" s="319" t="s">
        <v>7058</v>
      </c>
      <c r="S1178" s="319" t="s">
        <v>7057</v>
      </c>
      <c r="T1178" s="319"/>
      <c r="U1178" s="319"/>
      <c r="V1178" s="319"/>
      <c r="W1178" s="319"/>
      <c r="X1178" s="319"/>
      <c r="Y1178" s="319"/>
      <c r="Z1178" s="319"/>
      <c r="AA1178" s="319"/>
      <c r="AB1178" s="319"/>
      <c r="AC1178" s="319"/>
      <c r="AD1178" s="319"/>
      <c r="AE1178" s="319"/>
      <c r="AF1178" s="319"/>
      <c r="AG1178" s="319"/>
      <c r="AH1178" s="319"/>
      <c r="AI1178" s="319"/>
      <c r="AJ1178" s="319"/>
      <c r="AK1178" s="319"/>
      <c r="AL1178" s="319"/>
      <c r="AM1178" s="319"/>
      <c r="AN1178" s="319"/>
      <c r="AO1178" s="587"/>
      <c r="AP1178" s="319"/>
      <c r="AQ1178" s="319"/>
      <c r="AR1178" s="319"/>
      <c r="AS1178" s="319"/>
      <c r="AT1178" s="319"/>
      <c r="AU1178" s="319"/>
      <c r="AV1178" s="319"/>
      <c r="AW1178" s="319"/>
      <c r="AX1178" s="319"/>
      <c r="AY1178" s="319"/>
      <c r="AZ1178" s="319"/>
      <c r="BA1178" s="319"/>
      <c r="BB1178" s="319"/>
      <c r="BC1178" s="319"/>
      <c r="BD1178" s="319"/>
      <c r="BE1178" s="319"/>
      <c r="BF1178" s="319"/>
      <c r="BG1178" s="319"/>
      <c r="BH1178" s="319"/>
      <c r="BI1178" s="319"/>
      <c r="BJ1178" s="319"/>
      <c r="BK1178" s="319"/>
      <c r="BL1178" s="319"/>
      <c r="BM1178" s="319"/>
      <c r="BN1178" s="319"/>
      <c r="BO1178" s="319"/>
      <c r="BP1178" s="319"/>
      <c r="BQ1178" s="319"/>
      <c r="BR1178" s="319"/>
      <c r="BS1178" s="319"/>
      <c r="BT1178" s="319"/>
      <c r="BU1178" s="319"/>
      <c r="BV1178" s="319"/>
      <c r="BW1178" s="319"/>
      <c r="BX1178" s="319"/>
      <c r="BY1178" s="319"/>
      <c r="BZ1178" s="319"/>
      <c r="CA1178" s="319"/>
      <c r="CB1178" s="319"/>
      <c r="CC1178" s="319"/>
      <c r="CD1178" s="319"/>
      <c r="CE1178" s="319"/>
      <c r="CF1178" s="319"/>
    </row>
    <row r="1179" spans="1:84" ht="13.5" hidden="1" customHeight="1">
      <c r="A1179" s="319">
        <f t="shared" si="171"/>
        <v>1</v>
      </c>
      <c r="B1179" s="319" t="str">
        <f>Language!C1279</f>
        <v>Eletricidade</v>
      </c>
      <c r="C1179" s="319" t="str">
        <f>R14</f>
        <v>MWh</v>
      </c>
      <c r="D1179" s="319" t="str">
        <f>O1197</f>
        <v>€/MWh</v>
      </c>
      <c r="E1179" s="494">
        <f>IF(EMHV=1,P1179,Q1179)</f>
        <v>3600</v>
      </c>
      <c r="F1179" s="494">
        <v>1</v>
      </c>
      <c r="G1179" s="494">
        <f t="shared" si="172"/>
        <v>0</v>
      </c>
      <c r="H1179" s="494">
        <f t="shared" si="173"/>
        <v>0</v>
      </c>
      <c r="I1179" s="319" t="str">
        <f>B1179</f>
        <v>Eletricidade</v>
      </c>
      <c r="J1179" s="319"/>
      <c r="K1179" s="319" t="str">
        <f t="shared" si="174"/>
        <v>Eletricidade</v>
      </c>
      <c r="L1179" s="319" t="str">
        <f>K1179</f>
        <v>Eletricidade</v>
      </c>
      <c r="M1179" s="319" t="str">
        <f>R14</f>
        <v>MWh</v>
      </c>
      <c r="N1179" s="494">
        <v>1000</v>
      </c>
      <c r="O1179" s="319" t="str">
        <f>Currency&amp;Language!C1297</f>
        <v>€/kWh</v>
      </c>
      <c r="P1179" s="494">
        <v>3600</v>
      </c>
      <c r="Q1179" s="494">
        <v>3600</v>
      </c>
      <c r="R1179" s="319" t="s">
        <v>7057</v>
      </c>
      <c r="S1179" s="319" t="s">
        <v>7151</v>
      </c>
      <c r="T1179" s="319"/>
      <c r="U1179" s="319"/>
      <c r="V1179" s="319"/>
      <c r="W1179" s="319"/>
      <c r="X1179" s="319"/>
      <c r="Y1179" s="319"/>
      <c r="Z1179" s="319"/>
      <c r="AA1179" s="319"/>
      <c r="AB1179" s="319"/>
      <c r="AC1179" s="319"/>
      <c r="AD1179" s="319"/>
      <c r="AE1179" s="319"/>
      <c r="AF1179" s="319"/>
      <c r="AG1179" s="319"/>
      <c r="AH1179" s="319"/>
      <c r="AI1179" s="319"/>
      <c r="AJ1179" s="319"/>
      <c r="AK1179" s="319"/>
      <c r="AL1179" s="319"/>
      <c r="AM1179" s="319"/>
      <c r="AN1179" s="319"/>
      <c r="AO1179" s="587"/>
      <c r="AP1179" s="319"/>
      <c r="AQ1179" s="319"/>
      <c r="AR1179" s="319"/>
      <c r="AS1179" s="319"/>
      <c r="AT1179" s="319"/>
      <c r="AU1179" s="319"/>
      <c r="AV1179" s="319"/>
      <c r="AW1179" s="319"/>
      <c r="AX1179" s="319"/>
      <c r="AY1179" s="319"/>
      <c r="AZ1179" s="319"/>
      <c r="BA1179" s="319"/>
      <c r="BB1179" s="319"/>
      <c r="BC1179" s="319"/>
      <c r="BD1179" s="319"/>
      <c r="BE1179" s="319"/>
      <c r="BF1179" s="319"/>
      <c r="BG1179" s="319"/>
      <c r="BH1179" s="319"/>
      <c r="BI1179" s="319"/>
      <c r="BJ1179" s="319"/>
      <c r="BK1179" s="319"/>
      <c r="BL1179" s="319"/>
      <c r="BM1179" s="319"/>
      <c r="BN1179" s="319"/>
      <c r="BO1179" s="319"/>
      <c r="BP1179" s="319"/>
      <c r="BQ1179" s="319"/>
      <c r="BR1179" s="319"/>
      <c r="BS1179" s="319"/>
      <c r="BT1179" s="319"/>
      <c r="BU1179" s="319"/>
      <c r="BV1179" s="319"/>
      <c r="BW1179" s="319"/>
      <c r="BX1179" s="319"/>
      <c r="BY1179" s="319"/>
      <c r="BZ1179" s="319"/>
      <c r="CA1179" s="319"/>
      <c r="CB1179" s="319"/>
      <c r="CC1179" s="319"/>
      <c r="CD1179" s="319"/>
      <c r="CE1179" s="319"/>
      <c r="CF1179" s="319"/>
    </row>
    <row r="1180" spans="1:84" ht="13.5" hidden="1" customHeight="1">
      <c r="A1180" s="319">
        <f t="shared" si="171"/>
        <v>1</v>
      </c>
      <c r="B1180" s="319" t="str">
        <f>Language!C1178</f>
        <v>Gasolina - gal</v>
      </c>
      <c r="C1180" s="319" t="str">
        <f>$M$1192</f>
        <v>gal</v>
      </c>
      <c r="D1180" s="319" t="str">
        <f>$O$1192</f>
        <v>€/gal</v>
      </c>
      <c r="E1180" s="494">
        <f>E1181</f>
        <v>43.257552995999994</v>
      </c>
      <c r="F1180" s="494">
        <f>F1181*$AA$1079</f>
        <v>2.7974193083759999</v>
      </c>
      <c r="G1180" s="494">
        <f t="shared" si="172"/>
        <v>0</v>
      </c>
      <c r="H1180" s="494">
        <f t="shared" si="173"/>
        <v>0</v>
      </c>
      <c r="I1180" s="319" t="str">
        <f>$B$1297</f>
        <v>Gasolina</v>
      </c>
      <c r="J1180" s="319"/>
      <c r="K1180" s="319" t="str">
        <f t="shared" si="174"/>
        <v>Gasolina - gal</v>
      </c>
      <c r="L1180" s="319" t="str">
        <f>$I$1181</f>
        <v>Gasolina</v>
      </c>
      <c r="M1180" s="319" t="str">
        <f>$M$1192</f>
        <v>gal</v>
      </c>
      <c r="N1180" s="494">
        <f t="shared" ref="N1180:N1194" si="175">E1180*F1180/3.6</f>
        <v>33.613753884474576</v>
      </c>
      <c r="O1180" s="319" t="str">
        <f>O1192</f>
        <v>€/gal</v>
      </c>
      <c r="P1180" s="494"/>
      <c r="Q1180" s="494"/>
      <c r="R1180" s="319" t="s">
        <v>7151</v>
      </c>
      <c r="S1180" s="319" t="s">
        <v>7054</v>
      </c>
      <c r="T1180" s="319"/>
      <c r="U1180" s="319"/>
      <c r="V1180" s="319"/>
      <c r="W1180" s="319"/>
      <c r="X1180" s="319"/>
      <c r="Y1180" s="319"/>
      <c r="Z1180" s="319"/>
      <c r="AA1180" s="319"/>
      <c r="AB1180" s="319"/>
      <c r="AC1180" s="319"/>
      <c r="AD1180" s="319"/>
      <c r="AE1180" s="319"/>
      <c r="AF1180" s="319"/>
      <c r="AG1180" s="319"/>
      <c r="AH1180" s="319"/>
      <c r="AI1180" s="319"/>
      <c r="AJ1180" s="319"/>
      <c r="AK1180" s="319"/>
      <c r="AL1180" s="319"/>
      <c r="AM1180" s="319"/>
      <c r="AN1180" s="319"/>
      <c r="AO1180" s="587"/>
      <c r="AP1180" s="319"/>
      <c r="AQ1180" s="319"/>
      <c r="AR1180" s="319"/>
      <c r="AS1180" s="319"/>
      <c r="AT1180" s="319"/>
      <c r="AU1180" s="319"/>
      <c r="AV1180" s="319"/>
      <c r="AW1180" s="319"/>
      <c r="AX1180" s="319"/>
      <c r="AY1180" s="319"/>
      <c r="AZ1180" s="319"/>
      <c r="BA1180" s="319"/>
      <c r="BB1180" s="319"/>
      <c r="BC1180" s="319"/>
      <c r="BD1180" s="319"/>
      <c r="BE1180" s="319"/>
      <c r="BF1180" s="319"/>
      <c r="BG1180" s="319"/>
      <c r="BH1180" s="319"/>
      <c r="BI1180" s="319"/>
      <c r="BJ1180" s="319"/>
      <c r="BK1180" s="319"/>
      <c r="BL1180" s="319"/>
      <c r="BM1180" s="319"/>
      <c r="BN1180" s="319"/>
      <c r="BO1180" s="319"/>
      <c r="BP1180" s="319"/>
      <c r="BQ1180" s="319"/>
      <c r="BR1180" s="319"/>
      <c r="BS1180" s="319"/>
      <c r="BT1180" s="319"/>
      <c r="BU1180" s="319"/>
      <c r="BV1180" s="319"/>
      <c r="BW1180" s="319"/>
      <c r="BX1180" s="319"/>
      <c r="BY1180" s="319"/>
      <c r="BZ1180" s="319"/>
      <c r="CA1180" s="319"/>
      <c r="CB1180" s="319"/>
      <c r="CC1180" s="319"/>
      <c r="CD1180" s="319"/>
      <c r="CE1180" s="319"/>
      <c r="CF1180" s="319"/>
    </row>
    <row r="1181" spans="1:84" ht="13.5" hidden="1" customHeight="1">
      <c r="A1181" s="319">
        <f t="shared" si="171"/>
        <v>1</v>
      </c>
      <c r="B1181" s="319" t="str">
        <f>Language!C1177</f>
        <v>Gasolina - L</v>
      </c>
      <c r="C1181" s="319" t="str">
        <f>$M$1194</f>
        <v>L</v>
      </c>
      <c r="D1181" s="319" t="str">
        <f>O1181</f>
        <v>€/L</v>
      </c>
      <c r="E1181" s="494">
        <f>IF(EMHV=1,P1181,Q1181)</f>
        <v>43.257552995999994</v>
      </c>
      <c r="F1181" s="494">
        <v>0.73899999999999999</v>
      </c>
      <c r="G1181" s="494">
        <f t="shared" si="172"/>
        <v>0</v>
      </c>
      <c r="H1181" s="494">
        <f t="shared" si="173"/>
        <v>0</v>
      </c>
      <c r="I1181" s="319" t="str">
        <f>$B$1297</f>
        <v>Gasolina</v>
      </c>
      <c r="J1181" s="319"/>
      <c r="K1181" s="319" t="str">
        <f t="shared" si="174"/>
        <v>Gasolina - L</v>
      </c>
      <c r="L1181" s="319" t="str">
        <f>$I$1181</f>
        <v>Gasolina</v>
      </c>
      <c r="M1181" s="319" t="str">
        <f>$M$1194</f>
        <v>L</v>
      </c>
      <c r="N1181" s="494">
        <f t="shared" si="175"/>
        <v>8.8798143511233327</v>
      </c>
      <c r="O1181" s="319" t="str">
        <f>$O$1194</f>
        <v>€/L</v>
      </c>
      <c r="P1181" s="494">
        <v>45.592032995999993</v>
      </c>
      <c r="Q1181" s="494">
        <v>43.257552995999994</v>
      </c>
      <c r="R1181" s="319" t="s">
        <v>7047</v>
      </c>
      <c r="S1181" s="319" t="s">
        <v>7053</v>
      </c>
      <c r="T1181" s="319"/>
      <c r="U1181" s="319"/>
      <c r="V1181" s="319"/>
      <c r="W1181" s="319"/>
      <c r="X1181" s="319"/>
      <c r="Y1181" s="319"/>
      <c r="Z1181" s="319"/>
      <c r="AA1181" s="319"/>
      <c r="AB1181" s="319"/>
      <c r="AC1181" s="319"/>
      <c r="AD1181" s="319"/>
      <c r="AE1181" s="319"/>
      <c r="AF1181" s="319"/>
      <c r="AG1181" s="319"/>
      <c r="AH1181" s="319"/>
      <c r="AI1181" s="319"/>
      <c r="AJ1181" s="319"/>
      <c r="AK1181" s="319"/>
      <c r="AL1181" s="319"/>
      <c r="AM1181" s="319"/>
      <c r="AN1181" s="319"/>
      <c r="AO1181" s="587"/>
      <c r="AP1181" s="319"/>
      <c r="AQ1181" s="319"/>
      <c r="AR1181" s="319"/>
      <c r="AS1181" s="319"/>
      <c r="AT1181" s="319"/>
      <c r="AU1181" s="319"/>
      <c r="AV1181" s="319"/>
      <c r="AW1181" s="319"/>
      <c r="AX1181" s="319"/>
      <c r="AY1181" s="319"/>
      <c r="AZ1181" s="319"/>
      <c r="BA1181" s="319"/>
      <c r="BB1181" s="319"/>
      <c r="BC1181" s="319"/>
      <c r="BD1181" s="319"/>
      <c r="BE1181" s="319"/>
      <c r="BF1181" s="319"/>
      <c r="BG1181" s="319"/>
      <c r="BH1181" s="319"/>
      <c r="BI1181" s="319"/>
      <c r="BJ1181" s="319"/>
      <c r="BK1181" s="319"/>
      <c r="BL1181" s="319"/>
      <c r="BM1181" s="319"/>
      <c r="BN1181" s="319"/>
      <c r="BO1181" s="319"/>
      <c r="BP1181" s="319"/>
      <c r="BQ1181" s="319"/>
      <c r="BR1181" s="319"/>
      <c r="BS1181" s="319"/>
      <c r="BT1181" s="319"/>
      <c r="BU1181" s="319"/>
      <c r="BV1181" s="319"/>
      <c r="BW1181" s="319"/>
      <c r="BX1181" s="319"/>
      <c r="BY1181" s="319"/>
      <c r="BZ1181" s="319"/>
      <c r="CA1181" s="319"/>
      <c r="CB1181" s="319"/>
      <c r="CC1181" s="319"/>
      <c r="CD1181" s="319"/>
      <c r="CE1181" s="319"/>
      <c r="CF1181" s="319"/>
    </row>
    <row r="1182" spans="1:84" ht="13.5" hidden="1" customHeight="1">
      <c r="A1182" s="319">
        <f t="shared" si="171"/>
        <v>1</v>
      </c>
      <c r="B1182" s="319" t="str">
        <f>Language!C1180</f>
        <v>Querosene - gal</v>
      </c>
      <c r="C1182" s="319" t="str">
        <f>$M$1192</f>
        <v>gal</v>
      </c>
      <c r="D1182" s="319" t="str">
        <f>$O$1192</f>
        <v>€/gal</v>
      </c>
      <c r="E1182" s="494">
        <f>E1183</f>
        <v>43.94224587239998</v>
      </c>
      <c r="F1182" s="494">
        <f>F1183*$AA$1079</f>
        <v>2.982904485792</v>
      </c>
      <c r="G1182" s="494">
        <f t="shared" si="172"/>
        <v>0</v>
      </c>
      <c r="H1182" s="494">
        <f t="shared" si="173"/>
        <v>0</v>
      </c>
      <c r="I1182" s="319" t="str">
        <f>$B$1298</f>
        <v>Querosene</v>
      </c>
      <c r="J1182" s="319"/>
      <c r="K1182" s="319" t="str">
        <f t="shared" si="174"/>
        <v>Querosene - gal</v>
      </c>
      <c r="L1182" s="319" t="str">
        <f>$I$1183</f>
        <v>Querosene</v>
      </c>
      <c r="M1182" s="319" t="str">
        <f>$M$1192</f>
        <v>gal</v>
      </c>
      <c r="N1182" s="494">
        <f t="shared" si="175"/>
        <v>36.409867313488029</v>
      </c>
      <c r="O1182" s="319" t="str">
        <f>O1192</f>
        <v>€/gal</v>
      </c>
      <c r="P1182" s="494"/>
      <c r="Q1182" s="494"/>
      <c r="R1182" s="319" t="s">
        <v>7046</v>
      </c>
      <c r="S1182" s="319" t="s">
        <v>7056</v>
      </c>
      <c r="T1182" s="319"/>
      <c r="U1182" s="319"/>
      <c r="V1182" s="319"/>
      <c r="W1182" s="319"/>
      <c r="X1182" s="319"/>
      <c r="Y1182" s="319"/>
      <c r="Z1182" s="319"/>
      <c r="AA1182" s="319"/>
      <c r="AB1182" s="319"/>
      <c r="AC1182" s="319"/>
      <c r="AD1182" s="319"/>
      <c r="AE1182" s="319"/>
      <c r="AF1182" s="319"/>
      <c r="AG1182" s="319"/>
      <c r="AH1182" s="319"/>
      <c r="AI1182" s="319"/>
      <c r="AJ1182" s="319"/>
      <c r="AK1182" s="319"/>
      <c r="AL1182" s="319"/>
      <c r="AM1182" s="319"/>
      <c r="AN1182" s="319"/>
      <c r="AO1182" s="587"/>
      <c r="AP1182" s="319"/>
      <c r="AQ1182" s="319"/>
      <c r="AR1182" s="319"/>
      <c r="AS1182" s="319"/>
      <c r="AT1182" s="319"/>
      <c r="AU1182" s="319"/>
      <c r="AV1182" s="319"/>
      <c r="AW1182" s="319"/>
      <c r="AX1182" s="319"/>
      <c r="AY1182" s="319"/>
      <c r="AZ1182" s="319"/>
      <c r="BA1182" s="319"/>
      <c r="BB1182" s="319"/>
      <c r="BC1182" s="319"/>
      <c r="BD1182" s="319"/>
      <c r="BE1182" s="319"/>
      <c r="BF1182" s="319"/>
      <c r="BG1182" s="319"/>
      <c r="BH1182" s="319"/>
      <c r="BI1182" s="319"/>
      <c r="BJ1182" s="319"/>
      <c r="BK1182" s="319"/>
      <c r="BL1182" s="319"/>
      <c r="BM1182" s="319"/>
      <c r="BN1182" s="319"/>
      <c r="BO1182" s="319"/>
      <c r="BP1182" s="319"/>
      <c r="BQ1182" s="319"/>
      <c r="BR1182" s="319"/>
      <c r="BS1182" s="319"/>
      <c r="BT1182" s="319"/>
      <c r="BU1182" s="319"/>
      <c r="BV1182" s="319"/>
      <c r="BW1182" s="319"/>
      <c r="BX1182" s="319"/>
      <c r="BY1182" s="319"/>
      <c r="BZ1182" s="319"/>
      <c r="CA1182" s="319"/>
      <c r="CB1182" s="319"/>
      <c r="CC1182" s="319"/>
      <c r="CD1182" s="319"/>
      <c r="CE1182" s="319"/>
      <c r="CF1182" s="319"/>
    </row>
    <row r="1183" spans="1:84" ht="13.5" hidden="1" customHeight="1">
      <c r="A1183" s="319">
        <f t="shared" si="171"/>
        <v>1</v>
      </c>
      <c r="B1183" s="319" t="str">
        <f>Language!C1179</f>
        <v>Querosene - L</v>
      </c>
      <c r="C1183" s="319" t="str">
        <f>$M$1194</f>
        <v>L</v>
      </c>
      <c r="D1183" s="319" t="str">
        <f>$O$1194</f>
        <v>€/L</v>
      </c>
      <c r="E1183" s="494">
        <f>IF(EMHV=1,P1183,Q1183)</f>
        <v>43.94224587239998</v>
      </c>
      <c r="F1183" s="494">
        <v>0.78800000000000003</v>
      </c>
      <c r="G1183" s="494">
        <f t="shared" si="172"/>
        <v>0</v>
      </c>
      <c r="H1183" s="494">
        <f t="shared" si="173"/>
        <v>0</v>
      </c>
      <c r="I1183" s="319" t="str">
        <f>$B$1298</f>
        <v>Querosene</v>
      </c>
      <c r="J1183" s="319"/>
      <c r="K1183" s="319" t="str">
        <f t="shared" si="174"/>
        <v>Querosene - L</v>
      </c>
      <c r="L1183" s="319" t="str">
        <f>$I$1183</f>
        <v>Querosene</v>
      </c>
      <c r="M1183" s="319" t="str">
        <f>$M$1194</f>
        <v>L</v>
      </c>
      <c r="N1183" s="494">
        <f t="shared" si="175"/>
        <v>9.6184693742919958</v>
      </c>
      <c r="O1183" s="319" t="str">
        <f>$O$1194</f>
        <v>€/L</v>
      </c>
      <c r="P1183" s="494">
        <v>46.447701872399982</v>
      </c>
      <c r="Q1183" s="494">
        <v>43.94224587239998</v>
      </c>
      <c r="R1183" s="319" t="s">
        <v>7048</v>
      </c>
      <c r="S1183" s="319" t="s">
        <v>7055</v>
      </c>
      <c r="T1183" s="319"/>
      <c r="U1183" s="319"/>
      <c r="V1183" s="319"/>
      <c r="W1183" s="319"/>
      <c r="X1183" s="319"/>
      <c r="Y1183" s="319"/>
      <c r="Z1183" s="319"/>
      <c r="AA1183" s="319"/>
      <c r="AB1183" s="319"/>
      <c r="AC1183" s="319"/>
      <c r="AD1183" s="319"/>
      <c r="AE1183" s="319"/>
      <c r="AF1183" s="319"/>
      <c r="AG1183" s="319"/>
      <c r="AH1183" s="319"/>
      <c r="AI1183" s="319"/>
      <c r="AJ1183" s="319"/>
      <c r="AK1183" s="319"/>
      <c r="AL1183" s="319"/>
      <c r="AM1183" s="319"/>
      <c r="AN1183" s="319"/>
      <c r="AO1183" s="587"/>
      <c r="AP1183" s="319"/>
      <c r="AQ1183" s="319"/>
      <c r="AR1183" s="319"/>
      <c r="AS1183" s="319"/>
      <c r="AT1183" s="319"/>
      <c r="AU1183" s="319"/>
      <c r="AV1183" s="319"/>
      <c r="AW1183" s="319"/>
      <c r="AX1183" s="319"/>
      <c r="AY1183" s="319"/>
      <c r="AZ1183" s="319"/>
      <c r="BA1183" s="319"/>
      <c r="BB1183" s="319"/>
      <c r="BC1183" s="319"/>
      <c r="BD1183" s="319"/>
      <c r="BE1183" s="319"/>
      <c r="BF1183" s="319"/>
      <c r="BG1183" s="319"/>
      <c r="BH1183" s="319"/>
      <c r="BI1183" s="319"/>
      <c r="BJ1183" s="319"/>
      <c r="BK1183" s="319"/>
      <c r="BL1183" s="319"/>
      <c r="BM1183" s="319"/>
      <c r="BN1183" s="319"/>
      <c r="BO1183" s="319"/>
      <c r="BP1183" s="319"/>
      <c r="BQ1183" s="319"/>
      <c r="BR1183" s="319"/>
      <c r="BS1183" s="319"/>
      <c r="BT1183" s="319"/>
      <c r="BU1183" s="319"/>
      <c r="BV1183" s="319"/>
      <c r="BW1183" s="319"/>
      <c r="BX1183" s="319"/>
      <c r="BY1183" s="319"/>
      <c r="BZ1183" s="319"/>
      <c r="CA1183" s="319"/>
      <c r="CB1183" s="319"/>
      <c r="CC1183" s="319"/>
      <c r="CD1183" s="319"/>
      <c r="CE1183" s="319"/>
      <c r="CF1183" s="319"/>
    </row>
    <row r="1184" spans="1:84" ht="13.5" hidden="1" customHeight="1">
      <c r="A1184" s="319">
        <f t="shared" si="171"/>
        <v>1</v>
      </c>
      <c r="B1184" s="319" t="str">
        <f>Language!C1173</f>
        <v>Gaz natural - 100 pi³</v>
      </c>
      <c r="C1184" s="319" t="str">
        <f>M1184</f>
        <v>100 pes³</v>
      </c>
      <c r="D1184" s="319" t="str">
        <f>O1184</f>
        <v>€/100 pés³</v>
      </c>
      <c r="E1184" s="494">
        <f>$E$1187</f>
        <v>47.856000000000002</v>
      </c>
      <c r="F1184" s="494">
        <f>AA1077^3*100*F1187</f>
        <v>2.0104961080319992</v>
      </c>
      <c r="G1184" s="494">
        <f t="shared" si="172"/>
        <v>0</v>
      </c>
      <c r="H1184" s="494">
        <f t="shared" si="173"/>
        <v>0</v>
      </c>
      <c r="I1184" s="319" t="str">
        <f t="shared" ref="I1184:I1189" si="176">$B$1295</f>
        <v>Gás Natural</v>
      </c>
      <c r="J1184" s="319"/>
      <c r="K1184" s="319" t="str">
        <f t="shared" si="174"/>
        <v>Gaz natural - 100 pi³</v>
      </c>
      <c r="L1184" s="319" t="str">
        <f t="shared" ref="L1184:L1189" si="177">$I$1187</f>
        <v>Gás Natural</v>
      </c>
      <c r="M1184" s="319" t="str">
        <f>Language!C1316</f>
        <v>100 pes³</v>
      </c>
      <c r="N1184" s="494">
        <f t="shared" si="175"/>
        <v>26.726194929438709</v>
      </c>
      <c r="O1184" s="319" t="str">
        <f>Currency&amp;Language!C1291</f>
        <v>€/100 pés³</v>
      </c>
      <c r="P1184" s="494"/>
      <c r="Q1184" s="494"/>
      <c r="R1184" s="319" t="s">
        <v>7054</v>
      </c>
      <c r="S1184" s="319" t="s">
        <v>7049</v>
      </c>
      <c r="T1184" s="319"/>
      <c r="U1184" s="319"/>
      <c r="V1184" s="319"/>
      <c r="W1184" s="319"/>
      <c r="X1184" s="319"/>
      <c r="Y1184" s="319"/>
      <c r="Z1184" s="319"/>
      <c r="AA1184" s="319"/>
      <c r="AB1184" s="319"/>
      <c r="AC1184" s="319"/>
      <c r="AD1184" s="319"/>
      <c r="AE1184" s="319"/>
      <c r="AF1184" s="319"/>
      <c r="AG1184" s="319"/>
      <c r="AH1184" s="319"/>
      <c r="AI1184" s="319"/>
      <c r="AJ1184" s="319"/>
      <c r="AK1184" s="319"/>
      <c r="AL1184" s="319"/>
      <c r="AM1184" s="319"/>
      <c r="AN1184" s="319"/>
      <c r="AO1184" s="587"/>
      <c r="AP1184" s="319"/>
      <c r="AQ1184" s="319"/>
      <c r="AR1184" s="319"/>
      <c r="AS1184" s="319"/>
      <c r="AT1184" s="319"/>
      <c r="AU1184" s="319"/>
      <c r="AV1184" s="319"/>
      <c r="AW1184" s="319"/>
      <c r="AX1184" s="319"/>
      <c r="AY1184" s="319"/>
      <c r="AZ1184" s="319"/>
      <c r="BA1184" s="319"/>
      <c r="BB1184" s="319"/>
      <c r="BC1184" s="319"/>
      <c r="BD1184" s="319"/>
      <c r="BE1184" s="319"/>
      <c r="BF1184" s="319"/>
      <c r="BG1184" s="319"/>
      <c r="BH1184" s="319"/>
      <c r="BI1184" s="319"/>
      <c r="BJ1184" s="319"/>
      <c r="BK1184" s="319"/>
      <c r="BL1184" s="319"/>
      <c r="BM1184" s="319"/>
      <c r="BN1184" s="319"/>
      <c r="BO1184" s="319"/>
      <c r="BP1184" s="319"/>
      <c r="BQ1184" s="319"/>
      <c r="BR1184" s="319"/>
      <c r="BS1184" s="319"/>
      <c r="BT1184" s="319"/>
      <c r="BU1184" s="319"/>
      <c r="BV1184" s="319"/>
      <c r="BW1184" s="319"/>
      <c r="BX1184" s="319"/>
      <c r="BY1184" s="319"/>
      <c r="BZ1184" s="319"/>
      <c r="CA1184" s="319"/>
      <c r="CB1184" s="319"/>
      <c r="CC1184" s="319"/>
      <c r="CD1184" s="319"/>
      <c r="CE1184" s="319"/>
      <c r="CF1184" s="319"/>
    </row>
    <row r="1185" spans="1:84" ht="13.5" hidden="1" customHeight="1">
      <c r="A1185" s="319">
        <f t="shared" si="171"/>
        <v>1</v>
      </c>
      <c r="B1185" s="319" t="str">
        <f>Language!C1171</f>
        <v>Gás Natural - GJ</v>
      </c>
      <c r="C1185" s="319" t="str">
        <f>$M$1185</f>
        <v>GJ</v>
      </c>
      <c r="D1185" s="319" t="str">
        <f>$O$1185</f>
        <v>€/GJ</v>
      </c>
      <c r="E1185" s="494">
        <f>$E$1187</f>
        <v>47.856000000000002</v>
      </c>
      <c r="F1185" s="494">
        <f>1000/E1187</f>
        <v>20.89602139752591</v>
      </c>
      <c r="G1185" s="494">
        <f t="shared" si="172"/>
        <v>0</v>
      </c>
      <c r="H1185" s="494">
        <f t="shared" si="173"/>
        <v>0</v>
      </c>
      <c r="I1185" s="319" t="str">
        <f t="shared" si="176"/>
        <v>Gás Natural</v>
      </c>
      <c r="J1185" s="319"/>
      <c r="K1185" s="319" t="str">
        <f t="shared" si="174"/>
        <v>Gás Natural - GJ</v>
      </c>
      <c r="L1185" s="319" t="str">
        <f t="shared" si="177"/>
        <v>Gás Natural</v>
      </c>
      <c r="M1185" s="319" t="str">
        <f>Language!C1335</f>
        <v>GJ</v>
      </c>
      <c r="N1185" s="494">
        <f t="shared" si="175"/>
        <v>277.77777777777777</v>
      </c>
      <c r="O1185" s="319" t="str">
        <f>Currency&amp;Language!C1295</f>
        <v>€/GJ</v>
      </c>
      <c r="P1185" s="494"/>
      <c r="Q1185" s="494"/>
      <c r="R1185" s="319" t="s">
        <v>7053</v>
      </c>
      <c r="S1185" s="319" t="s">
        <v>7047</v>
      </c>
      <c r="T1185" s="319"/>
      <c r="U1185" s="319"/>
      <c r="V1185" s="319"/>
      <c r="W1185" s="319"/>
      <c r="X1185" s="319"/>
      <c r="Y1185" s="319"/>
      <c r="Z1185" s="319"/>
      <c r="AA1185" s="319"/>
      <c r="AB1185" s="319"/>
      <c r="AC1185" s="319"/>
      <c r="AD1185" s="319"/>
      <c r="AE1185" s="319"/>
      <c r="AF1185" s="319"/>
      <c r="AG1185" s="319"/>
      <c r="AH1185" s="319"/>
      <c r="AI1185" s="319"/>
      <c r="AJ1185" s="319"/>
      <c r="AK1185" s="319"/>
      <c r="AL1185" s="319"/>
      <c r="AM1185" s="319"/>
      <c r="AN1185" s="319"/>
      <c r="AO1185" s="587"/>
      <c r="AP1185" s="319"/>
      <c r="AQ1185" s="319"/>
      <c r="AR1185" s="319"/>
      <c r="AS1185" s="319"/>
      <c r="AT1185" s="319"/>
      <c r="AU1185" s="319"/>
      <c r="AV1185" s="319"/>
      <c r="AW1185" s="319"/>
      <c r="AX1185" s="319"/>
      <c r="AY1185" s="319"/>
      <c r="AZ1185" s="319"/>
      <c r="BA1185" s="319"/>
      <c r="BB1185" s="319"/>
      <c r="BC1185" s="319"/>
      <c r="BD1185" s="319"/>
      <c r="BE1185" s="319"/>
      <c r="BF1185" s="319"/>
      <c r="BG1185" s="319"/>
      <c r="BH1185" s="319"/>
      <c r="BI1185" s="319"/>
      <c r="BJ1185" s="319"/>
      <c r="BK1185" s="319"/>
      <c r="BL1185" s="319"/>
      <c r="BM1185" s="319"/>
      <c r="BN1185" s="319"/>
      <c r="BO1185" s="319"/>
      <c r="BP1185" s="319"/>
      <c r="BQ1185" s="319"/>
      <c r="BR1185" s="319"/>
      <c r="BS1185" s="319"/>
      <c r="BT1185" s="319"/>
      <c r="BU1185" s="319"/>
      <c r="BV1185" s="319"/>
      <c r="BW1185" s="319"/>
      <c r="BX1185" s="319"/>
      <c r="BY1185" s="319"/>
      <c r="BZ1185" s="319"/>
      <c r="CA1185" s="319"/>
      <c r="CB1185" s="319"/>
      <c r="CC1185" s="319"/>
      <c r="CD1185" s="319"/>
      <c r="CE1185" s="319"/>
      <c r="CF1185" s="319"/>
    </row>
    <row r="1186" spans="1:84" ht="13.5" hidden="1" customHeight="1">
      <c r="A1186" s="319">
        <f t="shared" si="171"/>
        <v>1</v>
      </c>
      <c r="B1186" s="481" t="str">
        <f>Language!C2852</f>
        <v>Gaz natural - kWh</v>
      </c>
      <c r="C1186" s="319" t="str">
        <f>C1290</f>
        <v>kWh</v>
      </c>
      <c r="D1186" s="319" t="str">
        <f>O1186</f>
        <v>€/kWh</v>
      </c>
      <c r="E1186" s="494">
        <f>$E$1187</f>
        <v>47.856000000000002</v>
      </c>
      <c r="F1186" s="494">
        <f>1000/E1188*0.0036</f>
        <v>7.5225677031093272E-2</v>
      </c>
      <c r="G1186" s="494">
        <f>IF($C$1117=0,SUMIF($R$940:$R$961,B1186,$G$940:$G$961),SUMIF($I$1155:$I$1170,B1186,$J$1155:$J$1170))</f>
        <v>0</v>
      </c>
      <c r="H1186" s="494">
        <f>IF($C$1117=0,SUMIF($R$940:$R$961,B1186,$S$940:$S$961),SUMIF($I$1155:$I$1170,B1186,$K$1155:$K$1170))</f>
        <v>0</v>
      </c>
      <c r="I1186" s="319" t="str">
        <f t="shared" si="176"/>
        <v>Gás Natural</v>
      </c>
      <c r="J1186" s="319"/>
      <c r="K1186" s="319" t="str">
        <f t="shared" si="174"/>
        <v>Gaz natural - kWh</v>
      </c>
      <c r="L1186" s="319" t="str">
        <f t="shared" si="177"/>
        <v>Gás Natural</v>
      </c>
      <c r="M1186" s="319" t="str">
        <f>C1290</f>
        <v>kWh</v>
      </c>
      <c r="N1186" s="494">
        <f t="shared" si="175"/>
        <v>0.99999999999999989</v>
      </c>
      <c r="O1186" s="319" t="str">
        <f>O1179</f>
        <v>€/kWh</v>
      </c>
      <c r="P1186" s="494"/>
      <c r="Q1186" s="494"/>
      <c r="R1186" s="319" t="s">
        <v>7049</v>
      </c>
      <c r="S1186" s="319" t="s">
        <v>8404</v>
      </c>
      <c r="T1186" s="319"/>
      <c r="U1186" s="319"/>
      <c r="V1186" s="319"/>
      <c r="W1186" s="319"/>
      <c r="X1186" s="319"/>
      <c r="Y1186" s="319"/>
      <c r="Z1186" s="319"/>
      <c r="AA1186" s="319"/>
      <c r="AB1186" s="319"/>
      <c r="AC1186" s="319"/>
      <c r="AD1186" s="319"/>
      <c r="AE1186" s="319"/>
      <c r="AF1186" s="319"/>
      <c r="AG1186" s="319"/>
      <c r="AH1186" s="319"/>
      <c r="AI1186" s="319"/>
      <c r="AJ1186" s="319"/>
      <c r="AK1186" s="319"/>
      <c r="AL1186" s="319"/>
      <c r="AM1186" s="319"/>
      <c r="AN1186" s="319"/>
      <c r="AO1186" s="587"/>
      <c r="AP1186" s="319"/>
      <c r="AQ1186" s="319"/>
      <c r="AR1186" s="319"/>
      <c r="AS1186" s="319"/>
      <c r="AT1186" s="319"/>
      <c r="AU1186" s="319"/>
      <c r="AV1186" s="319"/>
      <c r="AW1186" s="319"/>
      <c r="AX1186" s="319"/>
      <c r="AY1186" s="319"/>
      <c r="AZ1186" s="319"/>
      <c r="BA1186" s="319"/>
      <c r="BB1186" s="319"/>
      <c r="BC1186" s="319"/>
      <c r="BD1186" s="319"/>
      <c r="BE1186" s="319"/>
      <c r="BF1186" s="319"/>
      <c r="BG1186" s="319"/>
      <c r="BH1186" s="319"/>
      <c r="BI1186" s="319"/>
      <c r="BJ1186" s="319"/>
      <c r="BK1186" s="319"/>
      <c r="BL1186" s="319"/>
      <c r="BM1186" s="319"/>
      <c r="BN1186" s="319"/>
      <c r="BO1186" s="319"/>
      <c r="BP1186" s="319"/>
      <c r="BQ1186" s="319"/>
      <c r="BR1186" s="319"/>
      <c r="BS1186" s="319"/>
      <c r="BT1186" s="319"/>
      <c r="BU1186" s="319"/>
      <c r="BV1186" s="319"/>
      <c r="BW1186" s="319"/>
      <c r="BX1186" s="319"/>
      <c r="BY1186" s="319"/>
      <c r="BZ1186" s="319"/>
      <c r="CA1186" s="319"/>
      <c r="CB1186" s="319"/>
      <c r="CC1186" s="319"/>
      <c r="CD1186" s="319"/>
      <c r="CE1186" s="319"/>
      <c r="CF1186" s="319"/>
    </row>
    <row r="1187" spans="1:84" ht="13.5" hidden="1" customHeight="1">
      <c r="A1187" s="319">
        <f t="shared" si="171"/>
        <v>1</v>
      </c>
      <c r="B1187" s="481" t="str">
        <f>Language!C1170</f>
        <v>Gas natural - m³</v>
      </c>
      <c r="C1187" s="319" t="str">
        <f>M1187</f>
        <v>m³</v>
      </c>
      <c r="D1187" s="319" t="str">
        <f>O1187</f>
        <v>€/m³</v>
      </c>
      <c r="E1187" s="494">
        <f>IF(EMHV=1,P1187,Q1187)</f>
        <v>47.856000000000002</v>
      </c>
      <c r="F1187" s="494">
        <v>0.71</v>
      </c>
      <c r="G1187" s="494">
        <f t="shared" si="172"/>
        <v>0</v>
      </c>
      <c r="H1187" s="494">
        <f t="shared" si="173"/>
        <v>0</v>
      </c>
      <c r="I1187" s="319" t="str">
        <f t="shared" si="176"/>
        <v>Gás Natural</v>
      </c>
      <c r="J1187" s="319"/>
      <c r="K1187" s="319" t="str">
        <f t="shared" si="174"/>
        <v>Gas natural - m³</v>
      </c>
      <c r="L1187" s="319" t="str">
        <f t="shared" si="177"/>
        <v>Gás Natural</v>
      </c>
      <c r="M1187" s="319" t="str">
        <f>Language!C1375</f>
        <v>m³</v>
      </c>
      <c r="N1187" s="494">
        <f t="shared" si="175"/>
        <v>9.4382666666666655</v>
      </c>
      <c r="O1187" s="319" t="str">
        <f>Currency&amp;Language!C1300</f>
        <v>€/m³</v>
      </c>
      <c r="P1187" s="494">
        <v>52.801000000000002</v>
      </c>
      <c r="Q1187" s="494">
        <v>47.856000000000002</v>
      </c>
      <c r="R1187" s="319" t="s">
        <v>8404</v>
      </c>
      <c r="S1187" s="319" t="s">
        <v>7046</v>
      </c>
      <c r="T1187" s="319"/>
      <c r="U1187" s="319"/>
      <c r="V1187" s="319"/>
      <c r="W1187" s="319"/>
      <c r="X1187" s="319"/>
      <c r="Y1187" s="319"/>
      <c r="Z1187" s="319"/>
      <c r="AA1187" s="319"/>
      <c r="AB1187" s="319"/>
      <c r="AC1187" s="319"/>
      <c r="AD1187" s="319"/>
      <c r="AE1187" s="319"/>
      <c r="AF1187" s="319"/>
      <c r="AG1187" s="319"/>
      <c r="AH1187" s="319"/>
      <c r="AI1187" s="319"/>
      <c r="AJ1187" s="319"/>
      <c r="AK1187" s="319"/>
      <c r="AL1187" s="319"/>
      <c r="AM1187" s="319"/>
      <c r="AN1187" s="319"/>
      <c r="AO1187" s="587"/>
      <c r="AP1187" s="319"/>
      <c r="AQ1187" s="319"/>
      <c r="AR1187" s="319"/>
      <c r="AS1187" s="319"/>
      <c r="AT1187" s="319"/>
      <c r="AU1187" s="319"/>
      <c r="AV1187" s="319"/>
      <c r="AW1187" s="319"/>
      <c r="AX1187" s="319"/>
      <c r="AY1187" s="319"/>
      <c r="AZ1187" s="319"/>
      <c r="BA1187" s="319"/>
      <c r="BB1187" s="319"/>
      <c r="BC1187" s="319"/>
      <c r="BD1187" s="319"/>
      <c r="BE1187" s="319"/>
      <c r="BF1187" s="319"/>
      <c r="BG1187" s="319"/>
      <c r="BH1187" s="319"/>
      <c r="BI1187" s="319"/>
      <c r="BJ1187" s="319"/>
      <c r="BK1187" s="319"/>
      <c r="BL1187" s="319"/>
      <c r="BM1187" s="319"/>
      <c r="BN1187" s="319"/>
      <c r="BO1187" s="319"/>
      <c r="BP1187" s="319"/>
      <c r="BQ1187" s="319"/>
      <c r="BR1187" s="319"/>
      <c r="BS1187" s="319"/>
      <c r="BT1187" s="319"/>
      <c r="BU1187" s="319"/>
      <c r="BV1187" s="319"/>
      <c r="BW1187" s="319"/>
      <c r="BX1187" s="319"/>
      <c r="BY1187" s="319"/>
      <c r="BZ1187" s="319"/>
      <c r="CA1187" s="319"/>
      <c r="CB1187" s="319"/>
      <c r="CC1187" s="319"/>
      <c r="CD1187" s="319"/>
      <c r="CE1187" s="319"/>
      <c r="CF1187" s="319"/>
    </row>
    <row r="1188" spans="1:84" ht="13.5" hidden="1" customHeight="1">
      <c r="A1188" s="319">
        <f t="shared" si="171"/>
        <v>1</v>
      </c>
      <c r="B1188" s="481" t="str">
        <f>Language!C1172</f>
        <v>Gas natural - mmBtu</v>
      </c>
      <c r="C1188" s="319" t="str">
        <f>M1188</f>
        <v>mmBtu</v>
      </c>
      <c r="D1188" s="319" t="str">
        <f>O1188</f>
        <v>€/mmBtu</v>
      </c>
      <c r="E1188" s="494">
        <f>$E$1187</f>
        <v>47.856000000000002</v>
      </c>
      <c r="F1188" s="494">
        <f>F1185*3.6/AB1087</f>
        <v>22.046469671932456</v>
      </c>
      <c r="G1188" s="494">
        <f t="shared" si="172"/>
        <v>0</v>
      </c>
      <c r="H1188" s="494">
        <f t="shared" si="173"/>
        <v>0</v>
      </c>
      <c r="I1188" s="319" t="str">
        <f t="shared" si="176"/>
        <v>Gás Natural</v>
      </c>
      <c r="J1188" s="319"/>
      <c r="K1188" s="319" t="str">
        <f t="shared" si="174"/>
        <v>Gas natural - mmBtu</v>
      </c>
      <c r="L1188" s="319" t="str">
        <f t="shared" si="177"/>
        <v>Gás Natural</v>
      </c>
      <c r="M1188" s="319" t="str">
        <f>Language!C1394</f>
        <v>mmBtu</v>
      </c>
      <c r="N1188" s="494">
        <f t="shared" si="175"/>
        <v>293.07107017222216</v>
      </c>
      <c r="O1188" s="319" t="str">
        <f>Currency&amp;Language!C1301</f>
        <v>€/mmBtu</v>
      </c>
      <c r="P1188" s="494"/>
      <c r="Q1188" s="494"/>
      <c r="R1188" s="319" t="s">
        <v>8405</v>
      </c>
      <c r="S1188" s="319" t="s">
        <v>7048</v>
      </c>
      <c r="T1188" s="319"/>
      <c r="U1188" s="319"/>
      <c r="V1188" s="319"/>
      <c r="W1188" s="319"/>
      <c r="X1188" s="319"/>
      <c r="Y1188" s="319"/>
      <c r="Z1188" s="319"/>
      <c r="AA1188" s="319"/>
      <c r="AB1188" s="319"/>
      <c r="AC1188" s="319"/>
      <c r="AD1188" s="319"/>
      <c r="AE1188" s="319"/>
      <c r="AF1188" s="319"/>
      <c r="AG1188" s="319"/>
      <c r="AH1188" s="319"/>
      <c r="AI1188" s="319"/>
      <c r="AJ1188" s="319"/>
      <c r="AK1188" s="319"/>
      <c r="AL1188" s="319"/>
      <c r="AM1188" s="319"/>
      <c r="AN1188" s="319"/>
      <c r="AO1188" s="587"/>
      <c r="AP1188" s="319"/>
      <c r="AQ1188" s="319"/>
      <c r="AR1188" s="319"/>
      <c r="AS1188" s="319"/>
      <c r="AT1188" s="319"/>
      <c r="AU1188" s="319"/>
      <c r="AV1188" s="319"/>
      <c r="AW1188" s="319"/>
      <c r="AX1188" s="319"/>
      <c r="AY1188" s="319"/>
      <c r="AZ1188" s="319"/>
      <c r="BA1188" s="319"/>
      <c r="BB1188" s="319"/>
      <c r="BC1188" s="319"/>
      <c r="BD1188" s="319"/>
      <c r="BE1188" s="319"/>
      <c r="BF1188" s="319"/>
      <c r="BG1188" s="319"/>
      <c r="BH1188" s="319"/>
      <c r="BI1188" s="319"/>
      <c r="BJ1188" s="319"/>
      <c r="BK1188" s="319"/>
      <c r="BL1188" s="319"/>
      <c r="BM1188" s="319"/>
      <c r="BN1188" s="319"/>
      <c r="BO1188" s="319"/>
      <c r="BP1188" s="319"/>
      <c r="BQ1188" s="319"/>
      <c r="BR1188" s="319"/>
      <c r="BS1188" s="319"/>
      <c r="BT1188" s="319"/>
      <c r="BU1188" s="319"/>
      <c r="BV1188" s="319"/>
      <c r="BW1188" s="319"/>
      <c r="BX1188" s="319"/>
      <c r="BY1188" s="319"/>
      <c r="BZ1188" s="319"/>
      <c r="CA1188" s="319"/>
      <c r="CB1188" s="319"/>
      <c r="CC1188" s="319"/>
      <c r="CD1188" s="319"/>
      <c r="CE1188" s="319"/>
      <c r="CF1188" s="319"/>
    </row>
    <row r="1189" spans="1:84" ht="13.5" hidden="1" customHeight="1">
      <c r="A1189" s="319">
        <f t="shared" si="171"/>
        <v>1</v>
      </c>
      <c r="B1189" s="481" t="str">
        <f>Language!C2853</f>
        <v>Gaz natural - térm.</v>
      </c>
      <c r="C1189" s="319" t="str">
        <f>Language!C2252</f>
        <v>térm.</v>
      </c>
      <c r="D1189" s="319" t="str">
        <f>O1189</f>
        <v>€/térm.</v>
      </c>
      <c r="E1189" s="494">
        <f>$E$1187</f>
        <v>47.856000000000002</v>
      </c>
      <c r="F1189" s="494">
        <f>F1188/10</f>
        <v>2.2046469671932458</v>
      </c>
      <c r="G1189" s="494">
        <f>IF($C$1117=0,SUMIF($R$940:$R$961,B1189,$G$940:$G$961),SUMIF($I$1155:$I$1170,B1189,$J$1155:$J$1170))</f>
        <v>0</v>
      </c>
      <c r="H1189" s="494">
        <f>IF($C$1117=0,SUMIF($R$940:$R$961,B1189,$S$940:$S$961),SUMIF($I$1155:$I$1170,B1189,$K$1155:$K$1170))</f>
        <v>0</v>
      </c>
      <c r="I1189" s="319" t="str">
        <f t="shared" si="176"/>
        <v>Gás Natural</v>
      </c>
      <c r="J1189" s="319"/>
      <c r="K1189" s="319" t="str">
        <f t="shared" si="174"/>
        <v>Gaz natural - térm.</v>
      </c>
      <c r="L1189" s="319" t="str">
        <f t="shared" si="177"/>
        <v>Gás Natural</v>
      </c>
      <c r="M1189" s="319" t="str">
        <f>C1189</f>
        <v>térm.</v>
      </c>
      <c r="N1189" s="494">
        <f t="shared" si="175"/>
        <v>29.307107017222215</v>
      </c>
      <c r="O1189" s="481" t="str">
        <f>Currency&amp;Language!C2854</f>
        <v>€/térm.</v>
      </c>
      <c r="P1189" s="494"/>
      <c r="Q1189" s="494"/>
      <c r="R1189" s="319" t="s">
        <v>7060</v>
      </c>
      <c r="S1189" s="319" t="s">
        <v>8405</v>
      </c>
      <c r="T1189" s="319"/>
      <c r="U1189" s="319"/>
      <c r="V1189" s="319"/>
      <c r="W1189" s="319"/>
      <c r="X1189" s="319"/>
      <c r="Y1189" s="319"/>
      <c r="Z1189" s="319"/>
      <c r="AA1189" s="319"/>
      <c r="AB1189" s="319"/>
      <c r="AC1189" s="319"/>
      <c r="AD1189" s="319"/>
      <c r="AE1189" s="319"/>
      <c r="AF1189" s="319"/>
      <c r="AG1189" s="319"/>
      <c r="AH1189" s="319"/>
      <c r="AI1189" s="319"/>
      <c r="AJ1189" s="319"/>
      <c r="AK1189" s="319"/>
      <c r="AL1189" s="319"/>
      <c r="AM1189" s="319"/>
      <c r="AN1189" s="319"/>
      <c r="AO1189" s="587"/>
      <c r="AP1189" s="319"/>
      <c r="AQ1189" s="319"/>
      <c r="AR1189" s="319"/>
      <c r="AS1189" s="319"/>
      <c r="AT1189" s="319"/>
      <c r="AU1189" s="319"/>
      <c r="AV1189" s="319"/>
      <c r="AW1189" s="319"/>
      <c r="AX1189" s="319"/>
      <c r="AY1189" s="319"/>
      <c r="AZ1189" s="319"/>
      <c r="BA1189" s="319"/>
      <c r="BB1189" s="319"/>
      <c r="BC1189" s="319"/>
      <c r="BD1189" s="319"/>
      <c r="BE1189" s="319"/>
      <c r="BF1189" s="319"/>
      <c r="BG1189" s="319"/>
      <c r="BH1189" s="319"/>
      <c r="BI1189" s="319"/>
      <c r="BJ1189" s="319"/>
      <c r="BK1189" s="319"/>
      <c r="BL1189" s="319"/>
      <c r="BM1189" s="319"/>
      <c r="BN1189" s="319"/>
      <c r="BO1189" s="319"/>
      <c r="BP1189" s="319"/>
      <c r="BQ1189" s="319"/>
      <c r="BR1189" s="319"/>
      <c r="BS1189" s="319"/>
      <c r="BT1189" s="319"/>
      <c r="BU1189" s="319"/>
      <c r="BV1189" s="319"/>
      <c r="BW1189" s="319"/>
      <c r="BX1189" s="319"/>
      <c r="BY1189" s="319"/>
      <c r="BZ1189" s="319"/>
      <c r="CA1189" s="319"/>
      <c r="CB1189" s="319"/>
      <c r="CC1189" s="319"/>
      <c r="CD1189" s="319"/>
      <c r="CE1189" s="319"/>
      <c r="CF1189" s="319"/>
    </row>
    <row r="1190" spans="1:84" ht="13.5" hidden="1" customHeight="1">
      <c r="A1190" s="319">
        <f t="shared" si="171"/>
        <v>1</v>
      </c>
      <c r="B1190" s="319" t="str">
        <f>Language!C1184</f>
        <v>Oleo (#6) - gal</v>
      </c>
      <c r="C1190" s="319" t="str">
        <f>$M$1192</f>
        <v>gal</v>
      </c>
      <c r="D1190" s="319" t="str">
        <f>$O$1192</f>
        <v>€/gal</v>
      </c>
      <c r="E1190" s="494">
        <f>E1191</f>
        <v>41.158957331999993</v>
      </c>
      <c r="F1190" s="494">
        <f>F1191*$AA$1079</f>
        <v>3.5582870769599997</v>
      </c>
      <c r="G1190" s="494">
        <f t="shared" si="172"/>
        <v>0</v>
      </c>
      <c r="H1190" s="494">
        <f t="shared" si="173"/>
        <v>0</v>
      </c>
      <c r="I1190" s="319" t="str">
        <f>$B$1300</f>
        <v>Óleo (#6)</v>
      </c>
      <c r="J1190" s="319"/>
      <c r="K1190" s="319" t="str">
        <f t="shared" si="174"/>
        <v>Oleo (#6) - gal</v>
      </c>
      <c r="L1190" s="319" t="str">
        <f>$I$1191</f>
        <v>Óleo (#6)</v>
      </c>
      <c r="M1190" s="319" t="str">
        <f>$M$1192</f>
        <v>gal</v>
      </c>
      <c r="N1190" s="494">
        <f t="shared" si="175"/>
        <v>40.682051659889886</v>
      </c>
      <c r="O1190" s="319" t="str">
        <f>$O$1192</f>
        <v>€/gal</v>
      </c>
      <c r="P1190" s="494"/>
      <c r="Q1190" s="494"/>
      <c r="R1190" s="319" t="s">
        <v>7059</v>
      </c>
      <c r="S1190" s="319" t="s">
        <v>7060</v>
      </c>
      <c r="T1190" s="319"/>
      <c r="U1190" s="319"/>
      <c r="V1190" s="319"/>
      <c r="W1190" s="319"/>
      <c r="X1190" s="319"/>
      <c r="Y1190" s="319"/>
      <c r="Z1190" s="319"/>
      <c r="AA1190" s="319"/>
      <c r="AB1190" s="319"/>
      <c r="AC1190" s="319"/>
      <c r="AD1190" s="319"/>
      <c r="AE1190" s="319"/>
      <c r="AF1190" s="319"/>
      <c r="AG1190" s="319"/>
      <c r="AH1190" s="319"/>
      <c r="AI1190" s="319"/>
      <c r="AJ1190" s="319"/>
      <c r="AK1190" s="319"/>
      <c r="AL1190" s="319"/>
      <c r="AM1190" s="319"/>
      <c r="AN1190" s="319"/>
      <c r="AO1190" s="587"/>
      <c r="AP1190" s="319"/>
      <c r="AQ1190" s="319"/>
      <c r="AR1190" s="319"/>
      <c r="AS1190" s="319"/>
      <c r="AT1190" s="319"/>
      <c r="AU1190" s="319"/>
      <c r="AV1190" s="319"/>
      <c r="AW1190" s="319"/>
      <c r="AX1190" s="319"/>
      <c r="AY1190" s="319"/>
      <c r="AZ1190" s="319"/>
      <c r="BA1190" s="319"/>
      <c r="BB1190" s="319"/>
      <c r="BC1190" s="319"/>
      <c r="BD1190" s="319"/>
      <c r="BE1190" s="319"/>
      <c r="BF1190" s="319"/>
      <c r="BG1190" s="319"/>
      <c r="BH1190" s="319"/>
      <c r="BI1190" s="319"/>
      <c r="BJ1190" s="319"/>
      <c r="BK1190" s="319"/>
      <c r="BL1190" s="319"/>
      <c r="BM1190" s="319"/>
      <c r="BN1190" s="319"/>
      <c r="BO1190" s="319"/>
      <c r="BP1190" s="319"/>
      <c r="BQ1190" s="319"/>
      <c r="BR1190" s="319"/>
      <c r="BS1190" s="319"/>
      <c r="BT1190" s="319"/>
      <c r="BU1190" s="319"/>
      <c r="BV1190" s="319"/>
      <c r="BW1190" s="319"/>
      <c r="BX1190" s="319"/>
      <c r="BY1190" s="319"/>
      <c r="BZ1190" s="319"/>
      <c r="CA1190" s="319"/>
      <c r="CB1190" s="319"/>
      <c r="CC1190" s="319"/>
      <c r="CD1190" s="319"/>
      <c r="CE1190" s="319"/>
      <c r="CF1190" s="319"/>
    </row>
    <row r="1191" spans="1:84" ht="13.5" hidden="1" customHeight="1">
      <c r="A1191" s="319">
        <f t="shared" si="171"/>
        <v>1</v>
      </c>
      <c r="B1191" s="319" t="str">
        <f>Language!C1183</f>
        <v>Oleo (#6) - L</v>
      </c>
      <c r="C1191" s="319" t="str">
        <f>$M$1194</f>
        <v>L</v>
      </c>
      <c r="D1191" s="319" t="str">
        <f>$O$1194</f>
        <v>€/L</v>
      </c>
      <c r="E1191" s="494">
        <f>IF(EMHV=1,P1191,Q1191)</f>
        <v>41.158957331999993</v>
      </c>
      <c r="F1191" s="494">
        <v>0.94</v>
      </c>
      <c r="G1191" s="494">
        <f t="shared" si="172"/>
        <v>0</v>
      </c>
      <c r="H1191" s="494">
        <f t="shared" si="173"/>
        <v>0</v>
      </c>
      <c r="I1191" s="319" t="str">
        <f>$B$1300</f>
        <v>Óleo (#6)</v>
      </c>
      <c r="J1191" s="319"/>
      <c r="K1191" s="319" t="str">
        <f t="shared" si="174"/>
        <v>Oleo (#6) - L</v>
      </c>
      <c r="L1191" s="319" t="str">
        <f>$I$1191</f>
        <v>Óleo (#6)</v>
      </c>
      <c r="M1191" s="319" t="str">
        <f>$M$1194</f>
        <v>L</v>
      </c>
      <c r="N1191" s="494">
        <f t="shared" si="175"/>
        <v>10.74706108113333</v>
      </c>
      <c r="O1191" s="319" t="str">
        <f>$O$1194</f>
        <v>€/L</v>
      </c>
      <c r="P1191" s="494">
        <v>43.098877331999994</v>
      </c>
      <c r="Q1191" s="494">
        <v>41.158957331999993</v>
      </c>
      <c r="R1191" s="319" t="s">
        <v>7051</v>
      </c>
      <c r="S1191" s="319" t="s">
        <v>7059</v>
      </c>
      <c r="T1191" s="319"/>
      <c r="U1191" s="319"/>
      <c r="V1191" s="319"/>
      <c r="W1191" s="319"/>
      <c r="X1191" s="319"/>
      <c r="Y1191" s="319"/>
      <c r="Z1191" s="319"/>
      <c r="AA1191" s="319"/>
      <c r="AB1191" s="319"/>
      <c r="AC1191" s="319"/>
      <c r="AD1191" s="319"/>
      <c r="AE1191" s="319"/>
      <c r="AF1191" s="319"/>
      <c r="AG1191" s="319"/>
      <c r="AH1191" s="319"/>
      <c r="AI1191" s="319"/>
      <c r="AJ1191" s="319"/>
      <c r="AK1191" s="319"/>
      <c r="AL1191" s="319"/>
      <c r="AM1191" s="319"/>
      <c r="AN1191" s="319"/>
      <c r="AO1191" s="587"/>
      <c r="AP1191" s="319"/>
      <c r="AQ1191" s="319"/>
      <c r="AR1191" s="319"/>
      <c r="AS1191" s="319"/>
      <c r="AT1191" s="319"/>
      <c r="AU1191" s="319"/>
      <c r="AV1191" s="319"/>
      <c r="AW1191" s="319"/>
      <c r="AX1191" s="319"/>
      <c r="AY1191" s="319"/>
      <c r="AZ1191" s="319"/>
      <c r="BA1191" s="319"/>
      <c r="BB1191" s="319"/>
      <c r="BC1191" s="319"/>
      <c r="BD1191" s="319"/>
      <c r="BE1191" s="319"/>
      <c r="BF1191" s="319"/>
      <c r="BG1191" s="319"/>
      <c r="BH1191" s="319"/>
      <c r="BI1191" s="319"/>
      <c r="BJ1191" s="319"/>
      <c r="BK1191" s="319"/>
      <c r="BL1191" s="319"/>
      <c r="BM1191" s="319"/>
      <c r="BN1191" s="319"/>
      <c r="BO1191" s="319"/>
      <c r="BP1191" s="319"/>
      <c r="BQ1191" s="319"/>
      <c r="BR1191" s="319"/>
      <c r="BS1191" s="319"/>
      <c r="BT1191" s="319"/>
      <c r="BU1191" s="319"/>
      <c r="BV1191" s="319"/>
      <c r="BW1191" s="319"/>
      <c r="BX1191" s="319"/>
      <c r="BY1191" s="319"/>
      <c r="BZ1191" s="319"/>
      <c r="CA1191" s="319"/>
      <c r="CB1191" s="319"/>
      <c r="CC1191" s="319"/>
      <c r="CD1191" s="319"/>
      <c r="CE1191" s="319"/>
      <c r="CF1191" s="319"/>
    </row>
    <row r="1192" spans="1:84" ht="13.5" hidden="1" customHeight="1">
      <c r="A1192" s="319">
        <f t="shared" si="171"/>
        <v>1</v>
      </c>
      <c r="B1192" s="319" t="str">
        <f>Language!C1175</f>
        <v>Propano - gal</v>
      </c>
      <c r="C1192" s="319" t="str">
        <f>$M$1192</f>
        <v>gal</v>
      </c>
      <c r="D1192" s="319" t="str">
        <f>O1192</f>
        <v>€/gal</v>
      </c>
      <c r="E1192" s="494">
        <f>$E$1194</f>
        <v>48.091999999999999</v>
      </c>
      <c r="F1192" s="494">
        <f>AA1079*F1194</f>
        <v>1.93056000984</v>
      </c>
      <c r="G1192" s="494">
        <f t="shared" si="172"/>
        <v>0</v>
      </c>
      <c r="H1192" s="494">
        <f t="shared" si="173"/>
        <v>0</v>
      </c>
      <c r="I1192" s="319" t="str">
        <f>$B$1296</f>
        <v>Propano</v>
      </c>
      <c r="J1192" s="319"/>
      <c r="K1192" s="319" t="str">
        <f t="shared" si="174"/>
        <v>Propano - gal</v>
      </c>
      <c r="L1192" s="319" t="str">
        <f>$I$1194</f>
        <v>Propano</v>
      </c>
      <c r="M1192" s="319" t="str">
        <f>Language!C1334</f>
        <v>gal</v>
      </c>
      <c r="N1192" s="494">
        <f t="shared" si="175"/>
        <v>25.790136664784796</v>
      </c>
      <c r="O1192" s="319" t="str">
        <f>Currency&amp;Language!C1294</f>
        <v>€/gal</v>
      </c>
      <c r="P1192" s="494"/>
      <c r="Q1192" s="494"/>
      <c r="R1192" s="319" t="s">
        <v>7052</v>
      </c>
      <c r="S1192" s="319" t="s">
        <v>7051</v>
      </c>
      <c r="T1192" s="319"/>
      <c r="U1192" s="319"/>
      <c r="V1192" s="319"/>
      <c r="W1192" s="319"/>
      <c r="X1192" s="319"/>
      <c r="Y1192" s="319"/>
      <c r="Z1192" s="319"/>
      <c r="AA1192" s="319"/>
      <c r="AB1192" s="319"/>
      <c r="AC1192" s="319"/>
      <c r="AD1192" s="319"/>
      <c r="AE1192" s="319"/>
      <c r="AF1192" s="319"/>
      <c r="AG1192" s="319"/>
      <c r="AH1192" s="319"/>
      <c r="AI1192" s="319"/>
      <c r="AJ1192" s="319"/>
      <c r="AK1192" s="319"/>
      <c r="AL1192" s="319"/>
      <c r="AM1192" s="319"/>
      <c r="AN1192" s="319"/>
      <c r="AO1192" s="587"/>
      <c r="AP1192" s="319"/>
      <c r="AQ1192" s="319"/>
      <c r="AR1192" s="319"/>
      <c r="AS1192" s="319"/>
      <c r="AT1192" s="319"/>
      <c r="AU1192" s="319"/>
      <c r="AV1192" s="319"/>
      <c r="AW1192" s="319"/>
      <c r="AX1192" s="319"/>
      <c r="AY1192" s="319"/>
      <c r="AZ1192" s="319"/>
      <c r="BA1192" s="319"/>
      <c r="BB1192" s="319"/>
      <c r="BC1192" s="319"/>
      <c r="BD1192" s="319"/>
      <c r="BE1192" s="319"/>
      <c r="BF1192" s="319"/>
      <c r="BG1192" s="319"/>
      <c r="BH1192" s="319"/>
      <c r="BI1192" s="319"/>
      <c r="BJ1192" s="319"/>
      <c r="BK1192" s="319"/>
      <c r="BL1192" s="319"/>
      <c r="BM1192" s="319"/>
      <c r="BN1192" s="319"/>
      <c r="BO1192" s="319"/>
      <c r="BP1192" s="319"/>
      <c r="BQ1192" s="319"/>
      <c r="BR1192" s="319"/>
      <c r="BS1192" s="319"/>
      <c r="BT1192" s="319"/>
      <c r="BU1192" s="319"/>
      <c r="BV1192" s="319"/>
      <c r="BW1192" s="319"/>
      <c r="BX1192" s="319"/>
      <c r="BY1192" s="319"/>
      <c r="BZ1192" s="319"/>
      <c r="CA1192" s="319"/>
      <c r="CB1192" s="319"/>
      <c r="CC1192" s="319"/>
      <c r="CD1192" s="319"/>
      <c r="CE1192" s="319"/>
      <c r="CF1192" s="319"/>
    </row>
    <row r="1193" spans="1:84" ht="13.5" hidden="1" customHeight="1">
      <c r="A1193" s="319">
        <f t="shared" si="171"/>
        <v>1</v>
      </c>
      <c r="B1193" s="319" t="str">
        <f>Language!C1176</f>
        <v>Propano - kg</v>
      </c>
      <c r="C1193" s="319" t="str">
        <f>$M$1193</f>
        <v>kg</v>
      </c>
      <c r="D1193" s="319" t="str">
        <f>O1193</f>
        <v>€/kg</v>
      </c>
      <c r="E1193" s="494">
        <f>$E$1194</f>
        <v>48.091999999999999</v>
      </c>
      <c r="F1193" s="494">
        <v>1</v>
      </c>
      <c r="G1193" s="494">
        <f t="shared" si="172"/>
        <v>0</v>
      </c>
      <c r="H1193" s="494">
        <f t="shared" si="173"/>
        <v>0</v>
      </c>
      <c r="I1193" s="319" t="str">
        <f>$B$1296</f>
        <v>Propano</v>
      </c>
      <c r="J1193" s="319"/>
      <c r="K1193" s="319" t="str">
        <f t="shared" si="174"/>
        <v>Propano - kg</v>
      </c>
      <c r="L1193" s="319" t="str">
        <f>$I$1194</f>
        <v>Propano</v>
      </c>
      <c r="M1193" s="319" t="str">
        <f>Language!C1352</f>
        <v>kg</v>
      </c>
      <c r="N1193" s="494">
        <f t="shared" si="175"/>
        <v>13.358888888888888</v>
      </c>
      <c r="O1193" s="319" t="str">
        <f>Currency&amp;Language!C1296</f>
        <v>€/kg</v>
      </c>
      <c r="P1193" s="494"/>
      <c r="Q1193" s="494"/>
      <c r="R1193" s="319" t="s">
        <v>7050</v>
      </c>
      <c r="S1193" s="319" t="s">
        <v>7052</v>
      </c>
      <c r="T1193" s="319"/>
      <c r="U1193" s="319"/>
      <c r="V1193" s="319"/>
      <c r="W1193" s="319"/>
      <c r="X1193" s="319"/>
      <c r="Y1193" s="319"/>
      <c r="Z1193" s="319"/>
      <c r="AA1193" s="319"/>
      <c r="AB1193" s="319"/>
      <c r="AC1193" s="319"/>
      <c r="AD1193" s="319"/>
      <c r="AE1193" s="319"/>
      <c r="AF1193" s="319"/>
      <c r="AG1193" s="319"/>
      <c r="AH1193" s="319"/>
      <c r="AI1193" s="319"/>
      <c r="AJ1193" s="319"/>
      <c r="AK1193" s="319"/>
      <c r="AL1193" s="319"/>
      <c r="AM1193" s="319"/>
      <c r="AN1193" s="319"/>
      <c r="AO1193" s="587"/>
      <c r="AP1193" s="319"/>
      <c r="AQ1193" s="319"/>
      <c r="AR1193" s="319"/>
      <c r="AS1193" s="319"/>
      <c r="AT1193" s="319"/>
      <c r="AU1193" s="319"/>
      <c r="AV1193" s="319"/>
      <c r="AW1193" s="319"/>
      <c r="AX1193" s="319"/>
      <c r="AY1193" s="319"/>
      <c r="AZ1193" s="319"/>
      <c r="BA1193" s="319"/>
      <c r="BB1193" s="319"/>
      <c r="BC1193" s="319"/>
      <c r="BD1193" s="319"/>
      <c r="BE1193" s="319"/>
      <c r="BF1193" s="319"/>
      <c r="BG1193" s="319"/>
      <c r="BH1193" s="319"/>
      <c r="BI1193" s="319"/>
      <c r="BJ1193" s="319"/>
      <c r="BK1193" s="319"/>
      <c r="BL1193" s="319"/>
      <c r="BM1193" s="319"/>
      <c r="BN1193" s="319"/>
      <c r="BO1193" s="319"/>
      <c r="BP1193" s="319"/>
      <c r="BQ1193" s="319"/>
      <c r="BR1193" s="319"/>
      <c r="BS1193" s="319"/>
      <c r="BT1193" s="319"/>
      <c r="BU1193" s="319"/>
      <c r="BV1193" s="319"/>
      <c r="BW1193" s="319"/>
      <c r="BX1193" s="319"/>
      <c r="BY1193" s="319"/>
      <c r="BZ1193" s="319"/>
      <c r="CA1193" s="319"/>
      <c r="CB1193" s="319"/>
      <c r="CC1193" s="319"/>
      <c r="CD1193" s="319"/>
      <c r="CE1193" s="319"/>
      <c r="CF1193" s="319"/>
    </row>
    <row r="1194" spans="1:84" ht="13.5" hidden="1" customHeight="1">
      <c r="A1194" s="319">
        <f t="shared" si="171"/>
        <v>1</v>
      </c>
      <c r="B1194" s="319" t="str">
        <f>Language!C1174</f>
        <v>Propano - L</v>
      </c>
      <c r="C1194" s="319" t="str">
        <f>$M$1194</f>
        <v>L</v>
      </c>
      <c r="D1194" s="319" t="str">
        <f>O1194</f>
        <v>€/L</v>
      </c>
      <c r="E1194" s="494">
        <f>IF(EMHV=1,P1194,Q1194)</f>
        <v>48.091999999999999</v>
      </c>
      <c r="F1194" s="494">
        <v>0.51</v>
      </c>
      <c r="G1194" s="494">
        <f t="shared" si="172"/>
        <v>0</v>
      </c>
      <c r="H1194" s="494">
        <f t="shared" si="173"/>
        <v>0</v>
      </c>
      <c r="I1194" s="319" t="str">
        <f>$B$1296</f>
        <v>Propano</v>
      </c>
      <c r="J1194" s="319"/>
      <c r="K1194" s="319" t="str">
        <f t="shared" si="174"/>
        <v>Propano - L</v>
      </c>
      <c r="L1194" s="319" t="str">
        <f>$I$1194</f>
        <v>Propano</v>
      </c>
      <c r="M1194" s="319" t="str">
        <f>Language!C1366</f>
        <v>L</v>
      </c>
      <c r="N1194" s="494">
        <f t="shared" si="175"/>
        <v>6.8130333333333333</v>
      </c>
      <c r="O1194" s="319" t="str">
        <f>Currency&amp;Language!C1298</f>
        <v>€/L</v>
      </c>
      <c r="P1194" s="494">
        <v>52.1</v>
      </c>
      <c r="Q1194" s="494">
        <v>48.091999999999999</v>
      </c>
      <c r="R1194" s="319" t="s">
        <v>7056</v>
      </c>
      <c r="S1194" s="319" t="s">
        <v>7050</v>
      </c>
      <c r="T1194" s="319"/>
      <c r="U1194" s="319"/>
      <c r="V1194" s="319"/>
      <c r="W1194" s="319"/>
      <c r="X1194" s="319"/>
      <c r="Y1194" s="319"/>
      <c r="Z1194" s="319"/>
      <c r="AA1194" s="319"/>
      <c r="AB1194" s="319"/>
      <c r="AC1194" s="319"/>
      <c r="AD1194" s="319"/>
      <c r="AE1194" s="319"/>
      <c r="AF1194" s="319"/>
      <c r="AG1194" s="319"/>
      <c r="AH1194" s="319"/>
      <c r="AI1194" s="319"/>
      <c r="AJ1194" s="319"/>
      <c r="AK1194" s="319"/>
      <c r="AL1194" s="319"/>
      <c r="AM1194" s="319"/>
      <c r="AN1194" s="319"/>
      <c r="AO1194" s="587"/>
      <c r="AP1194" s="319"/>
      <c r="AQ1194" s="319"/>
      <c r="AR1194" s="319"/>
      <c r="AS1194" s="319"/>
      <c r="AT1194" s="319"/>
      <c r="AU1194" s="319"/>
      <c r="AV1194" s="319"/>
      <c r="AW1194" s="319"/>
      <c r="AX1194" s="319"/>
      <c r="AY1194" s="319"/>
      <c r="AZ1194" s="319"/>
      <c r="BA1194" s="319"/>
      <c r="BB1194" s="319"/>
      <c r="BC1194" s="319"/>
      <c r="BD1194" s="319"/>
      <c r="BE1194" s="319"/>
      <c r="BF1194" s="319"/>
      <c r="BG1194" s="319"/>
      <c r="BH1194" s="319"/>
      <c r="BI1194" s="319"/>
      <c r="BJ1194" s="319"/>
      <c r="BK1194" s="319"/>
      <c r="BL1194" s="319"/>
      <c r="BM1194" s="319"/>
      <c r="BN1194" s="319"/>
      <c r="BO1194" s="319"/>
      <c r="BP1194" s="319"/>
      <c r="BQ1194" s="319"/>
      <c r="BR1194" s="319"/>
      <c r="BS1194" s="319"/>
      <c r="BT1194" s="319"/>
      <c r="BU1194" s="319"/>
      <c r="BV1194" s="319"/>
      <c r="BW1194" s="319"/>
      <c r="BX1194" s="319"/>
      <c r="BY1194" s="319"/>
      <c r="BZ1194" s="319"/>
      <c r="CA1194" s="319"/>
      <c r="CB1194" s="319"/>
      <c r="CC1194" s="319"/>
      <c r="CD1194" s="319"/>
      <c r="CE1194" s="319"/>
      <c r="CF1194" s="319"/>
    </row>
    <row r="1195" spans="1:84" ht="13.5" hidden="1" customHeight="1">
      <c r="A1195" s="319">
        <f t="shared" si="171"/>
        <v>1</v>
      </c>
      <c r="B1195" s="319" t="str">
        <f>Language!C1442</f>
        <v>Combustível definido pelo usuário</v>
      </c>
      <c r="C1195" s="319" t="str">
        <f>Ferramentas!D461</f>
        <v>kg</v>
      </c>
      <c r="D1195" s="319" t="str">
        <f>Ferramentas!D462</f>
        <v>€/kg</v>
      </c>
      <c r="E1195" s="494">
        <f>IF(EMHV=1,P1195,Q1195)</f>
        <v>20</v>
      </c>
      <c r="F1195" s="494">
        <f>Ferramentas!L459</f>
        <v>1</v>
      </c>
      <c r="G1195" s="494">
        <f t="shared" si="172"/>
        <v>0</v>
      </c>
      <c r="H1195" s="494">
        <f t="shared" si="173"/>
        <v>0</v>
      </c>
      <c r="I1195" s="319" t="str">
        <f t="shared" ref="I1195:I1258" si="178">B1195</f>
        <v>Combustível definido pelo usuário</v>
      </c>
      <c r="J1195" s="319"/>
      <c r="K1195" s="319" t="str">
        <f t="shared" si="174"/>
        <v>Combustível definido pelo usuário</v>
      </c>
      <c r="L1195" s="319" t="str">
        <f>K1195</f>
        <v>Combustível definido pelo usuário</v>
      </c>
      <c r="M1195" s="319" t="str">
        <f>C1195</f>
        <v>kg</v>
      </c>
      <c r="N1195" s="494">
        <f>E1195*F1195/3.6</f>
        <v>5.5555555555555554</v>
      </c>
      <c r="O1195" s="319" t="str">
        <f>D1195</f>
        <v>€/kg</v>
      </c>
      <c r="P1195" s="494">
        <f>Ferramentas!L457</f>
        <v>0</v>
      </c>
      <c r="Q1195" s="494">
        <f>Ferramentas!L458</f>
        <v>20</v>
      </c>
      <c r="R1195" s="319" t="s">
        <v>7055</v>
      </c>
      <c r="S1195" s="319" t="s">
        <v>7235</v>
      </c>
      <c r="T1195" s="319"/>
      <c r="U1195" s="319"/>
      <c r="V1195" s="319"/>
      <c r="W1195" s="319"/>
      <c r="X1195" s="319"/>
      <c r="Y1195" s="319"/>
      <c r="Z1195" s="319"/>
      <c r="AA1195" s="319"/>
      <c r="AB1195" s="319"/>
      <c r="AC1195" s="319"/>
      <c r="AD1195" s="319"/>
      <c r="AE1195" s="319"/>
      <c r="AF1195" s="319"/>
      <c r="AG1195" s="319"/>
      <c r="AH1195" s="319"/>
      <c r="AI1195" s="319"/>
      <c r="AJ1195" s="319"/>
      <c r="AK1195" s="319"/>
      <c r="AL1195" s="319"/>
      <c r="AM1195" s="319"/>
      <c r="AN1195" s="319"/>
      <c r="AO1195" s="587"/>
      <c r="AP1195" s="319"/>
      <c r="AQ1195" s="319"/>
      <c r="AR1195" s="319"/>
      <c r="AS1195" s="319"/>
      <c r="AT1195" s="319"/>
      <c r="AU1195" s="319"/>
      <c r="AV1195" s="319"/>
      <c r="AW1195" s="319"/>
      <c r="AX1195" s="319"/>
      <c r="AY1195" s="319"/>
      <c r="AZ1195" s="319"/>
      <c r="BA1195" s="319"/>
      <c r="BB1195" s="319"/>
      <c r="BC1195" s="319"/>
      <c r="BD1195" s="319"/>
      <c r="BE1195" s="319"/>
      <c r="BF1195" s="319"/>
      <c r="BG1195" s="319"/>
      <c r="BH1195" s="319"/>
      <c r="BI1195" s="319"/>
      <c r="BJ1195" s="319"/>
      <c r="BK1195" s="319"/>
      <c r="BL1195" s="319"/>
      <c r="BM1195" s="319"/>
      <c r="BN1195" s="319"/>
      <c r="BO1195" s="319"/>
      <c r="BP1195" s="319"/>
      <c r="BQ1195" s="319"/>
      <c r="BR1195" s="319"/>
      <c r="BS1195" s="319"/>
      <c r="BT1195" s="319"/>
      <c r="BU1195" s="319"/>
      <c r="BV1195" s="319"/>
      <c r="BW1195" s="319"/>
      <c r="BX1195" s="319"/>
      <c r="BY1195" s="319"/>
      <c r="BZ1195" s="319"/>
      <c r="CA1195" s="319"/>
      <c r="CB1195" s="319"/>
      <c r="CC1195" s="319"/>
      <c r="CD1195" s="319"/>
      <c r="CE1195" s="319"/>
      <c r="CF1195" s="319"/>
    </row>
    <row r="1196" spans="1:84" ht="13.5" hidden="1" customHeight="1">
      <c r="A1196" s="319">
        <f t="shared" si="171"/>
        <v>1</v>
      </c>
      <c r="B1196" s="319" t="str">
        <f>Language!C1189</f>
        <v>Alfafa</v>
      </c>
      <c r="C1196" s="319" t="str">
        <f t="shared" ref="C1196:C1201" si="179">$M$1175</f>
        <v>t</v>
      </c>
      <c r="D1196" s="319" t="str">
        <f t="shared" ref="D1196:D1201" si="180">$O$1175</f>
        <v>€/t</v>
      </c>
      <c r="E1196" s="494">
        <f>IF(EMHV=1,P1196,Q1196)</f>
        <v>15.08183082</v>
      </c>
      <c r="F1196" s="494">
        <v>1000</v>
      </c>
      <c r="G1196" s="494">
        <f t="shared" si="172"/>
        <v>0</v>
      </c>
      <c r="H1196" s="494">
        <f t="shared" si="173"/>
        <v>0</v>
      </c>
      <c r="I1196" s="319" t="str">
        <f t="shared" si="178"/>
        <v>Alfafa</v>
      </c>
      <c r="J1196" s="319"/>
      <c r="K1196" s="319" t="str">
        <f>B1291</f>
        <v>Refrigeração Natural</v>
      </c>
      <c r="L1196" s="319" t="str">
        <f>K1196</f>
        <v>Refrigeração Natural</v>
      </c>
      <c r="M1196" s="319"/>
      <c r="N1196" s="494">
        <v>1000</v>
      </c>
      <c r="O1196" s="319" t="s">
        <v>637</v>
      </c>
      <c r="P1196" s="494">
        <v>16.11207082</v>
      </c>
      <c r="Q1196" s="494">
        <v>15.08183082</v>
      </c>
      <c r="R1196" s="319" t="s">
        <v>7136</v>
      </c>
      <c r="S1196" s="319"/>
      <c r="T1196" s="319"/>
      <c r="U1196" s="319"/>
      <c r="V1196" s="319"/>
      <c r="W1196" s="319"/>
      <c r="X1196" s="319"/>
      <c r="Y1196" s="319"/>
      <c r="Z1196" s="319"/>
      <c r="AA1196" s="319"/>
      <c r="AB1196" s="319"/>
      <c r="AC1196" s="319"/>
      <c r="AD1196" s="319"/>
      <c r="AE1196" s="319"/>
      <c r="AF1196" s="319"/>
      <c r="AG1196" s="319"/>
      <c r="AH1196" s="319"/>
      <c r="AI1196" s="319"/>
      <c r="AJ1196" s="319"/>
      <c r="AK1196" s="319"/>
      <c r="AL1196" s="319"/>
      <c r="AM1196" s="319"/>
      <c r="AN1196" s="319"/>
      <c r="AO1196" s="587"/>
      <c r="AP1196" s="319"/>
      <c r="AQ1196" s="319"/>
      <c r="AR1196" s="319"/>
      <c r="AS1196" s="319"/>
      <c r="AT1196" s="319"/>
      <c r="AU1196" s="319"/>
      <c r="AV1196" s="319"/>
      <c r="AW1196" s="319"/>
      <c r="AX1196" s="319"/>
      <c r="AY1196" s="319"/>
      <c r="AZ1196" s="319"/>
      <c r="BA1196" s="319"/>
      <c r="BB1196" s="319"/>
      <c r="BC1196" s="319"/>
      <c r="BD1196" s="319"/>
      <c r="BE1196" s="319"/>
      <c r="BF1196" s="319"/>
      <c r="BG1196" s="319"/>
      <c r="BH1196" s="319"/>
      <c r="BI1196" s="319"/>
      <c r="BJ1196" s="319"/>
      <c r="BK1196" s="319"/>
      <c r="BL1196" s="319"/>
      <c r="BM1196" s="319"/>
      <c r="BN1196" s="319"/>
      <c r="BO1196" s="319"/>
      <c r="BP1196" s="319"/>
      <c r="BQ1196" s="319"/>
      <c r="BR1196" s="319"/>
      <c r="BS1196" s="319"/>
      <c r="BT1196" s="319"/>
      <c r="BU1196" s="319"/>
      <c r="BV1196" s="319"/>
      <c r="BW1196" s="319"/>
      <c r="BX1196" s="319"/>
      <c r="BY1196" s="319"/>
      <c r="BZ1196" s="319"/>
      <c r="CA1196" s="319"/>
      <c r="CB1196" s="319"/>
      <c r="CC1196" s="319"/>
      <c r="CD1196" s="319"/>
      <c r="CE1196" s="319"/>
      <c r="CF1196" s="319"/>
    </row>
    <row r="1197" spans="1:84" ht="13.5" hidden="1" customHeight="1">
      <c r="A1197" s="319">
        <f t="shared" si="171"/>
        <v>1</v>
      </c>
      <c r="B1197" s="319" t="str">
        <f>Language!C1190</f>
        <v>Amêndua - casca</v>
      </c>
      <c r="C1197" s="319" t="str">
        <f t="shared" si="179"/>
        <v>t</v>
      </c>
      <c r="D1197" s="319" t="str">
        <f t="shared" si="180"/>
        <v>€/t</v>
      </c>
      <c r="E1197" s="494">
        <f>IF(EMHV=1,P1197,Q1197)</f>
        <v>18.951631381999995</v>
      </c>
      <c r="F1197" s="494">
        <v>1000</v>
      </c>
      <c r="G1197" s="494">
        <f t="shared" si="172"/>
        <v>0</v>
      </c>
      <c r="H1197" s="494">
        <f t="shared" si="173"/>
        <v>0</v>
      </c>
      <c r="I1197" s="319" t="str">
        <f t="shared" si="178"/>
        <v>Amêndua - casca</v>
      </c>
      <c r="J1197" s="319"/>
      <c r="K1197" s="319" t="str">
        <f>B1294</f>
        <v>Sistema de produção de eletricidade</v>
      </c>
      <c r="L1197" s="319" t="str">
        <f>K1197</f>
        <v>Sistema de produção de eletricidade</v>
      </c>
      <c r="M1197" s="319" t="str">
        <f>R14</f>
        <v>MWh</v>
      </c>
      <c r="N1197" s="494">
        <v>1000</v>
      </c>
      <c r="O1197" s="319" t="str">
        <f>Currency&amp;Language!C1302</f>
        <v>€/MWh</v>
      </c>
      <c r="P1197" s="494">
        <v>20.260255381999997</v>
      </c>
      <c r="Q1197" s="494">
        <v>18.951631381999995</v>
      </c>
      <c r="R1197" s="319" t="s">
        <v>7105</v>
      </c>
      <c r="S1197" s="319"/>
      <c r="T1197" s="319"/>
      <c r="U1197" s="319"/>
      <c r="V1197" s="319"/>
      <c r="W1197" s="319"/>
      <c r="X1197" s="319"/>
      <c r="Y1197" s="319"/>
      <c r="Z1197" s="319"/>
      <c r="AA1197" s="319"/>
      <c r="AB1197" s="319"/>
      <c r="AC1197" s="319"/>
      <c r="AD1197" s="319"/>
      <c r="AE1197" s="319"/>
      <c r="AF1197" s="319"/>
      <c r="AG1197" s="319"/>
      <c r="AH1197" s="319"/>
      <c r="AI1197" s="319"/>
      <c r="AJ1197" s="319"/>
      <c r="AK1197" s="319"/>
      <c r="AL1197" s="319"/>
      <c r="AM1197" s="319"/>
      <c r="AN1197" s="319"/>
      <c r="AO1197" s="587"/>
      <c r="AP1197" s="319"/>
      <c r="AQ1197" s="319"/>
      <c r="AR1197" s="319"/>
      <c r="AS1197" s="319"/>
      <c r="AT1197" s="319"/>
      <c r="AU1197" s="319"/>
      <c r="AV1197" s="319"/>
      <c r="AW1197" s="319"/>
      <c r="AX1197" s="319"/>
      <c r="AY1197" s="319"/>
      <c r="AZ1197" s="319"/>
      <c r="BA1197" s="319"/>
      <c r="BB1197" s="319"/>
      <c r="BC1197" s="319"/>
      <c r="BD1197" s="319"/>
      <c r="BE1197" s="319"/>
      <c r="BF1197" s="319"/>
      <c r="BG1197" s="319"/>
      <c r="BH1197" s="319"/>
      <c r="BI1197" s="319"/>
      <c r="BJ1197" s="319"/>
      <c r="BK1197" s="319"/>
      <c r="BL1197" s="319"/>
      <c r="BM1197" s="319"/>
      <c r="BN1197" s="319"/>
      <c r="BO1197" s="319"/>
      <c r="BP1197" s="319"/>
      <c r="BQ1197" s="319"/>
      <c r="BR1197" s="319"/>
      <c r="BS1197" s="319"/>
      <c r="BT1197" s="319"/>
      <c r="BU1197" s="319"/>
      <c r="BV1197" s="319"/>
      <c r="BW1197" s="319"/>
      <c r="BX1197" s="319"/>
      <c r="BY1197" s="319"/>
      <c r="BZ1197" s="319"/>
      <c r="CA1197" s="319"/>
      <c r="CB1197" s="319"/>
      <c r="CC1197" s="319"/>
      <c r="CD1197" s="319"/>
      <c r="CE1197" s="319"/>
      <c r="CF1197" s="319"/>
    </row>
    <row r="1198" spans="1:84" ht="13.5" hidden="1" customHeight="1">
      <c r="A1198" s="319">
        <f t="shared" si="171"/>
        <v>1</v>
      </c>
      <c r="B1198" s="319" t="str">
        <f>Language!C1191</f>
        <v>Cinza (branca)</v>
      </c>
      <c r="C1198" s="319" t="str">
        <f t="shared" si="179"/>
        <v>t</v>
      </c>
      <c r="D1198" s="319" t="str">
        <f t="shared" si="180"/>
        <v>€/t</v>
      </c>
      <c r="E1198" s="494">
        <f>IF(EMHV=1,P1198,Q1198)</f>
        <v>19.694610140000002</v>
      </c>
      <c r="F1198" s="494">
        <v>1000</v>
      </c>
      <c r="G1198" s="494">
        <f t="shared" si="172"/>
        <v>0</v>
      </c>
      <c r="H1198" s="494">
        <f t="shared" si="173"/>
        <v>0</v>
      </c>
      <c r="I1198" s="319" t="str">
        <f t="shared" si="178"/>
        <v>Cinza (branca)</v>
      </c>
      <c r="J1198" s="319"/>
      <c r="K1198" s="319" t="str">
        <f>B1293</f>
        <v>Sistema de Aquecimento</v>
      </c>
      <c r="L1198" s="319" t="str">
        <f>K1198</f>
        <v>Sistema de Aquecimento</v>
      </c>
      <c r="M1198" s="319" t="str">
        <f>R14</f>
        <v>MWh</v>
      </c>
      <c r="N1198" s="494">
        <v>1000</v>
      </c>
      <c r="O1198" s="319" t="str">
        <f>$O$1197</f>
        <v>€/MWh</v>
      </c>
      <c r="P1198" s="494">
        <v>21.207090140000002</v>
      </c>
      <c r="Q1198" s="494">
        <v>19.694610140000002</v>
      </c>
      <c r="R1198" s="605" t="s">
        <v>7062</v>
      </c>
      <c r="S1198" s="319"/>
      <c r="T1198" s="319"/>
      <c r="U1198" s="319"/>
      <c r="V1198" s="319"/>
      <c r="W1198" s="319"/>
      <c r="X1198" s="319"/>
      <c r="Y1198" s="319"/>
      <c r="Z1198" s="319"/>
      <c r="AA1198" s="319"/>
      <c r="AB1198" s="319"/>
      <c r="AC1198" s="319"/>
      <c r="AD1198" s="319"/>
      <c r="AE1198" s="319"/>
      <c r="AF1198" s="319"/>
      <c r="AG1198" s="319"/>
      <c r="AH1198" s="319"/>
      <c r="AI1198" s="319"/>
      <c r="AJ1198" s="319"/>
      <c r="AK1198" s="319"/>
      <c r="AL1198" s="319"/>
      <c r="AM1198" s="319"/>
      <c r="AN1198" s="319"/>
      <c r="AO1198" s="587"/>
      <c r="AP1198" s="319"/>
      <c r="AQ1198" s="319"/>
      <c r="AR1198" s="319"/>
      <c r="AS1198" s="319"/>
      <c r="AT1198" s="319"/>
      <c r="AU1198" s="319"/>
      <c r="AV1198" s="319"/>
      <c r="AW1198" s="319"/>
      <c r="AX1198" s="319"/>
      <c r="AY1198" s="319"/>
      <c r="AZ1198" s="319"/>
      <c r="BA1198" s="319"/>
      <c r="BB1198" s="319"/>
      <c r="BC1198" s="319"/>
      <c r="BD1198" s="319"/>
      <c r="BE1198" s="319"/>
      <c r="BF1198" s="319"/>
      <c r="BG1198" s="319"/>
      <c r="BH1198" s="319"/>
      <c r="BI1198" s="319"/>
      <c r="BJ1198" s="319"/>
      <c r="BK1198" s="319"/>
      <c r="BL1198" s="319"/>
      <c r="BM1198" s="319"/>
      <c r="BN1198" s="319"/>
      <c r="BO1198" s="319"/>
      <c r="BP1198" s="319"/>
      <c r="BQ1198" s="319"/>
      <c r="BR1198" s="319"/>
      <c r="BS1198" s="319"/>
      <c r="BT1198" s="319"/>
      <c r="BU1198" s="319"/>
      <c r="BV1198" s="319"/>
      <c r="BW1198" s="319"/>
      <c r="BX1198" s="319"/>
      <c r="BY1198" s="319"/>
      <c r="BZ1198" s="319"/>
      <c r="CA1198" s="319"/>
      <c r="CB1198" s="319"/>
      <c r="CC1198" s="319"/>
      <c r="CD1198" s="319"/>
      <c r="CE1198" s="319"/>
      <c r="CF1198" s="319"/>
    </row>
    <row r="1199" spans="1:84" ht="13.5" hidden="1" customHeight="1">
      <c r="A1199" s="319">
        <f t="shared" si="171"/>
        <v>1</v>
      </c>
      <c r="B1199" s="319" t="str">
        <f>Language!C1192</f>
        <v>Bagaço</v>
      </c>
      <c r="C1199" s="319" t="str">
        <f t="shared" si="179"/>
        <v>t</v>
      </c>
      <c r="D1199" s="319" t="str">
        <f t="shared" si="180"/>
        <v>€/t</v>
      </c>
      <c r="E1199" s="494">
        <f t="shared" ref="E1199:E1231" si="181">IF(EMHV=1,P1199,Q1199)</f>
        <v>17.470019540000003</v>
      </c>
      <c r="F1199" s="494">
        <v>1000</v>
      </c>
      <c r="G1199" s="494">
        <f t="shared" si="172"/>
        <v>0</v>
      </c>
      <c r="H1199" s="494">
        <f t="shared" si="173"/>
        <v>0</v>
      </c>
      <c r="I1199" s="319" t="str">
        <f t="shared" si="178"/>
        <v>Bagaço</v>
      </c>
      <c r="J1199" s="319"/>
      <c r="K1199" s="319"/>
      <c r="L1199" s="319"/>
      <c r="M1199" s="319"/>
      <c r="N1199" s="319"/>
      <c r="O1199" s="319"/>
      <c r="P1199" s="494">
        <v>18.763299540000002</v>
      </c>
      <c r="Q1199" s="494">
        <v>17.470019540000003</v>
      </c>
      <c r="R1199" s="319" t="s">
        <v>7089</v>
      </c>
      <c r="S1199" s="319"/>
      <c r="T1199" s="319"/>
      <c r="U1199" s="319"/>
      <c r="V1199" s="319"/>
      <c r="W1199" s="319"/>
      <c r="X1199" s="319"/>
      <c r="Y1199" s="319"/>
      <c r="Z1199" s="319"/>
      <c r="AA1199" s="319"/>
      <c r="AB1199" s="319"/>
      <c r="AC1199" s="319"/>
      <c r="AD1199" s="319"/>
      <c r="AE1199" s="319"/>
      <c r="AF1199" s="319"/>
      <c r="AG1199" s="319"/>
      <c r="AH1199" s="319"/>
      <c r="AI1199" s="319"/>
      <c r="AJ1199" s="319"/>
      <c r="AK1199" s="319"/>
      <c r="AL1199" s="319"/>
      <c r="AM1199" s="319"/>
      <c r="AN1199" s="319"/>
      <c r="AO1199" s="587"/>
      <c r="AP1199" s="319"/>
      <c r="AQ1199" s="319"/>
      <c r="AR1199" s="319"/>
      <c r="AS1199" s="319"/>
      <c r="AT1199" s="319"/>
      <c r="AU1199" s="319"/>
      <c r="AV1199" s="319"/>
      <c r="AW1199" s="319"/>
      <c r="AX1199" s="319"/>
      <c r="AY1199" s="319"/>
      <c r="AZ1199" s="319"/>
      <c r="BA1199" s="319"/>
      <c r="BB1199" s="319"/>
      <c r="BC1199" s="319"/>
      <c r="BD1199" s="319"/>
      <c r="BE1199" s="319"/>
      <c r="BF1199" s="319"/>
      <c r="BG1199" s="319"/>
      <c r="BH1199" s="319"/>
      <c r="BI1199" s="319"/>
      <c r="BJ1199" s="319"/>
      <c r="BK1199" s="319"/>
      <c r="BL1199" s="319"/>
      <c r="BM1199" s="319"/>
      <c r="BN1199" s="319"/>
      <c r="BO1199" s="319"/>
      <c r="BP1199" s="319"/>
      <c r="BQ1199" s="319"/>
      <c r="BR1199" s="319"/>
      <c r="BS1199" s="319"/>
      <c r="BT1199" s="319"/>
      <c r="BU1199" s="319"/>
      <c r="BV1199" s="319"/>
      <c r="BW1199" s="319"/>
      <c r="BX1199" s="319"/>
      <c r="BY1199" s="319"/>
      <c r="BZ1199" s="319"/>
      <c r="CA1199" s="319"/>
      <c r="CB1199" s="319"/>
      <c r="CC1199" s="319"/>
      <c r="CD1199" s="319"/>
      <c r="CE1199" s="319"/>
      <c r="CF1199" s="319"/>
    </row>
    <row r="1200" spans="1:84" ht="13.5" hidden="1" customHeight="1">
      <c r="A1200" s="319">
        <f t="shared" si="171"/>
        <v>1</v>
      </c>
      <c r="B1200" s="319" t="str">
        <f>Language!C1193</f>
        <v>Cevada - palha</v>
      </c>
      <c r="C1200" s="319" t="str">
        <f t="shared" si="179"/>
        <v>t</v>
      </c>
      <c r="D1200" s="319" t="str">
        <f t="shared" si="180"/>
        <v>€/t</v>
      </c>
      <c r="E1200" s="494">
        <f t="shared" si="181"/>
        <v>14.668975179999997</v>
      </c>
      <c r="F1200" s="494">
        <v>1000</v>
      </c>
      <c r="G1200" s="494">
        <f t="shared" si="172"/>
        <v>0</v>
      </c>
      <c r="H1200" s="494">
        <f t="shared" si="173"/>
        <v>0</v>
      </c>
      <c r="I1200" s="319" t="str">
        <f t="shared" si="178"/>
        <v>Cevada - palha</v>
      </c>
      <c r="J1200" s="319"/>
      <c r="K1200" s="319"/>
      <c r="L1200" s="319"/>
      <c r="M1200" s="319"/>
      <c r="N1200" s="319"/>
      <c r="O1200" s="319"/>
      <c r="P1200" s="494">
        <v>15.830735179999998</v>
      </c>
      <c r="Q1200" s="494">
        <v>14.668975179999997</v>
      </c>
      <c r="R1200" s="605" t="s">
        <v>7123</v>
      </c>
      <c r="S1200" s="319"/>
      <c r="T1200" s="319"/>
      <c r="U1200" s="319"/>
      <c r="V1200" s="319"/>
      <c r="W1200" s="319"/>
      <c r="X1200" s="319"/>
      <c r="Y1200" s="319"/>
      <c r="Z1200" s="319"/>
      <c r="AA1200" s="319"/>
      <c r="AB1200" s="319"/>
      <c r="AC1200" s="319"/>
      <c r="AD1200" s="319"/>
      <c r="AE1200" s="319"/>
      <c r="AF1200" s="319"/>
      <c r="AG1200" s="319"/>
      <c r="AH1200" s="319"/>
      <c r="AI1200" s="319"/>
      <c r="AJ1200" s="319"/>
      <c r="AK1200" s="319"/>
      <c r="AL1200" s="319"/>
      <c r="AM1200" s="319"/>
      <c r="AN1200" s="319"/>
      <c r="AO1200" s="587"/>
      <c r="AP1200" s="319"/>
      <c r="AQ1200" s="319"/>
      <c r="AR1200" s="319"/>
      <c r="AS1200" s="319"/>
      <c r="AT1200" s="319"/>
      <c r="AU1200" s="319"/>
      <c r="AV1200" s="319"/>
      <c r="AW1200" s="319"/>
      <c r="AX1200" s="319"/>
      <c r="AY1200" s="319"/>
      <c r="AZ1200" s="319"/>
      <c r="BA1200" s="319"/>
      <c r="BB1200" s="319"/>
      <c r="BC1200" s="319"/>
      <c r="BD1200" s="319"/>
      <c r="BE1200" s="319"/>
      <c r="BF1200" s="319"/>
      <c r="BG1200" s="319"/>
      <c r="BH1200" s="319"/>
      <c r="BI1200" s="319"/>
      <c r="BJ1200" s="319"/>
      <c r="BK1200" s="319"/>
      <c r="BL1200" s="319"/>
      <c r="BM1200" s="319"/>
      <c r="BN1200" s="319"/>
      <c r="BO1200" s="319"/>
      <c r="BP1200" s="319"/>
      <c r="BQ1200" s="319"/>
      <c r="BR1200" s="319"/>
      <c r="BS1200" s="319"/>
      <c r="BT1200" s="319"/>
      <c r="BU1200" s="319"/>
      <c r="BV1200" s="319"/>
      <c r="BW1200" s="319"/>
      <c r="BX1200" s="319"/>
      <c r="BY1200" s="319"/>
      <c r="BZ1200" s="319"/>
      <c r="CA1200" s="319"/>
      <c r="CB1200" s="319"/>
      <c r="CC1200" s="319"/>
      <c r="CD1200" s="319"/>
      <c r="CE1200" s="319"/>
      <c r="CF1200" s="319"/>
    </row>
    <row r="1201" spans="1:84" ht="13.5" hidden="1" customHeight="1">
      <c r="A1201" s="319">
        <f t="shared" si="171"/>
        <v>1</v>
      </c>
      <c r="B1201" s="319" t="str">
        <f>Language!C1194</f>
        <v>Faia - casca</v>
      </c>
      <c r="C1201" s="319" t="str">
        <f t="shared" si="179"/>
        <v>t</v>
      </c>
      <c r="D1201" s="319" t="str">
        <f t="shared" si="180"/>
        <v>€/t</v>
      </c>
      <c r="E1201" s="494">
        <f t="shared" si="181"/>
        <v>18.051623300000003</v>
      </c>
      <c r="F1201" s="494">
        <v>1000</v>
      </c>
      <c r="G1201" s="494">
        <f t="shared" si="172"/>
        <v>0</v>
      </c>
      <c r="H1201" s="494">
        <f t="shared" si="173"/>
        <v>0</v>
      </c>
      <c r="I1201" s="319" t="str">
        <f t="shared" si="178"/>
        <v>Faia - casca</v>
      </c>
      <c r="J1201" s="319"/>
      <c r="K1201" s="319"/>
      <c r="L1201" s="319"/>
      <c r="M1201" s="319"/>
      <c r="N1201" s="319"/>
      <c r="O1201" s="319"/>
      <c r="P1201" s="494">
        <v>19.257223300000003</v>
      </c>
      <c r="Q1201" s="494">
        <v>18.051623300000003</v>
      </c>
      <c r="R1201" s="319" t="s">
        <v>7114</v>
      </c>
      <c r="S1201" s="319"/>
      <c r="T1201" s="319"/>
      <c r="U1201" s="319"/>
      <c r="V1201" s="319"/>
      <c r="W1201" s="319"/>
      <c r="X1201" s="319"/>
      <c r="Y1201" s="319"/>
      <c r="Z1201" s="319"/>
      <c r="AA1201" s="319"/>
      <c r="AB1201" s="319"/>
      <c r="AC1201" s="319"/>
      <c r="AD1201" s="319"/>
      <c r="AE1201" s="319"/>
      <c r="AF1201" s="319"/>
      <c r="AG1201" s="319"/>
      <c r="AH1201" s="319"/>
      <c r="AI1201" s="319"/>
      <c r="AJ1201" s="319"/>
      <c r="AK1201" s="319"/>
      <c r="AL1201" s="319"/>
      <c r="AM1201" s="319"/>
      <c r="AN1201" s="319"/>
      <c r="AO1201" s="587"/>
      <c r="AP1201" s="319"/>
      <c r="AQ1201" s="319"/>
      <c r="AR1201" s="319"/>
      <c r="AS1201" s="319"/>
      <c r="AT1201" s="319"/>
      <c r="AU1201" s="319"/>
      <c r="AV1201" s="319"/>
      <c r="AW1201" s="319"/>
      <c r="AX1201" s="319"/>
      <c r="AY1201" s="319"/>
      <c r="AZ1201" s="319"/>
      <c r="BA1201" s="319"/>
      <c r="BB1201" s="319"/>
      <c r="BC1201" s="319"/>
      <c r="BD1201" s="319"/>
      <c r="BE1201" s="319"/>
      <c r="BF1201" s="319"/>
      <c r="BG1201" s="319"/>
      <c r="BH1201" s="319"/>
      <c r="BI1201" s="319"/>
      <c r="BJ1201" s="319"/>
      <c r="BK1201" s="319"/>
      <c r="BL1201" s="319"/>
      <c r="BM1201" s="319"/>
      <c r="BN1201" s="319"/>
      <c r="BO1201" s="319"/>
      <c r="BP1201" s="319"/>
      <c r="BQ1201" s="319"/>
      <c r="BR1201" s="319"/>
      <c r="BS1201" s="319"/>
      <c r="BT1201" s="319"/>
      <c r="BU1201" s="319"/>
      <c r="BV1201" s="319"/>
      <c r="BW1201" s="319"/>
      <c r="BX1201" s="319"/>
      <c r="BY1201" s="319"/>
      <c r="BZ1201" s="319"/>
      <c r="CA1201" s="319"/>
      <c r="CB1201" s="319"/>
      <c r="CC1201" s="319"/>
      <c r="CD1201" s="319"/>
      <c r="CE1201" s="319"/>
      <c r="CF1201" s="319"/>
    </row>
    <row r="1202" spans="1:84" ht="13.5" hidden="1" customHeight="1">
      <c r="A1202" s="319">
        <f t="shared" si="171"/>
        <v>1</v>
      </c>
      <c r="B1202" s="319" t="str">
        <f>Language!C1195</f>
        <v>Biodiesel</v>
      </c>
      <c r="C1202" s="319" t="str">
        <f>$M$1194</f>
        <v>L</v>
      </c>
      <c r="D1202" s="319" t="str">
        <f>$O$1194</f>
        <v>€/L</v>
      </c>
      <c r="E1202" s="494">
        <f t="shared" si="181"/>
        <v>16.625</v>
      </c>
      <c r="F1202" s="494">
        <v>0.88</v>
      </c>
      <c r="G1202" s="494">
        <f t="shared" si="172"/>
        <v>0</v>
      </c>
      <c r="H1202" s="494">
        <f t="shared" si="173"/>
        <v>0</v>
      </c>
      <c r="I1202" s="319" t="str">
        <f t="shared" si="178"/>
        <v>Biodiesel</v>
      </c>
      <c r="J1202" s="319"/>
      <c r="K1202" s="319"/>
      <c r="L1202" s="319"/>
      <c r="M1202" s="319"/>
      <c r="N1202" s="319"/>
      <c r="O1202" s="319"/>
      <c r="P1202" s="494">
        <v>17.5</v>
      </c>
      <c r="Q1202" s="494">
        <v>16.625</v>
      </c>
      <c r="R1202" s="319" t="s">
        <v>7063</v>
      </c>
      <c r="S1202" s="319"/>
      <c r="T1202" s="319"/>
      <c r="U1202" s="319"/>
      <c r="V1202" s="319"/>
      <c r="W1202" s="319"/>
      <c r="X1202" s="319"/>
      <c r="Y1202" s="319"/>
      <c r="Z1202" s="319"/>
      <c r="AA1202" s="319"/>
      <c r="AB1202" s="319"/>
      <c r="AC1202" s="319"/>
      <c r="AD1202" s="319"/>
      <c r="AE1202" s="319"/>
      <c r="AF1202" s="319"/>
      <c r="AG1202" s="319"/>
      <c r="AH1202" s="319"/>
      <c r="AI1202" s="319"/>
      <c r="AJ1202" s="319"/>
      <c r="AK1202" s="319"/>
      <c r="AL1202" s="319"/>
      <c r="AM1202" s="319"/>
      <c r="AN1202" s="319"/>
      <c r="AO1202" s="587"/>
      <c r="AP1202" s="319"/>
      <c r="AQ1202" s="319"/>
      <c r="AR1202" s="319"/>
      <c r="AS1202" s="319"/>
      <c r="AT1202" s="319"/>
      <c r="AU1202" s="319"/>
      <c r="AV1202" s="319"/>
      <c r="AW1202" s="319"/>
      <c r="AX1202" s="319"/>
      <c r="AY1202" s="319"/>
      <c r="AZ1202" s="319"/>
      <c r="BA1202" s="319"/>
      <c r="BB1202" s="319"/>
      <c r="BC1202" s="319"/>
      <c r="BD1202" s="319"/>
      <c r="BE1202" s="319"/>
      <c r="BF1202" s="319"/>
      <c r="BG1202" s="319"/>
      <c r="BH1202" s="319"/>
      <c r="BI1202" s="319"/>
      <c r="BJ1202" s="319"/>
      <c r="BK1202" s="319"/>
      <c r="BL1202" s="319"/>
      <c r="BM1202" s="319"/>
      <c r="BN1202" s="319"/>
      <c r="BO1202" s="319"/>
      <c r="BP1202" s="319"/>
      <c r="BQ1202" s="319"/>
      <c r="BR1202" s="319"/>
      <c r="BS1202" s="319"/>
      <c r="BT1202" s="319"/>
      <c r="BU1202" s="319"/>
      <c r="BV1202" s="319"/>
      <c r="BW1202" s="319"/>
      <c r="BX1202" s="319"/>
      <c r="BY1202" s="319"/>
      <c r="BZ1202" s="319"/>
      <c r="CA1202" s="319"/>
      <c r="CB1202" s="319"/>
      <c r="CC1202" s="319"/>
      <c r="CD1202" s="319"/>
      <c r="CE1202" s="319"/>
      <c r="CF1202" s="319"/>
    </row>
    <row r="1203" spans="1:84" ht="13.5" hidden="1" customHeight="1">
      <c r="A1203" s="319">
        <f t="shared" si="171"/>
        <v>1</v>
      </c>
      <c r="B1203" s="319" t="str">
        <f>Language!C1196</f>
        <v>Biogás</v>
      </c>
      <c r="C1203" s="319" t="str">
        <f>$M$1187</f>
        <v>m³</v>
      </c>
      <c r="D1203" s="319" t="str">
        <f>$O$1187</f>
        <v>€/m³</v>
      </c>
      <c r="E1203" s="494">
        <f t="shared" si="181"/>
        <v>22.8</v>
      </c>
      <c r="F1203" s="494">
        <v>0.7</v>
      </c>
      <c r="G1203" s="494">
        <f t="shared" si="172"/>
        <v>0</v>
      </c>
      <c r="H1203" s="494">
        <f t="shared" si="173"/>
        <v>0</v>
      </c>
      <c r="I1203" s="319" t="str">
        <f t="shared" si="178"/>
        <v>Biogás</v>
      </c>
      <c r="J1203" s="319"/>
      <c r="K1203" s="319"/>
      <c r="L1203" s="319"/>
      <c r="M1203" s="319"/>
      <c r="N1203" s="319"/>
      <c r="O1203" s="319"/>
      <c r="P1203" s="494">
        <v>24</v>
      </c>
      <c r="Q1203" s="494">
        <v>22.8</v>
      </c>
      <c r="R1203" s="319" t="s">
        <v>7127</v>
      </c>
      <c r="S1203" s="319"/>
      <c r="T1203" s="319"/>
      <c r="U1203" s="319"/>
      <c r="V1203" s="319"/>
      <c r="W1203" s="319"/>
      <c r="X1203" s="319"/>
      <c r="Y1203" s="319"/>
      <c r="Z1203" s="319"/>
      <c r="AA1203" s="319"/>
      <c r="AB1203" s="319"/>
      <c r="AC1203" s="319"/>
      <c r="AD1203" s="319"/>
      <c r="AE1203" s="319"/>
      <c r="AF1203" s="319"/>
      <c r="AG1203" s="319"/>
      <c r="AH1203" s="319"/>
      <c r="AI1203" s="319"/>
      <c r="AJ1203" s="319"/>
      <c r="AK1203" s="319"/>
      <c r="AL1203" s="319"/>
      <c r="AM1203" s="319"/>
      <c r="AN1203" s="319"/>
      <c r="AO1203" s="587"/>
      <c r="AP1203" s="319"/>
      <c r="AQ1203" s="319"/>
      <c r="AR1203" s="319"/>
      <c r="AS1203" s="319"/>
      <c r="AT1203" s="319"/>
      <c r="AU1203" s="319"/>
      <c r="AV1203" s="319"/>
      <c r="AW1203" s="319"/>
      <c r="AX1203" s="319"/>
      <c r="AY1203" s="319"/>
      <c r="AZ1203" s="319"/>
      <c r="BA1203" s="319"/>
      <c r="BB1203" s="319"/>
      <c r="BC1203" s="319"/>
      <c r="BD1203" s="319"/>
      <c r="BE1203" s="319"/>
      <c r="BF1203" s="319"/>
      <c r="BG1203" s="319"/>
      <c r="BH1203" s="319"/>
      <c r="BI1203" s="319"/>
      <c r="BJ1203" s="319"/>
      <c r="BK1203" s="319"/>
      <c r="BL1203" s="319"/>
      <c r="BM1203" s="319"/>
      <c r="BN1203" s="319"/>
      <c r="BO1203" s="319"/>
      <c r="BP1203" s="319"/>
      <c r="BQ1203" s="319"/>
      <c r="BR1203" s="319"/>
      <c r="BS1203" s="319"/>
      <c r="BT1203" s="319"/>
      <c r="BU1203" s="319"/>
      <c r="BV1203" s="319"/>
      <c r="BW1203" s="319"/>
      <c r="BX1203" s="319"/>
      <c r="BY1203" s="319"/>
      <c r="BZ1203" s="319"/>
      <c r="CA1203" s="319"/>
      <c r="CB1203" s="319"/>
      <c r="CC1203" s="319"/>
      <c r="CD1203" s="319"/>
      <c r="CE1203" s="319"/>
      <c r="CF1203" s="319"/>
    </row>
    <row r="1204" spans="1:84" ht="13.5" hidden="1" customHeight="1">
      <c r="A1204" s="319">
        <f t="shared" si="171"/>
        <v>1</v>
      </c>
      <c r="B1204" s="319" t="str">
        <f>Language!C1197</f>
        <v>Bio - óleo</v>
      </c>
      <c r="C1204" s="319" t="str">
        <f>$M$1194</f>
        <v>L</v>
      </c>
      <c r="D1204" s="319" t="str">
        <f>$O$1194</f>
        <v>€/L</v>
      </c>
      <c r="E1204" s="494">
        <f t="shared" si="181"/>
        <v>18.421793922999996</v>
      </c>
      <c r="F1204" s="494">
        <v>1.18</v>
      </c>
      <c r="G1204" s="494">
        <f t="shared" si="172"/>
        <v>0</v>
      </c>
      <c r="H1204" s="494">
        <f t="shared" si="173"/>
        <v>0</v>
      </c>
      <c r="I1204" s="319" t="str">
        <f t="shared" si="178"/>
        <v>Bio - óleo</v>
      </c>
      <c r="J1204" s="319"/>
      <c r="K1204" s="319"/>
      <c r="L1204" s="319"/>
      <c r="M1204" s="319"/>
      <c r="N1204" s="319"/>
      <c r="O1204" s="319"/>
      <c r="P1204" s="494">
        <v>19.627393922999996</v>
      </c>
      <c r="Q1204" s="494">
        <v>18.421793922999996</v>
      </c>
      <c r="R1204" s="319" t="s">
        <v>7128</v>
      </c>
      <c r="S1204" s="319"/>
      <c r="T1204" s="319"/>
      <c r="U1204" s="319"/>
      <c r="V1204" s="319"/>
      <c r="W1204" s="319"/>
      <c r="X1204" s="319"/>
      <c r="Y1204" s="319"/>
      <c r="Z1204" s="319"/>
      <c r="AA1204" s="319"/>
      <c r="AB1204" s="319"/>
      <c r="AC1204" s="319"/>
      <c r="AD1204" s="319"/>
      <c r="AE1204" s="319"/>
      <c r="AF1204" s="319"/>
      <c r="AG1204" s="319"/>
      <c r="AH1204" s="319"/>
      <c r="AI1204" s="319"/>
      <c r="AJ1204" s="319"/>
      <c r="AK1204" s="319"/>
      <c r="AL1204" s="319"/>
      <c r="AM1204" s="319"/>
      <c r="AN1204" s="319"/>
      <c r="AO1204" s="587"/>
      <c r="AP1204" s="319"/>
      <c r="AQ1204" s="319"/>
      <c r="AR1204" s="319"/>
      <c r="AS1204" s="319"/>
      <c r="AT1204" s="319"/>
      <c r="AU1204" s="319"/>
      <c r="AV1204" s="319"/>
      <c r="AW1204" s="319"/>
      <c r="AX1204" s="319"/>
      <c r="AY1204" s="319"/>
      <c r="AZ1204" s="319"/>
      <c r="BA1204" s="319"/>
      <c r="BB1204" s="319"/>
      <c r="BC1204" s="319"/>
      <c r="BD1204" s="319"/>
      <c r="BE1204" s="319"/>
      <c r="BF1204" s="319"/>
      <c r="BG1204" s="319"/>
      <c r="BH1204" s="319"/>
      <c r="BI1204" s="319"/>
      <c r="BJ1204" s="319"/>
      <c r="BK1204" s="319"/>
      <c r="BL1204" s="319"/>
      <c r="BM1204" s="319"/>
      <c r="BN1204" s="319"/>
      <c r="BO1204" s="319"/>
      <c r="BP1204" s="319"/>
      <c r="BQ1204" s="319"/>
      <c r="BR1204" s="319"/>
      <c r="BS1204" s="319"/>
      <c r="BT1204" s="319"/>
      <c r="BU1204" s="319"/>
      <c r="BV1204" s="319"/>
      <c r="BW1204" s="319"/>
      <c r="BX1204" s="319"/>
      <c r="BY1204" s="319"/>
      <c r="BZ1204" s="319"/>
      <c r="CA1204" s="319"/>
      <c r="CB1204" s="319"/>
      <c r="CC1204" s="319"/>
      <c r="CD1204" s="319"/>
      <c r="CE1204" s="319"/>
      <c r="CF1204" s="319"/>
    </row>
    <row r="1205" spans="1:84" ht="13.5" hidden="1" customHeight="1">
      <c r="A1205" s="319">
        <f t="shared" si="171"/>
        <v>1</v>
      </c>
      <c r="B1205" s="319" t="str">
        <f>Language!C1198</f>
        <v>Vidoeiro (branco) - casca</v>
      </c>
      <c r="C1205" s="319" t="str">
        <f t="shared" ref="C1205:C1215" si="182">$M$1175</f>
        <v>t</v>
      </c>
      <c r="D1205" s="319" t="str">
        <f t="shared" ref="D1205:D1215" si="183">$O$1175</f>
        <v>€/t</v>
      </c>
      <c r="E1205" s="494">
        <f t="shared" si="181"/>
        <v>23.09526202</v>
      </c>
      <c r="F1205" s="494">
        <v>1000</v>
      </c>
      <c r="G1205" s="494">
        <f t="shared" si="172"/>
        <v>0</v>
      </c>
      <c r="H1205" s="494">
        <f t="shared" si="173"/>
        <v>0</v>
      </c>
      <c r="I1205" s="319" t="str">
        <f t="shared" si="178"/>
        <v>Vidoeiro (branco) - casca</v>
      </c>
      <c r="J1205" s="319"/>
      <c r="K1205" s="319"/>
      <c r="L1205" s="319"/>
      <c r="M1205" s="319"/>
      <c r="N1205" s="319"/>
      <c r="O1205" s="319"/>
      <c r="P1205" s="494">
        <v>24.56390202</v>
      </c>
      <c r="Q1205" s="494">
        <v>23.09526202</v>
      </c>
      <c r="R1205" s="319" t="s">
        <v>7079</v>
      </c>
      <c r="S1205" s="319"/>
      <c r="T1205" s="319"/>
      <c r="U1205" s="319"/>
      <c r="V1205" s="319"/>
      <c r="W1205" s="319"/>
      <c r="X1205" s="319"/>
      <c r="Y1205" s="319"/>
      <c r="Z1205" s="319"/>
      <c r="AA1205" s="319"/>
      <c r="AB1205" s="319"/>
      <c r="AC1205" s="319"/>
      <c r="AD1205" s="319"/>
      <c r="AE1205" s="319"/>
      <c r="AF1205" s="319"/>
      <c r="AG1205" s="319"/>
      <c r="AH1205" s="319"/>
      <c r="AI1205" s="319"/>
      <c r="AJ1205" s="319"/>
      <c r="AK1205" s="319"/>
      <c r="AL1205" s="319"/>
      <c r="AM1205" s="319"/>
      <c r="AN1205" s="319"/>
      <c r="AO1205" s="587"/>
      <c r="AP1205" s="319"/>
      <c r="AQ1205" s="319"/>
      <c r="AR1205" s="319"/>
      <c r="AS1205" s="319"/>
      <c r="AT1205" s="319"/>
      <c r="AU1205" s="319"/>
      <c r="AV1205" s="319"/>
      <c r="AW1205" s="319"/>
      <c r="AX1205" s="319"/>
      <c r="AY1205" s="319"/>
      <c r="AZ1205" s="319"/>
      <c r="BA1205" s="319"/>
      <c r="BB1205" s="319"/>
      <c r="BC1205" s="319"/>
      <c r="BD1205" s="319"/>
      <c r="BE1205" s="319"/>
      <c r="BF1205" s="319"/>
      <c r="BG1205" s="319"/>
      <c r="BH1205" s="319"/>
      <c r="BI1205" s="319"/>
      <c r="BJ1205" s="319"/>
      <c r="BK1205" s="319"/>
      <c r="BL1205" s="319"/>
      <c r="BM1205" s="319"/>
      <c r="BN1205" s="319"/>
      <c r="BO1205" s="319"/>
      <c r="BP1205" s="319"/>
      <c r="BQ1205" s="319"/>
      <c r="BR1205" s="319"/>
      <c r="BS1205" s="319"/>
      <c r="BT1205" s="319"/>
      <c r="BU1205" s="319"/>
      <c r="BV1205" s="319"/>
      <c r="BW1205" s="319"/>
      <c r="BX1205" s="319"/>
      <c r="BY1205" s="319"/>
      <c r="BZ1205" s="319"/>
      <c r="CA1205" s="319"/>
      <c r="CB1205" s="319"/>
      <c r="CC1205" s="319"/>
      <c r="CD1205" s="319"/>
      <c r="CE1205" s="319"/>
      <c r="CF1205" s="319"/>
    </row>
    <row r="1206" spans="1:84" ht="13.5" hidden="1" customHeight="1">
      <c r="A1206" s="319">
        <f t="shared" si="171"/>
        <v>1</v>
      </c>
      <c r="B1206" s="319" t="str">
        <f>Language!C1199</f>
        <v>Resíduo ind. de malte e cerveja</v>
      </c>
      <c r="C1206" s="319" t="str">
        <f t="shared" si="182"/>
        <v>t</v>
      </c>
      <c r="D1206" s="319" t="str">
        <f t="shared" si="183"/>
        <v>€/t</v>
      </c>
      <c r="E1206" s="494">
        <f t="shared" si="181"/>
        <v>16.82996954</v>
      </c>
      <c r="F1206" s="494">
        <v>1000</v>
      </c>
      <c r="G1206" s="494">
        <f t="shared" si="172"/>
        <v>0</v>
      </c>
      <c r="H1206" s="494">
        <f t="shared" si="173"/>
        <v>0</v>
      </c>
      <c r="I1206" s="319" t="str">
        <f t="shared" si="178"/>
        <v>Resíduo ind. de malte e cerveja</v>
      </c>
      <c r="J1206" s="319"/>
      <c r="K1206" s="319"/>
      <c r="L1206" s="319"/>
      <c r="M1206" s="319"/>
      <c r="N1206" s="319"/>
      <c r="O1206" s="319"/>
      <c r="P1206" s="494">
        <v>18.12324954</v>
      </c>
      <c r="Q1206" s="494">
        <v>16.82996954</v>
      </c>
      <c r="R1206" s="319" t="s">
        <v>7097</v>
      </c>
      <c r="S1206" s="319"/>
      <c r="T1206" s="319"/>
      <c r="U1206" s="319"/>
      <c r="V1206" s="319"/>
      <c r="W1206" s="319"/>
      <c r="X1206" s="319"/>
      <c r="Y1206" s="319"/>
      <c r="Z1206" s="319"/>
      <c r="AA1206" s="319"/>
      <c r="AB1206" s="319"/>
      <c r="AC1206" s="319"/>
      <c r="AD1206" s="319"/>
      <c r="AE1206" s="319"/>
      <c r="AF1206" s="319"/>
      <c r="AG1206" s="319"/>
      <c r="AH1206" s="319"/>
      <c r="AI1206" s="319"/>
      <c r="AJ1206" s="319"/>
      <c r="AK1206" s="319"/>
      <c r="AL1206" s="319"/>
      <c r="AM1206" s="319"/>
      <c r="AN1206" s="319"/>
      <c r="AO1206" s="587"/>
      <c r="AP1206" s="319"/>
      <c r="AQ1206" s="319"/>
      <c r="AR1206" s="319"/>
      <c r="AS1206" s="319"/>
      <c r="AT1206" s="319"/>
      <c r="AU1206" s="319"/>
      <c r="AV1206" s="319"/>
      <c r="AW1206" s="319"/>
      <c r="AX1206" s="319"/>
      <c r="AY1206" s="319"/>
      <c r="AZ1206" s="319"/>
      <c r="BA1206" s="319"/>
      <c r="BB1206" s="319"/>
      <c r="BC1206" s="319"/>
      <c r="BD1206" s="319"/>
      <c r="BE1206" s="319"/>
      <c r="BF1206" s="319"/>
      <c r="BG1206" s="319"/>
      <c r="BH1206" s="319"/>
      <c r="BI1206" s="319"/>
      <c r="BJ1206" s="319"/>
      <c r="BK1206" s="319"/>
      <c r="BL1206" s="319"/>
      <c r="BM1206" s="319"/>
      <c r="BN1206" s="319"/>
      <c r="BO1206" s="319"/>
      <c r="BP1206" s="319"/>
      <c r="BQ1206" s="319"/>
      <c r="BR1206" s="319"/>
      <c r="BS1206" s="319"/>
      <c r="BT1206" s="319"/>
      <c r="BU1206" s="319"/>
      <c r="BV1206" s="319"/>
      <c r="BW1206" s="319"/>
      <c r="BX1206" s="319"/>
      <c r="BY1206" s="319"/>
      <c r="BZ1206" s="319"/>
      <c r="CA1206" s="319"/>
      <c r="CB1206" s="319"/>
      <c r="CC1206" s="319"/>
      <c r="CD1206" s="319"/>
      <c r="CE1206" s="319"/>
      <c r="CF1206" s="319"/>
    </row>
    <row r="1207" spans="1:84" ht="13.5" hidden="1" customHeight="1">
      <c r="A1207" s="319">
        <f t="shared" si="171"/>
        <v>1</v>
      </c>
      <c r="B1207" s="319" t="str">
        <f>Language!C1200</f>
        <v>Papelão</v>
      </c>
      <c r="C1207" s="319" t="str">
        <f t="shared" si="182"/>
        <v>t</v>
      </c>
      <c r="D1207" s="319" t="str">
        <f t="shared" si="183"/>
        <v>€/t</v>
      </c>
      <c r="E1207" s="494">
        <f t="shared" si="181"/>
        <v>16.782428524</v>
      </c>
      <c r="F1207" s="494">
        <v>1000</v>
      </c>
      <c r="G1207" s="494">
        <f t="shared" si="172"/>
        <v>0</v>
      </c>
      <c r="H1207" s="494">
        <f t="shared" si="173"/>
        <v>0</v>
      </c>
      <c r="I1207" s="319" t="str">
        <f t="shared" si="178"/>
        <v>Papelão</v>
      </c>
      <c r="J1207" s="319"/>
      <c r="K1207" s="319"/>
      <c r="L1207" s="319"/>
      <c r="M1207" s="319"/>
      <c r="N1207" s="319"/>
      <c r="O1207" s="319"/>
      <c r="P1207" s="494">
        <v>18.215996524000001</v>
      </c>
      <c r="Q1207" s="494">
        <v>16.782428524</v>
      </c>
      <c r="R1207" s="319" t="s">
        <v>7109</v>
      </c>
      <c r="S1207" s="319"/>
      <c r="T1207" s="319"/>
      <c r="U1207" s="319"/>
      <c r="V1207" s="319"/>
      <c r="W1207" s="319"/>
      <c r="X1207" s="319"/>
      <c r="Y1207" s="319"/>
      <c r="Z1207" s="319"/>
      <c r="AA1207" s="319"/>
      <c r="AB1207" s="319"/>
      <c r="AC1207" s="319"/>
      <c r="AD1207" s="319"/>
      <c r="AE1207" s="319"/>
      <c r="AF1207" s="319"/>
      <c r="AG1207" s="319"/>
      <c r="AH1207" s="319"/>
      <c r="AI1207" s="319"/>
      <c r="AJ1207" s="319"/>
      <c r="AK1207" s="319"/>
      <c r="AL1207" s="319"/>
      <c r="AM1207" s="319"/>
      <c r="AN1207" s="319"/>
      <c r="AO1207" s="587"/>
      <c r="AP1207" s="319"/>
      <c r="AQ1207" s="319"/>
      <c r="AR1207" s="319"/>
      <c r="AS1207" s="319"/>
      <c r="AT1207" s="319"/>
      <c r="AU1207" s="319"/>
      <c r="AV1207" s="319"/>
      <c r="AW1207" s="319"/>
      <c r="AX1207" s="319"/>
      <c r="AY1207" s="319"/>
      <c r="AZ1207" s="319"/>
      <c r="BA1207" s="319"/>
      <c r="BB1207" s="319"/>
      <c r="BC1207" s="319"/>
      <c r="BD1207" s="319"/>
      <c r="BE1207" s="319"/>
      <c r="BF1207" s="319"/>
      <c r="BG1207" s="319"/>
      <c r="BH1207" s="319"/>
      <c r="BI1207" s="319"/>
      <c r="BJ1207" s="319"/>
      <c r="BK1207" s="319"/>
      <c r="BL1207" s="319"/>
      <c r="BM1207" s="319"/>
      <c r="BN1207" s="319"/>
      <c r="BO1207" s="319"/>
      <c r="BP1207" s="319"/>
      <c r="BQ1207" s="319"/>
      <c r="BR1207" s="319"/>
      <c r="BS1207" s="319"/>
      <c r="BT1207" s="319"/>
      <c r="BU1207" s="319"/>
      <c r="BV1207" s="319"/>
      <c r="BW1207" s="319"/>
      <c r="BX1207" s="319"/>
      <c r="BY1207" s="319"/>
      <c r="BZ1207" s="319"/>
      <c r="CA1207" s="319"/>
      <c r="CB1207" s="319"/>
      <c r="CC1207" s="319"/>
      <c r="CD1207" s="319"/>
      <c r="CE1207" s="319"/>
      <c r="CF1207" s="319"/>
    </row>
    <row r="1208" spans="1:84" ht="13.5" hidden="1" customHeight="1">
      <c r="A1208" s="319">
        <f t="shared" si="171"/>
        <v>1</v>
      </c>
      <c r="B1208" s="319" t="str">
        <f>Language!C1201</f>
        <v>Pinheiro de natal</v>
      </c>
      <c r="C1208" s="319" t="str">
        <f t="shared" si="182"/>
        <v>t</v>
      </c>
      <c r="D1208" s="319" t="str">
        <f t="shared" si="183"/>
        <v>€/t</v>
      </c>
      <c r="E1208" s="494">
        <f t="shared" si="181"/>
        <v>19.776552548000002</v>
      </c>
      <c r="F1208" s="494">
        <v>1000</v>
      </c>
      <c r="G1208" s="494">
        <f t="shared" si="172"/>
        <v>0</v>
      </c>
      <c r="H1208" s="494">
        <f t="shared" si="173"/>
        <v>0</v>
      </c>
      <c r="I1208" s="319" t="str">
        <f t="shared" si="178"/>
        <v>Pinheiro de natal</v>
      </c>
      <c r="J1208" s="319"/>
      <c r="K1208" s="319"/>
      <c r="L1208" s="319"/>
      <c r="M1208" s="319"/>
      <c r="N1208" s="319"/>
      <c r="O1208" s="319"/>
      <c r="P1208" s="494">
        <v>20.999688548000002</v>
      </c>
      <c r="Q1208" s="494">
        <v>19.776552548000002</v>
      </c>
      <c r="R1208" s="319" t="s">
        <v>7065</v>
      </c>
      <c r="S1208" s="319"/>
      <c r="T1208" s="319"/>
      <c r="U1208" s="319"/>
      <c r="V1208" s="319"/>
      <c r="W1208" s="319"/>
      <c r="X1208" s="319"/>
      <c r="Y1208" s="319"/>
      <c r="Z1208" s="319"/>
      <c r="AA1208" s="319"/>
      <c r="AB1208" s="319"/>
      <c r="AC1208" s="319"/>
      <c r="AD1208" s="319"/>
      <c r="AE1208" s="319"/>
      <c r="AF1208" s="319"/>
      <c r="AG1208" s="319"/>
      <c r="AH1208" s="319"/>
      <c r="AI1208" s="319"/>
      <c r="AJ1208" s="319"/>
      <c r="AK1208" s="319"/>
      <c r="AL1208" s="319"/>
      <c r="AM1208" s="319"/>
      <c r="AN1208" s="319"/>
      <c r="AO1208" s="587"/>
      <c r="AP1208" s="319"/>
      <c r="AQ1208" s="319"/>
      <c r="AR1208" s="319"/>
      <c r="AS1208" s="319"/>
      <c r="AT1208" s="319"/>
      <c r="AU1208" s="319"/>
      <c r="AV1208" s="319"/>
      <c r="AW1208" s="319"/>
      <c r="AX1208" s="319"/>
      <c r="AY1208" s="319"/>
      <c r="AZ1208" s="319"/>
      <c r="BA1208" s="319"/>
      <c r="BB1208" s="319"/>
      <c r="BC1208" s="319"/>
      <c r="BD1208" s="319"/>
      <c r="BE1208" s="319"/>
      <c r="BF1208" s="319"/>
      <c r="BG1208" s="319"/>
      <c r="BH1208" s="319"/>
      <c r="BI1208" s="319"/>
      <c r="BJ1208" s="319"/>
      <c r="BK1208" s="319"/>
      <c r="BL1208" s="319"/>
      <c r="BM1208" s="319"/>
      <c r="BN1208" s="319"/>
      <c r="BO1208" s="319"/>
      <c r="BP1208" s="319"/>
      <c r="BQ1208" s="319"/>
      <c r="BR1208" s="319"/>
      <c r="BS1208" s="319"/>
      <c r="BT1208" s="319"/>
      <c r="BU1208" s="319"/>
      <c r="BV1208" s="319"/>
      <c r="BW1208" s="319"/>
      <c r="BX1208" s="319"/>
      <c r="BY1208" s="319"/>
      <c r="BZ1208" s="319"/>
      <c r="CA1208" s="319"/>
      <c r="CB1208" s="319"/>
      <c r="CC1208" s="319"/>
      <c r="CD1208" s="319"/>
      <c r="CE1208" s="319"/>
      <c r="CF1208" s="319"/>
    </row>
    <row r="1209" spans="1:84" ht="13.5" hidden="1" customHeight="1">
      <c r="A1209" s="319">
        <f t="shared" si="171"/>
        <v>1</v>
      </c>
      <c r="B1209" s="319" t="str">
        <f>Language!C1202</f>
        <v>Fibra de coco</v>
      </c>
      <c r="C1209" s="319" t="str">
        <f t="shared" si="182"/>
        <v>t</v>
      </c>
      <c r="D1209" s="319" t="str">
        <f t="shared" si="183"/>
        <v>€/t</v>
      </c>
      <c r="E1209" s="494">
        <f t="shared" si="181"/>
        <v>17.257354880000001</v>
      </c>
      <c r="F1209" s="494">
        <v>1000</v>
      </c>
      <c r="G1209" s="494">
        <f t="shared" ref="G1209:G1240" si="184">IF($C$1117=0,SUMIF($R$940:$R$961,B1209,$G$940:$G$961),SUMIF($I$1155:$I$1170,B1209,$J$1155:$J$1170))</f>
        <v>0</v>
      </c>
      <c r="H1209" s="494">
        <f t="shared" ref="H1209:H1240" si="185">IF($C$1117=0,SUMIF($R$940:$R$961,B1209,$S$940:$S$961),SUMIF($I$1155:$I$1170,B1209,$K$1155:$K$1170))</f>
        <v>0</v>
      </c>
      <c r="I1209" s="319" t="str">
        <f t="shared" si="178"/>
        <v>Fibra de coco</v>
      </c>
      <c r="J1209" s="319"/>
      <c r="K1209" s="319"/>
      <c r="L1209" s="319"/>
      <c r="M1209" s="319"/>
      <c r="N1209" s="319"/>
      <c r="O1209" s="319"/>
      <c r="P1209" s="494">
        <v>18.309514880000002</v>
      </c>
      <c r="Q1209" s="494">
        <v>17.257354880000001</v>
      </c>
      <c r="R1209" s="605" t="s">
        <v>7069</v>
      </c>
      <c r="S1209" s="319"/>
      <c r="T1209" s="319"/>
      <c r="U1209" s="319"/>
      <c r="V1209" s="319"/>
      <c r="W1209" s="319"/>
      <c r="X1209" s="319"/>
      <c r="Y1209" s="319"/>
      <c r="Z1209" s="319"/>
      <c r="AA1209" s="319"/>
      <c r="AB1209" s="319"/>
      <c r="AC1209" s="319"/>
      <c r="AD1209" s="319"/>
      <c r="AE1209" s="319"/>
      <c r="AF1209" s="319"/>
      <c r="AG1209" s="319"/>
      <c r="AH1209" s="319"/>
      <c r="AI1209" s="319"/>
      <c r="AJ1209" s="319"/>
      <c r="AK1209" s="319"/>
      <c r="AL1209" s="319"/>
      <c r="AM1209" s="319"/>
      <c r="AN1209" s="319"/>
      <c r="AO1209" s="587"/>
      <c r="AP1209" s="319"/>
      <c r="AQ1209" s="319"/>
      <c r="AR1209" s="319"/>
      <c r="AS1209" s="319"/>
      <c r="AT1209" s="319"/>
      <c r="AU1209" s="319"/>
      <c r="AV1209" s="319"/>
      <c r="AW1209" s="319"/>
      <c r="AX1209" s="319"/>
      <c r="AY1209" s="319"/>
      <c r="AZ1209" s="319"/>
      <c r="BA1209" s="319"/>
      <c r="BB1209" s="319"/>
      <c r="BC1209" s="319"/>
      <c r="BD1209" s="319"/>
      <c r="BE1209" s="319"/>
      <c r="BF1209" s="319"/>
      <c r="BG1209" s="319"/>
      <c r="BH1209" s="319"/>
      <c r="BI1209" s="319"/>
      <c r="BJ1209" s="319"/>
      <c r="BK1209" s="319"/>
      <c r="BL1209" s="319"/>
      <c r="BM1209" s="319"/>
      <c r="BN1209" s="319"/>
      <c r="BO1209" s="319"/>
      <c r="BP1209" s="319"/>
      <c r="BQ1209" s="319"/>
      <c r="BR1209" s="319"/>
      <c r="BS1209" s="319"/>
      <c r="BT1209" s="319"/>
      <c r="BU1209" s="319"/>
      <c r="BV1209" s="319"/>
      <c r="BW1209" s="319"/>
      <c r="BX1209" s="319"/>
      <c r="BY1209" s="319"/>
      <c r="BZ1209" s="319"/>
      <c r="CA1209" s="319"/>
      <c r="CB1209" s="319"/>
      <c r="CC1209" s="319"/>
      <c r="CD1209" s="319"/>
      <c r="CE1209" s="319"/>
      <c r="CF1209" s="319"/>
    </row>
    <row r="1210" spans="1:84" ht="13.5" hidden="1" customHeight="1">
      <c r="A1210" s="319">
        <f t="shared" si="171"/>
        <v>1</v>
      </c>
      <c r="B1210" s="319" t="str">
        <f>Language!C1203</f>
        <v>Café - resíduo</v>
      </c>
      <c r="C1210" s="319" t="str">
        <f t="shared" si="182"/>
        <v>t</v>
      </c>
      <c r="D1210" s="319" t="str">
        <f t="shared" si="183"/>
        <v>€/t</v>
      </c>
      <c r="E1210" s="494">
        <f t="shared" si="181"/>
        <v>24.316452619999996</v>
      </c>
      <c r="F1210" s="494">
        <v>1000</v>
      </c>
      <c r="G1210" s="494">
        <f t="shared" si="184"/>
        <v>0</v>
      </c>
      <c r="H1210" s="494">
        <f t="shared" si="185"/>
        <v>0</v>
      </c>
      <c r="I1210" s="319" t="str">
        <f t="shared" si="178"/>
        <v>Café - resíduo</v>
      </c>
      <c r="J1210" s="319"/>
      <c r="K1210" s="319"/>
      <c r="L1210" s="319"/>
      <c r="M1210" s="319"/>
      <c r="N1210" s="319"/>
      <c r="O1210" s="319"/>
      <c r="P1210" s="494">
        <v>26.004292619999998</v>
      </c>
      <c r="Q1210" s="494">
        <v>24.316452619999996</v>
      </c>
      <c r="R1210" s="319" t="s">
        <v>41</v>
      </c>
      <c r="S1210" s="319"/>
      <c r="T1210" s="319"/>
      <c r="U1210" s="319"/>
      <c r="V1210" s="319"/>
      <c r="W1210" s="319"/>
      <c r="X1210" s="319"/>
      <c r="Y1210" s="319"/>
      <c r="Z1210" s="319"/>
      <c r="AA1210" s="319"/>
      <c r="AB1210" s="319"/>
      <c r="AC1210" s="319"/>
      <c r="AD1210" s="319"/>
      <c r="AE1210" s="319"/>
      <c r="AF1210" s="319"/>
      <c r="AG1210" s="319"/>
      <c r="AH1210" s="319"/>
      <c r="AI1210" s="319"/>
      <c r="AJ1210" s="319"/>
      <c r="AK1210" s="319"/>
      <c r="AL1210" s="319"/>
      <c r="AM1210" s="319"/>
      <c r="AN1210" s="319"/>
      <c r="AO1210" s="587"/>
      <c r="AP1210" s="319"/>
      <c r="AQ1210" s="319"/>
      <c r="AR1210" s="319"/>
      <c r="AS1210" s="319"/>
      <c r="AT1210" s="319"/>
      <c r="AU1210" s="319"/>
      <c r="AV1210" s="319"/>
      <c r="AW1210" s="319"/>
      <c r="AX1210" s="319"/>
      <c r="AY1210" s="319"/>
      <c r="AZ1210" s="319"/>
      <c r="BA1210" s="319"/>
      <c r="BB1210" s="319"/>
      <c r="BC1210" s="319"/>
      <c r="BD1210" s="319"/>
      <c r="BE1210" s="319"/>
      <c r="BF1210" s="319"/>
      <c r="BG1210" s="319"/>
      <c r="BH1210" s="319"/>
      <c r="BI1210" s="319"/>
      <c r="BJ1210" s="319"/>
      <c r="BK1210" s="319"/>
      <c r="BL1210" s="319"/>
      <c r="BM1210" s="319"/>
      <c r="BN1210" s="319"/>
      <c r="BO1210" s="319"/>
      <c r="BP1210" s="319"/>
      <c r="BQ1210" s="319"/>
      <c r="BR1210" s="319"/>
      <c r="BS1210" s="319"/>
      <c r="BT1210" s="319"/>
      <c r="BU1210" s="319"/>
      <c r="BV1210" s="319"/>
      <c r="BW1210" s="319"/>
      <c r="BX1210" s="319"/>
      <c r="BY1210" s="319"/>
      <c r="BZ1210" s="319"/>
      <c r="CA1210" s="319"/>
      <c r="CB1210" s="319"/>
      <c r="CC1210" s="319"/>
      <c r="CD1210" s="319"/>
      <c r="CE1210" s="319"/>
      <c r="CF1210" s="319"/>
    </row>
    <row r="1211" spans="1:84" ht="13.5" hidden="1" customHeight="1">
      <c r="A1211" s="319">
        <f t="shared" si="171"/>
        <v>1</v>
      </c>
      <c r="B1211" s="319" t="str">
        <f>Language!C1204</f>
        <v>Composto</v>
      </c>
      <c r="C1211" s="319" t="str">
        <f t="shared" si="182"/>
        <v>t</v>
      </c>
      <c r="D1211" s="319" t="str">
        <f t="shared" si="183"/>
        <v>€/t</v>
      </c>
      <c r="E1211" s="494">
        <f t="shared" si="181"/>
        <v>9.2876439800000004</v>
      </c>
      <c r="F1211" s="494">
        <v>1000</v>
      </c>
      <c r="G1211" s="494">
        <f t="shared" si="184"/>
        <v>0</v>
      </c>
      <c r="H1211" s="494">
        <f t="shared" si="185"/>
        <v>0</v>
      </c>
      <c r="I1211" s="319" t="str">
        <f t="shared" si="178"/>
        <v>Composto</v>
      </c>
      <c r="J1211" s="319"/>
      <c r="K1211" s="319"/>
      <c r="L1211" s="319"/>
      <c r="M1211" s="319"/>
      <c r="N1211" s="319"/>
      <c r="O1211" s="319"/>
      <c r="P1211" s="494">
        <v>10.01100398</v>
      </c>
      <c r="Q1211" s="494">
        <v>9.2876439800000004</v>
      </c>
      <c r="R1211" s="605" t="s">
        <v>7068</v>
      </c>
      <c r="S1211" s="319"/>
      <c r="T1211" s="319"/>
      <c r="U1211" s="319"/>
      <c r="V1211" s="319"/>
      <c r="W1211" s="319"/>
      <c r="X1211" s="319"/>
      <c r="Y1211" s="319"/>
      <c r="Z1211" s="319"/>
      <c r="AA1211" s="319"/>
      <c r="AB1211" s="319"/>
      <c r="AC1211" s="319"/>
      <c r="AD1211" s="319"/>
      <c r="AE1211" s="319"/>
      <c r="AF1211" s="319"/>
      <c r="AG1211" s="319"/>
      <c r="AH1211" s="319"/>
      <c r="AI1211" s="319"/>
      <c r="AJ1211" s="319"/>
      <c r="AK1211" s="319"/>
      <c r="AL1211" s="319"/>
      <c r="AM1211" s="319"/>
      <c r="AN1211" s="319"/>
      <c r="AO1211" s="587"/>
      <c r="AP1211" s="319"/>
      <c r="AQ1211" s="319"/>
      <c r="AR1211" s="319"/>
      <c r="AS1211" s="319"/>
      <c r="AT1211" s="319"/>
      <c r="AU1211" s="319"/>
      <c r="AV1211" s="319"/>
      <c r="AW1211" s="319"/>
      <c r="AX1211" s="319"/>
      <c r="AY1211" s="319"/>
      <c r="AZ1211" s="319"/>
      <c r="BA1211" s="319"/>
      <c r="BB1211" s="319"/>
      <c r="BC1211" s="319"/>
      <c r="BD1211" s="319"/>
      <c r="BE1211" s="319"/>
      <c r="BF1211" s="319"/>
      <c r="BG1211" s="319"/>
      <c r="BH1211" s="319"/>
      <c r="BI1211" s="319"/>
      <c r="BJ1211" s="319"/>
      <c r="BK1211" s="319"/>
      <c r="BL1211" s="319"/>
      <c r="BM1211" s="319"/>
      <c r="BN1211" s="319"/>
      <c r="BO1211" s="319"/>
      <c r="BP1211" s="319"/>
      <c r="BQ1211" s="319"/>
      <c r="BR1211" s="319"/>
      <c r="BS1211" s="319"/>
      <c r="BT1211" s="319"/>
      <c r="BU1211" s="319"/>
      <c r="BV1211" s="319"/>
      <c r="BW1211" s="319"/>
      <c r="BX1211" s="319"/>
      <c r="BY1211" s="319"/>
      <c r="BZ1211" s="319"/>
      <c r="CA1211" s="319"/>
      <c r="CB1211" s="319"/>
      <c r="CC1211" s="319"/>
      <c r="CD1211" s="319"/>
      <c r="CE1211" s="319"/>
      <c r="CF1211" s="319"/>
    </row>
    <row r="1212" spans="1:84" ht="13.5" hidden="1" customHeight="1">
      <c r="A1212" s="319">
        <f t="shared" si="171"/>
        <v>1</v>
      </c>
      <c r="B1212" s="319" t="str">
        <f>Language!C1205</f>
        <v>Milho - sabugo</v>
      </c>
      <c r="C1212" s="319" t="str">
        <f t="shared" si="182"/>
        <v>t</v>
      </c>
      <c r="D1212" s="319" t="str">
        <f t="shared" si="183"/>
        <v>€/t</v>
      </c>
      <c r="E1212" s="494">
        <f t="shared" si="181"/>
        <v>17.573393599999999</v>
      </c>
      <c r="F1212" s="494">
        <v>1000</v>
      </c>
      <c r="G1212" s="494">
        <f t="shared" si="184"/>
        <v>0</v>
      </c>
      <c r="H1212" s="494">
        <f t="shared" si="185"/>
        <v>0</v>
      </c>
      <c r="I1212" s="319" t="str">
        <f t="shared" si="178"/>
        <v>Milho - sabugo</v>
      </c>
      <c r="J1212" s="319"/>
      <c r="K1212" s="319"/>
      <c r="L1212" s="319"/>
      <c r="M1212" s="319"/>
      <c r="N1212" s="319"/>
      <c r="O1212" s="319"/>
      <c r="P1212" s="494">
        <v>18.8885936</v>
      </c>
      <c r="Q1212" s="494">
        <v>17.573393599999999</v>
      </c>
      <c r="R1212" s="319" t="s">
        <v>7085</v>
      </c>
      <c r="S1212" s="319"/>
      <c r="T1212" s="319"/>
      <c r="U1212" s="319"/>
      <c r="V1212" s="319"/>
      <c r="W1212" s="319"/>
      <c r="X1212" s="319"/>
      <c r="Y1212" s="319"/>
      <c r="Z1212" s="319"/>
      <c r="AA1212" s="319"/>
      <c r="AB1212" s="319"/>
      <c r="AC1212" s="319"/>
      <c r="AD1212" s="319"/>
      <c r="AE1212" s="319"/>
      <c r="AF1212" s="319"/>
      <c r="AG1212" s="319"/>
      <c r="AH1212" s="319"/>
      <c r="AI1212" s="319"/>
      <c r="AJ1212" s="319"/>
      <c r="AK1212" s="319"/>
      <c r="AL1212" s="319"/>
      <c r="AM1212" s="319"/>
      <c r="AN1212" s="319"/>
      <c r="AO1212" s="587"/>
      <c r="AP1212" s="319"/>
      <c r="AQ1212" s="319"/>
      <c r="AR1212" s="319"/>
      <c r="AS1212" s="319"/>
      <c r="AT1212" s="319"/>
      <c r="AU1212" s="319"/>
      <c r="AV1212" s="319"/>
      <c r="AW1212" s="319"/>
      <c r="AX1212" s="319"/>
      <c r="AY1212" s="319"/>
      <c r="AZ1212" s="319"/>
      <c r="BA1212" s="319"/>
      <c r="BB1212" s="319"/>
      <c r="BC1212" s="319"/>
      <c r="BD1212" s="319"/>
      <c r="BE1212" s="319"/>
      <c r="BF1212" s="319"/>
      <c r="BG1212" s="319"/>
      <c r="BH1212" s="319"/>
      <c r="BI1212" s="319"/>
      <c r="BJ1212" s="319"/>
      <c r="BK1212" s="319"/>
      <c r="BL1212" s="319"/>
      <c r="BM1212" s="319"/>
      <c r="BN1212" s="319"/>
      <c r="BO1212" s="319"/>
      <c r="BP1212" s="319"/>
      <c r="BQ1212" s="319"/>
      <c r="BR1212" s="319"/>
      <c r="BS1212" s="319"/>
      <c r="BT1212" s="319"/>
      <c r="BU1212" s="319"/>
      <c r="BV1212" s="319"/>
      <c r="BW1212" s="319"/>
      <c r="BX1212" s="319"/>
      <c r="BY1212" s="319"/>
      <c r="BZ1212" s="319"/>
      <c r="CA1212" s="319"/>
      <c r="CB1212" s="319"/>
      <c r="CC1212" s="319"/>
      <c r="CD1212" s="319"/>
      <c r="CE1212" s="319"/>
      <c r="CF1212" s="319"/>
    </row>
    <row r="1213" spans="1:84" ht="13.5" hidden="1" customHeight="1">
      <c r="A1213" s="319">
        <f t="shared" si="171"/>
        <v>1</v>
      </c>
      <c r="B1213" s="319" t="str">
        <f>Language!C1206</f>
        <v>Milho - palha</v>
      </c>
      <c r="C1213" s="319" t="str">
        <f t="shared" si="182"/>
        <v>t</v>
      </c>
      <c r="D1213" s="319" t="str">
        <f t="shared" si="183"/>
        <v>€/t</v>
      </c>
      <c r="E1213" s="494">
        <f t="shared" si="181"/>
        <v>16.358475179999999</v>
      </c>
      <c r="F1213" s="494">
        <v>1000</v>
      </c>
      <c r="G1213" s="494">
        <f t="shared" si="184"/>
        <v>0</v>
      </c>
      <c r="H1213" s="494">
        <f t="shared" si="185"/>
        <v>0</v>
      </c>
      <c r="I1213" s="319" t="str">
        <f t="shared" si="178"/>
        <v>Milho - palha</v>
      </c>
      <c r="J1213" s="319"/>
      <c r="K1213" s="319"/>
      <c r="L1213" s="319"/>
      <c r="M1213" s="319"/>
      <c r="N1213" s="319"/>
      <c r="O1213" s="319"/>
      <c r="P1213" s="494">
        <v>17.52023518</v>
      </c>
      <c r="Q1213" s="494">
        <v>16.358475179999999</v>
      </c>
      <c r="R1213" s="319" t="s">
        <v>7098</v>
      </c>
      <c r="S1213" s="319"/>
      <c r="T1213" s="319"/>
      <c r="U1213" s="319"/>
      <c r="V1213" s="319"/>
      <c r="W1213" s="319"/>
      <c r="X1213" s="319"/>
      <c r="Y1213" s="319"/>
      <c r="Z1213" s="319"/>
      <c r="AA1213" s="319"/>
      <c r="AB1213" s="319"/>
      <c r="AC1213" s="319"/>
      <c r="AD1213" s="319"/>
      <c r="AE1213" s="319"/>
      <c r="AF1213" s="319"/>
      <c r="AG1213" s="319"/>
      <c r="AH1213" s="319"/>
      <c r="AI1213" s="319"/>
      <c r="AJ1213" s="319"/>
      <c r="AK1213" s="319"/>
      <c r="AL1213" s="319"/>
      <c r="AM1213" s="319"/>
      <c r="AN1213" s="319"/>
      <c r="AO1213" s="587"/>
      <c r="AP1213" s="319"/>
      <c r="AQ1213" s="319"/>
      <c r="AR1213" s="319"/>
      <c r="AS1213" s="319"/>
      <c r="AT1213" s="319"/>
      <c r="AU1213" s="319"/>
      <c r="AV1213" s="319"/>
      <c r="AW1213" s="319"/>
      <c r="AX1213" s="319"/>
      <c r="AY1213" s="319"/>
      <c r="AZ1213" s="319"/>
      <c r="BA1213" s="319"/>
      <c r="BB1213" s="319"/>
      <c r="BC1213" s="319"/>
      <c r="BD1213" s="319"/>
      <c r="BE1213" s="319"/>
      <c r="BF1213" s="319"/>
      <c r="BG1213" s="319"/>
      <c r="BH1213" s="319"/>
      <c r="BI1213" s="319"/>
      <c r="BJ1213" s="319"/>
      <c r="BK1213" s="319"/>
      <c r="BL1213" s="319"/>
      <c r="BM1213" s="319"/>
      <c r="BN1213" s="319"/>
      <c r="BO1213" s="319"/>
      <c r="BP1213" s="319"/>
      <c r="BQ1213" s="319"/>
      <c r="BR1213" s="319"/>
      <c r="BS1213" s="319"/>
      <c r="BT1213" s="319"/>
      <c r="BU1213" s="319"/>
      <c r="BV1213" s="319"/>
      <c r="BW1213" s="319"/>
      <c r="BX1213" s="319"/>
      <c r="BY1213" s="319"/>
      <c r="BZ1213" s="319"/>
      <c r="CA1213" s="319"/>
      <c r="CB1213" s="319"/>
      <c r="CC1213" s="319"/>
      <c r="CD1213" s="319"/>
      <c r="CE1213" s="319"/>
      <c r="CF1213" s="319"/>
    </row>
    <row r="1214" spans="1:84" ht="13.5" hidden="1" customHeight="1">
      <c r="A1214" s="319">
        <f t="shared" si="171"/>
        <v>1</v>
      </c>
      <c r="B1214" s="319" t="str">
        <f>Language!C1207</f>
        <v>Algodão - resíduo</v>
      </c>
      <c r="C1214" s="319" t="str">
        <f t="shared" si="182"/>
        <v>t</v>
      </c>
      <c r="D1214" s="319" t="str">
        <f t="shared" si="183"/>
        <v>€/t</v>
      </c>
      <c r="E1214" s="494">
        <f t="shared" si="181"/>
        <v>15.694934580000002</v>
      </c>
      <c r="F1214" s="494">
        <v>1000</v>
      </c>
      <c r="G1214" s="494">
        <f t="shared" si="184"/>
        <v>0</v>
      </c>
      <c r="H1214" s="494">
        <f t="shared" si="185"/>
        <v>0</v>
      </c>
      <c r="I1214" s="319" t="str">
        <f t="shared" si="178"/>
        <v>Algodão - resíduo</v>
      </c>
      <c r="J1214" s="319"/>
      <c r="K1214" s="319"/>
      <c r="L1214" s="319"/>
      <c r="M1214" s="319"/>
      <c r="N1214" s="319"/>
      <c r="O1214" s="319"/>
      <c r="P1214" s="494">
        <v>16.637494580000002</v>
      </c>
      <c r="Q1214" s="494">
        <v>15.694934580000002</v>
      </c>
      <c r="R1214" s="319" t="s">
        <v>7107</v>
      </c>
      <c r="S1214" s="319"/>
      <c r="T1214" s="319"/>
      <c r="U1214" s="319"/>
      <c r="V1214" s="319"/>
      <c r="W1214" s="319"/>
      <c r="X1214" s="319"/>
      <c r="Y1214" s="319"/>
      <c r="Z1214" s="319"/>
      <c r="AA1214" s="319"/>
      <c r="AB1214" s="319"/>
      <c r="AC1214" s="319"/>
      <c r="AD1214" s="319"/>
      <c r="AE1214" s="319"/>
      <c r="AF1214" s="319"/>
      <c r="AG1214" s="319"/>
      <c r="AH1214" s="319"/>
      <c r="AI1214" s="319"/>
      <c r="AJ1214" s="319"/>
      <c r="AK1214" s="319"/>
      <c r="AL1214" s="319"/>
      <c r="AM1214" s="319"/>
      <c r="AN1214" s="319"/>
      <c r="AO1214" s="587"/>
      <c r="AP1214" s="319"/>
      <c r="AQ1214" s="319"/>
      <c r="AR1214" s="319"/>
      <c r="AS1214" s="319"/>
      <c r="AT1214" s="319"/>
      <c r="AU1214" s="319"/>
      <c r="AV1214" s="319"/>
      <c r="AW1214" s="319"/>
      <c r="AX1214" s="319"/>
      <c r="AY1214" s="319"/>
      <c r="AZ1214" s="319"/>
      <c r="BA1214" s="319"/>
      <c r="BB1214" s="319"/>
      <c r="BC1214" s="319"/>
      <c r="BD1214" s="319"/>
      <c r="BE1214" s="319"/>
      <c r="BF1214" s="319"/>
      <c r="BG1214" s="319"/>
      <c r="BH1214" s="319"/>
      <c r="BI1214" s="319"/>
      <c r="BJ1214" s="319"/>
      <c r="BK1214" s="319"/>
      <c r="BL1214" s="319"/>
      <c r="BM1214" s="319"/>
      <c r="BN1214" s="319"/>
      <c r="BO1214" s="319"/>
      <c r="BP1214" s="319"/>
      <c r="BQ1214" s="319"/>
      <c r="BR1214" s="319"/>
      <c r="BS1214" s="319"/>
      <c r="BT1214" s="319"/>
      <c r="BU1214" s="319"/>
      <c r="BV1214" s="319"/>
      <c r="BW1214" s="319"/>
      <c r="BX1214" s="319"/>
      <c r="BY1214" s="319"/>
      <c r="BZ1214" s="319"/>
      <c r="CA1214" s="319"/>
      <c r="CB1214" s="319"/>
      <c r="CC1214" s="319"/>
      <c r="CD1214" s="319"/>
      <c r="CE1214" s="319"/>
      <c r="CF1214" s="319"/>
    </row>
    <row r="1215" spans="1:84" ht="13.5" hidden="1" customHeight="1">
      <c r="A1215" s="319">
        <f t="shared" si="171"/>
        <v>1</v>
      </c>
      <c r="B1215" s="319" t="str">
        <f>Language!C1208</f>
        <v>Ulmeiro - casca</v>
      </c>
      <c r="C1215" s="319" t="str">
        <f t="shared" si="182"/>
        <v>t</v>
      </c>
      <c r="D1215" s="319" t="str">
        <f t="shared" si="183"/>
        <v>€/t</v>
      </c>
      <c r="E1215" s="494">
        <f t="shared" si="181"/>
        <v>17.583975179999999</v>
      </c>
      <c r="F1215" s="494">
        <v>1000</v>
      </c>
      <c r="G1215" s="494">
        <f t="shared" si="184"/>
        <v>0</v>
      </c>
      <c r="H1215" s="494">
        <f t="shared" si="185"/>
        <v>0</v>
      </c>
      <c r="I1215" s="319" t="str">
        <f t="shared" si="178"/>
        <v>Ulmeiro - casca</v>
      </c>
      <c r="J1215" s="319"/>
      <c r="K1215" s="319"/>
      <c r="L1215" s="319"/>
      <c r="M1215" s="319"/>
      <c r="N1215" s="319"/>
      <c r="O1215" s="319"/>
      <c r="P1215" s="494">
        <v>18.74573518</v>
      </c>
      <c r="Q1215" s="494">
        <v>17.583975179999999</v>
      </c>
      <c r="R1215" s="319" t="s">
        <v>7129</v>
      </c>
      <c r="S1215" s="319"/>
      <c r="T1215" s="319"/>
      <c r="U1215" s="319"/>
      <c r="V1215" s="319"/>
      <c r="W1215" s="319"/>
      <c r="X1215" s="319"/>
      <c r="Y1215" s="319"/>
      <c r="Z1215" s="319"/>
      <c r="AA1215" s="319"/>
      <c r="AB1215" s="319"/>
      <c r="AC1215" s="319"/>
      <c r="AD1215" s="319"/>
      <c r="AE1215" s="319"/>
      <c r="AF1215" s="319"/>
      <c r="AG1215" s="319"/>
      <c r="AH1215" s="319"/>
      <c r="AI1215" s="319"/>
      <c r="AJ1215" s="319"/>
      <c r="AK1215" s="319"/>
      <c r="AL1215" s="319"/>
      <c r="AM1215" s="319"/>
      <c r="AN1215" s="319"/>
      <c r="AO1215" s="587"/>
      <c r="AP1215" s="319"/>
      <c r="AQ1215" s="319"/>
      <c r="AR1215" s="319"/>
      <c r="AS1215" s="319"/>
      <c r="AT1215" s="319"/>
      <c r="AU1215" s="319"/>
      <c r="AV1215" s="319"/>
      <c r="AW1215" s="319"/>
      <c r="AX1215" s="319"/>
      <c r="AY1215" s="319"/>
      <c r="AZ1215" s="319"/>
      <c r="BA1215" s="319"/>
      <c r="BB1215" s="319"/>
      <c r="BC1215" s="319"/>
      <c r="BD1215" s="319"/>
      <c r="BE1215" s="319"/>
      <c r="BF1215" s="319"/>
      <c r="BG1215" s="319"/>
      <c r="BH1215" s="319"/>
      <c r="BI1215" s="319"/>
      <c r="BJ1215" s="319"/>
      <c r="BK1215" s="319"/>
      <c r="BL1215" s="319"/>
      <c r="BM1215" s="319"/>
      <c r="BN1215" s="319"/>
      <c r="BO1215" s="319"/>
      <c r="BP1215" s="319"/>
      <c r="BQ1215" s="319"/>
      <c r="BR1215" s="319"/>
      <c r="BS1215" s="319"/>
      <c r="BT1215" s="319"/>
      <c r="BU1215" s="319"/>
      <c r="BV1215" s="319"/>
      <c r="BW1215" s="319"/>
      <c r="BX1215" s="319"/>
      <c r="BY1215" s="319"/>
      <c r="BZ1215" s="319"/>
      <c r="CA1215" s="319"/>
      <c r="CB1215" s="319"/>
      <c r="CC1215" s="319"/>
      <c r="CD1215" s="319"/>
      <c r="CE1215" s="319"/>
      <c r="CF1215" s="319"/>
    </row>
    <row r="1216" spans="1:84" ht="13.5" hidden="1" customHeight="1">
      <c r="A1216" s="319">
        <f t="shared" si="171"/>
        <v>1</v>
      </c>
      <c r="B1216" s="319" t="str">
        <f>Language!C1209</f>
        <v>Etanol</v>
      </c>
      <c r="C1216" s="319" t="str">
        <f>$M$1194</f>
        <v>L</v>
      </c>
      <c r="D1216" s="319" t="str">
        <f>$O$1194</f>
        <v>€/L</v>
      </c>
      <c r="E1216" s="494">
        <f t="shared" si="181"/>
        <v>27.740851859999999</v>
      </c>
      <c r="F1216" s="494">
        <v>0.79</v>
      </c>
      <c r="G1216" s="494">
        <f t="shared" si="184"/>
        <v>0</v>
      </c>
      <c r="H1216" s="494">
        <f t="shared" si="185"/>
        <v>0</v>
      </c>
      <c r="I1216" s="319" t="str">
        <f t="shared" si="178"/>
        <v>Etanol</v>
      </c>
      <c r="J1216" s="319"/>
      <c r="K1216" s="319"/>
      <c r="L1216" s="319"/>
      <c r="M1216" s="319"/>
      <c r="N1216" s="319"/>
      <c r="O1216" s="319"/>
      <c r="P1216" s="494">
        <v>30.61237186</v>
      </c>
      <c r="Q1216" s="494">
        <v>27.740851859999999</v>
      </c>
      <c r="R1216" s="319" t="s">
        <v>7066</v>
      </c>
      <c r="S1216" s="319"/>
      <c r="T1216" s="319"/>
      <c r="U1216" s="319"/>
      <c r="V1216" s="319"/>
      <c r="W1216" s="319"/>
      <c r="X1216" s="319"/>
      <c r="Y1216" s="319"/>
      <c r="Z1216" s="319"/>
      <c r="AA1216" s="319"/>
      <c r="AB1216" s="319"/>
      <c r="AC1216" s="319"/>
      <c r="AD1216" s="319"/>
      <c r="AE1216" s="319"/>
      <c r="AF1216" s="319"/>
      <c r="AG1216" s="319"/>
      <c r="AH1216" s="319"/>
      <c r="AI1216" s="319"/>
      <c r="AJ1216" s="319"/>
      <c r="AK1216" s="319"/>
      <c r="AL1216" s="319"/>
      <c r="AM1216" s="319"/>
      <c r="AN1216" s="319"/>
      <c r="AO1216" s="587"/>
      <c r="AP1216" s="319"/>
      <c r="AQ1216" s="319"/>
      <c r="AR1216" s="319"/>
      <c r="AS1216" s="319"/>
      <c r="AT1216" s="319"/>
      <c r="AU1216" s="319"/>
      <c r="AV1216" s="319"/>
      <c r="AW1216" s="319"/>
      <c r="AX1216" s="319"/>
      <c r="AY1216" s="319"/>
      <c r="AZ1216" s="319"/>
      <c r="BA1216" s="319"/>
      <c r="BB1216" s="319"/>
      <c r="BC1216" s="319"/>
      <c r="BD1216" s="319"/>
      <c r="BE1216" s="319"/>
      <c r="BF1216" s="319"/>
      <c r="BG1216" s="319"/>
      <c r="BH1216" s="319"/>
      <c r="BI1216" s="319"/>
      <c r="BJ1216" s="319"/>
      <c r="BK1216" s="319"/>
      <c r="BL1216" s="319"/>
      <c r="BM1216" s="319"/>
      <c r="BN1216" s="319"/>
      <c r="BO1216" s="319"/>
      <c r="BP1216" s="319"/>
      <c r="BQ1216" s="319"/>
      <c r="BR1216" s="319"/>
      <c r="BS1216" s="319"/>
      <c r="BT1216" s="319"/>
      <c r="BU1216" s="319"/>
      <c r="BV1216" s="319"/>
      <c r="BW1216" s="319"/>
      <c r="BX1216" s="319"/>
      <c r="BY1216" s="319"/>
      <c r="BZ1216" s="319"/>
      <c r="CA1216" s="319"/>
      <c r="CB1216" s="319"/>
      <c r="CC1216" s="319"/>
      <c r="CD1216" s="319"/>
      <c r="CE1216" s="319"/>
      <c r="CF1216" s="319"/>
    </row>
    <row r="1217" spans="1:84" ht="13.5" hidden="1" customHeight="1">
      <c r="A1217" s="319">
        <f t="shared" si="171"/>
        <v>1</v>
      </c>
      <c r="B1217" s="319" t="str">
        <f>Language!C1210</f>
        <v>Eucalipto</v>
      </c>
      <c r="C1217" s="319" t="str">
        <f t="shared" ref="C1217:C1224" si="186">$M$1175</f>
        <v>t</v>
      </c>
      <c r="D1217" s="319" t="str">
        <f t="shared" ref="D1217:D1224" si="187">$O$1175</f>
        <v>€/t</v>
      </c>
      <c r="E1217" s="494">
        <f t="shared" si="181"/>
        <v>17.922695479999998</v>
      </c>
      <c r="F1217" s="494">
        <v>1000</v>
      </c>
      <c r="G1217" s="494">
        <f t="shared" si="184"/>
        <v>0</v>
      </c>
      <c r="H1217" s="494">
        <f t="shared" si="185"/>
        <v>0</v>
      </c>
      <c r="I1217" s="319" t="str">
        <f t="shared" si="178"/>
        <v>Eucalipto</v>
      </c>
      <c r="J1217" s="319"/>
      <c r="K1217" s="319"/>
      <c r="L1217" s="319"/>
      <c r="M1217" s="319"/>
      <c r="N1217" s="319"/>
      <c r="O1217" s="319"/>
      <c r="P1217" s="494">
        <v>19.194055479999999</v>
      </c>
      <c r="Q1217" s="494">
        <v>17.922695479999998</v>
      </c>
      <c r="R1217" s="319" t="s">
        <v>7075</v>
      </c>
      <c r="S1217" s="319"/>
      <c r="T1217" s="319"/>
      <c r="U1217" s="319"/>
      <c r="V1217" s="319"/>
      <c r="W1217" s="319"/>
      <c r="X1217" s="319"/>
      <c r="Y1217" s="319"/>
      <c r="Z1217" s="319"/>
      <c r="AA1217" s="319"/>
      <c r="AB1217" s="319"/>
      <c r="AC1217" s="319"/>
      <c r="AD1217" s="319"/>
      <c r="AE1217" s="319"/>
      <c r="AF1217" s="319"/>
      <c r="AG1217" s="319"/>
      <c r="AH1217" s="319"/>
      <c r="AI1217" s="319"/>
      <c r="AJ1217" s="319"/>
      <c r="AK1217" s="319"/>
      <c r="AL1217" s="319"/>
      <c r="AM1217" s="319"/>
      <c r="AN1217" s="319"/>
      <c r="AO1217" s="587"/>
      <c r="AP1217" s="319"/>
      <c r="AQ1217" s="319"/>
      <c r="AR1217" s="319"/>
      <c r="AS1217" s="319"/>
      <c r="AT1217" s="319"/>
      <c r="AU1217" s="319"/>
      <c r="AV1217" s="319"/>
      <c r="AW1217" s="319"/>
      <c r="AX1217" s="319"/>
      <c r="AY1217" s="319"/>
      <c r="AZ1217" s="319"/>
      <c r="BA1217" s="319"/>
      <c r="BB1217" s="319"/>
      <c r="BC1217" s="319"/>
      <c r="BD1217" s="319"/>
      <c r="BE1217" s="319"/>
      <c r="BF1217" s="319"/>
      <c r="BG1217" s="319"/>
      <c r="BH1217" s="319"/>
      <c r="BI1217" s="319"/>
      <c r="BJ1217" s="319"/>
      <c r="BK1217" s="319"/>
      <c r="BL1217" s="319"/>
      <c r="BM1217" s="319"/>
      <c r="BN1217" s="319"/>
      <c r="BO1217" s="319"/>
      <c r="BP1217" s="319"/>
      <c r="BQ1217" s="319"/>
      <c r="BR1217" s="319"/>
      <c r="BS1217" s="319"/>
      <c r="BT1217" s="319"/>
      <c r="BU1217" s="319"/>
      <c r="BV1217" s="319"/>
      <c r="BW1217" s="319"/>
      <c r="BX1217" s="319"/>
      <c r="BY1217" s="319"/>
      <c r="BZ1217" s="319"/>
      <c r="CA1217" s="319"/>
      <c r="CB1217" s="319"/>
      <c r="CC1217" s="319"/>
      <c r="CD1217" s="319"/>
      <c r="CE1217" s="319"/>
      <c r="CF1217" s="319"/>
    </row>
    <row r="1218" spans="1:84" ht="13.5" hidden="1" customHeight="1">
      <c r="A1218" s="319">
        <f t="shared" si="171"/>
        <v>1</v>
      </c>
      <c r="B1218" s="319" t="str">
        <f>Language!C1211</f>
        <v>Pinho (bálsamo) - casca</v>
      </c>
      <c r="C1218" s="319" t="str">
        <f t="shared" si="186"/>
        <v>t</v>
      </c>
      <c r="D1218" s="319" t="str">
        <f t="shared" si="187"/>
        <v>€/t</v>
      </c>
      <c r="E1218" s="494">
        <f t="shared" si="181"/>
        <v>20.435717660000005</v>
      </c>
      <c r="F1218" s="494">
        <v>1000</v>
      </c>
      <c r="G1218" s="494">
        <f t="shared" si="184"/>
        <v>0</v>
      </c>
      <c r="H1218" s="494">
        <f t="shared" si="185"/>
        <v>0</v>
      </c>
      <c r="I1218" s="319" t="str">
        <f t="shared" si="178"/>
        <v>Pinho (bálsamo) - casca</v>
      </c>
      <c r="J1218" s="319"/>
      <c r="K1218" s="319"/>
      <c r="L1218" s="319"/>
      <c r="M1218" s="319"/>
      <c r="N1218" s="319"/>
      <c r="O1218" s="319"/>
      <c r="P1218" s="494">
        <v>21.772837660000004</v>
      </c>
      <c r="Q1218" s="494">
        <v>20.435717660000005</v>
      </c>
      <c r="R1218" s="319" t="s">
        <v>7120</v>
      </c>
      <c r="S1218" s="319"/>
      <c r="T1218" s="319"/>
      <c r="U1218" s="319"/>
      <c r="V1218" s="319"/>
      <c r="W1218" s="319"/>
      <c r="X1218" s="319"/>
      <c r="Y1218" s="319"/>
      <c r="Z1218" s="319"/>
      <c r="AA1218" s="319"/>
      <c r="AB1218" s="319"/>
      <c r="AC1218" s="319"/>
      <c r="AD1218" s="319"/>
      <c r="AE1218" s="319"/>
      <c r="AF1218" s="319"/>
      <c r="AG1218" s="319"/>
      <c r="AH1218" s="319"/>
      <c r="AI1218" s="319"/>
      <c r="AJ1218" s="319"/>
      <c r="AK1218" s="319"/>
      <c r="AL1218" s="319"/>
      <c r="AM1218" s="319"/>
      <c r="AN1218" s="319"/>
      <c r="AO1218" s="587"/>
      <c r="AP1218" s="319"/>
      <c r="AQ1218" s="319"/>
      <c r="AR1218" s="319"/>
      <c r="AS1218" s="319"/>
      <c r="AT1218" s="319"/>
      <c r="AU1218" s="319"/>
      <c r="AV1218" s="319"/>
      <c r="AW1218" s="319"/>
      <c r="AX1218" s="319"/>
      <c r="AY1218" s="319"/>
      <c r="AZ1218" s="319"/>
      <c r="BA1218" s="319"/>
      <c r="BB1218" s="319"/>
      <c r="BC1218" s="319"/>
      <c r="BD1218" s="319"/>
      <c r="BE1218" s="319"/>
      <c r="BF1218" s="319"/>
      <c r="BG1218" s="319"/>
      <c r="BH1218" s="319"/>
      <c r="BI1218" s="319"/>
      <c r="BJ1218" s="319"/>
      <c r="BK1218" s="319"/>
      <c r="BL1218" s="319"/>
      <c r="BM1218" s="319"/>
      <c r="BN1218" s="319"/>
      <c r="BO1218" s="319"/>
      <c r="BP1218" s="319"/>
      <c r="BQ1218" s="319"/>
      <c r="BR1218" s="319"/>
      <c r="BS1218" s="319"/>
      <c r="BT1218" s="319"/>
      <c r="BU1218" s="319"/>
      <c r="BV1218" s="319"/>
      <c r="BW1218" s="319"/>
      <c r="BX1218" s="319"/>
      <c r="BY1218" s="319"/>
      <c r="BZ1218" s="319"/>
      <c r="CA1218" s="319"/>
      <c r="CB1218" s="319"/>
      <c r="CC1218" s="319"/>
      <c r="CD1218" s="319"/>
      <c r="CE1218" s="319"/>
      <c r="CF1218" s="319"/>
    </row>
    <row r="1219" spans="1:84" ht="13.5" hidden="1" customHeight="1">
      <c r="A1219" s="319">
        <f t="shared" si="171"/>
        <v>1</v>
      </c>
      <c r="B1219" s="319" t="str">
        <f>Language!C1212</f>
        <v>Linho</v>
      </c>
      <c r="C1219" s="319" t="str">
        <f t="shared" si="186"/>
        <v>t</v>
      </c>
      <c r="D1219" s="319" t="str">
        <f t="shared" si="187"/>
        <v>€/t</v>
      </c>
      <c r="E1219" s="494">
        <f t="shared" si="181"/>
        <v>15.693054879999998</v>
      </c>
      <c r="F1219" s="494">
        <v>1000</v>
      </c>
      <c r="G1219" s="494">
        <f t="shared" si="184"/>
        <v>0</v>
      </c>
      <c r="H1219" s="494">
        <f t="shared" si="185"/>
        <v>0</v>
      </c>
      <c r="I1219" s="319" t="str">
        <f t="shared" si="178"/>
        <v>Linho</v>
      </c>
      <c r="J1219" s="319"/>
      <c r="K1219" s="319"/>
      <c r="L1219" s="319"/>
      <c r="M1219" s="319"/>
      <c r="N1219" s="319"/>
      <c r="O1219" s="319"/>
      <c r="P1219" s="494">
        <v>16.745214879999999</v>
      </c>
      <c r="Q1219" s="494">
        <v>15.693054879999998</v>
      </c>
      <c r="R1219" s="319" t="s">
        <v>7121</v>
      </c>
      <c r="S1219" s="319"/>
      <c r="T1219" s="319"/>
      <c r="U1219" s="319"/>
      <c r="V1219" s="319"/>
      <c r="W1219" s="319"/>
      <c r="X1219" s="319"/>
      <c r="Y1219" s="319"/>
      <c r="Z1219" s="319"/>
      <c r="AA1219" s="319"/>
      <c r="AB1219" s="319"/>
      <c r="AC1219" s="319"/>
      <c r="AD1219" s="319"/>
      <c r="AE1219" s="319"/>
      <c r="AF1219" s="319"/>
      <c r="AG1219" s="319"/>
      <c r="AH1219" s="319"/>
      <c r="AI1219" s="319"/>
      <c r="AJ1219" s="319"/>
      <c r="AK1219" s="319"/>
      <c r="AL1219" s="319"/>
      <c r="AM1219" s="319"/>
      <c r="AN1219" s="319"/>
      <c r="AO1219" s="587"/>
      <c r="AP1219" s="319"/>
      <c r="AQ1219" s="319"/>
      <c r="AR1219" s="319"/>
      <c r="AS1219" s="319"/>
      <c r="AT1219" s="319"/>
      <c r="AU1219" s="319"/>
      <c r="AV1219" s="319"/>
      <c r="AW1219" s="319"/>
      <c r="AX1219" s="319"/>
      <c r="AY1219" s="319"/>
      <c r="AZ1219" s="319"/>
      <c r="BA1219" s="319"/>
      <c r="BB1219" s="319"/>
      <c r="BC1219" s="319"/>
      <c r="BD1219" s="319"/>
      <c r="BE1219" s="319"/>
      <c r="BF1219" s="319"/>
      <c r="BG1219" s="319"/>
      <c r="BH1219" s="319"/>
      <c r="BI1219" s="319"/>
      <c r="BJ1219" s="319"/>
      <c r="BK1219" s="319"/>
      <c r="BL1219" s="319"/>
      <c r="BM1219" s="319"/>
      <c r="BN1219" s="319"/>
      <c r="BO1219" s="319"/>
      <c r="BP1219" s="319"/>
      <c r="BQ1219" s="319"/>
      <c r="BR1219" s="319"/>
      <c r="BS1219" s="319"/>
      <c r="BT1219" s="319"/>
      <c r="BU1219" s="319"/>
      <c r="BV1219" s="319"/>
      <c r="BW1219" s="319"/>
      <c r="BX1219" s="319"/>
      <c r="BY1219" s="319"/>
      <c r="BZ1219" s="319"/>
      <c r="CA1219" s="319"/>
      <c r="CB1219" s="319"/>
      <c r="CC1219" s="319"/>
      <c r="CD1219" s="319"/>
      <c r="CE1219" s="319"/>
      <c r="CF1219" s="319"/>
    </row>
    <row r="1220" spans="1:84" ht="13.5" hidden="1" customHeight="1">
      <c r="A1220" s="319">
        <f t="shared" si="171"/>
        <v>1</v>
      </c>
      <c r="B1220" s="319" t="str">
        <f>Language!C1213</f>
        <v>Resíduo de alimentos</v>
      </c>
      <c r="C1220" s="319" t="str">
        <f t="shared" si="186"/>
        <v>t</v>
      </c>
      <c r="D1220" s="319" t="str">
        <f t="shared" si="187"/>
        <v>€/t</v>
      </c>
      <c r="E1220" s="494">
        <f t="shared" si="181"/>
        <v>18.855889840000003</v>
      </c>
      <c r="F1220" s="494">
        <v>1000</v>
      </c>
      <c r="G1220" s="494">
        <f t="shared" si="184"/>
        <v>0</v>
      </c>
      <c r="H1220" s="494">
        <f t="shared" si="185"/>
        <v>0</v>
      </c>
      <c r="I1220" s="319" t="str">
        <f t="shared" si="178"/>
        <v>Resíduo de alimentos</v>
      </c>
      <c r="J1220" s="319"/>
      <c r="K1220" s="319"/>
      <c r="L1220" s="319"/>
      <c r="M1220" s="319"/>
      <c r="N1220" s="319"/>
      <c r="O1220" s="319"/>
      <c r="P1220" s="494">
        <v>20.258769840000003</v>
      </c>
      <c r="Q1220" s="494">
        <v>18.855889840000003</v>
      </c>
      <c r="R1220" s="319" t="s">
        <v>7064</v>
      </c>
      <c r="S1220" s="319"/>
      <c r="T1220" s="319"/>
      <c r="U1220" s="319"/>
      <c r="V1220" s="319"/>
      <c r="W1220" s="319"/>
      <c r="X1220" s="319"/>
      <c r="Y1220" s="319"/>
      <c r="Z1220" s="319"/>
      <c r="AA1220" s="319"/>
      <c r="AB1220" s="319"/>
      <c r="AC1220" s="319"/>
      <c r="AD1220" s="319"/>
      <c r="AE1220" s="319"/>
      <c r="AF1220" s="319"/>
      <c r="AG1220" s="319"/>
      <c r="AH1220" s="319"/>
      <c r="AI1220" s="319"/>
      <c r="AJ1220" s="319"/>
      <c r="AK1220" s="319"/>
      <c r="AL1220" s="319"/>
      <c r="AM1220" s="319"/>
      <c r="AN1220" s="319"/>
      <c r="AO1220" s="587"/>
      <c r="AP1220" s="319"/>
      <c r="AQ1220" s="319"/>
      <c r="AR1220" s="319"/>
      <c r="AS1220" s="319"/>
      <c r="AT1220" s="319"/>
      <c r="AU1220" s="319"/>
      <c r="AV1220" s="319"/>
      <c r="AW1220" s="319"/>
      <c r="AX1220" s="319"/>
      <c r="AY1220" s="319"/>
      <c r="AZ1220" s="319"/>
      <c r="BA1220" s="319"/>
      <c r="BB1220" s="319"/>
      <c r="BC1220" s="319"/>
      <c r="BD1220" s="319"/>
      <c r="BE1220" s="319"/>
      <c r="BF1220" s="319"/>
      <c r="BG1220" s="319"/>
      <c r="BH1220" s="319"/>
      <c r="BI1220" s="319"/>
      <c r="BJ1220" s="319"/>
      <c r="BK1220" s="319"/>
      <c r="BL1220" s="319"/>
      <c r="BM1220" s="319"/>
      <c r="BN1220" s="319"/>
      <c r="BO1220" s="319"/>
      <c r="BP1220" s="319"/>
      <c r="BQ1220" s="319"/>
      <c r="BR1220" s="319"/>
      <c r="BS1220" s="319"/>
      <c r="BT1220" s="319"/>
      <c r="BU1220" s="319"/>
      <c r="BV1220" s="319"/>
      <c r="BW1220" s="319"/>
      <c r="BX1220" s="319"/>
      <c r="BY1220" s="319"/>
      <c r="BZ1220" s="319"/>
      <c r="CA1220" s="319"/>
      <c r="CB1220" s="319"/>
      <c r="CC1220" s="319"/>
      <c r="CD1220" s="319"/>
      <c r="CE1220" s="319"/>
      <c r="CF1220" s="319"/>
    </row>
    <row r="1221" spans="1:84" ht="13.5" hidden="1" customHeight="1">
      <c r="A1221" s="319">
        <f t="shared" si="171"/>
        <v>1</v>
      </c>
      <c r="B1221" s="319" t="str">
        <f>Language!C1214</f>
        <v>Floresta - resíduo</v>
      </c>
      <c r="C1221" s="319" t="str">
        <f t="shared" si="186"/>
        <v>t</v>
      </c>
      <c r="D1221" s="319" t="str">
        <f t="shared" si="187"/>
        <v>€/t</v>
      </c>
      <c r="E1221" s="494">
        <f t="shared" si="181"/>
        <v>17.983204353999994</v>
      </c>
      <c r="F1221" s="494">
        <v>1000</v>
      </c>
      <c r="G1221" s="494">
        <f t="shared" si="184"/>
        <v>0</v>
      </c>
      <c r="H1221" s="494">
        <f t="shared" si="185"/>
        <v>0</v>
      </c>
      <c r="I1221" s="319" t="str">
        <f t="shared" si="178"/>
        <v>Floresta - resíduo</v>
      </c>
      <c r="J1221" s="319"/>
      <c r="K1221" s="319"/>
      <c r="L1221" s="319"/>
      <c r="M1221" s="319"/>
      <c r="N1221" s="319"/>
      <c r="O1221" s="319"/>
      <c r="P1221" s="494">
        <v>18.989332353999995</v>
      </c>
      <c r="Q1221" s="494">
        <v>17.983204353999994</v>
      </c>
      <c r="R1221" s="319" t="s">
        <v>7124</v>
      </c>
      <c r="S1221" s="319"/>
      <c r="T1221" s="319"/>
      <c r="U1221" s="319"/>
      <c r="V1221" s="319"/>
      <c r="W1221" s="319"/>
      <c r="X1221" s="319"/>
      <c r="Y1221" s="319"/>
      <c r="Z1221" s="319"/>
      <c r="AA1221" s="319"/>
      <c r="AB1221" s="319"/>
      <c r="AC1221" s="319"/>
      <c r="AD1221" s="319"/>
      <c r="AE1221" s="319"/>
      <c r="AF1221" s="319"/>
      <c r="AG1221" s="319"/>
      <c r="AH1221" s="319"/>
      <c r="AI1221" s="319"/>
      <c r="AJ1221" s="319"/>
      <c r="AK1221" s="319"/>
      <c r="AL1221" s="319"/>
      <c r="AM1221" s="319"/>
      <c r="AN1221" s="319"/>
      <c r="AO1221" s="587"/>
      <c r="AP1221" s="319"/>
      <c r="AQ1221" s="319"/>
      <c r="AR1221" s="319"/>
      <c r="AS1221" s="319"/>
      <c r="AT1221" s="319"/>
      <c r="AU1221" s="319"/>
      <c r="AV1221" s="319"/>
      <c r="AW1221" s="319"/>
      <c r="AX1221" s="319"/>
      <c r="AY1221" s="319"/>
      <c r="AZ1221" s="319"/>
      <c r="BA1221" s="319"/>
      <c r="BB1221" s="319"/>
      <c r="BC1221" s="319"/>
      <c r="BD1221" s="319"/>
      <c r="BE1221" s="319"/>
      <c r="BF1221" s="319"/>
      <c r="BG1221" s="319"/>
      <c r="BH1221" s="319"/>
      <c r="BI1221" s="319"/>
      <c r="BJ1221" s="319"/>
      <c r="BK1221" s="319"/>
      <c r="BL1221" s="319"/>
      <c r="BM1221" s="319"/>
      <c r="BN1221" s="319"/>
      <c r="BO1221" s="319"/>
      <c r="BP1221" s="319"/>
      <c r="BQ1221" s="319"/>
      <c r="BR1221" s="319"/>
      <c r="BS1221" s="319"/>
      <c r="BT1221" s="319"/>
      <c r="BU1221" s="319"/>
      <c r="BV1221" s="319"/>
      <c r="BW1221" s="319"/>
      <c r="BX1221" s="319"/>
      <c r="BY1221" s="319"/>
      <c r="BZ1221" s="319"/>
      <c r="CA1221" s="319"/>
      <c r="CB1221" s="319"/>
      <c r="CC1221" s="319"/>
      <c r="CD1221" s="319"/>
      <c r="CE1221" s="319"/>
      <c r="CF1221" s="319"/>
    </row>
    <row r="1222" spans="1:84" ht="13.5" hidden="1" customHeight="1">
      <c r="A1222" s="319">
        <f t="shared" si="171"/>
        <v>1</v>
      </c>
      <c r="B1222" s="319" t="str">
        <f>Language!C1215</f>
        <v>Avelã - casca</v>
      </c>
      <c r="C1222" s="319" t="str">
        <f t="shared" si="186"/>
        <v>t</v>
      </c>
      <c r="D1222" s="319" t="str">
        <f t="shared" si="187"/>
        <v>€/t</v>
      </c>
      <c r="E1222" s="494">
        <f t="shared" si="181"/>
        <v>19.6062233</v>
      </c>
      <c r="F1222" s="494">
        <v>1000</v>
      </c>
      <c r="G1222" s="494">
        <f t="shared" si="184"/>
        <v>0</v>
      </c>
      <c r="H1222" s="494">
        <f t="shared" si="185"/>
        <v>0</v>
      </c>
      <c r="I1222" s="319" t="str">
        <f t="shared" si="178"/>
        <v>Avelã - casca</v>
      </c>
      <c r="J1222" s="319"/>
      <c r="K1222" s="319"/>
      <c r="L1222" s="319"/>
      <c r="M1222" s="319"/>
      <c r="N1222" s="319"/>
      <c r="O1222" s="319"/>
      <c r="P1222" s="494">
        <v>20.8118233</v>
      </c>
      <c r="Q1222" s="494">
        <v>19.6062233</v>
      </c>
      <c r="R1222" s="319" t="s">
        <v>7125</v>
      </c>
      <c r="S1222" s="319"/>
      <c r="T1222" s="319"/>
      <c r="U1222" s="319"/>
      <c r="V1222" s="319"/>
      <c r="W1222" s="319"/>
      <c r="X1222" s="319"/>
      <c r="Y1222" s="319"/>
      <c r="Z1222" s="319"/>
      <c r="AA1222" s="319"/>
      <c r="AB1222" s="319"/>
      <c r="AC1222" s="319"/>
      <c r="AD1222" s="319"/>
      <c r="AE1222" s="319"/>
      <c r="AF1222" s="319"/>
      <c r="AG1222" s="319"/>
      <c r="AH1222" s="319"/>
      <c r="AI1222" s="319"/>
      <c r="AJ1222" s="319"/>
      <c r="AK1222" s="319"/>
      <c r="AL1222" s="319"/>
      <c r="AM1222" s="319"/>
      <c r="AN1222" s="319"/>
      <c r="AO1222" s="587"/>
      <c r="AP1222" s="319"/>
      <c r="AQ1222" s="319"/>
      <c r="AR1222" s="319"/>
      <c r="AS1222" s="319"/>
      <c r="AT1222" s="319"/>
      <c r="AU1222" s="319"/>
      <c r="AV1222" s="319"/>
      <c r="AW1222" s="319"/>
      <c r="AX1222" s="319"/>
      <c r="AY1222" s="319"/>
      <c r="AZ1222" s="319"/>
      <c r="BA1222" s="319"/>
      <c r="BB1222" s="319"/>
      <c r="BC1222" s="319"/>
      <c r="BD1222" s="319"/>
      <c r="BE1222" s="319"/>
      <c r="BF1222" s="319"/>
      <c r="BG1222" s="319"/>
      <c r="BH1222" s="319"/>
      <c r="BI1222" s="319"/>
      <c r="BJ1222" s="319"/>
      <c r="BK1222" s="319"/>
      <c r="BL1222" s="319"/>
      <c r="BM1222" s="319"/>
      <c r="BN1222" s="319"/>
      <c r="BO1222" s="319"/>
      <c r="BP1222" s="319"/>
      <c r="BQ1222" s="319"/>
      <c r="BR1222" s="319"/>
      <c r="BS1222" s="319"/>
      <c r="BT1222" s="319"/>
      <c r="BU1222" s="319"/>
      <c r="BV1222" s="319"/>
      <c r="BW1222" s="319"/>
      <c r="BX1222" s="319"/>
      <c r="BY1222" s="319"/>
      <c r="BZ1222" s="319"/>
      <c r="CA1222" s="319"/>
      <c r="CB1222" s="319"/>
      <c r="CC1222" s="319"/>
      <c r="CD1222" s="319"/>
      <c r="CE1222" s="319"/>
      <c r="CF1222" s="319"/>
    </row>
    <row r="1223" spans="1:84" ht="13.5" hidden="1" customHeight="1">
      <c r="A1223" s="319">
        <f t="shared" si="171"/>
        <v>1</v>
      </c>
      <c r="B1223" s="319" t="str">
        <f>Language!C1216</f>
        <v>Cânhamo</v>
      </c>
      <c r="C1223" s="319" t="str">
        <f t="shared" si="186"/>
        <v>t</v>
      </c>
      <c r="D1223" s="319" t="str">
        <f t="shared" si="187"/>
        <v>€/t</v>
      </c>
      <c r="E1223" s="494">
        <f t="shared" si="181"/>
        <v>15.095928940000002</v>
      </c>
      <c r="F1223" s="494">
        <v>1000</v>
      </c>
      <c r="G1223" s="494">
        <f t="shared" si="184"/>
        <v>0</v>
      </c>
      <c r="H1223" s="494">
        <f t="shared" si="185"/>
        <v>0</v>
      </c>
      <c r="I1223" s="319" t="str">
        <f t="shared" si="178"/>
        <v>Cânhamo</v>
      </c>
      <c r="J1223" s="319"/>
      <c r="K1223" s="319"/>
      <c r="L1223" s="319"/>
      <c r="M1223" s="319"/>
      <c r="N1223" s="319"/>
      <c r="O1223" s="319"/>
      <c r="P1223" s="494">
        <v>16.170008940000002</v>
      </c>
      <c r="Q1223" s="494">
        <v>15.095928940000002</v>
      </c>
      <c r="R1223" s="319" t="s">
        <v>7236</v>
      </c>
      <c r="S1223" s="319"/>
      <c r="T1223" s="319"/>
      <c r="U1223" s="319"/>
      <c r="V1223" s="319"/>
      <c r="W1223" s="319"/>
      <c r="X1223" s="319"/>
      <c r="Y1223" s="319"/>
      <c r="Z1223" s="319"/>
      <c r="AA1223" s="319"/>
      <c r="AB1223" s="319"/>
      <c r="AC1223" s="319"/>
      <c r="AD1223" s="319"/>
      <c r="AE1223" s="319"/>
      <c r="AF1223" s="319"/>
      <c r="AG1223" s="319"/>
      <c r="AH1223" s="319"/>
      <c r="AI1223" s="319"/>
      <c r="AJ1223" s="319"/>
      <c r="AK1223" s="319"/>
      <c r="AL1223" s="319"/>
      <c r="AM1223" s="319"/>
      <c r="AN1223" s="319"/>
      <c r="AO1223" s="587"/>
      <c r="AP1223" s="319"/>
      <c r="AQ1223" s="319"/>
      <c r="AR1223" s="319"/>
      <c r="AS1223" s="319"/>
      <c r="AT1223" s="319"/>
      <c r="AU1223" s="319"/>
      <c r="AV1223" s="319"/>
      <c r="AW1223" s="319"/>
      <c r="AX1223" s="319"/>
      <c r="AY1223" s="319"/>
      <c r="AZ1223" s="319"/>
      <c r="BA1223" s="319"/>
      <c r="BB1223" s="319"/>
      <c r="BC1223" s="319"/>
      <c r="BD1223" s="319"/>
      <c r="BE1223" s="319"/>
      <c r="BF1223" s="319"/>
      <c r="BG1223" s="319"/>
      <c r="BH1223" s="319"/>
      <c r="BI1223" s="319"/>
      <c r="BJ1223" s="319"/>
      <c r="BK1223" s="319"/>
      <c r="BL1223" s="319"/>
      <c r="BM1223" s="319"/>
      <c r="BN1223" s="319"/>
      <c r="BO1223" s="319"/>
      <c r="BP1223" s="319"/>
      <c r="BQ1223" s="319"/>
      <c r="BR1223" s="319"/>
      <c r="BS1223" s="319"/>
      <c r="BT1223" s="319"/>
      <c r="BU1223" s="319"/>
      <c r="BV1223" s="319"/>
      <c r="BW1223" s="319"/>
      <c r="BX1223" s="319"/>
      <c r="BY1223" s="319"/>
      <c r="BZ1223" s="319"/>
      <c r="CA1223" s="319"/>
      <c r="CB1223" s="319"/>
      <c r="CC1223" s="319"/>
      <c r="CD1223" s="319"/>
      <c r="CE1223" s="319"/>
      <c r="CF1223" s="319"/>
    </row>
    <row r="1224" spans="1:84" ht="13.5" hidden="1" customHeight="1">
      <c r="A1224" s="319">
        <f t="shared" si="171"/>
        <v>1</v>
      </c>
      <c r="B1224" s="319" t="str">
        <f>Language!C1217</f>
        <v>Nogueira</v>
      </c>
      <c r="C1224" s="319" t="str">
        <f t="shared" si="186"/>
        <v>t</v>
      </c>
      <c r="D1224" s="319" t="str">
        <f t="shared" si="187"/>
        <v>€/t</v>
      </c>
      <c r="E1224" s="494">
        <f t="shared" si="181"/>
        <v>19.188963900000001</v>
      </c>
      <c r="F1224" s="494">
        <v>1000</v>
      </c>
      <c r="G1224" s="494">
        <f t="shared" si="184"/>
        <v>0</v>
      </c>
      <c r="H1224" s="494">
        <f t="shared" si="185"/>
        <v>0</v>
      </c>
      <c r="I1224" s="319" t="str">
        <f t="shared" si="178"/>
        <v>Nogueira</v>
      </c>
      <c r="J1224" s="319"/>
      <c r="K1224" s="319"/>
      <c r="L1224" s="319"/>
      <c r="M1224" s="319"/>
      <c r="N1224" s="319"/>
      <c r="O1224" s="319"/>
      <c r="P1224" s="494">
        <v>20.613763900000002</v>
      </c>
      <c r="Q1224" s="494">
        <v>19.188963900000001</v>
      </c>
      <c r="R1224" s="605" t="s">
        <v>7237</v>
      </c>
      <c r="S1224" s="319"/>
      <c r="T1224" s="319"/>
      <c r="U1224" s="319"/>
      <c r="V1224" s="319"/>
      <c r="W1224" s="319"/>
      <c r="X1224" s="319"/>
      <c r="Y1224" s="319"/>
      <c r="Z1224" s="319"/>
      <c r="AA1224" s="319"/>
      <c r="AB1224" s="319"/>
      <c r="AC1224" s="319"/>
      <c r="AD1224" s="319"/>
      <c r="AE1224" s="319"/>
      <c r="AF1224" s="319"/>
      <c r="AG1224" s="319"/>
      <c r="AH1224" s="319"/>
      <c r="AI1224" s="319"/>
      <c r="AJ1224" s="319"/>
      <c r="AK1224" s="319"/>
      <c r="AL1224" s="319"/>
      <c r="AM1224" s="319"/>
      <c r="AN1224" s="319"/>
      <c r="AO1224" s="587"/>
      <c r="AP1224" s="319"/>
      <c r="AQ1224" s="319"/>
      <c r="AR1224" s="319"/>
      <c r="AS1224" s="319"/>
      <c r="AT1224" s="319"/>
      <c r="AU1224" s="319"/>
      <c r="AV1224" s="319"/>
      <c r="AW1224" s="319"/>
      <c r="AX1224" s="319"/>
      <c r="AY1224" s="319"/>
      <c r="AZ1224" s="319"/>
      <c r="BA1224" s="319"/>
      <c r="BB1224" s="319"/>
      <c r="BC1224" s="319"/>
      <c r="BD1224" s="319"/>
      <c r="BE1224" s="319"/>
      <c r="BF1224" s="319"/>
      <c r="BG1224" s="319"/>
      <c r="BH1224" s="319"/>
      <c r="BI1224" s="319"/>
      <c r="BJ1224" s="319"/>
      <c r="BK1224" s="319"/>
      <c r="BL1224" s="319"/>
      <c r="BM1224" s="319"/>
      <c r="BN1224" s="319"/>
      <c r="BO1224" s="319"/>
      <c r="BP1224" s="319"/>
      <c r="BQ1224" s="319"/>
      <c r="BR1224" s="319"/>
      <c r="BS1224" s="319"/>
      <c r="BT1224" s="319"/>
      <c r="BU1224" s="319"/>
      <c r="BV1224" s="319"/>
      <c r="BW1224" s="319"/>
      <c r="BX1224" s="319"/>
      <c r="BY1224" s="319"/>
      <c r="BZ1224" s="319"/>
      <c r="CA1224" s="319"/>
      <c r="CB1224" s="319"/>
      <c r="CC1224" s="319"/>
      <c r="CD1224" s="319"/>
      <c r="CE1224" s="319"/>
      <c r="CF1224" s="319"/>
    </row>
    <row r="1225" spans="1:84" ht="13.5" hidden="1" customHeight="1">
      <c r="A1225" s="319">
        <f t="shared" si="171"/>
        <v>1</v>
      </c>
      <c r="B1225" s="319" t="str">
        <f>Language!C1218</f>
        <v>Hidrogênio</v>
      </c>
      <c r="C1225" s="319" t="str">
        <f>$M$1193</f>
        <v>kg</v>
      </c>
      <c r="D1225" s="319" t="str">
        <f>D1193</f>
        <v>€/kg</v>
      </c>
      <c r="E1225" s="494">
        <f t="shared" si="181"/>
        <v>122.357</v>
      </c>
      <c r="F1225" s="494">
        <v>1</v>
      </c>
      <c r="G1225" s="494">
        <f t="shared" si="184"/>
        <v>0</v>
      </c>
      <c r="H1225" s="494">
        <f t="shared" si="185"/>
        <v>0</v>
      </c>
      <c r="I1225" s="319" t="str">
        <f t="shared" si="178"/>
        <v>Hidrogênio</v>
      </c>
      <c r="J1225" s="319"/>
      <c r="K1225" s="319"/>
      <c r="L1225" s="319"/>
      <c r="M1225" s="319"/>
      <c r="N1225" s="319"/>
      <c r="O1225" s="319"/>
      <c r="P1225" s="494">
        <v>144.27699999999999</v>
      </c>
      <c r="Q1225" s="494">
        <v>122.357</v>
      </c>
      <c r="R1225" s="319" t="s">
        <v>7126</v>
      </c>
      <c r="S1225" s="319"/>
      <c r="T1225" s="319"/>
      <c r="U1225" s="319"/>
      <c r="V1225" s="319"/>
      <c r="W1225" s="319"/>
      <c r="X1225" s="319"/>
      <c r="Y1225" s="319"/>
      <c r="Z1225" s="319"/>
      <c r="AA1225" s="319"/>
      <c r="AB1225" s="319"/>
      <c r="AC1225" s="319"/>
      <c r="AD1225" s="319"/>
      <c r="AE1225" s="319"/>
      <c r="AF1225" s="319"/>
      <c r="AG1225" s="319"/>
      <c r="AH1225" s="319"/>
      <c r="AI1225" s="319"/>
      <c r="AJ1225" s="319"/>
      <c r="AK1225" s="319"/>
      <c r="AL1225" s="319"/>
      <c r="AM1225" s="319"/>
      <c r="AN1225" s="319"/>
      <c r="AO1225" s="587"/>
      <c r="AP1225" s="319"/>
      <c r="AQ1225" s="319"/>
      <c r="AR1225" s="319"/>
      <c r="AS1225" s="319"/>
      <c r="AT1225" s="319"/>
      <c r="AU1225" s="319"/>
      <c r="AV1225" s="319"/>
      <c r="AW1225" s="319"/>
      <c r="AX1225" s="319"/>
      <c r="AY1225" s="319"/>
      <c r="AZ1225" s="319"/>
      <c r="BA1225" s="319"/>
      <c r="BB1225" s="319"/>
      <c r="BC1225" s="319"/>
      <c r="BD1225" s="319"/>
      <c r="BE1225" s="319"/>
      <c r="BF1225" s="319"/>
      <c r="BG1225" s="319"/>
      <c r="BH1225" s="319"/>
      <c r="BI1225" s="319"/>
      <c r="BJ1225" s="319"/>
      <c r="BK1225" s="319"/>
      <c r="BL1225" s="319"/>
      <c r="BM1225" s="319"/>
      <c r="BN1225" s="319"/>
      <c r="BO1225" s="319"/>
      <c r="BP1225" s="319"/>
      <c r="BQ1225" s="319"/>
      <c r="BR1225" s="319"/>
      <c r="BS1225" s="319"/>
      <c r="BT1225" s="319"/>
      <c r="BU1225" s="319"/>
      <c r="BV1225" s="319"/>
      <c r="BW1225" s="319"/>
      <c r="BX1225" s="319"/>
      <c r="BY1225" s="319"/>
      <c r="BZ1225" s="319"/>
      <c r="CA1225" s="319"/>
      <c r="CB1225" s="319"/>
      <c r="CC1225" s="319"/>
      <c r="CD1225" s="319"/>
      <c r="CE1225" s="319"/>
      <c r="CF1225" s="319"/>
    </row>
    <row r="1226" spans="1:84" ht="13.5" hidden="1" customHeight="1">
      <c r="A1226" s="319">
        <f t="shared" si="171"/>
        <v>1</v>
      </c>
      <c r="B1226" s="319" t="str">
        <f>Language!C1445</f>
        <v>Gás de Lixo (Biogás)</v>
      </c>
      <c r="C1226" s="319" t="str">
        <f>M1187</f>
        <v>m³</v>
      </c>
      <c r="D1226" s="319" t="str">
        <f>$O$1187</f>
        <v>€/m³</v>
      </c>
      <c r="E1226" s="494">
        <f>IF(OR(Ferramentas!N403=0,Ferramentas!N403=""),18.6,Ferramentas!N403)/F1226</f>
        <v>14.853882210712825</v>
      </c>
      <c r="F1226" s="494">
        <f>Ferramentas!C866</f>
        <v>1.2481585444799539</v>
      </c>
      <c r="G1226" s="494">
        <f t="shared" si="184"/>
        <v>0</v>
      </c>
      <c r="H1226" s="494">
        <f t="shared" si="185"/>
        <v>0</v>
      </c>
      <c r="I1226" s="319" t="str">
        <f t="shared" si="178"/>
        <v>Gás de Lixo (Biogás)</v>
      </c>
      <c r="J1226" s="319"/>
      <c r="K1226" s="319"/>
      <c r="L1226" s="319"/>
      <c r="M1226" s="319"/>
      <c r="N1226" s="319"/>
      <c r="O1226" s="319"/>
      <c r="P1226" s="494"/>
      <c r="Q1226" s="494"/>
      <c r="R1226" s="319" t="s">
        <v>7086</v>
      </c>
      <c r="S1226" s="319"/>
      <c r="T1226" s="319"/>
      <c r="U1226" s="319"/>
      <c r="V1226" s="319"/>
      <c r="W1226" s="319"/>
      <c r="X1226" s="319"/>
      <c r="Y1226" s="319"/>
      <c r="Z1226" s="319"/>
      <c r="AA1226" s="319"/>
      <c r="AB1226" s="319"/>
      <c r="AC1226" s="319"/>
      <c r="AD1226" s="319"/>
      <c r="AE1226" s="319"/>
      <c r="AF1226" s="319"/>
      <c r="AG1226" s="319"/>
      <c r="AH1226" s="319"/>
      <c r="AI1226" s="319"/>
      <c r="AJ1226" s="319"/>
      <c r="AK1226" s="319"/>
      <c r="AL1226" s="319"/>
      <c r="AM1226" s="319"/>
      <c r="AN1226" s="319"/>
      <c r="AO1226" s="587"/>
      <c r="AP1226" s="319"/>
      <c r="AQ1226" s="319"/>
      <c r="AR1226" s="319"/>
      <c r="AS1226" s="319"/>
      <c r="AT1226" s="319"/>
      <c r="AU1226" s="319"/>
      <c r="AV1226" s="319"/>
      <c r="AW1226" s="319"/>
      <c r="AX1226" s="319"/>
      <c r="AY1226" s="319"/>
      <c r="AZ1226" s="319"/>
      <c r="BA1226" s="319"/>
      <c r="BB1226" s="319"/>
      <c r="BC1226" s="319"/>
      <c r="BD1226" s="319"/>
      <c r="BE1226" s="319"/>
      <c r="BF1226" s="319"/>
      <c r="BG1226" s="319"/>
      <c r="BH1226" s="319"/>
      <c r="BI1226" s="319"/>
      <c r="BJ1226" s="319"/>
      <c r="BK1226" s="319"/>
      <c r="BL1226" s="319"/>
      <c r="BM1226" s="319"/>
      <c r="BN1226" s="319"/>
      <c r="BO1226" s="319"/>
      <c r="BP1226" s="319"/>
      <c r="BQ1226" s="319"/>
      <c r="BR1226" s="319"/>
      <c r="BS1226" s="319"/>
      <c r="BT1226" s="319"/>
      <c r="BU1226" s="319"/>
      <c r="BV1226" s="319"/>
      <c r="BW1226" s="319"/>
      <c r="BX1226" s="319"/>
      <c r="BY1226" s="319"/>
      <c r="BZ1226" s="319"/>
      <c r="CA1226" s="319"/>
      <c r="CB1226" s="319"/>
      <c r="CC1226" s="319"/>
      <c r="CD1226" s="319"/>
      <c r="CE1226" s="319"/>
      <c r="CF1226" s="319"/>
    </row>
    <row r="1227" spans="1:84" ht="13.5" hidden="1" customHeight="1">
      <c r="A1227" s="319">
        <f t="shared" si="171"/>
        <v>1</v>
      </c>
      <c r="B1227" s="319" t="str">
        <f>Language!C1219</f>
        <v>Lariço</v>
      </c>
      <c r="C1227" s="319" t="str">
        <f>$M$1175</f>
        <v>t</v>
      </c>
      <c r="D1227" s="319" t="str">
        <f>$O$1175</f>
        <v>€/t</v>
      </c>
      <c r="E1227" s="494">
        <f t="shared" si="181"/>
        <v>20.204689840000004</v>
      </c>
      <c r="F1227" s="494">
        <v>1000</v>
      </c>
      <c r="G1227" s="494">
        <f t="shared" si="184"/>
        <v>0</v>
      </c>
      <c r="H1227" s="494">
        <f t="shared" si="185"/>
        <v>0</v>
      </c>
      <c r="I1227" s="319" t="str">
        <f t="shared" si="178"/>
        <v>Lariço</v>
      </c>
      <c r="J1227" s="319"/>
      <c r="K1227" s="319"/>
      <c r="L1227" s="319"/>
      <c r="M1227" s="319"/>
      <c r="N1227" s="319"/>
      <c r="O1227" s="319"/>
      <c r="P1227" s="494">
        <v>21.607569840000004</v>
      </c>
      <c r="Q1227" s="494">
        <v>20.204689840000004</v>
      </c>
      <c r="R1227" s="605" t="s">
        <v>7102</v>
      </c>
      <c r="S1227" s="319"/>
      <c r="T1227" s="319"/>
      <c r="U1227" s="319"/>
      <c r="V1227" s="319"/>
      <c r="W1227" s="319"/>
      <c r="X1227" s="319"/>
      <c r="Y1227" s="319"/>
      <c r="Z1227" s="319"/>
      <c r="AA1227" s="319"/>
      <c r="AB1227" s="319"/>
      <c r="AC1227" s="319"/>
      <c r="AD1227" s="319"/>
      <c r="AE1227" s="319"/>
      <c r="AF1227" s="319"/>
      <c r="AG1227" s="319"/>
      <c r="AH1227" s="319"/>
      <c r="AI1227" s="319"/>
      <c r="AJ1227" s="319"/>
      <c r="AK1227" s="319"/>
      <c r="AL1227" s="319"/>
      <c r="AM1227" s="319"/>
      <c r="AN1227" s="319"/>
      <c r="AO1227" s="587"/>
      <c r="AP1227" s="319"/>
      <c r="AQ1227" s="319"/>
      <c r="AR1227" s="319"/>
      <c r="AS1227" s="319"/>
      <c r="AT1227" s="319"/>
      <c r="AU1227" s="319"/>
      <c r="AV1227" s="319"/>
      <c r="AW1227" s="319"/>
      <c r="AX1227" s="319"/>
      <c r="AY1227" s="319"/>
      <c r="AZ1227" s="319"/>
      <c r="BA1227" s="319"/>
      <c r="BB1227" s="319"/>
      <c r="BC1227" s="319"/>
      <c r="BD1227" s="319"/>
      <c r="BE1227" s="319"/>
      <c r="BF1227" s="319"/>
      <c r="BG1227" s="319"/>
      <c r="BH1227" s="319"/>
      <c r="BI1227" s="319"/>
      <c r="BJ1227" s="319"/>
      <c r="BK1227" s="319"/>
      <c r="BL1227" s="319"/>
      <c r="BM1227" s="319"/>
      <c r="BN1227" s="319"/>
      <c r="BO1227" s="319"/>
      <c r="BP1227" s="319"/>
      <c r="BQ1227" s="319"/>
      <c r="BR1227" s="319"/>
      <c r="BS1227" s="319"/>
      <c r="BT1227" s="319"/>
      <c r="BU1227" s="319"/>
      <c r="BV1227" s="319"/>
      <c r="BW1227" s="319"/>
      <c r="BX1227" s="319"/>
      <c r="BY1227" s="319"/>
      <c r="BZ1227" s="319"/>
      <c r="CA1227" s="319"/>
      <c r="CB1227" s="319"/>
      <c r="CC1227" s="319"/>
      <c r="CD1227" s="319"/>
      <c r="CE1227" s="319"/>
      <c r="CF1227" s="319"/>
    </row>
    <row r="1228" spans="1:84" ht="13.5" hidden="1" customHeight="1">
      <c r="A1228" s="319">
        <f t="shared" si="171"/>
        <v>1</v>
      </c>
      <c r="B1228" s="319" t="str">
        <f>Language!C1220</f>
        <v>Couro</v>
      </c>
      <c r="C1228" s="319" t="str">
        <f>$M$1175</f>
        <v>t</v>
      </c>
      <c r="D1228" s="319" t="str">
        <f>$O$1175</f>
        <v>€/t</v>
      </c>
      <c r="E1228" s="494">
        <f t="shared" si="181"/>
        <v>23.186077059999999</v>
      </c>
      <c r="F1228" s="494">
        <v>1000</v>
      </c>
      <c r="G1228" s="494">
        <f t="shared" si="184"/>
        <v>0</v>
      </c>
      <c r="H1228" s="494">
        <f t="shared" si="185"/>
        <v>0</v>
      </c>
      <c r="I1228" s="319" t="str">
        <f t="shared" si="178"/>
        <v>Couro</v>
      </c>
      <c r="J1228" s="319"/>
      <c r="K1228" s="319"/>
      <c r="L1228" s="319"/>
      <c r="M1228" s="319"/>
      <c r="N1228" s="319"/>
      <c r="O1228" s="319"/>
      <c r="P1228" s="494">
        <v>24.30399706</v>
      </c>
      <c r="Q1228" s="494">
        <v>23.186077059999999</v>
      </c>
      <c r="R1228" s="605" t="s">
        <v>7110</v>
      </c>
      <c r="S1228" s="319"/>
      <c r="T1228" s="319"/>
      <c r="U1228" s="319"/>
      <c r="V1228" s="319"/>
      <c r="W1228" s="319"/>
      <c r="X1228" s="319"/>
      <c r="Y1228" s="319"/>
      <c r="Z1228" s="319"/>
      <c r="AA1228" s="319"/>
      <c r="AB1228" s="319"/>
      <c r="AC1228" s="319"/>
      <c r="AD1228" s="319"/>
      <c r="AE1228" s="319"/>
      <c r="AF1228" s="319"/>
      <c r="AG1228" s="319"/>
      <c r="AH1228" s="319"/>
      <c r="AI1228" s="319"/>
      <c r="AJ1228" s="319"/>
      <c r="AK1228" s="319"/>
      <c r="AL1228" s="319"/>
      <c r="AM1228" s="319"/>
      <c r="AN1228" s="319"/>
      <c r="AO1228" s="587"/>
      <c r="AP1228" s="319"/>
      <c r="AQ1228" s="319"/>
      <c r="AR1228" s="319"/>
      <c r="AS1228" s="319"/>
      <c r="AT1228" s="319"/>
      <c r="AU1228" s="319"/>
      <c r="AV1228" s="319"/>
      <c r="AW1228" s="319"/>
      <c r="AX1228" s="319"/>
      <c r="AY1228" s="319"/>
      <c r="AZ1228" s="319"/>
      <c r="BA1228" s="319"/>
      <c r="BB1228" s="319"/>
      <c r="BC1228" s="319"/>
      <c r="BD1228" s="319"/>
      <c r="BE1228" s="319"/>
      <c r="BF1228" s="319"/>
      <c r="BG1228" s="319"/>
      <c r="BH1228" s="319"/>
      <c r="BI1228" s="319"/>
      <c r="BJ1228" s="319"/>
      <c r="BK1228" s="319"/>
      <c r="BL1228" s="319"/>
      <c r="BM1228" s="319"/>
      <c r="BN1228" s="319"/>
      <c r="BO1228" s="319"/>
      <c r="BP1228" s="319"/>
      <c r="BQ1228" s="319"/>
      <c r="BR1228" s="319"/>
      <c r="BS1228" s="319"/>
      <c r="BT1228" s="319"/>
      <c r="BU1228" s="319"/>
      <c r="BV1228" s="319"/>
      <c r="BW1228" s="319"/>
      <c r="BX1228" s="319"/>
      <c r="BY1228" s="319"/>
      <c r="BZ1228" s="319"/>
      <c r="CA1228" s="319"/>
      <c r="CB1228" s="319"/>
      <c r="CC1228" s="319"/>
      <c r="CD1228" s="319"/>
      <c r="CE1228" s="319"/>
      <c r="CF1228" s="319"/>
    </row>
    <row r="1229" spans="1:84" ht="13.5" hidden="1" customHeight="1">
      <c r="A1229" s="319">
        <f t="shared" si="171"/>
        <v>1</v>
      </c>
      <c r="B1229" s="319" t="str">
        <f>Language!C1221</f>
        <v>Macadâmia</v>
      </c>
      <c r="C1229" s="319" t="str">
        <f>$M$1175</f>
        <v>t</v>
      </c>
      <c r="D1229" s="319" t="str">
        <f>$O$1175</f>
        <v>€/t</v>
      </c>
      <c r="E1229" s="494">
        <f t="shared" si="181"/>
        <v>19.632003000000005</v>
      </c>
      <c r="F1229" s="494">
        <v>1000</v>
      </c>
      <c r="G1229" s="494">
        <f t="shared" si="184"/>
        <v>0</v>
      </c>
      <c r="H1229" s="494">
        <f t="shared" si="185"/>
        <v>0</v>
      </c>
      <c r="I1229" s="319" t="str">
        <f t="shared" si="178"/>
        <v>Macadâmia</v>
      </c>
      <c r="J1229" s="319"/>
      <c r="K1229" s="319"/>
      <c r="L1229" s="319"/>
      <c r="M1229" s="319"/>
      <c r="N1229" s="319"/>
      <c r="O1229" s="319"/>
      <c r="P1229" s="494">
        <v>20.728003000000005</v>
      </c>
      <c r="Q1229" s="494">
        <v>19.632003000000005</v>
      </c>
      <c r="R1229" s="605" t="s">
        <v>7104</v>
      </c>
      <c r="S1229" s="319"/>
      <c r="T1229" s="319"/>
      <c r="U1229" s="319"/>
      <c r="V1229" s="319"/>
      <c r="W1229" s="319"/>
      <c r="X1229" s="319"/>
      <c r="Y1229" s="319"/>
      <c r="Z1229" s="319"/>
      <c r="AA1229" s="319"/>
      <c r="AB1229" s="319"/>
      <c r="AC1229" s="319"/>
      <c r="AD1229" s="319"/>
      <c r="AE1229" s="319"/>
      <c r="AF1229" s="319"/>
      <c r="AG1229" s="319"/>
      <c r="AH1229" s="319"/>
      <c r="AI1229" s="319"/>
      <c r="AJ1229" s="319"/>
      <c r="AK1229" s="319"/>
      <c r="AL1229" s="319"/>
      <c r="AM1229" s="319"/>
      <c r="AN1229" s="319"/>
      <c r="AO1229" s="587"/>
      <c r="AP1229" s="319"/>
      <c r="AQ1229" s="319"/>
      <c r="AR1229" s="319"/>
      <c r="AS1229" s="319"/>
      <c r="AT1229" s="319"/>
      <c r="AU1229" s="319"/>
      <c r="AV1229" s="319"/>
      <c r="AW1229" s="319"/>
      <c r="AX1229" s="319"/>
      <c r="AY1229" s="319"/>
      <c r="AZ1229" s="319"/>
      <c r="BA1229" s="319"/>
      <c r="BB1229" s="319"/>
      <c r="BC1229" s="319"/>
      <c r="BD1229" s="319"/>
      <c r="BE1229" s="319"/>
      <c r="BF1229" s="319"/>
      <c r="BG1229" s="319"/>
      <c r="BH1229" s="319"/>
      <c r="BI1229" s="319"/>
      <c r="BJ1229" s="319"/>
      <c r="BK1229" s="319"/>
      <c r="BL1229" s="319"/>
      <c r="BM1229" s="319"/>
      <c r="BN1229" s="319"/>
      <c r="BO1229" s="319"/>
      <c r="BP1229" s="319"/>
      <c r="BQ1229" s="319"/>
      <c r="BR1229" s="319"/>
      <c r="BS1229" s="319"/>
      <c r="BT1229" s="319"/>
      <c r="BU1229" s="319"/>
      <c r="BV1229" s="319"/>
      <c r="BW1229" s="319"/>
      <c r="BX1229" s="319"/>
      <c r="BY1229" s="319"/>
      <c r="BZ1229" s="319"/>
      <c r="CA1229" s="319"/>
      <c r="CB1229" s="319"/>
      <c r="CC1229" s="319"/>
      <c r="CD1229" s="319"/>
      <c r="CE1229" s="319"/>
      <c r="CF1229" s="319"/>
    </row>
    <row r="1230" spans="1:84" ht="13.5" hidden="1" customHeight="1">
      <c r="A1230" s="319">
        <f t="shared" si="171"/>
        <v>1</v>
      </c>
      <c r="B1230" s="319" t="str">
        <f>Language!C1222</f>
        <v>Esterco</v>
      </c>
      <c r="C1230" s="319" t="str">
        <f>$M$1175</f>
        <v>t</v>
      </c>
      <c r="D1230" s="319" t="str">
        <f>$O$1175</f>
        <v>€/t</v>
      </c>
      <c r="E1230" s="494">
        <f t="shared" si="181"/>
        <v>14.835084579999998</v>
      </c>
      <c r="F1230" s="494">
        <v>1000</v>
      </c>
      <c r="G1230" s="494">
        <f t="shared" si="184"/>
        <v>0</v>
      </c>
      <c r="H1230" s="494">
        <f t="shared" si="185"/>
        <v>0</v>
      </c>
      <c r="I1230" s="319" t="str">
        <f t="shared" si="178"/>
        <v>Esterco</v>
      </c>
      <c r="J1230" s="319"/>
      <c r="K1230" s="319"/>
      <c r="L1230" s="319"/>
      <c r="M1230" s="319"/>
      <c r="N1230" s="319"/>
      <c r="O1230" s="319"/>
      <c r="P1230" s="494">
        <v>15.777644579999999</v>
      </c>
      <c r="Q1230" s="494">
        <v>14.835084579999998</v>
      </c>
      <c r="R1230" s="319" t="s">
        <v>7091</v>
      </c>
      <c r="S1230" s="319"/>
      <c r="T1230" s="319"/>
      <c r="U1230" s="319"/>
      <c r="V1230" s="319"/>
      <c r="W1230" s="319"/>
      <c r="X1230" s="319"/>
      <c r="Y1230" s="319"/>
      <c r="Z1230" s="319"/>
      <c r="AA1230" s="319"/>
      <c r="AB1230" s="319"/>
      <c r="AC1230" s="319"/>
      <c r="AD1230" s="319"/>
      <c r="AE1230" s="319"/>
      <c r="AF1230" s="319"/>
      <c r="AG1230" s="319"/>
      <c r="AH1230" s="319"/>
      <c r="AI1230" s="319"/>
      <c r="AJ1230" s="319"/>
      <c r="AK1230" s="319"/>
      <c r="AL1230" s="319"/>
      <c r="AM1230" s="319"/>
      <c r="AN1230" s="319"/>
      <c r="AO1230" s="587"/>
      <c r="AP1230" s="319"/>
      <c r="AQ1230" s="319"/>
      <c r="AR1230" s="319"/>
      <c r="AS1230" s="319"/>
      <c r="AT1230" s="319"/>
      <c r="AU1230" s="319"/>
      <c r="AV1230" s="319"/>
      <c r="AW1230" s="319"/>
      <c r="AX1230" s="319"/>
      <c r="AY1230" s="319"/>
      <c r="AZ1230" s="319"/>
      <c r="BA1230" s="319"/>
      <c r="BB1230" s="319"/>
      <c r="BC1230" s="319"/>
      <c r="BD1230" s="319"/>
      <c r="BE1230" s="319"/>
      <c r="BF1230" s="319"/>
      <c r="BG1230" s="319"/>
      <c r="BH1230" s="319"/>
      <c r="BI1230" s="319"/>
      <c r="BJ1230" s="319"/>
      <c r="BK1230" s="319"/>
      <c r="BL1230" s="319"/>
      <c r="BM1230" s="319"/>
      <c r="BN1230" s="319"/>
      <c r="BO1230" s="319"/>
      <c r="BP1230" s="319"/>
      <c r="BQ1230" s="319"/>
      <c r="BR1230" s="319"/>
      <c r="BS1230" s="319"/>
      <c r="BT1230" s="319"/>
      <c r="BU1230" s="319"/>
      <c r="BV1230" s="319"/>
      <c r="BW1230" s="319"/>
      <c r="BX1230" s="319"/>
      <c r="BY1230" s="319"/>
      <c r="BZ1230" s="319"/>
      <c r="CA1230" s="319"/>
      <c r="CB1230" s="319"/>
      <c r="CC1230" s="319"/>
      <c r="CD1230" s="319"/>
      <c r="CE1230" s="319"/>
      <c r="CF1230" s="319"/>
    </row>
    <row r="1231" spans="1:84" ht="13.5" hidden="1" customHeight="1">
      <c r="A1231" s="319">
        <f t="shared" si="171"/>
        <v>1</v>
      </c>
      <c r="B1231" s="319" t="str">
        <f>Language!C1223</f>
        <v>Acer (açucar) - casca</v>
      </c>
      <c r="C1231" s="319" t="str">
        <f>$M$1175</f>
        <v>t</v>
      </c>
      <c r="D1231" s="319" t="str">
        <f>$O$1175</f>
        <v>€/t</v>
      </c>
      <c r="E1231" s="494">
        <f t="shared" si="181"/>
        <v>19.383019540000003</v>
      </c>
      <c r="F1231" s="494">
        <v>1000</v>
      </c>
      <c r="G1231" s="494">
        <f t="shared" si="184"/>
        <v>0</v>
      </c>
      <c r="H1231" s="494">
        <f t="shared" si="185"/>
        <v>0</v>
      </c>
      <c r="I1231" s="319" t="str">
        <f t="shared" si="178"/>
        <v>Acer (açucar) - casca</v>
      </c>
      <c r="J1231" s="319"/>
      <c r="K1231" s="319"/>
      <c r="L1231" s="319"/>
      <c r="M1231" s="319"/>
      <c r="N1231" s="319"/>
      <c r="O1231" s="319"/>
      <c r="P1231" s="494">
        <v>20.676299540000002</v>
      </c>
      <c r="Q1231" s="494">
        <v>19.383019540000003</v>
      </c>
      <c r="R1231" s="319" t="s">
        <v>7092</v>
      </c>
      <c r="S1231" s="319"/>
      <c r="T1231" s="319"/>
      <c r="U1231" s="319"/>
      <c r="V1231" s="319"/>
      <c r="W1231" s="319"/>
      <c r="X1231" s="319"/>
      <c r="Y1231" s="319"/>
      <c r="Z1231" s="319"/>
      <c r="AA1231" s="319"/>
      <c r="AB1231" s="319"/>
      <c r="AC1231" s="319"/>
      <c r="AD1231" s="319"/>
      <c r="AE1231" s="319"/>
      <c r="AF1231" s="319"/>
      <c r="AG1231" s="319"/>
      <c r="AH1231" s="319"/>
      <c r="AI1231" s="319"/>
      <c r="AJ1231" s="319"/>
      <c r="AK1231" s="319"/>
      <c r="AL1231" s="319"/>
      <c r="AM1231" s="319"/>
      <c r="AN1231" s="319"/>
      <c r="AO1231" s="587"/>
      <c r="AP1231" s="319"/>
      <c r="AQ1231" s="319"/>
      <c r="AR1231" s="319"/>
      <c r="AS1231" s="319"/>
      <c r="AT1231" s="319"/>
      <c r="AU1231" s="319"/>
      <c r="AV1231" s="319"/>
      <c r="AW1231" s="319"/>
      <c r="AX1231" s="319"/>
      <c r="AY1231" s="319"/>
      <c r="AZ1231" s="319"/>
      <c r="BA1231" s="319"/>
      <c r="BB1231" s="319"/>
      <c r="BC1231" s="319"/>
      <c r="BD1231" s="319"/>
      <c r="BE1231" s="319"/>
      <c r="BF1231" s="319"/>
      <c r="BG1231" s="319"/>
      <c r="BH1231" s="319"/>
      <c r="BI1231" s="319"/>
      <c r="BJ1231" s="319"/>
      <c r="BK1231" s="319"/>
      <c r="BL1231" s="319"/>
      <c r="BM1231" s="319"/>
      <c r="BN1231" s="319"/>
      <c r="BO1231" s="319"/>
      <c r="BP1231" s="319"/>
      <c r="BQ1231" s="319"/>
      <c r="BR1231" s="319"/>
      <c r="BS1231" s="319"/>
      <c r="BT1231" s="319"/>
      <c r="BU1231" s="319"/>
      <c r="BV1231" s="319"/>
      <c r="BW1231" s="319"/>
      <c r="BX1231" s="319"/>
      <c r="BY1231" s="319"/>
      <c r="BZ1231" s="319"/>
      <c r="CA1231" s="319"/>
      <c r="CB1231" s="319"/>
      <c r="CC1231" s="319"/>
      <c r="CD1231" s="319"/>
      <c r="CE1231" s="319"/>
      <c r="CF1231" s="319"/>
    </row>
    <row r="1232" spans="1:84" ht="13.5" hidden="1" customHeight="1">
      <c r="A1232" s="319">
        <f t="shared" si="171"/>
        <v>1</v>
      </c>
      <c r="B1232" s="319" t="str">
        <f>Language!C1224</f>
        <v>Metanol</v>
      </c>
      <c r="C1232" s="319" t="str">
        <f>$M$1194</f>
        <v>L</v>
      </c>
      <c r="D1232" s="319" t="str">
        <f>$O$1194</f>
        <v>€/L</v>
      </c>
      <c r="E1232" s="494">
        <f t="shared" ref="E1232:E1263" si="188">IF(EMHV=1,P1232,Q1232)</f>
        <v>20.721081560000002</v>
      </c>
      <c r="F1232" s="494">
        <v>0.79100000000000004</v>
      </c>
      <c r="G1232" s="494">
        <f t="shared" si="184"/>
        <v>0</v>
      </c>
      <c r="H1232" s="494">
        <f t="shared" si="185"/>
        <v>0</v>
      </c>
      <c r="I1232" s="319" t="str">
        <f t="shared" si="178"/>
        <v>Metanol</v>
      </c>
      <c r="J1232" s="319"/>
      <c r="K1232" s="319"/>
      <c r="L1232" s="319"/>
      <c r="M1232" s="319"/>
      <c r="N1232" s="319"/>
      <c r="O1232" s="319"/>
      <c r="P1232" s="494">
        <v>23.483001560000002</v>
      </c>
      <c r="Q1232" s="494">
        <v>20.721081560000002</v>
      </c>
      <c r="R1232" s="319" t="s">
        <v>7067</v>
      </c>
      <c r="S1232" s="319"/>
      <c r="T1232" s="319"/>
      <c r="U1232" s="319"/>
      <c r="V1232" s="319"/>
      <c r="W1232" s="319"/>
      <c r="X1232" s="319"/>
      <c r="Y1232" s="319"/>
      <c r="Z1232" s="319"/>
      <c r="AA1232" s="319"/>
      <c r="AB1232" s="319"/>
      <c r="AC1232" s="319"/>
      <c r="AD1232" s="319"/>
      <c r="AE1232" s="319"/>
      <c r="AF1232" s="319"/>
      <c r="AG1232" s="319"/>
      <c r="AH1232" s="319"/>
      <c r="AI1232" s="319"/>
      <c r="AJ1232" s="319"/>
      <c r="AK1232" s="319"/>
      <c r="AL1232" s="319"/>
      <c r="AM1232" s="319"/>
      <c r="AN1232" s="319"/>
      <c r="AO1232" s="587"/>
      <c r="AP1232" s="319"/>
      <c r="AQ1232" s="319"/>
      <c r="AR1232" s="319"/>
      <c r="AS1232" s="319"/>
      <c r="AT1232" s="319"/>
      <c r="AU1232" s="319"/>
      <c r="AV1232" s="319"/>
      <c r="AW1232" s="319"/>
      <c r="AX1232" s="319"/>
      <c r="AY1232" s="319"/>
      <c r="AZ1232" s="319"/>
      <c r="BA1232" s="319"/>
      <c r="BB1232" s="319"/>
      <c r="BC1232" s="319"/>
      <c r="BD1232" s="319"/>
      <c r="BE1232" s="319"/>
      <c r="BF1232" s="319"/>
      <c r="BG1232" s="319"/>
      <c r="BH1232" s="319"/>
      <c r="BI1232" s="319"/>
      <c r="BJ1232" s="319"/>
      <c r="BK1232" s="319"/>
      <c r="BL1232" s="319"/>
      <c r="BM1232" s="319"/>
      <c r="BN1232" s="319"/>
      <c r="BO1232" s="319"/>
      <c r="BP1232" s="319"/>
      <c r="BQ1232" s="319"/>
      <c r="BR1232" s="319"/>
      <c r="BS1232" s="319"/>
      <c r="BT1232" s="319"/>
      <c r="BU1232" s="319"/>
      <c r="BV1232" s="319"/>
      <c r="BW1232" s="319"/>
      <c r="BX1232" s="319"/>
      <c r="BY1232" s="319"/>
      <c r="BZ1232" s="319"/>
      <c r="CA1232" s="319"/>
      <c r="CB1232" s="319"/>
      <c r="CC1232" s="319"/>
      <c r="CD1232" s="319"/>
      <c r="CE1232" s="319"/>
      <c r="CF1232" s="319"/>
    </row>
    <row r="1233" spans="1:84" ht="13.5" hidden="1" customHeight="1">
      <c r="A1233" s="319">
        <f t="shared" si="171"/>
        <v>1</v>
      </c>
      <c r="B1233" s="319" t="str">
        <f>Language!C1225</f>
        <v>Carvalho</v>
      </c>
      <c r="C1233" s="319" t="str">
        <f t="shared" ref="C1233:C1286" si="189">$M$1175</f>
        <v>t</v>
      </c>
      <c r="D1233" s="319" t="str">
        <f t="shared" ref="D1233:D1286" si="190">$O$1175</f>
        <v>€/t</v>
      </c>
      <c r="E1233" s="494">
        <f t="shared" si="188"/>
        <v>19.65693796</v>
      </c>
      <c r="F1233" s="494">
        <v>1000</v>
      </c>
      <c r="G1233" s="494">
        <f t="shared" si="184"/>
        <v>0</v>
      </c>
      <c r="H1233" s="494">
        <f t="shared" si="185"/>
        <v>0</v>
      </c>
      <c r="I1233" s="319" t="str">
        <f t="shared" si="178"/>
        <v>Carvalho</v>
      </c>
      <c r="J1233" s="319"/>
      <c r="K1233" s="319"/>
      <c r="L1233" s="319"/>
      <c r="M1233" s="319"/>
      <c r="N1233" s="319"/>
      <c r="O1233" s="319"/>
      <c r="P1233" s="494">
        <v>21.10365796</v>
      </c>
      <c r="Q1233" s="494">
        <v>19.65693796</v>
      </c>
      <c r="R1233" s="319" t="s">
        <v>7084</v>
      </c>
      <c r="S1233" s="319"/>
      <c r="T1233" s="319"/>
      <c r="U1233" s="319"/>
      <c r="V1233" s="319"/>
      <c r="W1233" s="319"/>
      <c r="X1233" s="319"/>
      <c r="Y1233" s="319"/>
      <c r="Z1233" s="319"/>
      <c r="AA1233" s="319"/>
      <c r="AB1233" s="319"/>
      <c r="AC1233" s="319"/>
      <c r="AD1233" s="319"/>
      <c r="AE1233" s="319"/>
      <c r="AF1233" s="319"/>
      <c r="AG1233" s="319"/>
      <c r="AH1233" s="319"/>
      <c r="AI1233" s="319"/>
      <c r="AJ1233" s="319"/>
      <c r="AK1233" s="319"/>
      <c r="AL1233" s="319"/>
      <c r="AM1233" s="319"/>
      <c r="AN1233" s="319"/>
      <c r="AO1233" s="587"/>
      <c r="AP1233" s="319"/>
      <c r="AQ1233" s="319"/>
      <c r="AR1233" s="319"/>
      <c r="AS1233" s="319"/>
      <c r="AT1233" s="319"/>
      <c r="AU1233" s="319"/>
      <c r="AV1233" s="319"/>
      <c r="AW1233" s="319"/>
      <c r="AX1233" s="319"/>
      <c r="AY1233" s="319"/>
      <c r="AZ1233" s="319"/>
      <c r="BA1233" s="319"/>
      <c r="BB1233" s="319"/>
      <c r="BC1233" s="319"/>
      <c r="BD1233" s="319"/>
      <c r="BE1233" s="319"/>
      <c r="BF1233" s="319"/>
      <c r="BG1233" s="319"/>
      <c r="BH1233" s="319"/>
      <c r="BI1233" s="319"/>
      <c r="BJ1233" s="319"/>
      <c r="BK1233" s="319"/>
      <c r="BL1233" s="319"/>
      <c r="BM1233" s="319"/>
      <c r="BN1233" s="319"/>
      <c r="BO1233" s="319"/>
      <c r="BP1233" s="319"/>
      <c r="BQ1233" s="319"/>
      <c r="BR1233" s="319"/>
      <c r="BS1233" s="319"/>
      <c r="BT1233" s="319"/>
      <c r="BU1233" s="319"/>
      <c r="BV1233" s="319"/>
      <c r="BW1233" s="319"/>
      <c r="BX1233" s="319"/>
      <c r="BY1233" s="319"/>
      <c r="BZ1233" s="319"/>
      <c r="CA1233" s="319"/>
      <c r="CB1233" s="319"/>
      <c r="CC1233" s="319"/>
      <c r="CD1233" s="319"/>
      <c r="CE1233" s="319"/>
      <c r="CF1233" s="319"/>
    </row>
    <row r="1234" spans="1:84" ht="13.5" hidden="1" customHeight="1">
      <c r="A1234" s="319">
        <f t="shared" si="171"/>
        <v>1</v>
      </c>
      <c r="B1234" s="319" t="str">
        <f>Language!C1226</f>
        <v>Palha da aveia</v>
      </c>
      <c r="C1234" s="319" t="str">
        <f t="shared" si="189"/>
        <v>t</v>
      </c>
      <c r="D1234" s="319" t="str">
        <f t="shared" si="190"/>
        <v>€/t</v>
      </c>
      <c r="E1234" s="494">
        <f t="shared" si="188"/>
        <v>14.990632700000003</v>
      </c>
      <c r="F1234" s="494">
        <v>1000</v>
      </c>
      <c r="G1234" s="494">
        <f t="shared" si="184"/>
        <v>0</v>
      </c>
      <c r="H1234" s="494">
        <f t="shared" si="185"/>
        <v>0</v>
      </c>
      <c r="I1234" s="319" t="str">
        <f t="shared" si="178"/>
        <v>Palha da aveia</v>
      </c>
      <c r="J1234" s="319"/>
      <c r="K1234" s="319"/>
      <c r="L1234" s="319"/>
      <c r="M1234" s="319"/>
      <c r="N1234" s="319"/>
      <c r="O1234" s="319"/>
      <c r="P1234" s="494">
        <v>15.977032700000002</v>
      </c>
      <c r="Q1234" s="494">
        <v>14.990632700000003</v>
      </c>
      <c r="R1234" s="319" t="s">
        <v>7096</v>
      </c>
      <c r="S1234" s="319"/>
      <c r="T1234" s="319"/>
      <c r="U1234" s="319"/>
      <c r="V1234" s="319"/>
      <c r="W1234" s="319"/>
      <c r="X1234" s="319"/>
      <c r="Y1234" s="319"/>
      <c r="Z1234" s="319"/>
      <c r="AA1234" s="319"/>
      <c r="AB1234" s="319"/>
      <c r="AC1234" s="319"/>
      <c r="AD1234" s="319"/>
      <c r="AE1234" s="319"/>
      <c r="AF1234" s="319"/>
      <c r="AG1234" s="319"/>
      <c r="AH1234" s="319"/>
      <c r="AI1234" s="319"/>
      <c r="AJ1234" s="319"/>
      <c r="AK1234" s="319"/>
      <c r="AL1234" s="319"/>
      <c r="AM1234" s="319"/>
      <c r="AN1234" s="319"/>
      <c r="AO1234" s="587"/>
      <c r="AP1234" s="319"/>
      <c r="AQ1234" s="319"/>
      <c r="AR1234" s="319"/>
      <c r="AS1234" s="319"/>
      <c r="AT1234" s="319"/>
      <c r="AU1234" s="319"/>
      <c r="AV1234" s="319"/>
      <c r="AW1234" s="319"/>
      <c r="AX1234" s="319"/>
      <c r="AY1234" s="319"/>
      <c r="AZ1234" s="319"/>
      <c r="BA1234" s="319"/>
      <c r="BB1234" s="319"/>
      <c r="BC1234" s="319"/>
      <c r="BD1234" s="319"/>
      <c r="BE1234" s="319"/>
      <c r="BF1234" s="319"/>
      <c r="BG1234" s="319"/>
      <c r="BH1234" s="319"/>
      <c r="BI1234" s="319"/>
      <c r="BJ1234" s="319"/>
      <c r="BK1234" s="319"/>
      <c r="BL1234" s="319"/>
      <c r="BM1234" s="319"/>
      <c r="BN1234" s="319"/>
      <c r="BO1234" s="319"/>
      <c r="BP1234" s="319"/>
      <c r="BQ1234" s="319"/>
      <c r="BR1234" s="319"/>
      <c r="BS1234" s="319"/>
      <c r="BT1234" s="319"/>
      <c r="BU1234" s="319"/>
      <c r="BV1234" s="319"/>
      <c r="BW1234" s="319"/>
      <c r="BX1234" s="319"/>
      <c r="BY1234" s="319"/>
      <c r="BZ1234" s="319"/>
      <c r="CA1234" s="319"/>
      <c r="CB1234" s="319"/>
      <c r="CC1234" s="319"/>
      <c r="CD1234" s="319"/>
      <c r="CE1234" s="319"/>
      <c r="CF1234" s="319"/>
    </row>
    <row r="1235" spans="1:84" ht="13.5" hidden="1" customHeight="1">
      <c r="A1235" s="319">
        <f t="shared" si="171"/>
        <v>1</v>
      </c>
      <c r="B1235" s="319" t="str">
        <f>Language!C1227</f>
        <v>Azeitona - caroço</v>
      </c>
      <c r="C1235" s="319" t="str">
        <f t="shared" si="189"/>
        <v>t</v>
      </c>
      <c r="D1235" s="319" t="str">
        <f t="shared" si="190"/>
        <v>€/t</v>
      </c>
      <c r="E1235" s="494">
        <f t="shared" si="188"/>
        <v>21.093199614000003</v>
      </c>
      <c r="F1235" s="494">
        <v>1000</v>
      </c>
      <c r="G1235" s="494">
        <f t="shared" si="184"/>
        <v>0</v>
      </c>
      <c r="H1235" s="494">
        <f t="shared" si="185"/>
        <v>0</v>
      </c>
      <c r="I1235" s="319" t="str">
        <f t="shared" si="178"/>
        <v>Azeitona - caroço</v>
      </c>
      <c r="J1235" s="319"/>
      <c r="K1235" s="319"/>
      <c r="L1235" s="319"/>
      <c r="M1235" s="319"/>
      <c r="N1235" s="319"/>
      <c r="O1235" s="319"/>
      <c r="P1235" s="494">
        <v>22.559647614000003</v>
      </c>
      <c r="Q1235" s="494">
        <v>21.093199614000003</v>
      </c>
      <c r="R1235" s="319" t="s">
        <v>7122</v>
      </c>
      <c r="S1235" s="319"/>
      <c r="T1235" s="319"/>
      <c r="U1235" s="319"/>
      <c r="V1235" s="319"/>
      <c r="W1235" s="319"/>
      <c r="X1235" s="319"/>
      <c r="Y1235" s="319"/>
      <c r="Z1235" s="319"/>
      <c r="AA1235" s="319"/>
      <c r="AB1235" s="319"/>
      <c r="AC1235" s="319"/>
      <c r="AD1235" s="319"/>
      <c r="AE1235" s="319"/>
      <c r="AF1235" s="319"/>
      <c r="AG1235" s="319"/>
      <c r="AH1235" s="319"/>
      <c r="AI1235" s="319"/>
      <c r="AJ1235" s="319"/>
      <c r="AK1235" s="319"/>
      <c r="AL1235" s="319"/>
      <c r="AM1235" s="319"/>
      <c r="AN1235" s="319"/>
      <c r="AO1235" s="587"/>
      <c r="AP1235" s="319"/>
      <c r="AQ1235" s="319"/>
      <c r="AR1235" s="319"/>
      <c r="AS1235" s="319"/>
      <c r="AT1235" s="319"/>
      <c r="AU1235" s="319"/>
      <c r="AV1235" s="319"/>
      <c r="AW1235" s="319"/>
      <c r="AX1235" s="319"/>
      <c r="AY1235" s="319"/>
      <c r="AZ1235" s="319"/>
      <c r="BA1235" s="319"/>
      <c r="BB1235" s="319"/>
      <c r="BC1235" s="319"/>
      <c r="BD1235" s="319"/>
      <c r="BE1235" s="319"/>
      <c r="BF1235" s="319"/>
      <c r="BG1235" s="319"/>
      <c r="BH1235" s="319"/>
      <c r="BI1235" s="319"/>
      <c r="BJ1235" s="319"/>
      <c r="BK1235" s="319"/>
      <c r="BL1235" s="319"/>
      <c r="BM1235" s="319"/>
      <c r="BN1235" s="319"/>
      <c r="BO1235" s="319"/>
      <c r="BP1235" s="319"/>
      <c r="BQ1235" s="319"/>
      <c r="BR1235" s="319"/>
      <c r="BS1235" s="319"/>
      <c r="BT1235" s="319"/>
      <c r="BU1235" s="319"/>
      <c r="BV1235" s="319"/>
      <c r="BW1235" s="319"/>
      <c r="BX1235" s="319"/>
      <c r="BY1235" s="319"/>
      <c r="BZ1235" s="319"/>
      <c r="CA1235" s="319"/>
      <c r="CB1235" s="319"/>
      <c r="CC1235" s="319"/>
      <c r="CD1235" s="319"/>
      <c r="CE1235" s="319"/>
      <c r="CF1235" s="319"/>
    </row>
    <row r="1236" spans="1:84" ht="13.5" hidden="1" customHeight="1">
      <c r="A1236" s="319">
        <f t="shared" si="171"/>
        <v>1</v>
      </c>
      <c r="B1236" s="319" t="str">
        <f>Language!C1228</f>
        <v>Embalagens - resíduo</v>
      </c>
      <c r="C1236" s="319" t="str">
        <f t="shared" si="189"/>
        <v>t</v>
      </c>
      <c r="D1236" s="319" t="str">
        <f t="shared" si="190"/>
        <v>€/t</v>
      </c>
      <c r="E1236" s="494">
        <f t="shared" si="188"/>
        <v>21.840754500000003</v>
      </c>
      <c r="F1236" s="494">
        <v>1000</v>
      </c>
      <c r="G1236" s="494">
        <f t="shared" si="184"/>
        <v>0</v>
      </c>
      <c r="H1236" s="494">
        <f t="shared" si="185"/>
        <v>0</v>
      </c>
      <c r="I1236" s="319" t="str">
        <f t="shared" si="178"/>
        <v>Embalagens - resíduo</v>
      </c>
      <c r="J1236" s="319"/>
      <c r="K1236" s="319"/>
      <c r="L1236" s="319"/>
      <c r="M1236" s="319"/>
      <c r="N1236" s="319"/>
      <c r="O1236" s="319"/>
      <c r="P1236" s="494">
        <v>23.484754500000001</v>
      </c>
      <c r="Q1236" s="494">
        <v>21.840754500000003</v>
      </c>
      <c r="R1236" s="319" t="s">
        <v>7132</v>
      </c>
      <c r="S1236" s="319"/>
      <c r="T1236" s="319"/>
      <c r="U1236" s="319"/>
      <c r="V1236" s="319"/>
      <c r="W1236" s="319"/>
      <c r="X1236" s="319"/>
      <c r="Y1236" s="319"/>
      <c r="Z1236" s="319"/>
      <c r="AA1236" s="319"/>
      <c r="AB1236" s="319"/>
      <c r="AC1236" s="319"/>
      <c r="AD1236" s="319"/>
      <c r="AE1236" s="319"/>
      <c r="AF1236" s="319"/>
      <c r="AG1236" s="319"/>
      <c r="AH1236" s="319"/>
      <c r="AI1236" s="319"/>
      <c r="AJ1236" s="319"/>
      <c r="AK1236" s="319"/>
      <c r="AL1236" s="319"/>
      <c r="AM1236" s="319"/>
      <c r="AN1236" s="319"/>
      <c r="AO1236" s="587"/>
      <c r="AP1236" s="319"/>
      <c r="AQ1236" s="319"/>
      <c r="AR1236" s="319"/>
      <c r="AS1236" s="319"/>
      <c r="AT1236" s="319"/>
      <c r="AU1236" s="319"/>
      <c r="AV1236" s="319"/>
      <c r="AW1236" s="319"/>
      <c r="AX1236" s="319"/>
      <c r="AY1236" s="319"/>
      <c r="AZ1236" s="319"/>
      <c r="BA1236" s="319"/>
      <c r="BB1236" s="319"/>
      <c r="BC1236" s="319"/>
      <c r="BD1236" s="319"/>
      <c r="BE1236" s="319"/>
      <c r="BF1236" s="319"/>
      <c r="BG1236" s="319"/>
      <c r="BH1236" s="319"/>
      <c r="BI1236" s="319"/>
      <c r="BJ1236" s="319"/>
      <c r="BK1236" s="319"/>
      <c r="BL1236" s="319"/>
      <c r="BM1236" s="319"/>
      <c r="BN1236" s="319"/>
      <c r="BO1236" s="319"/>
      <c r="BP1236" s="319"/>
      <c r="BQ1236" s="319"/>
      <c r="BR1236" s="319"/>
      <c r="BS1236" s="319"/>
      <c r="BT1236" s="319"/>
      <c r="BU1236" s="319"/>
      <c r="BV1236" s="319"/>
      <c r="BW1236" s="319"/>
      <c r="BX1236" s="319"/>
      <c r="BY1236" s="319"/>
      <c r="BZ1236" s="319"/>
      <c r="CA1236" s="319"/>
      <c r="CB1236" s="319"/>
      <c r="CC1236" s="319"/>
      <c r="CD1236" s="319"/>
      <c r="CE1236" s="319"/>
      <c r="CF1236" s="319"/>
    </row>
    <row r="1237" spans="1:84" ht="13.5" hidden="1" customHeight="1">
      <c r="A1237" s="319">
        <f t="shared" si="171"/>
        <v>1</v>
      </c>
      <c r="B1237" s="319" t="str">
        <f>Language!C1229</f>
        <v>Óleo de palma - residuo</v>
      </c>
      <c r="C1237" s="319" t="str">
        <f t="shared" si="189"/>
        <v>t</v>
      </c>
      <c r="D1237" s="319" t="str">
        <f t="shared" si="190"/>
        <v>€/t</v>
      </c>
      <c r="E1237" s="494">
        <f t="shared" si="188"/>
        <v>17.73034548</v>
      </c>
      <c r="F1237" s="494">
        <v>1000</v>
      </c>
      <c r="G1237" s="494">
        <f t="shared" si="184"/>
        <v>0</v>
      </c>
      <c r="H1237" s="494">
        <f t="shared" si="185"/>
        <v>0</v>
      </c>
      <c r="I1237" s="319" t="str">
        <f t="shared" si="178"/>
        <v>Óleo de palma - residuo</v>
      </c>
      <c r="J1237" s="319"/>
      <c r="K1237" s="319"/>
      <c r="L1237" s="319"/>
      <c r="M1237" s="319"/>
      <c r="N1237" s="319"/>
      <c r="O1237" s="319"/>
      <c r="P1237" s="494">
        <v>19.001705480000002</v>
      </c>
      <c r="Q1237" s="494">
        <v>17.73034548</v>
      </c>
      <c r="R1237" s="319" t="s">
        <v>7238</v>
      </c>
      <c r="S1237" s="319"/>
      <c r="T1237" s="319"/>
      <c r="U1237" s="319"/>
      <c r="V1237" s="319"/>
      <c r="W1237" s="319"/>
      <c r="X1237" s="319"/>
      <c r="Y1237" s="319"/>
      <c r="Z1237" s="319"/>
      <c r="AA1237" s="319"/>
      <c r="AB1237" s="319"/>
      <c r="AC1237" s="319"/>
      <c r="AD1237" s="319"/>
      <c r="AE1237" s="319"/>
      <c r="AF1237" s="319"/>
      <c r="AG1237" s="319"/>
      <c r="AH1237" s="319"/>
      <c r="AI1237" s="319"/>
      <c r="AJ1237" s="319"/>
      <c r="AK1237" s="319"/>
      <c r="AL1237" s="319"/>
      <c r="AM1237" s="319"/>
      <c r="AN1237" s="319"/>
      <c r="AO1237" s="587"/>
      <c r="AP1237" s="319"/>
      <c r="AQ1237" s="319"/>
      <c r="AR1237" s="319"/>
      <c r="AS1237" s="319"/>
      <c r="AT1237" s="319"/>
      <c r="AU1237" s="319"/>
      <c r="AV1237" s="319"/>
      <c r="AW1237" s="319"/>
      <c r="AX1237" s="319"/>
      <c r="AY1237" s="319"/>
      <c r="AZ1237" s="319"/>
      <c r="BA1237" s="319"/>
      <c r="BB1237" s="319"/>
      <c r="BC1237" s="319"/>
      <c r="BD1237" s="319"/>
      <c r="BE1237" s="319"/>
      <c r="BF1237" s="319"/>
      <c r="BG1237" s="319"/>
      <c r="BH1237" s="319"/>
      <c r="BI1237" s="319"/>
      <c r="BJ1237" s="319"/>
      <c r="BK1237" s="319"/>
      <c r="BL1237" s="319"/>
      <c r="BM1237" s="319"/>
      <c r="BN1237" s="319"/>
      <c r="BO1237" s="319"/>
      <c r="BP1237" s="319"/>
      <c r="BQ1237" s="319"/>
      <c r="BR1237" s="319"/>
      <c r="BS1237" s="319"/>
      <c r="BT1237" s="319"/>
      <c r="BU1237" s="319"/>
      <c r="BV1237" s="319"/>
      <c r="BW1237" s="319"/>
      <c r="BX1237" s="319"/>
      <c r="BY1237" s="319"/>
      <c r="BZ1237" s="319"/>
      <c r="CA1237" s="319"/>
      <c r="CB1237" s="319"/>
      <c r="CC1237" s="319"/>
      <c r="CD1237" s="319"/>
      <c r="CE1237" s="319"/>
      <c r="CF1237" s="319"/>
    </row>
    <row r="1238" spans="1:84" ht="13.5" hidden="1" customHeight="1">
      <c r="A1238" s="319">
        <f t="shared" si="171"/>
        <v>1</v>
      </c>
      <c r="B1238" s="319" t="str">
        <f>Language!C1230</f>
        <v>Óleo de palma bruto</v>
      </c>
      <c r="C1238" s="319" t="str">
        <f t="shared" si="189"/>
        <v>t</v>
      </c>
      <c r="D1238" s="319" t="str">
        <f t="shared" si="190"/>
        <v>€/t</v>
      </c>
      <c r="E1238" s="494">
        <f t="shared" si="188"/>
        <v>21.726367058000001</v>
      </c>
      <c r="F1238" s="494">
        <v>1000</v>
      </c>
      <c r="G1238" s="494">
        <f t="shared" si="184"/>
        <v>0</v>
      </c>
      <c r="H1238" s="494">
        <f t="shared" si="185"/>
        <v>0</v>
      </c>
      <c r="I1238" s="319" t="str">
        <f t="shared" si="178"/>
        <v>Óleo de palma bruto</v>
      </c>
      <c r="J1238" s="319"/>
      <c r="K1238" s="319"/>
      <c r="L1238" s="319"/>
      <c r="M1238" s="319"/>
      <c r="N1238" s="319"/>
      <c r="O1238" s="319"/>
      <c r="P1238" s="494">
        <v>23.135823058</v>
      </c>
      <c r="Q1238" s="494">
        <v>21.726367058000001</v>
      </c>
      <c r="R1238" s="319" t="s">
        <v>7073</v>
      </c>
      <c r="S1238" s="319"/>
      <c r="T1238" s="319"/>
      <c r="U1238" s="319"/>
      <c r="V1238" s="319"/>
      <c r="W1238" s="319"/>
      <c r="X1238" s="319"/>
      <c r="Y1238" s="319"/>
      <c r="Z1238" s="319"/>
      <c r="AA1238" s="319"/>
      <c r="AB1238" s="319"/>
      <c r="AC1238" s="319"/>
      <c r="AD1238" s="319"/>
      <c r="AE1238" s="319"/>
      <c r="AF1238" s="319"/>
      <c r="AG1238" s="319"/>
      <c r="AH1238" s="319"/>
      <c r="AI1238" s="319"/>
      <c r="AJ1238" s="319"/>
      <c r="AK1238" s="319"/>
      <c r="AL1238" s="319"/>
      <c r="AM1238" s="319"/>
      <c r="AN1238" s="319"/>
      <c r="AO1238" s="587"/>
      <c r="AP1238" s="319"/>
      <c r="AQ1238" s="319"/>
      <c r="AR1238" s="319"/>
      <c r="AS1238" s="319"/>
      <c r="AT1238" s="319"/>
      <c r="AU1238" s="319"/>
      <c r="AV1238" s="319"/>
      <c r="AW1238" s="319"/>
      <c r="AX1238" s="319"/>
      <c r="AY1238" s="319"/>
      <c r="AZ1238" s="319"/>
      <c r="BA1238" s="319"/>
      <c r="BB1238" s="319"/>
      <c r="BC1238" s="319"/>
      <c r="BD1238" s="319"/>
      <c r="BE1238" s="319"/>
      <c r="BF1238" s="319"/>
      <c r="BG1238" s="319"/>
      <c r="BH1238" s="319"/>
      <c r="BI1238" s="319"/>
      <c r="BJ1238" s="319"/>
      <c r="BK1238" s="319"/>
      <c r="BL1238" s="319"/>
      <c r="BM1238" s="319"/>
      <c r="BN1238" s="319"/>
      <c r="BO1238" s="319"/>
      <c r="BP1238" s="319"/>
      <c r="BQ1238" s="319"/>
      <c r="BR1238" s="319"/>
      <c r="BS1238" s="319"/>
      <c r="BT1238" s="319"/>
      <c r="BU1238" s="319"/>
      <c r="BV1238" s="319"/>
      <c r="BW1238" s="319"/>
      <c r="BX1238" s="319"/>
      <c r="BY1238" s="319"/>
      <c r="BZ1238" s="319"/>
      <c r="CA1238" s="319"/>
      <c r="CB1238" s="319"/>
      <c r="CC1238" s="319"/>
      <c r="CD1238" s="319"/>
      <c r="CE1238" s="319"/>
      <c r="CF1238" s="319"/>
    </row>
    <row r="1239" spans="1:84" ht="13.5" hidden="1" customHeight="1">
      <c r="A1239" s="319">
        <f t="shared" si="171"/>
        <v>1</v>
      </c>
      <c r="B1239" s="319" t="str">
        <f>Language!C1231</f>
        <v>Papel</v>
      </c>
      <c r="C1239" s="319" t="str">
        <f t="shared" si="189"/>
        <v>t</v>
      </c>
      <c r="D1239" s="319" t="str">
        <f t="shared" si="190"/>
        <v>€/t</v>
      </c>
      <c r="E1239" s="494">
        <f t="shared" si="188"/>
        <v>14.919423299999995</v>
      </c>
      <c r="F1239" s="494">
        <v>1000</v>
      </c>
      <c r="G1239" s="494">
        <f t="shared" si="184"/>
        <v>0</v>
      </c>
      <c r="H1239" s="494">
        <f t="shared" si="185"/>
        <v>0</v>
      </c>
      <c r="I1239" s="319" t="str">
        <f t="shared" si="178"/>
        <v>Papel</v>
      </c>
      <c r="J1239" s="319"/>
      <c r="K1239" s="319"/>
      <c r="L1239" s="319"/>
      <c r="M1239" s="319"/>
      <c r="N1239" s="319"/>
      <c r="O1239" s="319"/>
      <c r="P1239" s="494">
        <v>16.125023299999995</v>
      </c>
      <c r="Q1239" s="494">
        <v>14.919423299999995</v>
      </c>
      <c r="R1239" s="319" t="s">
        <v>7072</v>
      </c>
      <c r="S1239" s="319"/>
      <c r="T1239" s="319"/>
      <c r="U1239" s="319"/>
      <c r="V1239" s="319"/>
      <c r="W1239" s="319"/>
      <c r="X1239" s="319"/>
      <c r="Y1239" s="319"/>
      <c r="Z1239" s="319"/>
      <c r="AA1239" s="319"/>
      <c r="AB1239" s="319"/>
      <c r="AC1239" s="319"/>
      <c r="AD1239" s="319"/>
      <c r="AE1239" s="319"/>
      <c r="AF1239" s="319"/>
      <c r="AG1239" s="319"/>
      <c r="AH1239" s="319"/>
      <c r="AI1239" s="319"/>
      <c r="AJ1239" s="319"/>
      <c r="AK1239" s="319"/>
      <c r="AL1239" s="319"/>
      <c r="AM1239" s="319"/>
      <c r="AN1239" s="319"/>
      <c r="AO1239" s="587"/>
      <c r="AP1239" s="319"/>
      <c r="AQ1239" s="319"/>
      <c r="AR1239" s="319"/>
      <c r="AS1239" s="319"/>
      <c r="AT1239" s="319"/>
      <c r="AU1239" s="319"/>
      <c r="AV1239" s="319"/>
      <c r="AW1239" s="319"/>
      <c r="AX1239" s="319"/>
      <c r="AY1239" s="319"/>
      <c r="AZ1239" s="319"/>
      <c r="BA1239" s="319"/>
      <c r="BB1239" s="319"/>
      <c r="BC1239" s="319"/>
      <c r="BD1239" s="319"/>
      <c r="BE1239" s="319"/>
      <c r="BF1239" s="319"/>
      <c r="BG1239" s="319"/>
      <c r="BH1239" s="319"/>
      <c r="BI1239" s="319"/>
      <c r="BJ1239" s="319"/>
      <c r="BK1239" s="319"/>
      <c r="BL1239" s="319"/>
      <c r="BM1239" s="319"/>
      <c r="BN1239" s="319"/>
      <c r="BO1239" s="319"/>
      <c r="BP1239" s="319"/>
      <c r="BQ1239" s="319"/>
      <c r="BR1239" s="319"/>
      <c r="BS1239" s="319"/>
      <c r="BT1239" s="319"/>
      <c r="BU1239" s="319"/>
      <c r="BV1239" s="319"/>
      <c r="BW1239" s="319"/>
      <c r="BX1239" s="319"/>
      <c r="BY1239" s="319"/>
      <c r="BZ1239" s="319"/>
      <c r="CA1239" s="319"/>
      <c r="CB1239" s="319"/>
      <c r="CC1239" s="319"/>
      <c r="CD1239" s="319"/>
      <c r="CE1239" s="319"/>
      <c r="CF1239" s="319"/>
    </row>
    <row r="1240" spans="1:84" ht="13.5" hidden="1" customHeight="1">
      <c r="A1240" s="319">
        <f t="shared" si="171"/>
        <v>1</v>
      </c>
      <c r="B1240" s="319" t="str">
        <f>Language!C1232</f>
        <v>Amendoim - casca</v>
      </c>
      <c r="C1240" s="319" t="str">
        <f t="shared" si="189"/>
        <v>t</v>
      </c>
      <c r="D1240" s="319" t="str">
        <f t="shared" si="190"/>
        <v>€/t</v>
      </c>
      <c r="E1240" s="494">
        <f t="shared" si="188"/>
        <v>19.810345479999995</v>
      </c>
      <c r="F1240" s="494">
        <v>1000</v>
      </c>
      <c r="G1240" s="494">
        <f t="shared" si="184"/>
        <v>0</v>
      </c>
      <c r="H1240" s="494">
        <f t="shared" si="185"/>
        <v>0</v>
      </c>
      <c r="I1240" s="319" t="str">
        <f t="shared" si="178"/>
        <v>Amendoim - casca</v>
      </c>
      <c r="J1240" s="319"/>
      <c r="K1240" s="319"/>
      <c r="L1240" s="319"/>
      <c r="M1240" s="319"/>
      <c r="N1240" s="319"/>
      <c r="O1240" s="319"/>
      <c r="P1240" s="494">
        <v>21.081705479999997</v>
      </c>
      <c r="Q1240" s="494">
        <v>19.810345479999995</v>
      </c>
      <c r="R1240" s="605" t="s">
        <v>7074</v>
      </c>
      <c r="S1240" s="319"/>
      <c r="T1240" s="319"/>
      <c r="U1240" s="319"/>
      <c r="V1240" s="319"/>
      <c r="W1240" s="319"/>
      <c r="X1240" s="319"/>
      <c r="Y1240" s="319"/>
      <c r="Z1240" s="319"/>
      <c r="AA1240" s="319"/>
      <c r="AB1240" s="319"/>
      <c r="AC1240" s="319"/>
      <c r="AD1240" s="319"/>
      <c r="AE1240" s="319"/>
      <c r="AF1240" s="319"/>
      <c r="AG1240" s="319"/>
      <c r="AH1240" s="319"/>
      <c r="AI1240" s="319"/>
      <c r="AJ1240" s="319"/>
      <c r="AK1240" s="319"/>
      <c r="AL1240" s="319"/>
      <c r="AM1240" s="319"/>
      <c r="AN1240" s="319"/>
      <c r="AO1240" s="587"/>
      <c r="AP1240" s="319"/>
      <c r="AQ1240" s="319"/>
      <c r="AR1240" s="319"/>
      <c r="AS1240" s="319"/>
      <c r="AT1240" s="319"/>
      <c r="AU1240" s="319"/>
      <c r="AV1240" s="319"/>
      <c r="AW1240" s="319"/>
      <c r="AX1240" s="319"/>
      <c r="AY1240" s="319"/>
      <c r="AZ1240" s="319"/>
      <c r="BA1240" s="319"/>
      <c r="BB1240" s="319"/>
      <c r="BC1240" s="319"/>
      <c r="BD1240" s="319"/>
      <c r="BE1240" s="319"/>
      <c r="BF1240" s="319"/>
      <c r="BG1240" s="319"/>
      <c r="BH1240" s="319"/>
      <c r="BI1240" s="319"/>
      <c r="BJ1240" s="319"/>
      <c r="BK1240" s="319"/>
      <c r="BL1240" s="319"/>
      <c r="BM1240" s="319"/>
      <c r="BN1240" s="319"/>
      <c r="BO1240" s="319"/>
      <c r="BP1240" s="319"/>
      <c r="BQ1240" s="319"/>
      <c r="BR1240" s="319"/>
      <c r="BS1240" s="319"/>
      <c r="BT1240" s="319"/>
      <c r="BU1240" s="319"/>
      <c r="BV1240" s="319"/>
      <c r="BW1240" s="319"/>
      <c r="BX1240" s="319"/>
      <c r="BY1240" s="319"/>
      <c r="BZ1240" s="319"/>
      <c r="CA1240" s="319"/>
      <c r="CB1240" s="319"/>
      <c r="CC1240" s="319"/>
      <c r="CD1240" s="319"/>
      <c r="CE1240" s="319"/>
      <c r="CF1240" s="319"/>
    </row>
    <row r="1241" spans="1:84" ht="13.5" hidden="1" customHeight="1">
      <c r="A1241" s="319">
        <f t="shared" ref="A1241:A1291" si="191">RANK(G1241,$G$1175:$G$1291)</f>
        <v>1</v>
      </c>
      <c r="B1241" s="319" t="str">
        <f>Language!C1233</f>
        <v>Turfa</v>
      </c>
      <c r="C1241" s="319" t="str">
        <f t="shared" si="189"/>
        <v>t</v>
      </c>
      <c r="D1241" s="319" t="str">
        <f t="shared" si="190"/>
        <v>€/t</v>
      </c>
      <c r="E1241" s="494">
        <f t="shared" si="188"/>
        <v>20.147021420000005</v>
      </c>
      <c r="F1241" s="494">
        <v>1000</v>
      </c>
      <c r="G1241" s="494">
        <f t="shared" ref="G1241:G1272" si="192">IF($C$1117=0,SUMIF($R$940:$R$961,B1241,$G$940:$G$961),SUMIF($I$1155:$I$1170,B1241,$J$1155:$J$1170))</f>
        <v>0</v>
      </c>
      <c r="H1241" s="494">
        <f t="shared" ref="H1241:H1272" si="193">IF($C$1117=0,SUMIF($R$940:$R$961,B1241,$S$940:$S$961),SUMIF($I$1155:$I$1170,B1241,$K$1155:$K$1170))</f>
        <v>0</v>
      </c>
      <c r="I1241" s="319" t="str">
        <f t="shared" si="178"/>
        <v>Turfa</v>
      </c>
      <c r="J1241" s="319"/>
      <c r="K1241" s="319"/>
      <c r="L1241" s="319"/>
      <c r="M1241" s="319"/>
      <c r="N1241" s="319"/>
      <c r="O1241" s="319"/>
      <c r="P1241" s="494">
        <v>21.396461420000005</v>
      </c>
      <c r="Q1241" s="494">
        <v>20.147021420000005</v>
      </c>
      <c r="R1241" s="319" t="s">
        <v>7100</v>
      </c>
      <c r="S1241" s="319"/>
      <c r="T1241" s="319"/>
      <c r="U1241" s="319"/>
      <c r="V1241" s="319"/>
      <c r="W1241" s="319"/>
      <c r="X1241" s="319"/>
      <c r="Y1241" s="319"/>
      <c r="Z1241" s="319"/>
      <c r="AA1241" s="319"/>
      <c r="AB1241" s="319"/>
      <c r="AC1241" s="319"/>
      <c r="AD1241" s="319"/>
      <c r="AE1241" s="319"/>
      <c r="AF1241" s="319"/>
      <c r="AG1241" s="319"/>
      <c r="AH1241" s="319"/>
      <c r="AI1241" s="319"/>
      <c r="AJ1241" s="319"/>
      <c r="AK1241" s="319"/>
      <c r="AL1241" s="319"/>
      <c r="AM1241" s="319"/>
      <c r="AN1241" s="319"/>
      <c r="AO1241" s="587"/>
      <c r="AP1241" s="319"/>
      <c r="AQ1241" s="319"/>
      <c r="AR1241" s="319"/>
      <c r="AS1241" s="319"/>
      <c r="AT1241" s="319"/>
      <c r="AU1241" s="319"/>
      <c r="AV1241" s="319"/>
      <c r="AW1241" s="319"/>
      <c r="AX1241" s="319"/>
      <c r="AY1241" s="319"/>
      <c r="AZ1241" s="319"/>
      <c r="BA1241" s="319"/>
      <c r="BB1241" s="319"/>
      <c r="BC1241" s="319"/>
      <c r="BD1241" s="319"/>
      <c r="BE1241" s="319"/>
      <c r="BF1241" s="319"/>
      <c r="BG1241" s="319"/>
      <c r="BH1241" s="319"/>
      <c r="BI1241" s="319"/>
      <c r="BJ1241" s="319"/>
      <c r="BK1241" s="319"/>
      <c r="BL1241" s="319"/>
      <c r="BM1241" s="319"/>
      <c r="BN1241" s="319"/>
      <c r="BO1241" s="319"/>
      <c r="BP1241" s="319"/>
      <c r="BQ1241" s="319"/>
      <c r="BR1241" s="319"/>
      <c r="BS1241" s="319"/>
      <c r="BT1241" s="319"/>
      <c r="BU1241" s="319"/>
      <c r="BV1241" s="319"/>
      <c r="BW1241" s="319"/>
      <c r="BX1241" s="319"/>
      <c r="BY1241" s="319"/>
      <c r="BZ1241" s="319"/>
      <c r="CA1241" s="319"/>
      <c r="CB1241" s="319"/>
      <c r="CC1241" s="319"/>
      <c r="CD1241" s="319"/>
      <c r="CE1241" s="319"/>
      <c r="CF1241" s="319"/>
    </row>
    <row r="1242" spans="1:84" ht="13.5" hidden="1" customHeight="1">
      <c r="A1242" s="319">
        <f t="shared" si="191"/>
        <v>1</v>
      </c>
      <c r="B1242" s="319" t="str">
        <f>Language!C1234</f>
        <v>Pinho</v>
      </c>
      <c r="C1242" s="319" t="str">
        <f t="shared" si="189"/>
        <v>t</v>
      </c>
      <c r="D1242" s="319" t="str">
        <f t="shared" si="190"/>
        <v>€/t</v>
      </c>
      <c r="E1242" s="494">
        <f t="shared" si="188"/>
        <v>20.096965779999998</v>
      </c>
      <c r="F1242" s="494">
        <v>1000</v>
      </c>
      <c r="G1242" s="494">
        <f t="shared" si="192"/>
        <v>0</v>
      </c>
      <c r="H1242" s="494">
        <f t="shared" si="193"/>
        <v>0</v>
      </c>
      <c r="I1242" s="319" t="str">
        <f t="shared" si="178"/>
        <v>Pinho</v>
      </c>
      <c r="J1242" s="319"/>
      <c r="K1242" s="319"/>
      <c r="L1242" s="319"/>
      <c r="M1242" s="319"/>
      <c r="N1242" s="319"/>
      <c r="O1242" s="319"/>
      <c r="P1242" s="494">
        <v>21.47792578</v>
      </c>
      <c r="Q1242" s="494">
        <v>20.096965779999998</v>
      </c>
      <c r="R1242" s="319" t="s">
        <v>7150</v>
      </c>
      <c r="S1242" s="319"/>
      <c r="T1242" s="319"/>
      <c r="U1242" s="319"/>
      <c r="V1242" s="319"/>
      <c r="W1242" s="319"/>
      <c r="X1242" s="319"/>
      <c r="Y1242" s="319"/>
      <c r="Z1242" s="319"/>
      <c r="AA1242" s="319"/>
      <c r="AB1242" s="319"/>
      <c r="AC1242" s="319"/>
      <c r="AD1242" s="319"/>
      <c r="AE1242" s="319"/>
      <c r="AF1242" s="319"/>
      <c r="AG1242" s="319"/>
      <c r="AH1242" s="319"/>
      <c r="AI1242" s="319"/>
      <c r="AJ1242" s="319"/>
      <c r="AK1242" s="319"/>
      <c r="AL1242" s="319"/>
      <c r="AM1242" s="319"/>
      <c r="AN1242" s="319"/>
      <c r="AO1242" s="587"/>
      <c r="AP1242" s="319"/>
      <c r="AQ1242" s="319"/>
      <c r="AR1242" s="319"/>
      <c r="AS1242" s="319"/>
      <c r="AT1242" s="319"/>
      <c r="AU1242" s="319"/>
      <c r="AV1242" s="319"/>
      <c r="AW1242" s="319"/>
      <c r="AX1242" s="319"/>
      <c r="AY1242" s="319"/>
      <c r="AZ1242" s="319"/>
      <c r="BA1242" s="319"/>
      <c r="BB1242" s="319"/>
      <c r="BC1242" s="319"/>
      <c r="BD1242" s="319"/>
      <c r="BE1242" s="319"/>
      <c r="BF1242" s="319"/>
      <c r="BG1242" s="319"/>
      <c r="BH1242" s="319"/>
      <c r="BI1242" s="319"/>
      <c r="BJ1242" s="319"/>
      <c r="BK1242" s="319"/>
      <c r="BL1242" s="319"/>
      <c r="BM1242" s="319"/>
      <c r="BN1242" s="319"/>
      <c r="BO1242" s="319"/>
      <c r="BP1242" s="319"/>
      <c r="BQ1242" s="319"/>
      <c r="BR1242" s="319"/>
      <c r="BS1242" s="319"/>
      <c r="BT1242" s="319"/>
      <c r="BU1242" s="319"/>
      <c r="BV1242" s="319"/>
      <c r="BW1242" s="319"/>
      <c r="BX1242" s="319"/>
      <c r="BY1242" s="319"/>
      <c r="BZ1242" s="319"/>
      <c r="CA1242" s="319"/>
      <c r="CB1242" s="319"/>
      <c r="CC1242" s="319"/>
      <c r="CD1242" s="319"/>
      <c r="CE1242" s="319"/>
      <c r="CF1242" s="319"/>
    </row>
    <row r="1243" spans="1:84" ht="13.5" hidden="1" customHeight="1">
      <c r="A1243" s="319">
        <f t="shared" si="191"/>
        <v>1</v>
      </c>
      <c r="B1243" s="319" t="str">
        <f>Language!C1235</f>
        <v>Pinho - casca</v>
      </c>
      <c r="C1243" s="319" t="str">
        <f t="shared" si="189"/>
        <v>t</v>
      </c>
      <c r="D1243" s="319" t="str">
        <f t="shared" si="190"/>
        <v>€/t</v>
      </c>
      <c r="E1243" s="494">
        <f t="shared" si="188"/>
        <v>19.056697360000001</v>
      </c>
      <c r="F1243" s="494">
        <v>1000</v>
      </c>
      <c r="G1243" s="494">
        <f t="shared" si="192"/>
        <v>0</v>
      </c>
      <c r="H1243" s="494">
        <f t="shared" si="193"/>
        <v>0</v>
      </c>
      <c r="I1243" s="319" t="str">
        <f t="shared" si="178"/>
        <v>Pinho - casca</v>
      </c>
      <c r="J1243" s="319"/>
      <c r="K1243" s="319"/>
      <c r="L1243" s="319"/>
      <c r="M1243" s="319"/>
      <c r="N1243" s="319"/>
      <c r="O1243" s="319"/>
      <c r="P1243" s="494">
        <v>20.28421736</v>
      </c>
      <c r="Q1243" s="494">
        <v>19.056697360000001</v>
      </c>
      <c r="R1243" s="319" t="s">
        <v>7101</v>
      </c>
      <c r="S1243" s="319"/>
      <c r="T1243" s="319"/>
      <c r="U1243" s="319"/>
      <c r="V1243" s="319"/>
      <c r="W1243" s="319"/>
      <c r="X1243" s="319"/>
      <c r="Y1243" s="319"/>
      <c r="Z1243" s="319"/>
      <c r="AA1243" s="319"/>
      <c r="AB1243" s="319"/>
      <c r="AC1243" s="319"/>
      <c r="AD1243" s="319"/>
      <c r="AE1243" s="319"/>
      <c r="AF1243" s="319"/>
      <c r="AG1243" s="319"/>
      <c r="AH1243" s="319"/>
      <c r="AI1243" s="319"/>
      <c r="AJ1243" s="319"/>
      <c r="AK1243" s="319"/>
      <c r="AL1243" s="319"/>
      <c r="AM1243" s="319"/>
      <c r="AN1243" s="319"/>
      <c r="AO1243" s="587"/>
      <c r="AP1243" s="319"/>
      <c r="AQ1243" s="319"/>
      <c r="AR1243" s="319"/>
      <c r="AS1243" s="319"/>
      <c r="AT1243" s="319"/>
      <c r="AU1243" s="319"/>
      <c r="AV1243" s="319"/>
      <c r="AW1243" s="319"/>
      <c r="AX1243" s="319"/>
      <c r="AY1243" s="319"/>
      <c r="AZ1243" s="319"/>
      <c r="BA1243" s="319"/>
      <c r="BB1243" s="319"/>
      <c r="BC1243" s="319"/>
      <c r="BD1243" s="319"/>
      <c r="BE1243" s="319"/>
      <c r="BF1243" s="319"/>
      <c r="BG1243" s="319"/>
      <c r="BH1243" s="319"/>
      <c r="BI1243" s="319"/>
      <c r="BJ1243" s="319"/>
      <c r="BK1243" s="319"/>
      <c r="BL1243" s="319"/>
      <c r="BM1243" s="319"/>
      <c r="BN1243" s="319"/>
      <c r="BO1243" s="319"/>
      <c r="BP1243" s="319"/>
      <c r="BQ1243" s="319"/>
      <c r="BR1243" s="319"/>
      <c r="BS1243" s="319"/>
      <c r="BT1243" s="319"/>
      <c r="BU1243" s="319"/>
      <c r="BV1243" s="319"/>
      <c r="BW1243" s="319"/>
      <c r="BX1243" s="319"/>
      <c r="BY1243" s="319"/>
      <c r="BZ1243" s="319"/>
      <c r="CA1243" s="319"/>
      <c r="CB1243" s="319"/>
      <c r="CC1243" s="319"/>
      <c r="CD1243" s="319"/>
      <c r="CE1243" s="319"/>
      <c r="CF1243" s="319"/>
    </row>
    <row r="1244" spans="1:84" ht="13.5" hidden="1" customHeight="1">
      <c r="A1244" s="319">
        <f t="shared" si="191"/>
        <v>1</v>
      </c>
      <c r="B1244" s="319" t="str">
        <f>Language!C1236</f>
        <v>Pistache - casca</v>
      </c>
      <c r="C1244" s="319" t="str">
        <f t="shared" si="189"/>
        <v>t</v>
      </c>
      <c r="D1244" s="319" t="str">
        <f t="shared" si="190"/>
        <v>€/t</v>
      </c>
      <c r="E1244" s="494">
        <f t="shared" si="188"/>
        <v>16.155532700000002</v>
      </c>
      <c r="F1244" s="494">
        <v>1000</v>
      </c>
      <c r="G1244" s="494">
        <f t="shared" si="192"/>
        <v>0</v>
      </c>
      <c r="H1244" s="494">
        <f t="shared" si="193"/>
        <v>0</v>
      </c>
      <c r="I1244" s="319" t="str">
        <f t="shared" si="178"/>
        <v>Pistache - casca</v>
      </c>
      <c r="J1244" s="319"/>
      <c r="K1244" s="319"/>
      <c r="L1244" s="319"/>
      <c r="M1244" s="319"/>
      <c r="N1244" s="319"/>
      <c r="O1244" s="319"/>
      <c r="P1244" s="494">
        <v>17.141932700000002</v>
      </c>
      <c r="Q1244" s="494">
        <v>16.155532700000002</v>
      </c>
      <c r="R1244" s="319" t="s">
        <v>7094</v>
      </c>
      <c r="S1244" s="319"/>
      <c r="T1244" s="319"/>
      <c r="U1244" s="319"/>
      <c r="V1244" s="319"/>
      <c r="W1244" s="319"/>
      <c r="X1244" s="319"/>
      <c r="Y1244" s="319"/>
      <c r="Z1244" s="319"/>
      <c r="AA1244" s="319"/>
      <c r="AB1244" s="319"/>
      <c r="AC1244" s="319"/>
      <c r="AD1244" s="319"/>
      <c r="AE1244" s="319"/>
      <c r="AF1244" s="319"/>
      <c r="AG1244" s="319"/>
      <c r="AH1244" s="319"/>
      <c r="AI1244" s="319"/>
      <c r="AJ1244" s="319"/>
      <c r="AK1244" s="319"/>
      <c r="AL1244" s="319"/>
      <c r="AM1244" s="319"/>
      <c r="AN1244" s="319"/>
      <c r="AO1244" s="587"/>
      <c r="AP1244" s="319"/>
      <c r="AQ1244" s="319"/>
      <c r="AR1244" s="319"/>
      <c r="AS1244" s="319"/>
      <c r="AT1244" s="319"/>
      <c r="AU1244" s="319"/>
      <c r="AV1244" s="319"/>
      <c r="AW1244" s="319"/>
      <c r="AX1244" s="319"/>
      <c r="AY1244" s="319"/>
      <c r="AZ1244" s="319"/>
      <c r="BA1244" s="319"/>
      <c r="BB1244" s="319"/>
      <c r="BC1244" s="319"/>
      <c r="BD1244" s="319"/>
      <c r="BE1244" s="319"/>
      <c r="BF1244" s="319"/>
      <c r="BG1244" s="319"/>
      <c r="BH1244" s="319"/>
      <c r="BI1244" s="319"/>
      <c r="BJ1244" s="319"/>
      <c r="BK1244" s="319"/>
      <c r="BL1244" s="319"/>
      <c r="BM1244" s="319"/>
      <c r="BN1244" s="319"/>
      <c r="BO1244" s="319"/>
      <c r="BP1244" s="319"/>
      <c r="BQ1244" s="319"/>
      <c r="BR1244" s="319"/>
      <c r="BS1244" s="319"/>
      <c r="BT1244" s="319"/>
      <c r="BU1244" s="319"/>
      <c r="BV1244" s="319"/>
      <c r="BW1244" s="319"/>
      <c r="BX1244" s="319"/>
      <c r="BY1244" s="319"/>
      <c r="BZ1244" s="319"/>
      <c r="CA1244" s="319"/>
      <c r="CB1244" s="319"/>
      <c r="CC1244" s="319"/>
      <c r="CD1244" s="319"/>
      <c r="CE1244" s="319"/>
      <c r="CF1244" s="319"/>
    </row>
    <row r="1245" spans="1:84" ht="13.5" hidden="1" customHeight="1">
      <c r="A1245" s="319">
        <f t="shared" si="191"/>
        <v>1</v>
      </c>
      <c r="B1245" s="319" t="str">
        <f>Language!C1237</f>
        <v>Plástico</v>
      </c>
      <c r="C1245" s="319" t="str">
        <f t="shared" si="189"/>
        <v>t</v>
      </c>
      <c r="D1245" s="319" t="str">
        <f t="shared" si="190"/>
        <v>€/t</v>
      </c>
      <c r="E1245" s="494">
        <f t="shared" si="188"/>
        <v>32.034510196999989</v>
      </c>
      <c r="F1245" s="494">
        <v>1000</v>
      </c>
      <c r="G1245" s="494">
        <f t="shared" si="192"/>
        <v>0</v>
      </c>
      <c r="H1245" s="494">
        <f t="shared" si="193"/>
        <v>0</v>
      </c>
      <c r="I1245" s="319" t="str">
        <f t="shared" si="178"/>
        <v>Plástico</v>
      </c>
      <c r="J1245" s="319"/>
      <c r="K1245" s="319"/>
      <c r="L1245" s="319"/>
      <c r="M1245" s="319"/>
      <c r="N1245" s="319"/>
      <c r="O1245" s="319"/>
      <c r="P1245" s="494">
        <v>34.051150196999991</v>
      </c>
      <c r="Q1245" s="494">
        <v>32.034510196999989</v>
      </c>
      <c r="R1245" s="319" t="s">
        <v>7080</v>
      </c>
      <c r="S1245" s="319"/>
      <c r="T1245" s="319"/>
      <c r="U1245" s="319"/>
      <c r="V1245" s="319"/>
      <c r="W1245" s="319"/>
      <c r="X1245" s="319"/>
      <c r="Y1245" s="319"/>
      <c r="Z1245" s="319"/>
      <c r="AA1245" s="319"/>
      <c r="AB1245" s="319"/>
      <c r="AC1245" s="319"/>
      <c r="AD1245" s="319"/>
      <c r="AE1245" s="319"/>
      <c r="AF1245" s="319"/>
      <c r="AG1245" s="319"/>
      <c r="AH1245" s="319"/>
      <c r="AI1245" s="319"/>
      <c r="AJ1245" s="319"/>
      <c r="AK1245" s="319"/>
      <c r="AL1245" s="319"/>
      <c r="AM1245" s="319"/>
      <c r="AN1245" s="319"/>
      <c r="AO1245" s="587"/>
      <c r="AP1245" s="319"/>
      <c r="AQ1245" s="319"/>
      <c r="AR1245" s="319"/>
      <c r="AS1245" s="319"/>
      <c r="AT1245" s="319"/>
      <c r="AU1245" s="319"/>
      <c r="AV1245" s="319"/>
      <c r="AW1245" s="319"/>
      <c r="AX1245" s="319"/>
      <c r="AY1245" s="319"/>
      <c r="AZ1245" s="319"/>
      <c r="BA1245" s="319"/>
      <c r="BB1245" s="319"/>
      <c r="BC1245" s="319"/>
      <c r="BD1245" s="319"/>
      <c r="BE1245" s="319"/>
      <c r="BF1245" s="319"/>
      <c r="BG1245" s="319"/>
      <c r="BH1245" s="319"/>
      <c r="BI1245" s="319"/>
      <c r="BJ1245" s="319"/>
      <c r="BK1245" s="319"/>
      <c r="BL1245" s="319"/>
      <c r="BM1245" s="319"/>
      <c r="BN1245" s="319"/>
      <c r="BO1245" s="319"/>
      <c r="BP1245" s="319"/>
      <c r="BQ1245" s="319"/>
      <c r="BR1245" s="319"/>
      <c r="BS1245" s="319"/>
      <c r="BT1245" s="319"/>
      <c r="BU1245" s="319"/>
      <c r="BV1245" s="319"/>
      <c r="BW1245" s="319"/>
      <c r="BX1245" s="319"/>
      <c r="BY1245" s="319"/>
      <c r="BZ1245" s="319"/>
      <c r="CA1245" s="319"/>
      <c r="CB1245" s="319"/>
      <c r="CC1245" s="319"/>
      <c r="CD1245" s="319"/>
      <c r="CE1245" s="319"/>
      <c r="CF1245" s="319"/>
    </row>
    <row r="1246" spans="1:84" ht="13.5" hidden="1" customHeight="1">
      <c r="A1246" s="319">
        <f t="shared" si="191"/>
        <v>1</v>
      </c>
      <c r="B1246" s="319" t="str">
        <f>Language!C1238</f>
        <v>Choupo</v>
      </c>
      <c r="C1246" s="319" t="str">
        <f t="shared" si="189"/>
        <v>t</v>
      </c>
      <c r="D1246" s="319" t="str">
        <f t="shared" si="190"/>
        <v>€/t</v>
      </c>
      <c r="E1246" s="494">
        <f t="shared" si="188"/>
        <v>18.722693599999996</v>
      </c>
      <c r="F1246" s="494">
        <v>1000</v>
      </c>
      <c r="G1246" s="494">
        <f t="shared" si="192"/>
        <v>0</v>
      </c>
      <c r="H1246" s="494">
        <f t="shared" si="193"/>
        <v>0</v>
      </c>
      <c r="I1246" s="319" t="str">
        <f t="shared" si="178"/>
        <v>Choupo</v>
      </c>
      <c r="J1246" s="319"/>
      <c r="K1246" s="319"/>
      <c r="L1246" s="319"/>
      <c r="M1246" s="319"/>
      <c r="N1246" s="319"/>
      <c r="O1246" s="319"/>
      <c r="P1246" s="494">
        <v>20.037893599999997</v>
      </c>
      <c r="Q1246" s="494">
        <v>18.722693599999996</v>
      </c>
      <c r="R1246" s="319" t="s">
        <v>7133</v>
      </c>
      <c r="S1246" s="319"/>
      <c r="T1246" s="319"/>
      <c r="U1246" s="319"/>
      <c r="V1246" s="319"/>
      <c r="W1246" s="319"/>
      <c r="X1246" s="319"/>
      <c r="Y1246" s="319"/>
      <c r="Z1246" s="319"/>
      <c r="AA1246" s="319"/>
      <c r="AB1246" s="319"/>
      <c r="AC1246" s="319"/>
      <c r="AD1246" s="319"/>
      <c r="AE1246" s="319"/>
      <c r="AF1246" s="319"/>
      <c r="AG1246" s="319"/>
      <c r="AH1246" s="319"/>
      <c r="AI1246" s="319"/>
      <c r="AJ1246" s="319"/>
      <c r="AK1246" s="319"/>
      <c r="AL1246" s="319"/>
      <c r="AM1246" s="319"/>
      <c r="AN1246" s="319"/>
      <c r="AO1246" s="587"/>
      <c r="AP1246" s="319"/>
      <c r="AQ1246" s="319"/>
      <c r="AR1246" s="319"/>
      <c r="AS1246" s="319"/>
      <c r="AT1246" s="319"/>
      <c r="AU1246" s="319"/>
      <c r="AV1246" s="319"/>
      <c r="AW1246" s="319"/>
      <c r="AX1246" s="319"/>
      <c r="AY1246" s="319"/>
      <c r="AZ1246" s="319"/>
      <c r="BA1246" s="319"/>
      <c r="BB1246" s="319"/>
      <c r="BC1246" s="319"/>
      <c r="BD1246" s="319"/>
      <c r="BE1246" s="319"/>
      <c r="BF1246" s="319"/>
      <c r="BG1246" s="319"/>
      <c r="BH1246" s="319"/>
      <c r="BI1246" s="319"/>
      <c r="BJ1246" s="319"/>
      <c r="BK1246" s="319"/>
      <c r="BL1246" s="319"/>
      <c r="BM1246" s="319"/>
      <c r="BN1246" s="319"/>
      <c r="BO1246" s="319"/>
      <c r="BP1246" s="319"/>
      <c r="BQ1246" s="319"/>
      <c r="BR1246" s="319"/>
      <c r="BS1246" s="319"/>
      <c r="BT1246" s="319"/>
      <c r="BU1246" s="319"/>
      <c r="BV1246" s="319"/>
      <c r="BW1246" s="319"/>
      <c r="BX1246" s="319"/>
      <c r="BY1246" s="319"/>
      <c r="BZ1246" s="319"/>
      <c r="CA1246" s="319"/>
      <c r="CB1246" s="319"/>
      <c r="CC1246" s="319"/>
      <c r="CD1246" s="319"/>
      <c r="CE1246" s="319"/>
      <c r="CF1246" s="319"/>
    </row>
    <row r="1247" spans="1:84" ht="13.5" hidden="1" customHeight="1">
      <c r="A1247" s="319">
        <f t="shared" si="191"/>
        <v>1</v>
      </c>
      <c r="B1247" s="319" t="str">
        <f>Language!C1239</f>
        <v>Choupo - casca</v>
      </c>
      <c r="C1247" s="319" t="str">
        <f t="shared" si="189"/>
        <v>t</v>
      </c>
      <c r="D1247" s="319" t="str">
        <f t="shared" si="190"/>
        <v>€/t</v>
      </c>
      <c r="E1247" s="494">
        <f t="shared" si="188"/>
        <v>20.430069540000002</v>
      </c>
      <c r="F1247" s="494">
        <v>1000</v>
      </c>
      <c r="G1247" s="494">
        <f t="shared" si="192"/>
        <v>0</v>
      </c>
      <c r="H1247" s="494">
        <f t="shared" si="193"/>
        <v>0</v>
      </c>
      <c r="I1247" s="319" t="str">
        <f t="shared" si="178"/>
        <v>Choupo - casca</v>
      </c>
      <c r="J1247" s="319"/>
      <c r="K1247" s="319"/>
      <c r="L1247" s="319"/>
      <c r="M1247" s="319"/>
      <c r="N1247" s="319"/>
      <c r="O1247" s="319"/>
      <c r="P1247" s="494">
        <v>21.723349540000001</v>
      </c>
      <c r="Q1247" s="494">
        <v>20.430069540000002</v>
      </c>
      <c r="R1247" s="319" t="s">
        <v>7135</v>
      </c>
      <c r="S1247" s="319"/>
      <c r="T1247" s="319"/>
      <c r="U1247" s="319"/>
      <c r="V1247" s="319"/>
      <c r="W1247" s="319"/>
      <c r="X1247" s="319"/>
      <c r="Y1247" s="319"/>
      <c r="Z1247" s="319"/>
      <c r="AA1247" s="319"/>
      <c r="AB1247" s="319"/>
      <c r="AC1247" s="319"/>
      <c r="AD1247" s="319"/>
      <c r="AE1247" s="319"/>
      <c r="AF1247" s="319"/>
      <c r="AG1247" s="319"/>
      <c r="AH1247" s="319"/>
      <c r="AI1247" s="319"/>
      <c r="AJ1247" s="319"/>
      <c r="AK1247" s="319"/>
      <c r="AL1247" s="319"/>
      <c r="AM1247" s="319"/>
      <c r="AN1247" s="319"/>
      <c r="AO1247" s="587"/>
      <c r="AP1247" s="319"/>
      <c r="AQ1247" s="319"/>
      <c r="AR1247" s="319"/>
      <c r="AS1247" s="319"/>
      <c r="AT1247" s="319"/>
      <c r="AU1247" s="319"/>
      <c r="AV1247" s="319"/>
      <c r="AW1247" s="319"/>
      <c r="AX1247" s="319"/>
      <c r="AY1247" s="319"/>
      <c r="AZ1247" s="319"/>
      <c r="BA1247" s="319"/>
      <c r="BB1247" s="319"/>
      <c r="BC1247" s="319"/>
      <c r="BD1247" s="319"/>
      <c r="BE1247" s="319"/>
      <c r="BF1247" s="319"/>
      <c r="BG1247" s="319"/>
      <c r="BH1247" s="319"/>
      <c r="BI1247" s="319"/>
      <c r="BJ1247" s="319"/>
      <c r="BK1247" s="319"/>
      <c r="BL1247" s="319"/>
      <c r="BM1247" s="319"/>
      <c r="BN1247" s="319"/>
      <c r="BO1247" s="319"/>
      <c r="BP1247" s="319"/>
      <c r="BQ1247" s="319"/>
      <c r="BR1247" s="319"/>
      <c r="BS1247" s="319"/>
      <c r="BT1247" s="319"/>
      <c r="BU1247" s="319"/>
      <c r="BV1247" s="319"/>
      <c r="BW1247" s="319"/>
      <c r="BX1247" s="319"/>
      <c r="BY1247" s="319"/>
      <c r="BZ1247" s="319"/>
      <c r="CA1247" s="319"/>
      <c r="CB1247" s="319"/>
      <c r="CC1247" s="319"/>
      <c r="CD1247" s="319"/>
      <c r="CE1247" s="319"/>
      <c r="CF1247" s="319"/>
    </row>
    <row r="1248" spans="1:84" ht="13.5" hidden="1" customHeight="1">
      <c r="A1248" s="319">
        <f t="shared" si="191"/>
        <v>1</v>
      </c>
      <c r="B1248" s="319" t="str">
        <f>Language!C1240</f>
        <v>Furnier de aves</v>
      </c>
      <c r="C1248" s="319" t="str">
        <f t="shared" si="189"/>
        <v>t</v>
      </c>
      <c r="D1248" s="319" t="str">
        <f t="shared" si="190"/>
        <v>€/t</v>
      </c>
      <c r="E1248" s="494">
        <f t="shared" si="188"/>
        <v>15.124489653999998</v>
      </c>
      <c r="F1248" s="494">
        <v>1000</v>
      </c>
      <c r="G1248" s="494">
        <f t="shared" si="192"/>
        <v>0</v>
      </c>
      <c r="H1248" s="494">
        <f t="shared" si="193"/>
        <v>0</v>
      </c>
      <c r="I1248" s="319" t="str">
        <f t="shared" si="178"/>
        <v>Furnier de aves</v>
      </c>
      <c r="J1248" s="319"/>
      <c r="K1248" s="319"/>
      <c r="L1248" s="319"/>
      <c r="M1248" s="319"/>
      <c r="N1248" s="319"/>
      <c r="O1248" s="319"/>
      <c r="P1248" s="494">
        <v>16.240217653999999</v>
      </c>
      <c r="Q1248" s="494">
        <v>15.124489653999998</v>
      </c>
      <c r="R1248" s="319" t="s">
        <v>7134</v>
      </c>
      <c r="S1248" s="319"/>
      <c r="T1248" s="319"/>
      <c r="U1248" s="319"/>
      <c r="V1248" s="319"/>
      <c r="W1248" s="319"/>
      <c r="X1248" s="319"/>
      <c r="Y1248" s="319"/>
      <c r="Z1248" s="319"/>
      <c r="AA1248" s="319"/>
      <c r="AB1248" s="319"/>
      <c r="AC1248" s="319"/>
      <c r="AD1248" s="319"/>
      <c r="AE1248" s="319"/>
      <c r="AF1248" s="319"/>
      <c r="AG1248" s="319"/>
      <c r="AH1248" s="319"/>
      <c r="AI1248" s="319"/>
      <c r="AJ1248" s="319"/>
      <c r="AK1248" s="319"/>
      <c r="AL1248" s="319"/>
      <c r="AM1248" s="319"/>
      <c r="AN1248" s="319"/>
      <c r="AO1248" s="587"/>
      <c r="AP1248" s="319"/>
      <c r="AQ1248" s="319"/>
      <c r="AR1248" s="319"/>
      <c r="AS1248" s="319"/>
      <c r="AT1248" s="319"/>
      <c r="AU1248" s="319"/>
      <c r="AV1248" s="319"/>
      <c r="AW1248" s="319"/>
      <c r="AX1248" s="319"/>
      <c r="AY1248" s="319"/>
      <c r="AZ1248" s="319"/>
      <c r="BA1248" s="319"/>
      <c r="BB1248" s="319"/>
      <c r="BC1248" s="319"/>
      <c r="BD1248" s="319"/>
      <c r="BE1248" s="319"/>
      <c r="BF1248" s="319"/>
      <c r="BG1248" s="319"/>
      <c r="BH1248" s="319"/>
      <c r="BI1248" s="319"/>
      <c r="BJ1248" s="319"/>
      <c r="BK1248" s="319"/>
      <c r="BL1248" s="319"/>
      <c r="BM1248" s="319"/>
      <c r="BN1248" s="319"/>
      <c r="BO1248" s="319"/>
      <c r="BP1248" s="319"/>
      <c r="BQ1248" s="319"/>
      <c r="BR1248" s="319"/>
      <c r="BS1248" s="319"/>
      <c r="BT1248" s="319"/>
      <c r="BU1248" s="319"/>
      <c r="BV1248" s="319"/>
      <c r="BW1248" s="319"/>
      <c r="BX1248" s="319"/>
      <c r="BY1248" s="319"/>
      <c r="BZ1248" s="319"/>
      <c r="CA1248" s="319"/>
      <c r="CB1248" s="319"/>
      <c r="CC1248" s="319"/>
      <c r="CD1248" s="319"/>
      <c r="CE1248" s="319"/>
      <c r="CF1248" s="319"/>
    </row>
    <row r="1249" spans="1:84" ht="13.5" hidden="1" customHeight="1">
      <c r="A1249" s="319">
        <f t="shared" si="191"/>
        <v>1</v>
      </c>
      <c r="B1249" s="319" t="str">
        <f>Language!C1241</f>
        <v>Ameixa - caroço</v>
      </c>
      <c r="C1249" s="319" t="str">
        <f t="shared" si="189"/>
        <v>t</v>
      </c>
      <c r="D1249" s="319" t="str">
        <f t="shared" si="190"/>
        <v>€/t</v>
      </c>
      <c r="E1249" s="494">
        <f t="shared" si="188"/>
        <v>19.463785553999998</v>
      </c>
      <c r="F1249" s="494">
        <v>1000</v>
      </c>
      <c r="G1249" s="494">
        <f t="shared" si="192"/>
        <v>0</v>
      </c>
      <c r="H1249" s="494">
        <f t="shared" si="193"/>
        <v>0</v>
      </c>
      <c r="I1249" s="319" t="str">
        <f t="shared" si="178"/>
        <v>Ameixa - caroço</v>
      </c>
      <c r="J1249" s="319"/>
      <c r="K1249" s="319"/>
      <c r="L1249" s="319"/>
      <c r="M1249" s="319"/>
      <c r="N1249" s="319"/>
      <c r="O1249" s="319"/>
      <c r="P1249" s="494">
        <v>20.908313553999999</v>
      </c>
      <c r="Q1249" s="494">
        <v>19.463785553999998</v>
      </c>
      <c r="R1249" s="605" t="s">
        <v>7103</v>
      </c>
      <c r="S1249" s="319"/>
      <c r="T1249" s="319"/>
      <c r="U1249" s="319"/>
      <c r="V1249" s="319"/>
      <c r="W1249" s="319"/>
      <c r="X1249" s="319"/>
      <c r="Y1249" s="319"/>
      <c r="Z1249" s="319"/>
      <c r="AA1249" s="319"/>
      <c r="AB1249" s="319"/>
      <c r="AC1249" s="319"/>
      <c r="AD1249" s="319"/>
      <c r="AE1249" s="319"/>
      <c r="AF1249" s="319"/>
      <c r="AG1249" s="319"/>
      <c r="AH1249" s="319"/>
      <c r="AI1249" s="319"/>
      <c r="AJ1249" s="319"/>
      <c r="AK1249" s="319"/>
      <c r="AL1249" s="319"/>
      <c r="AM1249" s="319"/>
      <c r="AN1249" s="319"/>
      <c r="AO1249" s="587"/>
      <c r="AP1249" s="319"/>
      <c r="AQ1249" s="319"/>
      <c r="AR1249" s="319"/>
      <c r="AS1249" s="319"/>
      <c r="AT1249" s="319"/>
      <c r="AU1249" s="319"/>
      <c r="AV1249" s="319"/>
      <c r="AW1249" s="319"/>
      <c r="AX1249" s="319"/>
      <c r="AY1249" s="319"/>
      <c r="AZ1249" s="319"/>
      <c r="BA1249" s="319"/>
      <c r="BB1249" s="319"/>
      <c r="BC1249" s="319"/>
      <c r="BD1249" s="319"/>
      <c r="BE1249" s="319"/>
      <c r="BF1249" s="319"/>
      <c r="BG1249" s="319"/>
      <c r="BH1249" s="319"/>
      <c r="BI1249" s="319"/>
      <c r="BJ1249" s="319"/>
      <c r="BK1249" s="319"/>
      <c r="BL1249" s="319"/>
      <c r="BM1249" s="319"/>
      <c r="BN1249" s="319"/>
      <c r="BO1249" s="319"/>
      <c r="BP1249" s="319"/>
      <c r="BQ1249" s="319"/>
      <c r="BR1249" s="319"/>
      <c r="BS1249" s="319"/>
      <c r="BT1249" s="319"/>
      <c r="BU1249" s="319"/>
      <c r="BV1249" s="319"/>
      <c r="BW1249" s="319"/>
      <c r="BX1249" s="319"/>
      <c r="BY1249" s="319"/>
      <c r="BZ1249" s="319"/>
      <c r="CA1249" s="319"/>
      <c r="CB1249" s="319"/>
      <c r="CC1249" s="319"/>
      <c r="CD1249" s="319"/>
      <c r="CE1249" s="319"/>
      <c r="CF1249" s="319"/>
    </row>
    <row r="1250" spans="1:84" ht="13.5" hidden="1" customHeight="1">
      <c r="A1250" s="319">
        <f t="shared" si="191"/>
        <v>1</v>
      </c>
      <c r="B1250" s="319" t="str">
        <f>Language!C1242</f>
        <v>Colza - palha</v>
      </c>
      <c r="C1250" s="319" t="str">
        <f t="shared" si="189"/>
        <v>t</v>
      </c>
      <c r="D1250" s="319" t="str">
        <f t="shared" si="190"/>
        <v>€/t</v>
      </c>
      <c r="E1250" s="494">
        <f t="shared" si="188"/>
        <v>14.346656760000002</v>
      </c>
      <c r="F1250" s="494">
        <v>1000</v>
      </c>
      <c r="G1250" s="494">
        <f t="shared" si="192"/>
        <v>0</v>
      </c>
      <c r="H1250" s="494">
        <f t="shared" si="193"/>
        <v>0</v>
      </c>
      <c r="I1250" s="319" t="str">
        <f t="shared" si="178"/>
        <v>Colza - palha</v>
      </c>
      <c r="J1250" s="319"/>
      <c r="K1250" s="319"/>
      <c r="L1250" s="319"/>
      <c r="M1250" s="319"/>
      <c r="N1250" s="319"/>
      <c r="O1250" s="319"/>
      <c r="P1250" s="494">
        <v>15.354976760000001</v>
      </c>
      <c r="Q1250" s="494">
        <v>14.346656760000002</v>
      </c>
      <c r="R1250" s="319" t="s">
        <v>7139</v>
      </c>
      <c r="S1250" s="319"/>
      <c r="T1250" s="319"/>
      <c r="U1250" s="319"/>
      <c r="V1250" s="319"/>
      <c r="W1250" s="319"/>
      <c r="X1250" s="319"/>
      <c r="Y1250" s="319"/>
      <c r="Z1250" s="319"/>
      <c r="AA1250" s="319"/>
      <c r="AB1250" s="319"/>
      <c r="AC1250" s="319"/>
      <c r="AD1250" s="319"/>
      <c r="AE1250" s="319"/>
      <c r="AF1250" s="319"/>
      <c r="AG1250" s="319"/>
      <c r="AH1250" s="319"/>
      <c r="AI1250" s="319"/>
      <c r="AJ1250" s="319"/>
      <c r="AK1250" s="319"/>
      <c r="AL1250" s="319"/>
      <c r="AM1250" s="319"/>
      <c r="AN1250" s="319"/>
      <c r="AO1250" s="587"/>
      <c r="AP1250" s="319"/>
      <c r="AQ1250" s="319"/>
      <c r="AR1250" s="319"/>
      <c r="AS1250" s="319"/>
      <c r="AT1250" s="319"/>
      <c r="AU1250" s="319"/>
      <c r="AV1250" s="319"/>
      <c r="AW1250" s="319"/>
      <c r="AX1250" s="319"/>
      <c r="AY1250" s="319"/>
      <c r="AZ1250" s="319"/>
      <c r="BA1250" s="319"/>
      <c r="BB1250" s="319"/>
      <c r="BC1250" s="319"/>
      <c r="BD1250" s="319"/>
      <c r="BE1250" s="319"/>
      <c r="BF1250" s="319"/>
      <c r="BG1250" s="319"/>
      <c r="BH1250" s="319"/>
      <c r="BI1250" s="319"/>
      <c r="BJ1250" s="319"/>
      <c r="BK1250" s="319"/>
      <c r="BL1250" s="319"/>
      <c r="BM1250" s="319"/>
      <c r="BN1250" s="319"/>
      <c r="BO1250" s="319"/>
      <c r="BP1250" s="319"/>
      <c r="BQ1250" s="319"/>
      <c r="BR1250" s="319"/>
      <c r="BS1250" s="319"/>
      <c r="BT1250" s="319"/>
      <c r="BU1250" s="319"/>
      <c r="BV1250" s="319"/>
      <c r="BW1250" s="319"/>
      <c r="BX1250" s="319"/>
      <c r="BY1250" s="319"/>
      <c r="BZ1250" s="319"/>
      <c r="CA1250" s="319"/>
      <c r="CB1250" s="319"/>
      <c r="CC1250" s="319"/>
      <c r="CD1250" s="319"/>
      <c r="CE1250" s="319"/>
      <c r="CF1250" s="319"/>
    </row>
    <row r="1251" spans="1:84" ht="13.5" hidden="1" customHeight="1">
      <c r="A1251" s="319">
        <f t="shared" si="191"/>
        <v>1</v>
      </c>
      <c r="B1251" s="319" t="str">
        <f>Language!C1243</f>
        <v>Colza - semente</v>
      </c>
      <c r="C1251" s="319" t="str">
        <f t="shared" si="189"/>
        <v>t</v>
      </c>
      <c r="D1251" s="319" t="str">
        <f t="shared" si="190"/>
        <v>€/t</v>
      </c>
      <c r="E1251" s="494">
        <f t="shared" si="188"/>
        <v>19.555339840000006</v>
      </c>
      <c r="F1251" s="494">
        <v>1000</v>
      </c>
      <c r="G1251" s="494">
        <f t="shared" si="192"/>
        <v>0</v>
      </c>
      <c r="H1251" s="494">
        <f t="shared" si="193"/>
        <v>0</v>
      </c>
      <c r="I1251" s="319" t="str">
        <f t="shared" si="178"/>
        <v>Colza - semente</v>
      </c>
      <c r="J1251" s="319"/>
      <c r="K1251" s="319"/>
      <c r="L1251" s="319"/>
      <c r="M1251" s="319"/>
      <c r="N1251" s="319"/>
      <c r="O1251" s="319"/>
      <c r="P1251" s="494">
        <v>20.958219840000005</v>
      </c>
      <c r="Q1251" s="494">
        <v>19.555339840000006</v>
      </c>
      <c r="R1251" s="319" t="s">
        <v>7146</v>
      </c>
      <c r="S1251" s="319"/>
      <c r="T1251" s="319"/>
      <c r="U1251" s="319"/>
      <c r="V1251" s="319"/>
      <c r="W1251" s="319"/>
      <c r="X1251" s="319"/>
      <c r="Y1251" s="319"/>
      <c r="Z1251" s="319"/>
      <c r="AA1251" s="319"/>
      <c r="AB1251" s="319"/>
      <c r="AC1251" s="319"/>
      <c r="AD1251" s="319"/>
      <c r="AE1251" s="319"/>
      <c r="AF1251" s="319"/>
      <c r="AG1251" s="319"/>
      <c r="AH1251" s="319"/>
      <c r="AI1251" s="319"/>
      <c r="AJ1251" s="319"/>
      <c r="AK1251" s="319"/>
      <c r="AL1251" s="319"/>
      <c r="AM1251" s="319"/>
      <c r="AN1251" s="319"/>
      <c r="AO1251" s="587"/>
      <c r="AP1251" s="319"/>
      <c r="AQ1251" s="319"/>
      <c r="AR1251" s="319"/>
      <c r="AS1251" s="319"/>
      <c r="AT1251" s="319"/>
      <c r="AU1251" s="319"/>
      <c r="AV1251" s="319"/>
      <c r="AW1251" s="319"/>
      <c r="AX1251" s="319"/>
      <c r="AY1251" s="319"/>
      <c r="AZ1251" s="319"/>
      <c r="BA1251" s="319"/>
      <c r="BB1251" s="319"/>
      <c r="BC1251" s="319"/>
      <c r="BD1251" s="319"/>
      <c r="BE1251" s="319"/>
      <c r="BF1251" s="319"/>
      <c r="BG1251" s="319"/>
      <c r="BH1251" s="319"/>
      <c r="BI1251" s="319"/>
      <c r="BJ1251" s="319"/>
      <c r="BK1251" s="319"/>
      <c r="BL1251" s="319"/>
      <c r="BM1251" s="319"/>
      <c r="BN1251" s="319"/>
      <c r="BO1251" s="319"/>
      <c r="BP1251" s="319"/>
      <c r="BQ1251" s="319"/>
      <c r="BR1251" s="319"/>
      <c r="BS1251" s="319"/>
      <c r="BT1251" s="319"/>
      <c r="BU1251" s="319"/>
      <c r="BV1251" s="319"/>
      <c r="BW1251" s="319"/>
      <c r="BX1251" s="319"/>
      <c r="BY1251" s="319"/>
      <c r="BZ1251" s="319"/>
      <c r="CA1251" s="319"/>
      <c r="CB1251" s="319"/>
      <c r="CC1251" s="319"/>
      <c r="CD1251" s="319"/>
      <c r="CE1251" s="319"/>
      <c r="CF1251" s="319"/>
    </row>
    <row r="1252" spans="1:84" ht="13.5" hidden="1" customHeight="1">
      <c r="A1252" s="319">
        <f t="shared" si="191"/>
        <v>1</v>
      </c>
      <c r="B1252" s="319" t="str">
        <f>Language!C1244</f>
        <v>Combustível deriv. recusa(RDF)-pelotas</v>
      </c>
      <c r="C1252" s="319" t="str">
        <f t="shared" si="189"/>
        <v>t</v>
      </c>
      <c r="D1252" s="319" t="str">
        <f t="shared" si="190"/>
        <v>€/t</v>
      </c>
      <c r="E1252" s="494">
        <f t="shared" si="188"/>
        <v>20.210469613999997</v>
      </c>
      <c r="F1252" s="494">
        <v>1000</v>
      </c>
      <c r="G1252" s="494">
        <f t="shared" si="192"/>
        <v>0</v>
      </c>
      <c r="H1252" s="494">
        <f t="shared" si="193"/>
        <v>0</v>
      </c>
      <c r="I1252" s="319" t="str">
        <f t="shared" si="178"/>
        <v>Combustível deriv. recusa(RDF)-pelotas</v>
      </c>
      <c r="J1252" s="319"/>
      <c r="K1252" s="319"/>
      <c r="L1252" s="319"/>
      <c r="M1252" s="319"/>
      <c r="N1252" s="319"/>
      <c r="O1252" s="319"/>
      <c r="P1252" s="494">
        <v>21.676917613999997</v>
      </c>
      <c r="Q1252" s="494">
        <v>20.210469613999997</v>
      </c>
      <c r="R1252" s="319" t="s">
        <v>7148</v>
      </c>
      <c r="S1252" s="319"/>
      <c r="T1252" s="319"/>
      <c r="U1252" s="319"/>
      <c r="V1252" s="319"/>
      <c r="W1252" s="319"/>
      <c r="X1252" s="319"/>
      <c r="Y1252" s="319"/>
      <c r="Z1252" s="319"/>
      <c r="AA1252" s="319"/>
      <c r="AB1252" s="319"/>
      <c r="AC1252" s="319"/>
      <c r="AD1252" s="319"/>
      <c r="AE1252" s="319"/>
      <c r="AF1252" s="319"/>
      <c r="AG1252" s="319"/>
      <c r="AH1252" s="319"/>
      <c r="AI1252" s="319"/>
      <c r="AJ1252" s="319"/>
      <c r="AK1252" s="319"/>
      <c r="AL1252" s="319"/>
      <c r="AM1252" s="319"/>
      <c r="AN1252" s="319"/>
      <c r="AO1252" s="587"/>
      <c r="AP1252" s="319"/>
      <c r="AQ1252" s="319"/>
      <c r="AR1252" s="319"/>
      <c r="AS1252" s="319"/>
      <c r="AT1252" s="319"/>
      <c r="AU1252" s="319"/>
      <c r="AV1252" s="319"/>
      <c r="AW1252" s="319"/>
      <c r="AX1252" s="319"/>
      <c r="AY1252" s="319"/>
      <c r="AZ1252" s="319"/>
      <c r="BA1252" s="319"/>
      <c r="BB1252" s="319"/>
      <c r="BC1252" s="319"/>
      <c r="BD1252" s="319"/>
      <c r="BE1252" s="319"/>
      <c r="BF1252" s="319"/>
      <c r="BG1252" s="319"/>
      <c r="BH1252" s="319"/>
      <c r="BI1252" s="319"/>
      <c r="BJ1252" s="319"/>
      <c r="BK1252" s="319"/>
      <c r="BL1252" s="319"/>
      <c r="BM1252" s="319"/>
      <c r="BN1252" s="319"/>
      <c r="BO1252" s="319"/>
      <c r="BP1252" s="319"/>
      <c r="BQ1252" s="319"/>
      <c r="BR1252" s="319"/>
      <c r="BS1252" s="319"/>
      <c r="BT1252" s="319"/>
      <c r="BU1252" s="319"/>
      <c r="BV1252" s="319"/>
      <c r="BW1252" s="319"/>
      <c r="BX1252" s="319"/>
      <c r="BY1252" s="319"/>
      <c r="BZ1252" s="319"/>
      <c r="CA1252" s="319"/>
      <c r="CB1252" s="319"/>
      <c r="CC1252" s="319"/>
      <c r="CD1252" s="319"/>
      <c r="CE1252" s="319"/>
      <c r="CF1252" s="319"/>
    </row>
    <row r="1253" spans="1:84" ht="13.5" hidden="1" customHeight="1">
      <c r="A1253" s="319">
        <f t="shared" si="191"/>
        <v>1</v>
      </c>
      <c r="B1253" s="319" t="str">
        <f>Language!C1245</f>
        <v>Arroz - casca</v>
      </c>
      <c r="C1253" s="319" t="str">
        <f t="shared" si="189"/>
        <v>t</v>
      </c>
      <c r="D1253" s="319" t="str">
        <f t="shared" si="190"/>
        <v>€/t</v>
      </c>
      <c r="E1253" s="494">
        <f t="shared" si="188"/>
        <v>10.63931052</v>
      </c>
      <c r="F1253" s="494">
        <v>1000</v>
      </c>
      <c r="G1253" s="494">
        <f t="shared" si="192"/>
        <v>0</v>
      </c>
      <c r="H1253" s="494">
        <f t="shared" si="193"/>
        <v>0</v>
      </c>
      <c r="I1253" s="319" t="str">
        <f t="shared" si="178"/>
        <v>Arroz - casca</v>
      </c>
      <c r="J1253" s="319"/>
      <c r="K1253" s="319"/>
      <c r="L1253" s="319"/>
      <c r="M1253" s="319"/>
      <c r="N1253" s="319"/>
      <c r="O1253" s="319"/>
      <c r="P1253" s="494">
        <v>11.559950520000001</v>
      </c>
      <c r="Q1253" s="494">
        <v>10.63931052</v>
      </c>
      <c r="R1253" s="319" t="s">
        <v>7147</v>
      </c>
      <c r="S1253" s="319"/>
      <c r="T1253" s="319"/>
      <c r="U1253" s="319"/>
      <c r="V1253" s="319"/>
      <c r="W1253" s="319"/>
      <c r="X1253" s="319"/>
      <c r="Y1253" s="319"/>
      <c r="Z1253" s="319"/>
      <c r="AA1253" s="319"/>
      <c r="AB1253" s="319"/>
      <c r="AC1253" s="319"/>
      <c r="AD1253" s="319"/>
      <c r="AE1253" s="319"/>
      <c r="AF1253" s="319"/>
      <c r="AG1253" s="319"/>
      <c r="AH1253" s="319"/>
      <c r="AI1253" s="319"/>
      <c r="AJ1253" s="319"/>
      <c r="AK1253" s="319"/>
      <c r="AL1253" s="319"/>
      <c r="AM1253" s="319"/>
      <c r="AN1253" s="319"/>
      <c r="AO1253" s="587"/>
      <c r="AP1253" s="319"/>
      <c r="AQ1253" s="319"/>
      <c r="AR1253" s="319"/>
      <c r="AS1253" s="319"/>
      <c r="AT1253" s="319"/>
      <c r="AU1253" s="319"/>
      <c r="AV1253" s="319"/>
      <c r="AW1253" s="319"/>
      <c r="AX1253" s="319"/>
      <c r="AY1253" s="319"/>
      <c r="AZ1253" s="319"/>
      <c r="BA1253" s="319"/>
      <c r="BB1253" s="319"/>
      <c r="BC1253" s="319"/>
      <c r="BD1253" s="319"/>
      <c r="BE1253" s="319"/>
      <c r="BF1253" s="319"/>
      <c r="BG1253" s="319"/>
      <c r="BH1253" s="319"/>
      <c r="BI1253" s="319"/>
      <c r="BJ1253" s="319"/>
      <c r="BK1253" s="319"/>
      <c r="BL1253" s="319"/>
      <c r="BM1253" s="319"/>
      <c r="BN1253" s="319"/>
      <c r="BO1253" s="319"/>
      <c r="BP1253" s="319"/>
      <c r="BQ1253" s="319"/>
      <c r="BR1253" s="319"/>
      <c r="BS1253" s="319"/>
      <c r="BT1253" s="319"/>
      <c r="BU1253" s="319"/>
      <c r="BV1253" s="319"/>
      <c r="BW1253" s="319"/>
      <c r="BX1253" s="319"/>
      <c r="BY1253" s="319"/>
      <c r="BZ1253" s="319"/>
      <c r="CA1253" s="319"/>
      <c r="CB1253" s="319"/>
      <c r="CC1253" s="319"/>
      <c r="CD1253" s="319"/>
      <c r="CE1253" s="319"/>
      <c r="CF1253" s="319"/>
    </row>
    <row r="1254" spans="1:84" ht="13.5" hidden="1" customHeight="1">
      <c r="A1254" s="319">
        <f t="shared" si="191"/>
        <v>1</v>
      </c>
      <c r="B1254" s="319" t="str">
        <f>Language!C1246</f>
        <v>Arroz - palha</v>
      </c>
      <c r="C1254" s="319" t="str">
        <f t="shared" si="189"/>
        <v>t</v>
      </c>
      <c r="D1254" s="319" t="str">
        <f t="shared" si="190"/>
        <v>€/t</v>
      </c>
      <c r="E1254" s="494">
        <f t="shared" si="188"/>
        <v>10.853012400000003</v>
      </c>
      <c r="F1254" s="494">
        <v>1000</v>
      </c>
      <c r="G1254" s="494">
        <f t="shared" si="192"/>
        <v>0</v>
      </c>
      <c r="H1254" s="494">
        <f t="shared" si="193"/>
        <v>0</v>
      </c>
      <c r="I1254" s="319" t="str">
        <f t="shared" si="178"/>
        <v>Arroz - palha</v>
      </c>
      <c r="J1254" s="319"/>
      <c r="K1254" s="319"/>
      <c r="L1254" s="319"/>
      <c r="M1254" s="319"/>
      <c r="N1254" s="319"/>
      <c r="O1254" s="319"/>
      <c r="P1254" s="494">
        <v>11.729812400000002</v>
      </c>
      <c r="Q1254" s="494">
        <v>10.853012400000003</v>
      </c>
      <c r="R1254" s="319" t="s">
        <v>7149</v>
      </c>
      <c r="S1254" s="319"/>
      <c r="T1254" s="319"/>
      <c r="U1254" s="319"/>
      <c r="V1254" s="319"/>
      <c r="W1254" s="319"/>
      <c r="X1254" s="319"/>
      <c r="Y1254" s="319"/>
      <c r="Z1254" s="319"/>
      <c r="AA1254" s="319"/>
      <c r="AB1254" s="319"/>
      <c r="AC1254" s="319"/>
      <c r="AD1254" s="319"/>
      <c r="AE1254" s="319"/>
      <c r="AF1254" s="319"/>
      <c r="AG1254" s="319"/>
      <c r="AH1254" s="319"/>
      <c r="AI1254" s="319"/>
      <c r="AJ1254" s="319"/>
      <c r="AK1254" s="319"/>
      <c r="AL1254" s="319"/>
      <c r="AM1254" s="319"/>
      <c r="AN1254" s="319"/>
      <c r="AO1254" s="587"/>
      <c r="AP1254" s="319"/>
      <c r="AQ1254" s="319"/>
      <c r="AR1254" s="319"/>
      <c r="AS1254" s="319"/>
      <c r="AT1254" s="319"/>
      <c r="AU1254" s="319"/>
      <c r="AV1254" s="319"/>
      <c r="AW1254" s="319"/>
      <c r="AX1254" s="319"/>
      <c r="AY1254" s="319"/>
      <c r="AZ1254" s="319"/>
      <c r="BA1254" s="319"/>
      <c r="BB1254" s="319"/>
      <c r="BC1254" s="319"/>
      <c r="BD1254" s="319"/>
      <c r="BE1254" s="319"/>
      <c r="BF1254" s="319"/>
      <c r="BG1254" s="319"/>
      <c r="BH1254" s="319"/>
      <c r="BI1254" s="319"/>
      <c r="BJ1254" s="319"/>
      <c r="BK1254" s="319"/>
      <c r="BL1254" s="319"/>
      <c r="BM1254" s="319"/>
      <c r="BN1254" s="319"/>
      <c r="BO1254" s="319"/>
      <c r="BP1254" s="319"/>
      <c r="BQ1254" s="319"/>
      <c r="BR1254" s="319"/>
      <c r="BS1254" s="319"/>
      <c r="BT1254" s="319"/>
      <c r="BU1254" s="319"/>
      <c r="BV1254" s="319"/>
      <c r="BW1254" s="319"/>
      <c r="BX1254" s="319"/>
      <c r="BY1254" s="319"/>
      <c r="BZ1254" s="319"/>
      <c r="CA1254" s="319"/>
      <c r="CB1254" s="319"/>
      <c r="CC1254" s="319"/>
      <c r="CD1254" s="319"/>
      <c r="CE1254" s="319"/>
      <c r="CF1254" s="319"/>
    </row>
    <row r="1255" spans="1:84" ht="13.5" hidden="1" customHeight="1">
      <c r="A1255" s="319">
        <f t="shared" si="191"/>
        <v>1</v>
      </c>
      <c r="B1255" s="319" t="str">
        <f>Language!C1247</f>
        <v>Centeio - palha</v>
      </c>
      <c r="C1255" s="319" t="str">
        <f t="shared" si="189"/>
        <v>t</v>
      </c>
      <c r="D1255" s="319" t="str">
        <f t="shared" si="190"/>
        <v>€/t</v>
      </c>
      <c r="E1255" s="494">
        <f t="shared" si="188"/>
        <v>17.189121420000006</v>
      </c>
      <c r="F1255" s="494">
        <v>1000</v>
      </c>
      <c r="G1255" s="494">
        <f t="shared" si="192"/>
        <v>0</v>
      </c>
      <c r="H1255" s="494">
        <f t="shared" si="193"/>
        <v>0</v>
      </c>
      <c r="I1255" s="319" t="str">
        <f t="shared" si="178"/>
        <v>Centeio - palha</v>
      </c>
      <c r="J1255" s="319"/>
      <c r="K1255" s="319"/>
      <c r="L1255" s="319"/>
      <c r="M1255" s="319"/>
      <c r="N1255" s="319"/>
      <c r="O1255" s="319"/>
      <c r="P1255" s="494">
        <v>18.438561420000006</v>
      </c>
      <c r="Q1255" s="494">
        <v>17.189121420000006</v>
      </c>
      <c r="R1255" s="319" t="s">
        <v>7142</v>
      </c>
      <c r="S1255" s="319"/>
      <c r="T1255" s="319"/>
      <c r="U1255" s="319"/>
      <c r="V1255" s="319"/>
      <c r="W1255" s="319"/>
      <c r="X1255" s="319"/>
      <c r="Y1255" s="319"/>
      <c r="Z1255" s="319"/>
      <c r="AA1255" s="319"/>
      <c r="AB1255" s="319"/>
      <c r="AC1255" s="319"/>
      <c r="AD1255" s="319"/>
      <c r="AE1255" s="319"/>
      <c r="AF1255" s="319"/>
      <c r="AG1255" s="319"/>
      <c r="AH1255" s="319"/>
      <c r="AI1255" s="319"/>
      <c r="AJ1255" s="319"/>
      <c r="AK1255" s="319"/>
      <c r="AL1255" s="319"/>
      <c r="AM1255" s="319"/>
      <c r="AN1255" s="319"/>
      <c r="AO1255" s="587"/>
      <c r="AP1255" s="319"/>
      <c r="AQ1255" s="319"/>
      <c r="AR1255" s="319"/>
      <c r="AS1255" s="319"/>
      <c r="AT1255" s="319"/>
      <c r="AU1255" s="319"/>
      <c r="AV1255" s="319"/>
      <c r="AW1255" s="319"/>
      <c r="AX1255" s="319"/>
      <c r="AY1255" s="319"/>
      <c r="AZ1255" s="319"/>
      <c r="BA1255" s="319"/>
      <c r="BB1255" s="319"/>
      <c r="BC1255" s="319"/>
      <c r="BD1255" s="319"/>
      <c r="BE1255" s="319"/>
      <c r="BF1255" s="319"/>
      <c r="BG1255" s="319"/>
      <c r="BH1255" s="319"/>
      <c r="BI1255" s="319"/>
      <c r="BJ1255" s="319"/>
      <c r="BK1255" s="319"/>
      <c r="BL1255" s="319"/>
      <c r="BM1255" s="319"/>
      <c r="BN1255" s="319"/>
      <c r="BO1255" s="319"/>
      <c r="BP1255" s="319"/>
      <c r="BQ1255" s="319"/>
      <c r="BR1255" s="319"/>
      <c r="BS1255" s="319"/>
      <c r="BT1255" s="319"/>
      <c r="BU1255" s="319"/>
      <c r="BV1255" s="319"/>
      <c r="BW1255" s="319"/>
      <c r="BX1255" s="319"/>
      <c r="BY1255" s="319"/>
      <c r="BZ1255" s="319"/>
      <c r="CA1255" s="319"/>
      <c r="CB1255" s="319"/>
      <c r="CC1255" s="319"/>
      <c r="CD1255" s="319"/>
      <c r="CE1255" s="319"/>
      <c r="CF1255" s="319"/>
    </row>
    <row r="1256" spans="1:84" ht="13.5" hidden="1" customHeight="1">
      <c r="A1256" s="319">
        <f t="shared" si="191"/>
        <v>1</v>
      </c>
      <c r="B1256" s="319" t="str">
        <f>Language!C1248</f>
        <v>Poeira - MDF</v>
      </c>
      <c r="C1256" s="319" t="str">
        <f t="shared" si="189"/>
        <v>t</v>
      </c>
      <c r="D1256" s="319" t="str">
        <f t="shared" si="190"/>
        <v>€/t</v>
      </c>
      <c r="E1256" s="494">
        <f t="shared" si="188"/>
        <v>19.814965779999998</v>
      </c>
      <c r="F1256" s="494">
        <v>1000</v>
      </c>
      <c r="G1256" s="494">
        <f t="shared" si="192"/>
        <v>0</v>
      </c>
      <c r="H1256" s="494">
        <f t="shared" si="193"/>
        <v>0</v>
      </c>
      <c r="I1256" s="319" t="str">
        <f t="shared" si="178"/>
        <v>Poeira - MDF</v>
      </c>
      <c r="J1256" s="319"/>
      <c r="K1256" s="319"/>
      <c r="L1256" s="319"/>
      <c r="M1256" s="319"/>
      <c r="N1256" s="319"/>
      <c r="O1256" s="319"/>
      <c r="P1256" s="494">
        <v>21.19592578</v>
      </c>
      <c r="Q1256" s="494">
        <v>19.814965779999998</v>
      </c>
      <c r="R1256" s="319" t="s">
        <v>7141</v>
      </c>
      <c r="S1256" s="319"/>
      <c r="T1256" s="319"/>
      <c r="U1256" s="319"/>
      <c r="V1256" s="319"/>
      <c r="W1256" s="319"/>
      <c r="X1256" s="319"/>
      <c r="Y1256" s="319"/>
      <c r="Z1256" s="319"/>
      <c r="AA1256" s="319"/>
      <c r="AB1256" s="319"/>
      <c r="AC1256" s="319"/>
      <c r="AD1256" s="319"/>
      <c r="AE1256" s="319"/>
      <c r="AF1256" s="319"/>
      <c r="AG1256" s="319"/>
      <c r="AH1256" s="319"/>
      <c r="AI1256" s="319"/>
      <c r="AJ1256" s="319"/>
      <c r="AK1256" s="319"/>
      <c r="AL1256" s="319"/>
      <c r="AM1256" s="319"/>
      <c r="AN1256" s="319"/>
      <c r="AO1256" s="587"/>
      <c r="AP1256" s="319"/>
      <c r="AQ1256" s="319"/>
      <c r="AR1256" s="319"/>
      <c r="AS1256" s="319"/>
      <c r="AT1256" s="319"/>
      <c r="AU1256" s="319"/>
      <c r="AV1256" s="319"/>
      <c r="AW1256" s="319"/>
      <c r="AX1256" s="319"/>
      <c r="AY1256" s="319"/>
      <c r="AZ1256" s="319"/>
      <c r="BA1256" s="319"/>
      <c r="BB1256" s="319"/>
      <c r="BC1256" s="319"/>
      <c r="BD1256" s="319"/>
      <c r="BE1256" s="319"/>
      <c r="BF1256" s="319"/>
      <c r="BG1256" s="319"/>
      <c r="BH1256" s="319"/>
      <c r="BI1256" s="319"/>
      <c r="BJ1256" s="319"/>
      <c r="BK1256" s="319"/>
      <c r="BL1256" s="319"/>
      <c r="BM1256" s="319"/>
      <c r="BN1256" s="319"/>
      <c r="BO1256" s="319"/>
      <c r="BP1256" s="319"/>
      <c r="BQ1256" s="319"/>
      <c r="BR1256" s="319"/>
      <c r="BS1256" s="319"/>
      <c r="BT1256" s="319"/>
      <c r="BU1256" s="319"/>
      <c r="BV1256" s="319"/>
      <c r="BW1256" s="319"/>
      <c r="BX1256" s="319"/>
      <c r="BY1256" s="319"/>
      <c r="BZ1256" s="319"/>
      <c r="CA1256" s="319"/>
      <c r="CB1256" s="319"/>
      <c r="CC1256" s="319"/>
      <c r="CD1256" s="319"/>
      <c r="CE1256" s="319"/>
      <c r="CF1256" s="319"/>
    </row>
    <row r="1257" spans="1:84" ht="13.5" hidden="1" customHeight="1">
      <c r="A1257" s="319">
        <f t="shared" si="191"/>
        <v>1</v>
      </c>
      <c r="B1257" s="319" t="str">
        <f>Language!C1249</f>
        <v>Serragem</v>
      </c>
      <c r="C1257" s="319" t="str">
        <f t="shared" si="189"/>
        <v>t</v>
      </c>
      <c r="D1257" s="319" t="str">
        <f t="shared" si="190"/>
        <v>€/t</v>
      </c>
      <c r="E1257" s="494">
        <f t="shared" si="188"/>
        <v>18.375393599999999</v>
      </c>
      <c r="F1257" s="494">
        <v>1000</v>
      </c>
      <c r="G1257" s="494">
        <f t="shared" si="192"/>
        <v>0</v>
      </c>
      <c r="H1257" s="494">
        <f t="shared" si="193"/>
        <v>0</v>
      </c>
      <c r="I1257" s="319" t="str">
        <f t="shared" si="178"/>
        <v>Serragem</v>
      </c>
      <c r="J1257" s="319"/>
      <c r="K1257" s="319"/>
      <c r="L1257" s="319"/>
      <c r="M1257" s="319"/>
      <c r="N1257" s="319"/>
      <c r="O1257" s="319"/>
      <c r="P1257" s="494">
        <v>19.6905936</v>
      </c>
      <c r="Q1257" s="494">
        <v>18.375393599999999</v>
      </c>
      <c r="R1257" s="319" t="s">
        <v>7140</v>
      </c>
      <c r="S1257" s="319"/>
      <c r="T1257" s="319"/>
      <c r="U1257" s="319"/>
      <c r="V1257" s="319"/>
      <c r="W1257" s="319"/>
      <c r="X1257" s="319"/>
      <c r="Y1257" s="319"/>
      <c r="Z1257" s="319"/>
      <c r="AA1257" s="319"/>
      <c r="AB1257" s="319"/>
      <c r="AC1257" s="319"/>
      <c r="AD1257" s="319"/>
      <c r="AE1257" s="319"/>
      <c r="AF1257" s="319"/>
      <c r="AG1257" s="319"/>
      <c r="AH1257" s="319"/>
      <c r="AI1257" s="319"/>
      <c r="AJ1257" s="319"/>
      <c r="AK1257" s="319"/>
      <c r="AL1257" s="319"/>
      <c r="AM1257" s="319"/>
      <c r="AN1257" s="319"/>
      <c r="AO1257" s="587"/>
      <c r="AP1257" s="319"/>
      <c r="AQ1257" s="319"/>
      <c r="AR1257" s="319"/>
      <c r="AS1257" s="319"/>
      <c r="AT1257" s="319"/>
      <c r="AU1257" s="319"/>
      <c r="AV1257" s="319"/>
      <c r="AW1257" s="319"/>
      <c r="AX1257" s="319"/>
      <c r="AY1257" s="319"/>
      <c r="AZ1257" s="319"/>
      <c r="BA1257" s="319"/>
      <c r="BB1257" s="319"/>
      <c r="BC1257" s="319"/>
      <c r="BD1257" s="319"/>
      <c r="BE1257" s="319"/>
      <c r="BF1257" s="319"/>
      <c r="BG1257" s="319"/>
      <c r="BH1257" s="319"/>
      <c r="BI1257" s="319"/>
      <c r="BJ1257" s="319"/>
      <c r="BK1257" s="319"/>
      <c r="BL1257" s="319"/>
      <c r="BM1257" s="319"/>
      <c r="BN1257" s="319"/>
      <c r="BO1257" s="319"/>
      <c r="BP1257" s="319"/>
      <c r="BQ1257" s="319"/>
      <c r="BR1257" s="319"/>
      <c r="BS1257" s="319"/>
      <c r="BT1257" s="319"/>
      <c r="BU1257" s="319"/>
      <c r="BV1257" s="319"/>
      <c r="BW1257" s="319"/>
      <c r="BX1257" s="319"/>
      <c r="BY1257" s="319"/>
      <c r="BZ1257" s="319"/>
      <c r="CA1257" s="319"/>
      <c r="CB1257" s="319"/>
      <c r="CC1257" s="319"/>
      <c r="CD1257" s="319"/>
      <c r="CE1257" s="319"/>
      <c r="CF1257" s="319"/>
    </row>
    <row r="1258" spans="1:84" ht="13.5" hidden="1" customHeight="1">
      <c r="A1258" s="319">
        <f t="shared" si="191"/>
        <v>1</v>
      </c>
      <c r="B1258" s="319" t="str">
        <f>Language!C1250</f>
        <v>Sequoia</v>
      </c>
      <c r="C1258" s="319" t="str">
        <f t="shared" si="189"/>
        <v>t</v>
      </c>
      <c r="D1258" s="319" t="str">
        <f t="shared" si="190"/>
        <v>€/t</v>
      </c>
      <c r="E1258" s="494">
        <f t="shared" si="188"/>
        <v>20.252769540000003</v>
      </c>
      <c r="F1258" s="494">
        <v>1000</v>
      </c>
      <c r="G1258" s="494">
        <f t="shared" si="192"/>
        <v>0</v>
      </c>
      <c r="H1258" s="494">
        <f t="shared" si="193"/>
        <v>0</v>
      </c>
      <c r="I1258" s="319" t="str">
        <f t="shared" si="178"/>
        <v>Sequoia</v>
      </c>
      <c r="J1258" s="319"/>
      <c r="K1258" s="319"/>
      <c r="L1258" s="319"/>
      <c r="M1258" s="319"/>
      <c r="N1258" s="319"/>
      <c r="O1258" s="319"/>
      <c r="P1258" s="494">
        <v>21.546049540000002</v>
      </c>
      <c r="Q1258" s="494">
        <v>20.252769540000003</v>
      </c>
      <c r="R1258" s="319" t="s">
        <v>7143</v>
      </c>
      <c r="S1258" s="319"/>
      <c r="T1258" s="319"/>
      <c r="U1258" s="319"/>
      <c r="V1258" s="319"/>
      <c r="W1258" s="319"/>
      <c r="X1258" s="319"/>
      <c r="Y1258" s="319"/>
      <c r="Z1258" s="319"/>
      <c r="AA1258" s="319"/>
      <c r="AB1258" s="319"/>
      <c r="AC1258" s="319"/>
      <c r="AD1258" s="319"/>
      <c r="AE1258" s="319"/>
      <c r="AF1258" s="319"/>
      <c r="AG1258" s="319"/>
      <c r="AH1258" s="319"/>
      <c r="AI1258" s="319"/>
      <c r="AJ1258" s="319"/>
      <c r="AK1258" s="319"/>
      <c r="AL1258" s="319"/>
      <c r="AM1258" s="319"/>
      <c r="AN1258" s="319"/>
      <c r="AO1258" s="587"/>
      <c r="AP1258" s="319"/>
      <c r="AQ1258" s="319"/>
      <c r="AR1258" s="319"/>
      <c r="AS1258" s="319"/>
      <c r="AT1258" s="319"/>
      <c r="AU1258" s="319"/>
      <c r="AV1258" s="319"/>
      <c r="AW1258" s="319"/>
      <c r="AX1258" s="319"/>
      <c r="AY1258" s="319"/>
      <c r="AZ1258" s="319"/>
      <c r="BA1258" s="319"/>
      <c r="BB1258" s="319"/>
      <c r="BC1258" s="319"/>
      <c r="BD1258" s="319"/>
      <c r="BE1258" s="319"/>
      <c r="BF1258" s="319"/>
      <c r="BG1258" s="319"/>
      <c r="BH1258" s="319"/>
      <c r="BI1258" s="319"/>
      <c r="BJ1258" s="319"/>
      <c r="BK1258" s="319"/>
      <c r="BL1258" s="319"/>
      <c r="BM1258" s="319"/>
      <c r="BN1258" s="319"/>
      <c r="BO1258" s="319"/>
      <c r="BP1258" s="319"/>
      <c r="BQ1258" s="319"/>
      <c r="BR1258" s="319"/>
      <c r="BS1258" s="319"/>
      <c r="BT1258" s="319"/>
      <c r="BU1258" s="319"/>
      <c r="BV1258" s="319"/>
      <c r="BW1258" s="319"/>
      <c r="BX1258" s="319"/>
      <c r="BY1258" s="319"/>
      <c r="BZ1258" s="319"/>
      <c r="CA1258" s="319"/>
      <c r="CB1258" s="319"/>
      <c r="CC1258" s="319"/>
      <c r="CD1258" s="319"/>
      <c r="CE1258" s="319"/>
      <c r="CF1258" s="319"/>
    </row>
    <row r="1259" spans="1:84" ht="13.5" hidden="1" customHeight="1">
      <c r="A1259" s="319">
        <f t="shared" si="191"/>
        <v>1</v>
      </c>
      <c r="B1259" s="319" t="str">
        <f>Language!C1251</f>
        <v>Gás - esgoto</v>
      </c>
      <c r="C1259" s="319" t="str">
        <f t="shared" si="189"/>
        <v>t</v>
      </c>
      <c r="D1259" s="319" t="str">
        <f t="shared" si="190"/>
        <v>€/t</v>
      </c>
      <c r="E1259" s="494">
        <f t="shared" si="188"/>
        <v>24.462</v>
      </c>
      <c r="F1259" s="494">
        <v>1.0286</v>
      </c>
      <c r="G1259" s="494">
        <f t="shared" si="192"/>
        <v>0</v>
      </c>
      <c r="H1259" s="494">
        <f t="shared" si="193"/>
        <v>0</v>
      </c>
      <c r="I1259" s="319" t="str">
        <f t="shared" ref="I1259:I1287" si="194">B1259</f>
        <v>Gás - esgoto</v>
      </c>
      <c r="J1259" s="319"/>
      <c r="K1259" s="319"/>
      <c r="L1259" s="319"/>
      <c r="M1259" s="319"/>
      <c r="N1259" s="319"/>
      <c r="O1259" s="319"/>
      <c r="P1259" s="494">
        <v>25.791</v>
      </c>
      <c r="Q1259" s="494">
        <v>24.462</v>
      </c>
      <c r="R1259" s="319" t="s">
        <v>7106</v>
      </c>
      <c r="S1259" s="319"/>
      <c r="T1259" s="319"/>
      <c r="U1259" s="319"/>
      <c r="V1259" s="319"/>
      <c r="W1259" s="319"/>
      <c r="X1259" s="319"/>
      <c r="Y1259" s="319"/>
      <c r="Z1259" s="319"/>
      <c r="AA1259" s="319"/>
      <c r="AB1259" s="319"/>
      <c r="AC1259" s="319"/>
      <c r="AD1259" s="319"/>
      <c r="AE1259" s="319"/>
      <c r="AF1259" s="319"/>
      <c r="AG1259" s="319"/>
      <c r="AH1259" s="319"/>
      <c r="AI1259" s="319"/>
      <c r="AJ1259" s="319"/>
      <c r="AK1259" s="319"/>
      <c r="AL1259" s="319"/>
      <c r="AM1259" s="319"/>
      <c r="AN1259" s="319"/>
      <c r="AO1259" s="587"/>
      <c r="AP1259" s="319"/>
      <c r="AQ1259" s="319"/>
      <c r="AR1259" s="319"/>
      <c r="AS1259" s="319"/>
      <c r="AT1259" s="319"/>
      <c r="AU1259" s="319"/>
      <c r="AV1259" s="319"/>
      <c r="AW1259" s="319"/>
      <c r="AX1259" s="319"/>
      <c r="AY1259" s="319"/>
      <c r="AZ1259" s="319"/>
      <c r="BA1259" s="319"/>
      <c r="BB1259" s="319"/>
      <c r="BC1259" s="319"/>
      <c r="BD1259" s="319"/>
      <c r="BE1259" s="319"/>
      <c r="BF1259" s="319"/>
      <c r="BG1259" s="319"/>
      <c r="BH1259" s="319"/>
      <c r="BI1259" s="319"/>
      <c r="BJ1259" s="319"/>
      <c r="BK1259" s="319"/>
      <c r="BL1259" s="319"/>
      <c r="BM1259" s="319"/>
      <c r="BN1259" s="319"/>
      <c r="BO1259" s="319"/>
      <c r="BP1259" s="319"/>
      <c r="BQ1259" s="319"/>
      <c r="BR1259" s="319"/>
      <c r="BS1259" s="319"/>
      <c r="BT1259" s="319"/>
      <c r="BU1259" s="319"/>
      <c r="BV1259" s="319"/>
      <c r="BW1259" s="319"/>
      <c r="BX1259" s="319"/>
      <c r="BY1259" s="319"/>
      <c r="BZ1259" s="319"/>
      <c r="CA1259" s="319"/>
      <c r="CB1259" s="319"/>
      <c r="CC1259" s="319"/>
      <c r="CD1259" s="319"/>
      <c r="CE1259" s="319"/>
      <c r="CF1259" s="319"/>
    </row>
    <row r="1260" spans="1:84" ht="13.5" hidden="1" customHeight="1">
      <c r="A1260" s="319">
        <f t="shared" si="191"/>
        <v>1</v>
      </c>
      <c r="B1260" s="319" t="str">
        <f>Language!C1252</f>
        <v>Lodo - esgoto</v>
      </c>
      <c r="C1260" s="319" t="str">
        <f t="shared" si="189"/>
        <v>t</v>
      </c>
      <c r="D1260" s="319" t="str">
        <f t="shared" si="190"/>
        <v>€/t</v>
      </c>
      <c r="E1260" s="494">
        <f t="shared" si="188"/>
        <v>21.439376908000003</v>
      </c>
      <c r="F1260" s="494">
        <v>1000</v>
      </c>
      <c r="G1260" s="494">
        <f t="shared" si="192"/>
        <v>0</v>
      </c>
      <c r="H1260" s="494">
        <f t="shared" si="193"/>
        <v>0</v>
      </c>
      <c r="I1260" s="319" t="str">
        <f t="shared" si="194"/>
        <v>Lodo - esgoto</v>
      </c>
      <c r="J1260" s="319"/>
      <c r="K1260" s="319"/>
      <c r="L1260" s="319"/>
      <c r="M1260" s="319"/>
      <c r="N1260" s="319"/>
      <c r="O1260" s="319"/>
      <c r="P1260" s="494">
        <v>22.794032908000002</v>
      </c>
      <c r="Q1260" s="494">
        <v>21.439376908000003</v>
      </c>
      <c r="R1260" s="605" t="s">
        <v>7088</v>
      </c>
      <c r="S1260" s="319"/>
      <c r="T1260" s="319"/>
      <c r="U1260" s="319"/>
      <c r="V1260" s="319"/>
      <c r="W1260" s="319"/>
      <c r="X1260" s="319"/>
      <c r="Y1260" s="319"/>
      <c r="Z1260" s="319"/>
      <c r="AA1260" s="319"/>
      <c r="AB1260" s="319"/>
      <c r="AC1260" s="319"/>
      <c r="AD1260" s="319"/>
      <c r="AE1260" s="319"/>
      <c r="AF1260" s="319"/>
      <c r="AG1260" s="319"/>
      <c r="AH1260" s="319"/>
      <c r="AI1260" s="319"/>
      <c r="AJ1260" s="319"/>
      <c r="AK1260" s="319"/>
      <c r="AL1260" s="319"/>
      <c r="AM1260" s="319"/>
      <c r="AN1260" s="319"/>
      <c r="AO1260" s="587"/>
      <c r="AP1260" s="319"/>
      <c r="AQ1260" s="319"/>
      <c r="AR1260" s="319"/>
      <c r="AS1260" s="319"/>
      <c r="AT1260" s="319"/>
      <c r="AU1260" s="319"/>
      <c r="AV1260" s="319"/>
      <c r="AW1260" s="319"/>
      <c r="AX1260" s="319"/>
      <c r="AY1260" s="319"/>
      <c r="AZ1260" s="319"/>
      <c r="BA1260" s="319"/>
      <c r="BB1260" s="319"/>
      <c r="BC1260" s="319"/>
      <c r="BD1260" s="319"/>
      <c r="BE1260" s="319"/>
      <c r="BF1260" s="319"/>
      <c r="BG1260" s="319"/>
      <c r="BH1260" s="319"/>
      <c r="BI1260" s="319"/>
      <c r="BJ1260" s="319"/>
      <c r="BK1260" s="319"/>
      <c r="BL1260" s="319"/>
      <c r="BM1260" s="319"/>
      <c r="BN1260" s="319"/>
      <c r="BO1260" s="319"/>
      <c r="BP1260" s="319"/>
      <c r="BQ1260" s="319"/>
      <c r="BR1260" s="319"/>
      <c r="BS1260" s="319"/>
      <c r="BT1260" s="319"/>
      <c r="BU1260" s="319"/>
      <c r="BV1260" s="319"/>
      <c r="BW1260" s="319"/>
      <c r="BX1260" s="319"/>
      <c r="BY1260" s="319"/>
      <c r="BZ1260" s="319"/>
      <c r="CA1260" s="319"/>
      <c r="CB1260" s="319"/>
      <c r="CC1260" s="319"/>
      <c r="CD1260" s="319"/>
      <c r="CE1260" s="319"/>
      <c r="CF1260" s="319"/>
    </row>
    <row r="1261" spans="1:84" ht="13.5" hidden="1" customHeight="1">
      <c r="A1261" s="319">
        <f t="shared" si="191"/>
        <v>1</v>
      </c>
      <c r="B1261" s="319" t="str">
        <f>Language!C1253</f>
        <v>Lodo (descolorante)</v>
      </c>
      <c r="C1261" s="319" t="str">
        <f t="shared" si="189"/>
        <v>t</v>
      </c>
      <c r="D1261" s="319" t="str">
        <f t="shared" si="190"/>
        <v>€/t</v>
      </c>
      <c r="E1261" s="494">
        <f t="shared" si="188"/>
        <v>9.8137935660000029</v>
      </c>
      <c r="F1261" s="494">
        <v>1000</v>
      </c>
      <c r="G1261" s="494">
        <f t="shared" si="192"/>
        <v>0</v>
      </c>
      <c r="H1261" s="494">
        <f t="shared" si="193"/>
        <v>0</v>
      </c>
      <c r="I1261" s="319" t="str">
        <f t="shared" si="194"/>
        <v>Lodo (descolorante)</v>
      </c>
      <c r="J1261" s="319"/>
      <c r="K1261" s="319"/>
      <c r="L1261" s="319"/>
      <c r="M1261" s="319"/>
      <c r="N1261" s="319"/>
      <c r="O1261" s="319"/>
      <c r="P1261" s="494">
        <v>10.605105566000002</v>
      </c>
      <c r="Q1261" s="494">
        <v>9.8137935660000029</v>
      </c>
      <c r="R1261" s="319" t="s">
        <v>7087</v>
      </c>
      <c r="S1261" s="319"/>
      <c r="T1261" s="319"/>
      <c r="U1261" s="319"/>
      <c r="V1261" s="319"/>
      <c r="W1261" s="319"/>
      <c r="X1261" s="319"/>
      <c r="Y1261" s="319"/>
      <c r="Z1261" s="319"/>
      <c r="AA1261" s="319"/>
      <c r="AB1261" s="319"/>
      <c r="AC1261" s="319"/>
      <c r="AD1261" s="319"/>
      <c r="AE1261" s="319"/>
      <c r="AF1261" s="319"/>
      <c r="AG1261" s="319"/>
      <c r="AH1261" s="319"/>
      <c r="AI1261" s="319"/>
      <c r="AJ1261" s="319"/>
      <c r="AK1261" s="319"/>
      <c r="AL1261" s="319"/>
      <c r="AM1261" s="319"/>
      <c r="AN1261" s="319"/>
      <c r="AO1261" s="587"/>
      <c r="AP1261" s="319"/>
      <c r="AQ1261" s="319"/>
      <c r="AR1261" s="319"/>
      <c r="AS1261" s="319"/>
      <c r="AT1261" s="319"/>
      <c r="AU1261" s="319"/>
      <c r="AV1261" s="319"/>
      <c r="AW1261" s="319"/>
      <c r="AX1261" s="319"/>
      <c r="AY1261" s="319"/>
      <c r="AZ1261" s="319"/>
      <c r="BA1261" s="319"/>
      <c r="BB1261" s="319"/>
      <c r="BC1261" s="319"/>
      <c r="BD1261" s="319"/>
      <c r="BE1261" s="319"/>
      <c r="BF1261" s="319"/>
      <c r="BG1261" s="319"/>
      <c r="BH1261" s="319"/>
      <c r="BI1261" s="319"/>
      <c r="BJ1261" s="319"/>
      <c r="BK1261" s="319"/>
      <c r="BL1261" s="319"/>
      <c r="BM1261" s="319"/>
      <c r="BN1261" s="319"/>
      <c r="BO1261" s="319"/>
      <c r="BP1261" s="319"/>
      <c r="BQ1261" s="319"/>
      <c r="BR1261" s="319"/>
      <c r="BS1261" s="319"/>
      <c r="BT1261" s="319"/>
      <c r="BU1261" s="319"/>
      <c r="BV1261" s="319"/>
      <c r="BW1261" s="319"/>
      <c r="BX1261" s="319"/>
      <c r="BY1261" s="319"/>
      <c r="BZ1261" s="319"/>
      <c r="CA1261" s="319"/>
      <c r="CB1261" s="319"/>
      <c r="CC1261" s="319"/>
      <c r="CD1261" s="319"/>
      <c r="CE1261" s="319"/>
      <c r="CF1261" s="319"/>
    </row>
    <row r="1262" spans="1:84" ht="13.5" hidden="1" customHeight="1">
      <c r="A1262" s="319">
        <f t="shared" si="191"/>
        <v>1</v>
      </c>
      <c r="B1262" s="319" t="str">
        <f>Language!C1254</f>
        <v>Lodo - usina de papel</v>
      </c>
      <c r="C1262" s="319" t="str">
        <f t="shared" si="189"/>
        <v>t</v>
      </c>
      <c r="D1262" s="319" t="str">
        <f t="shared" si="190"/>
        <v>€/t</v>
      </c>
      <c r="E1262" s="494">
        <f t="shared" si="188"/>
        <v>16.997289840000001</v>
      </c>
      <c r="F1262" s="494">
        <v>1000</v>
      </c>
      <c r="G1262" s="494">
        <f t="shared" si="192"/>
        <v>0</v>
      </c>
      <c r="H1262" s="494">
        <f t="shared" si="193"/>
        <v>0</v>
      </c>
      <c r="I1262" s="319" t="str">
        <f t="shared" si="194"/>
        <v>Lodo - usina de papel</v>
      </c>
      <c r="J1262" s="319"/>
      <c r="K1262" s="319"/>
      <c r="L1262" s="319"/>
      <c r="M1262" s="319"/>
      <c r="N1262" s="319"/>
      <c r="O1262" s="319"/>
      <c r="P1262" s="494">
        <v>18.40016984</v>
      </c>
      <c r="Q1262" s="494">
        <v>16.997289840000001</v>
      </c>
      <c r="R1262" s="319" t="s">
        <v>7099</v>
      </c>
      <c r="S1262" s="319"/>
      <c r="T1262" s="319"/>
      <c r="U1262" s="319"/>
      <c r="V1262" s="319"/>
      <c r="W1262" s="319"/>
      <c r="X1262" s="319"/>
      <c r="Y1262" s="319"/>
      <c r="Z1262" s="319"/>
      <c r="AA1262" s="319"/>
      <c r="AB1262" s="319"/>
      <c r="AC1262" s="319"/>
      <c r="AD1262" s="319"/>
      <c r="AE1262" s="319"/>
      <c r="AF1262" s="319"/>
      <c r="AG1262" s="319"/>
      <c r="AH1262" s="319"/>
      <c r="AI1262" s="319"/>
      <c r="AJ1262" s="319"/>
      <c r="AK1262" s="319"/>
      <c r="AL1262" s="319"/>
      <c r="AM1262" s="319"/>
      <c r="AN1262" s="319"/>
      <c r="AO1262" s="587"/>
      <c r="AP1262" s="319"/>
      <c r="AQ1262" s="319"/>
      <c r="AR1262" s="319"/>
      <c r="AS1262" s="319"/>
      <c r="AT1262" s="319"/>
      <c r="AU1262" s="319"/>
      <c r="AV1262" s="319"/>
      <c r="AW1262" s="319"/>
      <c r="AX1262" s="319"/>
      <c r="AY1262" s="319"/>
      <c r="AZ1262" s="319"/>
      <c r="BA1262" s="319"/>
      <c r="BB1262" s="319"/>
      <c r="BC1262" s="319"/>
      <c r="BD1262" s="319"/>
      <c r="BE1262" s="319"/>
      <c r="BF1262" s="319"/>
      <c r="BG1262" s="319"/>
      <c r="BH1262" s="319"/>
      <c r="BI1262" s="319"/>
      <c r="BJ1262" s="319"/>
      <c r="BK1262" s="319"/>
      <c r="BL1262" s="319"/>
      <c r="BM1262" s="319"/>
      <c r="BN1262" s="319"/>
      <c r="BO1262" s="319"/>
      <c r="BP1262" s="319"/>
      <c r="BQ1262" s="319"/>
      <c r="BR1262" s="319"/>
      <c r="BS1262" s="319"/>
      <c r="BT1262" s="319"/>
      <c r="BU1262" s="319"/>
      <c r="BV1262" s="319"/>
      <c r="BW1262" s="319"/>
      <c r="BX1262" s="319"/>
      <c r="BY1262" s="319"/>
      <c r="BZ1262" s="319"/>
      <c r="CA1262" s="319"/>
      <c r="CB1262" s="319"/>
      <c r="CC1262" s="319"/>
      <c r="CD1262" s="319"/>
      <c r="CE1262" s="319"/>
      <c r="CF1262" s="319"/>
    </row>
    <row r="1263" spans="1:84" ht="13.5" hidden="1" customHeight="1">
      <c r="A1263" s="319">
        <f t="shared" si="191"/>
        <v>1</v>
      </c>
      <c r="B1263" s="319" t="str">
        <f>Language!C1255</f>
        <v>Abeto - casca</v>
      </c>
      <c r="C1263" s="319" t="str">
        <f t="shared" si="189"/>
        <v>t</v>
      </c>
      <c r="D1263" s="319" t="str">
        <f t="shared" si="190"/>
        <v>€/t</v>
      </c>
      <c r="E1263" s="494">
        <f t="shared" si="188"/>
        <v>18.442303000000003</v>
      </c>
      <c r="F1263" s="494">
        <v>1000</v>
      </c>
      <c r="G1263" s="494">
        <f t="shared" si="192"/>
        <v>0</v>
      </c>
      <c r="H1263" s="494">
        <f t="shared" si="193"/>
        <v>0</v>
      </c>
      <c r="I1263" s="319" t="str">
        <f t="shared" si="194"/>
        <v>Abeto - casca</v>
      </c>
      <c r="J1263" s="319"/>
      <c r="K1263" s="319"/>
      <c r="L1263" s="319"/>
      <c r="M1263" s="319"/>
      <c r="N1263" s="319"/>
      <c r="O1263" s="319"/>
      <c r="P1263" s="494">
        <v>19.538303000000003</v>
      </c>
      <c r="Q1263" s="494">
        <v>18.442303000000003</v>
      </c>
      <c r="R1263" s="319" t="s">
        <v>7078</v>
      </c>
      <c r="S1263" s="319"/>
      <c r="T1263" s="319"/>
      <c r="U1263" s="319"/>
      <c r="V1263" s="319"/>
      <c r="W1263" s="319"/>
      <c r="X1263" s="319"/>
      <c r="Y1263" s="319"/>
      <c r="Z1263" s="319"/>
      <c r="AA1263" s="319"/>
      <c r="AB1263" s="319"/>
      <c r="AC1263" s="319"/>
      <c r="AD1263" s="319"/>
      <c r="AE1263" s="319"/>
      <c r="AF1263" s="319"/>
      <c r="AG1263" s="319"/>
      <c r="AH1263" s="319"/>
      <c r="AI1263" s="319"/>
      <c r="AJ1263" s="319"/>
      <c r="AK1263" s="319"/>
      <c r="AL1263" s="319"/>
      <c r="AM1263" s="319"/>
      <c r="AN1263" s="319"/>
      <c r="AO1263" s="587"/>
      <c r="AP1263" s="319"/>
      <c r="AQ1263" s="319"/>
      <c r="AR1263" s="319"/>
      <c r="AS1263" s="319"/>
      <c r="AT1263" s="319"/>
      <c r="AU1263" s="319"/>
      <c r="AV1263" s="319"/>
      <c r="AW1263" s="319"/>
      <c r="AX1263" s="319"/>
      <c r="AY1263" s="319"/>
      <c r="AZ1263" s="319"/>
      <c r="BA1263" s="319"/>
      <c r="BB1263" s="319"/>
      <c r="BC1263" s="319"/>
      <c r="BD1263" s="319"/>
      <c r="BE1263" s="319"/>
      <c r="BF1263" s="319"/>
      <c r="BG1263" s="319"/>
      <c r="BH1263" s="319"/>
      <c r="BI1263" s="319"/>
      <c r="BJ1263" s="319"/>
      <c r="BK1263" s="319"/>
      <c r="BL1263" s="319"/>
      <c r="BM1263" s="319"/>
      <c r="BN1263" s="319"/>
      <c r="BO1263" s="319"/>
      <c r="BP1263" s="319"/>
      <c r="BQ1263" s="319"/>
      <c r="BR1263" s="319"/>
      <c r="BS1263" s="319"/>
      <c r="BT1263" s="319"/>
      <c r="BU1263" s="319"/>
      <c r="BV1263" s="319"/>
      <c r="BW1263" s="319"/>
      <c r="BX1263" s="319"/>
      <c r="BY1263" s="319"/>
      <c r="BZ1263" s="319"/>
      <c r="CA1263" s="319"/>
      <c r="CB1263" s="319"/>
      <c r="CC1263" s="319"/>
      <c r="CD1263" s="319"/>
      <c r="CE1263" s="319"/>
      <c r="CF1263" s="319"/>
    </row>
    <row r="1264" spans="1:84" ht="13.5" hidden="1" customHeight="1">
      <c r="A1264" s="319">
        <f t="shared" si="191"/>
        <v>1</v>
      </c>
      <c r="B1264" s="319" t="str">
        <f>Language!C1256</f>
        <v>Resíduos da beterraba</v>
      </c>
      <c r="C1264" s="319" t="str">
        <f t="shared" si="189"/>
        <v>t</v>
      </c>
      <c r="D1264" s="319" t="str">
        <f t="shared" si="190"/>
        <v>€/t</v>
      </c>
      <c r="E1264" s="494">
        <f t="shared" ref="E1264:E1291" si="195">IF(EMHV=1,P1264,Q1264)</f>
        <v>15.839397360000005</v>
      </c>
      <c r="F1264" s="494">
        <v>1000</v>
      </c>
      <c r="G1264" s="494">
        <f t="shared" si="192"/>
        <v>0</v>
      </c>
      <c r="H1264" s="494">
        <f t="shared" si="193"/>
        <v>0</v>
      </c>
      <c r="I1264" s="319" t="str">
        <f t="shared" si="194"/>
        <v>Resíduos da beterraba</v>
      </c>
      <c r="J1264" s="319"/>
      <c r="K1264" s="319"/>
      <c r="L1264" s="319"/>
      <c r="M1264" s="319"/>
      <c r="N1264" s="319"/>
      <c r="O1264" s="319"/>
      <c r="P1264" s="494">
        <v>17.066917360000005</v>
      </c>
      <c r="Q1264" s="494">
        <v>15.839397360000005</v>
      </c>
      <c r="R1264" s="319" t="s">
        <v>7111</v>
      </c>
      <c r="S1264" s="319"/>
      <c r="T1264" s="319"/>
      <c r="U1264" s="319"/>
      <c r="V1264" s="319"/>
      <c r="W1264" s="319"/>
      <c r="X1264" s="319"/>
      <c r="Y1264" s="319"/>
      <c r="Z1264" s="319"/>
      <c r="AA1264" s="319"/>
      <c r="AB1264" s="319"/>
      <c r="AC1264" s="319"/>
      <c r="AD1264" s="319"/>
      <c r="AE1264" s="319"/>
      <c r="AF1264" s="319"/>
      <c r="AG1264" s="319"/>
      <c r="AH1264" s="319"/>
      <c r="AI1264" s="319"/>
      <c r="AJ1264" s="319"/>
      <c r="AK1264" s="319"/>
      <c r="AL1264" s="319"/>
      <c r="AM1264" s="319"/>
      <c r="AN1264" s="319"/>
      <c r="AO1264" s="587"/>
      <c r="AP1264" s="319"/>
      <c r="AQ1264" s="319"/>
      <c r="AR1264" s="319"/>
      <c r="AS1264" s="319"/>
      <c r="AT1264" s="319"/>
      <c r="AU1264" s="319"/>
      <c r="AV1264" s="319"/>
      <c r="AW1264" s="319"/>
      <c r="AX1264" s="319"/>
      <c r="AY1264" s="319"/>
      <c r="AZ1264" s="319"/>
      <c r="BA1264" s="319"/>
      <c r="BB1264" s="319"/>
      <c r="BC1264" s="319"/>
      <c r="BD1264" s="319"/>
      <c r="BE1264" s="319"/>
      <c r="BF1264" s="319"/>
      <c r="BG1264" s="319"/>
      <c r="BH1264" s="319"/>
      <c r="BI1264" s="319"/>
      <c r="BJ1264" s="319"/>
      <c r="BK1264" s="319"/>
      <c r="BL1264" s="319"/>
      <c r="BM1264" s="319"/>
      <c r="BN1264" s="319"/>
      <c r="BO1264" s="319"/>
      <c r="BP1264" s="319"/>
      <c r="BQ1264" s="319"/>
      <c r="BR1264" s="319"/>
      <c r="BS1264" s="319"/>
      <c r="BT1264" s="319"/>
      <c r="BU1264" s="319"/>
      <c r="BV1264" s="319"/>
      <c r="BW1264" s="319"/>
      <c r="BX1264" s="319"/>
      <c r="BY1264" s="319"/>
      <c r="BZ1264" s="319"/>
      <c r="CA1264" s="319"/>
      <c r="CB1264" s="319"/>
      <c r="CC1264" s="319"/>
      <c r="CD1264" s="319"/>
      <c r="CE1264" s="319"/>
      <c r="CF1264" s="319"/>
    </row>
    <row r="1265" spans="1:84" ht="13.5" hidden="1" customHeight="1">
      <c r="A1265" s="319">
        <f t="shared" si="191"/>
        <v>1</v>
      </c>
      <c r="B1265" s="319" t="str">
        <f>Language!C1257</f>
        <v>Girassol - palha</v>
      </c>
      <c r="C1265" s="319" t="str">
        <f t="shared" si="189"/>
        <v>t</v>
      </c>
      <c r="D1265" s="319" t="str">
        <f t="shared" si="190"/>
        <v>€/t</v>
      </c>
      <c r="E1265" s="494">
        <f t="shared" si="195"/>
        <v>13.9488827</v>
      </c>
      <c r="F1265" s="494">
        <v>1000</v>
      </c>
      <c r="G1265" s="494">
        <f t="shared" si="192"/>
        <v>0</v>
      </c>
      <c r="H1265" s="494">
        <f t="shared" si="193"/>
        <v>0</v>
      </c>
      <c r="I1265" s="319" t="str">
        <f t="shared" si="194"/>
        <v>Girassol - palha</v>
      </c>
      <c r="J1265" s="319"/>
      <c r="K1265" s="319"/>
      <c r="L1265" s="319"/>
      <c r="M1265" s="319"/>
      <c r="N1265" s="319"/>
      <c r="O1265" s="319"/>
      <c r="P1265" s="494">
        <v>14.9352827</v>
      </c>
      <c r="Q1265" s="494">
        <v>13.9488827</v>
      </c>
      <c r="R1265" s="319" t="s">
        <v>7112</v>
      </c>
      <c r="S1265" s="319"/>
      <c r="T1265" s="319"/>
      <c r="U1265" s="319"/>
      <c r="V1265" s="319"/>
      <c r="W1265" s="319"/>
      <c r="X1265" s="319"/>
      <c r="Y1265" s="319"/>
      <c r="Z1265" s="319"/>
      <c r="AA1265" s="319"/>
      <c r="AB1265" s="319"/>
      <c r="AC1265" s="319"/>
      <c r="AD1265" s="319"/>
      <c r="AE1265" s="319"/>
      <c r="AF1265" s="319"/>
      <c r="AG1265" s="319"/>
      <c r="AH1265" s="319"/>
      <c r="AI1265" s="319"/>
      <c r="AJ1265" s="319"/>
      <c r="AK1265" s="319"/>
      <c r="AL1265" s="319"/>
      <c r="AM1265" s="319"/>
      <c r="AN1265" s="319"/>
      <c r="AO1265" s="587"/>
      <c r="AP1265" s="319"/>
      <c r="AQ1265" s="319"/>
      <c r="AR1265" s="319"/>
      <c r="AS1265" s="319"/>
      <c r="AT1265" s="319"/>
      <c r="AU1265" s="319"/>
      <c r="AV1265" s="319"/>
      <c r="AW1265" s="319"/>
      <c r="AX1265" s="319"/>
      <c r="AY1265" s="319"/>
      <c r="AZ1265" s="319"/>
      <c r="BA1265" s="319"/>
      <c r="BB1265" s="319"/>
      <c r="BC1265" s="319"/>
      <c r="BD1265" s="319"/>
      <c r="BE1265" s="319"/>
      <c r="BF1265" s="319"/>
      <c r="BG1265" s="319"/>
      <c r="BH1265" s="319"/>
      <c r="BI1265" s="319"/>
      <c r="BJ1265" s="319"/>
      <c r="BK1265" s="319"/>
      <c r="BL1265" s="319"/>
      <c r="BM1265" s="319"/>
      <c r="BN1265" s="319"/>
      <c r="BO1265" s="319"/>
      <c r="BP1265" s="319"/>
      <c r="BQ1265" s="319"/>
      <c r="BR1265" s="319"/>
      <c r="BS1265" s="319"/>
      <c r="BT1265" s="319"/>
      <c r="BU1265" s="319"/>
      <c r="BV1265" s="319"/>
      <c r="BW1265" s="319"/>
      <c r="BX1265" s="319"/>
      <c r="BY1265" s="319"/>
      <c r="BZ1265" s="319"/>
      <c r="CA1265" s="319"/>
      <c r="CB1265" s="319"/>
      <c r="CC1265" s="319"/>
      <c r="CD1265" s="319"/>
      <c r="CE1265" s="319"/>
      <c r="CF1265" s="319"/>
    </row>
    <row r="1266" spans="1:84" ht="13.5" hidden="1" customHeight="1">
      <c r="A1266" s="319">
        <f t="shared" si="191"/>
        <v>1</v>
      </c>
      <c r="B1266" s="319" t="str">
        <f>Language!C1258</f>
        <v>Girassol - casca</v>
      </c>
      <c r="C1266" s="319" t="str">
        <f t="shared" si="189"/>
        <v>t</v>
      </c>
      <c r="D1266" s="319" t="str">
        <f t="shared" si="190"/>
        <v>€/t</v>
      </c>
      <c r="E1266" s="494">
        <f t="shared" si="195"/>
        <v>19.140867659999998</v>
      </c>
      <c r="F1266" s="494">
        <v>1000</v>
      </c>
      <c r="G1266" s="494">
        <f t="shared" si="192"/>
        <v>0</v>
      </c>
      <c r="H1266" s="494">
        <f t="shared" si="193"/>
        <v>0</v>
      </c>
      <c r="I1266" s="319" t="str">
        <f t="shared" si="194"/>
        <v>Girassol - casca</v>
      </c>
      <c r="J1266" s="319"/>
      <c r="K1266" s="319"/>
      <c r="L1266" s="319"/>
      <c r="M1266" s="319"/>
      <c r="N1266" s="319"/>
      <c r="O1266" s="319"/>
      <c r="P1266" s="494">
        <v>20.477987659999997</v>
      </c>
      <c r="Q1266" s="494">
        <v>19.140867659999998</v>
      </c>
      <c r="R1266" s="319" t="s">
        <v>7108</v>
      </c>
      <c r="S1266" s="319"/>
      <c r="T1266" s="319"/>
      <c r="U1266" s="319"/>
      <c r="V1266" s="319"/>
      <c r="W1266" s="319"/>
      <c r="X1266" s="319"/>
      <c r="Y1266" s="319"/>
      <c r="Z1266" s="319"/>
      <c r="AA1266" s="319"/>
      <c r="AB1266" s="319"/>
      <c r="AC1266" s="319"/>
      <c r="AD1266" s="319"/>
      <c r="AE1266" s="319"/>
      <c r="AF1266" s="319"/>
      <c r="AG1266" s="319"/>
      <c r="AH1266" s="319"/>
      <c r="AI1266" s="319"/>
      <c r="AJ1266" s="319"/>
      <c r="AK1266" s="319"/>
      <c r="AL1266" s="319"/>
      <c r="AM1266" s="319"/>
      <c r="AN1266" s="319"/>
      <c r="AO1266" s="587"/>
      <c r="AP1266" s="319"/>
      <c r="AQ1266" s="319"/>
      <c r="AR1266" s="319"/>
      <c r="AS1266" s="319"/>
      <c r="AT1266" s="319"/>
      <c r="AU1266" s="319"/>
      <c r="AV1266" s="319"/>
      <c r="AW1266" s="319"/>
      <c r="AX1266" s="319"/>
      <c r="AY1266" s="319"/>
      <c r="AZ1266" s="319"/>
      <c r="BA1266" s="319"/>
      <c r="BB1266" s="319"/>
      <c r="BC1266" s="319"/>
      <c r="BD1266" s="319"/>
      <c r="BE1266" s="319"/>
      <c r="BF1266" s="319"/>
      <c r="BG1266" s="319"/>
      <c r="BH1266" s="319"/>
      <c r="BI1266" s="319"/>
      <c r="BJ1266" s="319"/>
      <c r="BK1266" s="319"/>
      <c r="BL1266" s="319"/>
      <c r="BM1266" s="319"/>
      <c r="BN1266" s="319"/>
      <c r="BO1266" s="319"/>
      <c r="BP1266" s="319"/>
      <c r="BQ1266" s="319"/>
      <c r="BR1266" s="319"/>
      <c r="BS1266" s="319"/>
      <c r="BT1266" s="319"/>
      <c r="BU1266" s="319"/>
      <c r="BV1266" s="319"/>
      <c r="BW1266" s="319"/>
      <c r="BX1266" s="319"/>
      <c r="BY1266" s="319"/>
      <c r="BZ1266" s="319"/>
      <c r="CA1266" s="319"/>
      <c r="CB1266" s="319"/>
      <c r="CC1266" s="319"/>
      <c r="CD1266" s="319"/>
      <c r="CE1266" s="319"/>
      <c r="CF1266" s="319"/>
    </row>
    <row r="1267" spans="1:84" ht="13.5" hidden="1" customHeight="1">
      <c r="A1267" s="319">
        <f t="shared" si="191"/>
        <v>1</v>
      </c>
      <c r="B1267" s="319" t="str">
        <f>Language!C1259</f>
        <v>Grama</v>
      </c>
      <c r="C1267" s="319" t="str">
        <f t="shared" si="189"/>
        <v>t</v>
      </c>
      <c r="D1267" s="319" t="str">
        <f t="shared" si="190"/>
        <v>€/t</v>
      </c>
      <c r="E1267" s="494">
        <f t="shared" si="195"/>
        <v>16.352775179999998</v>
      </c>
      <c r="F1267" s="494">
        <v>1000</v>
      </c>
      <c r="G1267" s="494">
        <f t="shared" si="192"/>
        <v>0</v>
      </c>
      <c r="H1267" s="494">
        <f t="shared" si="193"/>
        <v>0</v>
      </c>
      <c r="I1267" s="319" t="str">
        <f t="shared" si="194"/>
        <v>Grama</v>
      </c>
      <c r="J1267" s="319"/>
      <c r="K1267" s="319"/>
      <c r="L1267" s="319"/>
      <c r="M1267" s="319"/>
      <c r="N1267" s="319"/>
      <c r="O1267" s="319"/>
      <c r="P1267" s="494">
        <v>17.514535179999999</v>
      </c>
      <c r="Q1267" s="494">
        <v>16.352775179999998</v>
      </c>
      <c r="R1267" s="319" t="s">
        <v>7113</v>
      </c>
      <c r="S1267" s="319"/>
      <c r="T1267" s="319"/>
      <c r="U1267" s="319"/>
      <c r="V1267" s="319"/>
      <c r="W1267" s="319"/>
      <c r="X1267" s="319"/>
      <c r="Y1267" s="319"/>
      <c r="Z1267" s="319"/>
      <c r="AA1267" s="319"/>
      <c r="AB1267" s="319"/>
      <c r="AC1267" s="319"/>
      <c r="AD1267" s="319"/>
      <c r="AE1267" s="319"/>
      <c r="AF1267" s="319"/>
      <c r="AG1267" s="319"/>
      <c r="AH1267" s="319"/>
      <c r="AI1267" s="319"/>
      <c r="AJ1267" s="319"/>
      <c r="AK1267" s="319"/>
      <c r="AL1267" s="319"/>
      <c r="AM1267" s="319"/>
      <c r="AN1267" s="319"/>
      <c r="AO1267" s="587"/>
      <c r="AP1267" s="319"/>
      <c r="AQ1267" s="319"/>
      <c r="AR1267" s="319"/>
      <c r="AS1267" s="319"/>
      <c r="AT1267" s="319"/>
      <c r="AU1267" s="319"/>
      <c r="AV1267" s="319"/>
      <c r="AW1267" s="319"/>
      <c r="AX1267" s="319"/>
      <c r="AY1267" s="319"/>
      <c r="AZ1267" s="319"/>
      <c r="BA1267" s="319"/>
      <c r="BB1267" s="319"/>
      <c r="BC1267" s="319"/>
      <c r="BD1267" s="319"/>
      <c r="BE1267" s="319"/>
      <c r="BF1267" s="319"/>
      <c r="BG1267" s="319"/>
      <c r="BH1267" s="319"/>
      <c r="BI1267" s="319"/>
      <c r="BJ1267" s="319"/>
      <c r="BK1267" s="319"/>
      <c r="BL1267" s="319"/>
      <c r="BM1267" s="319"/>
      <c r="BN1267" s="319"/>
      <c r="BO1267" s="319"/>
      <c r="BP1267" s="319"/>
      <c r="BQ1267" s="319"/>
      <c r="BR1267" s="319"/>
      <c r="BS1267" s="319"/>
      <c r="BT1267" s="319"/>
      <c r="BU1267" s="319"/>
      <c r="BV1267" s="319"/>
      <c r="BW1267" s="319"/>
      <c r="BX1267" s="319"/>
      <c r="BY1267" s="319"/>
      <c r="BZ1267" s="319"/>
      <c r="CA1267" s="319"/>
      <c r="CB1267" s="319"/>
      <c r="CC1267" s="319"/>
      <c r="CD1267" s="319"/>
      <c r="CE1267" s="319"/>
      <c r="CF1267" s="319"/>
    </row>
    <row r="1268" spans="1:84" ht="13.5" hidden="1" customHeight="1">
      <c r="A1268" s="319">
        <f t="shared" si="191"/>
        <v>1</v>
      </c>
      <c r="B1268" s="319" t="str">
        <f>Language!C1260</f>
        <v>Chá - resíduos</v>
      </c>
      <c r="C1268" s="319" t="str">
        <f t="shared" si="189"/>
        <v>t</v>
      </c>
      <c r="D1268" s="319" t="str">
        <f t="shared" si="190"/>
        <v>€/t</v>
      </c>
      <c r="E1268" s="494">
        <f t="shared" si="195"/>
        <v>17.45919924</v>
      </c>
      <c r="F1268" s="494">
        <v>1000</v>
      </c>
      <c r="G1268" s="494">
        <f t="shared" si="192"/>
        <v>0</v>
      </c>
      <c r="H1268" s="494">
        <f t="shared" si="193"/>
        <v>0</v>
      </c>
      <c r="I1268" s="319" t="str">
        <f t="shared" si="194"/>
        <v>Chá - resíduos</v>
      </c>
      <c r="J1268" s="319"/>
      <c r="K1268" s="319"/>
      <c r="L1268" s="319"/>
      <c r="M1268" s="319"/>
      <c r="N1268" s="319"/>
      <c r="O1268" s="319"/>
      <c r="P1268" s="494">
        <v>18.642879239999999</v>
      </c>
      <c r="Q1268" s="494">
        <v>17.45919924</v>
      </c>
      <c r="R1268" s="319" t="s">
        <v>7082</v>
      </c>
      <c r="S1268" s="319"/>
      <c r="T1268" s="319"/>
      <c r="U1268" s="319"/>
      <c r="V1268" s="319"/>
      <c r="W1268" s="319"/>
      <c r="X1268" s="319"/>
      <c r="Y1268" s="319"/>
      <c r="Z1268" s="319"/>
      <c r="AA1268" s="319"/>
      <c r="AB1268" s="319"/>
      <c r="AC1268" s="319"/>
      <c r="AD1268" s="319"/>
      <c r="AE1268" s="319"/>
      <c r="AF1268" s="319"/>
      <c r="AG1268" s="319"/>
      <c r="AH1268" s="319"/>
      <c r="AI1268" s="319"/>
      <c r="AJ1268" s="319"/>
      <c r="AK1268" s="319"/>
      <c r="AL1268" s="319"/>
      <c r="AM1268" s="319"/>
      <c r="AN1268" s="319"/>
      <c r="AO1268" s="587"/>
      <c r="AP1268" s="319"/>
      <c r="AQ1268" s="319"/>
      <c r="AR1268" s="319"/>
      <c r="AS1268" s="319"/>
      <c r="AT1268" s="319"/>
      <c r="AU1268" s="319"/>
      <c r="AV1268" s="319"/>
      <c r="AW1268" s="319"/>
      <c r="AX1268" s="319"/>
      <c r="AY1268" s="319"/>
      <c r="AZ1268" s="319"/>
      <c r="BA1268" s="319"/>
      <c r="BB1268" s="319"/>
      <c r="BC1268" s="319"/>
      <c r="BD1268" s="319"/>
      <c r="BE1268" s="319"/>
      <c r="BF1268" s="319"/>
      <c r="BG1268" s="319"/>
      <c r="BH1268" s="319"/>
      <c r="BI1268" s="319"/>
      <c r="BJ1268" s="319"/>
      <c r="BK1268" s="319"/>
      <c r="BL1268" s="319"/>
      <c r="BM1268" s="319"/>
      <c r="BN1268" s="319"/>
      <c r="BO1268" s="319"/>
      <c r="BP1268" s="319"/>
      <c r="BQ1268" s="319"/>
      <c r="BR1268" s="319"/>
      <c r="BS1268" s="319"/>
      <c r="BT1268" s="319"/>
      <c r="BU1268" s="319"/>
      <c r="BV1268" s="319"/>
      <c r="BW1268" s="319"/>
      <c r="BX1268" s="319"/>
      <c r="BY1268" s="319"/>
      <c r="BZ1268" s="319"/>
      <c r="CA1268" s="319"/>
      <c r="CB1268" s="319"/>
      <c r="CC1268" s="319"/>
      <c r="CD1268" s="319"/>
      <c r="CE1268" s="319"/>
      <c r="CF1268" s="319"/>
    </row>
    <row r="1269" spans="1:84" ht="13.5" hidden="1" customHeight="1">
      <c r="A1269" s="319">
        <f t="shared" si="191"/>
        <v>1</v>
      </c>
      <c r="B1269" s="319" t="str">
        <f>Language!C1261</f>
        <v>Textil</v>
      </c>
      <c r="C1269" s="319" t="str">
        <f t="shared" si="189"/>
        <v>t</v>
      </c>
      <c r="D1269" s="319" t="str">
        <f t="shared" si="190"/>
        <v>€/t</v>
      </c>
      <c r="E1269" s="494">
        <f t="shared" si="195"/>
        <v>20.524712019999996</v>
      </c>
      <c r="F1269" s="494">
        <v>1000</v>
      </c>
      <c r="G1269" s="494">
        <f t="shared" si="192"/>
        <v>0</v>
      </c>
      <c r="H1269" s="494">
        <f t="shared" si="193"/>
        <v>0</v>
      </c>
      <c r="I1269" s="319" t="str">
        <f t="shared" si="194"/>
        <v>Textil</v>
      </c>
      <c r="J1269" s="319"/>
      <c r="K1269" s="319"/>
      <c r="L1269" s="319"/>
      <c r="M1269" s="319"/>
      <c r="N1269" s="319"/>
      <c r="O1269" s="319"/>
      <c r="P1269" s="494">
        <v>21.993352019999996</v>
      </c>
      <c r="Q1269" s="494">
        <v>20.524712019999996</v>
      </c>
      <c r="R1269" s="319" t="s">
        <v>7083</v>
      </c>
      <c r="S1269" s="319"/>
      <c r="T1269" s="319"/>
      <c r="U1269" s="319"/>
      <c r="V1269" s="319"/>
      <c r="W1269" s="319"/>
      <c r="X1269" s="319"/>
      <c r="Y1269" s="319"/>
      <c r="Z1269" s="319"/>
      <c r="AA1269" s="319"/>
      <c r="AB1269" s="319"/>
      <c r="AC1269" s="319"/>
      <c r="AD1269" s="319"/>
      <c r="AE1269" s="319"/>
      <c r="AF1269" s="319"/>
      <c r="AG1269" s="319"/>
      <c r="AH1269" s="319"/>
      <c r="AI1269" s="319"/>
      <c r="AJ1269" s="319"/>
      <c r="AK1269" s="319"/>
      <c r="AL1269" s="319"/>
      <c r="AM1269" s="319"/>
      <c r="AN1269" s="319"/>
      <c r="AO1269" s="587"/>
      <c r="AP1269" s="319"/>
      <c r="AQ1269" s="319"/>
      <c r="AR1269" s="319"/>
      <c r="AS1269" s="319"/>
      <c r="AT1269" s="319"/>
      <c r="AU1269" s="319"/>
      <c r="AV1269" s="319"/>
      <c r="AW1269" s="319"/>
      <c r="AX1269" s="319"/>
      <c r="AY1269" s="319"/>
      <c r="AZ1269" s="319"/>
      <c r="BA1269" s="319"/>
      <c r="BB1269" s="319"/>
      <c r="BC1269" s="319"/>
      <c r="BD1269" s="319"/>
      <c r="BE1269" s="319"/>
      <c r="BF1269" s="319"/>
      <c r="BG1269" s="319"/>
      <c r="BH1269" s="319"/>
      <c r="BI1269" s="319"/>
      <c r="BJ1269" s="319"/>
      <c r="BK1269" s="319"/>
      <c r="BL1269" s="319"/>
      <c r="BM1269" s="319"/>
      <c r="BN1269" s="319"/>
      <c r="BO1269" s="319"/>
      <c r="BP1269" s="319"/>
      <c r="BQ1269" s="319"/>
      <c r="BR1269" s="319"/>
      <c r="BS1269" s="319"/>
      <c r="BT1269" s="319"/>
      <c r="BU1269" s="319"/>
      <c r="BV1269" s="319"/>
      <c r="BW1269" s="319"/>
      <c r="BX1269" s="319"/>
      <c r="BY1269" s="319"/>
      <c r="BZ1269" s="319"/>
      <c r="CA1269" s="319"/>
      <c r="CB1269" s="319"/>
      <c r="CC1269" s="319"/>
      <c r="CD1269" s="319"/>
      <c r="CE1269" s="319"/>
      <c r="CF1269" s="319"/>
    </row>
    <row r="1270" spans="1:84" ht="13.5" hidden="1" customHeight="1">
      <c r="A1270" s="319">
        <f t="shared" si="191"/>
        <v>1</v>
      </c>
      <c r="B1270" s="319" t="str">
        <f>Language!C1262</f>
        <v>Pneus</v>
      </c>
      <c r="C1270" s="319" t="str">
        <f t="shared" si="189"/>
        <v>t</v>
      </c>
      <c r="D1270" s="319" t="str">
        <f t="shared" si="190"/>
        <v>€/t</v>
      </c>
      <c r="E1270" s="494">
        <f t="shared" si="195"/>
        <v>38.195985062599995</v>
      </c>
      <c r="F1270" s="494">
        <v>1000</v>
      </c>
      <c r="G1270" s="494">
        <f t="shared" si="192"/>
        <v>0</v>
      </c>
      <c r="H1270" s="494">
        <f t="shared" si="193"/>
        <v>0</v>
      </c>
      <c r="I1270" s="319" t="str">
        <f t="shared" si="194"/>
        <v>Pneus</v>
      </c>
      <c r="J1270" s="319"/>
      <c r="K1270" s="319"/>
      <c r="L1270" s="319"/>
      <c r="M1270" s="319"/>
      <c r="N1270" s="319"/>
      <c r="O1270" s="319"/>
      <c r="P1270" s="494">
        <v>39.798337062599998</v>
      </c>
      <c r="Q1270" s="494">
        <v>38.195985062599995</v>
      </c>
      <c r="R1270" s="319" t="s">
        <v>7116</v>
      </c>
      <c r="S1270" s="319"/>
      <c r="T1270" s="319"/>
      <c r="U1270" s="319"/>
      <c r="V1270" s="319"/>
      <c r="W1270" s="319"/>
      <c r="X1270" s="319"/>
      <c r="Y1270" s="319"/>
      <c r="Z1270" s="319"/>
      <c r="AA1270" s="319"/>
      <c r="AB1270" s="319"/>
      <c r="AC1270" s="319"/>
      <c r="AD1270" s="319"/>
      <c r="AE1270" s="319"/>
      <c r="AF1270" s="319"/>
      <c r="AG1270" s="319"/>
      <c r="AH1270" s="319"/>
      <c r="AI1270" s="319"/>
      <c r="AJ1270" s="319"/>
      <c r="AK1270" s="319"/>
      <c r="AL1270" s="319"/>
      <c r="AM1270" s="319"/>
      <c r="AN1270" s="319"/>
      <c r="AO1270" s="587"/>
      <c r="AP1270" s="319"/>
      <c r="AQ1270" s="319"/>
      <c r="AR1270" s="319"/>
      <c r="AS1270" s="319"/>
      <c r="AT1270" s="319"/>
      <c r="AU1270" s="319"/>
      <c r="AV1270" s="319"/>
      <c r="AW1270" s="319"/>
      <c r="AX1270" s="319"/>
      <c r="AY1270" s="319"/>
      <c r="AZ1270" s="319"/>
      <c r="BA1270" s="319"/>
      <c r="BB1270" s="319"/>
      <c r="BC1270" s="319"/>
      <c r="BD1270" s="319"/>
      <c r="BE1270" s="319"/>
      <c r="BF1270" s="319"/>
      <c r="BG1270" s="319"/>
      <c r="BH1270" s="319"/>
      <c r="BI1270" s="319"/>
      <c r="BJ1270" s="319"/>
      <c r="BK1270" s="319"/>
      <c r="BL1270" s="319"/>
      <c r="BM1270" s="319"/>
      <c r="BN1270" s="319"/>
      <c r="BO1270" s="319"/>
      <c r="BP1270" s="319"/>
      <c r="BQ1270" s="319"/>
      <c r="BR1270" s="319"/>
      <c r="BS1270" s="319"/>
      <c r="BT1270" s="319"/>
      <c r="BU1270" s="319"/>
      <c r="BV1270" s="319"/>
      <c r="BW1270" s="319"/>
      <c r="BX1270" s="319"/>
      <c r="BY1270" s="319"/>
      <c r="BZ1270" s="319"/>
      <c r="CA1270" s="319"/>
      <c r="CB1270" s="319"/>
      <c r="CC1270" s="319"/>
      <c r="CD1270" s="319"/>
      <c r="CE1270" s="319"/>
      <c r="CF1270" s="319"/>
    </row>
    <row r="1271" spans="1:84" ht="13.5" hidden="1" customHeight="1">
      <c r="A1271" s="319">
        <f t="shared" si="191"/>
        <v>1</v>
      </c>
      <c r="B1271" s="319" t="str">
        <f>Language!C1263</f>
        <v>Noz - casca</v>
      </c>
      <c r="C1271" s="319" t="str">
        <f t="shared" si="189"/>
        <v>t</v>
      </c>
      <c r="D1271" s="319" t="str">
        <f t="shared" si="190"/>
        <v>€/t</v>
      </c>
      <c r="E1271" s="494">
        <f t="shared" si="195"/>
        <v>21.528088712000002</v>
      </c>
      <c r="F1271" s="494">
        <v>1000</v>
      </c>
      <c r="G1271" s="494">
        <f t="shared" si="192"/>
        <v>0</v>
      </c>
      <c r="H1271" s="494">
        <f t="shared" si="193"/>
        <v>0</v>
      </c>
      <c r="I1271" s="319" t="str">
        <f t="shared" si="194"/>
        <v>Noz - casca</v>
      </c>
      <c r="J1271" s="319"/>
      <c r="K1271" s="319"/>
      <c r="L1271" s="319"/>
      <c r="M1271" s="319"/>
      <c r="N1271" s="319"/>
      <c r="O1271" s="319"/>
      <c r="P1271" s="494">
        <v>22.957272712000002</v>
      </c>
      <c r="Q1271" s="494">
        <v>21.528088712000002</v>
      </c>
      <c r="R1271" s="319" t="s">
        <v>7117</v>
      </c>
      <c r="S1271" s="319"/>
      <c r="T1271" s="319"/>
      <c r="U1271" s="319"/>
      <c r="V1271" s="319"/>
      <c r="W1271" s="319"/>
      <c r="X1271" s="319"/>
      <c r="Y1271" s="319"/>
      <c r="Z1271" s="319"/>
      <c r="AA1271" s="319"/>
      <c r="AB1271" s="319"/>
      <c r="AC1271" s="319"/>
      <c r="AD1271" s="319"/>
      <c r="AE1271" s="319"/>
      <c r="AF1271" s="319"/>
      <c r="AG1271" s="319"/>
      <c r="AH1271" s="319"/>
      <c r="AI1271" s="319"/>
      <c r="AJ1271" s="319"/>
      <c r="AK1271" s="319"/>
      <c r="AL1271" s="319"/>
      <c r="AM1271" s="319"/>
      <c r="AN1271" s="319"/>
      <c r="AO1271" s="587"/>
      <c r="AP1271" s="319"/>
      <c r="AQ1271" s="319"/>
      <c r="AR1271" s="319"/>
      <c r="AS1271" s="319"/>
      <c r="AT1271" s="319"/>
      <c r="AU1271" s="319"/>
      <c r="AV1271" s="319"/>
      <c r="AW1271" s="319"/>
      <c r="AX1271" s="319"/>
      <c r="AY1271" s="319"/>
      <c r="AZ1271" s="319"/>
      <c r="BA1271" s="319"/>
      <c r="BB1271" s="319"/>
      <c r="BC1271" s="319"/>
      <c r="BD1271" s="319"/>
      <c r="BE1271" s="319"/>
      <c r="BF1271" s="319"/>
      <c r="BG1271" s="319"/>
      <c r="BH1271" s="319"/>
      <c r="BI1271" s="319"/>
      <c r="BJ1271" s="319"/>
      <c r="BK1271" s="319"/>
      <c r="BL1271" s="319"/>
      <c r="BM1271" s="319"/>
      <c r="BN1271" s="319"/>
      <c r="BO1271" s="319"/>
      <c r="BP1271" s="319"/>
      <c r="BQ1271" s="319"/>
      <c r="BR1271" s="319"/>
      <c r="BS1271" s="319"/>
      <c r="BT1271" s="319"/>
      <c r="BU1271" s="319"/>
      <c r="BV1271" s="319"/>
      <c r="BW1271" s="319"/>
      <c r="BX1271" s="319"/>
      <c r="BY1271" s="319"/>
      <c r="BZ1271" s="319"/>
      <c r="CA1271" s="319"/>
      <c r="CB1271" s="319"/>
      <c r="CC1271" s="319"/>
      <c r="CD1271" s="319"/>
      <c r="CE1271" s="319"/>
      <c r="CF1271" s="319"/>
    </row>
    <row r="1272" spans="1:84" ht="13.5" hidden="1" customHeight="1">
      <c r="A1272" s="319">
        <f t="shared" si="191"/>
        <v>1</v>
      </c>
      <c r="B1272" s="319" t="str">
        <f>Language!C1264</f>
        <v>Árvore de noz</v>
      </c>
      <c r="C1272" s="319" t="str">
        <f t="shared" si="189"/>
        <v>t</v>
      </c>
      <c r="D1272" s="319" t="str">
        <f t="shared" si="190"/>
        <v>€/t</v>
      </c>
      <c r="E1272" s="494">
        <f t="shared" si="195"/>
        <v>18.468045480000001</v>
      </c>
      <c r="F1272" s="494">
        <v>1000</v>
      </c>
      <c r="G1272" s="494">
        <f t="shared" si="192"/>
        <v>0</v>
      </c>
      <c r="H1272" s="494">
        <f t="shared" si="193"/>
        <v>0</v>
      </c>
      <c r="I1272" s="319" t="str">
        <f t="shared" si="194"/>
        <v>Árvore de noz</v>
      </c>
      <c r="J1272" s="319"/>
      <c r="K1272" s="319"/>
      <c r="L1272" s="319"/>
      <c r="M1272" s="319"/>
      <c r="N1272" s="319"/>
      <c r="O1272" s="319"/>
      <c r="P1272" s="494">
        <v>19.739405480000002</v>
      </c>
      <c r="Q1272" s="494">
        <v>18.468045480000001</v>
      </c>
      <c r="R1272" s="319" t="s">
        <v>7093</v>
      </c>
      <c r="S1272" s="319"/>
      <c r="T1272" s="319"/>
      <c r="U1272" s="319"/>
      <c r="V1272" s="319"/>
      <c r="W1272" s="319"/>
      <c r="X1272" s="319"/>
      <c r="Y1272" s="319"/>
      <c r="Z1272" s="319"/>
      <c r="AA1272" s="319"/>
      <c r="AB1272" s="319"/>
      <c r="AC1272" s="319"/>
      <c r="AD1272" s="319"/>
      <c r="AE1272" s="319"/>
      <c r="AF1272" s="319"/>
      <c r="AG1272" s="319"/>
      <c r="AH1272" s="319"/>
      <c r="AI1272" s="319"/>
      <c r="AJ1272" s="319"/>
      <c r="AK1272" s="319"/>
      <c r="AL1272" s="319"/>
      <c r="AM1272" s="319"/>
      <c r="AN1272" s="319"/>
      <c r="AO1272" s="587"/>
      <c r="AP1272" s="319"/>
      <c r="AQ1272" s="319"/>
      <c r="AR1272" s="319"/>
      <c r="AS1272" s="319"/>
      <c r="AT1272" s="319"/>
      <c r="AU1272" s="319"/>
      <c r="AV1272" s="319"/>
      <c r="AW1272" s="319"/>
      <c r="AX1272" s="319"/>
      <c r="AY1272" s="319"/>
      <c r="AZ1272" s="319"/>
      <c r="BA1272" s="319"/>
      <c r="BB1272" s="319"/>
      <c r="BC1272" s="319"/>
      <c r="BD1272" s="319"/>
      <c r="BE1272" s="319"/>
      <c r="BF1272" s="319"/>
      <c r="BG1272" s="319"/>
      <c r="BH1272" s="319"/>
      <c r="BI1272" s="319"/>
      <c r="BJ1272" s="319"/>
      <c r="BK1272" s="319"/>
      <c r="BL1272" s="319"/>
      <c r="BM1272" s="319"/>
      <c r="BN1272" s="319"/>
      <c r="BO1272" s="319"/>
      <c r="BP1272" s="319"/>
      <c r="BQ1272" s="319"/>
      <c r="BR1272" s="319"/>
      <c r="BS1272" s="319"/>
      <c r="BT1272" s="319"/>
      <c r="BU1272" s="319"/>
      <c r="BV1272" s="319"/>
      <c r="BW1272" s="319"/>
      <c r="BX1272" s="319"/>
      <c r="BY1272" s="319"/>
      <c r="BZ1272" s="319"/>
      <c r="CA1272" s="319"/>
      <c r="CB1272" s="319"/>
      <c r="CC1272" s="319"/>
      <c r="CD1272" s="319"/>
      <c r="CE1272" s="319"/>
      <c r="CF1272" s="319"/>
    </row>
    <row r="1273" spans="1:84" ht="13.5" hidden="1" customHeight="1">
      <c r="A1273" s="319">
        <f t="shared" si="191"/>
        <v>1</v>
      </c>
      <c r="B1273" s="319" t="str">
        <f>Language!C1265</f>
        <v>Lixo doméstico</v>
      </c>
      <c r="C1273" s="319" t="str">
        <f t="shared" si="189"/>
        <v>t</v>
      </c>
      <c r="D1273" s="319" t="str">
        <f t="shared" si="190"/>
        <v>€/t</v>
      </c>
      <c r="E1273" s="494">
        <f t="shared" si="195"/>
        <v>17.005749240000004</v>
      </c>
      <c r="F1273" s="494">
        <v>1000</v>
      </c>
      <c r="G1273" s="494">
        <f t="shared" ref="G1273:G1288" si="196">IF($C$1117=0,SUMIF($R$940:$R$961,B1273,$G$940:$G$961),SUMIF($I$1155:$I$1170,B1273,$J$1155:$J$1170))</f>
        <v>0</v>
      </c>
      <c r="H1273" s="494">
        <f t="shared" ref="H1273:H1288" si="197">IF($C$1117=0,SUMIF($R$940:$R$961,B1273,$S$940:$S$961),SUMIF($I$1155:$I$1170,B1273,$K$1155:$K$1170))</f>
        <v>0</v>
      </c>
      <c r="I1273" s="319" t="str">
        <f t="shared" si="194"/>
        <v>Lixo doméstico</v>
      </c>
      <c r="J1273" s="319"/>
      <c r="K1273" s="319"/>
      <c r="L1273" s="319"/>
      <c r="M1273" s="319"/>
      <c r="N1273" s="319"/>
      <c r="O1273" s="319"/>
      <c r="P1273" s="494">
        <v>18.189429240000003</v>
      </c>
      <c r="Q1273" s="494">
        <v>17.005749240000004</v>
      </c>
      <c r="R1273" s="319" t="s">
        <v>7118</v>
      </c>
      <c r="S1273" s="319"/>
      <c r="T1273" s="319"/>
      <c r="U1273" s="319"/>
      <c r="V1273" s="319"/>
      <c r="W1273" s="319"/>
      <c r="X1273" s="319"/>
      <c r="Y1273" s="319"/>
      <c r="Z1273" s="319"/>
      <c r="AA1273" s="319"/>
      <c r="AB1273" s="319"/>
      <c r="AC1273" s="319"/>
      <c r="AD1273" s="319"/>
      <c r="AE1273" s="319"/>
      <c r="AF1273" s="319"/>
      <c r="AG1273" s="319"/>
      <c r="AH1273" s="319"/>
      <c r="AI1273" s="319"/>
      <c r="AJ1273" s="319"/>
      <c r="AK1273" s="319"/>
      <c r="AL1273" s="319"/>
      <c r="AM1273" s="319"/>
      <c r="AN1273" s="319"/>
      <c r="AO1273" s="587"/>
      <c r="AP1273" s="319"/>
      <c r="AQ1273" s="319"/>
      <c r="AR1273" s="319"/>
      <c r="AS1273" s="319"/>
      <c r="AT1273" s="319"/>
      <c r="AU1273" s="319"/>
      <c r="AV1273" s="319"/>
      <c r="AW1273" s="319"/>
      <c r="AX1273" s="319"/>
      <c r="AY1273" s="319"/>
      <c r="AZ1273" s="319"/>
      <c r="BA1273" s="319"/>
      <c r="BB1273" s="319"/>
      <c r="BC1273" s="319"/>
      <c r="BD1273" s="319"/>
      <c r="BE1273" s="319"/>
      <c r="BF1273" s="319"/>
      <c r="BG1273" s="319"/>
      <c r="BH1273" s="319"/>
      <c r="BI1273" s="319"/>
      <c r="BJ1273" s="319"/>
      <c r="BK1273" s="319"/>
      <c r="BL1273" s="319"/>
      <c r="BM1273" s="319"/>
      <c r="BN1273" s="319"/>
      <c r="BO1273" s="319"/>
      <c r="BP1273" s="319"/>
      <c r="BQ1273" s="319"/>
      <c r="BR1273" s="319"/>
      <c r="BS1273" s="319"/>
      <c r="BT1273" s="319"/>
      <c r="BU1273" s="319"/>
      <c r="BV1273" s="319"/>
      <c r="BW1273" s="319"/>
      <c r="BX1273" s="319"/>
      <c r="BY1273" s="319"/>
      <c r="BZ1273" s="319"/>
      <c r="CA1273" s="319"/>
      <c r="CB1273" s="319"/>
      <c r="CC1273" s="319"/>
      <c r="CD1273" s="319"/>
      <c r="CE1273" s="319"/>
      <c r="CF1273" s="319"/>
    </row>
    <row r="1274" spans="1:84" ht="13.5" hidden="1" customHeight="1">
      <c r="A1274" s="319">
        <f t="shared" si="191"/>
        <v>1</v>
      </c>
      <c r="B1274" s="319" t="str">
        <f>Language!C1266</f>
        <v>Trigo - palha</v>
      </c>
      <c r="C1274" s="319" t="str">
        <f t="shared" si="189"/>
        <v>t</v>
      </c>
      <c r="D1274" s="319" t="str">
        <f t="shared" si="190"/>
        <v>€/t</v>
      </c>
      <c r="E1274" s="494">
        <f t="shared" si="195"/>
        <v>14.794052999999998</v>
      </c>
      <c r="F1274" s="494">
        <v>1000</v>
      </c>
      <c r="G1274" s="494">
        <f t="shared" si="196"/>
        <v>0</v>
      </c>
      <c r="H1274" s="494">
        <f t="shared" si="197"/>
        <v>0</v>
      </c>
      <c r="I1274" s="319" t="str">
        <f t="shared" si="194"/>
        <v>Trigo - palha</v>
      </c>
      <c r="J1274" s="319"/>
      <c r="K1274" s="319"/>
      <c r="L1274" s="319"/>
      <c r="M1274" s="319"/>
      <c r="N1274" s="319"/>
      <c r="O1274" s="319"/>
      <c r="P1274" s="494">
        <v>15.890052999999998</v>
      </c>
      <c r="Q1274" s="494">
        <v>14.794052999999998</v>
      </c>
      <c r="R1274" s="319" t="s">
        <v>7119</v>
      </c>
      <c r="S1274" s="319"/>
      <c r="T1274" s="319"/>
      <c r="U1274" s="319"/>
      <c r="V1274" s="319"/>
      <c r="W1274" s="319"/>
      <c r="X1274" s="319"/>
      <c r="Y1274" s="319"/>
      <c r="Z1274" s="319"/>
      <c r="AA1274" s="319"/>
      <c r="AB1274" s="319"/>
      <c r="AC1274" s="319"/>
      <c r="AD1274" s="319"/>
      <c r="AE1274" s="319"/>
      <c r="AF1274" s="319"/>
      <c r="AG1274" s="319"/>
      <c r="AH1274" s="319"/>
      <c r="AI1274" s="319"/>
      <c r="AJ1274" s="319"/>
      <c r="AK1274" s="319"/>
      <c r="AL1274" s="319"/>
      <c r="AM1274" s="319"/>
      <c r="AN1274" s="319"/>
      <c r="AO1274" s="587"/>
      <c r="AP1274" s="319"/>
      <c r="AQ1274" s="319"/>
      <c r="AR1274" s="319"/>
      <c r="AS1274" s="319"/>
      <c r="AT1274" s="319"/>
      <c r="AU1274" s="319"/>
      <c r="AV1274" s="319"/>
      <c r="AW1274" s="319"/>
      <c r="AX1274" s="319"/>
      <c r="AY1274" s="319"/>
      <c r="AZ1274" s="319"/>
      <c r="BA1274" s="319"/>
      <c r="BB1274" s="319"/>
      <c r="BC1274" s="319"/>
      <c r="BD1274" s="319"/>
      <c r="BE1274" s="319"/>
      <c r="BF1274" s="319"/>
      <c r="BG1274" s="319"/>
      <c r="BH1274" s="319"/>
      <c r="BI1274" s="319"/>
      <c r="BJ1274" s="319"/>
      <c r="BK1274" s="319"/>
      <c r="BL1274" s="319"/>
      <c r="BM1274" s="319"/>
      <c r="BN1274" s="319"/>
      <c r="BO1274" s="319"/>
      <c r="BP1274" s="319"/>
      <c r="BQ1274" s="319"/>
      <c r="BR1274" s="319"/>
      <c r="BS1274" s="319"/>
      <c r="BT1274" s="319"/>
      <c r="BU1274" s="319"/>
      <c r="BV1274" s="319"/>
      <c r="BW1274" s="319"/>
      <c r="BX1274" s="319"/>
      <c r="BY1274" s="319"/>
      <c r="BZ1274" s="319"/>
      <c r="CA1274" s="319"/>
      <c r="CB1274" s="319"/>
      <c r="CC1274" s="319"/>
      <c r="CD1274" s="319"/>
      <c r="CE1274" s="319"/>
      <c r="CF1274" s="319"/>
    </row>
    <row r="1275" spans="1:84" ht="13.5" hidden="1" customHeight="1">
      <c r="A1275" s="319">
        <f t="shared" si="191"/>
        <v>1</v>
      </c>
      <c r="B1275" s="319" t="str">
        <f>Language!C1267</f>
        <v>Salgueiro (1-3 a.)</v>
      </c>
      <c r="C1275" s="319" t="str">
        <f t="shared" si="189"/>
        <v>t</v>
      </c>
      <c r="D1275" s="319" t="str">
        <f t="shared" si="190"/>
        <v>€/t</v>
      </c>
      <c r="E1275" s="494">
        <f t="shared" si="195"/>
        <v>18.470277134000003</v>
      </c>
      <c r="F1275" s="494">
        <v>1000</v>
      </c>
      <c r="G1275" s="494">
        <f t="shared" si="196"/>
        <v>0</v>
      </c>
      <c r="H1275" s="494">
        <f t="shared" si="197"/>
        <v>0</v>
      </c>
      <c r="I1275" s="319" t="str">
        <f t="shared" si="194"/>
        <v>Salgueiro (1-3 a.)</v>
      </c>
      <c r="J1275" s="319"/>
      <c r="K1275" s="319"/>
      <c r="L1275" s="319"/>
      <c r="M1275" s="319"/>
      <c r="N1275" s="319"/>
      <c r="O1275" s="319"/>
      <c r="P1275" s="494">
        <v>19.761365134000002</v>
      </c>
      <c r="Q1275" s="494">
        <v>18.470277134000003</v>
      </c>
      <c r="R1275" s="319" t="s">
        <v>7077</v>
      </c>
      <c r="S1275" s="319"/>
      <c r="T1275" s="319"/>
      <c r="U1275" s="319"/>
      <c r="V1275" s="319"/>
      <c r="W1275" s="319"/>
      <c r="X1275" s="319"/>
      <c r="Y1275" s="319"/>
      <c r="Z1275" s="319"/>
      <c r="AA1275" s="319"/>
      <c r="AB1275" s="319"/>
      <c r="AC1275" s="319"/>
      <c r="AD1275" s="319"/>
      <c r="AE1275" s="319"/>
      <c r="AF1275" s="319"/>
      <c r="AG1275" s="319"/>
      <c r="AH1275" s="319"/>
      <c r="AI1275" s="319"/>
      <c r="AJ1275" s="319"/>
      <c r="AK1275" s="319"/>
      <c r="AL1275" s="319"/>
      <c r="AM1275" s="319"/>
      <c r="AN1275" s="319"/>
      <c r="AO1275" s="587"/>
      <c r="AP1275" s="319"/>
      <c r="AQ1275" s="319"/>
      <c r="AR1275" s="319"/>
      <c r="AS1275" s="319"/>
      <c r="AT1275" s="319"/>
      <c r="AU1275" s="319"/>
      <c r="AV1275" s="319"/>
      <c r="AW1275" s="319"/>
      <c r="AX1275" s="319"/>
      <c r="AY1275" s="319"/>
      <c r="AZ1275" s="319"/>
      <c r="BA1275" s="319"/>
      <c r="BB1275" s="319"/>
      <c r="BC1275" s="319"/>
      <c r="BD1275" s="319"/>
      <c r="BE1275" s="319"/>
      <c r="BF1275" s="319"/>
      <c r="BG1275" s="319"/>
      <c r="BH1275" s="319"/>
      <c r="BI1275" s="319"/>
      <c r="BJ1275" s="319"/>
      <c r="BK1275" s="319"/>
      <c r="BL1275" s="319"/>
      <c r="BM1275" s="319"/>
      <c r="BN1275" s="319"/>
      <c r="BO1275" s="319"/>
      <c r="BP1275" s="319"/>
      <c r="BQ1275" s="319"/>
      <c r="BR1275" s="319"/>
      <c r="BS1275" s="319"/>
      <c r="BT1275" s="319"/>
      <c r="BU1275" s="319"/>
      <c r="BV1275" s="319"/>
      <c r="BW1275" s="319"/>
      <c r="BX1275" s="319"/>
      <c r="BY1275" s="319"/>
      <c r="BZ1275" s="319"/>
      <c r="CA1275" s="319"/>
      <c r="CB1275" s="319"/>
      <c r="CC1275" s="319"/>
      <c r="CD1275" s="319"/>
      <c r="CE1275" s="319"/>
      <c r="CF1275" s="319"/>
    </row>
    <row r="1276" spans="1:84" ht="13.5" hidden="1" customHeight="1">
      <c r="A1276" s="319">
        <f t="shared" si="191"/>
        <v>1</v>
      </c>
      <c r="B1276" s="319" t="str">
        <f>Language!C1268</f>
        <v>Madeira - casca</v>
      </c>
      <c r="C1276" s="319" t="str">
        <f t="shared" si="189"/>
        <v>t</v>
      </c>
      <c r="D1276" s="319" t="str">
        <f t="shared" si="190"/>
        <v>€/t</v>
      </c>
      <c r="E1276" s="494">
        <f t="shared" si="195"/>
        <v>20.025343599999999</v>
      </c>
      <c r="F1276" s="494">
        <v>1000</v>
      </c>
      <c r="G1276" s="494">
        <f t="shared" si="196"/>
        <v>0</v>
      </c>
      <c r="H1276" s="494">
        <f t="shared" si="197"/>
        <v>0</v>
      </c>
      <c r="I1276" s="319" t="str">
        <f t="shared" si="194"/>
        <v>Madeira - casca</v>
      </c>
      <c r="J1276" s="319"/>
      <c r="K1276" s="319"/>
      <c r="L1276" s="319"/>
      <c r="M1276" s="319"/>
      <c r="N1276" s="319"/>
      <c r="O1276" s="319"/>
      <c r="P1276" s="494">
        <v>21.3405436</v>
      </c>
      <c r="Q1276" s="494">
        <v>20.025343599999999</v>
      </c>
      <c r="R1276" s="319" t="s">
        <v>7130</v>
      </c>
      <c r="S1276" s="319"/>
      <c r="T1276" s="319"/>
      <c r="U1276" s="319"/>
      <c r="V1276" s="319"/>
      <c r="W1276" s="319"/>
      <c r="X1276" s="319"/>
      <c r="Y1276" s="319"/>
      <c r="Z1276" s="319"/>
      <c r="AA1276" s="319"/>
      <c r="AB1276" s="319"/>
      <c r="AC1276" s="319"/>
      <c r="AD1276" s="319"/>
      <c r="AE1276" s="319"/>
      <c r="AF1276" s="319"/>
      <c r="AG1276" s="319"/>
      <c r="AH1276" s="319"/>
      <c r="AI1276" s="319"/>
      <c r="AJ1276" s="319"/>
      <c r="AK1276" s="319"/>
      <c r="AL1276" s="319"/>
      <c r="AM1276" s="319"/>
      <c r="AN1276" s="319"/>
      <c r="AO1276" s="587"/>
      <c r="AP1276" s="319"/>
      <c r="AQ1276" s="319"/>
      <c r="AR1276" s="319"/>
      <c r="AS1276" s="319"/>
      <c r="AT1276" s="319"/>
      <c r="AU1276" s="319"/>
      <c r="AV1276" s="319"/>
      <c r="AW1276" s="319"/>
      <c r="AX1276" s="319"/>
      <c r="AY1276" s="319"/>
      <c r="AZ1276" s="319"/>
      <c r="BA1276" s="319"/>
      <c r="BB1276" s="319"/>
      <c r="BC1276" s="319"/>
      <c r="BD1276" s="319"/>
      <c r="BE1276" s="319"/>
      <c r="BF1276" s="319"/>
      <c r="BG1276" s="319"/>
      <c r="BH1276" s="319"/>
      <c r="BI1276" s="319"/>
      <c r="BJ1276" s="319"/>
      <c r="BK1276" s="319"/>
      <c r="BL1276" s="319"/>
      <c r="BM1276" s="319"/>
      <c r="BN1276" s="319"/>
      <c r="BO1276" s="319"/>
      <c r="BP1276" s="319"/>
      <c r="BQ1276" s="319"/>
      <c r="BR1276" s="319"/>
      <c r="BS1276" s="319"/>
      <c r="BT1276" s="319"/>
      <c r="BU1276" s="319"/>
      <c r="BV1276" s="319"/>
      <c r="BW1276" s="319"/>
      <c r="BX1276" s="319"/>
      <c r="BY1276" s="319"/>
      <c r="BZ1276" s="319"/>
      <c r="CA1276" s="319"/>
      <c r="CB1276" s="319"/>
      <c r="CC1276" s="319"/>
      <c r="CD1276" s="319"/>
      <c r="CE1276" s="319"/>
      <c r="CF1276" s="319"/>
    </row>
    <row r="1277" spans="1:84" ht="13.5" hidden="1" customHeight="1">
      <c r="A1277" s="319">
        <f t="shared" si="191"/>
        <v>1</v>
      </c>
      <c r="B1277" s="319" t="str">
        <f>Language!C1269</f>
        <v>Madeira-resíduos alvejamento</v>
      </c>
      <c r="C1277" s="319" t="str">
        <f t="shared" si="189"/>
        <v>t</v>
      </c>
      <c r="D1277" s="319" t="str">
        <f t="shared" si="190"/>
        <v>€/t</v>
      </c>
      <c r="E1277" s="494">
        <f t="shared" si="195"/>
        <v>16.059122812000005</v>
      </c>
      <c r="F1277" s="494">
        <v>1000</v>
      </c>
      <c r="G1277" s="494">
        <f t="shared" si="196"/>
        <v>0</v>
      </c>
      <c r="H1277" s="494">
        <f t="shared" si="197"/>
        <v>0</v>
      </c>
      <c r="I1277" s="319" t="str">
        <f t="shared" si="194"/>
        <v>Madeira-resíduos alvejamento</v>
      </c>
      <c r="J1277" s="319"/>
      <c r="K1277" s="319"/>
      <c r="L1277" s="319"/>
      <c r="M1277" s="319"/>
      <c r="N1277" s="319"/>
      <c r="O1277" s="319"/>
      <c r="P1277" s="494">
        <v>17.159506812000004</v>
      </c>
      <c r="Q1277" s="494">
        <v>16.059122812000005</v>
      </c>
      <c r="R1277" s="319" t="s">
        <v>7095</v>
      </c>
      <c r="S1277" s="319"/>
      <c r="T1277" s="319"/>
      <c r="U1277" s="319"/>
      <c r="V1277" s="319"/>
      <c r="W1277" s="319"/>
      <c r="X1277" s="319"/>
      <c r="Y1277" s="319"/>
      <c r="Z1277" s="319"/>
      <c r="AA1277" s="319"/>
      <c r="AB1277" s="319"/>
      <c r="AC1277" s="319"/>
      <c r="AD1277" s="319"/>
      <c r="AE1277" s="319"/>
      <c r="AF1277" s="319"/>
      <c r="AG1277" s="319"/>
      <c r="AH1277" s="319"/>
      <c r="AI1277" s="319"/>
      <c r="AJ1277" s="319"/>
      <c r="AK1277" s="319"/>
      <c r="AL1277" s="319"/>
      <c r="AM1277" s="319"/>
      <c r="AN1277" s="319"/>
      <c r="AO1277" s="587"/>
      <c r="AP1277" s="319"/>
      <c r="AQ1277" s="319"/>
      <c r="AR1277" s="319"/>
      <c r="AS1277" s="319"/>
      <c r="AT1277" s="319"/>
      <c r="AU1277" s="319"/>
      <c r="AV1277" s="319"/>
      <c r="AW1277" s="319"/>
      <c r="AX1277" s="319"/>
      <c r="AY1277" s="319"/>
      <c r="AZ1277" s="319"/>
      <c r="BA1277" s="319"/>
      <c r="BB1277" s="319"/>
      <c r="BC1277" s="319"/>
      <c r="BD1277" s="319"/>
      <c r="BE1277" s="319"/>
      <c r="BF1277" s="319"/>
      <c r="BG1277" s="319"/>
      <c r="BH1277" s="319"/>
      <c r="BI1277" s="319"/>
      <c r="BJ1277" s="319"/>
      <c r="BK1277" s="319"/>
      <c r="BL1277" s="319"/>
      <c r="BM1277" s="319"/>
      <c r="BN1277" s="319"/>
      <c r="BO1277" s="319"/>
      <c r="BP1277" s="319"/>
      <c r="BQ1277" s="319"/>
      <c r="BR1277" s="319"/>
      <c r="BS1277" s="319"/>
      <c r="BT1277" s="319"/>
      <c r="BU1277" s="319"/>
      <c r="BV1277" s="319"/>
      <c r="BW1277" s="319"/>
      <c r="BX1277" s="319"/>
      <c r="BY1277" s="319"/>
      <c r="BZ1277" s="319"/>
      <c r="CA1277" s="319"/>
      <c r="CB1277" s="319"/>
      <c r="CC1277" s="319"/>
      <c r="CD1277" s="319"/>
      <c r="CE1277" s="319"/>
      <c r="CF1277" s="319"/>
    </row>
    <row r="1278" spans="1:84" ht="13.5" hidden="1" customHeight="1">
      <c r="A1278" s="319">
        <f t="shared" si="191"/>
        <v>1</v>
      </c>
      <c r="B1278" s="319" t="str">
        <f>Language!C1270</f>
        <v>Madeira-grãos</v>
      </c>
      <c r="C1278" s="319" t="str">
        <f t="shared" si="189"/>
        <v>t</v>
      </c>
      <c r="D1278" s="319" t="str">
        <f t="shared" si="190"/>
        <v>€/t</v>
      </c>
      <c r="E1278" s="494">
        <f t="shared" si="195"/>
        <v>18.375393599999999</v>
      </c>
      <c r="F1278" s="494">
        <v>1000</v>
      </c>
      <c r="G1278" s="494">
        <f t="shared" si="196"/>
        <v>0</v>
      </c>
      <c r="H1278" s="494">
        <f t="shared" si="197"/>
        <v>0</v>
      </c>
      <c r="I1278" s="319" t="str">
        <f t="shared" si="194"/>
        <v>Madeira-grãos</v>
      </c>
      <c r="J1278" s="319"/>
      <c r="K1278" s="319"/>
      <c r="L1278" s="319"/>
      <c r="M1278" s="319"/>
      <c r="N1278" s="319"/>
      <c r="O1278" s="319"/>
      <c r="P1278" s="494">
        <v>19.6905936</v>
      </c>
      <c r="Q1278" s="494">
        <v>18.375393599999999</v>
      </c>
      <c r="R1278" s="319" t="s">
        <v>7145</v>
      </c>
      <c r="S1278" s="319"/>
      <c r="T1278" s="319"/>
      <c r="U1278" s="319"/>
      <c r="V1278" s="319"/>
      <c r="W1278" s="319"/>
      <c r="X1278" s="319"/>
      <c r="Y1278" s="319"/>
      <c r="Z1278" s="319"/>
      <c r="AA1278" s="319"/>
      <c r="AB1278" s="319"/>
      <c r="AC1278" s="319"/>
      <c r="AD1278" s="319"/>
      <c r="AE1278" s="319"/>
      <c r="AF1278" s="319"/>
      <c r="AG1278" s="319"/>
      <c r="AH1278" s="319"/>
      <c r="AI1278" s="319"/>
      <c r="AJ1278" s="319"/>
      <c r="AK1278" s="319"/>
      <c r="AL1278" s="319"/>
      <c r="AM1278" s="319"/>
      <c r="AN1278" s="319"/>
      <c r="AO1278" s="587"/>
      <c r="AP1278" s="319"/>
      <c r="AQ1278" s="319"/>
      <c r="AR1278" s="319"/>
      <c r="AS1278" s="319"/>
      <c r="AT1278" s="319"/>
      <c r="AU1278" s="319"/>
      <c r="AV1278" s="319"/>
      <c r="AW1278" s="319"/>
      <c r="AX1278" s="319"/>
      <c r="AY1278" s="319"/>
      <c r="AZ1278" s="319"/>
      <c r="BA1278" s="319"/>
      <c r="BB1278" s="319"/>
      <c r="BC1278" s="319"/>
      <c r="BD1278" s="319"/>
      <c r="BE1278" s="319"/>
      <c r="BF1278" s="319"/>
      <c r="BG1278" s="319"/>
      <c r="BH1278" s="319"/>
      <c r="BI1278" s="319"/>
      <c r="BJ1278" s="319"/>
      <c r="BK1278" s="319"/>
      <c r="BL1278" s="319"/>
      <c r="BM1278" s="319"/>
      <c r="BN1278" s="319"/>
      <c r="BO1278" s="319"/>
      <c r="BP1278" s="319"/>
      <c r="BQ1278" s="319"/>
      <c r="BR1278" s="319"/>
      <c r="BS1278" s="319"/>
      <c r="BT1278" s="319"/>
      <c r="BU1278" s="319"/>
      <c r="BV1278" s="319"/>
      <c r="BW1278" s="319"/>
      <c r="BX1278" s="319"/>
      <c r="BY1278" s="319"/>
      <c r="BZ1278" s="319"/>
      <c r="CA1278" s="319"/>
      <c r="CB1278" s="319"/>
      <c r="CC1278" s="319"/>
      <c r="CD1278" s="319"/>
      <c r="CE1278" s="319"/>
      <c r="CF1278" s="319"/>
    </row>
    <row r="1279" spans="1:84" ht="13.5" hidden="1" customHeight="1">
      <c r="A1279" s="319">
        <f t="shared" si="191"/>
        <v>1</v>
      </c>
      <c r="B1279" s="319" t="str">
        <f>Language!C1271</f>
        <v>Madeira de demolição-resto</v>
      </c>
      <c r="C1279" s="319" t="str">
        <f t="shared" si="189"/>
        <v>t</v>
      </c>
      <c r="D1279" s="319" t="str">
        <f t="shared" si="190"/>
        <v>€/t</v>
      </c>
      <c r="E1279" s="494">
        <f t="shared" si="195"/>
        <v>18.077045479999999</v>
      </c>
      <c r="F1279" s="494">
        <v>1000</v>
      </c>
      <c r="G1279" s="494">
        <f t="shared" si="196"/>
        <v>0</v>
      </c>
      <c r="H1279" s="494">
        <f t="shared" si="197"/>
        <v>0</v>
      </c>
      <c r="I1279" s="319" t="str">
        <f t="shared" si="194"/>
        <v>Madeira de demolição-resto</v>
      </c>
      <c r="J1279" s="319"/>
      <c r="K1279" s="319"/>
      <c r="L1279" s="319"/>
      <c r="M1279" s="319"/>
      <c r="N1279" s="319"/>
      <c r="O1279" s="319"/>
      <c r="P1279" s="494">
        <v>19.34840548</v>
      </c>
      <c r="Q1279" s="494">
        <v>18.077045479999999</v>
      </c>
      <c r="R1279" s="319" t="s">
        <v>7071</v>
      </c>
      <c r="S1279" s="319"/>
      <c r="T1279" s="319"/>
      <c r="U1279" s="319"/>
      <c r="V1279" s="319"/>
      <c r="W1279" s="319"/>
      <c r="X1279" s="319"/>
      <c r="Y1279" s="319"/>
      <c r="Z1279" s="319"/>
      <c r="AA1279" s="319"/>
      <c r="AB1279" s="319"/>
      <c r="AC1279" s="319"/>
      <c r="AD1279" s="319"/>
      <c r="AE1279" s="319"/>
      <c r="AF1279" s="319"/>
      <c r="AG1279" s="319"/>
      <c r="AH1279" s="319"/>
      <c r="AI1279" s="319"/>
      <c r="AJ1279" s="319"/>
      <c r="AK1279" s="319"/>
      <c r="AL1279" s="319"/>
      <c r="AM1279" s="319"/>
      <c r="AN1279" s="319"/>
      <c r="AO1279" s="587"/>
      <c r="AP1279" s="319"/>
      <c r="AQ1279" s="319"/>
      <c r="AR1279" s="319"/>
      <c r="AS1279" s="319"/>
      <c r="AT1279" s="319"/>
      <c r="AU1279" s="319"/>
      <c r="AV1279" s="319"/>
      <c r="AW1279" s="319"/>
      <c r="AX1279" s="319"/>
      <c r="AY1279" s="319"/>
      <c r="AZ1279" s="319"/>
      <c r="BA1279" s="319"/>
      <c r="BB1279" s="319"/>
      <c r="BC1279" s="319"/>
      <c r="BD1279" s="319"/>
      <c r="BE1279" s="319"/>
      <c r="BF1279" s="319"/>
      <c r="BG1279" s="319"/>
      <c r="BH1279" s="319"/>
      <c r="BI1279" s="319"/>
      <c r="BJ1279" s="319"/>
      <c r="BK1279" s="319"/>
      <c r="BL1279" s="319"/>
      <c r="BM1279" s="319"/>
      <c r="BN1279" s="319"/>
      <c r="BO1279" s="319"/>
      <c r="BP1279" s="319"/>
      <c r="BQ1279" s="319"/>
      <c r="BR1279" s="319"/>
      <c r="BS1279" s="319"/>
      <c r="BT1279" s="319"/>
      <c r="BU1279" s="319"/>
      <c r="BV1279" s="319"/>
      <c r="BW1279" s="319"/>
      <c r="BX1279" s="319"/>
      <c r="BY1279" s="319"/>
      <c r="BZ1279" s="319"/>
      <c r="CA1279" s="319"/>
      <c r="CB1279" s="319"/>
      <c r="CC1279" s="319"/>
      <c r="CD1279" s="319"/>
      <c r="CE1279" s="319"/>
      <c r="CF1279" s="319"/>
    </row>
    <row r="1280" spans="1:84" ht="13.5" hidden="1" customHeight="1">
      <c r="A1280" s="319">
        <f t="shared" si="191"/>
        <v>1</v>
      </c>
      <c r="B1280" s="319" t="str">
        <f>Language!C1272</f>
        <v>Madeiras macias - resíduos</v>
      </c>
      <c r="C1280" s="319" t="str">
        <f t="shared" si="189"/>
        <v>t</v>
      </c>
      <c r="D1280" s="319" t="str">
        <f t="shared" si="190"/>
        <v>€/t</v>
      </c>
      <c r="E1280" s="494">
        <f t="shared" si="195"/>
        <v>20.777760139999998</v>
      </c>
      <c r="F1280" s="494">
        <v>1000</v>
      </c>
      <c r="G1280" s="494">
        <f t="shared" si="196"/>
        <v>0</v>
      </c>
      <c r="H1280" s="494">
        <f t="shared" si="197"/>
        <v>0</v>
      </c>
      <c r="I1280" s="319" t="str">
        <f t="shared" si="194"/>
        <v>Madeiras macias - resíduos</v>
      </c>
      <c r="J1280" s="319"/>
      <c r="K1280" s="319"/>
      <c r="L1280" s="319"/>
      <c r="M1280" s="319"/>
      <c r="N1280" s="319"/>
      <c r="O1280" s="319"/>
      <c r="P1280" s="494">
        <v>22.290240139999998</v>
      </c>
      <c r="Q1280" s="494">
        <v>20.777760139999998</v>
      </c>
      <c r="R1280" s="605" t="s">
        <v>7137</v>
      </c>
      <c r="S1280" s="319"/>
      <c r="T1280" s="319"/>
      <c r="U1280" s="319"/>
      <c r="V1280" s="319"/>
      <c r="W1280" s="319"/>
      <c r="X1280" s="319"/>
      <c r="Y1280" s="319"/>
      <c r="Z1280" s="319"/>
      <c r="AA1280" s="319"/>
      <c r="AB1280" s="319"/>
      <c r="AC1280" s="319"/>
      <c r="AD1280" s="319"/>
      <c r="AE1280" s="319"/>
      <c r="AF1280" s="319"/>
      <c r="AG1280" s="319"/>
      <c r="AH1280" s="319"/>
      <c r="AI1280" s="319"/>
      <c r="AJ1280" s="319"/>
      <c r="AK1280" s="319"/>
      <c r="AL1280" s="319"/>
      <c r="AM1280" s="319"/>
      <c r="AN1280" s="319"/>
      <c r="AO1280" s="587"/>
      <c r="AP1280" s="319"/>
      <c r="AQ1280" s="319"/>
      <c r="AR1280" s="319"/>
      <c r="AS1280" s="319"/>
      <c r="AT1280" s="319"/>
      <c r="AU1280" s="319"/>
      <c r="AV1280" s="319"/>
      <c r="AW1280" s="319"/>
      <c r="AX1280" s="319"/>
      <c r="AY1280" s="319"/>
      <c r="AZ1280" s="319"/>
      <c r="BA1280" s="319"/>
      <c r="BB1280" s="319"/>
      <c r="BC1280" s="319"/>
      <c r="BD1280" s="319"/>
      <c r="BE1280" s="319"/>
      <c r="BF1280" s="319"/>
      <c r="BG1280" s="319"/>
      <c r="BH1280" s="319"/>
      <c r="BI1280" s="319"/>
      <c r="BJ1280" s="319"/>
      <c r="BK1280" s="319"/>
      <c r="BL1280" s="319"/>
      <c r="BM1280" s="319"/>
      <c r="BN1280" s="319"/>
      <c r="BO1280" s="319"/>
      <c r="BP1280" s="319"/>
      <c r="BQ1280" s="319"/>
      <c r="BR1280" s="319"/>
      <c r="BS1280" s="319"/>
      <c r="BT1280" s="319"/>
      <c r="BU1280" s="319"/>
      <c r="BV1280" s="319"/>
      <c r="BW1280" s="319"/>
      <c r="BX1280" s="319"/>
      <c r="BY1280" s="319"/>
      <c r="BZ1280" s="319"/>
      <c r="CA1280" s="319"/>
      <c r="CB1280" s="319"/>
      <c r="CC1280" s="319"/>
      <c r="CD1280" s="319"/>
      <c r="CE1280" s="319"/>
      <c r="CF1280" s="319"/>
    </row>
    <row r="1281" spans="1:84" ht="13.5" hidden="1" customHeight="1">
      <c r="A1281" s="319">
        <f t="shared" si="191"/>
        <v>1</v>
      </c>
      <c r="B1281" s="319" t="str">
        <f>Language!C1273</f>
        <v>Residuo de madeira - placa de partícula</v>
      </c>
      <c r="C1281" s="319" t="str">
        <f t="shared" si="189"/>
        <v>t</v>
      </c>
      <c r="D1281" s="319" t="str">
        <f t="shared" si="190"/>
        <v>€/t</v>
      </c>
      <c r="E1281" s="494">
        <f t="shared" si="195"/>
        <v>19.065945480000003</v>
      </c>
      <c r="F1281" s="494">
        <v>1000</v>
      </c>
      <c r="G1281" s="494">
        <f t="shared" si="196"/>
        <v>0</v>
      </c>
      <c r="H1281" s="494">
        <f t="shared" si="197"/>
        <v>0</v>
      </c>
      <c r="I1281" s="319" t="str">
        <f t="shared" si="194"/>
        <v>Residuo de madeira - placa de partícula</v>
      </c>
      <c r="J1281" s="319"/>
      <c r="K1281" s="319"/>
      <c r="L1281" s="319"/>
      <c r="M1281" s="319"/>
      <c r="N1281" s="319"/>
      <c r="O1281" s="319"/>
      <c r="P1281" s="494">
        <v>20.337305480000005</v>
      </c>
      <c r="Q1281" s="494">
        <v>19.065945480000003</v>
      </c>
      <c r="R1281" s="319" t="s">
        <v>7138</v>
      </c>
      <c r="S1281" s="319"/>
      <c r="T1281" s="319"/>
      <c r="U1281" s="319"/>
      <c r="V1281" s="319"/>
      <c r="W1281" s="319"/>
      <c r="X1281" s="319"/>
      <c r="Y1281" s="319"/>
      <c r="Z1281" s="319"/>
      <c r="AA1281" s="319"/>
      <c r="AB1281" s="319"/>
      <c r="AC1281" s="319"/>
      <c r="AD1281" s="319"/>
      <c r="AE1281" s="319"/>
      <c r="AF1281" s="319"/>
      <c r="AG1281" s="319"/>
      <c r="AH1281" s="319"/>
      <c r="AI1281" s="319"/>
      <c r="AJ1281" s="319"/>
      <c r="AK1281" s="319"/>
      <c r="AL1281" s="319"/>
      <c r="AM1281" s="319"/>
      <c r="AN1281" s="319"/>
      <c r="AO1281" s="587"/>
      <c r="AP1281" s="319"/>
      <c r="AQ1281" s="319"/>
      <c r="AR1281" s="319"/>
      <c r="AS1281" s="319"/>
      <c r="AT1281" s="319"/>
      <c r="AU1281" s="319"/>
      <c r="AV1281" s="319"/>
      <c r="AW1281" s="319"/>
      <c r="AX1281" s="319"/>
      <c r="AY1281" s="319"/>
      <c r="AZ1281" s="319"/>
      <c r="BA1281" s="319"/>
      <c r="BB1281" s="319"/>
      <c r="BC1281" s="319"/>
      <c r="BD1281" s="319"/>
      <c r="BE1281" s="319"/>
      <c r="BF1281" s="319"/>
      <c r="BG1281" s="319"/>
      <c r="BH1281" s="319"/>
      <c r="BI1281" s="319"/>
      <c r="BJ1281" s="319"/>
      <c r="BK1281" s="319"/>
      <c r="BL1281" s="319"/>
      <c r="BM1281" s="319"/>
      <c r="BN1281" s="319"/>
      <c r="BO1281" s="319"/>
      <c r="BP1281" s="319"/>
      <c r="BQ1281" s="319"/>
      <c r="BR1281" s="319"/>
      <c r="BS1281" s="319"/>
      <c r="BT1281" s="319"/>
      <c r="BU1281" s="319"/>
      <c r="BV1281" s="319"/>
      <c r="BW1281" s="319"/>
      <c r="BX1281" s="319"/>
      <c r="BY1281" s="319"/>
      <c r="BZ1281" s="319"/>
      <c r="CA1281" s="319"/>
      <c r="CB1281" s="319"/>
      <c r="CC1281" s="319"/>
      <c r="CD1281" s="319"/>
      <c r="CE1281" s="319"/>
      <c r="CF1281" s="319"/>
    </row>
    <row r="1282" spans="1:84" ht="13.5" hidden="1" customHeight="1">
      <c r="A1282" s="319">
        <f t="shared" si="191"/>
        <v>1</v>
      </c>
      <c r="B1282" s="319" t="str">
        <f>Language!C1274</f>
        <v>Madeira - resíduo c/placa</v>
      </c>
      <c r="C1282" s="319" t="str">
        <f t="shared" si="189"/>
        <v>t</v>
      </c>
      <c r="D1282" s="319" t="str">
        <f t="shared" si="190"/>
        <v>€/t</v>
      </c>
      <c r="E1282" s="494">
        <f t="shared" si="195"/>
        <v>20.754543600000002</v>
      </c>
      <c r="F1282" s="494">
        <v>1000</v>
      </c>
      <c r="G1282" s="494">
        <f t="shared" si="196"/>
        <v>0</v>
      </c>
      <c r="H1282" s="494">
        <f t="shared" si="197"/>
        <v>0</v>
      </c>
      <c r="I1282" s="319" t="str">
        <f t="shared" si="194"/>
        <v>Madeira - resíduo c/placa</v>
      </c>
      <c r="J1282" s="319"/>
      <c r="K1282" s="319"/>
      <c r="L1282" s="319"/>
      <c r="M1282" s="319"/>
      <c r="N1282" s="319"/>
      <c r="O1282" s="319"/>
      <c r="P1282" s="494">
        <v>22.069743600000002</v>
      </c>
      <c r="Q1282" s="494">
        <v>20.754543600000002</v>
      </c>
      <c r="R1282" s="319" t="s">
        <v>42</v>
      </c>
      <c r="S1282" s="319"/>
      <c r="T1282" s="319"/>
      <c r="U1282" s="319"/>
      <c r="V1282" s="319"/>
      <c r="W1282" s="319"/>
      <c r="X1282" s="319"/>
      <c r="Y1282" s="319"/>
      <c r="Z1282" s="319"/>
      <c r="AA1282" s="319"/>
      <c r="AB1282" s="319"/>
      <c r="AC1282" s="319"/>
      <c r="AD1282" s="319"/>
      <c r="AE1282" s="319"/>
      <c r="AF1282" s="319"/>
      <c r="AG1282" s="319"/>
      <c r="AH1282" s="319"/>
      <c r="AI1282" s="319"/>
      <c r="AJ1282" s="319"/>
      <c r="AK1282" s="319"/>
      <c r="AL1282" s="319"/>
      <c r="AM1282" s="319"/>
      <c r="AN1282" s="319"/>
      <c r="AO1282" s="587"/>
      <c r="AP1282" s="319"/>
      <c r="AQ1282" s="319"/>
      <c r="AR1282" s="319"/>
      <c r="AS1282" s="319"/>
      <c r="AT1282" s="319"/>
      <c r="AU1282" s="319"/>
      <c r="AV1282" s="319"/>
      <c r="AW1282" s="319"/>
      <c r="AX1282" s="319"/>
      <c r="AY1282" s="319"/>
      <c r="AZ1282" s="319"/>
      <c r="BA1282" s="319"/>
      <c r="BB1282" s="319"/>
      <c r="BC1282" s="319"/>
      <c r="BD1282" s="319"/>
      <c r="BE1282" s="319"/>
      <c r="BF1282" s="319"/>
      <c r="BG1282" s="319"/>
      <c r="BH1282" s="319"/>
      <c r="BI1282" s="319"/>
      <c r="BJ1282" s="319"/>
      <c r="BK1282" s="319"/>
      <c r="BL1282" s="319"/>
      <c r="BM1282" s="319"/>
      <c r="BN1282" s="319"/>
      <c r="BO1282" s="319"/>
      <c r="BP1282" s="319"/>
      <c r="BQ1282" s="319"/>
      <c r="BR1282" s="319"/>
      <c r="BS1282" s="319"/>
      <c r="BT1282" s="319"/>
      <c r="BU1282" s="319"/>
      <c r="BV1282" s="319"/>
      <c r="BW1282" s="319"/>
      <c r="BX1282" s="319"/>
      <c r="BY1282" s="319"/>
      <c r="BZ1282" s="319"/>
      <c r="CA1282" s="319"/>
      <c r="CB1282" s="319"/>
      <c r="CC1282" s="319"/>
      <c r="CD1282" s="319"/>
      <c r="CE1282" s="319"/>
      <c r="CF1282" s="319"/>
    </row>
    <row r="1283" spans="1:84" ht="13.5" hidden="1" customHeight="1">
      <c r="A1283" s="319">
        <f t="shared" si="191"/>
        <v>1</v>
      </c>
      <c r="B1283" s="319" t="str">
        <f>Language!C1275</f>
        <v>Madeira - resíduo s/pressão</v>
      </c>
      <c r="C1283" s="319" t="str">
        <f t="shared" si="189"/>
        <v>t</v>
      </c>
      <c r="D1283" s="319" t="str">
        <f t="shared" si="190"/>
        <v>€/t</v>
      </c>
      <c r="E1283" s="494">
        <f t="shared" si="195"/>
        <v>19.9139436</v>
      </c>
      <c r="F1283" s="494">
        <v>1000</v>
      </c>
      <c r="G1283" s="494">
        <f t="shared" si="196"/>
        <v>0</v>
      </c>
      <c r="H1283" s="494">
        <f t="shared" si="197"/>
        <v>0</v>
      </c>
      <c r="I1283" s="319" t="str">
        <f t="shared" si="194"/>
        <v>Madeira - resíduo s/pressão</v>
      </c>
      <c r="J1283" s="319"/>
      <c r="K1283" s="319"/>
      <c r="L1283" s="319"/>
      <c r="M1283" s="319"/>
      <c r="N1283" s="319"/>
      <c r="O1283" s="319"/>
      <c r="P1283" s="494">
        <v>21.2291436</v>
      </c>
      <c r="Q1283" s="494">
        <v>19.9139436</v>
      </c>
      <c r="R1283" s="319" t="s">
        <v>7131</v>
      </c>
      <c r="S1283" s="319"/>
      <c r="T1283" s="319"/>
      <c r="U1283" s="319"/>
      <c r="V1283" s="319"/>
      <c r="W1283" s="319"/>
      <c r="X1283" s="319"/>
      <c r="Y1283" s="319"/>
      <c r="Z1283" s="319"/>
      <c r="AA1283" s="319"/>
      <c r="AB1283" s="319"/>
      <c r="AC1283" s="319"/>
      <c r="AD1283" s="319"/>
      <c r="AE1283" s="319"/>
      <c r="AF1283" s="319"/>
      <c r="AG1283" s="319"/>
      <c r="AH1283" s="319"/>
      <c r="AI1283" s="319"/>
      <c r="AJ1283" s="319"/>
      <c r="AK1283" s="319"/>
      <c r="AL1283" s="319"/>
      <c r="AM1283" s="319"/>
      <c r="AN1283" s="319"/>
      <c r="AO1283" s="587"/>
      <c r="AP1283" s="319"/>
      <c r="AQ1283" s="319"/>
      <c r="AR1283" s="319"/>
      <c r="AS1283" s="319"/>
      <c r="AT1283" s="319"/>
      <c r="AU1283" s="319"/>
      <c r="AV1283" s="319"/>
      <c r="AW1283" s="319"/>
      <c r="AX1283" s="319"/>
      <c r="AY1283" s="319"/>
      <c r="AZ1283" s="319"/>
      <c r="BA1283" s="319"/>
      <c r="BB1283" s="319"/>
      <c r="BC1283" s="319"/>
      <c r="BD1283" s="319"/>
      <c r="BE1283" s="319"/>
      <c r="BF1283" s="319"/>
      <c r="BG1283" s="319"/>
      <c r="BH1283" s="319"/>
      <c r="BI1283" s="319"/>
      <c r="BJ1283" s="319"/>
      <c r="BK1283" s="319"/>
      <c r="BL1283" s="319"/>
      <c r="BM1283" s="319"/>
      <c r="BN1283" s="319"/>
      <c r="BO1283" s="319"/>
      <c r="BP1283" s="319"/>
      <c r="BQ1283" s="319"/>
      <c r="BR1283" s="319"/>
      <c r="BS1283" s="319"/>
      <c r="BT1283" s="319"/>
      <c r="BU1283" s="319"/>
      <c r="BV1283" s="319"/>
      <c r="BW1283" s="319"/>
      <c r="BX1283" s="319"/>
      <c r="BY1283" s="319"/>
      <c r="BZ1283" s="319"/>
      <c r="CA1283" s="319"/>
      <c r="CB1283" s="319"/>
      <c r="CC1283" s="319"/>
      <c r="CD1283" s="319"/>
      <c r="CE1283" s="319"/>
      <c r="CF1283" s="319"/>
    </row>
    <row r="1284" spans="1:84" ht="13.5" hidden="1" customHeight="1">
      <c r="A1284" s="319">
        <f t="shared" si="191"/>
        <v>1</v>
      </c>
      <c r="B1284" s="319" t="str">
        <f>Language!C1276</f>
        <v>Madeira - resíduo postes telefônicos</v>
      </c>
      <c r="C1284" s="319" t="str">
        <f t="shared" si="189"/>
        <v>t</v>
      </c>
      <c r="D1284" s="319" t="str">
        <f t="shared" si="190"/>
        <v>€/t</v>
      </c>
      <c r="E1284" s="494">
        <f t="shared" si="195"/>
        <v>21.107469540000004</v>
      </c>
      <c r="F1284" s="494">
        <v>1000</v>
      </c>
      <c r="G1284" s="494">
        <f t="shared" si="196"/>
        <v>0</v>
      </c>
      <c r="H1284" s="494">
        <f t="shared" si="197"/>
        <v>0</v>
      </c>
      <c r="I1284" s="319" t="str">
        <f t="shared" si="194"/>
        <v>Madeira - resíduo postes telefônicos</v>
      </c>
      <c r="J1284" s="319"/>
      <c r="K1284" s="319"/>
      <c r="L1284" s="319"/>
      <c r="M1284" s="319"/>
      <c r="N1284" s="319"/>
      <c r="O1284" s="319"/>
      <c r="P1284" s="494">
        <v>22.400749540000003</v>
      </c>
      <c r="Q1284" s="494">
        <v>21.107469540000004</v>
      </c>
      <c r="R1284" s="319" t="s">
        <v>7076</v>
      </c>
      <c r="S1284" s="319"/>
      <c r="T1284" s="319"/>
      <c r="U1284" s="319"/>
      <c r="V1284" s="319"/>
      <c r="W1284" s="319"/>
      <c r="X1284" s="319"/>
      <c r="Y1284" s="319"/>
      <c r="Z1284" s="319"/>
      <c r="AA1284" s="319"/>
      <c r="AB1284" s="319"/>
      <c r="AC1284" s="319"/>
      <c r="AD1284" s="319"/>
      <c r="AE1284" s="319"/>
      <c r="AF1284" s="319"/>
      <c r="AG1284" s="319"/>
      <c r="AH1284" s="319"/>
      <c r="AI1284" s="319"/>
      <c r="AJ1284" s="319"/>
      <c r="AK1284" s="319"/>
      <c r="AL1284" s="319"/>
      <c r="AM1284" s="319"/>
      <c r="AN1284" s="319"/>
      <c r="AO1284" s="587"/>
      <c r="AP1284" s="319"/>
      <c r="AQ1284" s="319"/>
      <c r="AR1284" s="319"/>
      <c r="AS1284" s="319"/>
      <c r="AT1284" s="319"/>
      <c r="AU1284" s="319"/>
      <c r="AV1284" s="319"/>
      <c r="AW1284" s="319"/>
      <c r="AX1284" s="319"/>
      <c r="AY1284" s="319"/>
      <c r="AZ1284" s="319"/>
      <c r="BA1284" s="319"/>
      <c r="BB1284" s="319"/>
      <c r="BC1284" s="319"/>
      <c r="BD1284" s="319"/>
      <c r="BE1284" s="319"/>
      <c r="BF1284" s="319"/>
      <c r="BG1284" s="319"/>
      <c r="BH1284" s="319"/>
      <c r="BI1284" s="319"/>
      <c r="BJ1284" s="319"/>
      <c r="BK1284" s="319"/>
      <c r="BL1284" s="319"/>
      <c r="BM1284" s="319"/>
      <c r="BN1284" s="319"/>
      <c r="BO1284" s="319"/>
      <c r="BP1284" s="319"/>
      <c r="BQ1284" s="319"/>
      <c r="BR1284" s="319"/>
      <c r="BS1284" s="319"/>
      <c r="BT1284" s="319"/>
      <c r="BU1284" s="319"/>
      <c r="BV1284" s="319"/>
      <c r="BW1284" s="319"/>
      <c r="BX1284" s="319"/>
      <c r="BY1284" s="319"/>
      <c r="BZ1284" s="319"/>
      <c r="CA1284" s="319"/>
      <c r="CB1284" s="319"/>
      <c r="CC1284" s="319"/>
      <c r="CD1284" s="319"/>
      <c r="CE1284" s="319"/>
      <c r="CF1284" s="319"/>
    </row>
    <row r="1285" spans="1:84" ht="13.5" hidden="1" customHeight="1">
      <c r="A1285" s="319">
        <f t="shared" si="191"/>
        <v>1</v>
      </c>
      <c r="B1285" s="319" t="str">
        <f>Language!C1277</f>
        <v>Madeira - resíduo típico</v>
      </c>
      <c r="C1285" s="319" t="str">
        <f t="shared" si="189"/>
        <v>t</v>
      </c>
      <c r="D1285" s="319" t="str">
        <f t="shared" si="190"/>
        <v>€/t</v>
      </c>
      <c r="E1285" s="494">
        <f t="shared" si="195"/>
        <v>18.375393599999999</v>
      </c>
      <c r="F1285" s="494">
        <v>1000</v>
      </c>
      <c r="G1285" s="494">
        <f t="shared" si="196"/>
        <v>0</v>
      </c>
      <c r="H1285" s="494">
        <f t="shared" si="197"/>
        <v>0</v>
      </c>
      <c r="I1285" s="319" t="str">
        <f t="shared" si="194"/>
        <v>Madeira - resíduo típico</v>
      </c>
      <c r="J1285" s="319"/>
      <c r="K1285" s="319"/>
      <c r="L1285" s="319"/>
      <c r="M1285" s="319"/>
      <c r="N1285" s="319"/>
      <c r="O1285" s="319"/>
      <c r="P1285" s="494">
        <v>19.6905936</v>
      </c>
      <c r="Q1285" s="494">
        <v>18.375393599999999</v>
      </c>
      <c r="R1285" s="319" t="s">
        <v>7081</v>
      </c>
      <c r="S1285" s="319"/>
      <c r="T1285" s="319"/>
      <c r="U1285" s="319"/>
      <c r="V1285" s="319"/>
      <c r="W1285" s="319"/>
      <c r="X1285" s="319"/>
      <c r="Y1285" s="319"/>
      <c r="Z1285" s="319"/>
      <c r="AA1285" s="319"/>
      <c r="AB1285" s="319"/>
      <c r="AC1285" s="319"/>
      <c r="AD1285" s="319"/>
      <c r="AE1285" s="319"/>
      <c r="AF1285" s="319"/>
      <c r="AG1285" s="319"/>
      <c r="AH1285" s="319"/>
      <c r="AI1285" s="319"/>
      <c r="AJ1285" s="319"/>
      <c r="AK1285" s="319"/>
      <c r="AL1285" s="319"/>
      <c r="AM1285" s="319"/>
      <c r="AN1285" s="319"/>
      <c r="AO1285" s="587"/>
      <c r="AP1285" s="319"/>
      <c r="AQ1285" s="319"/>
      <c r="AR1285" s="319"/>
      <c r="AS1285" s="319"/>
      <c r="AT1285" s="319"/>
      <c r="AU1285" s="319"/>
      <c r="AV1285" s="319"/>
      <c r="AW1285" s="319"/>
      <c r="AX1285" s="319"/>
      <c r="AY1285" s="319"/>
      <c r="AZ1285" s="319"/>
      <c r="BA1285" s="319"/>
      <c r="BB1285" s="319"/>
      <c r="BC1285" s="319"/>
      <c r="BD1285" s="319"/>
      <c r="BE1285" s="319"/>
      <c r="BF1285" s="319"/>
      <c r="BG1285" s="319"/>
      <c r="BH1285" s="319"/>
      <c r="BI1285" s="319"/>
      <c r="BJ1285" s="319"/>
      <c r="BK1285" s="319"/>
      <c r="BL1285" s="319"/>
      <c r="BM1285" s="319"/>
      <c r="BN1285" s="319"/>
      <c r="BO1285" s="319"/>
      <c r="BP1285" s="319"/>
      <c r="BQ1285" s="319"/>
      <c r="BR1285" s="319"/>
      <c r="BS1285" s="319"/>
      <c r="BT1285" s="319"/>
      <c r="BU1285" s="319"/>
      <c r="BV1285" s="319"/>
      <c r="BW1285" s="319"/>
      <c r="BX1285" s="319"/>
      <c r="BY1285" s="319"/>
      <c r="BZ1285" s="319"/>
      <c r="CA1285" s="319"/>
      <c r="CB1285" s="319"/>
      <c r="CC1285" s="319"/>
      <c r="CD1285" s="319"/>
      <c r="CE1285" s="319"/>
      <c r="CF1285" s="319"/>
    </row>
    <row r="1286" spans="1:84" ht="13.5" hidden="1" customHeight="1">
      <c r="A1286" s="319">
        <f t="shared" si="191"/>
        <v>1</v>
      </c>
      <c r="B1286" s="319" t="str">
        <f>Language!C1278</f>
        <v>Jardinagem - resíduo</v>
      </c>
      <c r="C1286" s="319" t="str">
        <f t="shared" si="189"/>
        <v>t</v>
      </c>
      <c r="D1286" s="319" t="str">
        <f t="shared" si="190"/>
        <v>€/t</v>
      </c>
      <c r="E1286" s="494">
        <f t="shared" si="195"/>
        <v>15.976402474</v>
      </c>
      <c r="F1286" s="494">
        <v>1000</v>
      </c>
      <c r="G1286" s="494">
        <f t="shared" si="196"/>
        <v>0</v>
      </c>
      <c r="H1286" s="494">
        <f t="shared" si="197"/>
        <v>0</v>
      </c>
      <c r="I1286" s="319" t="str">
        <f t="shared" si="194"/>
        <v>Jardinagem - resíduo</v>
      </c>
      <c r="J1286" s="319"/>
      <c r="K1286" s="319"/>
      <c r="L1286" s="319"/>
      <c r="M1286" s="319"/>
      <c r="N1286" s="319"/>
      <c r="O1286" s="319"/>
      <c r="P1286" s="494">
        <v>17.026370474</v>
      </c>
      <c r="Q1286" s="494">
        <v>15.976402474</v>
      </c>
      <c r="R1286" s="319" t="s">
        <v>7115</v>
      </c>
      <c r="S1286" s="319"/>
      <c r="T1286" s="319"/>
      <c r="U1286" s="319"/>
      <c r="V1286" s="319"/>
      <c r="W1286" s="319"/>
      <c r="X1286" s="319"/>
      <c r="Y1286" s="319"/>
      <c r="Z1286" s="319"/>
      <c r="AA1286" s="319"/>
      <c r="AB1286" s="319"/>
      <c r="AC1286" s="319"/>
      <c r="AD1286" s="319"/>
      <c r="AE1286" s="319"/>
      <c r="AF1286" s="319"/>
      <c r="AG1286" s="319"/>
      <c r="AH1286" s="319"/>
      <c r="AI1286" s="319"/>
      <c r="AJ1286" s="319"/>
      <c r="AK1286" s="319"/>
      <c r="AL1286" s="319"/>
      <c r="AM1286" s="319"/>
      <c r="AN1286" s="319"/>
      <c r="AO1286" s="587"/>
      <c r="AP1286" s="319"/>
      <c r="AQ1286" s="319"/>
      <c r="AR1286" s="319"/>
      <c r="AS1286" s="319"/>
      <c r="AT1286" s="319"/>
      <c r="AU1286" s="319"/>
      <c r="AV1286" s="319"/>
      <c r="AW1286" s="319"/>
      <c r="AX1286" s="319"/>
      <c r="AY1286" s="319"/>
      <c r="AZ1286" s="319"/>
      <c r="BA1286" s="319"/>
      <c r="BB1286" s="319"/>
      <c r="BC1286" s="319"/>
      <c r="BD1286" s="319"/>
      <c r="BE1286" s="319"/>
      <c r="BF1286" s="319"/>
      <c r="BG1286" s="319"/>
      <c r="BH1286" s="319"/>
      <c r="BI1286" s="319"/>
      <c r="BJ1286" s="319"/>
      <c r="BK1286" s="319"/>
      <c r="BL1286" s="319"/>
      <c r="BM1286" s="319"/>
      <c r="BN1286" s="319"/>
      <c r="BO1286" s="319"/>
      <c r="BP1286" s="319"/>
      <c r="BQ1286" s="319"/>
      <c r="BR1286" s="319"/>
      <c r="BS1286" s="319"/>
      <c r="BT1286" s="319"/>
      <c r="BU1286" s="319"/>
      <c r="BV1286" s="319"/>
      <c r="BW1286" s="319"/>
      <c r="BX1286" s="319"/>
      <c r="BY1286" s="319"/>
      <c r="BZ1286" s="319"/>
      <c r="CA1286" s="319"/>
      <c r="CB1286" s="319"/>
      <c r="CC1286" s="319"/>
      <c r="CD1286" s="319"/>
      <c r="CE1286" s="319"/>
      <c r="CF1286" s="319"/>
    </row>
    <row r="1287" spans="1:84" ht="13.5" hidden="1" customHeight="1">
      <c r="A1287" s="319">
        <f t="shared" si="191"/>
        <v>1</v>
      </c>
      <c r="B1287" s="319" t="str">
        <f>Language!C1443</f>
        <v>Combustível definido pelo usuário - gás</v>
      </c>
      <c r="C1287" s="319" t="str">
        <f>Ferramentas!D491</f>
        <v>m³</v>
      </c>
      <c r="D1287" s="319" t="str">
        <f>Ferramentas!D493</f>
        <v>€/m³</v>
      </c>
      <c r="E1287" s="494">
        <f t="shared" si="195"/>
        <v>44.083611901590224</v>
      </c>
      <c r="F1287" s="494">
        <f>Ferramentas!D492</f>
        <v>2.1041866421731199</v>
      </c>
      <c r="G1287" s="494">
        <f t="shared" si="196"/>
        <v>0</v>
      </c>
      <c r="H1287" s="494">
        <f t="shared" si="197"/>
        <v>0</v>
      </c>
      <c r="I1287" s="319" t="str">
        <f t="shared" si="194"/>
        <v>Combustível definido pelo usuário - gás</v>
      </c>
      <c r="J1287" s="319"/>
      <c r="K1287" s="319"/>
      <c r="L1287" s="319"/>
      <c r="M1287" s="319"/>
      <c r="N1287" s="319"/>
      <c r="O1287" s="319"/>
      <c r="P1287" s="494">
        <f>Ferramentas!F488/1000</f>
        <v>48.091999999999999</v>
      </c>
      <c r="Q1287" s="494">
        <f>Ferramentas!F489/1000</f>
        <v>44.083611901590224</v>
      </c>
      <c r="R1287" s="319" t="s">
        <v>7090</v>
      </c>
      <c r="S1287" s="319"/>
      <c r="T1287" s="319"/>
      <c r="U1287" s="319"/>
      <c r="V1287" s="319"/>
      <c r="W1287" s="319"/>
      <c r="X1287" s="319"/>
      <c r="Y1287" s="319"/>
      <c r="Z1287" s="319"/>
      <c r="AA1287" s="319"/>
      <c r="AB1287" s="319"/>
      <c r="AC1287" s="319"/>
      <c r="AD1287" s="319"/>
      <c r="AE1287" s="319"/>
      <c r="AF1287" s="319"/>
      <c r="AG1287" s="319"/>
      <c r="AH1287" s="319"/>
      <c r="AI1287" s="319"/>
      <c r="AJ1287" s="319"/>
      <c r="AK1287" s="319"/>
      <c r="AL1287" s="319"/>
      <c r="AM1287" s="319"/>
      <c r="AN1287" s="319"/>
      <c r="AO1287" s="587"/>
      <c r="AP1287" s="319"/>
      <c r="AQ1287" s="319"/>
      <c r="AR1287" s="319"/>
      <c r="AS1287" s="319"/>
      <c r="AT1287" s="319"/>
      <c r="AU1287" s="319"/>
      <c r="AV1287" s="319"/>
      <c r="AW1287" s="319"/>
      <c r="AX1287" s="319"/>
      <c r="AY1287" s="319"/>
      <c r="AZ1287" s="319"/>
      <c r="BA1287" s="319"/>
      <c r="BB1287" s="319"/>
      <c r="BC1287" s="319"/>
      <c r="BD1287" s="319"/>
      <c r="BE1287" s="319"/>
      <c r="BF1287" s="319"/>
      <c r="BG1287" s="319"/>
      <c r="BH1287" s="319"/>
      <c r="BI1287" s="319"/>
      <c r="BJ1287" s="319"/>
      <c r="BK1287" s="319"/>
      <c r="BL1287" s="319"/>
      <c r="BM1287" s="319"/>
      <c r="BN1287" s="319"/>
      <c r="BO1287" s="319"/>
      <c r="BP1287" s="319"/>
      <c r="BQ1287" s="319"/>
      <c r="BR1287" s="319"/>
      <c r="BS1287" s="319"/>
      <c r="BT1287" s="319"/>
      <c r="BU1287" s="319"/>
      <c r="BV1287" s="319"/>
      <c r="BW1287" s="319"/>
      <c r="BX1287" s="319"/>
      <c r="BY1287" s="319"/>
      <c r="BZ1287" s="319"/>
      <c r="CA1287" s="319"/>
      <c r="CB1287" s="319"/>
      <c r="CC1287" s="319"/>
      <c r="CD1287" s="319"/>
      <c r="CE1287" s="319"/>
      <c r="CF1287" s="319"/>
    </row>
    <row r="1288" spans="1:84" ht="13.5" hidden="1" customHeight="1">
      <c r="A1288" s="319">
        <f t="shared" si="191"/>
        <v>1</v>
      </c>
      <c r="B1288" s="319" t="str">
        <f>Language!C1444</f>
        <v>Combustível definido pelo usuário - sólido</v>
      </c>
      <c r="C1288" s="319" t="str">
        <f>Ferramentas!D518</f>
        <v>kg</v>
      </c>
      <c r="D1288" s="319" t="str">
        <f>Ferramentas!D519</f>
        <v>€/kg</v>
      </c>
      <c r="E1288" s="494">
        <f t="shared" si="195"/>
        <v>34.1</v>
      </c>
      <c r="F1288" s="494">
        <f>Ferramentas!L518</f>
        <v>1</v>
      </c>
      <c r="G1288" s="494">
        <f t="shared" si="196"/>
        <v>0</v>
      </c>
      <c r="H1288" s="494">
        <f t="shared" si="197"/>
        <v>0</v>
      </c>
      <c r="I1288" s="319" t="str">
        <f>B1288</f>
        <v>Combustível definido pelo usuário - sólido</v>
      </c>
      <c r="J1288" s="319"/>
      <c r="K1288" s="319"/>
      <c r="L1288" s="319"/>
      <c r="M1288" s="319"/>
      <c r="N1288" s="319"/>
      <c r="O1288" s="319"/>
      <c r="P1288" s="494">
        <f>Ferramentas!D515/1000</f>
        <v>34.1</v>
      </c>
      <c r="Q1288" s="494">
        <f>Ferramentas!D516/1000</f>
        <v>34.1</v>
      </c>
      <c r="R1288" s="319" t="s">
        <v>7070</v>
      </c>
      <c r="S1288" s="319"/>
      <c r="T1288" s="319"/>
      <c r="U1288" s="319"/>
      <c r="V1288" s="319"/>
      <c r="W1288" s="319"/>
      <c r="X1288" s="319"/>
      <c r="Y1288" s="319"/>
      <c r="Z1288" s="319"/>
      <c r="AA1288" s="319"/>
      <c r="AB1288" s="319"/>
      <c r="AC1288" s="319"/>
      <c r="AD1288" s="319"/>
      <c r="AE1288" s="319"/>
      <c r="AF1288" s="319"/>
      <c r="AG1288" s="319"/>
      <c r="AH1288" s="319"/>
      <c r="AI1288" s="319"/>
      <c r="AJ1288" s="319"/>
      <c r="AK1288" s="319"/>
      <c r="AL1288" s="319"/>
      <c r="AM1288" s="319"/>
      <c r="AN1288" s="319"/>
      <c r="AO1288" s="587"/>
      <c r="AP1288" s="319"/>
      <c r="AQ1288" s="319"/>
      <c r="AR1288" s="319"/>
      <c r="AS1288" s="319"/>
      <c r="AT1288" s="319"/>
      <c r="AU1288" s="319"/>
      <c r="AV1288" s="319"/>
      <c r="AW1288" s="319"/>
      <c r="AX1288" s="319"/>
      <c r="AY1288" s="319"/>
      <c r="AZ1288" s="319"/>
      <c r="BA1288" s="319"/>
      <c r="BB1288" s="319"/>
      <c r="BC1288" s="319"/>
      <c r="BD1288" s="319"/>
      <c r="BE1288" s="319"/>
      <c r="BF1288" s="319"/>
      <c r="BG1288" s="319"/>
      <c r="BH1288" s="319"/>
      <c r="BI1288" s="319"/>
      <c r="BJ1288" s="319"/>
      <c r="BK1288" s="319"/>
      <c r="BL1288" s="319"/>
      <c r="BM1288" s="319"/>
      <c r="BN1288" s="319"/>
      <c r="BO1288" s="319"/>
      <c r="BP1288" s="319"/>
      <c r="BQ1288" s="319"/>
      <c r="BR1288" s="319"/>
      <c r="BS1288" s="319"/>
      <c r="BT1288" s="319"/>
      <c r="BU1288" s="319"/>
      <c r="BV1288" s="319"/>
      <c r="BW1288" s="319"/>
      <c r="BX1288" s="319"/>
      <c r="BY1288" s="319"/>
      <c r="BZ1288" s="319"/>
      <c r="CA1288" s="319"/>
      <c r="CB1288" s="319"/>
      <c r="CC1288" s="319"/>
      <c r="CD1288" s="319"/>
      <c r="CE1288" s="319"/>
      <c r="CF1288" s="319"/>
    </row>
    <row r="1289" spans="1:84" ht="13.5" hidden="1" customHeight="1">
      <c r="A1289" s="319">
        <f t="shared" si="191"/>
        <v>1</v>
      </c>
      <c r="B1289" s="319" t="str">
        <f>Language!C1280</f>
        <v xml:space="preserve">Biomassa </v>
      </c>
      <c r="C1289" s="319" t="str">
        <f>$M$1175</f>
        <v>t</v>
      </c>
      <c r="D1289" s="319" t="str">
        <f>$O$1175</f>
        <v>€/t</v>
      </c>
      <c r="E1289" s="494">
        <f t="shared" si="195"/>
        <v>18.444143599999997</v>
      </c>
      <c r="F1289" s="494">
        <v>1000</v>
      </c>
      <c r="G1289" s="494"/>
      <c r="H1289" s="494"/>
      <c r="I1289" s="319" t="str">
        <f t="shared" ref="I1289:I1294" si="198">B1289</f>
        <v xml:space="preserve">Biomassa </v>
      </c>
      <c r="J1289" s="319"/>
      <c r="K1289" s="319"/>
      <c r="L1289" s="319"/>
      <c r="M1289" s="319"/>
      <c r="N1289" s="319"/>
      <c r="O1289" s="319"/>
      <c r="P1289" s="494">
        <f>P1175</f>
        <v>19.759343599999998</v>
      </c>
      <c r="Q1289" s="494">
        <f>Q1175</f>
        <v>18.444143599999997</v>
      </c>
      <c r="R1289" s="319" t="s">
        <v>4481</v>
      </c>
      <c r="S1289" s="319"/>
      <c r="T1289" s="319"/>
      <c r="U1289" s="319"/>
      <c r="V1289" s="319"/>
      <c r="W1289" s="319"/>
      <c r="X1289" s="319"/>
      <c r="Y1289" s="319"/>
      <c r="Z1289" s="319"/>
      <c r="AA1289" s="319"/>
      <c r="AB1289" s="319"/>
      <c r="AC1289" s="319"/>
      <c r="AD1289" s="319"/>
      <c r="AE1289" s="319"/>
      <c r="AF1289" s="319"/>
      <c r="AG1289" s="319"/>
      <c r="AH1289" s="319"/>
      <c r="AI1289" s="319"/>
      <c r="AJ1289" s="319"/>
      <c r="AK1289" s="319"/>
      <c r="AL1289" s="319"/>
      <c r="AM1289" s="319"/>
      <c r="AN1289" s="319"/>
      <c r="AO1289" s="587"/>
      <c r="AP1289" s="319"/>
      <c r="AQ1289" s="319"/>
      <c r="AR1289" s="319"/>
      <c r="AS1289" s="319"/>
      <c r="AT1289" s="319"/>
      <c r="AU1289" s="319"/>
      <c r="AV1289" s="319"/>
      <c r="AW1289" s="319"/>
      <c r="AX1289" s="319"/>
      <c r="AY1289" s="319"/>
      <c r="AZ1289" s="319"/>
      <c r="BA1289" s="319"/>
      <c r="BB1289" s="319"/>
      <c r="BC1289" s="319"/>
      <c r="BD1289" s="319"/>
      <c r="BE1289" s="319"/>
      <c r="BF1289" s="319"/>
      <c r="BG1289" s="319"/>
      <c r="BH1289" s="319"/>
      <c r="BI1289" s="319"/>
      <c r="BJ1289" s="319"/>
      <c r="BK1289" s="319"/>
      <c r="BL1289" s="319"/>
      <c r="BM1289" s="319"/>
      <c r="BN1289" s="319"/>
      <c r="BO1289" s="319"/>
      <c r="BP1289" s="319"/>
      <c r="BQ1289" s="319"/>
      <c r="BR1289" s="319"/>
      <c r="BS1289" s="319"/>
      <c r="BT1289" s="319"/>
      <c r="BU1289" s="319"/>
      <c r="BV1289" s="319"/>
      <c r="BW1289" s="319"/>
      <c r="BX1289" s="319"/>
      <c r="BY1289" s="319"/>
      <c r="BZ1289" s="319"/>
      <c r="CA1289" s="319"/>
      <c r="CB1289" s="319"/>
      <c r="CC1289" s="319"/>
      <c r="CD1289" s="319"/>
      <c r="CE1289" s="319"/>
      <c r="CF1289" s="319"/>
    </row>
    <row r="1290" spans="1:84" ht="13.5" hidden="1" customHeight="1">
      <c r="A1290" s="319">
        <f t="shared" si="191"/>
        <v>1</v>
      </c>
      <c r="B1290" s="319" t="str">
        <f>IF(AND(HideCode_projectType=9,EE_UserCode=2),I1160,"XX")</f>
        <v>XX</v>
      </c>
      <c r="C1290" s="319" t="str">
        <f>Language!C1365</f>
        <v>kWh</v>
      </c>
      <c r="D1290" s="319" t="str">
        <f>O1179</f>
        <v>€/kWh</v>
      </c>
      <c r="E1290" s="494">
        <f t="shared" si="195"/>
        <v>3.6</v>
      </c>
      <c r="F1290" s="494">
        <v>1000</v>
      </c>
      <c r="G1290" s="494">
        <f>IF($C$1117=0,SUMIF($R$940:$R$961,B1290,$G$940:$G$961),SUMIF($I$1155:$I$1170,B1290,$J$1155:$J$1170))</f>
        <v>0</v>
      </c>
      <c r="H1290" s="494">
        <f>IF($C$1117=0,SUMIF($R$940:$R$961,B1290,$S$940:$S$961),SUMIF($I$1155:$I$1170,B1290,$K$1155:$K$1170))</f>
        <v>0</v>
      </c>
      <c r="I1290" s="319" t="str">
        <f t="shared" si="198"/>
        <v>XX</v>
      </c>
      <c r="J1290" s="319"/>
      <c r="K1290" s="319"/>
      <c r="L1290" s="319"/>
      <c r="M1290" s="319"/>
      <c r="N1290" s="319"/>
      <c r="O1290" s="319"/>
      <c r="P1290" s="494">
        <v>3.6</v>
      </c>
      <c r="Q1290" s="494">
        <f>P1290</f>
        <v>3.6</v>
      </c>
      <c r="R1290" s="319" t="s">
        <v>179</v>
      </c>
      <c r="S1290" s="319"/>
      <c r="T1290" s="319"/>
      <c r="U1290" s="319"/>
      <c r="V1290" s="319"/>
      <c r="W1290" s="319"/>
      <c r="X1290" s="319"/>
      <c r="Y1290" s="319"/>
      <c r="Z1290" s="319"/>
      <c r="AA1290" s="319"/>
      <c r="AB1290" s="319"/>
      <c r="AC1290" s="319"/>
      <c r="AD1290" s="319"/>
      <c r="AE1290" s="319"/>
      <c r="AF1290" s="319"/>
      <c r="AG1290" s="319"/>
      <c r="AH1290" s="319"/>
      <c r="AI1290" s="319"/>
      <c r="AJ1290" s="319"/>
      <c r="AK1290" s="319"/>
      <c r="AL1290" s="319"/>
      <c r="AM1290" s="319"/>
      <c r="AN1290" s="319"/>
      <c r="AO1290" s="587"/>
      <c r="AP1290" s="319"/>
      <c r="AQ1290" s="319"/>
      <c r="AR1290" s="319"/>
      <c r="AS1290" s="319"/>
      <c r="AT1290" s="319"/>
      <c r="AU1290" s="319"/>
      <c r="AV1290" s="319"/>
      <c r="AW1290" s="319"/>
      <c r="AX1290" s="319"/>
      <c r="AY1290" s="319"/>
      <c r="AZ1290" s="319"/>
      <c r="BA1290" s="319"/>
      <c r="BB1290" s="319"/>
      <c r="BC1290" s="319"/>
      <c r="BD1290" s="319"/>
      <c r="BE1290" s="319"/>
      <c r="BF1290" s="319"/>
      <c r="BG1290" s="319"/>
      <c r="BH1290" s="319"/>
      <c r="BI1290" s="319"/>
      <c r="BJ1290" s="319"/>
      <c r="BK1290" s="319"/>
      <c r="BL1290" s="319"/>
      <c r="BM1290" s="319"/>
      <c r="BN1290" s="319"/>
      <c r="BO1290" s="319"/>
      <c r="BP1290" s="319"/>
      <c r="BQ1290" s="319"/>
      <c r="BR1290" s="319"/>
      <c r="BS1290" s="319"/>
      <c r="BT1290" s="319"/>
      <c r="BU1290" s="319"/>
      <c r="BV1290" s="319"/>
      <c r="BW1290" s="319"/>
      <c r="BX1290" s="319"/>
      <c r="BY1290" s="319"/>
      <c r="BZ1290" s="319"/>
      <c r="CA1290" s="319"/>
      <c r="CB1290" s="319"/>
      <c r="CC1290" s="319"/>
      <c r="CD1290" s="319"/>
      <c r="CE1290" s="319"/>
      <c r="CF1290" s="319"/>
    </row>
    <row r="1291" spans="1:84" ht="13.5" hidden="1" customHeight="1">
      <c r="A1291" s="319">
        <f t="shared" si="191"/>
        <v>1</v>
      </c>
      <c r="B1291" s="319" t="str">
        <f>Language!C1281</f>
        <v>Refrigeração Natural</v>
      </c>
      <c r="C1291" s="319" t="str">
        <f>R14</f>
        <v>MWh</v>
      </c>
      <c r="D1291" s="319" t="str">
        <f>O1197</f>
        <v>€/MWh</v>
      </c>
      <c r="E1291" s="494">
        <f t="shared" si="195"/>
        <v>3600</v>
      </c>
      <c r="F1291" s="494">
        <v>1</v>
      </c>
      <c r="G1291" s="494">
        <f>IF($C$1117=0,SUMIF($R$940:$R$961,B1291,$G$940:$G$961),SUMIF($I$1155:$I$1170,B1291,$J$1155:$J$1170))</f>
        <v>0</v>
      </c>
      <c r="H1291" s="494">
        <f>IF($C$1117=0,SUMIF($R$940:$R$961,B1291,$S$940:$S$961),SUMIF($I$1155:$I$1170,B1291,$K$1155:$K$1170))</f>
        <v>0</v>
      </c>
      <c r="I1291" s="319" t="str">
        <f t="shared" si="198"/>
        <v>Refrigeração Natural</v>
      </c>
      <c r="J1291" s="319"/>
      <c r="K1291" s="319"/>
      <c r="L1291" s="319"/>
      <c r="M1291" s="319"/>
      <c r="N1291" s="319"/>
      <c r="O1291" s="319"/>
      <c r="P1291" s="494">
        <v>3600</v>
      </c>
      <c r="Q1291" s="494">
        <v>3600</v>
      </c>
      <c r="R1291" s="319" t="s">
        <v>334</v>
      </c>
      <c r="S1291" s="319"/>
      <c r="T1291" s="319"/>
      <c r="U1291" s="319"/>
      <c r="V1291" s="319"/>
      <c r="W1291" s="319"/>
      <c r="X1291" s="319"/>
      <c r="Y1291" s="319"/>
      <c r="Z1291" s="319"/>
      <c r="AA1291" s="319"/>
      <c r="AB1291" s="319"/>
      <c r="AC1291" s="319"/>
      <c r="AD1291" s="319"/>
      <c r="AE1291" s="319"/>
      <c r="AF1291" s="319"/>
      <c r="AG1291" s="319"/>
      <c r="AH1291" s="319"/>
      <c r="AI1291" s="319"/>
      <c r="AJ1291" s="319"/>
      <c r="AK1291" s="319"/>
      <c r="AL1291" s="319"/>
      <c r="AM1291" s="319"/>
      <c r="AN1291" s="319"/>
      <c r="AO1291" s="587"/>
      <c r="AP1291" s="319"/>
      <c r="AQ1291" s="319"/>
      <c r="AR1291" s="319"/>
      <c r="AS1291" s="319"/>
      <c r="AT1291" s="319"/>
      <c r="AU1291" s="319"/>
      <c r="AV1291" s="319"/>
      <c r="AW1291" s="319"/>
      <c r="AX1291" s="319"/>
      <c r="AY1291" s="319"/>
      <c r="AZ1291" s="319"/>
      <c r="BA1291" s="319"/>
      <c r="BB1291" s="319"/>
      <c r="BC1291" s="319"/>
      <c r="BD1291" s="319"/>
      <c r="BE1291" s="319"/>
      <c r="BF1291" s="319"/>
      <c r="BG1291" s="319"/>
      <c r="BH1291" s="319"/>
      <c r="BI1291" s="319"/>
      <c r="BJ1291" s="319"/>
      <c r="BK1291" s="319"/>
      <c r="BL1291" s="319"/>
      <c r="BM1291" s="319"/>
      <c r="BN1291" s="319"/>
      <c r="BO1291" s="319"/>
      <c r="BP1291" s="319"/>
      <c r="BQ1291" s="319"/>
      <c r="BR1291" s="319"/>
      <c r="BS1291" s="319"/>
      <c r="BT1291" s="319"/>
      <c r="BU1291" s="319"/>
      <c r="BV1291" s="319"/>
      <c r="BW1291" s="319"/>
      <c r="BX1291" s="319"/>
      <c r="BY1291" s="319"/>
      <c r="BZ1291" s="319"/>
      <c r="CA1291" s="319"/>
      <c r="CB1291" s="319"/>
      <c r="CC1291" s="319"/>
      <c r="CD1291" s="319"/>
      <c r="CE1291" s="319"/>
      <c r="CF1291" s="319"/>
    </row>
    <row r="1292" spans="1:84" ht="13.5" hidden="1" customHeight="1">
      <c r="A1292" s="319"/>
      <c r="B1292" s="319" t="str">
        <f>Language!C1282</f>
        <v>Calor recuperado</v>
      </c>
      <c r="C1292" s="319"/>
      <c r="D1292" s="319"/>
      <c r="E1292" s="319"/>
      <c r="F1292" s="319"/>
      <c r="G1292" s="319"/>
      <c r="H1292" s="319"/>
      <c r="I1292" s="319" t="str">
        <f t="shared" si="198"/>
        <v>Calor recuperado</v>
      </c>
      <c r="J1292" s="319"/>
      <c r="K1292" s="319"/>
      <c r="L1292" s="319"/>
      <c r="M1292" s="319"/>
      <c r="N1292" s="319"/>
      <c r="O1292" s="319"/>
      <c r="P1292" s="319"/>
      <c r="Q1292" s="319"/>
      <c r="R1292" s="319" t="s">
        <v>1183</v>
      </c>
      <c r="S1292" s="319"/>
      <c r="T1292" s="319"/>
      <c r="U1292" s="319"/>
      <c r="V1292" s="319"/>
      <c r="W1292" s="319"/>
      <c r="X1292" s="319"/>
      <c r="Y1292" s="319"/>
      <c r="Z1292" s="319"/>
      <c r="AA1292" s="319"/>
      <c r="AB1292" s="319"/>
      <c r="AC1292" s="319"/>
      <c r="AD1292" s="319"/>
      <c r="AE1292" s="319"/>
      <c r="AF1292" s="319"/>
      <c r="AG1292" s="319"/>
      <c r="AH1292" s="319"/>
      <c r="AI1292" s="319"/>
      <c r="AJ1292" s="319"/>
      <c r="AK1292" s="319"/>
      <c r="AL1292" s="319"/>
      <c r="AM1292" s="319"/>
      <c r="AN1292" s="319"/>
      <c r="AO1292" s="587"/>
      <c r="AP1292" s="319"/>
      <c r="AQ1292" s="319"/>
      <c r="AR1292" s="319"/>
      <c r="AS1292" s="319"/>
      <c r="AT1292" s="319"/>
      <c r="AU1292" s="319"/>
      <c r="AV1292" s="319"/>
      <c r="AW1292" s="319"/>
      <c r="AX1292" s="319"/>
      <c r="AY1292" s="319"/>
      <c r="AZ1292" s="319"/>
      <c r="BA1292" s="319"/>
      <c r="BB1292" s="319"/>
      <c r="BC1292" s="319"/>
      <c r="BD1292" s="319"/>
      <c r="BE1292" s="319"/>
      <c r="BF1292" s="319"/>
      <c r="BG1292" s="319"/>
      <c r="BH1292" s="319"/>
      <c r="BI1292" s="319"/>
      <c r="BJ1292" s="319"/>
      <c r="BK1292" s="319"/>
      <c r="BL1292" s="319"/>
      <c r="BM1292" s="319"/>
      <c r="BN1292" s="319"/>
      <c r="BO1292" s="319"/>
      <c r="BP1292" s="319"/>
      <c r="BQ1292" s="319"/>
      <c r="BR1292" s="319"/>
      <c r="BS1292" s="319"/>
      <c r="BT1292" s="319"/>
      <c r="BU1292" s="319"/>
      <c r="BV1292" s="319"/>
      <c r="BW1292" s="319"/>
      <c r="BX1292" s="319"/>
      <c r="BY1292" s="319"/>
      <c r="BZ1292" s="319"/>
      <c r="CA1292" s="319"/>
      <c r="CB1292" s="319"/>
      <c r="CC1292" s="319"/>
      <c r="CD1292" s="319"/>
      <c r="CE1292" s="319"/>
      <c r="CF1292" s="319"/>
    </row>
    <row r="1293" spans="1:84" ht="13.5" hidden="1" customHeight="1">
      <c r="A1293" s="319"/>
      <c r="B1293" s="319" t="str">
        <f>Language!C1283</f>
        <v>Sistema de Aquecimento</v>
      </c>
      <c r="C1293" s="319"/>
      <c r="D1293" s="319"/>
      <c r="E1293" s="319"/>
      <c r="F1293" s="319"/>
      <c r="G1293" s="319"/>
      <c r="H1293" s="319"/>
      <c r="I1293" s="319" t="str">
        <f t="shared" si="198"/>
        <v>Sistema de Aquecimento</v>
      </c>
      <c r="J1293" s="319"/>
      <c r="K1293" s="319"/>
      <c r="L1293" s="319"/>
      <c r="M1293" s="319"/>
      <c r="N1293" s="319"/>
      <c r="O1293" s="319"/>
      <c r="P1293" s="319"/>
      <c r="Q1293" s="319"/>
      <c r="R1293" s="319" t="s">
        <v>922</v>
      </c>
      <c r="S1293" s="319"/>
      <c r="T1293" s="319"/>
      <c r="U1293" s="319"/>
      <c r="V1293" s="319"/>
      <c r="W1293" s="319"/>
      <c r="X1293" s="319"/>
      <c r="Y1293" s="319"/>
      <c r="Z1293" s="319"/>
      <c r="AA1293" s="319"/>
      <c r="AB1293" s="319"/>
      <c r="AC1293" s="319"/>
      <c r="AD1293" s="319"/>
      <c r="AE1293" s="319"/>
      <c r="AF1293" s="319"/>
      <c r="AG1293" s="319"/>
      <c r="AH1293" s="319"/>
      <c r="AI1293" s="319"/>
      <c r="AJ1293" s="319"/>
      <c r="AK1293" s="319"/>
      <c r="AL1293" s="319"/>
      <c r="AM1293" s="319"/>
      <c r="AN1293" s="319"/>
      <c r="AO1293" s="587"/>
      <c r="AP1293" s="319"/>
      <c r="AQ1293" s="319"/>
      <c r="AR1293" s="319"/>
      <c r="AS1293" s="319"/>
      <c r="AT1293" s="319"/>
      <c r="AU1293" s="319"/>
      <c r="AV1293" s="319"/>
      <c r="AW1293" s="319"/>
      <c r="AX1293" s="319"/>
      <c r="AY1293" s="319"/>
      <c r="AZ1293" s="319"/>
      <c r="BA1293" s="319"/>
      <c r="BB1293" s="319"/>
      <c r="BC1293" s="319"/>
      <c r="BD1293" s="319"/>
      <c r="BE1293" s="319"/>
      <c r="BF1293" s="319"/>
      <c r="BG1293" s="319"/>
      <c r="BH1293" s="319"/>
      <c r="BI1293" s="319"/>
      <c r="BJ1293" s="319"/>
      <c r="BK1293" s="319"/>
      <c r="BL1293" s="319"/>
      <c r="BM1293" s="319"/>
      <c r="BN1293" s="319"/>
      <c r="BO1293" s="319"/>
      <c r="BP1293" s="319"/>
      <c r="BQ1293" s="319"/>
      <c r="BR1293" s="319"/>
      <c r="BS1293" s="319"/>
      <c r="BT1293" s="319"/>
      <c r="BU1293" s="319"/>
      <c r="BV1293" s="319"/>
      <c r="BW1293" s="319"/>
      <c r="BX1293" s="319"/>
      <c r="BY1293" s="319"/>
      <c r="BZ1293" s="319"/>
      <c r="CA1293" s="319"/>
      <c r="CB1293" s="319"/>
      <c r="CC1293" s="319"/>
      <c r="CD1293" s="319"/>
      <c r="CE1293" s="319"/>
      <c r="CF1293" s="319"/>
    </row>
    <row r="1294" spans="1:84" ht="13.5" hidden="1" customHeight="1">
      <c r="A1294" s="319"/>
      <c r="B1294" s="319" t="str">
        <f>Language!C1284</f>
        <v>Sistema de produção de eletricidade</v>
      </c>
      <c r="C1294" s="319"/>
      <c r="D1294" s="319"/>
      <c r="E1294" s="319"/>
      <c r="F1294" s="319"/>
      <c r="G1294" s="319"/>
      <c r="H1294" s="319"/>
      <c r="I1294" s="319" t="str">
        <f t="shared" si="198"/>
        <v>Sistema de produção de eletricidade</v>
      </c>
      <c r="J1294" s="319"/>
      <c r="K1294" s="319"/>
      <c r="L1294" s="319"/>
      <c r="M1294" s="319"/>
      <c r="N1294" s="319"/>
      <c r="O1294" s="319"/>
      <c r="P1294" s="319"/>
      <c r="Q1294" s="319"/>
      <c r="R1294" s="319" t="s">
        <v>4791</v>
      </c>
      <c r="S1294" s="319"/>
      <c r="T1294" s="319"/>
      <c r="U1294" s="319"/>
      <c r="V1294" s="319"/>
      <c r="W1294" s="319"/>
      <c r="X1294" s="319"/>
      <c r="Y1294" s="319"/>
      <c r="Z1294" s="319"/>
      <c r="AA1294" s="319"/>
      <c r="AB1294" s="319"/>
      <c r="AC1294" s="319"/>
      <c r="AD1294" s="319"/>
      <c r="AE1294" s="319"/>
      <c r="AF1294" s="319"/>
      <c r="AG1294" s="319"/>
      <c r="AH1294" s="319"/>
      <c r="AI1294" s="319"/>
      <c r="AJ1294" s="319"/>
      <c r="AK1294" s="319"/>
      <c r="AL1294" s="319"/>
      <c r="AM1294" s="319"/>
      <c r="AN1294" s="319"/>
      <c r="AO1294" s="587"/>
      <c r="AP1294" s="319"/>
      <c r="AQ1294" s="319"/>
      <c r="AR1294" s="319"/>
      <c r="AS1294" s="319"/>
      <c r="AT1294" s="319"/>
      <c r="AU1294" s="319"/>
      <c r="AV1294" s="319"/>
      <c r="AW1294" s="319"/>
      <c r="AX1294" s="319"/>
      <c r="AY1294" s="319"/>
      <c r="AZ1294" s="319"/>
      <c r="BA1294" s="319"/>
      <c r="BB1294" s="319"/>
      <c r="BC1294" s="319"/>
      <c r="BD1294" s="319"/>
      <c r="BE1294" s="319"/>
      <c r="BF1294" s="319"/>
      <c r="BG1294" s="319"/>
      <c r="BH1294" s="319"/>
      <c r="BI1294" s="319"/>
      <c r="BJ1294" s="319"/>
      <c r="BK1294" s="319"/>
      <c r="BL1294" s="319"/>
      <c r="BM1294" s="319"/>
      <c r="BN1294" s="319"/>
      <c r="BO1294" s="319"/>
      <c r="BP1294" s="319"/>
      <c r="BQ1294" s="319"/>
      <c r="BR1294" s="319"/>
      <c r="BS1294" s="319"/>
      <c r="BT1294" s="319"/>
      <c r="BU1294" s="319"/>
      <c r="BV1294" s="319"/>
      <c r="BW1294" s="319"/>
      <c r="BX1294" s="319"/>
      <c r="BY1294" s="319"/>
      <c r="BZ1294" s="319"/>
      <c r="CA1294" s="319"/>
      <c r="CB1294" s="319"/>
      <c r="CC1294" s="319"/>
      <c r="CD1294" s="319"/>
      <c r="CE1294" s="319"/>
      <c r="CF1294" s="319"/>
    </row>
    <row r="1295" spans="1:84" ht="13.5" hidden="1" customHeight="1">
      <c r="A1295" s="319"/>
      <c r="B1295" s="319" t="str">
        <f>Language!C1285</f>
        <v>Gás Natural</v>
      </c>
      <c r="C1295" s="319"/>
      <c r="D1295" s="319"/>
      <c r="E1295" s="319"/>
      <c r="F1295" s="319"/>
      <c r="G1295" s="319"/>
      <c r="H1295" s="319"/>
      <c r="I1295" s="319"/>
      <c r="J1295" s="319"/>
      <c r="K1295" s="319"/>
      <c r="L1295" s="319"/>
      <c r="M1295" s="319"/>
      <c r="N1295" s="319"/>
      <c r="O1295" s="319"/>
      <c r="P1295" s="319"/>
      <c r="Q1295" s="319"/>
      <c r="R1295" s="319" t="s">
        <v>5103</v>
      </c>
      <c r="S1295" s="319"/>
      <c r="T1295" s="319"/>
      <c r="U1295" s="319"/>
      <c r="V1295" s="319"/>
      <c r="W1295" s="319"/>
      <c r="X1295" s="319"/>
      <c r="Y1295" s="319"/>
      <c r="Z1295" s="319"/>
      <c r="AA1295" s="319"/>
      <c r="AB1295" s="319"/>
      <c r="AC1295" s="319"/>
      <c r="AD1295" s="319"/>
      <c r="AE1295" s="319"/>
      <c r="AF1295" s="319"/>
      <c r="AG1295" s="319"/>
      <c r="AH1295" s="319"/>
      <c r="AI1295" s="319"/>
      <c r="AJ1295" s="319"/>
      <c r="AK1295" s="319"/>
      <c r="AL1295" s="319"/>
      <c r="AM1295" s="319"/>
      <c r="AN1295" s="319"/>
      <c r="AO1295" s="587"/>
      <c r="AP1295" s="319"/>
      <c r="AQ1295" s="319"/>
      <c r="AR1295" s="319"/>
      <c r="AS1295" s="319"/>
      <c r="AT1295" s="319"/>
      <c r="AU1295" s="319"/>
      <c r="AV1295" s="319"/>
      <c r="AW1295" s="319"/>
      <c r="AX1295" s="319"/>
      <c r="AY1295" s="319"/>
      <c r="AZ1295" s="319"/>
      <c r="BA1295" s="319"/>
      <c r="BB1295" s="319"/>
      <c r="BC1295" s="319"/>
      <c r="BD1295" s="319"/>
      <c r="BE1295" s="319"/>
      <c r="BF1295" s="319"/>
      <c r="BG1295" s="319"/>
      <c r="BH1295" s="319"/>
      <c r="BI1295" s="319"/>
      <c r="BJ1295" s="319"/>
      <c r="BK1295" s="319"/>
      <c r="BL1295" s="319"/>
      <c r="BM1295" s="319"/>
      <c r="BN1295" s="319"/>
      <c r="BO1295" s="319"/>
      <c r="BP1295" s="319"/>
      <c r="BQ1295" s="319"/>
      <c r="BR1295" s="319"/>
      <c r="BS1295" s="319"/>
      <c r="BT1295" s="319"/>
      <c r="BU1295" s="319"/>
      <c r="BV1295" s="319"/>
      <c r="BW1295" s="319"/>
      <c r="BX1295" s="319"/>
      <c r="BY1295" s="319"/>
      <c r="BZ1295" s="319"/>
      <c r="CA1295" s="319"/>
      <c r="CB1295" s="319"/>
      <c r="CC1295" s="319"/>
      <c r="CD1295" s="319"/>
      <c r="CE1295" s="319"/>
      <c r="CF1295" s="319"/>
    </row>
    <row r="1296" spans="1:84" ht="13.5" hidden="1" customHeight="1">
      <c r="A1296" s="319"/>
      <c r="B1296" s="319" t="str">
        <f>Language!C1286</f>
        <v>Propano</v>
      </c>
      <c r="C1296" s="319"/>
      <c r="D1296" s="319"/>
      <c r="E1296" s="319"/>
      <c r="F1296" s="319"/>
      <c r="G1296" s="319"/>
      <c r="H1296" s="319"/>
      <c r="I1296" s="319"/>
      <c r="J1296" s="319"/>
      <c r="K1296" s="319"/>
      <c r="L1296" s="319"/>
      <c r="M1296" s="319"/>
      <c r="N1296" s="319"/>
      <c r="O1296" s="319"/>
      <c r="P1296" s="319"/>
      <c r="Q1296" s="319"/>
      <c r="R1296" s="319" t="s">
        <v>923</v>
      </c>
      <c r="S1296" s="319"/>
      <c r="T1296" s="319"/>
      <c r="U1296" s="319"/>
      <c r="V1296" s="319"/>
      <c r="W1296" s="319"/>
      <c r="X1296" s="319"/>
      <c r="Y1296" s="319"/>
      <c r="Z1296" s="319"/>
      <c r="AA1296" s="319"/>
      <c r="AB1296" s="319"/>
      <c r="AC1296" s="319"/>
      <c r="AD1296" s="319"/>
      <c r="AE1296" s="319"/>
      <c r="AF1296" s="319"/>
      <c r="AG1296" s="319"/>
      <c r="AH1296" s="319"/>
      <c r="AI1296" s="319"/>
      <c r="AJ1296" s="319"/>
      <c r="AK1296" s="319"/>
      <c r="AL1296" s="319"/>
      <c r="AM1296" s="319"/>
      <c r="AN1296" s="319"/>
      <c r="AO1296" s="587"/>
      <c r="AP1296" s="319"/>
      <c r="AQ1296" s="319"/>
      <c r="AR1296" s="319"/>
      <c r="AS1296" s="319"/>
      <c r="AT1296" s="319"/>
      <c r="AU1296" s="319"/>
      <c r="AV1296" s="319"/>
      <c r="AW1296" s="319"/>
      <c r="AX1296" s="319"/>
      <c r="AY1296" s="319"/>
      <c r="AZ1296" s="319"/>
      <c r="BA1296" s="319"/>
      <c r="BB1296" s="319"/>
      <c r="BC1296" s="319"/>
      <c r="BD1296" s="319"/>
      <c r="BE1296" s="319"/>
      <c r="BF1296" s="319"/>
      <c r="BG1296" s="319"/>
      <c r="BH1296" s="319"/>
      <c r="BI1296" s="319"/>
      <c r="BJ1296" s="319"/>
      <c r="BK1296" s="319"/>
      <c r="BL1296" s="319"/>
      <c r="BM1296" s="319"/>
      <c r="BN1296" s="319"/>
      <c r="BO1296" s="319"/>
      <c r="BP1296" s="319"/>
      <c r="BQ1296" s="319"/>
      <c r="BR1296" s="319"/>
      <c r="BS1296" s="319"/>
      <c r="BT1296" s="319"/>
      <c r="BU1296" s="319"/>
      <c r="BV1296" s="319"/>
      <c r="BW1296" s="319"/>
      <c r="BX1296" s="319"/>
      <c r="BY1296" s="319"/>
      <c r="BZ1296" s="319"/>
      <c r="CA1296" s="319"/>
      <c r="CB1296" s="319"/>
      <c r="CC1296" s="319"/>
      <c r="CD1296" s="319"/>
      <c r="CE1296" s="319"/>
      <c r="CF1296" s="319"/>
    </row>
    <row r="1297" spans="1:84" ht="13.5" hidden="1" customHeight="1">
      <c r="A1297" s="319"/>
      <c r="B1297" s="319" t="str">
        <f>Language!C1287</f>
        <v>Gasolina</v>
      </c>
      <c r="C1297" s="319"/>
      <c r="D1297" s="319"/>
      <c r="E1297" s="319"/>
      <c r="F1297" s="319"/>
      <c r="G1297" s="319"/>
      <c r="H1297" s="319"/>
      <c r="I1297" s="319"/>
      <c r="J1297" s="319"/>
      <c r="K1297" s="319"/>
      <c r="L1297" s="319"/>
      <c r="M1297" s="319"/>
      <c r="N1297" s="319"/>
      <c r="O1297" s="319"/>
      <c r="P1297" s="319"/>
      <c r="Q1297" s="319"/>
      <c r="R1297" s="319" t="s">
        <v>5806</v>
      </c>
      <c r="S1297" s="319"/>
      <c r="T1297" s="319"/>
      <c r="U1297" s="319"/>
      <c r="V1297" s="319"/>
      <c r="W1297" s="319"/>
      <c r="X1297" s="319"/>
      <c r="Y1297" s="319"/>
      <c r="Z1297" s="319"/>
      <c r="AA1297" s="319"/>
      <c r="AB1297" s="319"/>
      <c r="AC1297" s="319"/>
      <c r="AD1297" s="319"/>
      <c r="AE1297" s="319"/>
      <c r="AF1297" s="319"/>
      <c r="AG1297" s="319"/>
      <c r="AH1297" s="319"/>
      <c r="AI1297" s="319"/>
      <c r="AJ1297" s="319"/>
      <c r="AK1297" s="319"/>
      <c r="AL1297" s="319"/>
      <c r="AM1297" s="319"/>
      <c r="AN1297" s="319"/>
      <c r="AO1297" s="587"/>
      <c r="AP1297" s="319"/>
      <c r="AQ1297" s="319"/>
      <c r="AR1297" s="319"/>
      <c r="AS1297" s="319"/>
      <c r="AT1297" s="319"/>
      <c r="AU1297" s="319"/>
      <c r="AV1297" s="319"/>
      <c r="AW1297" s="319"/>
      <c r="AX1297" s="319"/>
      <c r="AY1297" s="319"/>
      <c r="AZ1297" s="319"/>
      <c r="BA1297" s="319"/>
      <c r="BB1297" s="319"/>
      <c r="BC1297" s="319"/>
      <c r="BD1297" s="319"/>
      <c r="BE1297" s="319"/>
      <c r="BF1297" s="319"/>
      <c r="BG1297" s="319"/>
      <c r="BH1297" s="319"/>
      <c r="BI1297" s="319"/>
      <c r="BJ1297" s="319"/>
      <c r="BK1297" s="319"/>
      <c r="BL1297" s="319"/>
      <c r="BM1297" s="319"/>
      <c r="BN1297" s="319"/>
      <c r="BO1297" s="319"/>
      <c r="BP1297" s="319"/>
      <c r="BQ1297" s="319"/>
      <c r="BR1297" s="319"/>
      <c r="BS1297" s="319"/>
      <c r="BT1297" s="319"/>
      <c r="BU1297" s="319"/>
      <c r="BV1297" s="319"/>
      <c r="BW1297" s="319"/>
      <c r="BX1297" s="319"/>
      <c r="BY1297" s="319"/>
      <c r="BZ1297" s="319"/>
      <c r="CA1297" s="319"/>
      <c r="CB1297" s="319"/>
      <c r="CC1297" s="319"/>
      <c r="CD1297" s="319"/>
      <c r="CE1297" s="319"/>
      <c r="CF1297" s="319"/>
    </row>
    <row r="1298" spans="1:84" ht="13.5" hidden="1" customHeight="1">
      <c r="A1298" s="319"/>
      <c r="B1298" s="319" t="str">
        <f>Language!C1288</f>
        <v>Querosene</v>
      </c>
      <c r="C1298" s="319"/>
      <c r="D1298" s="319"/>
      <c r="E1298" s="319"/>
      <c r="F1298" s="319"/>
      <c r="G1298" s="319"/>
      <c r="H1298" s="319"/>
      <c r="I1298" s="319"/>
      <c r="J1298" s="319"/>
      <c r="K1298" s="319"/>
      <c r="L1298" s="319"/>
      <c r="M1298" s="319"/>
      <c r="N1298" s="319"/>
      <c r="O1298" s="319"/>
      <c r="P1298" s="319"/>
      <c r="Q1298" s="319"/>
      <c r="R1298" s="319" t="s">
        <v>1307</v>
      </c>
      <c r="S1298" s="319"/>
      <c r="T1298" s="319"/>
      <c r="U1298" s="319"/>
      <c r="V1298" s="319"/>
      <c r="W1298" s="319"/>
      <c r="X1298" s="319"/>
      <c r="Y1298" s="319"/>
      <c r="Z1298" s="319"/>
      <c r="AA1298" s="319"/>
      <c r="AB1298" s="319"/>
      <c r="AC1298" s="319"/>
      <c r="AD1298" s="319"/>
      <c r="AE1298" s="319"/>
      <c r="AF1298" s="319"/>
      <c r="AG1298" s="319"/>
      <c r="AH1298" s="319"/>
      <c r="AI1298" s="319"/>
      <c r="AJ1298" s="319"/>
      <c r="AK1298" s="319"/>
      <c r="AL1298" s="319"/>
      <c r="AM1298" s="319"/>
      <c r="AN1298" s="319"/>
      <c r="AO1298" s="587"/>
      <c r="AP1298" s="319"/>
      <c r="AQ1298" s="319"/>
      <c r="AR1298" s="319"/>
      <c r="AS1298" s="319"/>
      <c r="AT1298" s="319"/>
      <c r="AU1298" s="319"/>
      <c r="AV1298" s="319"/>
      <c r="AW1298" s="319"/>
      <c r="AX1298" s="319"/>
      <c r="AY1298" s="319"/>
      <c r="AZ1298" s="319"/>
      <c r="BA1298" s="319"/>
      <c r="BB1298" s="319"/>
      <c r="BC1298" s="319"/>
      <c r="BD1298" s="319"/>
      <c r="BE1298" s="319"/>
      <c r="BF1298" s="319"/>
      <c r="BG1298" s="319"/>
      <c r="BH1298" s="319"/>
      <c r="BI1298" s="319"/>
      <c r="BJ1298" s="319"/>
      <c r="BK1298" s="319"/>
      <c r="BL1298" s="319"/>
      <c r="BM1298" s="319"/>
      <c r="BN1298" s="319"/>
      <c r="BO1298" s="319"/>
      <c r="BP1298" s="319"/>
      <c r="BQ1298" s="319"/>
      <c r="BR1298" s="319"/>
      <c r="BS1298" s="319"/>
      <c r="BT1298" s="319"/>
      <c r="BU1298" s="319"/>
      <c r="BV1298" s="319"/>
      <c r="BW1298" s="319"/>
      <c r="BX1298" s="319"/>
      <c r="BY1298" s="319"/>
      <c r="BZ1298" s="319"/>
      <c r="CA1298" s="319"/>
      <c r="CB1298" s="319"/>
      <c r="CC1298" s="319"/>
      <c r="CD1298" s="319"/>
      <c r="CE1298" s="319"/>
      <c r="CF1298" s="319"/>
    </row>
    <row r="1299" spans="1:84" ht="13.5" hidden="1" customHeight="1">
      <c r="A1299" s="319"/>
      <c r="B1299" s="319" t="str">
        <f>Language!C1289</f>
        <v>Diesel (oleo#2)</v>
      </c>
      <c r="C1299" s="319"/>
      <c r="D1299" s="319"/>
      <c r="E1299" s="319"/>
      <c r="F1299" s="319"/>
      <c r="G1299" s="319"/>
      <c r="H1299" s="319"/>
      <c r="I1299" s="319"/>
      <c r="J1299" s="319"/>
      <c r="K1299" s="319"/>
      <c r="L1299" s="319"/>
      <c r="M1299" s="319"/>
      <c r="N1299" s="319"/>
      <c r="O1299" s="319"/>
      <c r="P1299" s="319"/>
      <c r="Q1299" s="319"/>
      <c r="R1299" s="319" t="s">
        <v>3631</v>
      </c>
      <c r="S1299" s="319"/>
      <c r="T1299" s="319"/>
      <c r="U1299" s="319"/>
      <c r="V1299" s="319"/>
      <c r="W1299" s="319"/>
      <c r="X1299" s="319"/>
      <c r="Y1299" s="319"/>
      <c r="Z1299" s="319"/>
      <c r="AA1299" s="319"/>
      <c r="AB1299" s="319"/>
      <c r="AC1299" s="319"/>
      <c r="AD1299" s="319"/>
      <c r="AE1299" s="319"/>
      <c r="AF1299" s="319"/>
      <c r="AG1299" s="319"/>
      <c r="AH1299" s="319"/>
      <c r="AI1299" s="319"/>
      <c r="AJ1299" s="319"/>
      <c r="AK1299" s="319"/>
      <c r="AL1299" s="319"/>
      <c r="AM1299" s="319"/>
      <c r="AN1299" s="319"/>
      <c r="AO1299" s="587"/>
      <c r="AP1299" s="319"/>
      <c r="AQ1299" s="319"/>
      <c r="AR1299" s="319"/>
      <c r="AS1299" s="319"/>
      <c r="AT1299" s="319"/>
      <c r="AU1299" s="319"/>
      <c r="AV1299" s="319"/>
      <c r="AW1299" s="319"/>
      <c r="AX1299" s="319"/>
      <c r="AY1299" s="319"/>
      <c r="AZ1299" s="319"/>
      <c r="BA1299" s="319"/>
      <c r="BB1299" s="319"/>
      <c r="BC1299" s="319"/>
      <c r="BD1299" s="319"/>
      <c r="BE1299" s="319"/>
      <c r="BF1299" s="319"/>
      <c r="BG1299" s="319"/>
      <c r="BH1299" s="319"/>
      <c r="BI1299" s="319"/>
      <c r="BJ1299" s="319"/>
      <c r="BK1299" s="319"/>
      <c r="BL1299" s="319"/>
      <c r="BM1299" s="319"/>
      <c r="BN1299" s="319"/>
      <c r="BO1299" s="319"/>
      <c r="BP1299" s="319"/>
      <c r="BQ1299" s="319"/>
      <c r="BR1299" s="319"/>
      <c r="BS1299" s="319"/>
      <c r="BT1299" s="319"/>
      <c r="BU1299" s="319"/>
      <c r="BV1299" s="319"/>
      <c r="BW1299" s="319"/>
      <c r="BX1299" s="319"/>
      <c r="BY1299" s="319"/>
      <c r="BZ1299" s="319"/>
      <c r="CA1299" s="319"/>
      <c r="CB1299" s="319"/>
      <c r="CC1299" s="319"/>
      <c r="CD1299" s="319"/>
      <c r="CE1299" s="319"/>
      <c r="CF1299" s="319"/>
    </row>
    <row r="1300" spans="1:84" ht="13.5" hidden="1" customHeight="1">
      <c r="A1300" s="319"/>
      <c r="B1300" s="319" t="str">
        <f>Language!C1290</f>
        <v>Óleo (#6)</v>
      </c>
      <c r="C1300" s="319"/>
      <c r="D1300" s="319"/>
      <c r="E1300" s="319"/>
      <c r="F1300" s="319"/>
      <c r="G1300" s="319"/>
      <c r="H1300" s="319"/>
      <c r="I1300" s="319"/>
      <c r="J1300" s="319"/>
      <c r="K1300" s="319"/>
      <c r="L1300" s="319"/>
      <c r="M1300" s="319"/>
      <c r="N1300" s="319"/>
      <c r="O1300" s="319"/>
      <c r="P1300" s="319"/>
      <c r="Q1300" s="319"/>
      <c r="R1300" s="319" t="s">
        <v>3344</v>
      </c>
      <c r="S1300" s="319"/>
      <c r="T1300" s="319"/>
      <c r="U1300" s="319"/>
      <c r="V1300" s="319"/>
      <c r="W1300" s="319"/>
      <c r="X1300" s="319"/>
      <c r="Y1300" s="319"/>
      <c r="Z1300" s="319"/>
      <c r="AA1300" s="319"/>
      <c r="AB1300" s="319"/>
      <c r="AC1300" s="319"/>
      <c r="AD1300" s="319"/>
      <c r="AE1300" s="319"/>
      <c r="AF1300" s="319"/>
      <c r="AG1300" s="319"/>
      <c r="AH1300" s="319"/>
      <c r="AI1300" s="319"/>
      <c r="AJ1300" s="319"/>
      <c r="AK1300" s="319"/>
      <c r="AL1300" s="319"/>
      <c r="AM1300" s="319"/>
      <c r="AN1300" s="319"/>
      <c r="AO1300" s="587"/>
      <c r="AP1300" s="319"/>
      <c r="AQ1300" s="319"/>
      <c r="AR1300" s="319"/>
      <c r="AS1300" s="319"/>
      <c r="AT1300" s="319"/>
      <c r="AU1300" s="319"/>
      <c r="AV1300" s="319"/>
      <c r="AW1300" s="319"/>
      <c r="AX1300" s="319"/>
      <c r="AY1300" s="319"/>
      <c r="AZ1300" s="319"/>
      <c r="BA1300" s="319"/>
      <c r="BB1300" s="319"/>
      <c r="BC1300" s="319"/>
      <c r="BD1300" s="319"/>
      <c r="BE1300" s="319"/>
      <c r="BF1300" s="319"/>
      <c r="BG1300" s="319"/>
      <c r="BH1300" s="319"/>
      <c r="BI1300" s="319"/>
      <c r="BJ1300" s="319"/>
      <c r="BK1300" s="319"/>
      <c r="BL1300" s="319"/>
      <c r="BM1300" s="319"/>
      <c r="BN1300" s="319"/>
      <c r="BO1300" s="319"/>
      <c r="BP1300" s="319"/>
      <c r="BQ1300" s="319"/>
      <c r="BR1300" s="319"/>
      <c r="BS1300" s="319"/>
      <c r="BT1300" s="319"/>
      <c r="BU1300" s="319"/>
      <c r="BV1300" s="319"/>
      <c r="BW1300" s="319"/>
      <c r="BX1300" s="319"/>
      <c r="BY1300" s="319"/>
      <c r="BZ1300" s="319"/>
      <c r="CA1300" s="319"/>
      <c r="CB1300" s="319"/>
      <c r="CC1300" s="319"/>
      <c r="CD1300" s="319"/>
      <c r="CE1300" s="319"/>
      <c r="CF1300" s="319"/>
    </row>
  </sheetData>
  <sortState xmlns:xlrd2="http://schemas.microsoft.com/office/spreadsheetml/2017/richdata2" ref="D1072:D1077">
    <sortCondition ref="D1072"/>
  </sortState>
  <dataConsolidate/>
  <mergeCells count="190">
    <mergeCell ref="I787:K787"/>
    <mergeCell ref="I795:K795"/>
    <mergeCell ref="I803:K803"/>
    <mergeCell ref="F4:J4"/>
    <mergeCell ref="I633:K633"/>
    <mergeCell ref="I703:K703"/>
    <mergeCell ref="I716:K716"/>
    <mergeCell ref="I779:K779"/>
    <mergeCell ref="I517:K517"/>
    <mergeCell ref="I525:K525"/>
    <mergeCell ref="I253:K253"/>
    <mergeCell ref="I306:K306"/>
    <mergeCell ref="I533:K533"/>
    <mergeCell ref="I621:K621"/>
    <mergeCell ref="I368:K368"/>
    <mergeCell ref="I439:K439"/>
    <mergeCell ref="I475:K475"/>
    <mergeCell ref="I505:K505"/>
    <mergeCell ref="I92:K92"/>
    <mergeCell ref="I104:K104"/>
    <mergeCell ref="I116:K116"/>
    <mergeCell ref="I186:K186"/>
    <mergeCell ref="I199:K199"/>
    <mergeCell ref="I213:K213"/>
    <mergeCell ref="C744:E744"/>
    <mergeCell ref="C751:E751"/>
    <mergeCell ref="C771:E771"/>
    <mergeCell ref="C780:E780"/>
    <mergeCell ref="C759:E759"/>
    <mergeCell ref="C760:E760"/>
    <mergeCell ref="C766:E766"/>
    <mergeCell ref="C920:E920"/>
    <mergeCell ref="C15:E15"/>
    <mergeCell ref="C743:E743"/>
    <mergeCell ref="C858:E858"/>
    <mergeCell ref="C859:E859"/>
    <mergeCell ref="C860:E860"/>
    <mergeCell ref="C861:E861"/>
    <mergeCell ref="C752:E752"/>
    <mergeCell ref="C781:E781"/>
    <mergeCell ref="C772:E772"/>
    <mergeCell ref="C854:D854"/>
    <mergeCell ref="C856:E856"/>
    <mergeCell ref="C857:E857"/>
    <mergeCell ref="C788:E788"/>
    <mergeCell ref="C789:E789"/>
    <mergeCell ref="C796:E796"/>
    <mergeCell ref="C797:E797"/>
    <mergeCell ref="C804:E804"/>
    <mergeCell ref="C805:E805"/>
    <mergeCell ref="C626:E626"/>
    <mergeCell ref="C734:E734"/>
    <mergeCell ref="C735:E735"/>
    <mergeCell ref="C635:E635"/>
    <mergeCell ref="C636:E636"/>
    <mergeCell ref="C703:E703"/>
    <mergeCell ref="C704:E704"/>
    <mergeCell ref="C716:E716"/>
    <mergeCell ref="C717:E717"/>
    <mergeCell ref="C590:E590"/>
    <mergeCell ref="C597:E597"/>
    <mergeCell ref="C598:E598"/>
    <mergeCell ref="C625:E625"/>
    <mergeCell ref="C613:E613"/>
    <mergeCell ref="C614:E614"/>
    <mergeCell ref="C583:D583"/>
    <mergeCell ref="C580:D580"/>
    <mergeCell ref="C589:E589"/>
    <mergeCell ref="C559:D559"/>
    <mergeCell ref="C560:D560"/>
    <mergeCell ref="C561:D561"/>
    <mergeCell ref="C581:D581"/>
    <mergeCell ref="C519:E519"/>
    <mergeCell ref="C534:E534"/>
    <mergeCell ref="C535:E535"/>
    <mergeCell ref="C542:E542"/>
    <mergeCell ref="C543:E543"/>
    <mergeCell ref="C582:D582"/>
    <mergeCell ref="G380:G381"/>
    <mergeCell ref="C553:E553"/>
    <mergeCell ref="C554:E554"/>
    <mergeCell ref="C498:E498"/>
    <mergeCell ref="C509:E509"/>
    <mergeCell ref="C510:E510"/>
    <mergeCell ref="C549:E549"/>
    <mergeCell ref="C504:E504"/>
    <mergeCell ref="C550:E550"/>
    <mergeCell ref="C518:E518"/>
    <mergeCell ref="C254:E254"/>
    <mergeCell ref="C526:E526"/>
    <mergeCell ref="C527:E527"/>
    <mergeCell ref="C372:E372"/>
    <mergeCell ref="C373:E373"/>
    <mergeCell ref="C379:G379"/>
    <mergeCell ref="C440:E440"/>
    <mergeCell ref="G404:G405"/>
    <mergeCell ref="C441:E441"/>
    <mergeCell ref="F380:F381"/>
    <mergeCell ref="C37:E37"/>
    <mergeCell ref="C34:E34"/>
    <mergeCell ref="C38:E38"/>
    <mergeCell ref="C43:D43"/>
    <mergeCell ref="C44:D44"/>
    <mergeCell ref="C45:D45"/>
    <mergeCell ref="C42:D42"/>
    <mergeCell ref="C23:E23"/>
    <mergeCell ref="C24:E24"/>
    <mergeCell ref="C28:E28"/>
    <mergeCell ref="C30:E30"/>
    <mergeCell ref="C32:E32"/>
    <mergeCell ref="C33:E33"/>
    <mergeCell ref="E380:E381"/>
    <mergeCell ref="C1031:E1031"/>
    <mergeCell ref="A1:H3"/>
    <mergeCell ref="C6:E6"/>
    <mergeCell ref="C8:E8"/>
    <mergeCell ref="C12:E12"/>
    <mergeCell ref="C13:E13"/>
    <mergeCell ref="C16:E16"/>
    <mergeCell ref="C17:E17"/>
    <mergeCell ref="C18:E18"/>
    <mergeCell ref="C308:E308"/>
    <mergeCell ref="H865:K865"/>
    <mergeCell ref="C65:D65"/>
    <mergeCell ref="C66:D66"/>
    <mergeCell ref="C67:D67"/>
    <mergeCell ref="C74:E74"/>
    <mergeCell ref="C75:E75"/>
    <mergeCell ref="C81:E81"/>
    <mergeCell ref="C96:E96"/>
    <mergeCell ref="C97:E97"/>
    <mergeCell ref="C119:E119"/>
    <mergeCell ref="C82:E82"/>
    <mergeCell ref="C307:E307"/>
    <mergeCell ref="C186:E186"/>
    <mergeCell ref="C187:E187"/>
    <mergeCell ref="C199:E199"/>
    <mergeCell ref="C255:E255"/>
    <mergeCell ref="C200:E200"/>
    <mergeCell ref="C217:E217"/>
    <mergeCell ref="C218:E218"/>
    <mergeCell ref="F1006:K1006"/>
    <mergeCell ref="E1008:E1027"/>
    <mergeCell ref="F1027:K1027"/>
    <mergeCell ref="H404:H405"/>
    <mergeCell ref="I404:I405"/>
    <mergeCell ref="F404:F405"/>
    <mergeCell ref="C476:E476"/>
    <mergeCell ref="C477:E477"/>
    <mergeCell ref="C497:E497"/>
    <mergeCell ref="C484:E484"/>
    <mergeCell ref="G980:I980"/>
    <mergeCell ref="J297:K297"/>
    <mergeCell ref="I496:K496"/>
    <mergeCell ref="K559:K561"/>
    <mergeCell ref="K581:K583"/>
    <mergeCell ref="I541:K541"/>
    <mergeCell ref="I587:K587"/>
    <mergeCell ref="I595:K595"/>
    <mergeCell ref="H380:H381"/>
    <mergeCell ref="I328:K328"/>
    <mergeCell ref="A988:B988"/>
    <mergeCell ref="A27:B27"/>
    <mergeCell ref="A810:B810"/>
    <mergeCell ref="A865:B865"/>
    <mergeCell ref="A866:B866"/>
    <mergeCell ref="A892:B892"/>
    <mergeCell ref="A923:B923"/>
    <mergeCell ref="A938:B938"/>
    <mergeCell ref="A29:B29"/>
    <mergeCell ref="I750:K750"/>
    <mergeCell ref="I758:K758"/>
    <mergeCell ref="I767:K767"/>
    <mergeCell ref="J2:K3"/>
    <mergeCell ref="I2:I3"/>
    <mergeCell ref="I609:K609"/>
    <mergeCell ref="I72:K72"/>
    <mergeCell ref="I79:K79"/>
    <mergeCell ref="K43:K45"/>
    <mergeCell ref="K65:K67"/>
    <mergeCell ref="A4:E4"/>
    <mergeCell ref="I730:K730"/>
    <mergeCell ref="I742:K742"/>
    <mergeCell ref="I10:K10"/>
    <mergeCell ref="I21:K21"/>
    <mergeCell ref="C64:D64"/>
    <mergeCell ref="C558:D558"/>
    <mergeCell ref="C108:E108"/>
    <mergeCell ref="C109:E109"/>
    <mergeCell ref="C118:E118"/>
  </mergeCells>
  <phoneticPr fontId="0" type="noConversion"/>
  <conditionalFormatting sqref="F255 F200 F752 F717 F441">
    <cfRule type="expression" dxfId="310" priority="1" stopIfTrue="1">
      <formula>$C200=""</formula>
    </cfRule>
  </conditionalFormatting>
  <conditionalFormatting sqref="D79">
    <cfRule type="expression" dxfId="309" priority="2" stopIfTrue="1">
      <formula>$C$32=J1101</formula>
    </cfRule>
  </conditionalFormatting>
  <conditionalFormatting sqref="G21">
    <cfRule type="expression" dxfId="308" priority="3" stopIfTrue="1">
      <formula>$C$6=U1108</formula>
    </cfRule>
  </conditionalFormatting>
  <conditionalFormatting sqref="B838:B839 B819:B821 B843:B846 B850:B851 B825:B826 B830:B834 D819:K821 D838:K839 D830:K834 D843:K846 D850:K851 D825:K826">
    <cfRule type="expression" dxfId="307" priority="4" stopIfTrue="1">
      <formula>$T819=1</formula>
    </cfRule>
  </conditionalFormatting>
  <conditionalFormatting sqref="D905">
    <cfRule type="expression" dxfId="306" priority="5" stopIfTrue="1">
      <formula>$D$52=E1076</formula>
    </cfRule>
  </conditionalFormatting>
  <conditionalFormatting sqref="D72">
    <cfRule type="expression" dxfId="305" priority="6" stopIfTrue="1">
      <formula>$C$32=E1084</formula>
    </cfRule>
  </conditionalFormatting>
  <conditionalFormatting sqref="G72">
    <cfRule type="expression" dxfId="304" priority="7" stopIfTrue="1">
      <formula>$C$32=K1094</formula>
    </cfRule>
  </conditionalFormatting>
  <conditionalFormatting sqref="D10">
    <cfRule type="expression" dxfId="303" priority="8" stopIfTrue="1">
      <formula>$C$6=G1080</formula>
    </cfRule>
  </conditionalFormatting>
  <conditionalFormatting sqref="D21">
    <cfRule type="expression" dxfId="302" priority="9" stopIfTrue="1">
      <formula>$C$16=G1080</formula>
    </cfRule>
  </conditionalFormatting>
  <conditionalFormatting sqref="E249">
    <cfRule type="expression" dxfId="301" priority="10" stopIfTrue="1">
      <formula>M229=FALSE</formula>
    </cfRule>
  </conditionalFormatting>
  <conditionalFormatting sqref="E250">
    <cfRule type="expression" dxfId="300" priority="11" stopIfTrue="1">
      <formula>M229=FALSE</formula>
    </cfRule>
  </conditionalFormatting>
  <conditionalFormatting sqref="F256">
    <cfRule type="expression" dxfId="299" priority="12" stopIfTrue="1">
      <formula>$C257=""</formula>
    </cfRule>
  </conditionalFormatting>
  <conditionalFormatting sqref="G10">
    <cfRule type="expression" dxfId="298" priority="13" stopIfTrue="1">
      <formula>$C$6=H1080</formula>
    </cfRule>
  </conditionalFormatting>
  <conditionalFormatting sqref="K581:K583">
    <cfRule type="expression" dxfId="297" priority="14" stopIfTrue="1">
      <formula>$R584&lt;&gt;0</formula>
    </cfRule>
  </conditionalFormatting>
  <conditionalFormatting sqref="D587">
    <cfRule type="expression" dxfId="296" priority="15" stopIfTrue="1">
      <formula>$C$549=E1084</formula>
    </cfRule>
  </conditionalFormatting>
  <conditionalFormatting sqref="F229">
    <cfRule type="expression" dxfId="295" priority="16" stopIfTrue="1">
      <formula>OR(AND($M$229=FALSE,T226=TRUE),$M$228=0)</formula>
    </cfRule>
  </conditionalFormatting>
  <conditionalFormatting sqref="F13">
    <cfRule type="expression" dxfId="294" priority="17" stopIfTrue="1">
      <formula>OR(Equip_NbUnits=0,$C13="")</formula>
    </cfRule>
  </conditionalFormatting>
  <conditionalFormatting sqref="B11">
    <cfRule type="expression" dxfId="293" priority="18" stopIfTrue="1">
      <formula>M7=0</formula>
    </cfRule>
  </conditionalFormatting>
  <conditionalFormatting sqref="B22">
    <cfRule type="expression" dxfId="292" priority="19" stopIfTrue="1">
      <formula>M17=0</formula>
    </cfRule>
  </conditionalFormatting>
  <conditionalFormatting sqref="D22">
    <cfRule type="expression" dxfId="291" priority="20" stopIfTrue="1">
      <formula>M17=0</formula>
    </cfRule>
  </conditionalFormatting>
  <conditionalFormatting sqref="E887">
    <cfRule type="expression" dxfId="290" priority="21" stopIfTrue="1">
      <formula>OR($J$1080=0,$D887="")</formula>
    </cfRule>
  </conditionalFormatting>
  <conditionalFormatting sqref="E908">
    <cfRule type="expression" dxfId="289" priority="22" stopIfTrue="1">
      <formula>OR($J$1081=0,$D908="")</formula>
    </cfRule>
  </conditionalFormatting>
  <conditionalFormatting sqref="E918">
    <cfRule type="expression" dxfId="288" priority="23" stopIfTrue="1">
      <formula>OR($J$1082=0,$D918="")</formula>
    </cfRule>
  </conditionalFormatting>
  <conditionalFormatting sqref="F772">
    <cfRule type="expression" dxfId="287" priority="30" stopIfTrue="1">
      <formula>OR($J$1077=0,$C772="")</formula>
    </cfRule>
  </conditionalFormatting>
  <conditionalFormatting sqref="F760">
    <cfRule type="expression" dxfId="286" priority="31" stopIfTrue="1">
      <formula>OR($J$1078=0,$C760="")</formula>
    </cfRule>
  </conditionalFormatting>
  <conditionalFormatting sqref="F744">
    <cfRule type="expression" dxfId="285" priority="32" stopIfTrue="1">
      <formula>OR($J$1083=0,$C744="")</formula>
    </cfRule>
  </conditionalFormatting>
  <conditionalFormatting sqref="F735">
    <cfRule type="expression" dxfId="284" priority="27" stopIfTrue="1">
      <formula>OR($J$1074=0,$C735="")</formula>
    </cfRule>
  </conditionalFormatting>
  <conditionalFormatting sqref="F636">
    <cfRule type="expression" dxfId="283" priority="33" stopIfTrue="1">
      <formula>OR($J$1076=0,$C636="")</formula>
    </cfRule>
  </conditionalFormatting>
  <conditionalFormatting sqref="F626">
    <cfRule type="expression" dxfId="282" priority="28" stopIfTrue="1">
      <formula>OR($J$1075=0,$C626="")</formula>
    </cfRule>
  </conditionalFormatting>
  <conditionalFormatting sqref="F614">
    <cfRule type="expression" dxfId="281" priority="34" stopIfTrue="1">
      <formula>OR($J$1079=0,$C614="")</formula>
    </cfRule>
  </conditionalFormatting>
  <conditionalFormatting sqref="F598">
    <cfRule type="expression" dxfId="280" priority="24" stopIfTrue="1">
      <formula>OR($J$1066=0,$C598="")</formula>
    </cfRule>
  </conditionalFormatting>
  <conditionalFormatting sqref="F590">
    <cfRule type="expression" dxfId="279" priority="35" stopIfTrue="1">
      <formula>OR($J$1085=0,$C590="")</formula>
    </cfRule>
  </conditionalFormatting>
  <conditionalFormatting sqref="F510">
    <cfRule type="expression" dxfId="278" priority="36" stopIfTrue="1">
      <formula>OR($J$1084=0,$C510="")</formula>
    </cfRule>
  </conditionalFormatting>
  <conditionalFormatting sqref="F498">
    <cfRule type="expression" dxfId="277" priority="25" stopIfTrue="1">
      <formula>OR($J$1070=0,$C498="")</formula>
    </cfRule>
  </conditionalFormatting>
  <conditionalFormatting sqref="F477">
    <cfRule type="expression" dxfId="276" priority="26" stopIfTrue="1">
      <formula>OR($J$1072=0,$C477="")</formula>
    </cfRule>
  </conditionalFormatting>
  <conditionalFormatting sqref="F308">
    <cfRule type="expression" dxfId="275" priority="29" stopIfTrue="1">
      <formula>OR($J$1073=0,$C308="")</formula>
    </cfRule>
  </conditionalFormatting>
  <conditionalFormatting sqref="F218">
    <cfRule type="expression" dxfId="274" priority="37" stopIfTrue="1">
      <formula>OR($J$1067=0,$C218="")</formula>
    </cfRule>
  </conditionalFormatting>
  <conditionalFormatting sqref="F119">
    <cfRule type="expression" dxfId="273" priority="38" stopIfTrue="1">
      <formula>OR($J$1069=0,$C119="")</formula>
    </cfRule>
  </conditionalFormatting>
  <conditionalFormatting sqref="F109">
    <cfRule type="expression" dxfId="272" priority="39" stopIfTrue="1">
      <formula>OR($J$1068=0,$C109="")</formula>
    </cfRule>
  </conditionalFormatting>
  <conditionalFormatting sqref="F97">
    <cfRule type="expression" dxfId="271" priority="40" stopIfTrue="1">
      <formula>OR($J$1071=0,$C97="")</formula>
    </cfRule>
  </conditionalFormatting>
  <conditionalFormatting sqref="F82">
    <cfRule type="expression" dxfId="270" priority="41" stopIfTrue="1">
      <formula>OR($J$1064=0,$C82="")</formula>
    </cfRule>
  </conditionalFormatting>
  <conditionalFormatting sqref="F75">
    <cfRule type="expression" dxfId="269" priority="42" stopIfTrue="1">
      <formula>OR($J$1065=0,$C75="")</formula>
    </cfRule>
  </conditionalFormatting>
  <conditionalFormatting sqref="F24">
    <cfRule type="expression" dxfId="268" priority="43" stopIfTrue="1">
      <formula>OR($J$1063=0,$C24="")</formula>
    </cfRule>
  </conditionalFormatting>
  <conditionalFormatting sqref="K301">
    <cfRule type="expression" dxfId="267" priority="63" stopIfTrue="1">
      <formula>OR($M$296=FALSE,$M$296=FALSE)</formula>
    </cfRule>
  </conditionalFormatting>
  <conditionalFormatting sqref="D595">
    <cfRule type="expression" dxfId="266" priority="44" stopIfTrue="1">
      <formula>$C$32=#REF!</formula>
    </cfRule>
  </conditionalFormatting>
  <conditionalFormatting sqref="B484:E484">
    <cfRule type="expression" dxfId="265" priority="45" stopIfTrue="1">
      <formula>Gridtype&lt;=4</formula>
    </cfRule>
  </conditionalFormatting>
  <conditionalFormatting sqref="F855:G855">
    <cfRule type="expression" dxfId="264" priority="46" stopIfTrue="1">
      <formula>$Q$31=1</formula>
    </cfRule>
  </conditionalFormatting>
  <conditionalFormatting sqref="K584">
    <cfRule type="expression" dxfId="263" priority="47" stopIfTrue="1">
      <formula>$R$584&lt;&gt;0</formula>
    </cfRule>
  </conditionalFormatting>
  <conditionalFormatting sqref="E584">
    <cfRule type="expression" dxfId="262" priority="48" stopIfTrue="1">
      <formula>$E$584&lt;&gt;1</formula>
    </cfRule>
  </conditionalFormatting>
  <conditionalFormatting sqref="E551">
    <cfRule type="expression" dxfId="261" priority="49" stopIfTrue="1">
      <formula>$C$551=$R$551</formula>
    </cfRule>
  </conditionalFormatting>
  <conditionalFormatting sqref="K46 K562">
    <cfRule type="expression" dxfId="260" priority="50" stopIfTrue="1">
      <formula>$R$46&lt;&gt;0</formula>
    </cfRule>
  </conditionalFormatting>
  <conditionalFormatting sqref="B470:D472 H485:I494 J487:K490 J492:K494 G487:G490 G492:G494 B493:D493">
    <cfRule type="expression" dxfId="259" priority="51" stopIfTrue="1">
      <formula>$P$450=FALSE</formula>
    </cfRule>
  </conditionalFormatting>
  <conditionalFormatting sqref="E475">
    <cfRule type="expression" dxfId="258" priority="52" stopIfTrue="1">
      <formula>Gridtype&lt;=4</formula>
    </cfRule>
  </conditionalFormatting>
  <conditionalFormatting sqref="H433:I435 J433:J434 K434 D434 G433:G434 B436:D436">
    <cfRule type="expression" dxfId="257" priority="53" stopIfTrue="1">
      <formula>OR($M$432=FALSE)</formula>
    </cfRule>
  </conditionalFormatting>
  <conditionalFormatting sqref="B447">
    <cfRule type="expression" dxfId="256" priority="54" stopIfTrue="1">
      <formula>$N$447=0</formula>
    </cfRule>
  </conditionalFormatting>
  <conditionalFormatting sqref="B369:D369">
    <cfRule type="expression" dxfId="255" priority="55" stopIfTrue="1">
      <formula>TurbType=7</formula>
    </cfRule>
  </conditionalFormatting>
  <conditionalFormatting sqref="C302">
    <cfRule type="expression" dxfId="254" priority="56" stopIfTrue="1">
      <formula>Gridtype&lt;=2</formula>
    </cfRule>
  </conditionalFormatting>
  <conditionalFormatting sqref="K303 G301:G303 H298:I303 J301:J303">
    <cfRule type="expression" dxfId="253" priority="57" stopIfTrue="1">
      <formula>$M$296=FALSE</formula>
    </cfRule>
  </conditionalFormatting>
  <conditionalFormatting sqref="D269:D294">
    <cfRule type="expression" dxfId="252" priority="58" stopIfTrue="1">
      <formula>$M$263=2</formula>
    </cfRule>
  </conditionalFormatting>
  <conditionalFormatting sqref="E294">
    <cfRule type="expression" dxfId="251" priority="59" stopIfTrue="1">
      <formula>$M$263=2</formula>
    </cfRule>
  </conditionalFormatting>
  <conditionalFormatting sqref="E269:E293">
    <cfRule type="expression" dxfId="250" priority="60" stopIfTrue="1">
      <formula>$M$263=2</formula>
    </cfRule>
  </conditionalFormatting>
  <conditionalFormatting sqref="E248:F248">
    <cfRule type="expression" dxfId="249" priority="61" stopIfTrue="1">
      <formula>OR($M$228=0,$M$226=2)</formula>
    </cfRule>
  </conditionalFormatting>
  <conditionalFormatting sqref="J297:K297 K302">
    <cfRule type="expression" dxfId="248" priority="62" stopIfTrue="1">
      <formula>$M$296=FALSE</formula>
    </cfRule>
  </conditionalFormatting>
  <conditionalFormatting sqref="C11:E11">
    <cfRule type="expression" dxfId="247" priority="64" stopIfTrue="1">
      <formula>$M$7=0</formula>
    </cfRule>
  </conditionalFormatting>
  <conditionalFormatting sqref="G246 G248">
    <cfRule type="expression" dxfId="246" priority="65" stopIfTrue="1">
      <formula>$M$228=1</formula>
    </cfRule>
  </conditionalFormatting>
  <conditionalFormatting sqref="G245">
    <cfRule type="expression" dxfId="245" priority="66" stopIfTrue="1">
      <formula>OR($M$228=0,$M$226=2)</formula>
    </cfRule>
  </conditionalFormatting>
  <conditionalFormatting sqref="E22">
    <cfRule type="expression" dxfId="244" priority="67" stopIfTrue="1">
      <formula>$M$17=0</formula>
    </cfRule>
  </conditionalFormatting>
  <conditionalFormatting sqref="C18 B18:B19">
    <cfRule type="expression" dxfId="243" priority="68" stopIfTrue="1">
      <formula>$N$15=5</formula>
    </cfRule>
  </conditionalFormatting>
  <conditionalFormatting sqref="K68">
    <cfRule type="expression" dxfId="242" priority="69" stopIfTrue="1">
      <formula>$R$68&lt;&gt;0</formula>
    </cfRule>
  </conditionalFormatting>
  <conditionalFormatting sqref="E68">
    <cfRule type="expression" dxfId="241" priority="70" stopIfTrue="1">
      <formula>$E$68&lt;&gt;1</formula>
    </cfRule>
  </conditionalFormatting>
  <conditionalFormatting sqref="D35">
    <cfRule type="expression" dxfId="240" priority="71" stopIfTrue="1">
      <formula>$C$35=$T$35</formula>
    </cfRule>
  </conditionalFormatting>
  <conditionalFormatting sqref="E35">
    <cfRule type="expression" dxfId="239" priority="72" stopIfTrue="1">
      <formula>$C$35=$R$35</formula>
    </cfRule>
  </conditionalFormatting>
  <conditionalFormatting sqref="B226">
    <cfRule type="expression" dxfId="238" priority="73" stopIfTrue="1">
      <formula>OR($M$226=0,$M$226=2)</formula>
    </cfRule>
  </conditionalFormatting>
  <conditionalFormatting sqref="E245">
    <cfRule type="expression" dxfId="237" priority="74" stopIfTrue="1">
      <formula>OR($M$228=0,$M$226=2,$M$229=FALSE)</formula>
    </cfRule>
  </conditionalFormatting>
  <conditionalFormatting sqref="F456:F467">
    <cfRule type="expression" dxfId="236" priority="75" stopIfTrue="1">
      <formula>$M$229=FALSE</formula>
    </cfRule>
  </conditionalFormatting>
  <conditionalFormatting sqref="B314">
    <cfRule type="expression" dxfId="235" priority="76" stopIfTrue="1">
      <formula>$M$314=0</formula>
    </cfRule>
  </conditionalFormatting>
  <conditionalFormatting sqref="G230:G244">
    <cfRule type="expression" dxfId="234" priority="77" stopIfTrue="1">
      <formula>$M$229=FALSE</formula>
    </cfRule>
  </conditionalFormatting>
  <conditionalFormatting sqref="G229">
    <cfRule type="expression" dxfId="233" priority="78" stopIfTrue="1">
      <formula>OR($M$229=FALSE,$U$226=FALSE)</formula>
    </cfRule>
  </conditionalFormatting>
  <conditionalFormatting sqref="F814:G814">
    <cfRule type="expression" dxfId="232" priority="79" stopIfTrue="1">
      <formula>AND($M$33=7,$M$226=2)</formula>
    </cfRule>
  </conditionalFormatting>
  <conditionalFormatting sqref="F813:G813">
    <cfRule type="expression" dxfId="231" priority="80" stopIfTrue="1">
      <formula>AND($M$31=2,$D$813=0)</formula>
    </cfRule>
    <cfRule type="expression" dxfId="230" priority="81" stopIfTrue="1">
      <formula>AND($M$33=9,$M$447=1)</formula>
    </cfRule>
  </conditionalFormatting>
  <conditionalFormatting sqref="B814:D814">
    <cfRule type="expression" dxfId="229" priority="82" stopIfTrue="1">
      <formula>AND($M$33=7,$M$226=2)</formula>
    </cfRule>
    <cfRule type="expression" dxfId="228" priority="83" stopIfTrue="1">
      <formula>AND($M$33=9,$N$447=0)</formula>
    </cfRule>
  </conditionalFormatting>
  <conditionalFormatting sqref="D229">
    <cfRule type="expression" dxfId="227" priority="84" stopIfTrue="1">
      <formula>$M$226&lt;&gt;2</formula>
    </cfRule>
  </conditionalFormatting>
  <conditionalFormatting sqref="E382:E402">
    <cfRule type="expression" dxfId="226" priority="85" stopIfTrue="1">
      <formula>OR(TurbType=7,ES_Hydro_TECDS=0)</formula>
    </cfRule>
  </conditionalFormatting>
  <conditionalFormatting sqref="F380">
    <cfRule type="expression" dxfId="225" priority="86" stopIfTrue="1">
      <formula>OR(TurbType=7,ES_Hydro_TECDS=0)</formula>
    </cfRule>
  </conditionalFormatting>
  <conditionalFormatting sqref="E380">
    <cfRule type="expression" dxfId="224" priority="87" stopIfTrue="1">
      <formula>OR(TurbType=7,ES_Hydro_TECDS=0)</formula>
    </cfRule>
  </conditionalFormatting>
  <conditionalFormatting sqref="G406:G426 G404">
    <cfRule type="expression" dxfId="223" priority="88" stopIfTrue="1">
      <formula>$M$369=0</formula>
    </cfRule>
  </conditionalFormatting>
  <conditionalFormatting sqref="F406:F426">
    <cfRule type="expression" dxfId="222" priority="89" stopIfTrue="1">
      <formula>$M$369=0</formula>
    </cfRule>
  </conditionalFormatting>
  <conditionalFormatting sqref="F404">
    <cfRule type="expression" dxfId="221" priority="90" stopIfTrue="1">
      <formula>$M$369=300</formula>
    </cfRule>
  </conditionalFormatting>
  <conditionalFormatting sqref="E326">
    <cfRule type="expression" dxfId="220" priority="91" stopIfTrue="1">
      <formula>$M$322=0</formula>
    </cfRule>
  </conditionalFormatting>
  <conditionalFormatting sqref="F382:F402">
    <cfRule type="expression" dxfId="219" priority="92" stopIfTrue="1">
      <formula>OR(TurbType=7,ES_Hydro_TECDS=0)</formula>
    </cfRule>
  </conditionalFormatting>
  <conditionalFormatting sqref="D228">
    <cfRule type="expression" dxfId="218" priority="93" stopIfTrue="1">
      <formula>$M$226=2</formula>
    </cfRule>
  </conditionalFormatting>
  <conditionalFormatting sqref="E247 E230:E244">
    <cfRule type="expression" dxfId="217" priority="94" stopIfTrue="1">
      <formula>OR($D$230=$AC$1070,$M$229=FALSE)</formula>
    </cfRule>
  </conditionalFormatting>
  <conditionalFormatting sqref="E229">
    <cfRule type="expression" dxfId="216" priority="95" stopIfTrue="1">
      <formula>OR($M$229=FALSE)</formula>
    </cfRule>
  </conditionalFormatting>
  <conditionalFormatting sqref="K43:K45">
    <cfRule type="expression" dxfId="215" priority="96" stopIfTrue="1">
      <formula>$R$46&lt;&gt;0</formula>
    </cfRule>
  </conditionalFormatting>
  <conditionalFormatting sqref="K559:K561">
    <cfRule type="expression" dxfId="214" priority="97" stopIfTrue="1">
      <formula>$R$562&lt;&gt;0</formula>
    </cfRule>
  </conditionalFormatting>
  <conditionalFormatting sqref="D884">
    <cfRule type="expression" dxfId="213" priority="98" stopIfTrue="1">
      <formula>$M$880=2</formula>
    </cfRule>
  </conditionalFormatting>
  <conditionalFormatting sqref="E881">
    <cfRule type="expression" dxfId="212" priority="99" stopIfTrue="1">
      <formula>$Q$881=0</formula>
    </cfRule>
  </conditionalFormatting>
  <conditionalFormatting sqref="E903">
    <cfRule type="expression" dxfId="211" priority="100" stopIfTrue="1">
      <formula>$Q$903=0</formula>
    </cfRule>
  </conditionalFormatting>
  <conditionalFormatting sqref="E912">
    <cfRule type="expression" dxfId="210" priority="101" stopIfTrue="1">
      <formula>$Q$912=0</formula>
    </cfRule>
  </conditionalFormatting>
  <conditionalFormatting sqref="K38">
    <cfRule type="expression" dxfId="209" priority="102" stopIfTrue="1">
      <formula>$V$38&lt;&gt;0</formula>
    </cfRule>
  </conditionalFormatting>
  <conditionalFormatting sqref="K65:K67">
    <cfRule type="expression" dxfId="208" priority="103" stopIfTrue="1">
      <formula>$R$68&lt;&gt;0</formula>
    </cfRule>
  </conditionalFormatting>
  <conditionalFormatting sqref="K554">
    <cfRule type="expression" dxfId="207" priority="104" stopIfTrue="1">
      <formula>$R$553&lt;&gt;0</formula>
    </cfRule>
  </conditionalFormatting>
  <conditionalFormatting sqref="A31">
    <cfRule type="expression" dxfId="206" priority="105" stopIfTrue="1">
      <formula>$M$30=1</formula>
    </cfRule>
  </conditionalFormatting>
  <conditionalFormatting sqref="B99:D99 B111:D111 B220:D220 B512:D512 B616:D616 B628:D628 B737:D737 B774:D774">
    <cfRule type="expression" dxfId="205" priority="106" stopIfTrue="1">
      <formula>OR($M$31=2,$M$31=10)</formula>
    </cfRule>
  </conditionalFormatting>
  <conditionalFormatting sqref="B93:D93 B105:D105 B634:D634 B768:D768 B117:D117 B214:D214 B622:D622 B506:D506 B731:D731 B610:D610">
    <cfRule type="expression" dxfId="204" priority="107" stopIfTrue="1">
      <formula>OR($P$29=102,$P$29=110)</formula>
    </cfRule>
  </conditionalFormatting>
  <conditionalFormatting sqref="B101:D101 B113:D113 B222:D222 B514:D514 B618:D618 B630:D630 B739:D739 B776:D776">
    <cfRule type="expression" dxfId="203" priority="108" stopIfTrue="1">
      <formula>OR($M$31=2,$M$31=10)</formula>
    </cfRule>
  </conditionalFormatting>
  <conditionalFormatting sqref="B228">
    <cfRule type="expression" dxfId="202" priority="109" stopIfTrue="1">
      <formula>$U$226=TRUE</formula>
    </cfRule>
  </conditionalFormatting>
  <conditionalFormatting sqref="B229">
    <cfRule type="expression" dxfId="201" priority="110" stopIfTrue="1">
      <formula>$U$226&lt;&gt;TRUE</formula>
    </cfRule>
  </conditionalFormatting>
  <conditionalFormatting sqref="C971">
    <cfRule type="expression" dxfId="200" priority="111" stopIfTrue="1">
      <formula>#REF!=3</formula>
    </cfRule>
  </conditionalFormatting>
  <conditionalFormatting sqref="C969:C970">
    <cfRule type="expression" dxfId="199" priority="112" stopIfTrue="1">
      <formula>#REF!=3</formula>
    </cfRule>
  </conditionalFormatting>
  <conditionalFormatting sqref="H10 H21 H72 H79 H92 H104 H116 H161 H198 H213 H257 H306 H367 H439 H475 H496 H505 H517 H525 H533 H541 H587 H595 H609 H621 H633 H678 H715 H730 H742 H750 H758 H767 H779 H787 H795 H803 F884 F915 F905">
    <cfRule type="expression" dxfId="198" priority="113" stopIfTrue="1">
      <formula>$P$4&lt;&gt;1</formula>
    </cfRule>
  </conditionalFormatting>
  <conditionalFormatting sqref="F922 F936 F891">
    <cfRule type="expression" dxfId="197" priority="114" stopIfTrue="1">
      <formula>$P$4&lt;&gt;1</formula>
    </cfRule>
  </conditionalFormatting>
  <conditionalFormatting sqref="H29 H27 F865">
    <cfRule type="expression" dxfId="196" priority="115" stopIfTrue="1">
      <formula>$P$4=2</formula>
    </cfRule>
  </conditionalFormatting>
  <conditionalFormatting sqref="B973:F973">
    <cfRule type="expression" dxfId="195" priority="116" stopIfTrue="1">
      <formula>$D$973=0</formula>
    </cfRule>
  </conditionalFormatting>
  <conditionalFormatting sqref="B94:D94">
    <cfRule type="expression" dxfId="194" priority="117" stopIfTrue="1">
      <formula>OR($P$5=0,$D$94=0)</formula>
    </cfRule>
  </conditionalFormatting>
  <conditionalFormatting sqref="B106:D106">
    <cfRule type="expression" dxfId="193" priority="118" stopIfTrue="1">
      <formula>AND($P$5=0,$D$106=0)</formula>
    </cfRule>
  </conditionalFormatting>
  <conditionalFormatting sqref="B154:D154">
    <cfRule type="expression" dxfId="192" priority="119" stopIfTrue="1">
      <formula>AND($P$5=0,$D$154=0)</formula>
    </cfRule>
  </conditionalFormatting>
  <conditionalFormatting sqref="B188:D188">
    <cfRule type="expression" dxfId="191" priority="120" stopIfTrue="1">
      <formula>AND($P$5=0,$D$188=0)</formula>
    </cfRule>
  </conditionalFormatting>
  <conditionalFormatting sqref="B209:D209">
    <cfRule type="expression" dxfId="190" priority="121" stopIfTrue="1">
      <formula>AND($P$5=0,$D$209=0)</formula>
    </cfRule>
  </conditionalFormatting>
  <conditionalFormatting sqref="B215:D215">
    <cfRule type="expression" dxfId="189" priority="122" stopIfTrue="1">
      <formula>AND($P$5=0,$D$215=0)</formula>
    </cfRule>
  </conditionalFormatting>
  <conditionalFormatting sqref="B304:D304 B310:D310">
    <cfRule type="expression" dxfId="188" priority="123" stopIfTrue="1">
      <formula>AND($P$5=0,$D$304=0)</formula>
    </cfRule>
  </conditionalFormatting>
  <conditionalFormatting sqref="B437:D437">
    <cfRule type="expression" dxfId="187" priority="124" stopIfTrue="1">
      <formula>AND($D$437=0,$P$5=0)</formula>
    </cfRule>
  </conditionalFormatting>
  <conditionalFormatting sqref="B494:D494 B500:D500">
    <cfRule type="expression" dxfId="186" priority="125" stopIfTrue="1">
      <formula>AND($O$494=0,$P$5=0)</formula>
    </cfRule>
  </conditionalFormatting>
  <conditionalFormatting sqref="B507:D507">
    <cfRule type="expression" dxfId="185" priority="126" stopIfTrue="1">
      <formula>AND($D$507=0,$P$5=0)</formula>
    </cfRule>
  </conditionalFormatting>
  <conditionalFormatting sqref="B521:D521">
    <cfRule type="expression" dxfId="184" priority="127" stopIfTrue="1">
      <formula>AND($D$521=0,$P$5=0)</formula>
    </cfRule>
  </conditionalFormatting>
  <conditionalFormatting sqref="B529:D529">
    <cfRule type="expression" dxfId="183" priority="128" stopIfTrue="1">
      <formula>AND($D$529=0,$P$5=0)</formula>
    </cfRule>
  </conditionalFormatting>
  <conditionalFormatting sqref="B537:D537">
    <cfRule type="expression" dxfId="182" priority="129" stopIfTrue="1">
      <formula>AND($D$537=0,$P$5=0)</formula>
    </cfRule>
  </conditionalFormatting>
  <conditionalFormatting sqref="B545:D545">
    <cfRule type="expression" dxfId="181" priority="130" stopIfTrue="1">
      <formula>AND($D$545=0,$P$5=0)</formula>
    </cfRule>
  </conditionalFormatting>
  <conditionalFormatting sqref="B611:D611 B623:D623 B671:D671 B705:D705 B726:D726 B732:D732 B754:D754 B762:D762 B769:D769 B783:D783 B791:D791 B799:D799 B807:D807 B813:D813 B443:D443">
    <cfRule type="expression" dxfId="180" priority="131" stopIfTrue="1">
      <formula>$P$5=0</formula>
    </cfRule>
  </conditionalFormatting>
  <conditionalFormatting sqref="A445:K445">
    <cfRule type="expression" dxfId="179" priority="132" stopIfTrue="1">
      <formula>AND($M$30=2,$M$33=8)</formula>
    </cfRule>
  </conditionalFormatting>
  <conditionalFormatting sqref="A502:K502">
    <cfRule type="expression" dxfId="178" priority="133" stopIfTrue="1">
      <formula>AND($M$30=2,$M$33=9)</formula>
    </cfRule>
  </conditionalFormatting>
  <conditionalFormatting sqref="A312:K312">
    <cfRule type="expression" dxfId="177" priority="134" stopIfTrue="1">
      <formula>AND($M$30=2,$M$33=7)</formula>
    </cfRule>
  </conditionalFormatting>
  <conditionalFormatting sqref="F797">
    <cfRule type="expression" dxfId="176" priority="135" stopIfTrue="1">
      <formula>OR($C$797="",$J$1091=0)</formula>
    </cfRule>
  </conditionalFormatting>
  <conditionalFormatting sqref="F789">
    <cfRule type="expression" dxfId="175" priority="136" stopIfTrue="1">
      <formula>OR($J$1090=0,$C$789="")</formula>
    </cfRule>
  </conditionalFormatting>
  <conditionalFormatting sqref="F781">
    <cfRule type="expression" dxfId="174" priority="137" stopIfTrue="1">
      <formula>OR($J$1089=0,$C$781="")</formula>
    </cfRule>
  </conditionalFormatting>
  <conditionalFormatting sqref="F535">
    <cfRule type="expression" dxfId="173" priority="138" stopIfTrue="1">
      <formula>OR($J$1088=0,$C$535="")</formula>
    </cfRule>
  </conditionalFormatting>
  <conditionalFormatting sqref="F527">
    <cfRule type="expression" dxfId="172" priority="139" stopIfTrue="1">
      <formula>OR($J$1087=0,$C$527="")</formula>
    </cfRule>
  </conditionalFormatting>
  <conditionalFormatting sqref="F519">
    <cfRule type="expression" dxfId="171" priority="140" stopIfTrue="1">
      <formula>OR($J$1086=0,$C$519="")</formula>
    </cfRule>
  </conditionalFormatting>
  <conditionalFormatting sqref="D551">
    <cfRule type="expression" dxfId="170" priority="143" stopIfTrue="1">
      <formula>$C$551=$Z$1105</formula>
    </cfRule>
  </conditionalFormatting>
  <conditionalFormatting sqref="I10:K10 I21:K21 I72:K72 I79:K79 I92:K92 I104:K104 I116:K116 I213:K213 I306:K306 I439:K439 I475:K475 I496:K496 I505:K505 I517:K517 I525:K525 I533:K533 I541:K541 I587:K587 I595:K595 I609:K609 I621:K621 I633:K633 I730:K730 I742:K742 I750:K750 I758:K758 I767:K767 I779:K779 I787:K787 I795:K795 I803:K803">
    <cfRule type="expression" dxfId="169" priority="285" stopIfTrue="1">
      <formula>$P$4&lt;&gt;1</formula>
    </cfRule>
  </conditionalFormatting>
  <conditionalFormatting sqref="F4:J4">
    <cfRule type="expression" dxfId="168" priority="286" stopIfTrue="1">
      <formula>$P$4=2</formula>
    </cfRule>
  </conditionalFormatting>
  <conditionalFormatting sqref="G298:G300 J298:J300">
    <cfRule type="expression" dxfId="167" priority="287" stopIfTrue="1">
      <formula>$M$296=FALSE</formula>
    </cfRule>
  </conditionalFormatting>
  <conditionalFormatting sqref="K298:K300">
    <cfRule type="expression" dxfId="166" priority="288" stopIfTrue="1">
      <formula>$M$296=FALSE</formula>
    </cfRule>
  </conditionalFormatting>
  <dataValidations count="56">
    <dataValidation type="whole" operator="lessThanOrEqual" allowBlank="1" showErrorMessage="1" errorTitle="Debt term" error="The debt term must be entered as a whole number of years less than or equal to the project life." sqref="D995" xr:uid="{E724F882-6DE6-4EAE-B2E8-F028EB5EF778}">
      <formula1>D992</formula1>
    </dataValidation>
    <dataValidation type="whole" allowBlank="1" showErrorMessage="1" errorTitle="Project life" error="The project life must be entered as a whole number of years less than or equal to 50 and greater than or equal to the debt term, if any." sqref="D992" xr:uid="{E1CE22C0-F006-4F7B-BBCF-C2DA2E83D0A9}">
      <formula1>1</formula1>
      <formula2>50</formula2>
    </dataValidation>
    <dataValidation type="list" allowBlank="1" showInputMessage="1" showErrorMessage="1" sqref="D368" xr:uid="{C383937B-728F-4C07-A8F5-C51759F52986}">
      <formula1>$S$316:$S$322</formula1>
    </dataValidation>
    <dataValidation type="list" allowBlank="1" showInputMessage="1" showErrorMessage="1" sqref="C484:E484" xr:uid="{5637B3B2-6203-48FE-BD1D-A228550DB843}">
      <formula1>M_ControlMethod</formula1>
    </dataValidation>
    <dataValidation operator="greaterThanOrEqual" allowBlank="1" showInputMessage="1" showErrorMessage="1" sqref="S720 S156 S203 S191 S130 R87:R88 S164 R603:R604 S681 V708 S647 S673" xr:uid="{62E739A4-3808-444C-AEA0-E5EB3F614053}"/>
    <dataValidation type="decimal" operator="lessThan" allowBlank="1" showInputMessage="1" showErrorMessage="1" sqref="V652" xr:uid="{26736D29-E108-4654-8B18-6743E9B9B86D}">
      <formula1>1</formula1>
    </dataValidation>
    <dataValidation type="list" allowBlank="1" showInputMessage="1" showErrorMessage="1" sqref="D912 D903 D881" xr:uid="{1D7A34B1-317C-47F5-97D9-FED36995FCF3}">
      <formula1>EM_FuelTypeH</formula1>
    </dataValidation>
    <dataValidation type="list" allowBlank="1" showInputMessage="1" showErrorMessage="1" sqref="D902 D911" xr:uid="{C4B3698A-B00B-49D6-A8CD-434C620E45AF}">
      <formula1>$D$1072:$D$1077</formula1>
    </dataValidation>
    <dataValidation type="list" allowBlank="1" showInputMessage="1" showErrorMessage="1" sqref="D880" xr:uid="{0781F63D-A698-49A0-9670-19E05BF46A4E}">
      <formula1>EM_Powerpeak</formula1>
    </dataValidation>
    <dataValidation type="list" allowBlank="1" showInputMessage="1" showErrorMessage="1" sqref="K849 K818 K824 K829 K837 K842" xr:uid="{209F438F-850B-4584-8EA2-1528CB56EAD1}">
      <formula1>$C$1085:$C$1087</formula1>
    </dataValidation>
    <dataValidation type="list" allowBlank="1" showInputMessage="1" showErrorMessage="1" sqref="C553:E553 C37:E37" xr:uid="{2CF0624F-181A-43F8-BE63-637DF03B409C}">
      <formula1>ES_FuelMethod</formula1>
    </dataValidation>
    <dataValidation type="list" allowBlank="1" showInputMessage="1" showErrorMessage="1" sqref="C565:C576 C49:C60" xr:uid="{B1CD5B8D-ED0A-47AC-9850-1DD89D6159DC}">
      <formula1>ES_Fuelselect</formula1>
    </dataValidation>
    <dataValidation type="list" allowBlank="1" showInputMessage="1" showErrorMessage="1" sqref="C549:E549 C32:E32" xr:uid="{F745F3D1-4869-4D30-8576-84CA31165946}">
      <formula1>$D$1079:$D$1084</formula1>
    </dataValidation>
    <dataValidation type="list" allowBlank="1" showInputMessage="1" showErrorMessage="1" sqref="C551 C35" xr:uid="{54A43F6C-C051-4A07-BF64-024AE1B572EE}">
      <formula1>$Z$1105:$Z$1106</formula1>
    </dataValidation>
    <dataValidation type="list" allowBlank="1" showInputMessage="1" showErrorMessage="1" sqref="C554:E554 C43:D45 C65:D67 C38:E38 C581:D583 C559:D561" xr:uid="{9E992435-E7D5-4306-87D8-913C1A4A1A58}">
      <formula1>ES_Fuel2</formula1>
    </dataValidation>
    <dataValidation type="list" operator="greaterThanOrEqual" allowBlank="1" showInputMessage="1" showErrorMessage="1" errorTitle="Biomass boiler seasonal eff." error="The Biomass boiler seasonal efficiency value must be a percentage value lower or equal to 90%." sqref="D600 D84" xr:uid="{B80AEDBB-4396-4824-9273-E8E1FFEF0AD6}">
      <formula1>$E$1100:$E$1101</formula1>
    </dataValidation>
    <dataValidation type="list" allowBlank="1" showInputMessage="1" showErrorMessage="1" sqref="C595 C915 C587 C125 C79 C642 C72 C905" xr:uid="{C83FDD90-EEE4-4F6B-B689-5AE972D8FA8B}">
      <formula1>$Z$1086:$Z$1087</formula1>
    </dataValidation>
    <dataValidation type="list" allowBlank="1" showInputMessage="1" showErrorMessage="1" sqref="D684 D124 D651 D167 D134 D641" xr:uid="{FB2B07A7-DEDD-4FE8-B272-1EAABFB8AC6A}">
      <formula1>$E$1096:$E$1097</formula1>
    </dataValidation>
    <dataValidation type="list" allowBlank="1" showInputMessage="1" showErrorMessage="1" sqref="C715 C161 C678 C198" xr:uid="{1FFE2FEB-4448-4CB0-BB55-9A06B14FE7E3}">
      <formula1>$Z$1084:$Z$1085</formula1>
    </dataValidation>
    <dataValidation type="list" allowBlank="1" showInputMessage="1" showErrorMessage="1" sqref="C718 C128 C645 C601 C85 C162 C201 C679" xr:uid="{57B1DC07-A9EF-4480-B977-AEF8F8B0D4AB}">
      <formula1>$Z$1067:$Z$1070</formula1>
    </dataValidation>
    <dataValidation type="list" allowBlank="1" showInputMessage="1" showErrorMessage="1" sqref="C720 C130 C708 C681 C156 C647 C603:C604 C191 C164 C87:C88 C203 C673 C249" xr:uid="{E26CC406-E598-4A42-9EA6-011D9375E2B2}">
      <formula1>$Z$1107:$Z$1108</formula1>
    </dataValidation>
    <dataValidation type="list" allowBlank="1" showInputMessage="1" showErrorMessage="1" sqref="C721 C692 C654 C175 C659 C137 C142 C687 C170 C204" xr:uid="{300A1F69-A560-462C-9E3C-6BFF031985E4}">
      <formula1>$Z$1061:$Z$1065</formula1>
    </dataValidation>
    <dataValidation type="list" allowBlank="1" showInputMessage="1" showErrorMessage="1" sqref="C773 C110 C736 C637 C627 C615 C511 C219 C120 C98 C888" xr:uid="{DE2A22E1-21FF-497C-BEEE-09E68D00F4A8}">
      <formula1>$Z$1081:$Z$1082</formula1>
    </dataValidation>
    <dataValidation type="list" allowBlank="1" showInputMessage="1" showErrorMessage="1" sqref="C854:D854" xr:uid="{42806EB5-988B-4B57-9B2E-19DF7392F669}">
      <formula1>$E$1094:$E$1095</formula1>
    </dataValidation>
    <dataValidation type="list" allowBlank="1" showInputMessage="1" showErrorMessage="1" sqref="C861:E861" xr:uid="{56F264F8-CBEC-4608-9199-8012B2136BBF}">
      <formula1>$B$850:$B$851</formula1>
    </dataValidation>
    <dataValidation type="list" allowBlank="1" showInputMessage="1" showErrorMessage="1" sqref="C859:E859" xr:uid="{C79F7879-966D-48E5-8728-228514C12BDD}">
      <formula1>$B$838:$B$839</formula1>
    </dataValidation>
    <dataValidation type="list" allowBlank="1" showInputMessage="1" showErrorMessage="1" sqref="C857:E857" xr:uid="{A5C20327-7C85-41FC-BE7F-FF6B2D124987}">
      <formula1>$B$825:$B$826</formula1>
    </dataValidation>
    <dataValidation type="list" allowBlank="1" showInputMessage="1" showErrorMessage="1" sqref="C856:E856" xr:uid="{8B5F320B-6927-4F9D-9EB0-8D2C1C426DFA}">
      <formula1>$R$1087:$R$1089</formula1>
    </dataValidation>
    <dataValidation type="list" allowBlank="1" showInputMessage="1" showErrorMessage="1" sqref="C860:E860" xr:uid="{9A3BC55F-E624-44EC-A9BA-80117674D406}">
      <formula1>$B$843:$B$846</formula1>
    </dataValidation>
    <dataValidation type="list" allowBlank="1" showInputMessage="1" showErrorMessage="1" sqref="C858:E858" xr:uid="{DEE8F714-0FC0-4E10-B9AB-0B6DEE59BE3D}">
      <formula1>$B$830:$B$834</formula1>
    </dataValidation>
    <dataValidation type="list" allowBlank="1" showInputMessage="1" showErrorMessage="1" sqref="C550:E550" xr:uid="{3B8A8283-5701-4A2F-BFFB-63086A111415}">
      <formula1>$M$1063:$M$1076</formula1>
    </dataValidation>
    <dataValidation type="list" allowBlank="1" showInputMessage="1" showErrorMessage="1" sqref="D474" xr:uid="{1EA970AE-EC0D-4C68-A338-36A57025ED04}">
      <formula1>$O$475:$O$481</formula1>
    </dataValidation>
    <dataValidation type="list" allowBlank="1" showInputMessage="1" showErrorMessage="1" sqref="D449" xr:uid="{30D50132-95CD-4021-B835-4FE6F5594187}">
      <formula1>$R$448:$R$451</formula1>
    </dataValidation>
    <dataValidation type="list" allowBlank="1" showInputMessage="1" showErrorMessage="1" sqref="D322" xr:uid="{D4450E7B-8326-4391-8C28-5D975506180E}">
      <formula1>$R$316:$R$317</formula1>
    </dataValidation>
    <dataValidation type="list" allowBlank="1" showInputMessage="1" showErrorMessage="1" sqref="D317" xr:uid="{2ECA1B68-2F36-4675-81AB-25BE2D53F022}">
      <formula1>$Q$316:$Q$317</formula1>
    </dataValidation>
    <dataValidation type="list" allowBlank="1" showInputMessage="1" showErrorMessage="1" sqref="D316" xr:uid="{CC7E59F5-5269-4EED-A907-B231B5FE849E}">
      <formula1>$Q$313:$Q$314</formula1>
    </dataValidation>
    <dataValidation type="list" allowBlank="1" showInputMessage="1" showErrorMessage="1" sqref="D369" xr:uid="{10A78D95-6C0F-4BF5-BAD4-F949499A4F87}">
      <formula1>$R$318:$R$319</formula1>
    </dataValidation>
    <dataValidation type="list" allowBlank="1" showInputMessage="1" showErrorMessage="1" sqref="D261" xr:uid="{A0FDA4D5-7259-4366-801C-264A23731860}">
      <formula1>$Q$226:$Q$227</formula1>
    </dataValidation>
    <dataValidation type="list" allowBlank="1" showInputMessage="1" showErrorMessage="1" sqref="C21 C10" xr:uid="{59BA4C58-BEAE-4B31-BB36-2EA30420EC4E}">
      <formula1>$Z$1086:$Z$1088</formula1>
    </dataValidation>
    <dataValidation type="list" allowBlank="1" showInputMessage="1" showErrorMessage="1" sqref="C6:E6" xr:uid="{395FFE2D-B4E6-4EF8-BCDE-B03425B84A12}">
      <formula1>$I$1076:$I$1080</formula1>
    </dataValidation>
    <dataValidation type="list" allowBlank="1" showInputMessage="1" showErrorMessage="1" errorTitle="Hours per year" error="Maximum hours per year 8,760" sqref="C30:E30 C28:E28" xr:uid="{8A7EACB9-EBF5-47F3-9942-C84156B7ED53}">
      <formula1>ES_TypeBI</formula1>
    </dataValidation>
    <dataValidation type="list" allowBlank="1" showInputMessage="1" showErrorMessage="1" sqref="C8:E8 C18:E18" xr:uid="{9F25B0DE-5537-4407-9DD4-A738B01872A0}">
      <formula1>ES_fuel3</formula1>
    </dataValidation>
    <dataValidation type="list" allowBlank="1" showInputMessage="1" showErrorMessage="1" sqref="D228" xr:uid="{8B2D4EE6-81DB-4759-AE42-89D9BE27FCCB}">
      <formula1>$P$226:$P$227</formula1>
    </dataValidation>
    <dataValidation operator="greaterThan" allowBlank="1" showInputMessage="1" showErrorMessage="1" sqref="D198" xr:uid="{58C52D72-D09D-4192-BC7E-05B9F06AA497}"/>
    <dataValidation type="list" showInputMessage="1" showErrorMessage="1" sqref="C33:E33" xr:uid="{60EEF521-DC2C-4DE3-8576-E0B3CC3608F3}">
      <formula1>$M$1063:$M$1076</formula1>
    </dataValidation>
    <dataValidation type="list" allowBlank="1" showInputMessage="1" showErrorMessage="1" sqref="C247 C320" xr:uid="{52881F77-5B60-482C-93F3-28126C7A5DD9}">
      <formula1>$AC$1065:$AC$1066</formula1>
    </dataValidation>
    <dataValidation type="list" allowBlank="1" showInputMessage="1" showErrorMessage="1" sqref="C922 C936" xr:uid="{D7538E30-162F-4871-A2F5-8AC880325E18}">
      <formula1>$Z$1097:$Z$1098</formula1>
    </dataValidation>
    <dataValidation type="list" allowBlank="1" showInputMessage="1" showErrorMessage="1" sqref="C245" xr:uid="{C7676BE5-2095-4762-B843-E63C72B9C2A8}">
      <formula1>$AC$1068:$AC$1069</formula1>
    </dataValidation>
    <dataValidation type="list" allowBlank="1" showInputMessage="1" showErrorMessage="1" sqref="C250" xr:uid="{76CD8849-F6ED-4E41-B2DA-F525CF7E854B}">
      <formula1>$AC$1061:$AC$1063</formula1>
    </dataValidation>
    <dataValidation type="list" allowBlank="1" showInputMessage="1" showErrorMessage="1" sqref="D230" xr:uid="{B90BCF7C-6B7F-4B55-80A6-D66A55A45469}">
      <formula1>$AC$1068:$AC$1070</formula1>
    </dataValidation>
    <dataValidation type="list" allowBlank="1" showInputMessage="1" showErrorMessage="1" sqref="C16:E16" xr:uid="{9F208C55-C555-44BB-8D5B-E622D108F5CB}">
      <formula1>$I$1069:$I$1074</formula1>
    </dataValidation>
    <dataValidation type="whole" operator="greaterThanOrEqual" allowBlank="1" showInputMessage="1" showErrorMessage="1" errorTitle="GHG reduction credit duration" error="The GHG emission reduction credit duration must be entered as a whole number of years greater than or equal to 1." sqref="D984" xr:uid="{700A18C6-C6E4-4652-ACEC-3D784CF85255}">
      <formula1>1</formula1>
    </dataValidation>
    <dataValidation type="list" allowBlank="1" showInputMessage="1" showErrorMessage="1" sqref="G980:I980" xr:uid="{6871FF15-BC0B-4686-A517-1A7F58AD16B4}">
      <formula1>GHG_conv</formula1>
    </dataValidation>
    <dataValidation type="list" allowBlank="1" showInputMessage="1" showErrorMessage="1" sqref="B971" xr:uid="{1B08B15C-8C65-479E-871D-258F2B51E14B}">
      <formula1>CA_country2</formula1>
    </dataValidation>
    <dataValidation type="list" allowBlank="1" showInputMessage="1" showErrorMessage="1" sqref="C971" xr:uid="{11C96E64-5DC7-41F7-B2DE-CDD1BF74D255}">
      <formula1>GHG_Etype</formula1>
    </dataValidation>
    <dataValidation type="list" allowBlank="1" showInputMessage="1" showErrorMessage="1" sqref="D970 F970" xr:uid="{5479B33A-0115-48F9-9EEA-72C3919F7AE0}">
      <formula1>$AC$1083:$AC$1084</formula1>
    </dataValidation>
  </dataValidations>
  <printOptions horizontalCentered="1"/>
  <pageMargins left="0.51181102362204722" right="0.51181102362204722" top="0.51181102362204722" bottom="0.51181102362204722" header="0.51181102362204722" footer="0.31496062992125984"/>
  <pageSetup scale="41" orientation="portrait" r:id="rId1"/>
  <headerFooter alignWithMargins="0">
    <oddFooter>&amp;L_x000D_&amp;R2007-09-27_x000D_RETScreen4-v182-45.xls</oddFooter>
  </headerFooter>
  <drawing r:id="rId2"/>
  <legacyDrawing r:id="rId3"/>
  <controls>
    <mc:AlternateContent xmlns:mc="http://schemas.openxmlformats.org/markup-compatibility/2006">
      <mc:Choice Requires="x14">
        <control shapeId="215041" r:id="rId4" name="GHG">
          <controlPr autoLine="0" linkedCell="P967" r:id="rId5">
            <anchor moveWithCells="1" sizeWithCells="1">
              <from>
                <xdr:col>14</xdr:col>
                <xdr:colOff>236220</xdr:colOff>
                <xdr:row>966</xdr:row>
                <xdr:rowOff>7620</xdr:rowOff>
              </from>
              <to>
                <xdr:col>14</xdr:col>
                <xdr:colOff>396240</xdr:colOff>
                <xdr:row>967</xdr:row>
                <xdr:rowOff>0</xdr:rowOff>
              </to>
            </anchor>
          </controlPr>
        </control>
      </mc:Choice>
      <mc:Fallback>
        <control shapeId="215041" r:id="rId4" name="GHG"/>
      </mc:Fallback>
    </mc:AlternateContent>
    <mc:AlternateContent xmlns:mc="http://schemas.openxmlformats.org/markup-compatibility/2006">
      <mc:Choice Requires="x14">
        <control shapeId="69686" r:id="rId6" name="CheckBox7">
          <controlPr defaultSize="0" autoLine="0" linkedCell="M229" r:id="rId7">
            <anchor moveWithCells="1" sizeWithCells="1">
              <from>
                <xdr:col>12</xdr:col>
                <xdr:colOff>548640</xdr:colOff>
                <xdr:row>228</xdr:row>
                <xdr:rowOff>144780</xdr:rowOff>
              </from>
              <to>
                <xdr:col>13</xdr:col>
                <xdr:colOff>99060</xdr:colOff>
                <xdr:row>228</xdr:row>
                <xdr:rowOff>297180</xdr:rowOff>
              </to>
            </anchor>
          </controlPr>
        </control>
      </mc:Choice>
      <mc:Fallback>
        <control shapeId="69686" r:id="rId6" name="CheckBox7"/>
      </mc:Fallback>
    </mc:AlternateContent>
    <mc:AlternateContent xmlns:mc="http://schemas.openxmlformats.org/markup-compatibility/2006">
      <mc:Choice Requires="x14">
        <control shapeId="4116" r:id="rId8" name="CheckBox5">
          <controlPr autoLine="0" linkedCell="M296" r:id="rId9">
            <anchor moveWithCells="1" sizeWithCells="1">
              <from>
                <xdr:col>12</xdr:col>
                <xdr:colOff>601980</xdr:colOff>
                <xdr:row>295</xdr:row>
                <xdr:rowOff>30480</xdr:rowOff>
              </from>
              <to>
                <xdr:col>13</xdr:col>
                <xdr:colOff>144780</xdr:colOff>
                <xdr:row>296</xdr:row>
                <xdr:rowOff>15240</xdr:rowOff>
              </to>
            </anchor>
          </controlPr>
        </control>
      </mc:Choice>
      <mc:Fallback>
        <control shapeId="4116" r:id="rId8" name="CheckBox5"/>
      </mc:Fallback>
    </mc:AlternateContent>
    <mc:AlternateContent xmlns:mc="http://schemas.openxmlformats.org/markup-compatibility/2006">
      <mc:Choice Requires="x14">
        <control shapeId="4115" r:id="rId10" name="CheckBox4">
          <controlPr autoLine="0" linkedCell="M453" r:id="rId11">
            <anchor moveWithCells="1" sizeWithCells="1">
              <from>
                <xdr:col>12</xdr:col>
                <xdr:colOff>38100</xdr:colOff>
                <xdr:row>453</xdr:row>
                <xdr:rowOff>0</xdr:rowOff>
              </from>
              <to>
                <xdr:col>12</xdr:col>
                <xdr:colOff>198120</xdr:colOff>
                <xdr:row>453</xdr:row>
                <xdr:rowOff>152400</xdr:rowOff>
              </to>
            </anchor>
          </controlPr>
        </control>
      </mc:Choice>
      <mc:Fallback>
        <control shapeId="4115" r:id="rId10" name="CheckBox4"/>
      </mc:Fallback>
    </mc:AlternateContent>
    <mc:AlternateContent xmlns:mc="http://schemas.openxmlformats.org/markup-compatibility/2006">
      <mc:Choice Requires="x14">
        <control shapeId="4113" r:id="rId12" name="OptionButton7">
          <controlPr defaultSize="0" autoLine="0" linkedCell="U226" r:id="rId13">
            <anchor moveWithCells="1" sizeWithCells="1">
              <from>
                <xdr:col>12</xdr:col>
                <xdr:colOff>205740</xdr:colOff>
                <xdr:row>224</xdr:row>
                <xdr:rowOff>137160</xdr:rowOff>
              </from>
              <to>
                <xdr:col>12</xdr:col>
                <xdr:colOff>449580</xdr:colOff>
                <xdr:row>224</xdr:row>
                <xdr:rowOff>289560</xdr:rowOff>
              </to>
            </anchor>
          </controlPr>
        </control>
      </mc:Choice>
      <mc:Fallback>
        <control shapeId="4113" r:id="rId12" name="OptionButton7"/>
      </mc:Fallback>
    </mc:AlternateContent>
    <mc:AlternateContent xmlns:mc="http://schemas.openxmlformats.org/markup-compatibility/2006">
      <mc:Choice Requires="x14">
        <control shapeId="4112" r:id="rId14" name="OptionButton6">
          <controlPr defaultSize="0" autoLine="0" linkedCell="T226" r:id="rId13">
            <anchor moveWithCells="1" sizeWithCells="1">
              <from>
                <xdr:col>12</xdr:col>
                <xdr:colOff>205740</xdr:colOff>
                <xdr:row>223</xdr:row>
                <xdr:rowOff>121920</xdr:rowOff>
              </from>
              <to>
                <xdr:col>12</xdr:col>
                <xdr:colOff>449580</xdr:colOff>
                <xdr:row>224</xdr:row>
                <xdr:rowOff>114300</xdr:rowOff>
              </to>
            </anchor>
          </controlPr>
        </control>
      </mc:Choice>
      <mc:Fallback>
        <control shapeId="4112" r:id="rId14" name="OptionButton6"/>
      </mc:Fallback>
    </mc:AlternateContent>
    <mc:AlternateContent xmlns:mc="http://schemas.openxmlformats.org/markup-compatibility/2006">
      <mc:Choice Requires="x14">
        <control shapeId="4111" r:id="rId15" name="OptionButton5">
          <controlPr defaultSize="0" autoLine="0" linkedCell="S226" r:id="rId16">
            <anchor moveWithCells="1" sizeWithCells="1">
              <from>
                <xdr:col>12</xdr:col>
                <xdr:colOff>228600</xdr:colOff>
                <xdr:row>222</xdr:row>
                <xdr:rowOff>121920</xdr:rowOff>
              </from>
              <to>
                <xdr:col>12</xdr:col>
                <xdr:colOff>472440</xdr:colOff>
                <xdr:row>223</xdr:row>
                <xdr:rowOff>83820</xdr:rowOff>
              </to>
            </anchor>
          </controlPr>
        </control>
      </mc:Choice>
      <mc:Fallback>
        <control shapeId="4111" r:id="rId15" name="OptionButton5"/>
      </mc:Fallback>
    </mc:AlternateContent>
    <mc:AlternateContent xmlns:mc="http://schemas.openxmlformats.org/markup-compatibility/2006">
      <mc:Choice Requires="x14">
        <control shapeId="4110" r:id="rId17" name="OptionButton4">
          <controlPr defaultSize="0" autoLine="0" linkedCell="M313" r:id="rId18">
            <anchor moveWithCells="1" sizeWithCells="1">
              <from>
                <xdr:col>13</xdr:col>
                <xdr:colOff>129540</xdr:colOff>
                <xdr:row>312</xdr:row>
                <xdr:rowOff>38100</xdr:rowOff>
              </from>
              <to>
                <xdr:col>13</xdr:col>
                <xdr:colOff>373380</xdr:colOff>
                <xdr:row>312</xdr:row>
                <xdr:rowOff>182880</xdr:rowOff>
              </to>
            </anchor>
          </controlPr>
        </control>
      </mc:Choice>
      <mc:Fallback>
        <control shapeId="4110" r:id="rId17" name="OptionButton4"/>
      </mc:Fallback>
    </mc:AlternateContent>
    <mc:AlternateContent xmlns:mc="http://schemas.openxmlformats.org/markup-compatibility/2006">
      <mc:Choice Requires="x14">
        <control shapeId="4109" r:id="rId19" name="OptionButton3">
          <controlPr defaultSize="0" autoLine="0" linkedCell="M312" r:id="rId20">
            <anchor moveWithCells="1" sizeWithCells="1">
              <from>
                <xdr:col>13</xdr:col>
                <xdr:colOff>129540</xdr:colOff>
                <xdr:row>311</xdr:row>
                <xdr:rowOff>53340</xdr:rowOff>
              </from>
              <to>
                <xdr:col>13</xdr:col>
                <xdr:colOff>373380</xdr:colOff>
                <xdr:row>312</xdr:row>
                <xdr:rowOff>45720</xdr:rowOff>
              </to>
            </anchor>
          </controlPr>
        </control>
      </mc:Choice>
      <mc:Fallback>
        <control shapeId="4109" r:id="rId19" name="OptionButton3"/>
      </mc:Fallback>
    </mc:AlternateContent>
    <mc:AlternateContent xmlns:mc="http://schemas.openxmlformats.org/markup-compatibility/2006">
      <mc:Choice Requires="x14">
        <control shapeId="4108" r:id="rId21" name="OptionButton2">
          <controlPr defaultSize="0" autoLine="0" linkedCell="M448" r:id="rId22">
            <anchor moveWithCells="1" sizeWithCells="1">
              <from>
                <xdr:col>13</xdr:col>
                <xdr:colOff>60960</xdr:colOff>
                <xdr:row>447</xdr:row>
                <xdr:rowOff>0</xdr:rowOff>
              </from>
              <to>
                <xdr:col>13</xdr:col>
                <xdr:colOff>304800</xdr:colOff>
                <xdr:row>447</xdr:row>
                <xdr:rowOff>152400</xdr:rowOff>
              </to>
            </anchor>
          </controlPr>
        </control>
      </mc:Choice>
      <mc:Fallback>
        <control shapeId="4108" r:id="rId21" name="OptionButton2"/>
      </mc:Fallback>
    </mc:AlternateContent>
    <mc:AlternateContent xmlns:mc="http://schemas.openxmlformats.org/markup-compatibility/2006">
      <mc:Choice Requires="x14">
        <control shapeId="4107" r:id="rId23" name="OptionButton1">
          <controlPr defaultSize="0" autoLine="0" linkedCell="M447" r:id="rId13">
            <anchor moveWithCells="1" sizeWithCells="1">
              <from>
                <xdr:col>13</xdr:col>
                <xdr:colOff>60960</xdr:colOff>
                <xdr:row>446</xdr:row>
                <xdr:rowOff>7620</xdr:rowOff>
              </from>
              <to>
                <xdr:col>13</xdr:col>
                <xdr:colOff>304800</xdr:colOff>
                <xdr:row>447</xdr:row>
                <xdr:rowOff>0</xdr:rowOff>
              </to>
            </anchor>
          </controlPr>
        </control>
      </mc:Choice>
      <mc:Fallback>
        <control shapeId="4107" r:id="rId23" name="OptionButton1"/>
      </mc:Fallback>
    </mc:AlternateContent>
    <mc:AlternateContent xmlns:mc="http://schemas.openxmlformats.org/markup-compatibility/2006">
      <mc:Choice Requires="x14">
        <control shapeId="4104" r:id="rId24" name="CheckBox2">
          <controlPr defaultSize="0" autoLine="0" linkedCell="M266" r:id="rId7">
            <anchor moveWithCells="1" sizeWithCells="1">
              <from>
                <xdr:col>12</xdr:col>
                <xdr:colOff>0</xdr:colOff>
                <xdr:row>266</xdr:row>
                <xdr:rowOff>91440</xdr:rowOff>
              </from>
              <to>
                <xdr:col>12</xdr:col>
                <xdr:colOff>160020</xdr:colOff>
                <xdr:row>266</xdr:row>
                <xdr:rowOff>243840</xdr:rowOff>
              </to>
            </anchor>
          </controlPr>
        </control>
      </mc:Choice>
      <mc:Fallback>
        <control shapeId="4104" r:id="rId24" name="CheckBox2"/>
      </mc:Fallback>
    </mc:AlternateContent>
    <mc:AlternateContent xmlns:mc="http://schemas.openxmlformats.org/markup-compatibility/2006">
      <mc:Choice Requires="x14">
        <control shapeId="4098" r:id="rId25" name="CheckBox1">
          <controlPr defaultSize="0" autoLine="0" linkedCell="$M$3" r:id="rId26">
            <anchor moveWithCells="1">
              <from>
                <xdr:col>8</xdr:col>
                <xdr:colOff>807720</xdr:colOff>
                <xdr:row>1</xdr:row>
                <xdr:rowOff>83820</xdr:rowOff>
              </from>
              <to>
                <xdr:col>8</xdr:col>
                <xdr:colOff>960120</xdr:colOff>
                <xdr:row>2</xdr:row>
                <xdr:rowOff>76200</xdr:rowOff>
              </to>
            </anchor>
          </controlPr>
        </control>
      </mc:Choice>
      <mc:Fallback>
        <control shapeId="4098" r:id="rId25" name="CheckBox1"/>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4C8AD-F97A-4242-9B71-25CE307C29AF}">
  <sheetPr codeName="CHP_Cost">
    <pageSetUpPr fitToPage="1"/>
  </sheetPr>
  <dimension ref="A1:W273"/>
  <sheetViews>
    <sheetView showRowColHeaders="0" topLeftCell="A47" zoomScale="85" zoomScaleNormal="85" workbookViewId="0">
      <selection activeCell="F255" sqref="F255"/>
    </sheetView>
  </sheetViews>
  <sheetFormatPr defaultColWidth="0" defaultRowHeight="13.2" customHeight="1" zeroHeight="1"/>
  <cols>
    <col min="1" max="2" width="2.33203125" style="321" customWidth="1"/>
    <col min="3" max="3" width="39.33203125" style="321" customWidth="1"/>
    <col min="4" max="4" width="12.77734375" style="321" customWidth="1"/>
    <col min="5" max="5" width="14.77734375" style="321" customWidth="1"/>
    <col min="6" max="6" width="16.77734375" style="321" customWidth="1"/>
    <col min="7" max="8" width="18.77734375" style="321" customWidth="1"/>
    <col min="9" max="10" width="18.77734375" style="321" hidden="1" customWidth="1"/>
    <col min="11" max="12" width="18.77734375" style="321" customWidth="1"/>
    <col min="13" max="13" width="37.33203125" style="321" hidden="1" customWidth="1"/>
    <col min="14" max="14" width="2.33203125" style="321" customWidth="1"/>
    <col min="15" max="16" width="6.88671875" style="321" hidden="1" customWidth="1"/>
    <col min="17" max="17" width="9.33203125" style="321" hidden="1" customWidth="1"/>
    <col min="18" max="18" width="6.88671875" style="321" hidden="1" customWidth="1"/>
    <col min="19" max="19" width="10.33203125" style="321" hidden="1" customWidth="1"/>
    <col min="20" max="21" width="6.88671875" style="321" hidden="1" customWidth="1"/>
    <col min="22" max="23" width="0" style="321" hidden="1" customWidth="1"/>
  </cols>
  <sheetData>
    <row r="1" spans="1:23" ht="0.15" customHeight="1" thickBot="1">
      <c r="A1" s="1194" t="str">
        <f>Language!C869&amp;'Análise de Emissões'!B188</f>
        <v>Análise de Custos RETScreen - Projeto produção de Eletricidade</v>
      </c>
      <c r="B1" s="1194"/>
      <c r="C1" s="1194"/>
      <c r="D1" s="1194"/>
      <c r="E1" s="1194"/>
      <c r="F1" s="1194"/>
      <c r="G1" s="1194"/>
      <c r="H1" s="1194"/>
      <c r="I1" s="1194"/>
      <c r="J1" s="1194"/>
      <c r="K1" s="1194"/>
      <c r="L1" s="1194"/>
      <c r="M1" s="29"/>
      <c r="N1" s="1"/>
      <c r="O1"/>
      <c r="P1"/>
      <c r="Q1"/>
      <c r="R1"/>
      <c r="S1"/>
      <c r="T1"/>
      <c r="U1">
        <v>60000</v>
      </c>
      <c r="V1"/>
      <c r="W1"/>
    </row>
    <row r="2" spans="1:23" ht="12.75" customHeight="1" thickBot="1">
      <c r="A2" s="1194"/>
      <c r="B2" s="1194"/>
      <c r="C2" s="1194"/>
      <c r="D2" s="1194"/>
      <c r="E2" s="1194"/>
      <c r="F2" s="1194"/>
      <c r="G2" s="1194"/>
      <c r="H2" s="1194"/>
      <c r="I2" s="1194"/>
      <c r="J2" s="1194"/>
      <c r="K2" s="1194"/>
      <c r="L2" s="1194"/>
      <c r="M2" s="29"/>
      <c r="N2" s="1"/>
      <c r="O2">
        <f>IF(ISERROR(SUM(O3:P256)),3,1+SUM(O3:P256))</f>
        <v>21329</v>
      </c>
      <c r="P2">
        <v>21329</v>
      </c>
      <c r="Q2"/>
      <c r="R2"/>
      <c r="S2"/>
      <c r="T2"/>
      <c r="U2">
        <v>60000</v>
      </c>
      <c r="V2" s="1270" t="s">
        <v>3943</v>
      </c>
      <c r="W2" s="1271"/>
    </row>
    <row r="3" spans="1:23" ht="12.75" customHeight="1" thickBot="1">
      <c r="A3" s="1219"/>
      <c r="B3" s="1219"/>
      <c r="C3" s="1219"/>
      <c r="D3" s="1219"/>
      <c r="E3" s="1219"/>
      <c r="F3" s="1219"/>
      <c r="G3" s="1219"/>
      <c r="H3" s="1219"/>
      <c r="I3" s="1219"/>
      <c r="J3" s="1219"/>
      <c r="K3" s="1219"/>
      <c r="L3" s="1219"/>
      <c r="M3" s="29"/>
      <c r="N3" s="1"/>
      <c r="O3">
        <f>IF(R5=TRUE,IF(G6="",2,MATCH(G6,D266:D267,0)),100)</f>
        <v>1</v>
      </c>
      <c r="P3"/>
      <c r="Q3"/>
      <c r="R3"/>
      <c r="S3"/>
      <c r="T3"/>
      <c r="U3">
        <v>60000</v>
      </c>
      <c r="V3" s="988" t="s">
        <v>2049</v>
      </c>
      <c r="W3" s="988" t="s">
        <v>5596</v>
      </c>
    </row>
    <row r="4" spans="1:23" ht="12.75" customHeight="1">
      <c r="A4" s="1203" t="str">
        <f>Language!C494</f>
        <v>Opções</v>
      </c>
      <c r="B4" s="1204"/>
      <c r="C4" s="1204"/>
      <c r="D4" s="147"/>
      <c r="E4" s="147"/>
      <c r="F4" s="147"/>
      <c r="G4" s="147"/>
      <c r="H4" s="147"/>
      <c r="I4" s="147"/>
      <c r="J4" s="147"/>
      <c r="K4" s="147"/>
      <c r="L4" s="148"/>
      <c r="M4" s="151"/>
      <c r="N4" s="12"/>
      <c r="O4">
        <f>Iniciar!O28</f>
        <v>20912</v>
      </c>
      <c r="P4"/>
      <c r="Q4" t="s">
        <v>3811</v>
      </c>
      <c r="R4" t="s">
        <v>3812</v>
      </c>
      <c r="S4"/>
      <c r="T4"/>
      <c r="U4">
        <v>60100</v>
      </c>
      <c r="V4" s="508" t="s">
        <v>709</v>
      </c>
      <c r="W4" s="509" t="s">
        <v>709</v>
      </c>
    </row>
    <row r="5" spans="1:23" ht="12.75" customHeight="1">
      <c r="A5" s="12"/>
      <c r="B5" s="8"/>
      <c r="C5" s="330" t="str">
        <f>Language!C1811</f>
        <v xml:space="preserve">Método 1 </v>
      </c>
      <c r="D5" s="730" t="str">
        <f>Language!C48</f>
        <v>Notas/faixa</v>
      </c>
      <c r="E5" s="8"/>
      <c r="F5" s="8"/>
      <c r="G5" s="8"/>
      <c r="H5" s="8" t="str">
        <f>Language!C496</f>
        <v>Segunda moeda</v>
      </c>
      <c r="I5" s="1152" t="s">
        <v>709</v>
      </c>
      <c r="J5" s="1154"/>
      <c r="K5" s="8"/>
      <c r="L5" s="9"/>
      <c r="M5" s="29"/>
      <c r="N5" s="12"/>
      <c r="O5">
        <f>IF(Currency2_name="",1,MATCH(Currency2_name,currency_list,0))</f>
        <v>1</v>
      </c>
      <c r="P5"/>
      <c r="Q5" s="3" t="b">
        <v>0</v>
      </c>
      <c r="R5" s="3" t="b">
        <v>1</v>
      </c>
      <c r="S5">
        <v>60106</v>
      </c>
      <c r="T5">
        <v>60108</v>
      </c>
      <c r="U5">
        <v>60100</v>
      </c>
      <c r="V5" s="510" t="s">
        <v>5809</v>
      </c>
      <c r="W5" s="511" t="s">
        <v>5580</v>
      </c>
    </row>
    <row r="6" spans="1:23" ht="12.75" customHeight="1">
      <c r="A6" s="12"/>
      <c r="B6" s="8"/>
      <c r="C6" s="330" t="str">
        <f>Language!C1812</f>
        <v xml:space="preserve">Método 2 </v>
      </c>
      <c r="D6" s="730" t="str">
        <f>Language!C496</f>
        <v>Segunda moeda</v>
      </c>
      <c r="E6" s="8"/>
      <c r="F6" s="8" t="str">
        <f>D5</f>
        <v>Notas/faixa</v>
      </c>
      <c r="G6" s="303" t="s">
        <v>6840</v>
      </c>
      <c r="H6" s="8"/>
      <c r="I6" s="149" t="str">
        <f>Language!C497</f>
        <v>Símbolo</v>
      </c>
      <c r="J6" s="911"/>
      <c r="K6" s="1139"/>
      <c r="L6" s="1272"/>
      <c r="M6" s="407" t="str">
        <f>D267</f>
        <v>Definido pelo usuário</v>
      </c>
      <c r="N6" s="12"/>
      <c r="O6">
        <f>IF(Q6=TRUE,13,5)+IF(R5=TRUE,7,11)+IF(R7=TRUE,22,45)</f>
        <v>65</v>
      </c>
      <c r="P6"/>
      <c r="Q6" s="3" t="b">
        <v>1</v>
      </c>
      <c r="R6" s="3" t="b">
        <v>0</v>
      </c>
      <c r="S6">
        <v>60106</v>
      </c>
      <c r="T6">
        <v>60110</v>
      </c>
      <c r="U6">
        <v>60100</v>
      </c>
      <c r="V6" s="510" t="s">
        <v>4447</v>
      </c>
      <c r="W6" s="511" t="s">
        <v>4447</v>
      </c>
    </row>
    <row r="7" spans="1:23" ht="13.5" customHeight="1">
      <c r="A7" s="14"/>
      <c r="B7" s="15"/>
      <c r="C7" s="15"/>
      <c r="D7" s="731" t="str">
        <f>Language!C1568</f>
        <v>Alocação de custo</v>
      </c>
      <c r="E7" s="15"/>
      <c r="F7" s="15"/>
      <c r="G7" s="15"/>
      <c r="H7" s="15"/>
      <c r="I7" s="15" t="str">
        <f>Language!C498&amp;Currency&amp;"/"&amp;Currency2</f>
        <v>Preço: €/$</v>
      </c>
      <c r="J7" s="150">
        <v>1</v>
      </c>
      <c r="K7" s="15"/>
      <c r="L7" s="11"/>
      <c r="M7" s="33"/>
      <c r="N7" s="12"/>
      <c r="O7">
        <f>HideCodeCA_ProjectT*123</f>
        <v>0</v>
      </c>
      <c r="P7"/>
      <c r="Q7" s="3" t="b">
        <v>0</v>
      </c>
      <c r="R7" s="3" t="b">
        <v>0</v>
      </c>
      <c r="S7">
        <v>60106</v>
      </c>
      <c r="T7">
        <v>60112</v>
      </c>
      <c r="U7">
        <v>60100</v>
      </c>
      <c r="V7" s="510" t="s">
        <v>1014</v>
      </c>
      <c r="W7" s="511" t="s">
        <v>1014</v>
      </c>
    </row>
    <row r="8" spans="1:23" ht="12.75" customHeight="1">
      <c r="A8" s="1"/>
      <c r="B8" s="1"/>
      <c r="C8" s="1"/>
      <c r="D8" s="1"/>
      <c r="E8" s="1"/>
      <c r="F8" s="1"/>
      <c r="G8" s="1"/>
      <c r="H8" s="1"/>
      <c r="I8" s="1"/>
      <c r="J8" s="1"/>
      <c r="K8" s="1"/>
      <c r="L8" s="1"/>
      <c r="M8" s="29"/>
      <c r="N8" s="1"/>
      <c r="O8">
        <f>IF($Q$6=FALSE,IF(Q5=TRUE,2,1),0)</f>
        <v>0</v>
      </c>
      <c r="P8"/>
      <c r="Q8" t="s">
        <v>3916</v>
      </c>
      <c r="R8"/>
      <c r="S8"/>
      <c r="T8"/>
      <c r="U8">
        <v>60000</v>
      </c>
      <c r="V8" s="510" t="s">
        <v>2730</v>
      </c>
      <c r="W8" s="511" t="s">
        <v>2730</v>
      </c>
    </row>
    <row r="9" spans="1:23">
      <c r="A9" s="1203" t="str">
        <f>Language!C500</f>
        <v>Custos iniciais (créditos)</v>
      </c>
      <c r="B9" s="1204"/>
      <c r="C9" s="1204"/>
      <c r="D9" s="151" t="str">
        <f>Language!C180</f>
        <v>Unidade</v>
      </c>
      <c r="E9" s="151" t="str">
        <f>Language!C501</f>
        <v>Quantidade</v>
      </c>
      <c r="F9" s="151" t="str">
        <f>Language!C502</f>
        <v>Custo unitário</v>
      </c>
      <c r="G9" s="151" t="str">
        <f>Language!C226</f>
        <v>Quantidade</v>
      </c>
      <c r="H9" s="151" t="str">
        <f>Language!C503</f>
        <v>Custos relativos</v>
      </c>
      <c r="I9" s="151" t="str">
        <f>$D$192</f>
        <v>%</v>
      </c>
      <c r="J9" s="274" t="str">
        <f>G9</f>
        <v>Quantidade</v>
      </c>
      <c r="K9" s="147"/>
      <c r="L9" s="148"/>
      <c r="M9" s="151" t="str">
        <f>D5</f>
        <v>Notas/faixa</v>
      </c>
      <c r="N9" s="12"/>
      <c r="O9">
        <f>HideCode_projectType*100</f>
        <v>200</v>
      </c>
      <c r="P9"/>
      <c r="Q9" s="150">
        <f>IF(R7=TRUE,1,J7)</f>
        <v>1</v>
      </c>
      <c r="R9"/>
      <c r="S9"/>
      <c r="T9"/>
      <c r="U9">
        <v>61000</v>
      </c>
      <c r="V9" s="510" t="s">
        <v>2731</v>
      </c>
      <c r="W9" s="511" t="s">
        <v>2731</v>
      </c>
    </row>
    <row r="10" spans="1:23" hidden="1">
      <c r="A10" s="727"/>
      <c r="B10" s="1171" t="str">
        <f>Language!C683</f>
        <v>Custos iniciais</v>
      </c>
      <c r="C10" s="1171"/>
      <c r="D10" s="155"/>
      <c r="E10" s="155"/>
      <c r="F10" s="155"/>
      <c r="G10" s="155"/>
      <c r="H10" s="155"/>
      <c r="I10" s="155"/>
      <c r="J10" s="341"/>
      <c r="K10" s="155"/>
      <c r="L10" s="156"/>
      <c r="M10" s="275"/>
      <c r="N10" s="12"/>
      <c r="O10"/>
      <c r="P10"/>
      <c r="Q10"/>
      <c r="R10"/>
      <c r="S10"/>
      <c r="T10"/>
      <c r="U10">
        <v>60000</v>
      </c>
      <c r="V10" s="510" t="s">
        <v>6839</v>
      </c>
      <c r="W10" s="511"/>
    </row>
    <row r="11" spans="1:23" hidden="1">
      <c r="A11" s="152"/>
      <c r="B11" s="154"/>
      <c r="C11" s="154" t="str">
        <f>Language!C1284</f>
        <v>Sistema de produção de eletricidade</v>
      </c>
      <c r="D11" s="21" t="str">
        <f>D61</f>
        <v>kW</v>
      </c>
      <c r="E11" s="88">
        <f>'Modelo Energético'!V870</f>
        <v>3.7949999999999999</v>
      </c>
      <c r="F11" s="1346"/>
      <c r="G11" s="1347">
        <f>E11*F11*O11</f>
        <v>0</v>
      </c>
      <c r="H11" s="158"/>
      <c r="I11" s="159"/>
      <c r="J11" s="802"/>
      <c r="K11" s="155"/>
      <c r="L11" s="156"/>
      <c r="M11" s="907"/>
      <c r="N11" s="12"/>
      <c r="O11">
        <f>IF(OR(HideCode_projectType=1,HideCode_projectType=3,HideCode_projectType=6,HideCode_projectType&gt;7),0,1)</f>
        <v>1</v>
      </c>
      <c r="P11"/>
      <c r="Q11"/>
      <c r="R11"/>
      <c r="S11"/>
      <c r="T11"/>
      <c r="U11">
        <v>60000</v>
      </c>
      <c r="V11" s="510" t="s">
        <v>6840</v>
      </c>
      <c r="W11" s="511" t="s">
        <v>637</v>
      </c>
    </row>
    <row r="12" spans="1:23" hidden="1">
      <c r="A12" s="152"/>
      <c r="B12" s="154"/>
      <c r="C12" s="154" t="str">
        <f>Language!C1283</f>
        <v>Sistema de Aquecimento</v>
      </c>
      <c r="D12" s="21" t="str">
        <f>IF(Set_OpenClose=10702,'Modelo Energético '!C649,D74)</f>
        <v>kW</v>
      </c>
      <c r="E12" s="88">
        <f>'Modelo Energético'!S895</f>
        <v>0</v>
      </c>
      <c r="F12" s="1346"/>
      <c r="G12" s="1347">
        <f>E12*F12*O12</f>
        <v>0</v>
      </c>
      <c r="H12" s="158"/>
      <c r="I12" s="159"/>
      <c r="J12" s="802"/>
      <c r="K12" s="155"/>
      <c r="L12" s="156"/>
      <c r="M12" s="907"/>
      <c r="N12" s="12"/>
      <c r="O12">
        <f>IF(OR(HideCode_projectType=2,HideCode_projectType=3,HideCode_projectType=5,HideCode_projectType&gt;7),0,1)*(1-O13)</f>
        <v>0</v>
      </c>
      <c r="P12"/>
      <c r="Q12"/>
      <c r="R12"/>
      <c r="S12"/>
      <c r="T12"/>
      <c r="U12">
        <v>60000</v>
      </c>
      <c r="V12" s="510" t="s">
        <v>6841</v>
      </c>
      <c r="W12" s="511" t="s">
        <v>2644</v>
      </c>
    </row>
    <row r="13" spans="1:23" hidden="1">
      <c r="A13" s="152"/>
      <c r="B13" s="154"/>
      <c r="C13" s="154" t="str">
        <f>C12</f>
        <v>Sistema de Aquecimento</v>
      </c>
      <c r="D13" s="21"/>
      <c r="E13" s="88"/>
      <c r="F13" s="1348"/>
      <c r="G13" s="1347">
        <f>G73</f>
        <v>0</v>
      </c>
      <c r="H13" s="158"/>
      <c r="I13" s="159"/>
      <c r="J13" s="802"/>
      <c r="K13" s="155"/>
      <c r="L13" s="156"/>
      <c r="M13" s="907"/>
      <c r="N13" s="12"/>
      <c r="O13">
        <f>IF(HideCodeCA_SWH=1,1,0)</f>
        <v>0</v>
      </c>
      <c r="P13"/>
      <c r="Q13"/>
      <c r="R13"/>
      <c r="S13"/>
      <c r="T13"/>
      <c r="U13">
        <v>60000</v>
      </c>
      <c r="V13" s="510" t="s">
        <v>6969</v>
      </c>
      <c r="W13" s="511" t="s">
        <v>3399</v>
      </c>
    </row>
    <row r="14" spans="1:23" hidden="1">
      <c r="A14" s="152"/>
      <c r="B14" s="154"/>
      <c r="C14" s="154" t="str">
        <f>Language!C542</f>
        <v>Sistema de refrigeração</v>
      </c>
      <c r="D14" s="21" t="str">
        <f>D87</f>
        <v>kW</v>
      </c>
      <c r="E14" s="88">
        <f>'Modelo Energético'!S927</f>
        <v>0</v>
      </c>
      <c r="F14" s="1346"/>
      <c r="G14" s="1347">
        <f>E14*F14*O14</f>
        <v>0</v>
      </c>
      <c r="H14" s="158"/>
      <c r="I14" s="159"/>
      <c r="J14" s="802"/>
      <c r="K14" s="155"/>
      <c r="L14" s="156"/>
      <c r="M14" s="907"/>
      <c r="N14" s="12"/>
      <c r="O14">
        <f>IF(OR(HideCode_projectType=1,HideCode_projectType=2,HideCode_projectType=4,HideCode_projectType&gt;7),0,1)</f>
        <v>0</v>
      </c>
      <c r="P14"/>
      <c r="Q14"/>
      <c r="R14"/>
      <c r="S14"/>
      <c r="T14"/>
      <c r="U14">
        <v>60000</v>
      </c>
      <c r="V14" s="510" t="s">
        <v>10</v>
      </c>
      <c r="W14" s="511" t="s">
        <v>2624</v>
      </c>
    </row>
    <row r="15" spans="1:23" hidden="1">
      <c r="A15" s="152"/>
      <c r="B15" s="154"/>
      <c r="C15" s="154" t="str">
        <f>Language!C1746</f>
        <v>Custo inicial incremental</v>
      </c>
      <c r="D15" s="155"/>
      <c r="E15" s="155"/>
      <c r="F15" s="1349"/>
      <c r="G15" s="1347">
        <f>'Modelo Energético '!G1091</f>
        <v>0</v>
      </c>
      <c r="H15" s="158"/>
      <c r="I15" s="159"/>
      <c r="J15" s="802"/>
      <c r="K15" s="155"/>
      <c r="L15" s="156"/>
      <c r="M15" s="907"/>
      <c r="N15" s="12"/>
      <c r="O15">
        <f>IF(G15=0,0,1)</f>
        <v>0</v>
      </c>
      <c r="P15"/>
      <c r="Q15"/>
      <c r="R15"/>
      <c r="S15"/>
      <c r="T15"/>
      <c r="U15">
        <v>60000</v>
      </c>
      <c r="V15" s="510" t="s">
        <v>6887</v>
      </c>
      <c r="W15" s="511" t="s">
        <v>5481</v>
      </c>
    </row>
    <row r="16" spans="1:23" hidden="1">
      <c r="A16" s="152"/>
      <c r="B16" s="154"/>
      <c r="C16" s="792"/>
      <c r="D16" s="303"/>
      <c r="E16" s="307"/>
      <c r="F16" s="1346"/>
      <c r="G16" s="1347">
        <f>IF(D16=$C$261,-1,1)*E16*F16</f>
        <v>0</v>
      </c>
      <c r="H16" s="158"/>
      <c r="I16" s="159"/>
      <c r="J16" s="802"/>
      <c r="K16" s="155"/>
      <c r="L16" s="156"/>
      <c r="M16" s="907"/>
      <c r="N16" s="12"/>
      <c r="O16"/>
      <c r="P16"/>
      <c r="Q16"/>
      <c r="R16"/>
      <c r="S16"/>
      <c r="T16"/>
      <c r="U16">
        <v>60000</v>
      </c>
      <c r="V16" s="510" t="s">
        <v>11</v>
      </c>
      <c r="W16" s="511" t="s">
        <v>5481</v>
      </c>
    </row>
    <row r="17" spans="1:23" hidden="1">
      <c r="A17" s="152"/>
      <c r="B17" s="154"/>
      <c r="C17" s="792" t="str">
        <f>B97</f>
        <v>Ações de Eficiência energética</v>
      </c>
      <c r="D17" s="303" t="s">
        <v>6171</v>
      </c>
      <c r="E17" s="307"/>
      <c r="F17" s="1346"/>
      <c r="G17" s="1347">
        <f>IF(D17=$C$261,-1,1)*E17*F17</f>
        <v>0</v>
      </c>
      <c r="H17" s="158"/>
      <c r="I17" s="159"/>
      <c r="J17" s="802"/>
      <c r="K17" s="155"/>
      <c r="L17" s="156"/>
      <c r="M17" s="907"/>
      <c r="N17" s="12"/>
      <c r="O17"/>
      <c r="P17"/>
      <c r="Q17"/>
      <c r="R17"/>
      <c r="S17"/>
      <c r="T17"/>
      <c r="U17">
        <v>60000</v>
      </c>
      <c r="V17" s="510" t="s">
        <v>2968</v>
      </c>
      <c r="W17" s="511" t="s">
        <v>398</v>
      </c>
    </row>
    <row r="18" spans="1:23" hidden="1">
      <c r="A18" s="152"/>
      <c r="B18" s="154"/>
      <c r="C18" s="8" t="str">
        <f>C196</f>
        <v>Contingências</v>
      </c>
      <c r="D18" s="21" t="str">
        <f>$D$192</f>
        <v>%</v>
      </c>
      <c r="E18" s="422"/>
      <c r="F18" s="1347">
        <f>SUM(G11:G17)</f>
        <v>0</v>
      </c>
      <c r="G18" s="1347">
        <f>E18*F18</f>
        <v>0</v>
      </c>
      <c r="H18" s="158"/>
      <c r="I18" s="159"/>
      <c r="J18" s="802"/>
      <c r="K18" s="155"/>
      <c r="L18" s="156"/>
      <c r="M18" s="907"/>
      <c r="N18" s="12"/>
      <c r="O18"/>
      <c r="P18"/>
      <c r="Q18"/>
      <c r="R18"/>
      <c r="S18"/>
      <c r="T18"/>
      <c r="U18">
        <v>60000</v>
      </c>
      <c r="V18" s="510" t="s">
        <v>6844</v>
      </c>
      <c r="W18" s="511" t="s">
        <v>4526</v>
      </c>
    </row>
    <row r="19" spans="1:23" ht="13.8" hidden="1" thickBot="1">
      <c r="A19" s="152"/>
      <c r="B19" s="154"/>
      <c r="C19" s="8" t="str">
        <f>C197</f>
        <v>Juros durante a construçaõ</v>
      </c>
      <c r="D19" s="498"/>
      <c r="E19" s="699"/>
      <c r="F19" s="1347">
        <f>F18+G18</f>
        <v>0</v>
      </c>
      <c r="G19" s="1350">
        <f>F19*D19*E19/12/2</f>
        <v>0</v>
      </c>
      <c r="H19" s="160"/>
      <c r="I19" s="161"/>
      <c r="J19" s="882"/>
      <c r="K19" s="155"/>
      <c r="L19" s="156"/>
      <c r="M19" s="907"/>
      <c r="N19" s="12"/>
      <c r="O19"/>
      <c r="P19"/>
      <c r="Q19"/>
      <c r="R19"/>
      <c r="S19"/>
      <c r="T19"/>
      <c r="U19">
        <v>60000</v>
      </c>
      <c r="V19" s="510" t="s">
        <v>6845</v>
      </c>
      <c r="W19" s="511" t="s">
        <v>4526</v>
      </c>
    </row>
    <row r="20" spans="1:23" ht="13.8" hidden="1" thickTop="1">
      <c r="A20" s="1258" t="str">
        <f>A199</f>
        <v>Total de custos de investimento</v>
      </c>
      <c r="B20" s="1269"/>
      <c r="C20" s="1269"/>
      <c r="D20" s="163"/>
      <c r="E20" s="163"/>
      <c r="F20" s="1351"/>
      <c r="G20" s="1352"/>
      <c r="H20" s="164"/>
      <c r="I20" s="165"/>
      <c r="J20" s="883"/>
      <c r="K20" s="155"/>
      <c r="L20" s="154"/>
      <c r="M20" s="685"/>
      <c r="N20" s="12"/>
      <c r="O20"/>
      <c r="P20"/>
      <c r="Q20"/>
      <c r="R20"/>
      <c r="S20"/>
      <c r="T20"/>
      <c r="U20">
        <v>60000</v>
      </c>
      <c r="V20" s="510" t="s">
        <v>6934</v>
      </c>
      <c r="W20" s="511" t="s">
        <v>4890</v>
      </c>
    </row>
    <row r="21" spans="1:23" hidden="1">
      <c r="A21" s="152"/>
      <c r="B21" s="154"/>
      <c r="C21" s="154"/>
      <c r="D21" s="155"/>
      <c r="E21" s="155"/>
      <c r="F21" s="271"/>
      <c r="G21" s="271"/>
      <c r="H21" s="155"/>
      <c r="I21" s="155"/>
      <c r="J21" s="884"/>
      <c r="K21" s="155"/>
      <c r="L21" s="156"/>
      <c r="M21" s="686"/>
      <c r="N21" s="8"/>
      <c r="O21"/>
      <c r="P21"/>
      <c r="Q21"/>
      <c r="R21"/>
      <c r="S21"/>
      <c r="T21"/>
      <c r="U21">
        <v>60000</v>
      </c>
      <c r="V21" s="510" t="s">
        <v>6961</v>
      </c>
      <c r="W21" s="511" t="s">
        <v>2611</v>
      </c>
    </row>
    <row r="22" spans="1:23">
      <c r="A22" s="727"/>
      <c r="B22" s="1171" t="str">
        <f>Language!C508</f>
        <v>Estudo de viabilidade</v>
      </c>
      <c r="C22" s="1171"/>
      <c r="D22" s="21"/>
      <c r="E22" s="8"/>
      <c r="F22" s="268"/>
      <c r="G22" s="268"/>
      <c r="H22" s="8"/>
      <c r="I22" s="8"/>
      <c r="J22" s="802"/>
      <c r="K22" s="8"/>
      <c r="L22" s="9"/>
      <c r="M22" s="29"/>
      <c r="N22" s="12"/>
      <c r="O22"/>
      <c r="P22"/>
      <c r="Q22"/>
      <c r="R22"/>
      <c r="S22"/>
      <c r="T22"/>
      <c r="U22">
        <v>61100</v>
      </c>
      <c r="V22" s="510" t="s">
        <v>6842</v>
      </c>
      <c r="W22" s="511" t="s">
        <v>1842</v>
      </c>
    </row>
    <row r="23" spans="1:23" ht="12.75" hidden="1" customHeight="1">
      <c r="A23" s="12"/>
      <c r="B23" s="8"/>
      <c r="C23" s="8" t="str">
        <f>Language!C509</f>
        <v>Pesquisa de campo</v>
      </c>
      <c r="D23" s="21" t="str">
        <f>Language!C1397</f>
        <v>d-p</v>
      </c>
      <c r="E23" s="307"/>
      <c r="F23" s="1346"/>
      <c r="G23" s="1347">
        <f>E23*F23</f>
        <v>0</v>
      </c>
      <c r="H23" s="166"/>
      <c r="I23" s="159"/>
      <c r="J23" s="802">
        <f t="shared" ref="J23:J34" si="0">G23/$Q$9*I23</f>
        <v>0</v>
      </c>
      <c r="K23" s="21"/>
      <c r="L23" s="38"/>
      <c r="M23" s="907"/>
      <c r="N23" s="12"/>
      <c r="O23">
        <f>IF(Currency_name="",1,MATCH(Currency_name,currency_list,0))</f>
        <v>2</v>
      </c>
      <c r="P23"/>
      <c r="Q23"/>
      <c r="R23"/>
      <c r="S23"/>
      <c r="T23"/>
      <c r="U23">
        <v>61102</v>
      </c>
      <c r="V23" s="510" t="s">
        <v>12</v>
      </c>
      <c r="W23" s="511" t="s">
        <v>3848</v>
      </c>
    </row>
    <row r="24" spans="1:23" ht="12.75" hidden="1" customHeight="1">
      <c r="A24" s="12"/>
      <c r="B24" s="8"/>
      <c r="C24" s="8" t="str">
        <f>Language!C510</f>
        <v>Avaliação de recursos</v>
      </c>
      <c r="D24" s="21" t="str">
        <f>$D$28</f>
        <v>projeto</v>
      </c>
      <c r="E24" s="307"/>
      <c r="F24" s="1346"/>
      <c r="G24" s="1347">
        <f t="shared" ref="G24:G31" si="1">E24*F24</f>
        <v>0</v>
      </c>
      <c r="H24" s="166"/>
      <c r="I24" s="159"/>
      <c r="J24" s="802">
        <f t="shared" si="0"/>
        <v>0</v>
      </c>
      <c r="K24" s="21"/>
      <c r="L24" s="38"/>
      <c r="M24" s="907"/>
      <c r="N24" s="12"/>
      <c r="O24"/>
      <c r="P24"/>
      <c r="Q24"/>
      <c r="R24"/>
      <c r="S24"/>
      <c r="T24"/>
      <c r="U24">
        <v>61118</v>
      </c>
      <c r="V24" s="510" t="s">
        <v>13</v>
      </c>
      <c r="W24" s="511" t="s">
        <v>3849</v>
      </c>
    </row>
    <row r="25" spans="1:23" ht="12.75" hidden="1" customHeight="1">
      <c r="A25" s="12"/>
      <c r="B25" s="8"/>
      <c r="C25" s="8" t="str">
        <f>Language!C511</f>
        <v>Avaliação Ambiental</v>
      </c>
      <c r="D25" s="21" t="str">
        <f>$D$23</f>
        <v>d-p</v>
      </c>
      <c r="E25" s="307"/>
      <c r="F25" s="1346"/>
      <c r="G25" s="1347">
        <f t="shared" si="1"/>
        <v>0</v>
      </c>
      <c r="H25" s="166"/>
      <c r="I25" s="159"/>
      <c r="J25" s="802">
        <f t="shared" si="0"/>
        <v>0</v>
      </c>
      <c r="K25" s="21"/>
      <c r="L25" s="38"/>
      <c r="M25" s="907"/>
      <c r="N25" s="12"/>
      <c r="O25"/>
      <c r="P25"/>
      <c r="Q25"/>
      <c r="R25"/>
      <c r="S25"/>
      <c r="T25"/>
      <c r="U25">
        <v>61128</v>
      </c>
      <c r="V25" s="510" t="s">
        <v>3819</v>
      </c>
      <c r="W25" s="511" t="s">
        <v>3850</v>
      </c>
    </row>
    <row r="26" spans="1:23" ht="12.75" hidden="1" customHeight="1">
      <c r="A26" s="12"/>
      <c r="B26" s="8"/>
      <c r="C26" s="8" t="str">
        <f>Language!C512</f>
        <v>Projeto preliminar</v>
      </c>
      <c r="D26" s="21" t="str">
        <f>$D$23</f>
        <v>d-p</v>
      </c>
      <c r="E26" s="307"/>
      <c r="F26" s="1346"/>
      <c r="G26" s="1347">
        <f t="shared" si="1"/>
        <v>0</v>
      </c>
      <c r="H26" s="166"/>
      <c r="I26" s="159"/>
      <c r="J26" s="802">
        <f t="shared" si="0"/>
        <v>0</v>
      </c>
      <c r="K26" s="21"/>
      <c r="L26" s="38"/>
      <c r="M26" s="907"/>
      <c r="N26" s="12"/>
      <c r="O26"/>
      <c r="P26"/>
      <c r="Q26"/>
      <c r="R26"/>
      <c r="S26"/>
      <c r="T26"/>
      <c r="U26">
        <v>61130</v>
      </c>
      <c r="V26" s="510" t="s">
        <v>6846</v>
      </c>
      <c r="W26" s="511" t="s">
        <v>3851</v>
      </c>
    </row>
    <row r="27" spans="1:23" ht="12.75" hidden="1" customHeight="1">
      <c r="A27" s="12"/>
      <c r="B27" s="8"/>
      <c r="C27" s="8" t="str">
        <f>Language!C513</f>
        <v>Estimativa detalhada de custos</v>
      </c>
      <c r="D27" s="21" t="str">
        <f>$D$23</f>
        <v>d-p</v>
      </c>
      <c r="E27" s="307"/>
      <c r="F27" s="1346"/>
      <c r="G27" s="1347">
        <f t="shared" si="1"/>
        <v>0</v>
      </c>
      <c r="H27" s="166"/>
      <c r="I27" s="159"/>
      <c r="J27" s="802">
        <f t="shared" si="0"/>
        <v>0</v>
      </c>
      <c r="K27" s="21"/>
      <c r="L27" s="38"/>
      <c r="M27" s="907"/>
      <c r="N27" s="12"/>
      <c r="O27"/>
      <c r="P27"/>
      <c r="Q27"/>
      <c r="R27"/>
      <c r="S27"/>
      <c r="T27"/>
      <c r="U27">
        <v>61132</v>
      </c>
      <c r="V27" s="510" t="s">
        <v>6847</v>
      </c>
      <c r="W27" s="511" t="s">
        <v>5481</v>
      </c>
    </row>
    <row r="28" spans="1:23" ht="12.75" hidden="1" customHeight="1">
      <c r="A28" s="12"/>
      <c r="B28" s="8"/>
      <c r="C28" s="8" t="str">
        <f>Language!C514</f>
        <v>Estudo da linha de base e PS dos GEE</v>
      </c>
      <c r="D28" s="21" t="str">
        <f>Language!C1399</f>
        <v>projeto</v>
      </c>
      <c r="E28" s="307"/>
      <c r="F28" s="1346"/>
      <c r="G28" s="1347">
        <f t="shared" si="1"/>
        <v>0</v>
      </c>
      <c r="H28" s="166"/>
      <c r="I28" s="159"/>
      <c r="J28" s="802">
        <f t="shared" si="0"/>
        <v>0</v>
      </c>
      <c r="K28" s="21"/>
      <c r="L28" s="38"/>
      <c r="M28" s="907"/>
      <c r="N28" s="12"/>
      <c r="O28"/>
      <c r="P28"/>
      <c r="Q28"/>
      <c r="R28"/>
      <c r="S28"/>
      <c r="T28"/>
      <c r="U28">
        <v>61134</v>
      </c>
      <c r="V28" s="510" t="s">
        <v>6848</v>
      </c>
      <c r="W28" s="511" t="s">
        <v>5438</v>
      </c>
    </row>
    <row r="29" spans="1:23" ht="12.75" hidden="1" customHeight="1">
      <c r="A29" s="12"/>
      <c r="B29" s="8"/>
      <c r="C29" s="8" t="str">
        <f>Language!C515</f>
        <v>Preparação de relatório</v>
      </c>
      <c r="D29" s="21" t="str">
        <f>$D$23</f>
        <v>d-p</v>
      </c>
      <c r="E29" s="307"/>
      <c r="F29" s="1346"/>
      <c r="G29" s="1347">
        <f t="shared" si="1"/>
        <v>0</v>
      </c>
      <c r="H29" s="166"/>
      <c r="I29" s="159"/>
      <c r="J29" s="802">
        <f t="shared" si="0"/>
        <v>0</v>
      </c>
      <c r="K29" s="21"/>
      <c r="L29" s="38"/>
      <c r="M29" s="907"/>
      <c r="N29" s="12"/>
      <c r="O29"/>
      <c r="P29"/>
      <c r="Q29"/>
      <c r="R29"/>
      <c r="S29"/>
      <c r="T29"/>
      <c r="U29">
        <v>61136</v>
      </c>
      <c r="V29" s="510" t="s">
        <v>5139</v>
      </c>
      <c r="W29" s="511" t="s">
        <v>3132</v>
      </c>
    </row>
    <row r="30" spans="1:23" ht="12.75" hidden="1" customHeight="1">
      <c r="A30" s="12"/>
      <c r="B30" s="8"/>
      <c r="C30" s="8" t="str">
        <f>Language!C516</f>
        <v>Gestão do Projeto</v>
      </c>
      <c r="D30" s="21" t="str">
        <f>$D$23</f>
        <v>d-p</v>
      </c>
      <c r="E30" s="307"/>
      <c r="F30" s="1346"/>
      <c r="G30" s="1347">
        <f t="shared" si="1"/>
        <v>0</v>
      </c>
      <c r="H30" s="166"/>
      <c r="I30" s="159"/>
      <c r="J30" s="802">
        <f t="shared" si="0"/>
        <v>0</v>
      </c>
      <c r="K30" s="21"/>
      <c r="L30" s="38"/>
      <c r="M30" s="907"/>
      <c r="N30" s="12"/>
      <c r="O30"/>
      <c r="P30"/>
      <c r="Q30"/>
      <c r="R30"/>
      <c r="S30"/>
      <c r="T30"/>
      <c r="U30">
        <v>61138</v>
      </c>
      <c r="V30" s="510" t="s">
        <v>14</v>
      </c>
      <c r="W30" s="511" t="s">
        <v>5874</v>
      </c>
    </row>
    <row r="31" spans="1:23" ht="12.75" hidden="1" customHeight="1">
      <c r="A31" s="12"/>
      <c r="B31" s="8"/>
      <c r="C31" s="8" t="str">
        <f>Language!C517</f>
        <v>Viagem &amp; Acomodação</v>
      </c>
      <c r="D31" s="21" t="str">
        <f>Language!C1402</f>
        <v>p-viagem</v>
      </c>
      <c r="E31" s="307"/>
      <c r="F31" s="1346"/>
      <c r="G31" s="1347">
        <f t="shared" si="1"/>
        <v>0</v>
      </c>
      <c r="H31" s="166"/>
      <c r="I31" s="159"/>
      <c r="J31" s="802">
        <f t="shared" si="0"/>
        <v>0</v>
      </c>
      <c r="K31" s="21"/>
      <c r="L31" s="38"/>
      <c r="M31" s="907"/>
      <c r="N31" s="12"/>
      <c r="O31"/>
      <c r="P31"/>
      <c r="Q31"/>
      <c r="R31"/>
      <c r="S31"/>
      <c r="T31"/>
      <c r="U31">
        <v>61140</v>
      </c>
      <c r="V31" s="510" t="s">
        <v>672</v>
      </c>
      <c r="W31" s="511" t="s">
        <v>5875</v>
      </c>
    </row>
    <row r="32" spans="1:23" ht="12.75" hidden="1" customHeight="1">
      <c r="A32" s="12"/>
      <c r="B32" s="8"/>
      <c r="C32" s="792" t="str">
        <f>F273</f>
        <v>Definido pelo usuário</v>
      </c>
      <c r="D32" s="303" t="s">
        <v>6171</v>
      </c>
      <c r="E32" s="307"/>
      <c r="F32" s="1346"/>
      <c r="G32" s="1347">
        <f>IF(D32=$C$261,-1,1)*E32*F32</f>
        <v>0</v>
      </c>
      <c r="H32" s="166"/>
      <c r="I32" s="159"/>
      <c r="J32" s="802">
        <f t="shared" si="0"/>
        <v>0</v>
      </c>
      <c r="K32" s="21"/>
      <c r="L32" s="38"/>
      <c r="M32" s="907"/>
      <c r="N32" s="12"/>
      <c r="O32"/>
      <c r="P32"/>
      <c r="Q32"/>
      <c r="R32"/>
      <c r="S32"/>
      <c r="T32"/>
      <c r="U32">
        <v>61142</v>
      </c>
      <c r="V32" s="510" t="s">
        <v>15</v>
      </c>
      <c r="W32" s="511" t="s">
        <v>5952</v>
      </c>
    </row>
    <row r="33" spans="1:23" ht="12.75" hidden="1" customHeight="1">
      <c r="A33" s="12"/>
      <c r="B33" s="8"/>
      <c r="C33" s="792"/>
      <c r="D33" s="303"/>
      <c r="E33" s="307"/>
      <c r="F33" s="1346"/>
      <c r="G33" s="1347">
        <f>IF(D33=$C$261,-1,1)*E33*F33</f>
        <v>0</v>
      </c>
      <c r="H33" s="166"/>
      <c r="I33" s="159"/>
      <c r="J33" s="802">
        <f t="shared" si="0"/>
        <v>0</v>
      </c>
      <c r="K33" s="21"/>
      <c r="L33" s="38"/>
      <c r="M33" s="907"/>
      <c r="N33" s="12"/>
      <c r="O33"/>
      <c r="P33"/>
      <c r="Q33"/>
      <c r="R33"/>
      <c r="S33"/>
      <c r="T33"/>
      <c r="U33">
        <v>61142</v>
      </c>
      <c r="V33" s="510" t="s">
        <v>6850</v>
      </c>
      <c r="W33" s="511" t="s">
        <v>5481</v>
      </c>
    </row>
    <row r="34" spans="1:23" ht="12.75" customHeight="1" thickBot="1">
      <c r="A34" s="12"/>
      <c r="B34" s="8"/>
      <c r="C34" s="792" t="str">
        <f>B22</f>
        <v>Estudo de viabilidade</v>
      </c>
      <c r="D34" s="303" t="s">
        <v>6171</v>
      </c>
      <c r="E34" s="307"/>
      <c r="F34" s="1346"/>
      <c r="G34" s="1347">
        <f>IF(D34=$C$261,-1,1)*E34*F34</f>
        <v>0</v>
      </c>
      <c r="H34" s="166"/>
      <c r="I34" s="167"/>
      <c r="J34" s="802">
        <f t="shared" si="0"/>
        <v>0</v>
      </c>
      <c r="K34" s="21"/>
      <c r="L34" s="38"/>
      <c r="M34" s="907"/>
      <c r="N34" s="12"/>
      <c r="O34"/>
      <c r="P34"/>
      <c r="Q34"/>
      <c r="R34"/>
      <c r="S34"/>
      <c r="T34"/>
      <c r="U34">
        <v>61100</v>
      </c>
      <c r="V34" s="510" t="s">
        <v>3401</v>
      </c>
      <c r="W34" s="511" t="s">
        <v>5954</v>
      </c>
    </row>
    <row r="35" spans="1:23" ht="12.75" customHeight="1" thickTop="1">
      <c r="A35" s="12"/>
      <c r="B35" s="8"/>
      <c r="C35" s="8" t="str">
        <f>Language!C518</f>
        <v>Subtotal</v>
      </c>
      <c r="D35" s="21"/>
      <c r="E35" s="8"/>
      <c r="F35" s="1347"/>
      <c r="G35" s="1353">
        <f>IF($Q$6&lt;&gt;TRUE,SUM(G23:G33),G34)</f>
        <v>0</v>
      </c>
      <c r="H35" s="649">
        <f ca="1">IF(G199=0,"",G35/$G$199)</f>
        <v>0</v>
      </c>
      <c r="I35" s="168">
        <f>IF(J35=0,0,J35*$Q$9/G35)</f>
        <v>0</v>
      </c>
      <c r="J35" s="885">
        <f>IF($Q$6&lt;&gt;TRUE,SUM(J23:J33),J34)</f>
        <v>0</v>
      </c>
      <c r="K35" s="21"/>
      <c r="L35" s="38"/>
      <c r="M35" s="29"/>
      <c r="N35" s="12"/>
      <c r="O35"/>
      <c r="P35"/>
      <c r="Q35"/>
      <c r="R35"/>
      <c r="S35"/>
      <c r="T35"/>
      <c r="U35">
        <v>61100</v>
      </c>
      <c r="V35" s="510" t="s">
        <v>16</v>
      </c>
      <c r="W35" s="511" t="s">
        <v>203</v>
      </c>
    </row>
    <row r="36" spans="1:23" ht="12.75" customHeight="1">
      <c r="A36" s="727"/>
      <c r="B36" s="1171" t="str">
        <f>Language!C519</f>
        <v>Desenvolvimento</v>
      </c>
      <c r="C36" s="1171"/>
      <c r="D36" s="21"/>
      <c r="E36" s="8"/>
      <c r="F36" s="1347"/>
      <c r="G36" s="1347"/>
      <c r="H36" s="166"/>
      <c r="I36" s="8"/>
      <c r="J36" s="802"/>
      <c r="K36" s="21"/>
      <c r="L36" s="38"/>
      <c r="M36" s="29"/>
      <c r="N36" s="12"/>
      <c r="O36"/>
      <c r="P36"/>
      <c r="Q36"/>
      <c r="R36"/>
      <c r="S36"/>
      <c r="T36"/>
      <c r="U36">
        <v>61200</v>
      </c>
      <c r="V36" s="510" t="s">
        <v>17</v>
      </c>
      <c r="W36" s="511" t="s">
        <v>204</v>
      </c>
    </row>
    <row r="37" spans="1:23" ht="12.75" hidden="1" customHeight="1">
      <c r="A37" s="12"/>
      <c r="B37" s="8"/>
      <c r="C37" s="8" t="str">
        <f>Language!C520</f>
        <v>Negociação do contrato</v>
      </c>
      <c r="D37" s="21" t="str">
        <f>$D$23</f>
        <v>d-p</v>
      </c>
      <c r="E37" s="307"/>
      <c r="F37" s="1346"/>
      <c r="G37" s="1347">
        <f t="shared" ref="G37:G44" si="2">E37*F37</f>
        <v>0</v>
      </c>
      <c r="H37" s="166"/>
      <c r="I37" s="159"/>
      <c r="J37" s="802">
        <f t="shared" ref="J37:J47" si="3">G37/$Q$9*I37</f>
        <v>0</v>
      </c>
      <c r="K37" s="21"/>
      <c r="L37" s="38"/>
      <c r="M37" s="907"/>
      <c r="N37" s="12"/>
      <c r="O37"/>
      <c r="P37"/>
      <c r="Q37"/>
      <c r="R37"/>
      <c r="S37"/>
      <c r="T37"/>
      <c r="U37">
        <v>61202</v>
      </c>
      <c r="V37" s="510" t="s">
        <v>6849</v>
      </c>
      <c r="W37" s="511" t="s">
        <v>5953</v>
      </c>
    </row>
    <row r="38" spans="1:23" ht="12.75" hidden="1" customHeight="1">
      <c r="A38" s="12"/>
      <c r="B38" s="8"/>
      <c r="C38" s="8" t="str">
        <f>Language!C521</f>
        <v>Licenças e aprovações</v>
      </c>
      <c r="D38" s="21" t="str">
        <f>$D$23</f>
        <v>d-p</v>
      </c>
      <c r="E38" s="307"/>
      <c r="F38" s="1346"/>
      <c r="G38" s="1347">
        <f t="shared" si="2"/>
        <v>0</v>
      </c>
      <c r="H38" s="166"/>
      <c r="I38" s="159"/>
      <c r="J38" s="802">
        <f t="shared" si="3"/>
        <v>0</v>
      </c>
      <c r="K38" s="21"/>
      <c r="L38" s="38"/>
      <c r="M38" s="907"/>
      <c r="N38" s="12"/>
      <c r="O38"/>
      <c r="P38"/>
      <c r="Q38"/>
      <c r="R38"/>
      <c r="S38"/>
      <c r="T38"/>
      <c r="U38">
        <v>61204</v>
      </c>
      <c r="V38" s="510" t="s">
        <v>6852</v>
      </c>
      <c r="W38" s="511" t="s">
        <v>4905</v>
      </c>
    </row>
    <row r="39" spans="1:23" ht="12.75" hidden="1" customHeight="1">
      <c r="A39" s="12"/>
      <c r="B39" s="8"/>
      <c r="C39" s="8" t="str">
        <f>Language!C522</f>
        <v>Visita de campo e registros</v>
      </c>
      <c r="D39" s="21" t="str">
        <f>$D$23</f>
        <v>d-p</v>
      </c>
      <c r="E39" s="307"/>
      <c r="F39" s="1346"/>
      <c r="G39" s="1347">
        <f t="shared" si="2"/>
        <v>0</v>
      </c>
      <c r="H39" s="166"/>
      <c r="I39" s="159"/>
      <c r="J39" s="802">
        <f t="shared" si="3"/>
        <v>0</v>
      </c>
      <c r="K39" s="21"/>
      <c r="L39" s="38"/>
      <c r="M39" s="907"/>
      <c r="N39" s="12"/>
      <c r="O39"/>
      <c r="P39"/>
      <c r="Q39"/>
      <c r="R39"/>
      <c r="S39"/>
      <c r="T39"/>
      <c r="U39">
        <v>61206</v>
      </c>
      <c r="V39" s="510" t="s">
        <v>18</v>
      </c>
      <c r="W39" s="511" t="s">
        <v>4906</v>
      </c>
    </row>
    <row r="40" spans="1:23" ht="12.75" hidden="1" customHeight="1">
      <c r="A40" s="12"/>
      <c r="B40" s="8"/>
      <c r="C40" s="8" t="str">
        <f>Language!C523</f>
        <v>Validação e Registro do GEE</v>
      </c>
      <c r="D40" s="21" t="str">
        <f>$D$28</f>
        <v>projeto</v>
      </c>
      <c r="E40" s="307"/>
      <c r="F40" s="1346"/>
      <c r="G40" s="1347">
        <f t="shared" si="2"/>
        <v>0</v>
      </c>
      <c r="H40" s="166"/>
      <c r="I40" s="159"/>
      <c r="J40" s="802">
        <f t="shared" si="3"/>
        <v>0</v>
      </c>
      <c r="K40" s="21"/>
      <c r="L40" s="38"/>
      <c r="M40" s="907"/>
      <c r="N40" s="12"/>
      <c r="O40"/>
      <c r="P40"/>
      <c r="Q40"/>
      <c r="R40"/>
      <c r="S40"/>
      <c r="T40"/>
      <c r="U40">
        <v>61208</v>
      </c>
      <c r="V40" s="510" t="s">
        <v>673</v>
      </c>
      <c r="W40" s="511" t="s">
        <v>3689</v>
      </c>
    </row>
    <row r="41" spans="1:23" ht="12.75" hidden="1" customHeight="1">
      <c r="A41" s="12"/>
      <c r="B41" s="8"/>
      <c r="C41" s="8" t="str">
        <f>Language!C524</f>
        <v>Financiam. do projeto</v>
      </c>
      <c r="D41" s="21" t="str">
        <f>$D$23</f>
        <v>d-p</v>
      </c>
      <c r="E41" s="307"/>
      <c r="F41" s="1346"/>
      <c r="G41" s="1347">
        <f t="shared" si="2"/>
        <v>0</v>
      </c>
      <c r="H41" s="166"/>
      <c r="I41" s="159"/>
      <c r="J41" s="802">
        <f t="shared" si="3"/>
        <v>0</v>
      </c>
      <c r="K41" s="21"/>
      <c r="L41" s="38"/>
      <c r="M41" s="907"/>
      <c r="N41" s="12"/>
      <c r="O41"/>
      <c r="P41"/>
      <c r="Q41"/>
      <c r="R41"/>
      <c r="S41"/>
      <c r="T41"/>
      <c r="U41">
        <v>61210</v>
      </c>
      <c r="V41" s="510" t="s">
        <v>6854</v>
      </c>
      <c r="W41" s="511" t="s">
        <v>3691</v>
      </c>
    </row>
    <row r="42" spans="1:23" ht="12.75" hidden="1" customHeight="1">
      <c r="A42" s="12"/>
      <c r="B42" s="8"/>
      <c r="C42" s="8" t="str">
        <f>Language!C525</f>
        <v>Serviços jurídicos e contáveis</v>
      </c>
      <c r="D42" s="21" t="str">
        <f>$D$23</f>
        <v>d-p</v>
      </c>
      <c r="E42" s="307"/>
      <c r="F42" s="1346"/>
      <c r="G42" s="1347">
        <f t="shared" si="2"/>
        <v>0</v>
      </c>
      <c r="H42" s="166"/>
      <c r="I42" s="159"/>
      <c r="J42" s="802">
        <f t="shared" si="3"/>
        <v>0</v>
      </c>
      <c r="K42" s="21"/>
      <c r="L42" s="38"/>
      <c r="M42" s="907"/>
      <c r="N42" s="12"/>
      <c r="O42"/>
      <c r="P42"/>
      <c r="Q42"/>
      <c r="R42"/>
      <c r="S42"/>
      <c r="T42"/>
      <c r="U42">
        <v>61212</v>
      </c>
      <c r="V42" s="510" t="s">
        <v>19</v>
      </c>
      <c r="W42" s="511" t="s">
        <v>3945</v>
      </c>
    </row>
    <row r="43" spans="1:23" ht="12.75" hidden="1" customHeight="1">
      <c r="A43" s="12"/>
      <c r="B43" s="8"/>
      <c r="C43" s="8" t="str">
        <f>C30</f>
        <v>Gestão do Projeto</v>
      </c>
      <c r="D43" s="21" t="str">
        <f>$D$23</f>
        <v>d-p</v>
      </c>
      <c r="E43" s="307"/>
      <c r="F43" s="1346"/>
      <c r="G43" s="1347">
        <f t="shared" si="2"/>
        <v>0</v>
      </c>
      <c r="H43" s="166"/>
      <c r="I43" s="159"/>
      <c r="J43" s="802">
        <f t="shared" si="3"/>
        <v>0</v>
      </c>
      <c r="K43" s="21"/>
      <c r="L43" s="38"/>
      <c r="M43" s="907"/>
      <c r="N43" s="12"/>
      <c r="O43"/>
      <c r="P43"/>
      <c r="Q43"/>
      <c r="R43"/>
      <c r="S43"/>
      <c r="T43"/>
      <c r="U43">
        <v>61214</v>
      </c>
      <c r="V43" s="510" t="s">
        <v>6857</v>
      </c>
      <c r="W43" s="511" t="s">
        <v>3946</v>
      </c>
    </row>
    <row r="44" spans="1:23" ht="12.75" hidden="1" customHeight="1">
      <c r="A44" s="12"/>
      <c r="B44" s="8"/>
      <c r="C44" s="8" t="str">
        <f>C31</f>
        <v>Viagem &amp; Acomodação</v>
      </c>
      <c r="D44" s="21" t="str">
        <f>$D$31</f>
        <v>p-viagem</v>
      </c>
      <c r="E44" s="307"/>
      <c r="F44" s="1346"/>
      <c r="G44" s="1347">
        <f t="shared" si="2"/>
        <v>0</v>
      </c>
      <c r="H44" s="166"/>
      <c r="I44" s="159"/>
      <c r="J44" s="802">
        <f t="shared" si="3"/>
        <v>0</v>
      </c>
      <c r="K44" s="21"/>
      <c r="L44" s="38"/>
      <c r="M44" s="907"/>
      <c r="N44" s="12"/>
      <c r="O44"/>
      <c r="P44"/>
      <c r="Q44"/>
      <c r="R44"/>
      <c r="S44"/>
      <c r="T44"/>
      <c r="U44">
        <v>61216</v>
      </c>
      <c r="V44" s="510" t="s">
        <v>5655</v>
      </c>
      <c r="W44" s="511" t="s">
        <v>203</v>
      </c>
    </row>
    <row r="45" spans="1:23" ht="12.75" hidden="1" customHeight="1">
      <c r="A45" s="12"/>
      <c r="B45" s="8"/>
      <c r="C45" s="792" t="str">
        <f>F273</f>
        <v>Definido pelo usuário</v>
      </c>
      <c r="D45" s="303" t="s">
        <v>6171</v>
      </c>
      <c r="E45" s="307"/>
      <c r="F45" s="1346"/>
      <c r="G45" s="1347">
        <f>IF(D45=$C$261,-1,1)*E45*F45</f>
        <v>0</v>
      </c>
      <c r="H45" s="166"/>
      <c r="I45" s="159"/>
      <c r="J45" s="802">
        <f t="shared" si="3"/>
        <v>0</v>
      </c>
      <c r="K45" s="21"/>
      <c r="L45" s="38"/>
      <c r="M45" s="907"/>
      <c r="N45" s="12"/>
      <c r="O45"/>
      <c r="P45"/>
      <c r="Q45"/>
      <c r="R45"/>
      <c r="S45"/>
      <c r="T45"/>
      <c r="U45">
        <v>61142</v>
      </c>
      <c r="V45" s="510" t="s">
        <v>2721</v>
      </c>
      <c r="W45" s="511" t="s">
        <v>3947</v>
      </c>
    </row>
    <row r="46" spans="1:23" ht="12.75" hidden="1" customHeight="1">
      <c r="A46" s="12"/>
      <c r="B46" s="8"/>
      <c r="C46" s="792"/>
      <c r="D46" s="303"/>
      <c r="E46" s="307"/>
      <c r="F46" s="1346"/>
      <c r="G46" s="1347">
        <f>IF(D46=$C$261,-1,1)*E46*F46</f>
        <v>0</v>
      </c>
      <c r="H46" s="166"/>
      <c r="I46" s="159"/>
      <c r="J46" s="802">
        <f t="shared" si="3"/>
        <v>0</v>
      </c>
      <c r="K46" s="21"/>
      <c r="L46" s="38"/>
      <c r="M46" s="907"/>
      <c r="N46" s="12"/>
      <c r="O46"/>
      <c r="P46"/>
      <c r="Q46"/>
      <c r="R46"/>
      <c r="S46"/>
      <c r="T46"/>
      <c r="U46">
        <v>61142</v>
      </c>
      <c r="V46" s="510" t="s">
        <v>6851</v>
      </c>
      <c r="W46" s="511" t="s">
        <v>4904</v>
      </c>
    </row>
    <row r="47" spans="1:23" ht="12.75" customHeight="1" thickBot="1">
      <c r="A47" s="12"/>
      <c r="B47" s="8"/>
      <c r="C47" s="792" t="str">
        <f>B36</f>
        <v>Desenvolvimento</v>
      </c>
      <c r="D47" s="303" t="s">
        <v>6171</v>
      </c>
      <c r="E47" s="307">
        <v>1</v>
      </c>
      <c r="F47" s="1346">
        <v>100</v>
      </c>
      <c r="G47" s="1347">
        <f>IF(D47=$C$261,-1,1)*E47*F47</f>
        <v>100</v>
      </c>
      <c r="H47" s="166"/>
      <c r="I47" s="159"/>
      <c r="J47" s="802">
        <f t="shared" si="3"/>
        <v>0</v>
      </c>
      <c r="K47" s="21"/>
      <c r="L47" s="38"/>
      <c r="M47" s="907"/>
      <c r="N47" s="12"/>
      <c r="O47"/>
      <c r="P47"/>
      <c r="Q47"/>
      <c r="R47"/>
      <c r="S47"/>
      <c r="T47"/>
      <c r="U47">
        <v>61200</v>
      </c>
      <c r="V47" s="510" t="s">
        <v>6860</v>
      </c>
      <c r="W47" s="511" t="s">
        <v>5964</v>
      </c>
    </row>
    <row r="48" spans="1:23" ht="12.75" customHeight="1" thickTop="1">
      <c r="A48" s="12"/>
      <c r="B48" s="8"/>
      <c r="C48" s="8" t="str">
        <f>Language!C518</f>
        <v>Subtotal</v>
      </c>
      <c r="D48" s="21"/>
      <c r="E48" s="8"/>
      <c r="F48" s="1347"/>
      <c r="G48" s="1353">
        <f>IF($Q$6&lt;&gt;TRUE,SUM(G37:G46),G47)</f>
        <v>100</v>
      </c>
      <c r="H48" s="649">
        <f ca="1">IF(G199=0,"",G48/$G$199)</f>
        <v>1.6441621966006948E-2</v>
      </c>
      <c r="I48" s="168">
        <f>IF(J48=0,0,J48*$Q$9/G48)</f>
        <v>0</v>
      </c>
      <c r="J48" s="885">
        <f>IF($Q$6&lt;&gt;TRUE,SUM(J37:J46),J47)</f>
        <v>0</v>
      </c>
      <c r="K48" s="21"/>
      <c r="L48" s="38"/>
      <c r="M48" s="29"/>
      <c r="N48" s="12"/>
      <c r="O48"/>
      <c r="P48"/>
      <c r="Q48"/>
      <c r="R48"/>
      <c r="S48"/>
      <c r="T48"/>
      <c r="U48">
        <v>61200</v>
      </c>
      <c r="V48" s="510" t="s">
        <v>6859</v>
      </c>
      <c r="W48" s="511" t="s">
        <v>3949</v>
      </c>
    </row>
    <row r="49" spans="1:23" ht="12.75" customHeight="1">
      <c r="A49" s="727"/>
      <c r="B49" s="1171" t="str">
        <f>Language!C526</f>
        <v>Engenharia</v>
      </c>
      <c r="C49" s="1171"/>
      <c r="D49" s="21"/>
      <c r="E49" s="8"/>
      <c r="F49" s="1347"/>
      <c r="G49" s="1347"/>
      <c r="H49" s="166"/>
      <c r="I49" s="8"/>
      <c r="J49" s="802"/>
      <c r="K49" s="21"/>
      <c r="L49" s="38"/>
      <c r="M49" s="29"/>
      <c r="N49" s="12"/>
      <c r="O49"/>
      <c r="P49"/>
      <c r="Q49"/>
      <c r="R49"/>
      <c r="S49"/>
      <c r="T49"/>
      <c r="U49">
        <v>61300</v>
      </c>
      <c r="V49" s="510" t="s">
        <v>6858</v>
      </c>
      <c r="W49" s="511" t="s">
        <v>3948</v>
      </c>
    </row>
    <row r="50" spans="1:23" ht="12.75" hidden="1" customHeight="1">
      <c r="A50" s="12"/>
      <c r="B50" s="8"/>
      <c r="C50" s="8" t="str">
        <f>Language!C527</f>
        <v>Projeto do prédio</v>
      </c>
      <c r="D50" s="21" t="str">
        <f>$D$23</f>
        <v>d-p</v>
      </c>
      <c r="E50" s="307"/>
      <c r="F50" s="1346"/>
      <c r="G50" s="1347">
        <f t="shared" ref="G50:G55" si="4">E50*F50</f>
        <v>0</v>
      </c>
      <c r="H50" s="166"/>
      <c r="I50" s="159"/>
      <c r="J50" s="802">
        <f t="shared" ref="J50:J58" si="5">G50/$Q$9*I50</f>
        <v>0</v>
      </c>
      <c r="K50" s="21"/>
      <c r="L50" s="38"/>
      <c r="M50" s="907"/>
      <c r="N50" s="12"/>
      <c r="O50"/>
      <c r="P50"/>
      <c r="Q50"/>
      <c r="R50"/>
      <c r="S50"/>
      <c r="T50"/>
      <c r="U50">
        <v>61302</v>
      </c>
      <c r="V50" s="510" t="s">
        <v>5312</v>
      </c>
      <c r="W50" s="511" t="s">
        <v>3950</v>
      </c>
    </row>
    <row r="51" spans="1:23" ht="12.75" hidden="1" customHeight="1">
      <c r="A51" s="12"/>
      <c r="B51" s="8"/>
      <c r="C51" s="8" t="str">
        <f>Language!C528</f>
        <v>Projeto mecânico</v>
      </c>
      <c r="D51" s="21" t="str">
        <f>$D$23</f>
        <v>d-p</v>
      </c>
      <c r="E51" s="307"/>
      <c r="F51" s="1346"/>
      <c r="G51" s="1347">
        <f t="shared" si="4"/>
        <v>0</v>
      </c>
      <c r="H51" s="166"/>
      <c r="I51" s="159"/>
      <c r="J51" s="802">
        <f t="shared" si="5"/>
        <v>0</v>
      </c>
      <c r="K51" s="21"/>
      <c r="L51" s="38"/>
      <c r="M51" s="907"/>
      <c r="N51" s="12"/>
      <c r="O51"/>
      <c r="P51"/>
      <c r="Q51"/>
      <c r="R51"/>
      <c r="S51"/>
      <c r="T51"/>
      <c r="U51">
        <v>61316</v>
      </c>
      <c r="V51" s="510" t="s">
        <v>6950</v>
      </c>
      <c r="W51" s="511" t="s">
        <v>2155</v>
      </c>
    </row>
    <row r="52" spans="1:23" ht="12.75" hidden="1" customHeight="1">
      <c r="A52" s="12"/>
      <c r="B52" s="8"/>
      <c r="C52" s="8" t="str">
        <f>Language!C529</f>
        <v>Projeto elétrico</v>
      </c>
      <c r="D52" s="21" t="str">
        <f>$D$23</f>
        <v>d-p</v>
      </c>
      <c r="E52" s="307"/>
      <c r="F52" s="1346"/>
      <c r="G52" s="1347">
        <f t="shared" si="4"/>
        <v>0</v>
      </c>
      <c r="H52" s="166"/>
      <c r="I52" s="159"/>
      <c r="J52" s="802">
        <f t="shared" si="5"/>
        <v>0</v>
      </c>
      <c r="K52" s="21"/>
      <c r="L52" s="38"/>
      <c r="M52" s="907"/>
      <c r="N52" s="12"/>
      <c r="O52"/>
      <c r="P52"/>
      <c r="Q52"/>
      <c r="R52"/>
      <c r="S52"/>
      <c r="T52"/>
      <c r="U52">
        <v>61328</v>
      </c>
      <c r="V52" s="510" t="s">
        <v>6906</v>
      </c>
      <c r="W52" s="511" t="s">
        <v>5880</v>
      </c>
    </row>
    <row r="53" spans="1:23" ht="12.75" hidden="1" customHeight="1">
      <c r="A53" s="12"/>
      <c r="B53" s="8"/>
      <c r="C53" s="8" t="str">
        <f>Language!C530</f>
        <v>Projeto civil</v>
      </c>
      <c r="D53" s="21" t="str">
        <f>$D$23</f>
        <v>d-p</v>
      </c>
      <c r="E53" s="307"/>
      <c r="F53" s="1346"/>
      <c r="G53" s="1347">
        <f t="shared" si="4"/>
        <v>0</v>
      </c>
      <c r="H53" s="166"/>
      <c r="I53" s="159"/>
      <c r="J53" s="802">
        <f t="shared" si="5"/>
        <v>0</v>
      </c>
      <c r="K53" s="21"/>
      <c r="L53" s="38"/>
      <c r="M53" s="907"/>
      <c r="N53" s="12"/>
      <c r="O53"/>
      <c r="P53"/>
      <c r="Q53"/>
      <c r="R53"/>
      <c r="S53"/>
      <c r="T53"/>
      <c r="U53">
        <v>61336</v>
      </c>
      <c r="V53" s="510" t="s">
        <v>6863</v>
      </c>
      <c r="W53" s="511" t="s">
        <v>3949</v>
      </c>
    </row>
    <row r="54" spans="1:23" ht="12.75" hidden="1" customHeight="1">
      <c r="A54" s="12"/>
      <c r="B54" s="8"/>
      <c r="C54" s="8" t="str">
        <f>Language!C531</f>
        <v>Licitação &amp; contratação</v>
      </c>
      <c r="D54" s="21" t="str">
        <f>$D$23</f>
        <v>d-p</v>
      </c>
      <c r="E54" s="307"/>
      <c r="F54" s="1346"/>
      <c r="G54" s="1347">
        <f t="shared" si="4"/>
        <v>0</v>
      </c>
      <c r="H54" s="166"/>
      <c r="I54" s="159"/>
      <c r="J54" s="802">
        <f t="shared" si="5"/>
        <v>0</v>
      </c>
      <c r="K54" s="21"/>
      <c r="L54" s="38"/>
      <c r="M54" s="907"/>
      <c r="N54" s="12"/>
      <c r="O54"/>
      <c r="P54"/>
      <c r="Q54"/>
      <c r="R54"/>
      <c r="S54"/>
      <c r="T54"/>
      <c r="U54">
        <v>61338</v>
      </c>
      <c r="V54" s="510" t="s">
        <v>20</v>
      </c>
      <c r="W54" s="511" t="s">
        <v>4661</v>
      </c>
    </row>
    <row r="55" spans="1:23" ht="12.75" hidden="1" customHeight="1">
      <c r="A55" s="12"/>
      <c r="B55" s="8"/>
      <c r="C55" s="8" t="str">
        <f>Language!C532</f>
        <v>Supervisão da construção</v>
      </c>
      <c r="D55" s="21" t="str">
        <f>D43</f>
        <v>d-p</v>
      </c>
      <c r="E55" s="307"/>
      <c r="F55" s="1346"/>
      <c r="G55" s="1347">
        <f t="shared" si="4"/>
        <v>0</v>
      </c>
      <c r="H55" s="166"/>
      <c r="I55" s="159"/>
      <c r="J55" s="802">
        <f t="shared" si="5"/>
        <v>0</v>
      </c>
      <c r="K55" s="21"/>
      <c r="L55" s="38"/>
      <c r="M55" s="907"/>
      <c r="N55" s="12"/>
      <c r="O55"/>
      <c r="P55"/>
      <c r="Q55"/>
      <c r="R55"/>
      <c r="S55"/>
      <c r="T55"/>
      <c r="U55">
        <v>61342</v>
      </c>
      <c r="V55" s="510" t="s">
        <v>21</v>
      </c>
      <c r="W55" s="511" t="s">
        <v>4662</v>
      </c>
    </row>
    <row r="56" spans="1:23" ht="12.75" hidden="1" customHeight="1">
      <c r="A56" s="12"/>
      <c r="B56" s="8"/>
      <c r="C56" s="792" t="str">
        <f>F273</f>
        <v>Definido pelo usuário</v>
      </c>
      <c r="D56" s="303" t="s">
        <v>6171</v>
      </c>
      <c r="E56" s="307"/>
      <c r="F56" s="1346"/>
      <c r="G56" s="1347">
        <f>IF(D56=$C$261,-1,1)*E56*F56</f>
        <v>0</v>
      </c>
      <c r="H56" s="166"/>
      <c r="I56" s="159"/>
      <c r="J56" s="802">
        <f t="shared" si="5"/>
        <v>0</v>
      </c>
      <c r="K56" s="21"/>
      <c r="L56" s="38"/>
      <c r="M56" s="907"/>
      <c r="N56" s="12"/>
      <c r="O56"/>
      <c r="P56"/>
      <c r="Q56"/>
      <c r="R56"/>
      <c r="S56"/>
      <c r="T56"/>
      <c r="U56">
        <v>61142</v>
      </c>
      <c r="V56" s="510" t="s">
        <v>6871</v>
      </c>
      <c r="W56" s="511" t="s">
        <v>1473</v>
      </c>
    </row>
    <row r="57" spans="1:23" ht="12.75" hidden="1" customHeight="1">
      <c r="A57" s="12"/>
      <c r="B57" s="8"/>
      <c r="C57" s="792"/>
      <c r="D57" s="303"/>
      <c r="E57" s="307"/>
      <c r="F57" s="1346"/>
      <c r="G57" s="1347">
        <f>IF(D57=$C$261,-1,1)*E57*F57</f>
        <v>0</v>
      </c>
      <c r="H57" s="166"/>
      <c r="I57" s="159"/>
      <c r="J57" s="802">
        <f t="shared" si="5"/>
        <v>0</v>
      </c>
      <c r="K57" s="21"/>
      <c r="L57" s="38"/>
      <c r="M57" s="907"/>
      <c r="N57" s="12"/>
      <c r="O57"/>
      <c r="P57"/>
      <c r="Q57"/>
      <c r="R57"/>
      <c r="S57"/>
      <c r="T57"/>
      <c r="U57">
        <v>61142</v>
      </c>
      <c r="V57" s="510" t="s">
        <v>6964</v>
      </c>
      <c r="W57" s="511" t="s">
        <v>4469</v>
      </c>
    </row>
    <row r="58" spans="1:23" ht="12.75" customHeight="1" thickBot="1">
      <c r="A58" s="12"/>
      <c r="B58" s="8"/>
      <c r="C58" s="792" t="str">
        <f>B49</f>
        <v>Engenharia</v>
      </c>
      <c r="D58" s="303" t="s">
        <v>6171</v>
      </c>
      <c r="E58" s="307"/>
      <c r="F58" s="1346"/>
      <c r="G58" s="1347">
        <f>IF(D58=$C$261,-1,1)*E58*F58</f>
        <v>0</v>
      </c>
      <c r="H58" s="166"/>
      <c r="I58" s="159"/>
      <c r="J58" s="802">
        <f t="shared" si="5"/>
        <v>0</v>
      </c>
      <c r="K58" s="21"/>
      <c r="L58" s="38"/>
      <c r="M58" s="907"/>
      <c r="N58" s="12"/>
      <c r="O58"/>
      <c r="P58"/>
      <c r="Q58"/>
      <c r="R58"/>
      <c r="S58"/>
      <c r="T58"/>
      <c r="U58">
        <v>61300</v>
      </c>
      <c r="V58" s="510" t="s">
        <v>22</v>
      </c>
      <c r="W58" s="511" t="s">
        <v>4460</v>
      </c>
    </row>
    <row r="59" spans="1:23" ht="12.75" customHeight="1" thickTop="1">
      <c r="A59" s="12"/>
      <c r="B59" s="8"/>
      <c r="C59" s="8" t="str">
        <f>Language!C518</f>
        <v>Subtotal</v>
      </c>
      <c r="D59" s="21"/>
      <c r="E59" s="8"/>
      <c r="F59" s="1347"/>
      <c r="G59" s="1353">
        <f>IF($Q$6&lt;&gt;TRUE,SUM(G50:G57),G58)</f>
        <v>0</v>
      </c>
      <c r="H59" s="649">
        <f ca="1">IF(G199=0,"",G59/$G$199)</f>
        <v>0</v>
      </c>
      <c r="I59" s="168">
        <f>IF(J59=0,0,J59*$Q$9/G59)</f>
        <v>0</v>
      </c>
      <c r="J59" s="885">
        <f>IF($Q$6&lt;&gt;TRUE,SUM(J50:J57),J58)</f>
        <v>0</v>
      </c>
      <c r="K59" s="21"/>
      <c r="L59" s="38"/>
      <c r="M59" s="29"/>
      <c r="N59" s="12"/>
      <c r="O59"/>
      <c r="P59"/>
      <c r="Q59"/>
      <c r="R59"/>
      <c r="S59"/>
      <c r="T59"/>
      <c r="U59">
        <v>61300</v>
      </c>
      <c r="V59" s="510" t="s">
        <v>6866</v>
      </c>
      <c r="W59" s="511" t="s">
        <v>3742</v>
      </c>
    </row>
    <row r="60" spans="1:23" ht="12.75" customHeight="1">
      <c r="A60" s="727"/>
      <c r="B60" s="1171" t="str">
        <f>Language!C1284</f>
        <v>Sistema de produção de eletricidade</v>
      </c>
      <c r="C60" s="1171"/>
      <c r="D60" s="21"/>
      <c r="E60" s="8"/>
      <c r="F60" s="1347"/>
      <c r="G60" s="1347"/>
      <c r="H60" s="166"/>
      <c r="I60" s="8"/>
      <c r="J60" s="802"/>
      <c r="K60" s="21"/>
      <c r="L60" s="38"/>
      <c r="M60" s="29"/>
      <c r="N60" s="12"/>
      <c r="O60"/>
      <c r="P60"/>
      <c r="Q60"/>
      <c r="R60"/>
      <c r="S60"/>
      <c r="T60"/>
      <c r="U60">
        <v>61400</v>
      </c>
      <c r="V60" s="510" t="s">
        <v>6873</v>
      </c>
      <c r="W60" s="511" t="s">
        <v>2752</v>
      </c>
    </row>
    <row r="61" spans="1:23" ht="12.75" customHeight="1">
      <c r="A61" s="12"/>
      <c r="B61" s="8"/>
      <c r="C61" s="8" t="str">
        <f>IF(HideCodeCA_PowerInt+HideCA_Power_Peak=0,'Modelo Energético'!D868,Language!C231&amp;" - "&amp;'Modelo Energético'!D868)</f>
        <v>Fotovoltaica</v>
      </c>
      <c r="D61" s="21" t="str">
        <f>Language!C1364</f>
        <v>kW</v>
      </c>
      <c r="E61" s="217">
        <f>IF($P$61=0,0,'Modelo Energético'!V870)</f>
        <v>3.7949999999999999</v>
      </c>
      <c r="F61" s="1346">
        <v>1500</v>
      </c>
      <c r="G61" s="1347">
        <f>IF(HideCodeCA_power=0,0,IF(E61="",0,E61*F61))</f>
        <v>5692.5</v>
      </c>
      <c r="H61" s="166"/>
      <c r="I61" s="159"/>
      <c r="J61" s="802">
        <f t="shared" ref="J61:J70" si="6">G61/$Q$9*I61</f>
        <v>0</v>
      </c>
      <c r="K61" s="21"/>
      <c r="L61" s="38"/>
      <c r="M61" s="907"/>
      <c r="N61" s="12"/>
      <c r="O61"/>
      <c r="P61">
        <f>IF(HideCodeCA_ProjectT=2,0,IF(OR(HideCode_projectType=2,HideCode_projectType=4,HideCode_projectType=5,HideCode_projectType=7)=TRUE,1,0))</f>
        <v>1</v>
      </c>
      <c r="Q61" t="s">
        <v>5661</v>
      </c>
      <c r="R61"/>
      <c r="S61"/>
      <c r="T61"/>
      <c r="U61">
        <v>61402</v>
      </c>
      <c r="V61" s="510" t="s">
        <v>6867</v>
      </c>
      <c r="W61" s="511" t="s">
        <v>3949</v>
      </c>
    </row>
    <row r="62" spans="1:23" ht="12.75" hidden="1" customHeight="1">
      <c r="A62" s="12"/>
      <c r="B62" s="8"/>
      <c r="C62" s="8" t="str">
        <f>Language!C241&amp;" - "&amp;'Modelo Energético'!D874</f>
        <v xml:space="preserve">Carga Intermediária - </v>
      </c>
      <c r="D62" s="21" t="str">
        <f>$D$61</f>
        <v>kW</v>
      </c>
      <c r="E62" s="217">
        <f>IF($P$61=0,0,'Modelo Energético'!V876)</f>
        <v>0</v>
      </c>
      <c r="F62" s="1346"/>
      <c r="G62" s="1347">
        <f>IF(HideCodeCA_power=0,0,IF(E62="",0,E62*F62))</f>
        <v>0</v>
      </c>
      <c r="H62" s="166"/>
      <c r="I62" s="159"/>
      <c r="J62" s="802">
        <f t="shared" si="6"/>
        <v>0</v>
      </c>
      <c r="K62" s="21"/>
      <c r="L62" s="38"/>
      <c r="M62" s="907"/>
      <c r="N62" s="12"/>
      <c r="O62">
        <f>IF(ISERROR(E62),0,IF(OR(E62="",E62=0)=TRUE,0,1))</f>
        <v>0</v>
      </c>
      <c r="P62"/>
      <c r="Q62"/>
      <c r="R62"/>
      <c r="S62"/>
      <c r="T62"/>
      <c r="U62">
        <v>61402</v>
      </c>
      <c r="V62" s="510" t="s">
        <v>6708</v>
      </c>
      <c r="W62" s="511" t="s">
        <v>2753</v>
      </c>
    </row>
    <row r="63" spans="1:23" ht="12.75" hidden="1" customHeight="1">
      <c r="A63" s="12"/>
      <c r="B63" s="8"/>
      <c r="C63" s="8" t="str">
        <f>IF(Iniciar!P3=1,Language!C534&amp;'Modelo Energético '!C530,Language!C534&amp;'Modelo Energético'!Q880)</f>
        <v>Carga de Ponta - Eletricidade da Rede</v>
      </c>
      <c r="D63" s="21" t="str">
        <f>$D$61</f>
        <v>kW</v>
      </c>
      <c r="E63" s="217">
        <f>IF($P$61=0,0,'Modelo Energético'!H946)</f>
        <v>0</v>
      </c>
      <c r="F63" s="1346"/>
      <c r="G63" s="1347">
        <f>IF(HideCodeCA_power=0,0,IF(E63="",0,E63*F63))</f>
        <v>0</v>
      </c>
      <c r="H63" s="166"/>
      <c r="I63" s="159"/>
      <c r="J63" s="802">
        <f t="shared" si="6"/>
        <v>0</v>
      </c>
      <c r="K63" s="21"/>
      <c r="L63" s="38"/>
      <c r="M63" s="907"/>
      <c r="N63" s="12"/>
      <c r="O63">
        <f>IF(ISERROR(E63),0,IF(OR(E63="",E63=0)=TRUE,0,1))</f>
        <v>0</v>
      </c>
      <c r="P63">
        <f>HideCodeEM_Power_Peak</f>
        <v>2</v>
      </c>
      <c r="Q63" s="53" t="s">
        <v>5177</v>
      </c>
      <c r="R63"/>
      <c r="S63"/>
      <c r="T63"/>
      <c r="U63">
        <v>61402</v>
      </c>
      <c r="V63" s="510" t="s">
        <v>6951</v>
      </c>
      <c r="W63" s="511" t="s">
        <v>2156</v>
      </c>
    </row>
    <row r="64" spans="1:23" ht="12.75" hidden="1" customHeight="1">
      <c r="A64" s="12"/>
      <c r="B64" s="8"/>
      <c r="C64" s="8" t="str">
        <f>Language!C535&amp;'Modelo Energético'!D890</f>
        <v>Reserva -</v>
      </c>
      <c r="D64" s="21" t="str">
        <f>$D$61</f>
        <v>kW</v>
      </c>
      <c r="E64" s="217">
        <f>IF($P$61=0,"",'Modelo Energético'!D891)</f>
        <v>0</v>
      </c>
      <c r="F64" s="1346"/>
      <c r="G64" s="1347">
        <f>IF(HideCodeCA_power=0,0,IF(E64="",0,E64*F64))</f>
        <v>0</v>
      </c>
      <c r="H64" s="166"/>
      <c r="I64" s="159"/>
      <c r="J64" s="802">
        <f t="shared" si="6"/>
        <v>0</v>
      </c>
      <c r="K64" s="21"/>
      <c r="L64" s="38"/>
      <c r="M64" s="907"/>
      <c r="N64" s="12"/>
      <c r="O64">
        <f>IF(ISERROR(E64),0,IF(OR(E64="",E64=0)=TRUE,0,1))</f>
        <v>0</v>
      </c>
      <c r="P64">
        <f>HideCodeEM_Power_Back</f>
        <v>0</v>
      </c>
      <c r="Q64" s="53" t="s">
        <v>150</v>
      </c>
      <c r="R64"/>
      <c r="S64"/>
      <c r="T64"/>
      <c r="U64">
        <v>61402</v>
      </c>
      <c r="V64" s="510" t="s">
        <v>6869</v>
      </c>
      <c r="W64" s="511" t="s">
        <v>203</v>
      </c>
    </row>
    <row r="65" spans="1:23" ht="12.75" customHeight="1">
      <c r="A65" s="12"/>
      <c r="B65" s="8"/>
      <c r="C65" s="8" t="str">
        <f>Language!C536</f>
        <v>Construção de estrada</v>
      </c>
      <c r="D65" s="336" t="s">
        <v>1182</v>
      </c>
      <c r="E65" s="307"/>
      <c r="F65" s="1346"/>
      <c r="G65" s="1347">
        <f>E65*F65*$O$65</f>
        <v>0</v>
      </c>
      <c r="H65" s="166"/>
      <c r="I65" s="159"/>
      <c r="J65" s="802">
        <f t="shared" si="6"/>
        <v>0</v>
      </c>
      <c r="K65" s="21"/>
      <c r="L65" s="38"/>
      <c r="M65" s="907"/>
      <c r="N65" s="12"/>
      <c r="O65">
        <f>IF(OR(HideCode_projectType=1,HideCode_projectType=3,HideCode_projectType=6),0,1)</f>
        <v>1</v>
      </c>
      <c r="P65"/>
      <c r="Q65"/>
      <c r="R65"/>
      <c r="S65"/>
      <c r="T65"/>
      <c r="U65">
        <v>61404</v>
      </c>
      <c r="V65" s="510" t="s">
        <v>4086</v>
      </c>
      <c r="W65" s="511" t="s">
        <v>3743</v>
      </c>
    </row>
    <row r="66" spans="1:23" ht="12.75" customHeight="1">
      <c r="A66" s="12"/>
      <c r="B66" s="8"/>
      <c r="C66" s="8" t="str">
        <f>Language!C537</f>
        <v>Linha de Transmissão</v>
      </c>
      <c r="D66" s="336" t="s">
        <v>1182</v>
      </c>
      <c r="E66" s="307"/>
      <c r="F66" s="1346"/>
      <c r="G66" s="1347">
        <f>E66*F66*$O$65</f>
        <v>0</v>
      </c>
      <c r="H66" s="166"/>
      <c r="I66" s="159"/>
      <c r="J66" s="802">
        <f t="shared" si="6"/>
        <v>0</v>
      </c>
      <c r="K66" s="21"/>
      <c r="L66" s="38"/>
      <c r="M66" s="907"/>
      <c r="N66" s="12"/>
      <c r="O66"/>
      <c r="P66"/>
      <c r="Q66"/>
      <c r="R66"/>
      <c r="S66"/>
      <c r="T66"/>
      <c r="U66">
        <v>61406</v>
      </c>
      <c r="V66" s="510" t="s">
        <v>6870</v>
      </c>
      <c r="W66" s="511" t="s">
        <v>3744</v>
      </c>
    </row>
    <row r="67" spans="1:23" ht="12.75" customHeight="1">
      <c r="A67" s="12"/>
      <c r="B67" s="8"/>
      <c r="C67" s="8" t="str">
        <f>Language!C538</f>
        <v>Subestação</v>
      </c>
      <c r="D67" s="21" t="str">
        <f>$D$28</f>
        <v>projeto</v>
      </c>
      <c r="E67" s="307"/>
      <c r="F67" s="1346"/>
      <c r="G67" s="1347">
        <f>E67*F67*$O$65</f>
        <v>0</v>
      </c>
      <c r="H67" s="166"/>
      <c r="I67" s="159"/>
      <c r="J67" s="802">
        <f t="shared" si="6"/>
        <v>0</v>
      </c>
      <c r="K67" s="21"/>
      <c r="L67" s="38"/>
      <c r="M67" s="907"/>
      <c r="N67" s="12"/>
      <c r="O67"/>
      <c r="P67"/>
      <c r="Q67"/>
      <c r="R67"/>
      <c r="S67"/>
      <c r="T67"/>
      <c r="U67">
        <v>61408</v>
      </c>
      <c r="V67" s="510" t="s">
        <v>3070</v>
      </c>
      <c r="W67" s="511" t="s">
        <v>4663</v>
      </c>
    </row>
    <row r="68" spans="1:23" ht="12.75" customHeight="1">
      <c r="A68" s="12"/>
      <c r="B68" s="8"/>
      <c r="C68" s="8" t="str">
        <f>Language!C234</f>
        <v>Ações de Eficiência energética</v>
      </c>
      <c r="D68" s="21" t="str">
        <f>$D$28</f>
        <v>projeto</v>
      </c>
      <c r="E68" s="307"/>
      <c r="F68" s="1346"/>
      <c r="G68" s="1347">
        <f>E68*F68*$O$65</f>
        <v>0</v>
      </c>
      <c r="H68" s="166"/>
      <c r="I68" s="159"/>
      <c r="J68" s="802">
        <f t="shared" si="6"/>
        <v>0</v>
      </c>
      <c r="K68" s="21"/>
      <c r="L68" s="38"/>
      <c r="M68" s="907"/>
      <c r="N68" s="12"/>
      <c r="O68"/>
      <c r="P68"/>
      <c r="Q68"/>
      <c r="R68"/>
      <c r="S68"/>
      <c r="T68"/>
      <c r="U68">
        <v>61410</v>
      </c>
      <c r="V68" s="510" t="s">
        <v>6709</v>
      </c>
      <c r="W68" s="511" t="s">
        <v>3171</v>
      </c>
    </row>
    <row r="69" spans="1:23" ht="12.75" customHeight="1">
      <c r="A69" s="12"/>
      <c r="B69" s="8"/>
      <c r="C69" s="792" t="str">
        <f>F273</f>
        <v>Definido pelo usuário</v>
      </c>
      <c r="D69" s="303" t="s">
        <v>6171</v>
      </c>
      <c r="E69" s="307"/>
      <c r="F69" s="1346"/>
      <c r="G69" s="1347">
        <f>IF(D69=$C$261,-1,1)*E69*F69</f>
        <v>0</v>
      </c>
      <c r="H69" s="166"/>
      <c r="I69" s="159"/>
      <c r="J69" s="802">
        <f t="shared" si="6"/>
        <v>0</v>
      </c>
      <c r="K69" s="21"/>
      <c r="L69" s="38"/>
      <c r="M69" s="907"/>
      <c r="N69" s="12"/>
      <c r="O69"/>
      <c r="P69"/>
      <c r="Q69"/>
      <c r="R69"/>
      <c r="S69"/>
      <c r="T69"/>
      <c r="U69">
        <v>61142</v>
      </c>
      <c r="V69" s="510" t="s">
        <v>6710</v>
      </c>
      <c r="W69" s="511" t="s">
        <v>3172</v>
      </c>
    </row>
    <row r="70" spans="1:23" ht="12.75" customHeight="1" thickBot="1">
      <c r="A70" s="12"/>
      <c r="B70" s="8"/>
      <c r="C70" s="792"/>
      <c r="D70" s="303"/>
      <c r="E70" s="307"/>
      <c r="F70" s="1346"/>
      <c r="G70" s="1347">
        <f>IF(D70=$C$261,-1,1)*E70*F70</f>
        <v>0</v>
      </c>
      <c r="H70" s="166"/>
      <c r="I70" s="159"/>
      <c r="J70" s="802">
        <f t="shared" si="6"/>
        <v>0</v>
      </c>
      <c r="K70" s="21"/>
      <c r="L70" s="38"/>
      <c r="M70" s="907"/>
      <c r="N70" s="12"/>
      <c r="O70"/>
      <c r="P70"/>
      <c r="Q70"/>
      <c r="R70"/>
      <c r="S70"/>
      <c r="T70"/>
      <c r="U70">
        <v>61142</v>
      </c>
      <c r="V70" s="510" t="s">
        <v>9</v>
      </c>
      <c r="W70" s="511" t="s">
        <v>4526</v>
      </c>
    </row>
    <row r="71" spans="1:23" ht="12.75" customHeight="1" thickTop="1">
      <c r="A71" s="12"/>
      <c r="B71" s="8"/>
      <c r="C71" s="8" t="str">
        <f>Language!C518</f>
        <v>Subtotal</v>
      </c>
      <c r="D71" s="21"/>
      <c r="E71" s="8"/>
      <c r="F71" s="1347"/>
      <c r="G71" s="1353">
        <f>SUM(G61:G70)*HideCodeCA_power</f>
        <v>5692.5</v>
      </c>
      <c r="H71" s="649">
        <f ca="1">IF(G199=0,"",G71/$G$199)</f>
        <v>0.93593933041494548</v>
      </c>
      <c r="I71" s="168">
        <f>IF(J71=0,0,J71*$Q$9/G71)</f>
        <v>0</v>
      </c>
      <c r="J71" s="885">
        <f>SUM(J61:J70)*HideCodeCA_power</f>
        <v>0</v>
      </c>
      <c r="K71" s="21"/>
      <c r="L71" s="38"/>
      <c r="M71" s="29"/>
      <c r="N71" s="12"/>
      <c r="O71"/>
      <c r="P71"/>
      <c r="Q71"/>
      <c r="R71"/>
      <c r="S71"/>
      <c r="T71"/>
      <c r="U71">
        <v>61400</v>
      </c>
      <c r="V71" s="510" t="s">
        <v>6713</v>
      </c>
      <c r="W71" s="511" t="s">
        <v>3174</v>
      </c>
    </row>
    <row r="72" spans="1:23" ht="12.75" hidden="1" customHeight="1">
      <c r="A72" s="727"/>
      <c r="B72" s="1171" t="str">
        <f>Language!C1283</f>
        <v>Sistema de Aquecimento</v>
      </c>
      <c r="C72" s="1171"/>
      <c r="D72" s="21"/>
      <c r="E72" s="8"/>
      <c r="F72" s="1347"/>
      <c r="G72" s="1347"/>
      <c r="H72" s="166"/>
      <c r="I72" s="8"/>
      <c r="J72" s="802"/>
      <c r="K72" s="21"/>
      <c r="L72" s="38"/>
      <c r="M72" s="29"/>
      <c r="N72" s="12"/>
      <c r="O72"/>
      <c r="P72"/>
      <c r="Q72"/>
      <c r="R72"/>
      <c r="S72"/>
      <c r="T72"/>
      <c r="U72">
        <v>61500</v>
      </c>
      <c r="V72" s="510" t="s">
        <v>3821</v>
      </c>
      <c r="W72" s="511" t="s">
        <v>4527</v>
      </c>
    </row>
    <row r="73" spans="1:23" ht="12.75" hidden="1" customHeight="1">
      <c r="A73" s="12"/>
      <c r="B73" s="153"/>
      <c r="C73" s="8" t="str">
        <f>Set_T1</f>
        <v>Sistema à biomassa</v>
      </c>
      <c r="D73" s="21"/>
      <c r="E73" s="8"/>
      <c r="F73" s="1347"/>
      <c r="G73" s="1347">
        <f>'Modelo Energético '!G1083</f>
        <v>0</v>
      </c>
      <c r="H73" s="166"/>
      <c r="I73" s="159"/>
      <c r="J73" s="802">
        <f t="shared" ref="J73:J84" si="7">G73/$Q$9*I73</f>
        <v>0</v>
      </c>
      <c r="K73" s="21"/>
      <c r="L73" s="38"/>
      <c r="M73" s="907"/>
      <c r="N73" s="12"/>
      <c r="O73">
        <f>IF('Modelo Energético '!EE_HS_CB=TRUE,1,0)</f>
        <v>0</v>
      </c>
      <c r="P73"/>
      <c r="Q73"/>
      <c r="R73"/>
      <c r="S73"/>
      <c r="T73"/>
      <c r="U73">
        <v>61510</v>
      </c>
      <c r="V73" s="510" t="s">
        <v>6987</v>
      </c>
      <c r="W73" s="511" t="s">
        <v>4493</v>
      </c>
    </row>
    <row r="74" spans="1:23" ht="12.75" hidden="1" customHeight="1">
      <c r="A74" s="12"/>
      <c r="B74" s="8"/>
      <c r="C74" s="8" t="str">
        <f>Language!C231&amp;" - "&amp;'Modelo Energético'!D894</f>
        <v>Carga de base - Sistema à biomassa</v>
      </c>
      <c r="D74" s="303" t="s">
        <v>5700</v>
      </c>
      <c r="E74" s="236">
        <f>IF(D74=$D$261,1,1/E262)*'Modelo Energético'!S895</f>
        <v>0</v>
      </c>
      <c r="F74" s="1346"/>
      <c r="G74" s="1347">
        <f>IF(HideCodeCA_heat=0,0,IF(E74="",0,E74*F74*O74))</f>
        <v>0</v>
      </c>
      <c r="H74" s="166"/>
      <c r="I74" s="159"/>
      <c r="J74" s="802">
        <f t="shared" si="7"/>
        <v>0</v>
      </c>
      <c r="K74" s="21"/>
      <c r="L74" s="38"/>
      <c r="M74" s="907"/>
      <c r="N74" s="12"/>
      <c r="O74">
        <f>IF(HideCodeCA_SWH=1,0,1)</f>
        <v>1</v>
      </c>
      <c r="P74">
        <f>IF(HideCodeCA_ProjectT=2,0,IF(OR(HideCode_projectType=1,HideCode_projectType=4,HideCode_projectType=6,HideCode_projectType=7)=TRUE,1,0))</f>
        <v>0</v>
      </c>
      <c r="Q74" t="s">
        <v>585</v>
      </c>
      <c r="R74"/>
      <c r="S74"/>
      <c r="T74"/>
      <c r="U74">
        <v>61502</v>
      </c>
      <c r="V74" s="510" t="s">
        <v>6712</v>
      </c>
      <c r="W74" s="511" t="s">
        <v>5480</v>
      </c>
    </row>
    <row r="75" spans="1:23" ht="12.75" hidden="1" customHeight="1">
      <c r="A75" s="12"/>
      <c r="B75" s="8"/>
      <c r="C75" s="8" t="str">
        <f>Language!C241&amp;" - "&amp;'Modelo Energético'!D898</f>
        <v xml:space="preserve">Carga Intermediária - </v>
      </c>
      <c r="D75" s="303" t="s">
        <v>5700</v>
      </c>
      <c r="E75" s="236">
        <f>IF(D75=$D$261,1,1/E262)*'Modelo Energético'!S899</f>
        <v>0</v>
      </c>
      <c r="F75" s="1346"/>
      <c r="G75" s="1347">
        <f>IF(HideCodeCA_heat=0,0,IF(E75="",0,E75*F75))</f>
        <v>0</v>
      </c>
      <c r="H75" s="166"/>
      <c r="I75" s="159"/>
      <c r="J75" s="802">
        <f t="shared" si="7"/>
        <v>0</v>
      </c>
      <c r="K75" s="21"/>
      <c r="L75" s="38"/>
      <c r="M75" s="907"/>
      <c r="N75" s="12"/>
      <c r="O75">
        <f>IF(ISERROR(E75),0,IF(OR(E75="",E75=0)=TRUE,0,1))</f>
        <v>0</v>
      </c>
      <c r="P75" s="53"/>
      <c r="Q75"/>
      <c r="R75"/>
      <c r="S75"/>
      <c r="T75"/>
      <c r="U75">
        <v>61502</v>
      </c>
      <c r="V75" s="510" t="s">
        <v>6875</v>
      </c>
      <c r="W75" s="511" t="s">
        <v>5819</v>
      </c>
    </row>
    <row r="76" spans="1:23" ht="12.75" hidden="1" customHeight="1">
      <c r="A76" s="12"/>
      <c r="B76" s="8"/>
      <c r="C76" s="8" t="str">
        <f>'Modelo Energético'!O903&amp;" - "&amp;EM_HeatType1</f>
        <v>Carga Intermediária # 2 - Não necessário</v>
      </c>
      <c r="D76" s="303" t="s">
        <v>5700</v>
      </c>
      <c r="E76" s="236">
        <f>IF(D76=$D$261,1,1/E262)*'Modelo Energético'!V905*'Modelo Energético'!M902</f>
        <v>0</v>
      </c>
      <c r="F76" s="1346"/>
      <c r="G76" s="1347">
        <f>IF(HideCodeCA_heat=0,0,IF(E76="",0,E76*F76))</f>
        <v>0</v>
      </c>
      <c r="H76" s="166"/>
      <c r="I76" s="159"/>
      <c r="J76" s="802">
        <f t="shared" si="7"/>
        <v>0</v>
      </c>
      <c r="K76" s="21"/>
      <c r="L76" s="38"/>
      <c r="M76" s="907"/>
      <c r="N76" s="12"/>
      <c r="O76">
        <f>IF(ISERROR(E76),0,IF(OR(E76="",E76=0),0,'Modelo Energético'!M902))</f>
        <v>0</v>
      </c>
      <c r="P76"/>
      <c r="Q76"/>
      <c r="R76"/>
      <c r="S76"/>
      <c r="T76"/>
      <c r="U76">
        <v>61502</v>
      </c>
      <c r="V76" s="510" t="s">
        <v>6965</v>
      </c>
      <c r="W76" s="511" t="s">
        <v>4470</v>
      </c>
    </row>
    <row r="77" spans="1:23" ht="12.75" hidden="1" customHeight="1">
      <c r="A77" s="12"/>
      <c r="B77" s="8"/>
      <c r="C77" s="8" t="str">
        <f>Language!C534&amp;EM_HeatType2</f>
        <v>Carga de Ponta - Caldeira</v>
      </c>
      <c r="D77" s="303" t="s">
        <v>5700</v>
      </c>
      <c r="E77" s="236">
        <f>IF('Modelo Energético'!S916=0,'Modelo Energético'!V915,IF(D77=$D$261,1,1/E262)*'Modelo Energético'!V915*'Modelo Energético'!M911/100)</f>
        <v>0</v>
      </c>
      <c r="F77" s="1346"/>
      <c r="G77" s="1347">
        <f>IF(HideCodeCA_heat=0,0,IF(E77="",0,E77*F77))*HideCA_Heat_Peak/100</f>
        <v>0</v>
      </c>
      <c r="H77" s="166"/>
      <c r="I77" s="159"/>
      <c r="J77" s="802">
        <f t="shared" si="7"/>
        <v>0</v>
      </c>
      <c r="K77" s="21"/>
      <c r="L77" s="38"/>
      <c r="M77" s="907"/>
      <c r="N77" s="12"/>
      <c r="O77">
        <f>IF(ISERROR(E77),0,IF(OR(E77="",E77=0)=TRUE,0,1))*P77*IF(HideCodeCA_SWH=1,0,1)</f>
        <v>0</v>
      </c>
      <c r="P77">
        <f>HideCodeEM_Heat_Peak</f>
        <v>0</v>
      </c>
      <c r="Q77" s="53" t="s">
        <v>612</v>
      </c>
      <c r="R77"/>
      <c r="S77"/>
      <c r="T77"/>
      <c r="U77">
        <v>61502</v>
      </c>
      <c r="V77" s="510" t="s">
        <v>6966</v>
      </c>
      <c r="W77" s="511" t="s">
        <v>3396</v>
      </c>
    </row>
    <row r="78" spans="1:23" ht="12.75" hidden="1" customHeight="1">
      <c r="A78" s="12"/>
      <c r="B78" s="8"/>
      <c r="C78" s="8" t="str">
        <f>Language!C535&amp;'Modelo Energético'!D921</f>
        <v>Reserva -</v>
      </c>
      <c r="D78" s="303" t="s">
        <v>5700</v>
      </c>
      <c r="E78" s="236">
        <f>IF(D78=$D$261,1,1/E262)*'Modelo Energético'!S922</f>
        <v>0</v>
      </c>
      <c r="F78" s="1346"/>
      <c r="G78" s="1347">
        <f>IF(HideCodeCA_heat=0,0,IF(E78="",0,E78*F78))</f>
        <v>0</v>
      </c>
      <c r="H78" s="166"/>
      <c r="I78" s="159"/>
      <c r="J78" s="802">
        <f t="shared" si="7"/>
        <v>0</v>
      </c>
      <c r="K78" s="21"/>
      <c r="L78" s="38"/>
      <c r="M78" s="907"/>
      <c r="N78" s="12"/>
      <c r="O78">
        <f>IF(ISERROR(E78),0,IF(OR(E78="",E78=0)=TRUE,0,1))</f>
        <v>0</v>
      </c>
      <c r="P78"/>
      <c r="Q78"/>
      <c r="R78"/>
      <c r="S78"/>
      <c r="T78"/>
      <c r="U78">
        <v>61502</v>
      </c>
      <c r="V78" s="510" t="s">
        <v>6970</v>
      </c>
      <c r="W78" s="511" t="s">
        <v>5481</v>
      </c>
    </row>
    <row r="79" spans="1:23" ht="12.75" hidden="1" customHeight="1">
      <c r="A79" s="12"/>
      <c r="B79" s="8"/>
      <c r="C79" s="8" t="str">
        <f>Language!C539</f>
        <v>Estação(ões) transfer. de energia</v>
      </c>
      <c r="D79" s="21" t="str">
        <f>Language!C1309</f>
        <v>prédio</v>
      </c>
      <c r="E79" s="88">
        <f>'Carga e Rede'!D33</f>
        <v>1</v>
      </c>
      <c r="F79" s="1347" t="s">
        <v>637</v>
      </c>
      <c r="G79" s="1347">
        <f>IF(OR(ISERROR('Carga e Rede'!D93),ISERROR('Carga e Rede'!D98),ISERROR('Carga e Rede'!D96)),0,IF('Carga e Rede'!$D$86='Carga e Rede'!$G$264,'Carga e Rede'!D93,'Carga e Rede'!D98-'Carga e Rede'!D96))*HideCodeCA_Heat_ETS</f>
        <v>0</v>
      </c>
      <c r="H79" s="166"/>
      <c r="I79" s="159"/>
      <c r="J79" s="802">
        <f t="shared" si="7"/>
        <v>0</v>
      </c>
      <c r="K79" s="21"/>
      <c r="L79" s="38"/>
      <c r="M79" s="907"/>
      <c r="N79" s="12"/>
      <c r="O79">
        <f>IF(OR(HideCode_projectType2=2,HideCode_projectType2=3,HideCode_projectType2=5),0,IF(Iniciar!P4=0,IF(HideCodeLN_HPT&lt;7,0,1),0))</f>
        <v>0</v>
      </c>
      <c r="P79"/>
      <c r="Q79"/>
      <c r="R79"/>
      <c r="S79"/>
      <c r="T79"/>
      <c r="U79">
        <v>61504</v>
      </c>
      <c r="V79" s="510" t="s">
        <v>6993</v>
      </c>
      <c r="W79" s="511" t="s">
        <v>5480</v>
      </c>
    </row>
    <row r="80" spans="1:23" ht="12.75" hidden="1" customHeight="1">
      <c r="A80" s="12"/>
      <c r="B80" s="8"/>
      <c r="C80" s="8" t="str">
        <f>Language!C541</f>
        <v>Tubo principal da rede de aquecimento</v>
      </c>
      <c r="D80" s="21" t="str">
        <f>'Carga e Rede'!C79</f>
        <v>m</v>
      </c>
      <c r="E80" s="88">
        <f>'Carga e Rede'!D79</f>
        <v>1</v>
      </c>
      <c r="F80" s="1347" t="s">
        <v>637</v>
      </c>
      <c r="G80" s="1347">
        <f>IF('Carga e Rede'!$D$86='Carga e Rede'!$G$264,'Carga e Rede'!D103,'Carga e Rede'!D104)*HideCodeCA_Heat_ETS</f>
        <v>0</v>
      </c>
      <c r="H80" s="166"/>
      <c r="I80" s="159"/>
      <c r="J80" s="802">
        <f t="shared" si="7"/>
        <v>0</v>
      </c>
      <c r="K80" s="21"/>
      <c r="L80" s="38"/>
      <c r="M80" s="907"/>
      <c r="N80" s="12"/>
      <c r="O80"/>
      <c r="P80"/>
      <c r="Q80"/>
      <c r="R80"/>
      <c r="S80"/>
      <c r="T80"/>
      <c r="U80">
        <v>61506</v>
      </c>
      <c r="V80" s="510" t="s">
        <v>6876</v>
      </c>
      <c r="W80" s="511" t="s">
        <v>5820</v>
      </c>
    </row>
    <row r="81" spans="1:23" ht="12.75" hidden="1" customHeight="1">
      <c r="A81" s="12"/>
      <c r="B81" s="8"/>
      <c r="C81" s="8" t="str">
        <f>Language!C540</f>
        <v>Tubo - rede de aquecimento secundária</v>
      </c>
      <c r="D81" s="21" t="str">
        <f>'Carga e Rede'!C82</f>
        <v>m</v>
      </c>
      <c r="E81" s="88">
        <f>'Carga e Rede'!D82</f>
        <v>0</v>
      </c>
      <c r="F81" s="1347" t="s">
        <v>637</v>
      </c>
      <c r="G81" s="1347">
        <f>IF('Carga e Rede'!$D$86='Carga e Rede'!$G$264,'Carga e Rede'!D95,'Carga e Rede'!D96)*HideCodeCA_Heat_ETS</f>
        <v>0</v>
      </c>
      <c r="H81" s="166"/>
      <c r="I81" s="159"/>
      <c r="J81" s="802">
        <f t="shared" si="7"/>
        <v>0</v>
      </c>
      <c r="K81" s="21"/>
      <c r="L81" s="38"/>
      <c r="M81" s="907"/>
      <c r="N81" s="12"/>
      <c r="O81"/>
      <c r="P81"/>
      <c r="Q81"/>
      <c r="R81"/>
      <c r="S81"/>
      <c r="T81"/>
      <c r="U81">
        <v>61508</v>
      </c>
      <c r="V81" s="510" t="s">
        <v>6877</v>
      </c>
      <c r="W81" s="511" t="s">
        <v>5821</v>
      </c>
    </row>
    <row r="82" spans="1:23" ht="12.75" hidden="1" customHeight="1">
      <c r="A82" s="12"/>
      <c r="B82" s="8"/>
      <c r="C82" s="8" t="str">
        <f>C68</f>
        <v>Ações de Eficiência energética</v>
      </c>
      <c r="D82" s="21" t="str">
        <f>$D$28</f>
        <v>projeto</v>
      </c>
      <c r="E82" s="307"/>
      <c r="F82" s="1346"/>
      <c r="G82" s="1347">
        <f>E82*F82*HideCodeCA_heat*O82</f>
        <v>0</v>
      </c>
      <c r="H82" s="166"/>
      <c r="I82" s="159"/>
      <c r="J82" s="802">
        <f t="shared" si="7"/>
        <v>0</v>
      </c>
      <c r="K82" s="21"/>
      <c r="L82" s="38"/>
      <c r="M82" s="907"/>
      <c r="N82" s="12"/>
      <c r="O82">
        <f>IF(HideCodeCA_SWH=1,0,1)</f>
        <v>1</v>
      </c>
      <c r="P82"/>
      <c r="Q82"/>
      <c r="R82"/>
      <c r="S82"/>
      <c r="T82"/>
      <c r="U82">
        <v>61512</v>
      </c>
      <c r="V82" s="510" t="s">
        <v>23</v>
      </c>
      <c r="W82" s="511" t="s">
        <v>5823</v>
      </c>
    </row>
    <row r="83" spans="1:23" ht="12.75" hidden="1" customHeight="1">
      <c r="A83" s="12"/>
      <c r="B83" s="8"/>
      <c r="C83" s="792" t="str">
        <f>F273</f>
        <v>Definido pelo usuário</v>
      </c>
      <c r="D83" s="303" t="s">
        <v>6171</v>
      </c>
      <c r="E83" s="307"/>
      <c r="F83" s="1346"/>
      <c r="G83" s="1347">
        <f>IF(D83=$C$261,-1,1)*E83*F83</f>
        <v>0</v>
      </c>
      <c r="H83" s="166"/>
      <c r="I83" s="159"/>
      <c r="J83" s="802">
        <f t="shared" si="7"/>
        <v>0</v>
      </c>
      <c r="K83" s="21"/>
      <c r="L83" s="38"/>
      <c r="M83" s="907"/>
      <c r="N83" s="12"/>
      <c r="O83"/>
      <c r="P83"/>
      <c r="Q83"/>
      <c r="R83"/>
      <c r="S83"/>
      <c r="T83"/>
      <c r="U83">
        <v>61142</v>
      </c>
      <c r="V83" s="510" t="s">
        <v>6947</v>
      </c>
      <c r="W83" s="511" t="s">
        <v>4081</v>
      </c>
    </row>
    <row r="84" spans="1:23" ht="12.75" hidden="1" customHeight="1" thickBot="1">
      <c r="A84" s="12"/>
      <c r="B84" s="8"/>
      <c r="C84" s="792"/>
      <c r="D84" s="303"/>
      <c r="E84" s="307"/>
      <c r="F84" s="1346"/>
      <c r="G84" s="1347">
        <f>IF(D84=$C$261,-1,1)*E84*F84</f>
        <v>0</v>
      </c>
      <c r="H84" s="166"/>
      <c r="I84" s="159"/>
      <c r="J84" s="886">
        <f t="shared" si="7"/>
        <v>0</v>
      </c>
      <c r="K84" s="21"/>
      <c r="L84" s="38"/>
      <c r="M84" s="907"/>
      <c r="N84" s="12"/>
      <c r="O84"/>
      <c r="P84"/>
      <c r="Q84"/>
      <c r="R84"/>
      <c r="S84"/>
      <c r="T84"/>
      <c r="U84">
        <v>61142</v>
      </c>
      <c r="V84" s="510" t="s">
        <v>6880</v>
      </c>
      <c r="W84" s="511" t="s">
        <v>5481</v>
      </c>
    </row>
    <row r="85" spans="1:23" ht="12.75" hidden="1" customHeight="1" thickTop="1">
      <c r="A85" s="12"/>
      <c r="B85" s="8"/>
      <c r="C85" s="8" t="str">
        <f>Language!C518</f>
        <v>Subtotal</v>
      </c>
      <c r="D85" s="8"/>
      <c r="E85" s="8"/>
      <c r="F85" s="1347"/>
      <c r="G85" s="1353">
        <f>SUM(G73:G84)*HideCodeCA_heat</f>
        <v>0</v>
      </c>
      <c r="H85" s="649">
        <f ca="1">IF(G199=0,"",G85/$G$199)</f>
        <v>0</v>
      </c>
      <c r="I85" s="168">
        <f>IF(J85=0,0,J85*$Q$9/G85)</f>
        <v>0</v>
      </c>
      <c r="J85" s="802">
        <f>SUM(J73:J84)*HideCodeCA_heat</f>
        <v>0</v>
      </c>
      <c r="K85" s="21"/>
      <c r="L85" s="38"/>
      <c r="M85" s="29"/>
      <c r="N85" s="12"/>
      <c r="O85"/>
      <c r="P85"/>
      <c r="Q85"/>
      <c r="R85"/>
      <c r="S85"/>
      <c r="T85"/>
      <c r="U85">
        <v>61500</v>
      </c>
      <c r="V85" s="510" t="s">
        <v>6881</v>
      </c>
      <c r="W85" s="511" t="s">
        <v>5481</v>
      </c>
    </row>
    <row r="86" spans="1:23" ht="12.75" hidden="1" customHeight="1">
      <c r="A86" s="727"/>
      <c r="B86" s="1171" t="str">
        <f>Language!C542</f>
        <v>Sistema de refrigeração</v>
      </c>
      <c r="C86" s="1171"/>
      <c r="D86" s="8"/>
      <c r="E86" s="8"/>
      <c r="F86" s="1347"/>
      <c r="G86" s="1347"/>
      <c r="H86" s="166"/>
      <c r="I86" s="8"/>
      <c r="J86" s="802"/>
      <c r="K86" s="21"/>
      <c r="L86" s="38"/>
      <c r="M86" s="29"/>
      <c r="N86" s="12"/>
      <c r="O86"/>
      <c r="P86"/>
      <c r="Q86"/>
      <c r="R86"/>
      <c r="S86"/>
      <c r="T86"/>
      <c r="U86">
        <v>61600</v>
      </c>
      <c r="V86" s="510" t="s">
        <v>6885</v>
      </c>
      <c r="W86" s="511" t="s">
        <v>3949</v>
      </c>
    </row>
    <row r="87" spans="1:23" ht="12.75" hidden="1" customHeight="1">
      <c r="A87" s="12"/>
      <c r="B87" s="8"/>
      <c r="C87" s="8" t="str">
        <f>Language!C231&amp;" - "&amp;'Modelo Energético'!D925</f>
        <v>Carga de base - Bomba de calor</v>
      </c>
      <c r="D87" s="303" t="s">
        <v>5700</v>
      </c>
      <c r="E87" s="236">
        <f>IF(D87=$D$261,1,IF(D87=$D$262,1/E262,E263))*'Modelo Energético'!S927</f>
        <v>0</v>
      </c>
      <c r="F87" s="1346"/>
      <c r="G87" s="1347">
        <f>IF(HideCodeCA_cool=0,0,IF(E87="",0,E87*F87))</f>
        <v>0</v>
      </c>
      <c r="H87" s="166"/>
      <c r="I87" s="159"/>
      <c r="J87" s="802">
        <f t="shared" ref="J87:J95" si="8">G87/$Q$9*I87</f>
        <v>0</v>
      </c>
      <c r="K87" s="21"/>
      <c r="L87" s="38"/>
      <c r="M87" s="907"/>
      <c r="N87" s="12"/>
      <c r="O87"/>
      <c r="P87">
        <f>IF(HideCodeCA_ProjectT=2,0,IF(OR(HideCode_projectType=3,HideCode_projectType=5,HideCode_projectType=6,HideCode_projectType=7)=TRUE,1,0))</f>
        <v>0</v>
      </c>
      <c r="Q87" t="s">
        <v>613</v>
      </c>
      <c r="R87"/>
      <c r="S87"/>
      <c r="T87"/>
      <c r="U87">
        <v>61602</v>
      </c>
      <c r="V87" s="510" t="s">
        <v>6886</v>
      </c>
      <c r="W87" s="511" t="s">
        <v>5825</v>
      </c>
    </row>
    <row r="88" spans="1:23" ht="12.75" hidden="1" customHeight="1">
      <c r="A88" s="12"/>
      <c r="B88" s="8"/>
      <c r="C88" s="8" t="str">
        <f>Language!C534&amp;'Modelo Energético'!D930</f>
        <v>Carga de Ponta - Compressor</v>
      </c>
      <c r="D88" s="303" t="s">
        <v>5700</v>
      </c>
      <c r="E88" s="236">
        <f>IF(D88=$D$261,1,IF(D88=$D$262,1/E262,E263))*IF(P88=0,0,'Modelo Energético'!S932)</f>
        <v>0</v>
      </c>
      <c r="F88" s="1346"/>
      <c r="G88" s="1347">
        <f>IF(HideCodeCA_cool=0,0,IF(E88="",0,E88*F88))</f>
        <v>0</v>
      </c>
      <c r="H88" s="166"/>
      <c r="I88" s="159"/>
      <c r="J88" s="802">
        <f t="shared" si="8"/>
        <v>0</v>
      </c>
      <c r="K88" s="21"/>
      <c r="L88" s="38"/>
      <c r="M88" s="907"/>
      <c r="N88" s="12"/>
      <c r="O88">
        <f>IF(ISERROR(E88),0,IF(OR(E88="",E88=0)=TRUE,0,1))</f>
        <v>0</v>
      </c>
      <c r="P88">
        <f>HideCodeES_Cool_Peak</f>
        <v>100</v>
      </c>
      <c r="Q88" s="53" t="s">
        <v>425</v>
      </c>
      <c r="R88"/>
      <c r="S88"/>
      <c r="T88"/>
      <c r="U88">
        <v>61602</v>
      </c>
      <c r="V88" s="510" t="s">
        <v>6888</v>
      </c>
      <c r="W88" s="511" t="s">
        <v>5827</v>
      </c>
    </row>
    <row r="89" spans="1:23" ht="12.75" hidden="1" customHeight="1">
      <c r="A89" s="12"/>
      <c r="B89" s="8"/>
      <c r="C89" s="8" t="str">
        <f>Language!C535&amp;'Modelo Energético'!D935</f>
        <v>Reserva -</v>
      </c>
      <c r="D89" s="303" t="s">
        <v>5700</v>
      </c>
      <c r="E89" s="236">
        <f>IF(D89=$D$261,1,IF(D89=$D$262,1/E262,E263))*'Modelo Energético'!S936</f>
        <v>0</v>
      </c>
      <c r="F89" s="1346"/>
      <c r="G89" s="1347">
        <f>IF(HideCodeCA_cool=0,0,IF(E89="",0,E89*F89))</f>
        <v>0</v>
      </c>
      <c r="H89" s="166"/>
      <c r="I89" s="159"/>
      <c r="J89" s="802">
        <f t="shared" si="8"/>
        <v>0</v>
      </c>
      <c r="K89" s="21"/>
      <c r="L89" s="38"/>
      <c r="M89" s="907"/>
      <c r="N89" s="12"/>
      <c r="O89">
        <f>IF(ISERROR(E89),0,IF(OR(E89="",E89=0)=TRUE,0,1))</f>
        <v>0</v>
      </c>
      <c r="P89"/>
      <c r="Q89"/>
      <c r="R89"/>
      <c r="S89"/>
      <c r="T89"/>
      <c r="U89">
        <v>61602</v>
      </c>
      <c r="V89" s="510" t="s">
        <v>3803</v>
      </c>
      <c r="W89" s="511" t="s">
        <v>5826</v>
      </c>
    </row>
    <row r="90" spans="1:23" ht="12.75" hidden="1" customHeight="1">
      <c r="A90" s="12"/>
      <c r="B90" s="8"/>
      <c r="C90" s="8" t="str">
        <f>C79</f>
        <v>Estação(ões) transfer. de energia</v>
      </c>
      <c r="D90" s="21" t="str">
        <f>D79</f>
        <v>prédio</v>
      </c>
      <c r="E90" s="88">
        <f>'Carga e Rede'!D138</f>
        <v>1</v>
      </c>
      <c r="F90" s="1347" t="s">
        <v>637</v>
      </c>
      <c r="G90" s="1347">
        <f>IF(OR(ISERROR('Carga e Rede'!D198),ISERROR('Carga e Rede'!D203),ISERROR('Carga e Rede'!D201)),0,IF('Carga e Rede'!$D$191='Carga e Rede'!$G$264,'Carga e Rede'!D198,'Carga e Rede'!D203-'Carga e Rede'!D201))*HideCodeCA_Cool_ETS</f>
        <v>0</v>
      </c>
      <c r="H90" s="166"/>
      <c r="I90" s="159"/>
      <c r="J90" s="802">
        <f t="shared" si="8"/>
        <v>0</v>
      </c>
      <c r="K90" s="21"/>
      <c r="L90" s="38"/>
      <c r="M90" s="907"/>
      <c r="N90" s="12"/>
      <c r="O90">
        <f>IF(OR(HideCode_projectType2&lt;3,HideCode_projectType2=4),0,IF(HideCodeLN_CPT&lt;7,0,1))</f>
        <v>0</v>
      </c>
      <c r="P90"/>
      <c r="Q90"/>
      <c r="R90"/>
      <c r="S90"/>
      <c r="T90"/>
      <c r="U90">
        <v>61604</v>
      </c>
      <c r="V90" s="510" t="s">
        <v>5126</v>
      </c>
      <c r="W90" s="511" t="s">
        <v>5828</v>
      </c>
    </row>
    <row r="91" spans="1:23" ht="12.75" hidden="1" customHeight="1">
      <c r="A91" s="12"/>
      <c r="B91" s="8"/>
      <c r="C91" s="8" t="str">
        <f>Language!C544</f>
        <v>Tubo principal da rede de resfriamento</v>
      </c>
      <c r="D91" s="21" t="str">
        <f>'Carga e Rede'!C184</f>
        <v>m</v>
      </c>
      <c r="E91" s="88">
        <f>'Carga e Rede'!D184</f>
        <v>1</v>
      </c>
      <c r="F91" s="1347" t="s">
        <v>637</v>
      </c>
      <c r="G91" s="1347">
        <f>IF('Carga e Rede'!$D$191='Carga e Rede'!$G$264,'Carga e Rede'!D208,'Carga e Rede'!D209)*HideCodeCA_Cool_ETS</f>
        <v>0</v>
      </c>
      <c r="H91" s="166"/>
      <c r="I91" s="159"/>
      <c r="J91" s="802">
        <f t="shared" si="8"/>
        <v>0</v>
      </c>
      <c r="K91" s="21"/>
      <c r="L91" s="38"/>
      <c r="M91" s="907"/>
      <c r="N91" s="12"/>
      <c r="O91"/>
      <c r="P91"/>
      <c r="Q91"/>
      <c r="R91"/>
      <c r="S91"/>
      <c r="T91"/>
      <c r="U91">
        <v>61606</v>
      </c>
      <c r="V91" s="510" t="s">
        <v>6889</v>
      </c>
      <c r="W91" s="511" t="s">
        <v>5481</v>
      </c>
    </row>
    <row r="92" spans="1:23" ht="12.75" hidden="1" customHeight="1">
      <c r="A92" s="12"/>
      <c r="B92" s="8"/>
      <c r="C92" s="8" t="str">
        <f>Language!C543</f>
        <v>Tubo - rede de resfriamento secundario</v>
      </c>
      <c r="D92" s="21" t="str">
        <f>'Carga e Rede'!C187</f>
        <v>m</v>
      </c>
      <c r="E92" s="88">
        <f>'Carga e Rede'!D187</f>
        <v>0</v>
      </c>
      <c r="F92" s="1347" t="s">
        <v>637</v>
      </c>
      <c r="G92" s="1347">
        <f>IF('Carga e Rede'!$D$191='Carga e Rede'!$G$264,'Carga e Rede'!D200,'Carga e Rede'!D201)*HideCodeCA_Cool_ETS</f>
        <v>0</v>
      </c>
      <c r="H92" s="166"/>
      <c r="I92" s="159"/>
      <c r="J92" s="802">
        <f t="shared" si="8"/>
        <v>0</v>
      </c>
      <c r="K92" s="21"/>
      <c r="L92" s="38"/>
      <c r="M92" s="907"/>
      <c r="N92" s="12"/>
      <c r="O92"/>
      <c r="P92"/>
      <c r="Q92"/>
      <c r="R92"/>
      <c r="S92"/>
      <c r="T92"/>
      <c r="U92">
        <v>61608</v>
      </c>
      <c r="V92" s="510" t="s">
        <v>24</v>
      </c>
      <c r="W92" s="511" t="s">
        <v>4526</v>
      </c>
    </row>
    <row r="93" spans="1:23" ht="12.75" hidden="1" customHeight="1">
      <c r="A93" s="12"/>
      <c r="B93" s="8"/>
      <c r="C93" s="8" t="str">
        <f>C68</f>
        <v>Ações de Eficiência energética</v>
      </c>
      <c r="D93" s="21" t="str">
        <f>$D$28</f>
        <v>projeto</v>
      </c>
      <c r="E93" s="307"/>
      <c r="F93" s="1346"/>
      <c r="G93" s="1347">
        <f>E93*F93*HideCodeCA_cool</f>
        <v>0</v>
      </c>
      <c r="H93" s="166"/>
      <c r="I93" s="159"/>
      <c r="J93" s="802">
        <f t="shared" si="8"/>
        <v>0</v>
      </c>
      <c r="K93" s="21"/>
      <c r="L93" s="38"/>
      <c r="M93" s="907"/>
      <c r="N93" s="12"/>
      <c r="O93"/>
      <c r="P93"/>
      <c r="Q93"/>
      <c r="R93"/>
      <c r="S93"/>
      <c r="T93"/>
      <c r="U93">
        <v>61610</v>
      </c>
      <c r="V93" s="510" t="s">
        <v>6890</v>
      </c>
      <c r="W93" s="511" t="s">
        <v>3171</v>
      </c>
    </row>
    <row r="94" spans="1:23" ht="12.75" hidden="1" customHeight="1">
      <c r="A94" s="12"/>
      <c r="B94" s="8"/>
      <c r="C94" s="792" t="str">
        <f>F273</f>
        <v>Definido pelo usuário</v>
      </c>
      <c r="D94" s="303" t="s">
        <v>6171</v>
      </c>
      <c r="E94" s="307"/>
      <c r="F94" s="1346"/>
      <c r="G94" s="1347">
        <f>IF(D94=$C$261,-1,1)*E94*F94</f>
        <v>0</v>
      </c>
      <c r="H94" s="166"/>
      <c r="I94" s="159"/>
      <c r="J94" s="802">
        <f t="shared" si="8"/>
        <v>0</v>
      </c>
      <c r="K94" s="21"/>
      <c r="L94" s="38"/>
      <c r="M94" s="907"/>
      <c r="N94" s="12"/>
      <c r="O94"/>
      <c r="P94"/>
      <c r="Q94"/>
      <c r="R94"/>
      <c r="S94"/>
      <c r="T94"/>
      <c r="U94">
        <v>61142</v>
      </c>
      <c r="V94" s="510" t="s">
        <v>6891</v>
      </c>
      <c r="W94" s="511" t="s">
        <v>5481</v>
      </c>
    </row>
    <row r="95" spans="1:23" ht="12.75" hidden="1" customHeight="1" thickBot="1">
      <c r="A95" s="12"/>
      <c r="B95" s="8"/>
      <c r="C95" s="792"/>
      <c r="D95" s="303"/>
      <c r="E95" s="307"/>
      <c r="F95" s="1346"/>
      <c r="G95" s="1347">
        <f>IF(D95=$C$261,-1,1)*E95*F95</f>
        <v>0</v>
      </c>
      <c r="H95" s="166"/>
      <c r="I95" s="159"/>
      <c r="J95" s="886">
        <f t="shared" si="8"/>
        <v>0</v>
      </c>
      <c r="K95" s="21"/>
      <c r="L95" s="38"/>
      <c r="M95" s="907"/>
      <c r="N95" s="12"/>
      <c r="O95"/>
      <c r="P95"/>
      <c r="Q95"/>
      <c r="R95"/>
      <c r="S95"/>
      <c r="T95"/>
      <c r="U95">
        <v>61142</v>
      </c>
      <c r="V95" s="510" t="s">
        <v>4609</v>
      </c>
      <c r="W95" s="511" t="s">
        <v>5480</v>
      </c>
    </row>
    <row r="96" spans="1:23" ht="12.75" hidden="1" customHeight="1" thickTop="1">
      <c r="A96" s="12"/>
      <c r="B96" s="8"/>
      <c r="C96" s="8" t="str">
        <f>Language!C518</f>
        <v>Subtotal</v>
      </c>
      <c r="D96" s="8"/>
      <c r="E96" s="8"/>
      <c r="F96" s="1347"/>
      <c r="G96" s="1353">
        <f>SUM(G87:G95)*HideCodeCA_cool</f>
        <v>0</v>
      </c>
      <c r="H96" s="649">
        <f ca="1">IF(G199=0,"",G96/$G$199)</f>
        <v>0</v>
      </c>
      <c r="I96" s="168">
        <f>IF(J96=0,0,J96*$Q$9/G96)</f>
        <v>0</v>
      </c>
      <c r="J96" s="802">
        <f>SUM(J87:J95)*HideCodeCA_cool</f>
        <v>0</v>
      </c>
      <c r="K96" s="21"/>
      <c r="L96" s="38"/>
      <c r="M96" s="29"/>
      <c r="N96" s="12"/>
      <c r="O96"/>
      <c r="P96"/>
      <c r="Q96">
        <f>IF(HideCodeCA_ProjectT=1,IF(D100="",10,VLOOKUP(D100,F261:G272,2,FALSE)),10)</f>
        <v>10</v>
      </c>
      <c r="R96" t="s">
        <v>1120</v>
      </c>
      <c r="S96"/>
      <c r="T96"/>
      <c r="U96">
        <v>61600</v>
      </c>
      <c r="V96" s="510" t="s">
        <v>4494</v>
      </c>
      <c r="W96" s="511" t="s">
        <v>5829</v>
      </c>
    </row>
    <row r="97" spans="1:23" ht="12.75" hidden="1" customHeight="1">
      <c r="A97" s="727"/>
      <c r="B97" s="1171" t="str">
        <f>IF(O9=900,F270,C68)</f>
        <v>Ações de Eficiência energética</v>
      </c>
      <c r="C97" s="1171"/>
      <c r="D97" s="8"/>
      <c r="E97" s="8"/>
      <c r="F97" s="1347"/>
      <c r="G97" s="1347"/>
      <c r="H97" s="166"/>
      <c r="I97" s="8"/>
      <c r="J97" s="802"/>
      <c r="K97" s="21"/>
      <c r="L97" s="38"/>
      <c r="M97" s="29"/>
      <c r="N97" s="12"/>
      <c r="O97"/>
      <c r="P97"/>
      <c r="Q97">
        <f>Q98</f>
        <v>0</v>
      </c>
      <c r="R97"/>
      <c r="S97"/>
      <c r="T97"/>
      <c r="U97">
        <v>61690</v>
      </c>
      <c r="V97" s="510" t="s">
        <v>6894</v>
      </c>
      <c r="W97" s="511" t="s">
        <v>5831</v>
      </c>
    </row>
    <row r="98" spans="1:23" ht="12.75" hidden="1" customHeight="1">
      <c r="A98" s="12"/>
      <c r="B98" s="153"/>
      <c r="C98" s="8" t="str">
        <f>C15</f>
        <v>Custo inicial incremental</v>
      </c>
      <c r="D98" s="8"/>
      <c r="E98" s="8"/>
      <c r="F98" s="1347"/>
      <c r="G98" s="1354">
        <f>G15</f>
        <v>0</v>
      </c>
      <c r="H98" s="710">
        <f ca="1">IF(G199=0,"",G98/$G$199)</f>
        <v>0</v>
      </c>
      <c r="I98" s="159"/>
      <c r="J98" s="802">
        <f>G98/$Q$9*I98</f>
        <v>0</v>
      </c>
      <c r="K98" s="21"/>
      <c r="L98" s="38"/>
      <c r="M98" s="907"/>
      <c r="N98" s="12"/>
      <c r="O98"/>
      <c r="P98"/>
      <c r="Q98">
        <f>O15*IF(HideCodeCA_ProjectT=2,0,1)</f>
        <v>0</v>
      </c>
      <c r="R98"/>
      <c r="S98"/>
      <c r="T98"/>
      <c r="U98">
        <v>61692</v>
      </c>
      <c r="V98" s="510" t="s">
        <v>6882</v>
      </c>
      <c r="W98" s="511" t="s">
        <v>5481</v>
      </c>
    </row>
    <row r="99" spans="1:23" ht="12.75" customHeight="1">
      <c r="A99" s="727"/>
      <c r="B99" s="1171" t="str">
        <f>Language!C545</f>
        <v>Balanço do sistema e misc.</v>
      </c>
      <c r="C99" s="1171"/>
      <c r="D99" s="8"/>
      <c r="E99" s="8"/>
      <c r="F99" s="1347"/>
      <c r="G99" s="1347"/>
      <c r="H99" s="166"/>
      <c r="I99" s="8"/>
      <c r="J99" s="802"/>
      <c r="K99" s="21"/>
      <c r="L99" s="38"/>
      <c r="M99" s="907"/>
      <c r="N99" s="12"/>
      <c r="O99"/>
      <c r="P99"/>
      <c r="Q99">
        <v>1</v>
      </c>
      <c r="R99"/>
      <c r="S99"/>
      <c r="T99"/>
      <c r="U99">
        <v>61700</v>
      </c>
      <c r="V99" s="510" t="s">
        <v>6892</v>
      </c>
      <c r="W99" s="511" t="s">
        <v>5830</v>
      </c>
    </row>
    <row r="100" spans="1:23" hidden="1">
      <c r="A100" s="12"/>
      <c r="B100" s="8"/>
      <c r="C100" s="8" t="str">
        <f>Language!C546</f>
        <v>Custos específicos do projeto</v>
      </c>
      <c r="D100" s="1133" t="s">
        <v>6173</v>
      </c>
      <c r="E100" s="1134"/>
      <c r="F100" s="1355"/>
      <c r="G100" s="1347"/>
      <c r="H100" s="166"/>
      <c r="I100" s="8"/>
      <c r="J100" s="802"/>
      <c r="K100" s="21"/>
      <c r="L100" s="38"/>
      <c r="M100" s="907"/>
      <c r="N100" s="12"/>
      <c r="O100"/>
      <c r="P100"/>
      <c r="Q100">
        <f>IF(Q7=TRUE,1,0)</f>
        <v>0</v>
      </c>
      <c r="R100"/>
      <c r="S100"/>
      <c r="T100"/>
      <c r="U100">
        <v>61702</v>
      </c>
      <c r="V100" s="510" t="s">
        <v>6874</v>
      </c>
      <c r="W100" s="511" t="s">
        <v>3949</v>
      </c>
    </row>
    <row r="101" spans="1:23" hidden="1">
      <c r="A101" s="12"/>
      <c r="B101" s="8"/>
      <c r="C101" s="8" t="str">
        <f>Language!C548</f>
        <v>Campo de captação do GFL</v>
      </c>
      <c r="D101" s="303" t="s">
        <v>5569</v>
      </c>
      <c r="E101" s="307"/>
      <c r="F101" s="1346"/>
      <c r="G101" s="1347">
        <f>E101*F101*Q101</f>
        <v>0</v>
      </c>
      <c r="H101" s="166"/>
      <c r="I101" s="159"/>
      <c r="J101" s="802">
        <f t="shared" ref="J101:J162" si="9">G101/$Q$9*I101</f>
        <v>0</v>
      </c>
      <c r="K101" s="21"/>
      <c r="L101" s="38"/>
      <c r="M101" s="907"/>
      <c r="N101" s="12"/>
      <c r="O101"/>
      <c r="P101"/>
      <c r="Q101">
        <f>IF(HideCodeCA_BP=R101,1,0)*O204</f>
        <v>0</v>
      </c>
      <c r="R101">
        <v>1</v>
      </c>
      <c r="S101"/>
      <c r="T101"/>
      <c r="U101">
        <v>61730</v>
      </c>
      <c r="V101" s="510" t="s">
        <v>6893</v>
      </c>
      <c r="W101" s="511" t="s">
        <v>134</v>
      </c>
    </row>
    <row r="102" spans="1:23" hidden="1">
      <c r="A102" s="12"/>
      <c r="B102" s="8"/>
      <c r="C102" s="8" t="str">
        <f>Language!C549</f>
        <v>Tubos de captação do biogás</v>
      </c>
      <c r="D102" s="303" t="s">
        <v>5569</v>
      </c>
      <c r="E102" s="307"/>
      <c r="F102" s="1346"/>
      <c r="G102" s="1347">
        <f>E102*F102*Q102</f>
        <v>0</v>
      </c>
      <c r="H102" s="166"/>
      <c r="I102" s="159"/>
      <c r="J102" s="802">
        <f t="shared" si="9"/>
        <v>0</v>
      </c>
      <c r="K102" s="21"/>
      <c r="L102" s="38"/>
      <c r="M102" s="907"/>
      <c r="N102" s="12"/>
      <c r="O102"/>
      <c r="P102"/>
      <c r="Q102">
        <f>IF(HideCodeCA_BP=R102,1,0)*O204</f>
        <v>0</v>
      </c>
      <c r="R102">
        <v>1</v>
      </c>
      <c r="S102"/>
      <c r="T102"/>
      <c r="U102">
        <v>61731</v>
      </c>
      <c r="V102" s="510" t="s">
        <v>25</v>
      </c>
      <c r="W102" s="511" t="s">
        <v>5099</v>
      </c>
    </row>
    <row r="103" spans="1:23" hidden="1">
      <c r="A103" s="12"/>
      <c r="B103" s="8"/>
      <c r="C103" s="8" t="str">
        <f>Language!C550</f>
        <v>Sist. drenagem do condensado do GFL</v>
      </c>
      <c r="D103" s="21" t="str">
        <f>$D$28</f>
        <v>projeto</v>
      </c>
      <c r="E103" s="307"/>
      <c r="F103" s="1346"/>
      <c r="G103" s="1347">
        <f>E103*F103*Q103</f>
        <v>0</v>
      </c>
      <c r="H103" s="166"/>
      <c r="I103" s="159"/>
      <c r="J103" s="802">
        <f t="shared" si="9"/>
        <v>0</v>
      </c>
      <c r="K103" s="21"/>
      <c r="L103" s="38"/>
      <c r="M103" s="907"/>
      <c r="N103" s="12"/>
      <c r="O103"/>
      <c r="P103"/>
      <c r="Q103">
        <f>IF(HideCodeCA_BP=R103,1,0)*O204</f>
        <v>0</v>
      </c>
      <c r="R103">
        <v>1</v>
      </c>
      <c r="S103"/>
      <c r="T103"/>
      <c r="U103">
        <v>61732</v>
      </c>
      <c r="V103" s="510" t="s">
        <v>6933</v>
      </c>
      <c r="W103" s="511" t="s">
        <v>5481</v>
      </c>
    </row>
    <row r="104" spans="1:23" hidden="1">
      <c r="A104" s="12"/>
      <c r="B104" s="8"/>
      <c r="C104" s="8" t="str">
        <f>Language!C551</f>
        <v>Sistema do soprador de biogás e misc.</v>
      </c>
      <c r="D104" s="303" t="s">
        <v>99</v>
      </c>
      <c r="E104" s="307"/>
      <c r="F104" s="1346"/>
      <c r="G104" s="1347">
        <f>E104*F104*Q104</f>
        <v>0</v>
      </c>
      <c r="H104" s="166"/>
      <c r="I104" s="159"/>
      <c r="J104" s="802">
        <f t="shared" si="9"/>
        <v>0</v>
      </c>
      <c r="K104" s="21"/>
      <c r="L104" s="38"/>
      <c r="M104" s="907"/>
      <c r="N104" s="12"/>
      <c r="O104"/>
      <c r="P104"/>
      <c r="Q104">
        <f>IF(HideCodeCA_BP=R104,1,0)*O204</f>
        <v>0</v>
      </c>
      <c r="R104">
        <v>1</v>
      </c>
      <c r="S104"/>
      <c r="T104"/>
      <c r="U104">
        <v>61733</v>
      </c>
      <c r="V104" s="510" t="s">
        <v>749</v>
      </c>
      <c r="W104" s="511" t="s">
        <v>4895</v>
      </c>
    </row>
    <row r="105" spans="1:23" hidden="1">
      <c r="A105" s="12"/>
      <c r="B105" s="8"/>
      <c r="C105" s="8" t="str">
        <f>Language!C552</f>
        <v>Queima do biogás</v>
      </c>
      <c r="D105" s="303" t="s">
        <v>99</v>
      </c>
      <c r="E105" s="307"/>
      <c r="F105" s="1346"/>
      <c r="G105" s="1347">
        <f>E105*F105*Q105</f>
        <v>0</v>
      </c>
      <c r="H105" s="166"/>
      <c r="I105" s="159"/>
      <c r="J105" s="802">
        <f t="shared" si="9"/>
        <v>0</v>
      </c>
      <c r="K105" s="21"/>
      <c r="L105" s="38"/>
      <c r="M105" s="907"/>
      <c r="N105" s="12"/>
      <c r="O105"/>
      <c r="P105"/>
      <c r="Q105">
        <f>IF(HideCodeCA_BP=R105,1,0)*O204</f>
        <v>0</v>
      </c>
      <c r="R105">
        <v>1</v>
      </c>
      <c r="S105"/>
      <c r="T105"/>
      <c r="U105">
        <v>61734</v>
      </c>
      <c r="V105" s="510" t="s">
        <v>750</v>
      </c>
      <c r="W105" s="511" t="s">
        <v>4896</v>
      </c>
    </row>
    <row r="106" spans="1:23" hidden="1">
      <c r="A106" s="12"/>
      <c r="B106" s="8"/>
      <c r="C106" s="792" t="str">
        <f>F273</f>
        <v>Definido pelo usuário</v>
      </c>
      <c r="D106" s="303" t="s">
        <v>6171</v>
      </c>
      <c r="E106" s="307"/>
      <c r="F106" s="1346"/>
      <c r="G106" s="1347">
        <f>IF(D106=$C$261,-1,1)*E106*F106*Q106</f>
        <v>0</v>
      </c>
      <c r="H106" s="166"/>
      <c r="I106" s="159"/>
      <c r="J106" s="802">
        <f t="shared" si="9"/>
        <v>0</v>
      </c>
      <c r="K106" s="21"/>
      <c r="L106" s="38"/>
      <c r="M106" s="907"/>
      <c r="N106" s="12"/>
      <c r="O106"/>
      <c r="P106"/>
      <c r="Q106">
        <v>0</v>
      </c>
      <c r="R106">
        <v>1</v>
      </c>
      <c r="S106"/>
      <c r="T106"/>
      <c r="U106">
        <v>61142</v>
      </c>
      <c r="V106" s="510" t="s">
        <v>6897</v>
      </c>
      <c r="W106" s="511" t="s">
        <v>4897</v>
      </c>
    </row>
    <row r="107" spans="1:23" hidden="1">
      <c r="A107" s="12"/>
      <c r="B107" s="8"/>
      <c r="C107" s="792"/>
      <c r="D107" s="303"/>
      <c r="E107" s="307"/>
      <c r="F107" s="1346"/>
      <c r="G107" s="1347">
        <f>IF(D107=$C$261,-1,1)*E107*F107*Q107</f>
        <v>0</v>
      </c>
      <c r="H107" s="166"/>
      <c r="I107" s="159"/>
      <c r="J107" s="802">
        <f t="shared" si="9"/>
        <v>0</v>
      </c>
      <c r="K107" s="21"/>
      <c r="L107" s="38"/>
      <c r="M107" s="907"/>
      <c r="N107" s="12"/>
      <c r="O107"/>
      <c r="P107"/>
      <c r="Q107">
        <v>0</v>
      </c>
      <c r="R107">
        <v>1</v>
      </c>
      <c r="S107"/>
      <c r="T107"/>
      <c r="U107">
        <v>61142</v>
      </c>
      <c r="V107" s="510" t="s">
        <v>6998</v>
      </c>
      <c r="W107" s="511" t="s">
        <v>2749</v>
      </c>
    </row>
    <row r="108" spans="1:23" hidden="1">
      <c r="A108" s="12"/>
      <c r="B108" s="8"/>
      <c r="C108" s="8" t="str">
        <f>Language!C553</f>
        <v>Equipamento de transporte</v>
      </c>
      <c r="D108" s="21" t="str">
        <f>$D$28</f>
        <v>projeto</v>
      </c>
      <c r="E108" s="307"/>
      <c r="F108" s="1346"/>
      <c r="G108" s="1347">
        <f>E108*F108*Q108</f>
        <v>0</v>
      </c>
      <c r="H108" s="166"/>
      <c r="I108" s="159"/>
      <c r="J108" s="802">
        <f t="shared" si="9"/>
        <v>0</v>
      </c>
      <c r="K108" s="21"/>
      <c r="L108" s="38"/>
      <c r="M108" s="907"/>
      <c r="N108" s="12"/>
      <c r="O108"/>
      <c r="P108"/>
      <c r="Q108">
        <f>IF(HideCodeCA_BP=R108,1,0)*O204</f>
        <v>0</v>
      </c>
      <c r="R108">
        <v>2</v>
      </c>
      <c r="S108"/>
      <c r="T108"/>
      <c r="U108">
        <v>61704</v>
      </c>
      <c r="V108" s="510" t="s">
        <v>6853</v>
      </c>
      <c r="W108" s="511" t="s">
        <v>3690</v>
      </c>
    </row>
    <row r="109" spans="1:23" hidden="1">
      <c r="A109" s="12"/>
      <c r="B109" s="8"/>
      <c r="C109" s="8" t="str">
        <f>Language!C554</f>
        <v>Equipamento de Preparação</v>
      </c>
      <c r="D109" s="21" t="str">
        <f>$D$28</f>
        <v>projeto</v>
      </c>
      <c r="E109" s="307"/>
      <c r="F109" s="1346"/>
      <c r="G109" s="1347">
        <f>E109*F109*Q109</f>
        <v>0</v>
      </c>
      <c r="H109" s="166"/>
      <c r="I109" s="159"/>
      <c r="J109" s="802">
        <f t="shared" si="9"/>
        <v>0</v>
      </c>
      <c r="K109" s="21"/>
      <c r="L109" s="38"/>
      <c r="M109" s="907"/>
      <c r="N109" s="12"/>
      <c r="O109"/>
      <c r="P109"/>
      <c r="Q109">
        <f>IF(HideCodeCA_BP=R109,1,0)*O204</f>
        <v>0</v>
      </c>
      <c r="R109">
        <v>2</v>
      </c>
      <c r="S109"/>
      <c r="T109"/>
      <c r="U109">
        <v>61705</v>
      </c>
      <c r="V109" s="510" t="s">
        <v>6864</v>
      </c>
      <c r="W109" s="511" t="s">
        <v>3851</v>
      </c>
    </row>
    <row r="110" spans="1:23" hidden="1">
      <c r="A110" s="12"/>
      <c r="B110" s="8"/>
      <c r="C110" s="8" t="str">
        <f>Language!C555</f>
        <v>Equipos p/ armazenamento</v>
      </c>
      <c r="D110" s="21" t="str">
        <f>$D$28</f>
        <v>projeto</v>
      </c>
      <c r="E110" s="307"/>
      <c r="F110" s="1346"/>
      <c r="G110" s="1347">
        <f>E110*F110*Q110</f>
        <v>0</v>
      </c>
      <c r="H110" s="166"/>
      <c r="I110" s="159"/>
      <c r="J110" s="802">
        <f t="shared" si="9"/>
        <v>0</v>
      </c>
      <c r="K110" s="21"/>
      <c r="L110" s="38"/>
      <c r="M110" s="907"/>
      <c r="N110" s="12"/>
      <c r="O110"/>
      <c r="P110"/>
      <c r="Q110">
        <f>IF(HideCodeCA_BP=R110,1,0)*O204</f>
        <v>0</v>
      </c>
      <c r="R110">
        <v>2</v>
      </c>
      <c r="S110"/>
      <c r="T110"/>
      <c r="U110">
        <v>61706</v>
      </c>
      <c r="V110" s="510" t="s">
        <v>6940</v>
      </c>
      <c r="W110" s="511" t="s">
        <v>3851</v>
      </c>
    </row>
    <row r="111" spans="1:23" hidden="1">
      <c r="A111" s="12"/>
      <c r="B111" s="8"/>
      <c r="C111" s="8" t="str">
        <f>Language!C556</f>
        <v>Equipos de distribuição</v>
      </c>
      <c r="D111" s="21" t="str">
        <f>$D$28</f>
        <v>projeto</v>
      </c>
      <c r="E111" s="307"/>
      <c r="F111" s="1346"/>
      <c r="G111" s="1347">
        <f>E111*F111*Q111</f>
        <v>0</v>
      </c>
      <c r="H111" s="166"/>
      <c r="I111" s="159"/>
      <c r="J111" s="802">
        <f t="shared" si="9"/>
        <v>0</v>
      </c>
      <c r="K111" s="21"/>
      <c r="L111" s="38"/>
      <c r="M111" s="907"/>
      <c r="N111" s="12"/>
      <c r="O111"/>
      <c r="P111"/>
      <c r="Q111">
        <f>IF(HideCodeCA_BP=R111,1,0)*O204</f>
        <v>0</v>
      </c>
      <c r="R111">
        <v>2</v>
      </c>
      <c r="S111"/>
      <c r="T111"/>
      <c r="U111">
        <v>61707</v>
      </c>
      <c r="V111" s="510" t="s">
        <v>6861</v>
      </c>
      <c r="W111" s="511" t="s">
        <v>5965</v>
      </c>
    </row>
    <row r="112" spans="1:23" hidden="1">
      <c r="A112" s="12"/>
      <c r="B112" s="8"/>
      <c r="C112" s="792" t="str">
        <f>F273</f>
        <v>Definido pelo usuário</v>
      </c>
      <c r="D112" s="303" t="s">
        <v>6171</v>
      </c>
      <c r="E112" s="307"/>
      <c r="F112" s="1346"/>
      <c r="G112" s="1347">
        <f>IF(D112=$C$261,-1,1)*E112*F112*Q112</f>
        <v>0</v>
      </c>
      <c r="H112" s="166"/>
      <c r="I112" s="159"/>
      <c r="J112" s="802">
        <f t="shared" si="9"/>
        <v>0</v>
      </c>
      <c r="K112" s="21"/>
      <c r="L112" s="38"/>
      <c r="M112" s="907"/>
      <c r="N112" s="12"/>
      <c r="O112"/>
      <c r="P112"/>
      <c r="Q112">
        <v>0</v>
      </c>
      <c r="R112">
        <v>2</v>
      </c>
      <c r="S112"/>
      <c r="T112"/>
      <c r="U112">
        <v>61142</v>
      </c>
      <c r="V112" s="510" t="s">
        <v>6865</v>
      </c>
      <c r="W112" s="511" t="s">
        <v>3851</v>
      </c>
    </row>
    <row r="113" spans="1:23" hidden="1">
      <c r="A113" s="12"/>
      <c r="B113" s="8"/>
      <c r="C113" s="792"/>
      <c r="D113" s="303"/>
      <c r="E113" s="307"/>
      <c r="F113" s="1346"/>
      <c r="G113" s="1347">
        <f>IF(D113=$C$261,-1,1)*E113*F113*Q113</f>
        <v>0</v>
      </c>
      <c r="H113" s="166"/>
      <c r="I113" s="159"/>
      <c r="J113" s="802">
        <f t="shared" si="9"/>
        <v>0</v>
      </c>
      <c r="K113" s="21"/>
      <c r="L113" s="38"/>
      <c r="M113" s="907"/>
      <c r="N113" s="12"/>
      <c r="O113"/>
      <c r="P113"/>
      <c r="Q113">
        <v>0</v>
      </c>
      <c r="R113">
        <v>2</v>
      </c>
      <c r="S113"/>
      <c r="T113"/>
      <c r="U113">
        <v>61142</v>
      </c>
      <c r="V113" s="510" t="s">
        <v>6868</v>
      </c>
      <c r="W113" s="511" t="s">
        <v>4891</v>
      </c>
    </row>
    <row r="114" spans="1:23" hidden="1">
      <c r="A114" s="12"/>
      <c r="B114" s="8"/>
      <c r="C114" s="8" t="str">
        <f>Language!C2089</f>
        <v>Fundação da turbina eólica</v>
      </c>
      <c r="D114" s="21" t="str">
        <f>Language!C2043</f>
        <v>turbina</v>
      </c>
      <c r="E114" s="307"/>
      <c r="F114" s="1346"/>
      <c r="G114" s="1347">
        <f>E114*F114*Q114</f>
        <v>0</v>
      </c>
      <c r="H114" s="166"/>
      <c r="I114" s="159"/>
      <c r="J114" s="802">
        <f t="shared" si="9"/>
        <v>0</v>
      </c>
      <c r="K114" s="21"/>
      <c r="L114" s="38"/>
      <c r="M114" s="907"/>
      <c r="N114" s="12"/>
      <c r="O114"/>
      <c r="P114"/>
      <c r="Q114">
        <f t="shared" ref="Q114:Q145" si="10">IF($Q$96=R114,1,0)*$O$204</f>
        <v>0</v>
      </c>
      <c r="R114">
        <v>3</v>
      </c>
      <c r="S114"/>
      <c r="T114"/>
      <c r="U114">
        <v>61790</v>
      </c>
      <c r="V114" s="510" t="s">
        <v>6879</v>
      </c>
      <c r="W114" s="511" t="s">
        <v>3171</v>
      </c>
    </row>
    <row r="115" spans="1:23" hidden="1">
      <c r="A115" s="12"/>
      <c r="B115" s="8"/>
      <c r="C115" s="8" t="str">
        <f>Language!C2088</f>
        <v>Construção da turbina eólica</v>
      </c>
      <c r="D115" s="21" t="str">
        <f>D114</f>
        <v>turbina</v>
      </c>
      <c r="E115" s="307"/>
      <c r="F115" s="1346"/>
      <c r="G115" s="1347">
        <f>E115*F115*Q115</f>
        <v>0</v>
      </c>
      <c r="H115" s="166"/>
      <c r="I115" s="159"/>
      <c r="J115" s="802">
        <f t="shared" si="9"/>
        <v>0</v>
      </c>
      <c r="K115" s="21"/>
      <c r="L115" s="38"/>
      <c r="M115" s="907"/>
      <c r="N115" s="12"/>
      <c r="O115"/>
      <c r="P115"/>
      <c r="Q115">
        <f t="shared" si="10"/>
        <v>0</v>
      </c>
      <c r="R115">
        <v>3</v>
      </c>
      <c r="S115"/>
      <c r="T115"/>
      <c r="U115">
        <v>61791</v>
      </c>
      <c r="V115" s="510" t="s">
        <v>6895</v>
      </c>
      <c r="W115" s="511" t="s">
        <v>3851</v>
      </c>
    </row>
    <row r="116" spans="1:23" hidden="1">
      <c r="A116" s="12"/>
      <c r="B116" s="8"/>
      <c r="C116" s="792" t="str">
        <f>F273</f>
        <v>Definido pelo usuário</v>
      </c>
      <c r="D116" s="303" t="s">
        <v>6171</v>
      </c>
      <c r="E116" s="307"/>
      <c r="F116" s="1346"/>
      <c r="G116" s="1347">
        <f>IF(D116=$C$261,-1,1)*E116*F116*Q116</f>
        <v>0</v>
      </c>
      <c r="H116" s="166"/>
      <c r="I116" s="159"/>
      <c r="J116" s="802">
        <f t="shared" si="9"/>
        <v>0</v>
      </c>
      <c r="K116" s="21"/>
      <c r="L116" s="38"/>
      <c r="M116" s="907"/>
      <c r="N116" s="12"/>
      <c r="O116"/>
      <c r="P116"/>
      <c r="Q116">
        <v>0</v>
      </c>
      <c r="R116">
        <v>3</v>
      </c>
      <c r="S116"/>
      <c r="T116"/>
      <c r="U116">
        <v>61142</v>
      </c>
      <c r="V116" s="510" t="s">
        <v>6878</v>
      </c>
      <c r="W116" s="511" t="s">
        <v>5822</v>
      </c>
    </row>
    <row r="117" spans="1:23" hidden="1">
      <c r="A117" s="12"/>
      <c r="B117" s="8"/>
      <c r="C117" s="792"/>
      <c r="D117" s="303"/>
      <c r="E117" s="307"/>
      <c r="F117" s="1346"/>
      <c r="G117" s="1347">
        <f>IF(D117=$C$261,-1,1)*E117*F117*Q117</f>
        <v>0</v>
      </c>
      <c r="H117" s="166"/>
      <c r="I117" s="159"/>
      <c r="J117" s="802">
        <f t="shared" si="9"/>
        <v>0</v>
      </c>
      <c r="K117" s="21"/>
      <c r="L117" s="38"/>
      <c r="M117" s="907"/>
      <c r="N117" s="12"/>
      <c r="O117"/>
      <c r="P117"/>
      <c r="Q117">
        <v>0</v>
      </c>
      <c r="R117">
        <v>3</v>
      </c>
      <c r="S117"/>
      <c r="T117"/>
      <c r="U117">
        <v>61142</v>
      </c>
      <c r="V117" s="510" t="s">
        <v>6931</v>
      </c>
      <c r="W117" s="511" t="s">
        <v>5480</v>
      </c>
    </row>
    <row r="118" spans="1:23" hidden="1">
      <c r="A118" s="12"/>
      <c r="B118" s="8"/>
      <c r="C118" s="526" t="str">
        <f>Language!C1537</f>
        <v>Limpeza</v>
      </c>
      <c r="D118" s="303" t="s">
        <v>3650</v>
      </c>
      <c r="E118" s="395"/>
      <c r="F118" s="1346"/>
      <c r="G118" s="1347">
        <f t="shared" ref="G118:G131" si="11">E118*F118*Q118</f>
        <v>0</v>
      </c>
      <c r="H118" s="166"/>
      <c r="I118" s="159"/>
      <c r="J118" s="802">
        <f t="shared" si="9"/>
        <v>0</v>
      </c>
      <c r="K118" s="21"/>
      <c r="L118" s="38"/>
      <c r="M118" s="907"/>
      <c r="N118" s="12"/>
      <c r="O118"/>
      <c r="P118"/>
      <c r="Q118">
        <f t="shared" si="10"/>
        <v>0</v>
      </c>
      <c r="R118">
        <v>4</v>
      </c>
      <c r="S118"/>
      <c r="T118"/>
      <c r="U118">
        <v>61712</v>
      </c>
      <c r="V118" s="510" t="s">
        <v>6920</v>
      </c>
      <c r="W118" s="511" t="s">
        <v>5480</v>
      </c>
    </row>
    <row r="119" spans="1:23" hidden="1">
      <c r="A119" s="12"/>
      <c r="B119" s="8"/>
      <c r="C119" s="526" t="str">
        <f>Language!C1615</f>
        <v>Escavação da terra</v>
      </c>
      <c r="D119" s="303" t="s">
        <v>5811</v>
      </c>
      <c r="E119" s="395"/>
      <c r="F119" s="1346"/>
      <c r="G119" s="1347">
        <f t="shared" si="11"/>
        <v>0</v>
      </c>
      <c r="H119" s="166"/>
      <c r="I119" s="159"/>
      <c r="J119" s="802">
        <f t="shared" si="9"/>
        <v>0</v>
      </c>
      <c r="K119" s="21"/>
      <c r="L119" s="38"/>
      <c r="M119" s="907"/>
      <c r="N119" s="12"/>
      <c r="O119"/>
      <c r="P119"/>
      <c r="Q119">
        <f t="shared" si="10"/>
        <v>0</v>
      </c>
      <c r="R119">
        <v>4</v>
      </c>
      <c r="S119"/>
      <c r="T119"/>
      <c r="U119">
        <v>61713</v>
      </c>
      <c r="V119" s="510" t="s">
        <v>6967</v>
      </c>
      <c r="W119" s="511" t="s">
        <v>3397</v>
      </c>
    </row>
    <row r="120" spans="1:23" hidden="1">
      <c r="A120" s="12"/>
      <c r="B120" s="8"/>
      <c r="C120" s="526" t="str">
        <f>Language!C1944</f>
        <v>Escavação de rochas</v>
      </c>
      <c r="D120" s="303" t="s">
        <v>5811</v>
      </c>
      <c r="E120" s="395"/>
      <c r="F120" s="1346"/>
      <c r="G120" s="1347">
        <f t="shared" si="11"/>
        <v>0</v>
      </c>
      <c r="H120" s="166"/>
      <c r="I120" s="159"/>
      <c r="J120" s="802">
        <f t="shared" si="9"/>
        <v>0</v>
      </c>
      <c r="K120" s="21"/>
      <c r="L120" s="38"/>
      <c r="M120" s="907"/>
      <c r="N120" s="12"/>
      <c r="O120"/>
      <c r="P120"/>
      <c r="Q120">
        <f t="shared" si="10"/>
        <v>0</v>
      </c>
      <c r="R120">
        <v>4</v>
      </c>
      <c r="S120"/>
      <c r="T120"/>
      <c r="U120">
        <v>61714</v>
      </c>
      <c r="V120" s="510" t="s">
        <v>6986</v>
      </c>
      <c r="W120" s="511" t="s">
        <v>5480</v>
      </c>
    </row>
    <row r="121" spans="1:23" hidden="1">
      <c r="A121" s="12"/>
      <c r="B121" s="8"/>
      <c r="C121" s="526" t="str">
        <f>Language!C1558</f>
        <v>Barragem de concreto</v>
      </c>
      <c r="D121" s="303" t="s">
        <v>5811</v>
      </c>
      <c r="E121" s="307"/>
      <c r="F121" s="1346"/>
      <c r="G121" s="1347">
        <f t="shared" si="11"/>
        <v>0</v>
      </c>
      <c r="H121" s="166"/>
      <c r="I121" s="159"/>
      <c r="J121" s="802">
        <f t="shared" si="9"/>
        <v>0</v>
      </c>
      <c r="K121" s="21"/>
      <c r="L121" s="38"/>
      <c r="M121" s="907"/>
      <c r="N121" s="12"/>
      <c r="O121"/>
      <c r="P121"/>
      <c r="Q121">
        <f t="shared" si="10"/>
        <v>0</v>
      </c>
      <c r="R121">
        <v>4</v>
      </c>
      <c r="S121"/>
      <c r="T121"/>
      <c r="U121">
        <v>61715</v>
      </c>
      <c r="V121" s="510" t="s">
        <v>6992</v>
      </c>
      <c r="W121" s="511" t="s">
        <v>5480</v>
      </c>
    </row>
    <row r="122" spans="1:23" hidden="1">
      <c r="A122" s="12"/>
      <c r="B122" s="8"/>
      <c r="C122" s="526" t="str">
        <f>Language!C2025</f>
        <v>Barragem com vigas de madeira</v>
      </c>
      <c r="D122" s="303" t="s">
        <v>5811</v>
      </c>
      <c r="E122" s="307"/>
      <c r="F122" s="1346"/>
      <c r="G122" s="1347">
        <f t="shared" si="11"/>
        <v>0</v>
      </c>
      <c r="H122" s="166"/>
      <c r="I122" s="159"/>
      <c r="J122" s="802">
        <f t="shared" si="9"/>
        <v>0</v>
      </c>
      <c r="K122" s="21"/>
      <c r="L122" s="38"/>
      <c r="M122" s="907"/>
      <c r="N122" s="12"/>
      <c r="O122"/>
      <c r="P122"/>
      <c r="Q122">
        <f t="shared" si="10"/>
        <v>0</v>
      </c>
      <c r="R122">
        <v>4</v>
      </c>
      <c r="S122"/>
      <c r="T122"/>
      <c r="U122">
        <v>61716</v>
      </c>
      <c r="V122" s="510" t="s">
        <v>6856</v>
      </c>
      <c r="W122" s="511" t="s">
        <v>5480</v>
      </c>
    </row>
    <row r="123" spans="1:23" hidden="1">
      <c r="A123" s="12"/>
      <c r="B123" s="8"/>
      <c r="C123" s="526" t="str">
        <f>Language!C1616</f>
        <v>Barragem de terra batida</v>
      </c>
      <c r="D123" s="303" t="s">
        <v>5811</v>
      </c>
      <c r="E123" s="307"/>
      <c r="F123" s="1346"/>
      <c r="G123" s="1347">
        <f t="shared" si="11"/>
        <v>0</v>
      </c>
      <c r="H123" s="166"/>
      <c r="I123" s="159"/>
      <c r="J123" s="802">
        <f t="shared" si="9"/>
        <v>0</v>
      </c>
      <c r="K123" s="21"/>
      <c r="L123" s="38"/>
      <c r="M123" s="907"/>
      <c r="N123" s="12"/>
      <c r="O123"/>
      <c r="P123"/>
      <c r="Q123">
        <f t="shared" si="10"/>
        <v>0</v>
      </c>
      <c r="R123">
        <v>4</v>
      </c>
      <c r="S123"/>
      <c r="T123"/>
      <c r="U123">
        <v>61717</v>
      </c>
      <c r="V123" s="510" t="s">
        <v>26</v>
      </c>
      <c r="W123" s="511" t="s">
        <v>677</v>
      </c>
    </row>
    <row r="124" spans="1:23" hidden="1">
      <c r="A124" s="12"/>
      <c r="B124" s="8"/>
      <c r="C124" s="526" t="str">
        <f>Language!C1596</f>
        <v>Desumidificação</v>
      </c>
      <c r="D124" s="21" t="str">
        <f>Language!C1306</f>
        <v>%</v>
      </c>
      <c r="E124" s="339"/>
      <c r="F124" s="1347">
        <f>G121</f>
        <v>0</v>
      </c>
      <c r="G124" s="1347">
        <f t="shared" si="11"/>
        <v>0</v>
      </c>
      <c r="H124" s="166"/>
      <c r="I124" s="159"/>
      <c r="J124" s="802">
        <f t="shared" si="9"/>
        <v>0</v>
      </c>
      <c r="K124" s="21"/>
      <c r="L124" s="38"/>
      <c r="M124" s="907"/>
      <c r="N124" s="12"/>
      <c r="O124"/>
      <c r="P124"/>
      <c r="Q124">
        <f t="shared" si="10"/>
        <v>0</v>
      </c>
      <c r="R124">
        <v>4</v>
      </c>
      <c r="S124"/>
      <c r="T124"/>
      <c r="U124">
        <v>61718</v>
      </c>
      <c r="V124" s="510" t="s">
        <v>6899</v>
      </c>
      <c r="W124" s="511" t="s">
        <v>1015</v>
      </c>
    </row>
    <row r="125" spans="1:23" hidden="1">
      <c r="A125" s="12"/>
      <c r="B125" s="8"/>
      <c r="C125" s="526" t="str">
        <f>Language!C1997</f>
        <v>Extravazador</v>
      </c>
      <c r="D125" s="303" t="s">
        <v>5811</v>
      </c>
      <c r="E125" s="307"/>
      <c r="F125" s="1346"/>
      <c r="G125" s="1347">
        <f t="shared" si="11"/>
        <v>0</v>
      </c>
      <c r="H125" s="166"/>
      <c r="I125" s="159"/>
      <c r="J125" s="802">
        <f t="shared" si="9"/>
        <v>0</v>
      </c>
      <c r="K125" s="21"/>
      <c r="L125" s="38"/>
      <c r="M125" s="907"/>
      <c r="N125" s="12"/>
      <c r="O125"/>
      <c r="P125"/>
      <c r="Q125">
        <f t="shared" si="10"/>
        <v>0</v>
      </c>
      <c r="R125">
        <v>4</v>
      </c>
      <c r="S125"/>
      <c r="T125"/>
      <c r="U125">
        <v>61719</v>
      </c>
      <c r="V125" s="510" t="s">
        <v>6900</v>
      </c>
      <c r="W125" s="511" t="s">
        <v>1815</v>
      </c>
    </row>
    <row r="126" spans="1:23" hidden="1">
      <c r="A126" s="12"/>
      <c r="B126" s="8"/>
      <c r="C126" s="526" t="str">
        <f>Language!C1514</f>
        <v>Canal</v>
      </c>
      <c r="D126" s="303" t="s">
        <v>5811</v>
      </c>
      <c r="E126" s="307"/>
      <c r="F126" s="1346"/>
      <c r="G126" s="1347">
        <f t="shared" si="11"/>
        <v>0</v>
      </c>
      <c r="H126" s="166"/>
      <c r="I126" s="159"/>
      <c r="J126" s="802">
        <f t="shared" si="9"/>
        <v>0</v>
      </c>
      <c r="K126" s="21"/>
      <c r="L126" s="38"/>
      <c r="M126" s="907"/>
      <c r="N126" s="12"/>
      <c r="O126"/>
      <c r="P126"/>
      <c r="Q126">
        <f t="shared" si="10"/>
        <v>0</v>
      </c>
      <c r="R126">
        <v>4</v>
      </c>
      <c r="S126"/>
      <c r="T126"/>
      <c r="U126">
        <v>61720</v>
      </c>
      <c r="V126" s="510" t="s">
        <v>6901</v>
      </c>
      <c r="W126" s="511" t="s">
        <v>1016</v>
      </c>
    </row>
    <row r="127" spans="1:23" hidden="1">
      <c r="A127" s="12"/>
      <c r="B127" s="8"/>
      <c r="C127" s="526" t="str">
        <f>Language!C1759</f>
        <v>Captação</v>
      </c>
      <c r="D127" s="303" t="s">
        <v>5811</v>
      </c>
      <c r="E127" s="307"/>
      <c r="F127" s="1346"/>
      <c r="G127" s="1347">
        <f t="shared" si="11"/>
        <v>0</v>
      </c>
      <c r="H127" s="166"/>
      <c r="I127" s="159"/>
      <c r="J127" s="802">
        <f t="shared" si="9"/>
        <v>0</v>
      </c>
      <c r="K127" s="21"/>
      <c r="L127" s="38"/>
      <c r="M127" s="907"/>
      <c r="N127" s="12"/>
      <c r="O127"/>
      <c r="P127"/>
      <c r="Q127">
        <f t="shared" si="10"/>
        <v>0</v>
      </c>
      <c r="R127">
        <v>4</v>
      </c>
      <c r="S127"/>
      <c r="T127"/>
      <c r="U127">
        <v>61721</v>
      </c>
      <c r="V127" s="510" t="s">
        <v>6902</v>
      </c>
      <c r="W127" s="511" t="s">
        <v>5481</v>
      </c>
    </row>
    <row r="128" spans="1:23" hidden="1">
      <c r="A128" s="12"/>
      <c r="B128" s="8"/>
      <c r="C128" s="526" t="str">
        <f>Language!C2042</f>
        <v>Tunel</v>
      </c>
      <c r="D128" s="303" t="s">
        <v>5811</v>
      </c>
      <c r="E128" s="307"/>
      <c r="F128" s="1346"/>
      <c r="G128" s="1347">
        <f t="shared" si="11"/>
        <v>0</v>
      </c>
      <c r="H128" s="166"/>
      <c r="I128" s="159"/>
      <c r="J128" s="802">
        <f t="shared" si="9"/>
        <v>0</v>
      </c>
      <c r="K128" s="21"/>
      <c r="L128" s="38"/>
      <c r="M128" s="907"/>
      <c r="N128" s="12"/>
      <c r="O128"/>
      <c r="P128"/>
      <c r="Q128">
        <f t="shared" si="10"/>
        <v>0</v>
      </c>
      <c r="R128">
        <v>4</v>
      </c>
      <c r="S128"/>
      <c r="T128"/>
      <c r="U128">
        <v>61722</v>
      </c>
      <c r="V128" s="510" t="s">
        <v>6898</v>
      </c>
      <c r="W128" s="511" t="s">
        <v>676</v>
      </c>
    </row>
    <row r="129" spans="1:23" hidden="1">
      <c r="A129" s="12"/>
      <c r="B129" s="8"/>
      <c r="C129" s="526" t="str">
        <f>Language!C1873</f>
        <v>Adutora</v>
      </c>
      <c r="D129" s="303" t="s">
        <v>987</v>
      </c>
      <c r="E129" s="307"/>
      <c r="F129" s="1346"/>
      <c r="G129" s="1347">
        <f t="shared" si="11"/>
        <v>0</v>
      </c>
      <c r="H129" s="166"/>
      <c r="I129" s="159"/>
      <c r="J129" s="802">
        <f t="shared" si="9"/>
        <v>0</v>
      </c>
      <c r="K129" s="21"/>
      <c r="L129" s="38"/>
      <c r="M129" s="907"/>
      <c r="N129" s="12"/>
      <c r="O129"/>
      <c r="P129"/>
      <c r="Q129">
        <f t="shared" si="10"/>
        <v>0</v>
      </c>
      <c r="R129">
        <v>4</v>
      </c>
      <c r="S129"/>
      <c r="T129"/>
      <c r="U129">
        <v>61723</v>
      </c>
      <c r="V129" s="510" t="s">
        <v>27</v>
      </c>
      <c r="W129" s="511" t="s">
        <v>1017</v>
      </c>
    </row>
    <row r="130" spans="1:23" hidden="1">
      <c r="A130" s="12"/>
      <c r="B130" s="8"/>
      <c r="C130" s="526" t="str">
        <f>Language!C1901</f>
        <v>Casa de Força</v>
      </c>
      <c r="D130" s="303" t="s">
        <v>5811</v>
      </c>
      <c r="E130" s="307"/>
      <c r="F130" s="1346"/>
      <c r="G130" s="1347">
        <f t="shared" si="11"/>
        <v>0</v>
      </c>
      <c r="H130" s="166"/>
      <c r="I130" s="159"/>
      <c r="J130" s="802">
        <f t="shared" si="9"/>
        <v>0</v>
      </c>
      <c r="K130" s="21"/>
      <c r="L130" s="38"/>
      <c r="M130" s="907"/>
      <c r="N130" s="12"/>
      <c r="O130"/>
      <c r="P130"/>
      <c r="Q130">
        <f t="shared" si="10"/>
        <v>0</v>
      </c>
      <c r="R130">
        <v>4</v>
      </c>
      <c r="S130"/>
      <c r="T130"/>
      <c r="U130">
        <v>61724</v>
      </c>
      <c r="V130" s="510" t="s">
        <v>6903</v>
      </c>
      <c r="W130" s="511" t="s">
        <v>5481</v>
      </c>
    </row>
    <row r="131" spans="1:23" hidden="1">
      <c r="A131" s="12"/>
      <c r="B131" s="8"/>
      <c r="C131" s="526" t="str">
        <f>Language!C1661</f>
        <v>Escada de peixes</v>
      </c>
      <c r="D131" s="303" t="s">
        <v>5569</v>
      </c>
      <c r="E131" s="395"/>
      <c r="F131" s="1346"/>
      <c r="G131" s="1347">
        <f t="shared" si="11"/>
        <v>0</v>
      </c>
      <c r="H131" s="166"/>
      <c r="I131" s="159"/>
      <c r="J131" s="802">
        <f t="shared" si="9"/>
        <v>0</v>
      </c>
      <c r="K131" s="21"/>
      <c r="L131" s="38"/>
      <c r="M131" s="907"/>
      <c r="N131" s="12"/>
      <c r="O131"/>
      <c r="P131"/>
      <c r="Q131">
        <f t="shared" si="10"/>
        <v>0</v>
      </c>
      <c r="R131">
        <v>4</v>
      </c>
      <c r="S131"/>
      <c r="T131"/>
      <c r="U131">
        <v>61725</v>
      </c>
      <c r="V131" s="510" t="s">
        <v>28</v>
      </c>
      <c r="W131" s="511" t="s">
        <v>1018</v>
      </c>
    </row>
    <row r="132" spans="1:23" hidden="1">
      <c r="A132" s="12"/>
      <c r="B132" s="8"/>
      <c r="C132" s="792" t="str">
        <f>F273</f>
        <v>Definido pelo usuário</v>
      </c>
      <c r="D132" s="303" t="s">
        <v>6171</v>
      </c>
      <c r="E132" s="307"/>
      <c r="F132" s="1346"/>
      <c r="G132" s="1347">
        <f>IF(D132=$C$261,-1,1)*E132*F132*Q132</f>
        <v>0</v>
      </c>
      <c r="H132" s="166"/>
      <c r="I132" s="159"/>
      <c r="J132" s="802">
        <f t="shared" si="9"/>
        <v>0</v>
      </c>
      <c r="K132" s="21"/>
      <c r="L132" s="38"/>
      <c r="M132" s="907"/>
      <c r="N132" s="12"/>
      <c r="O132"/>
      <c r="P132"/>
      <c r="Q132">
        <v>0</v>
      </c>
      <c r="R132">
        <v>4</v>
      </c>
      <c r="S132"/>
      <c r="T132"/>
      <c r="U132">
        <v>61142</v>
      </c>
      <c r="V132" s="510" t="s">
        <v>6904</v>
      </c>
      <c r="W132" s="511" t="s">
        <v>2496</v>
      </c>
    </row>
    <row r="133" spans="1:23" hidden="1">
      <c r="A133" s="12"/>
      <c r="B133" s="8"/>
      <c r="C133" s="792"/>
      <c r="D133" s="303"/>
      <c r="E133" s="307"/>
      <c r="F133" s="1346"/>
      <c r="G133" s="1347">
        <f>IF(D133=$C$261,-1,1)*E133*F133*Q133</f>
        <v>0</v>
      </c>
      <c r="H133" s="166"/>
      <c r="I133" s="159"/>
      <c r="J133" s="802">
        <f t="shared" si="9"/>
        <v>0</v>
      </c>
      <c r="K133" s="21"/>
      <c r="L133" s="38"/>
      <c r="M133" s="907"/>
      <c r="N133" s="12"/>
      <c r="O133"/>
      <c r="P133"/>
      <c r="Q133">
        <v>0</v>
      </c>
      <c r="R133">
        <v>4</v>
      </c>
      <c r="S133"/>
      <c r="T133"/>
      <c r="U133">
        <v>61142</v>
      </c>
      <c r="V133" s="510" t="s">
        <v>6905</v>
      </c>
      <c r="W133" s="511" t="s">
        <v>5879</v>
      </c>
    </row>
    <row r="134" spans="1:23" hidden="1">
      <c r="A134" s="12"/>
      <c r="B134" s="8"/>
      <c r="C134" s="526" t="str">
        <f>Language!C1761</f>
        <v>Inversor</v>
      </c>
      <c r="D134" s="21" t="str">
        <f>D261</f>
        <v>kW</v>
      </c>
      <c r="E134" s="307"/>
      <c r="F134" s="1346"/>
      <c r="G134" s="1347">
        <f>E134*F134*Q134</f>
        <v>0</v>
      </c>
      <c r="H134" s="166"/>
      <c r="I134" s="159"/>
      <c r="J134" s="802">
        <f t="shared" si="9"/>
        <v>0</v>
      </c>
      <c r="K134" s="21"/>
      <c r="L134" s="38"/>
      <c r="M134" s="907"/>
      <c r="N134" s="12"/>
      <c r="O134"/>
      <c r="P134"/>
      <c r="Q134">
        <f t="shared" si="10"/>
        <v>0</v>
      </c>
      <c r="R134">
        <v>5</v>
      </c>
      <c r="S134"/>
      <c r="T134"/>
      <c r="U134">
        <v>61743</v>
      </c>
      <c r="V134" s="510" t="s">
        <v>2596</v>
      </c>
      <c r="W134" s="511" t="s">
        <v>3851</v>
      </c>
    </row>
    <row r="135" spans="1:23" hidden="1">
      <c r="A135" s="12"/>
      <c r="B135" s="8"/>
      <c r="C135" s="526" t="str">
        <f>Language!C1547</f>
        <v>Estrutura de suporte do coletor</v>
      </c>
      <c r="D135" s="303" t="s">
        <v>5430</v>
      </c>
      <c r="E135" s="307"/>
      <c r="F135" s="1346"/>
      <c r="G135" s="1347">
        <f>E135*F135*Q135</f>
        <v>0</v>
      </c>
      <c r="H135" s="166"/>
      <c r="I135" s="159"/>
      <c r="J135" s="802">
        <f t="shared" si="9"/>
        <v>0</v>
      </c>
      <c r="K135" s="21"/>
      <c r="L135" s="38"/>
      <c r="M135" s="907"/>
      <c r="N135" s="12"/>
      <c r="O135"/>
      <c r="P135"/>
      <c r="Q135">
        <f t="shared" si="10"/>
        <v>0</v>
      </c>
      <c r="R135">
        <v>5</v>
      </c>
      <c r="S135"/>
      <c r="T135"/>
      <c r="U135">
        <v>61744</v>
      </c>
      <c r="V135" s="510" t="s">
        <v>29</v>
      </c>
      <c r="W135" s="511" t="s">
        <v>2969</v>
      </c>
    </row>
    <row r="136" spans="1:23" hidden="1">
      <c r="A136" s="12"/>
      <c r="B136" s="8"/>
      <c r="C136" s="526" t="str">
        <f>Language!C1754</f>
        <v>Instalação</v>
      </c>
      <c r="D136" s="21" t="str">
        <f>D28</f>
        <v>projeto</v>
      </c>
      <c r="E136" s="307"/>
      <c r="F136" s="1346"/>
      <c r="G136" s="1347">
        <f>E136*F136*Q136</f>
        <v>0</v>
      </c>
      <c r="H136" s="166"/>
      <c r="I136" s="159"/>
      <c r="J136" s="802">
        <f t="shared" si="9"/>
        <v>0</v>
      </c>
      <c r="K136" s="21"/>
      <c r="L136" s="38"/>
      <c r="M136" s="907"/>
      <c r="N136" s="12"/>
      <c r="O136"/>
      <c r="P136"/>
      <c r="Q136">
        <f t="shared" si="10"/>
        <v>0</v>
      </c>
      <c r="R136">
        <v>5</v>
      </c>
      <c r="S136"/>
      <c r="T136"/>
      <c r="U136">
        <v>61745</v>
      </c>
      <c r="V136" s="510" t="s">
        <v>3824</v>
      </c>
      <c r="W136" s="511" t="s">
        <v>259</v>
      </c>
    </row>
    <row r="137" spans="1:23" hidden="1">
      <c r="A137" s="12"/>
      <c r="B137" s="8"/>
      <c r="C137" s="792" t="str">
        <f>F273</f>
        <v>Definido pelo usuário</v>
      </c>
      <c r="D137" s="303" t="s">
        <v>6171</v>
      </c>
      <c r="E137" s="307"/>
      <c r="F137" s="1346"/>
      <c r="G137" s="1347">
        <f>IF(D137=$C$261,-1,1)*E137*F137*Q137</f>
        <v>0</v>
      </c>
      <c r="H137" s="166"/>
      <c r="I137" s="159"/>
      <c r="J137" s="802">
        <f t="shared" si="9"/>
        <v>0</v>
      </c>
      <c r="K137" s="21"/>
      <c r="L137" s="38"/>
      <c r="M137" s="907"/>
      <c r="N137" s="12"/>
      <c r="O137"/>
      <c r="P137"/>
      <c r="Q137">
        <v>0</v>
      </c>
      <c r="R137">
        <v>5</v>
      </c>
      <c r="S137"/>
      <c r="T137"/>
      <c r="U137">
        <v>61142</v>
      </c>
      <c r="V137" s="510" t="s">
        <v>3825</v>
      </c>
      <c r="W137" s="511" t="s">
        <v>5976</v>
      </c>
    </row>
    <row r="138" spans="1:23" hidden="1">
      <c r="A138" s="12"/>
      <c r="B138" s="8"/>
      <c r="C138" s="792"/>
      <c r="D138" s="303"/>
      <c r="E138" s="307"/>
      <c r="F138" s="1346"/>
      <c r="G138" s="1347">
        <f>IF(D138=$C$261,-1,1)*E138*F138*Q138</f>
        <v>0</v>
      </c>
      <c r="H138" s="166"/>
      <c r="I138" s="159"/>
      <c r="J138" s="802">
        <f t="shared" si="9"/>
        <v>0</v>
      </c>
      <c r="K138" s="21"/>
      <c r="L138" s="38"/>
      <c r="M138" s="907"/>
      <c r="N138" s="12"/>
      <c r="O138"/>
      <c r="P138"/>
      <c r="Q138">
        <v>0</v>
      </c>
      <c r="R138">
        <v>5</v>
      </c>
      <c r="S138"/>
      <c r="T138"/>
      <c r="U138">
        <v>61142</v>
      </c>
      <c r="V138" s="510" t="s">
        <v>6909</v>
      </c>
      <c r="W138" s="511" t="s">
        <v>260</v>
      </c>
    </row>
    <row r="139" spans="1:23" hidden="1">
      <c r="A139" s="12"/>
      <c r="B139" s="8"/>
      <c r="C139" s="8" t="str">
        <f>C134</f>
        <v>Inversor</v>
      </c>
      <c r="D139" s="21" t="str">
        <f>D261</f>
        <v>kW</v>
      </c>
      <c r="E139" s="307"/>
      <c r="F139" s="1346"/>
      <c r="G139" s="1347">
        <f>E139*F139*Q139</f>
        <v>0</v>
      </c>
      <c r="H139" s="166"/>
      <c r="I139" s="159"/>
      <c r="J139" s="802">
        <f t="shared" si="9"/>
        <v>0</v>
      </c>
      <c r="K139" s="21"/>
      <c r="L139" s="38"/>
      <c r="M139" s="907"/>
      <c r="N139" s="12"/>
      <c r="O139"/>
      <c r="P139"/>
      <c r="Q139">
        <f t="shared" si="10"/>
        <v>0</v>
      </c>
      <c r="R139">
        <v>6</v>
      </c>
      <c r="S139"/>
      <c r="T139"/>
      <c r="U139">
        <v>61737</v>
      </c>
      <c r="V139" s="510" t="s">
        <v>6910</v>
      </c>
      <c r="W139" s="511" t="s">
        <v>261</v>
      </c>
    </row>
    <row r="140" spans="1:23" hidden="1">
      <c r="A140" s="12"/>
      <c r="B140" s="8"/>
      <c r="C140" s="8" t="str">
        <f>Language!C1501</f>
        <v>Bateria</v>
      </c>
      <c r="D140" s="21" t="str">
        <f>Language!C1365</f>
        <v>kWh</v>
      </c>
      <c r="E140" s="307"/>
      <c r="F140" s="1346"/>
      <c r="G140" s="1347">
        <f>E140*F140*Q140</f>
        <v>0</v>
      </c>
      <c r="H140" s="166"/>
      <c r="I140" s="159"/>
      <c r="J140" s="802">
        <f t="shared" si="9"/>
        <v>0</v>
      </c>
      <c r="K140" s="21"/>
      <c r="L140" s="38"/>
      <c r="M140" s="907"/>
      <c r="N140" s="12"/>
      <c r="O140"/>
      <c r="P140"/>
      <c r="Q140">
        <f t="shared" si="10"/>
        <v>0</v>
      </c>
      <c r="R140">
        <v>6</v>
      </c>
      <c r="S140"/>
      <c r="T140"/>
      <c r="U140">
        <v>61738</v>
      </c>
      <c r="V140" s="510" t="s">
        <v>6911</v>
      </c>
      <c r="W140" s="511" t="s">
        <v>5977</v>
      </c>
    </row>
    <row r="141" spans="1:23" hidden="1">
      <c r="A141" s="12"/>
      <c r="B141" s="8"/>
      <c r="C141" s="8" t="str">
        <f>Language!C1631</f>
        <v>Invólucro</v>
      </c>
      <c r="D141" s="21" t="str">
        <f>D28</f>
        <v>projeto</v>
      </c>
      <c r="E141" s="307"/>
      <c r="F141" s="1346"/>
      <c r="G141" s="1347">
        <f>E141*F141*Q141</f>
        <v>0</v>
      </c>
      <c r="H141" s="166"/>
      <c r="I141" s="159"/>
      <c r="J141" s="802">
        <f t="shared" si="9"/>
        <v>0</v>
      </c>
      <c r="K141" s="21"/>
      <c r="L141" s="38"/>
      <c r="M141" s="907"/>
      <c r="N141" s="12"/>
      <c r="O141"/>
      <c r="P141"/>
      <c r="Q141">
        <f t="shared" si="10"/>
        <v>0</v>
      </c>
      <c r="R141">
        <v>6</v>
      </c>
      <c r="S141"/>
      <c r="T141"/>
      <c r="U141">
        <v>61739</v>
      </c>
      <c r="V141" s="510" t="s">
        <v>6912</v>
      </c>
      <c r="W141" s="511" t="s">
        <v>5978</v>
      </c>
    </row>
    <row r="142" spans="1:23" hidden="1">
      <c r="A142" s="12"/>
      <c r="B142" s="8"/>
      <c r="C142" s="8" t="str">
        <f>C136</f>
        <v>Instalação</v>
      </c>
      <c r="D142" s="21" t="str">
        <f>D28</f>
        <v>projeto</v>
      </c>
      <c r="E142" s="307"/>
      <c r="F142" s="1346"/>
      <c r="G142" s="1347">
        <f>E142*F142*Q142</f>
        <v>0</v>
      </c>
      <c r="H142" s="166"/>
      <c r="I142" s="159"/>
      <c r="J142" s="802">
        <f t="shared" si="9"/>
        <v>0</v>
      </c>
      <c r="K142" s="21"/>
      <c r="L142" s="38"/>
      <c r="M142" s="907"/>
      <c r="N142" s="12"/>
      <c r="O142"/>
      <c r="P142"/>
      <c r="Q142">
        <f t="shared" si="10"/>
        <v>0</v>
      </c>
      <c r="R142">
        <v>6</v>
      </c>
      <c r="S142"/>
      <c r="T142"/>
      <c r="U142">
        <v>61740</v>
      </c>
      <c r="V142" s="510" t="s">
        <v>3826</v>
      </c>
      <c r="W142" s="511" t="s">
        <v>5979</v>
      </c>
    </row>
    <row r="143" spans="1:23" hidden="1">
      <c r="A143" s="12"/>
      <c r="B143" s="8"/>
      <c r="C143" s="792" t="str">
        <f>F273</f>
        <v>Definido pelo usuário</v>
      </c>
      <c r="D143" s="303" t="s">
        <v>6171</v>
      </c>
      <c r="E143" s="307"/>
      <c r="F143" s="1346"/>
      <c r="G143" s="1347">
        <f>IF(D143=$C$261,-1,1)*E143*F143*Q143</f>
        <v>0</v>
      </c>
      <c r="H143" s="166"/>
      <c r="I143" s="159"/>
      <c r="J143" s="802">
        <f t="shared" si="9"/>
        <v>0</v>
      </c>
      <c r="K143" s="21"/>
      <c r="L143" s="38"/>
      <c r="M143" s="907"/>
      <c r="N143" s="12"/>
      <c r="O143"/>
      <c r="P143"/>
      <c r="Q143">
        <v>0</v>
      </c>
      <c r="R143">
        <v>6</v>
      </c>
      <c r="S143"/>
      <c r="T143"/>
      <c r="U143">
        <v>61142</v>
      </c>
      <c r="V143" s="510" t="s">
        <v>6913</v>
      </c>
      <c r="W143" s="511" t="s">
        <v>5980</v>
      </c>
    </row>
    <row r="144" spans="1:23" hidden="1">
      <c r="A144" s="12"/>
      <c r="B144" s="8"/>
      <c r="C144" s="792"/>
      <c r="D144" s="303"/>
      <c r="E144" s="307"/>
      <c r="F144" s="1346"/>
      <c r="G144" s="1347">
        <f>IF(D144=$C$261,-1,1)*E144*F144*Q144</f>
        <v>0</v>
      </c>
      <c r="H144" s="166"/>
      <c r="I144" s="159"/>
      <c r="J144" s="802">
        <f t="shared" si="9"/>
        <v>0</v>
      </c>
      <c r="K144" s="21"/>
      <c r="L144" s="38"/>
      <c r="M144" s="907"/>
      <c r="N144" s="12"/>
      <c r="O144"/>
      <c r="P144"/>
      <c r="Q144">
        <v>0</v>
      </c>
      <c r="R144">
        <v>6</v>
      </c>
      <c r="S144"/>
      <c r="T144"/>
      <c r="U144">
        <v>61142</v>
      </c>
      <c r="V144" s="510" t="s">
        <v>6914</v>
      </c>
      <c r="W144" s="511" t="s">
        <v>5481</v>
      </c>
    </row>
    <row r="145" spans="1:23" hidden="1">
      <c r="A145" s="12"/>
      <c r="B145" s="8"/>
      <c r="C145" s="8" t="str">
        <f>C134</f>
        <v>Inversor</v>
      </c>
      <c r="D145" s="21" t="str">
        <f>D261</f>
        <v>kW</v>
      </c>
      <c r="E145" s="307"/>
      <c r="F145" s="1346"/>
      <c r="G145" s="1347">
        <f>E145*F145*Q145</f>
        <v>0</v>
      </c>
      <c r="H145" s="166"/>
      <c r="I145" s="159"/>
      <c r="J145" s="802">
        <f t="shared" si="9"/>
        <v>0</v>
      </c>
      <c r="K145" s="21"/>
      <c r="L145" s="38"/>
      <c r="M145" s="907"/>
      <c r="N145" s="12"/>
      <c r="O145"/>
      <c r="P145"/>
      <c r="Q145">
        <f t="shared" si="10"/>
        <v>0</v>
      </c>
      <c r="R145">
        <v>7</v>
      </c>
      <c r="S145"/>
      <c r="T145"/>
      <c r="U145">
        <v>61737</v>
      </c>
      <c r="V145" s="510" t="s">
        <v>6915</v>
      </c>
      <c r="W145" s="511" t="s">
        <v>5626</v>
      </c>
    </row>
    <row r="146" spans="1:23" hidden="1">
      <c r="A146" s="12"/>
      <c r="B146" s="8"/>
      <c r="C146" s="8" t="str">
        <f>Language!C1923</f>
        <v>Bomba &amp; motor</v>
      </c>
      <c r="D146" s="21" t="str">
        <f>D28</f>
        <v>projeto</v>
      </c>
      <c r="E146" s="307"/>
      <c r="F146" s="1346"/>
      <c r="G146" s="1347">
        <f>E146*F146*Q146</f>
        <v>0</v>
      </c>
      <c r="H146" s="166"/>
      <c r="I146" s="159"/>
      <c r="J146" s="802">
        <f t="shared" si="9"/>
        <v>0</v>
      </c>
      <c r="K146" s="21"/>
      <c r="L146" s="38"/>
      <c r="M146" s="907"/>
      <c r="N146" s="12"/>
      <c r="O146"/>
      <c r="P146"/>
      <c r="Q146">
        <f t="shared" ref="Q146:Q168" si="12">IF($Q$96=R146,1,0)*$O$204</f>
        <v>0</v>
      </c>
      <c r="R146">
        <v>7</v>
      </c>
      <c r="S146"/>
      <c r="T146"/>
      <c r="U146">
        <v>61785</v>
      </c>
      <c r="V146" s="510" t="s">
        <v>6916</v>
      </c>
      <c r="W146" s="511" t="s">
        <v>5652</v>
      </c>
    </row>
    <row r="147" spans="1:23" hidden="1">
      <c r="A147" s="12"/>
      <c r="B147" s="8"/>
      <c r="C147" s="8" t="str">
        <f>Language!C1886</f>
        <v>Tubos &amp; reservatório</v>
      </c>
      <c r="D147" s="21" t="str">
        <f>D28</f>
        <v>projeto</v>
      </c>
      <c r="E147" s="307"/>
      <c r="F147" s="1346"/>
      <c r="G147" s="1347">
        <f>E147*F147*Q147</f>
        <v>0</v>
      </c>
      <c r="H147" s="166"/>
      <c r="I147" s="159"/>
      <c r="J147" s="802">
        <f t="shared" si="9"/>
        <v>0</v>
      </c>
      <c r="K147" s="21"/>
      <c r="L147" s="38"/>
      <c r="M147" s="907"/>
      <c r="N147" s="12"/>
      <c r="O147"/>
      <c r="P147"/>
      <c r="Q147">
        <f t="shared" si="12"/>
        <v>0</v>
      </c>
      <c r="R147">
        <v>7</v>
      </c>
      <c r="S147"/>
      <c r="T147"/>
      <c r="U147">
        <v>61786</v>
      </c>
      <c r="V147" s="510" t="s">
        <v>1970</v>
      </c>
      <c r="W147" s="511" t="s">
        <v>5653</v>
      </c>
    </row>
    <row r="148" spans="1:23" hidden="1">
      <c r="A148" s="12"/>
      <c r="B148" s="8"/>
      <c r="C148" s="8" t="str">
        <f>Language!C1754</f>
        <v>Instalação</v>
      </c>
      <c r="D148" s="21" t="str">
        <f>D28</f>
        <v>projeto</v>
      </c>
      <c r="E148" s="307"/>
      <c r="F148" s="1346"/>
      <c r="G148" s="1347">
        <f>E148*F148*Q148</f>
        <v>0</v>
      </c>
      <c r="H148" s="166"/>
      <c r="I148" s="159"/>
      <c r="J148" s="802">
        <f t="shared" si="9"/>
        <v>0</v>
      </c>
      <c r="K148" s="21"/>
      <c r="L148" s="38"/>
      <c r="M148" s="907"/>
      <c r="N148" s="12"/>
      <c r="O148"/>
      <c r="P148"/>
      <c r="Q148">
        <f t="shared" si="12"/>
        <v>0</v>
      </c>
      <c r="R148">
        <v>7</v>
      </c>
      <c r="S148"/>
      <c r="T148"/>
      <c r="U148">
        <v>61787</v>
      </c>
      <c r="V148" s="510" t="s">
        <v>6918</v>
      </c>
      <c r="W148" s="511" t="s">
        <v>2655</v>
      </c>
    </row>
    <row r="149" spans="1:23" hidden="1">
      <c r="A149" s="12"/>
      <c r="B149" s="8"/>
      <c r="C149" s="792" t="str">
        <f>F273</f>
        <v>Definido pelo usuário</v>
      </c>
      <c r="D149" s="303" t="s">
        <v>6171</v>
      </c>
      <c r="E149" s="307"/>
      <c r="F149" s="1346"/>
      <c r="G149" s="1347">
        <f>IF(D149=$C$261,-1,1)*E149*F149*Q149</f>
        <v>0</v>
      </c>
      <c r="H149" s="166"/>
      <c r="I149" s="159"/>
      <c r="J149" s="802">
        <f t="shared" si="9"/>
        <v>0</v>
      </c>
      <c r="K149" s="21"/>
      <c r="L149" s="38"/>
      <c r="M149" s="907"/>
      <c r="N149" s="12"/>
      <c r="O149"/>
      <c r="P149"/>
      <c r="Q149">
        <v>0</v>
      </c>
      <c r="R149">
        <v>7</v>
      </c>
      <c r="S149"/>
      <c r="T149"/>
      <c r="U149">
        <v>61142</v>
      </c>
      <c r="V149" s="510" t="s">
        <v>6917</v>
      </c>
      <c r="W149" s="511" t="s">
        <v>1884</v>
      </c>
    </row>
    <row r="150" spans="1:23" hidden="1">
      <c r="A150" s="12"/>
      <c r="B150" s="8"/>
      <c r="C150" s="792"/>
      <c r="D150" s="303"/>
      <c r="E150" s="307"/>
      <c r="F150" s="1346"/>
      <c r="G150" s="1347">
        <f>IF(D150=$C$261,-1,1)*E150*F150*Q150</f>
        <v>0</v>
      </c>
      <c r="H150" s="166"/>
      <c r="I150" s="159"/>
      <c r="J150" s="802">
        <f t="shared" si="9"/>
        <v>0</v>
      </c>
      <c r="K150" s="21"/>
      <c r="L150" s="38"/>
      <c r="M150" s="907"/>
      <c r="N150" s="12"/>
      <c r="O150"/>
      <c r="P150"/>
      <c r="Q150">
        <v>0</v>
      </c>
      <c r="R150">
        <v>7</v>
      </c>
      <c r="S150"/>
      <c r="T150"/>
      <c r="U150">
        <v>61142</v>
      </c>
      <c r="V150" s="510" t="s">
        <v>6919</v>
      </c>
      <c r="W150" s="511" t="s">
        <v>2656</v>
      </c>
    </row>
    <row r="151" spans="1:23" hidden="1">
      <c r="A151" s="12"/>
      <c r="B151" s="8"/>
      <c r="C151" s="8" t="str">
        <f>Language!C1987</f>
        <v>Material do coletor solar</v>
      </c>
      <c r="D151" s="438" t="s">
        <v>5430</v>
      </c>
      <c r="E151" s="307"/>
      <c r="F151" s="1346"/>
      <c r="G151" s="1347">
        <f t="shared" ref="G151:G158" si="13">E151*F151*Q151</f>
        <v>0</v>
      </c>
      <c r="H151" s="166"/>
      <c r="I151" s="159"/>
      <c r="J151" s="802">
        <f t="shared" si="9"/>
        <v>0</v>
      </c>
      <c r="K151" s="21"/>
      <c r="L151" s="38"/>
      <c r="M151" s="907"/>
      <c r="N151" s="12"/>
      <c r="O151"/>
      <c r="P151"/>
      <c r="Q151">
        <f t="shared" si="12"/>
        <v>0</v>
      </c>
      <c r="R151">
        <v>8</v>
      </c>
      <c r="S151"/>
      <c r="T151"/>
      <c r="U151">
        <v>61748</v>
      </c>
      <c r="V151" s="510" t="s">
        <v>3281</v>
      </c>
      <c r="W151" s="511" t="s">
        <v>203</v>
      </c>
    </row>
    <row r="152" spans="1:23" hidden="1">
      <c r="A152" s="12"/>
      <c r="B152" s="8"/>
      <c r="C152" s="8" t="str">
        <f>Language!C1986</f>
        <v>Instalação do coletor solar</v>
      </c>
      <c r="D152" s="438" t="s">
        <v>5430</v>
      </c>
      <c r="E152" s="307"/>
      <c r="F152" s="1346"/>
      <c r="G152" s="1347">
        <f t="shared" si="13"/>
        <v>0</v>
      </c>
      <c r="H152" s="166"/>
      <c r="I152" s="159"/>
      <c r="J152" s="802">
        <f t="shared" si="9"/>
        <v>0</v>
      </c>
      <c r="K152" s="21"/>
      <c r="L152" s="38"/>
      <c r="M152" s="907"/>
      <c r="N152" s="12"/>
      <c r="O152"/>
      <c r="P152"/>
      <c r="Q152">
        <f t="shared" si="12"/>
        <v>0</v>
      </c>
      <c r="R152">
        <v>8</v>
      </c>
      <c r="S152"/>
      <c r="T152"/>
      <c r="U152">
        <v>61753</v>
      </c>
      <c r="V152" s="510" t="s">
        <v>30</v>
      </c>
      <c r="W152" s="511" t="s">
        <v>1678</v>
      </c>
    </row>
    <row r="153" spans="1:23" hidden="1">
      <c r="A153" s="12"/>
      <c r="B153" s="8"/>
      <c r="C153" s="8" t="str">
        <f>Language!C1533</f>
        <v>Ganho pelo material do revestimento</v>
      </c>
      <c r="D153" s="438" t="s">
        <v>5430</v>
      </c>
      <c r="E153" s="307"/>
      <c r="F153" s="1346"/>
      <c r="G153" s="1347">
        <f t="shared" si="13"/>
        <v>0</v>
      </c>
      <c r="H153" s="166"/>
      <c r="I153" s="159"/>
      <c r="J153" s="802">
        <f t="shared" si="9"/>
        <v>0</v>
      </c>
      <c r="K153" s="21"/>
      <c r="L153" s="38"/>
      <c r="M153" s="907"/>
      <c r="N153" s="12"/>
      <c r="O153"/>
      <c r="P153"/>
      <c r="Q153">
        <f t="shared" si="12"/>
        <v>0</v>
      </c>
      <c r="R153">
        <v>8</v>
      </c>
      <c r="S153"/>
      <c r="T153"/>
      <c r="U153">
        <v>61756</v>
      </c>
      <c r="V153" s="510" t="s">
        <v>6928</v>
      </c>
      <c r="W153" s="511" t="s">
        <v>2748</v>
      </c>
    </row>
    <row r="154" spans="1:23" hidden="1">
      <c r="A154" s="12"/>
      <c r="B154" s="8"/>
      <c r="C154" s="8" t="str">
        <f>Language!C1532</f>
        <v>Ganho pela instalação do revestimento</v>
      </c>
      <c r="D154" s="438" t="s">
        <v>5430</v>
      </c>
      <c r="E154" s="307"/>
      <c r="F154" s="1346"/>
      <c r="G154" s="1347">
        <f t="shared" si="13"/>
        <v>0</v>
      </c>
      <c r="H154" s="166"/>
      <c r="I154" s="159"/>
      <c r="J154" s="802">
        <f t="shared" si="9"/>
        <v>0</v>
      </c>
      <c r="K154" s="21"/>
      <c r="L154" s="38"/>
      <c r="M154" s="907"/>
      <c r="N154" s="12"/>
      <c r="O154"/>
      <c r="P154"/>
      <c r="Q154">
        <f t="shared" si="12"/>
        <v>0</v>
      </c>
      <c r="R154">
        <v>8</v>
      </c>
      <c r="S154"/>
      <c r="T154"/>
      <c r="U154">
        <v>61757</v>
      </c>
      <c r="V154" s="510" t="s">
        <v>6921</v>
      </c>
      <c r="W154" s="511" t="s">
        <v>5481</v>
      </c>
    </row>
    <row r="155" spans="1:23" hidden="1">
      <c r="A155" s="12"/>
      <c r="B155" s="8"/>
      <c r="C155" s="8" t="str">
        <f>Language!C1650</f>
        <v>Material do duto &amp; ventilador</v>
      </c>
      <c r="D155" s="438" t="s">
        <v>99</v>
      </c>
      <c r="E155" s="307"/>
      <c r="F155" s="1346"/>
      <c r="G155" s="1347">
        <f t="shared" si="13"/>
        <v>0</v>
      </c>
      <c r="H155" s="166"/>
      <c r="I155" s="159"/>
      <c r="J155" s="802">
        <f t="shared" si="9"/>
        <v>0</v>
      </c>
      <c r="K155" s="21"/>
      <c r="L155" s="38"/>
      <c r="M155" s="907"/>
      <c r="N155" s="12"/>
      <c r="O155"/>
      <c r="P155"/>
      <c r="Q155">
        <f t="shared" si="12"/>
        <v>0</v>
      </c>
      <c r="R155">
        <v>8</v>
      </c>
      <c r="S155"/>
      <c r="T155"/>
      <c r="U155">
        <v>61758</v>
      </c>
      <c r="V155" s="510" t="s">
        <v>6923</v>
      </c>
      <c r="W155" s="511" t="s">
        <v>756</v>
      </c>
    </row>
    <row r="156" spans="1:23" hidden="1">
      <c r="A156" s="12"/>
      <c r="B156" s="8"/>
      <c r="C156" s="8" t="str">
        <f>Language!C1648</f>
        <v>Instalação do duto &amp; ventilador</v>
      </c>
      <c r="D156" s="438" t="s">
        <v>99</v>
      </c>
      <c r="E156" s="307"/>
      <c r="F156" s="1346"/>
      <c r="G156" s="1347">
        <f t="shared" si="13"/>
        <v>0</v>
      </c>
      <c r="H156" s="166"/>
      <c r="I156" s="159"/>
      <c r="J156" s="802">
        <f t="shared" si="9"/>
        <v>0</v>
      </c>
      <c r="K156" s="21"/>
      <c r="L156" s="38"/>
      <c r="M156" s="907"/>
      <c r="N156" s="12"/>
      <c r="O156"/>
      <c r="P156"/>
      <c r="Q156">
        <f t="shared" si="12"/>
        <v>0</v>
      </c>
      <c r="R156">
        <v>8</v>
      </c>
      <c r="S156"/>
      <c r="T156"/>
      <c r="U156">
        <v>61760</v>
      </c>
      <c r="V156" s="510" t="s">
        <v>6922</v>
      </c>
      <c r="W156" s="511" t="s">
        <v>755</v>
      </c>
    </row>
    <row r="157" spans="1:23" hidden="1">
      <c r="A157" s="12"/>
      <c r="B157" s="8"/>
      <c r="C157" s="8" t="str">
        <f>Language!C1651</f>
        <v>Crédito pelo material do duto &amp; ventilador</v>
      </c>
      <c r="D157" s="438" t="s">
        <v>99</v>
      </c>
      <c r="E157" s="307"/>
      <c r="F157" s="1346"/>
      <c r="G157" s="1347">
        <f t="shared" si="13"/>
        <v>0</v>
      </c>
      <c r="H157" s="166"/>
      <c r="I157" s="159"/>
      <c r="J157" s="802">
        <f t="shared" si="9"/>
        <v>0</v>
      </c>
      <c r="K157" s="21"/>
      <c r="L157" s="38"/>
      <c r="M157" s="907"/>
      <c r="N157" s="12"/>
      <c r="O157"/>
      <c r="P157"/>
      <c r="Q157">
        <f t="shared" si="12"/>
        <v>0</v>
      </c>
      <c r="R157">
        <v>8</v>
      </c>
      <c r="S157"/>
      <c r="T157"/>
      <c r="U157">
        <v>61761</v>
      </c>
      <c r="V157" s="510" t="s">
        <v>748</v>
      </c>
      <c r="W157" s="511" t="s">
        <v>5481</v>
      </c>
    </row>
    <row r="158" spans="1:23" hidden="1">
      <c r="A158" s="12"/>
      <c r="B158" s="8"/>
      <c r="C158" s="8" t="str">
        <f>Language!C1649</f>
        <v>Crédito pela instalação do duto &amp; ventilador</v>
      </c>
      <c r="D158" s="438" t="s">
        <v>99</v>
      </c>
      <c r="E158" s="307"/>
      <c r="F158" s="1346"/>
      <c r="G158" s="1347">
        <f t="shared" si="13"/>
        <v>0</v>
      </c>
      <c r="H158" s="166"/>
      <c r="I158" s="159"/>
      <c r="J158" s="802">
        <f t="shared" si="9"/>
        <v>0</v>
      </c>
      <c r="K158" s="21"/>
      <c r="L158" s="38"/>
      <c r="M158" s="907"/>
      <c r="N158" s="12"/>
      <c r="O158"/>
      <c r="P158"/>
      <c r="Q158">
        <f t="shared" si="12"/>
        <v>0</v>
      </c>
      <c r="R158">
        <v>8</v>
      </c>
      <c r="S158"/>
      <c r="T158"/>
      <c r="U158">
        <v>61762</v>
      </c>
      <c r="V158" s="510" t="s">
        <v>6924</v>
      </c>
      <c r="W158" s="511" t="s">
        <v>1253</v>
      </c>
    </row>
    <row r="159" spans="1:23" hidden="1">
      <c r="A159" s="12"/>
      <c r="B159" s="8"/>
      <c r="C159" s="792" t="str">
        <f>F273</f>
        <v>Definido pelo usuário</v>
      </c>
      <c r="D159" s="303" t="s">
        <v>6171</v>
      </c>
      <c r="E159" s="307"/>
      <c r="F159" s="1346"/>
      <c r="G159" s="1347">
        <f>IF(D159=$C$261,-1,1)*E159*F159*Q159</f>
        <v>0</v>
      </c>
      <c r="H159" s="166"/>
      <c r="I159" s="159"/>
      <c r="J159" s="802">
        <f t="shared" si="9"/>
        <v>0</v>
      </c>
      <c r="K159" s="21"/>
      <c r="L159" s="38"/>
      <c r="M159" s="907"/>
      <c r="N159" s="12"/>
      <c r="O159"/>
      <c r="P159"/>
      <c r="Q159">
        <v>0</v>
      </c>
      <c r="R159">
        <v>8</v>
      </c>
      <c r="S159"/>
      <c r="T159"/>
      <c r="U159">
        <v>61142</v>
      </c>
      <c r="V159" s="510" t="s">
        <v>6925</v>
      </c>
      <c r="W159" s="511" t="s">
        <v>5480</v>
      </c>
    </row>
    <row r="160" spans="1:23" hidden="1">
      <c r="A160" s="12"/>
      <c r="B160" s="8"/>
      <c r="C160" s="792"/>
      <c r="D160" s="336"/>
      <c r="E160" s="307"/>
      <c r="F160" s="1346"/>
      <c r="G160" s="1347">
        <f>IF(D160=$C$261,-1,1)*E160*F160*Q160</f>
        <v>0</v>
      </c>
      <c r="H160" s="166"/>
      <c r="I160" s="159"/>
      <c r="J160" s="802">
        <f t="shared" si="9"/>
        <v>0</v>
      </c>
      <c r="K160" s="21"/>
      <c r="L160" s="38"/>
      <c r="M160" s="907"/>
      <c r="N160" s="12"/>
      <c r="O160"/>
      <c r="P160"/>
      <c r="Q160">
        <v>0</v>
      </c>
      <c r="R160">
        <v>8</v>
      </c>
      <c r="S160"/>
      <c r="T160"/>
      <c r="U160">
        <v>61142</v>
      </c>
      <c r="V160" s="510" t="s">
        <v>6929</v>
      </c>
      <c r="W160" s="511" t="s">
        <v>2145</v>
      </c>
    </row>
    <row r="161" spans="1:23" hidden="1">
      <c r="A161" s="12"/>
      <c r="B161" s="8"/>
      <c r="C161" s="8" t="str">
        <f>C151</f>
        <v>Material do coletor solar</v>
      </c>
      <c r="D161" s="438" t="s">
        <v>5430</v>
      </c>
      <c r="E161" s="307"/>
      <c r="F161" s="1346"/>
      <c r="G161" s="1347">
        <f t="shared" ref="G161:G168" si="14">E161*F161*Q161</f>
        <v>0</v>
      </c>
      <c r="H161" s="166"/>
      <c r="I161" s="159"/>
      <c r="J161" s="802">
        <f t="shared" si="9"/>
        <v>0</v>
      </c>
      <c r="K161" s="21"/>
      <c r="L161" s="38"/>
      <c r="M161" s="907"/>
      <c r="N161" s="12"/>
      <c r="O161"/>
      <c r="P161"/>
      <c r="Q161">
        <f t="shared" si="12"/>
        <v>0</v>
      </c>
      <c r="R161">
        <v>9</v>
      </c>
      <c r="S161"/>
      <c r="T161"/>
      <c r="U161">
        <v>61770</v>
      </c>
      <c r="V161" s="510" t="s">
        <v>6952</v>
      </c>
      <c r="W161" s="511" t="s">
        <v>2157</v>
      </c>
    </row>
    <row r="162" spans="1:23" hidden="1">
      <c r="A162" s="12"/>
      <c r="B162" s="8"/>
      <c r="C162" s="8" t="str">
        <f>C135</f>
        <v>Estrutura de suporte do coletor</v>
      </c>
      <c r="D162" s="438" t="s">
        <v>5430</v>
      </c>
      <c r="E162" s="307"/>
      <c r="F162" s="1346"/>
      <c r="G162" s="1347">
        <f t="shared" si="14"/>
        <v>0</v>
      </c>
      <c r="H162" s="166"/>
      <c r="I162" s="159"/>
      <c r="J162" s="802">
        <f t="shared" si="9"/>
        <v>0</v>
      </c>
      <c r="K162" s="21"/>
      <c r="L162" s="38"/>
      <c r="M162" s="907"/>
      <c r="N162" s="12"/>
      <c r="O162"/>
      <c r="P162"/>
      <c r="Q162">
        <f t="shared" si="12"/>
        <v>0</v>
      </c>
      <c r="R162">
        <v>9</v>
      </c>
      <c r="S162"/>
      <c r="T162"/>
      <c r="U162">
        <v>61771</v>
      </c>
      <c r="V162" s="510" t="s">
        <v>6926</v>
      </c>
      <c r="W162" s="511" t="s">
        <v>5481</v>
      </c>
    </row>
    <row r="163" spans="1:23" hidden="1">
      <c r="A163" s="12"/>
      <c r="B163" s="8"/>
      <c r="C163" s="8" t="str">
        <f>Language!C1885</f>
        <v>Tubo</v>
      </c>
      <c r="D163" s="438" t="s">
        <v>5569</v>
      </c>
      <c r="E163" s="307"/>
      <c r="F163" s="1346"/>
      <c r="G163" s="1347">
        <f t="shared" si="14"/>
        <v>0</v>
      </c>
      <c r="H163" s="166"/>
      <c r="I163" s="159"/>
      <c r="J163" s="802">
        <f t="shared" ref="J163:J168" si="15">G163/$Q$9*I163</f>
        <v>0</v>
      </c>
      <c r="K163" s="21"/>
      <c r="L163" s="38"/>
      <c r="M163" s="907"/>
      <c r="N163" s="12"/>
      <c r="O163"/>
      <c r="P163"/>
      <c r="Q163">
        <f t="shared" si="12"/>
        <v>0</v>
      </c>
      <c r="R163">
        <v>9</v>
      </c>
      <c r="S163"/>
      <c r="T163"/>
      <c r="U163">
        <v>61772</v>
      </c>
      <c r="V163" s="510" t="s">
        <v>6927</v>
      </c>
      <c r="W163" s="511" t="s">
        <v>2144</v>
      </c>
    </row>
    <row r="164" spans="1:23" hidden="1">
      <c r="A164" s="12"/>
      <c r="B164" s="8"/>
      <c r="C164" s="8" t="str">
        <f>Language!C2003</f>
        <v>Tanque de Armazenamento</v>
      </c>
      <c r="D164" s="438" t="s">
        <v>114</v>
      </c>
      <c r="E164" s="307"/>
      <c r="F164" s="1346"/>
      <c r="G164" s="1347">
        <f t="shared" si="14"/>
        <v>0</v>
      </c>
      <c r="H164" s="166"/>
      <c r="I164" s="159"/>
      <c r="J164" s="802">
        <f t="shared" si="15"/>
        <v>0</v>
      </c>
      <c r="K164" s="21"/>
      <c r="L164" s="38"/>
      <c r="M164" s="907"/>
      <c r="N164" s="12"/>
      <c r="O164"/>
      <c r="P164"/>
      <c r="Q164">
        <f t="shared" si="12"/>
        <v>0</v>
      </c>
      <c r="R164">
        <v>9</v>
      </c>
      <c r="S164"/>
      <c r="T164"/>
      <c r="U164">
        <v>61773</v>
      </c>
      <c r="V164" s="510" t="s">
        <v>831</v>
      </c>
      <c r="W164" s="511" t="s">
        <v>5481</v>
      </c>
    </row>
    <row r="165" spans="1:23" hidden="1">
      <c r="A165" s="12"/>
      <c r="B165" s="8"/>
      <c r="C165" s="363" t="str">
        <f>Language!C1718</f>
        <v>Trocador de calor</v>
      </c>
      <c r="D165" s="438" t="s">
        <v>5700</v>
      </c>
      <c r="E165" s="307"/>
      <c r="F165" s="1346"/>
      <c r="G165" s="1347">
        <f t="shared" si="14"/>
        <v>0</v>
      </c>
      <c r="H165" s="166"/>
      <c r="I165" s="159"/>
      <c r="J165" s="802">
        <f t="shared" si="15"/>
        <v>0</v>
      </c>
      <c r="K165" s="21"/>
      <c r="L165" s="38"/>
      <c r="M165" s="907"/>
      <c r="N165" s="12"/>
      <c r="O165"/>
      <c r="P165"/>
      <c r="Q165">
        <f t="shared" si="12"/>
        <v>0</v>
      </c>
      <c r="R165">
        <v>9</v>
      </c>
      <c r="S165"/>
      <c r="T165"/>
      <c r="U165">
        <v>61774</v>
      </c>
      <c r="V165" s="510" t="s">
        <v>3314</v>
      </c>
      <c r="W165" s="511" t="s">
        <v>4526</v>
      </c>
    </row>
    <row r="166" spans="1:23" hidden="1">
      <c r="A166" s="12"/>
      <c r="B166" s="8"/>
      <c r="C166" s="8" t="str">
        <f>Language!C1529</f>
        <v>Bomba de circulação</v>
      </c>
      <c r="D166" s="303" t="s">
        <v>4455</v>
      </c>
      <c r="E166" s="307"/>
      <c r="F166" s="1346"/>
      <c r="G166" s="1347">
        <f t="shared" si="14"/>
        <v>0</v>
      </c>
      <c r="H166" s="166"/>
      <c r="I166" s="159"/>
      <c r="J166" s="802">
        <f t="shared" si="15"/>
        <v>0</v>
      </c>
      <c r="K166" s="21"/>
      <c r="L166" s="38"/>
      <c r="M166" s="907"/>
      <c r="N166" s="12"/>
      <c r="O166"/>
      <c r="P166"/>
      <c r="Q166">
        <f t="shared" si="12"/>
        <v>0</v>
      </c>
      <c r="R166">
        <v>9</v>
      </c>
      <c r="S166"/>
      <c r="T166"/>
      <c r="U166">
        <v>61775</v>
      </c>
      <c r="V166" s="510" t="s">
        <v>6930</v>
      </c>
      <c r="W166" s="511" t="s">
        <v>4887</v>
      </c>
    </row>
    <row r="167" spans="1:23" hidden="1">
      <c r="A167" s="12"/>
      <c r="B167" s="8"/>
      <c r="C167" s="363" t="str">
        <f>Language!C1889</f>
        <v>Encanamento</v>
      </c>
      <c r="D167" s="155" t="str">
        <f>D148</f>
        <v>projeto</v>
      </c>
      <c r="E167" s="307"/>
      <c r="F167" s="1346"/>
      <c r="G167" s="1347">
        <f t="shared" si="14"/>
        <v>0</v>
      </c>
      <c r="H167" s="166"/>
      <c r="I167" s="159"/>
      <c r="J167" s="802">
        <f t="shared" si="15"/>
        <v>0</v>
      </c>
      <c r="K167" s="21"/>
      <c r="L167" s="38"/>
      <c r="M167" s="907"/>
      <c r="N167" s="12"/>
      <c r="O167"/>
      <c r="P167"/>
      <c r="Q167">
        <f t="shared" si="12"/>
        <v>0</v>
      </c>
      <c r="R167">
        <v>9</v>
      </c>
      <c r="S167"/>
      <c r="T167"/>
      <c r="U167">
        <v>61776</v>
      </c>
      <c r="V167" s="510" t="s">
        <v>6932</v>
      </c>
      <c r="W167" s="511" t="s">
        <v>4888</v>
      </c>
    </row>
    <row r="168" spans="1:23" hidden="1">
      <c r="A168" s="12"/>
      <c r="B168" s="8"/>
      <c r="C168" s="363" t="str">
        <f>$C$136</f>
        <v>Instalação</v>
      </c>
      <c r="D168" s="155" t="str">
        <f>D148</f>
        <v>projeto</v>
      </c>
      <c r="E168" s="307"/>
      <c r="F168" s="1346"/>
      <c r="G168" s="1347">
        <f t="shared" si="14"/>
        <v>0</v>
      </c>
      <c r="H168" s="166"/>
      <c r="I168" s="159"/>
      <c r="J168" s="802">
        <f t="shared" si="15"/>
        <v>0</v>
      </c>
      <c r="K168" s="21"/>
      <c r="L168" s="38"/>
      <c r="M168" s="907"/>
      <c r="N168" s="12"/>
      <c r="O168"/>
      <c r="P168"/>
      <c r="Q168">
        <f t="shared" si="12"/>
        <v>0</v>
      </c>
      <c r="R168">
        <v>9</v>
      </c>
      <c r="S168"/>
      <c r="T168"/>
      <c r="U168">
        <v>61777</v>
      </c>
      <c r="V168" s="510" t="s">
        <v>2133</v>
      </c>
      <c r="W168" s="511" t="s">
        <v>3851</v>
      </c>
    </row>
    <row r="169" spans="1:23" hidden="1">
      <c r="A169" s="12"/>
      <c r="B169" s="8"/>
      <c r="C169" s="792" t="str">
        <f>F273</f>
        <v>Definido pelo usuário</v>
      </c>
      <c r="D169" s="303" t="s">
        <v>6171</v>
      </c>
      <c r="E169" s="307"/>
      <c r="F169" s="1346"/>
      <c r="G169" s="1347">
        <f>IF(D169=$C$261,-1,1)*E169*F169*Q169</f>
        <v>0</v>
      </c>
      <c r="H169" s="166"/>
      <c r="I169" s="159"/>
      <c r="J169" s="802">
        <f t="shared" ref="J169:J186" si="16">G169/$Q$9*I169</f>
        <v>0</v>
      </c>
      <c r="K169" s="21"/>
      <c r="L169" s="38"/>
      <c r="M169" s="907"/>
      <c r="N169" s="12"/>
      <c r="O169"/>
      <c r="P169"/>
      <c r="Q169">
        <v>0</v>
      </c>
      <c r="R169">
        <v>9</v>
      </c>
      <c r="S169"/>
      <c r="T169"/>
      <c r="U169">
        <v>61142</v>
      </c>
      <c r="V169" s="510" t="s">
        <v>31</v>
      </c>
      <c r="W169" s="511" t="s">
        <v>4889</v>
      </c>
    </row>
    <row r="170" spans="1:23" hidden="1">
      <c r="A170" s="12"/>
      <c r="B170" s="8"/>
      <c r="C170" s="792"/>
      <c r="D170" s="303"/>
      <c r="E170" s="307"/>
      <c r="F170" s="1346"/>
      <c r="G170" s="1347">
        <f>IF(D170=$C$261,-1,1)*E170*F170*Q170</f>
        <v>0</v>
      </c>
      <c r="H170" s="166"/>
      <c r="I170" s="159"/>
      <c r="J170" s="802">
        <f t="shared" si="16"/>
        <v>0</v>
      </c>
      <c r="K170" s="21"/>
      <c r="L170" s="38"/>
      <c r="M170" s="907"/>
      <c r="N170" s="12"/>
      <c r="O170"/>
      <c r="P170"/>
      <c r="Q170">
        <v>0</v>
      </c>
      <c r="R170">
        <v>9</v>
      </c>
      <c r="S170"/>
      <c r="T170"/>
      <c r="U170">
        <v>61142</v>
      </c>
      <c r="V170" s="510" t="s">
        <v>6937</v>
      </c>
      <c r="W170" s="511" t="s">
        <v>4772</v>
      </c>
    </row>
    <row r="171" spans="1:23" hidden="1">
      <c r="A171" s="12"/>
      <c r="B171" s="8"/>
      <c r="C171" s="8" t="str">
        <f>Language!C2077</f>
        <v>Bomba do poço</v>
      </c>
      <c r="D171" s="21" t="str">
        <f>Ferramentas!C280</f>
        <v>kW</v>
      </c>
      <c r="E171" s="236">
        <f>Ferramentas!D280</f>
        <v>0</v>
      </c>
      <c r="F171" s="1347">
        <f>Ferramentas!E280</f>
        <v>0</v>
      </c>
      <c r="G171" s="1347">
        <f t="shared" ref="G171:G178" si="17">E171*F171*Q171</f>
        <v>0</v>
      </c>
      <c r="H171" s="166"/>
      <c r="I171" s="159"/>
      <c r="J171" s="802">
        <f t="shared" si="16"/>
        <v>0</v>
      </c>
      <c r="K171" s="21"/>
      <c r="L171" s="38"/>
      <c r="M171" s="907"/>
      <c r="N171" s="12"/>
      <c r="O171"/>
      <c r="P171"/>
      <c r="Q171">
        <f t="shared" ref="Q171:Q178" si="18">IF(AND($Q$96=R171,E171&lt;&gt;0),1,0)*$O$204</f>
        <v>0</v>
      </c>
      <c r="R171">
        <v>11</v>
      </c>
      <c r="S171"/>
      <c r="T171"/>
      <c r="U171">
        <v>61709</v>
      </c>
      <c r="V171" s="510" t="s">
        <v>6938</v>
      </c>
      <c r="W171" s="511" t="s">
        <v>203</v>
      </c>
    </row>
    <row r="172" spans="1:23" hidden="1">
      <c r="A172" s="12"/>
      <c r="B172" s="8"/>
      <c r="C172" s="8" t="str">
        <f>Language!C1529</f>
        <v>Bomba de circulação</v>
      </c>
      <c r="D172" s="21" t="str">
        <f>Ferramentas!C281</f>
        <v>kW</v>
      </c>
      <c r="E172" s="236">
        <f>Ferramentas!D281</f>
        <v>0</v>
      </c>
      <c r="F172" s="1347">
        <f>Ferramentas!E281</f>
        <v>0</v>
      </c>
      <c r="G172" s="1347">
        <f t="shared" si="17"/>
        <v>0</v>
      </c>
      <c r="H172" s="166"/>
      <c r="I172" s="159"/>
      <c r="J172" s="802">
        <f t="shared" si="16"/>
        <v>0</v>
      </c>
      <c r="K172" s="21"/>
      <c r="L172" s="38"/>
      <c r="M172" s="907"/>
      <c r="N172" s="12"/>
      <c r="O172">
        <f>Ferramentas!L268</f>
        <v>2</v>
      </c>
      <c r="P172"/>
      <c r="Q172">
        <f t="shared" si="18"/>
        <v>0</v>
      </c>
      <c r="R172">
        <v>11</v>
      </c>
      <c r="S172"/>
      <c r="T172"/>
      <c r="U172">
        <v>61709</v>
      </c>
      <c r="V172" s="510" t="s">
        <v>6939</v>
      </c>
      <c r="W172" s="511" t="s">
        <v>4773</v>
      </c>
    </row>
    <row r="173" spans="1:23" hidden="1">
      <c r="A173" s="12"/>
      <c r="B173" s="8"/>
      <c r="C173" s="8" t="str">
        <f>Language!C1528</f>
        <v>Fluido circulante</v>
      </c>
      <c r="D173" s="21" t="str">
        <f>Ferramentas!C282</f>
        <v>m³</v>
      </c>
      <c r="E173" s="217">
        <f ca="1">Ferramentas!D282</f>
        <v>0</v>
      </c>
      <c r="F173" s="1347">
        <f>Ferramentas!E282</f>
        <v>0</v>
      </c>
      <c r="G173" s="1347">
        <f t="shared" ca="1" si="17"/>
        <v>0</v>
      </c>
      <c r="H173" s="166"/>
      <c r="I173" s="159"/>
      <c r="J173" s="802">
        <f t="shared" ca="1" si="16"/>
        <v>0</v>
      </c>
      <c r="K173" s="21"/>
      <c r="L173" s="38"/>
      <c r="M173" s="907"/>
      <c r="N173" s="12"/>
      <c r="O173"/>
      <c r="P173"/>
      <c r="Q173">
        <f t="shared" ca="1" si="18"/>
        <v>0</v>
      </c>
      <c r="R173">
        <v>11</v>
      </c>
      <c r="S173"/>
      <c r="T173"/>
      <c r="U173">
        <v>61709</v>
      </c>
      <c r="V173" s="510" t="s">
        <v>32</v>
      </c>
      <c r="W173" s="511" t="s">
        <v>4891</v>
      </c>
    </row>
    <row r="174" spans="1:23" hidden="1">
      <c r="A174" s="12"/>
      <c r="B174" s="8"/>
      <c r="C174" s="8" t="str">
        <f>Language!C1718</f>
        <v>Trocador de calor</v>
      </c>
      <c r="D174" s="21" t="str">
        <f>Ferramentas!C283</f>
        <v>kW</v>
      </c>
      <c r="E174" s="236">
        <f>Ferramentas!D283</f>
        <v>0</v>
      </c>
      <c r="F174" s="1347">
        <f>Ferramentas!E283</f>
        <v>0</v>
      </c>
      <c r="G174" s="1347">
        <f t="shared" si="17"/>
        <v>0</v>
      </c>
      <c r="H174" s="166"/>
      <c r="I174" s="159"/>
      <c r="J174" s="802">
        <f t="shared" si="16"/>
        <v>0</v>
      </c>
      <c r="K174" s="21"/>
      <c r="L174" s="38"/>
      <c r="M174" s="907"/>
      <c r="N174" s="12"/>
      <c r="O174"/>
      <c r="P174"/>
      <c r="Q174">
        <f t="shared" si="18"/>
        <v>0</v>
      </c>
      <c r="R174">
        <v>11</v>
      </c>
      <c r="S174"/>
      <c r="T174"/>
      <c r="U174">
        <v>61709</v>
      </c>
      <c r="V174" s="510" t="s">
        <v>6941</v>
      </c>
      <c r="W174" s="511" t="s">
        <v>3690</v>
      </c>
    </row>
    <row r="175" spans="1:23" hidden="1">
      <c r="A175" s="12"/>
      <c r="B175" s="8"/>
      <c r="C175" s="8" t="str">
        <f>Language!C2040</f>
        <v>Escavação &amp; aterramento</v>
      </c>
      <c r="D175" s="21" t="str">
        <f>Ferramentas!C284</f>
        <v>m</v>
      </c>
      <c r="E175" s="88">
        <f ca="1">Ferramentas!D284</f>
        <v>0</v>
      </c>
      <c r="F175" s="1347">
        <f>Ferramentas!E284</f>
        <v>0</v>
      </c>
      <c r="G175" s="1347">
        <f t="shared" ca="1" si="17"/>
        <v>0</v>
      </c>
      <c r="H175" s="166"/>
      <c r="I175" s="159"/>
      <c r="J175" s="802">
        <f t="shared" ca="1" si="16"/>
        <v>0</v>
      </c>
      <c r="K175" s="21"/>
      <c r="L175" s="38"/>
      <c r="M175" s="907"/>
      <c r="N175" s="12"/>
      <c r="O175"/>
      <c r="P175"/>
      <c r="Q175">
        <f t="shared" ca="1" si="18"/>
        <v>0</v>
      </c>
      <c r="R175">
        <v>11</v>
      </c>
      <c r="S175"/>
      <c r="T175"/>
      <c r="U175">
        <v>61709</v>
      </c>
      <c r="V175" s="510" t="s">
        <v>6935</v>
      </c>
      <c r="W175" s="511" t="s">
        <v>5824</v>
      </c>
    </row>
    <row r="176" spans="1:23" hidden="1">
      <c r="A176" s="12"/>
      <c r="B176" s="8"/>
      <c r="C176" s="8" t="str">
        <f>Language!C1610</f>
        <v>Furação &amp; nivelamento</v>
      </c>
      <c r="D176" s="21" t="str">
        <f>Ferramentas!C285</f>
        <v>m</v>
      </c>
      <c r="E176" s="88">
        <f>Ferramentas!D285</f>
        <v>0</v>
      </c>
      <c r="F176" s="1347">
        <f>Ferramentas!E285</f>
        <v>0</v>
      </c>
      <c r="G176" s="1347">
        <f t="shared" si="17"/>
        <v>0</v>
      </c>
      <c r="H176" s="166"/>
      <c r="I176" s="159"/>
      <c r="J176" s="802">
        <f t="shared" si="16"/>
        <v>0</v>
      </c>
      <c r="K176" s="21"/>
      <c r="L176" s="38"/>
      <c r="M176" s="907"/>
      <c r="N176" s="12"/>
      <c r="O176"/>
      <c r="P176"/>
      <c r="Q176">
        <f t="shared" si="18"/>
        <v>0</v>
      </c>
      <c r="R176">
        <v>11</v>
      </c>
      <c r="S176"/>
      <c r="T176"/>
      <c r="U176">
        <v>61709</v>
      </c>
      <c r="V176" s="510" t="s">
        <v>6936</v>
      </c>
      <c r="W176" s="511" t="s">
        <v>4891</v>
      </c>
    </row>
    <row r="177" spans="1:23" hidden="1">
      <c r="A177" s="12"/>
      <c r="B177" s="8"/>
      <c r="C177" s="8" t="str">
        <f>Language!C1792</f>
        <v>Tubo do circuito</v>
      </c>
      <c r="D177" s="21" t="str">
        <f>Ferramentas!C286</f>
        <v>m</v>
      </c>
      <c r="E177" s="88">
        <f ca="1">Ferramentas!D286</f>
        <v>0</v>
      </c>
      <c r="F177" s="1347">
        <f>Ferramentas!E286</f>
        <v>0</v>
      </c>
      <c r="G177" s="1347">
        <f t="shared" ca="1" si="17"/>
        <v>0</v>
      </c>
      <c r="H177" s="166"/>
      <c r="I177" s="159"/>
      <c r="J177" s="802">
        <f t="shared" ca="1" si="16"/>
        <v>0</v>
      </c>
      <c r="K177" s="21"/>
      <c r="L177" s="38"/>
      <c r="M177" s="907"/>
      <c r="N177" s="12"/>
      <c r="O177"/>
      <c r="P177"/>
      <c r="Q177">
        <f t="shared" ca="1" si="18"/>
        <v>0</v>
      </c>
      <c r="R177">
        <v>11</v>
      </c>
      <c r="S177"/>
      <c r="T177"/>
      <c r="U177">
        <v>61709</v>
      </c>
      <c r="V177" s="510" t="s">
        <v>6942</v>
      </c>
      <c r="W177" s="511" t="s">
        <v>1008</v>
      </c>
    </row>
    <row r="178" spans="1:23" hidden="1">
      <c r="A178" s="12"/>
      <c r="B178" s="8"/>
      <c r="C178" s="8" t="str">
        <f>Language!C1662</f>
        <v>Válvulas &amp; acessórios</v>
      </c>
      <c r="D178" s="21" t="str">
        <f>Ferramentas!C287</f>
        <v>kW</v>
      </c>
      <c r="E178" s="236">
        <f>Ferramentas!D287</f>
        <v>0</v>
      </c>
      <c r="F178" s="1347">
        <f>Ferramentas!E287</f>
        <v>0</v>
      </c>
      <c r="G178" s="1347">
        <f t="shared" si="17"/>
        <v>0</v>
      </c>
      <c r="H178" s="166"/>
      <c r="I178" s="159"/>
      <c r="J178" s="802">
        <f t="shared" si="16"/>
        <v>0</v>
      </c>
      <c r="K178" s="21"/>
      <c r="L178" s="38"/>
      <c r="M178" s="907"/>
      <c r="N178" s="12"/>
      <c r="O178"/>
      <c r="P178"/>
      <c r="Q178">
        <f t="shared" si="18"/>
        <v>0</v>
      </c>
      <c r="R178">
        <v>11</v>
      </c>
      <c r="S178"/>
      <c r="T178"/>
      <c r="U178">
        <v>61709</v>
      </c>
      <c r="V178" s="510" t="s">
        <v>33</v>
      </c>
      <c r="W178" s="511" t="s">
        <v>5480</v>
      </c>
    </row>
    <row r="179" spans="1:23" hidden="1">
      <c r="A179" s="12"/>
      <c r="B179" s="8"/>
      <c r="C179" s="792" t="str">
        <f>F273</f>
        <v>Definido pelo usuário</v>
      </c>
      <c r="D179" s="303" t="s">
        <v>6171</v>
      </c>
      <c r="E179" s="307"/>
      <c r="F179" s="1346"/>
      <c r="G179" s="1347">
        <f>IF(D179=$C$261,-1,1)*E179*F179*Q179</f>
        <v>0</v>
      </c>
      <c r="H179" s="166"/>
      <c r="I179" s="159"/>
      <c r="J179" s="802">
        <f t="shared" si="16"/>
        <v>0</v>
      </c>
      <c r="K179" s="21"/>
      <c r="L179" s="38"/>
      <c r="M179" s="907"/>
      <c r="N179" s="12"/>
      <c r="O179"/>
      <c r="P179"/>
      <c r="Q179">
        <v>0</v>
      </c>
      <c r="R179">
        <v>11</v>
      </c>
      <c r="S179"/>
      <c r="T179"/>
      <c r="U179">
        <v>61142</v>
      </c>
      <c r="V179" s="510" t="s">
        <v>6944</v>
      </c>
      <c r="W179" s="511" t="s">
        <v>52</v>
      </c>
    </row>
    <row r="180" spans="1:23" hidden="1">
      <c r="A180" s="12"/>
      <c r="B180" s="8"/>
      <c r="C180" s="792"/>
      <c r="D180" s="303"/>
      <c r="E180" s="307"/>
      <c r="F180" s="1346"/>
      <c r="G180" s="1347">
        <f>IF(D180=$C$261,-1,1)*E180*F180*Q180</f>
        <v>0</v>
      </c>
      <c r="H180" s="166"/>
      <c r="I180" s="159"/>
      <c r="J180" s="802">
        <f t="shared" si="16"/>
        <v>0</v>
      </c>
      <c r="K180" s="21"/>
      <c r="L180" s="38"/>
      <c r="M180" s="907"/>
      <c r="N180" s="12"/>
      <c r="O180"/>
      <c r="P180"/>
      <c r="Q180">
        <v>0</v>
      </c>
      <c r="R180">
        <v>11</v>
      </c>
      <c r="S180"/>
      <c r="T180"/>
      <c r="U180">
        <v>61142</v>
      </c>
      <c r="V180" s="510" t="s">
        <v>6945</v>
      </c>
      <c r="W180" s="511" t="s">
        <v>53</v>
      </c>
    </row>
    <row r="181" spans="1:23" hidden="1">
      <c r="A181" s="12"/>
      <c r="B181" s="8"/>
      <c r="C181" s="8" t="str">
        <f>C129</f>
        <v>Adutora</v>
      </c>
      <c r="D181" s="21"/>
      <c r="E181" s="217"/>
      <c r="F181" s="1347">
        <f>Ferramentas!E377</f>
        <v>0</v>
      </c>
      <c r="G181" s="1347">
        <f>F181*Q181</f>
        <v>0</v>
      </c>
      <c r="H181" s="166"/>
      <c r="I181" s="159"/>
      <c r="J181" s="802">
        <f t="shared" si="16"/>
        <v>0</v>
      </c>
      <c r="K181" s="21"/>
      <c r="L181" s="38"/>
      <c r="M181" s="907"/>
      <c r="N181" s="12"/>
      <c r="O181"/>
      <c r="P181"/>
      <c r="Q181">
        <f t="shared" ref="Q181:Q190" si="19">IF($Q$96=R181,1,0)*$O$204</f>
        <v>0</v>
      </c>
      <c r="R181">
        <v>12</v>
      </c>
      <c r="S181"/>
      <c r="T181"/>
      <c r="U181">
        <v>61727</v>
      </c>
      <c r="V181" s="510" t="s">
        <v>6943</v>
      </c>
      <c r="W181" s="511" t="s">
        <v>5795</v>
      </c>
    </row>
    <row r="182" spans="1:23" ht="12.75" hidden="1" customHeight="1">
      <c r="A182" s="12"/>
      <c r="B182" s="8"/>
      <c r="C182" s="8" t="str">
        <f>C126</f>
        <v>Canal</v>
      </c>
      <c r="D182" s="21"/>
      <c r="E182" s="217"/>
      <c r="F182" s="1347">
        <f>Ferramentas!E378</f>
        <v>0</v>
      </c>
      <c r="G182" s="1347">
        <f>F182*Q182</f>
        <v>0</v>
      </c>
      <c r="H182" s="166"/>
      <c r="I182" s="159"/>
      <c r="J182" s="802">
        <f t="shared" si="16"/>
        <v>0</v>
      </c>
      <c r="K182" s="21"/>
      <c r="L182" s="38"/>
      <c r="M182" s="907"/>
      <c r="N182" s="12"/>
      <c r="O182"/>
      <c r="P182"/>
      <c r="Q182">
        <f t="shared" si="19"/>
        <v>0</v>
      </c>
      <c r="R182">
        <v>12</v>
      </c>
      <c r="S182"/>
      <c r="T182"/>
      <c r="U182">
        <v>61727</v>
      </c>
      <c r="V182" s="510" t="s">
        <v>6946</v>
      </c>
      <c r="W182" s="511" t="s">
        <v>2413</v>
      </c>
    </row>
    <row r="183" spans="1:23" ht="12.75" hidden="1" customHeight="1">
      <c r="A183" s="12"/>
      <c r="B183" s="8"/>
      <c r="C183" s="8" t="str">
        <f>C128</f>
        <v>Tunel</v>
      </c>
      <c r="D183" s="21"/>
      <c r="E183" s="217"/>
      <c r="F183" s="1347">
        <f>Ferramentas!E379</f>
        <v>0</v>
      </c>
      <c r="G183" s="1347">
        <f>F183*Q183</f>
        <v>0</v>
      </c>
      <c r="H183" s="166"/>
      <c r="I183" s="159"/>
      <c r="J183" s="802">
        <f t="shared" si="16"/>
        <v>0</v>
      </c>
      <c r="K183" s="21"/>
      <c r="L183" s="38"/>
      <c r="M183" s="907"/>
      <c r="N183" s="12"/>
      <c r="O183"/>
      <c r="P183"/>
      <c r="Q183">
        <f t="shared" si="19"/>
        <v>0</v>
      </c>
      <c r="R183">
        <v>12</v>
      </c>
      <c r="S183"/>
      <c r="T183"/>
      <c r="U183">
        <v>61727</v>
      </c>
      <c r="V183" s="510" t="s">
        <v>34</v>
      </c>
      <c r="W183" s="511" t="s">
        <v>5777</v>
      </c>
    </row>
    <row r="184" spans="1:23" ht="12.75" hidden="1" customHeight="1">
      <c r="A184" s="12"/>
      <c r="B184" s="8"/>
      <c r="C184" s="8" t="str">
        <f>Language!C142</f>
        <v>Outro</v>
      </c>
      <c r="D184" s="21"/>
      <c r="E184" s="217"/>
      <c r="F184" s="1347">
        <f>Ferramentas!E380</f>
        <v>0</v>
      </c>
      <c r="G184" s="1347">
        <f>F184*Q184</f>
        <v>0</v>
      </c>
      <c r="H184" s="166"/>
      <c r="I184" s="159"/>
      <c r="J184" s="802">
        <f t="shared" si="16"/>
        <v>0</v>
      </c>
      <c r="K184" s="21"/>
      <c r="L184" s="38"/>
      <c r="M184" s="907"/>
      <c r="N184" s="12"/>
      <c r="O184"/>
      <c r="P184"/>
      <c r="Q184">
        <f t="shared" si="19"/>
        <v>0</v>
      </c>
      <c r="R184">
        <v>12</v>
      </c>
      <c r="S184"/>
      <c r="T184"/>
      <c r="U184">
        <v>61727</v>
      </c>
      <c r="V184" s="510" t="s">
        <v>2182</v>
      </c>
      <c r="W184" s="511" t="s">
        <v>4891</v>
      </c>
    </row>
    <row r="185" spans="1:23" ht="12.75" hidden="1" customHeight="1">
      <c r="A185" s="12"/>
      <c r="B185" s="8"/>
      <c r="C185" s="792" t="str">
        <f>F273</f>
        <v>Definido pelo usuário</v>
      </c>
      <c r="D185" s="303" t="s">
        <v>6171</v>
      </c>
      <c r="E185" s="307"/>
      <c r="F185" s="1346"/>
      <c r="G185" s="1347">
        <f t="shared" ref="G185:G190" si="20">IF(D185=$C$261,-1,1)*E185*F185*Q185</f>
        <v>0</v>
      </c>
      <c r="H185" s="166"/>
      <c r="I185" s="159"/>
      <c r="J185" s="802">
        <f t="shared" si="16"/>
        <v>0</v>
      </c>
      <c r="K185" s="21"/>
      <c r="L185" s="38"/>
      <c r="M185" s="907"/>
      <c r="N185" s="12"/>
      <c r="O185"/>
      <c r="P185"/>
      <c r="Q185">
        <v>0</v>
      </c>
      <c r="R185">
        <v>12</v>
      </c>
      <c r="S185"/>
      <c r="T185"/>
      <c r="U185">
        <v>61142</v>
      </c>
      <c r="V185" s="510" t="s">
        <v>6883</v>
      </c>
      <c r="W185" s="511" t="s">
        <v>5824</v>
      </c>
    </row>
    <row r="186" spans="1:23" ht="12.75" hidden="1" customHeight="1">
      <c r="A186" s="12"/>
      <c r="B186" s="8"/>
      <c r="C186" s="792"/>
      <c r="D186" s="303"/>
      <c r="E186" s="307"/>
      <c r="F186" s="1346"/>
      <c r="G186" s="1347">
        <f t="shared" si="20"/>
        <v>0</v>
      </c>
      <c r="H186" s="166"/>
      <c r="I186" s="159"/>
      <c r="J186" s="802">
        <f t="shared" si="16"/>
        <v>0</v>
      </c>
      <c r="K186" s="21"/>
      <c r="L186" s="38"/>
      <c r="M186" s="907"/>
      <c r="N186" s="12"/>
      <c r="O186"/>
      <c r="P186"/>
      <c r="Q186">
        <v>0</v>
      </c>
      <c r="R186">
        <v>12</v>
      </c>
      <c r="S186"/>
      <c r="T186"/>
      <c r="U186">
        <v>61142</v>
      </c>
      <c r="V186" s="510" t="s">
        <v>6948</v>
      </c>
      <c r="W186" s="511" t="s">
        <v>4082</v>
      </c>
    </row>
    <row r="187" spans="1:23" ht="12.75" hidden="1" customHeight="1">
      <c r="A187" s="12"/>
      <c r="B187" s="8"/>
      <c r="C187" s="792" t="str">
        <f>F273</f>
        <v>Definido pelo usuário</v>
      </c>
      <c r="D187" s="303" t="s">
        <v>6171</v>
      </c>
      <c r="E187" s="307"/>
      <c r="F187" s="1346"/>
      <c r="G187" s="1347">
        <f t="shared" si="20"/>
        <v>0</v>
      </c>
      <c r="H187" s="166"/>
      <c r="I187" s="159"/>
      <c r="J187" s="802">
        <f t="shared" ref="J187:J197" si="21">G187/$Q$9*I187</f>
        <v>0</v>
      </c>
      <c r="K187" s="21"/>
      <c r="L187" s="38"/>
      <c r="M187" s="907"/>
      <c r="N187" s="12"/>
      <c r="O187"/>
      <c r="P187"/>
      <c r="Q187">
        <f t="shared" si="19"/>
        <v>0</v>
      </c>
      <c r="R187">
        <v>10</v>
      </c>
      <c r="S187"/>
      <c r="T187"/>
      <c r="U187">
        <v>61782</v>
      </c>
      <c r="V187" s="510" t="s">
        <v>6949</v>
      </c>
      <c r="W187" s="511" t="s">
        <v>5480</v>
      </c>
    </row>
    <row r="188" spans="1:23" ht="12.75" hidden="1" customHeight="1">
      <c r="A188" s="12"/>
      <c r="B188" s="8"/>
      <c r="C188" s="792"/>
      <c r="D188" s="303"/>
      <c r="E188" s="307"/>
      <c r="F188" s="1346"/>
      <c r="G188" s="1347">
        <f t="shared" si="20"/>
        <v>0</v>
      </c>
      <c r="H188" s="166"/>
      <c r="I188" s="159"/>
      <c r="J188" s="802">
        <f t="shared" si="21"/>
        <v>0</v>
      </c>
      <c r="K188" s="21"/>
      <c r="L188" s="38"/>
      <c r="M188" s="907"/>
      <c r="N188" s="12"/>
      <c r="O188"/>
      <c r="P188"/>
      <c r="Q188">
        <f t="shared" si="19"/>
        <v>0</v>
      </c>
      <c r="R188">
        <v>10</v>
      </c>
      <c r="S188"/>
      <c r="T188"/>
      <c r="U188">
        <v>61782</v>
      </c>
      <c r="V188" s="510" t="s">
        <v>3023</v>
      </c>
      <c r="W188" s="511" t="s">
        <v>5481</v>
      </c>
    </row>
    <row r="189" spans="1:23" ht="12.75" hidden="1" customHeight="1">
      <c r="A189" s="12"/>
      <c r="B189" s="8"/>
      <c r="C189" s="792"/>
      <c r="D189" s="303"/>
      <c r="E189" s="307"/>
      <c r="F189" s="1346"/>
      <c r="G189" s="1347">
        <f t="shared" si="20"/>
        <v>0</v>
      </c>
      <c r="H189" s="166"/>
      <c r="I189" s="159"/>
      <c r="J189" s="802">
        <f t="shared" si="21"/>
        <v>0</v>
      </c>
      <c r="K189" s="21"/>
      <c r="L189" s="38"/>
      <c r="M189" s="907"/>
      <c r="N189" s="12"/>
      <c r="O189"/>
      <c r="P189"/>
      <c r="Q189">
        <f t="shared" si="19"/>
        <v>0</v>
      </c>
      <c r="R189">
        <v>10</v>
      </c>
      <c r="S189"/>
      <c r="T189"/>
      <c r="U189">
        <v>61782</v>
      </c>
      <c r="V189" s="510" t="s">
        <v>6907</v>
      </c>
      <c r="W189" s="511" t="s">
        <v>3466</v>
      </c>
    </row>
    <row r="190" spans="1:23" ht="12.75" hidden="1" customHeight="1">
      <c r="A190" s="12"/>
      <c r="B190" s="8"/>
      <c r="C190" s="792"/>
      <c r="D190" s="303"/>
      <c r="E190" s="307"/>
      <c r="F190" s="1346"/>
      <c r="G190" s="1347">
        <f t="shared" si="20"/>
        <v>0</v>
      </c>
      <c r="H190" s="166"/>
      <c r="I190" s="159"/>
      <c r="J190" s="802">
        <f t="shared" si="21"/>
        <v>0</v>
      </c>
      <c r="K190" s="21"/>
      <c r="L190" s="38"/>
      <c r="M190" s="907"/>
      <c r="N190" s="12"/>
      <c r="O190"/>
      <c r="P190"/>
      <c r="Q190">
        <f t="shared" si="19"/>
        <v>0</v>
      </c>
      <c r="R190">
        <v>10</v>
      </c>
      <c r="S190"/>
      <c r="T190"/>
      <c r="U190">
        <v>61782</v>
      </c>
      <c r="V190" s="510" t="s">
        <v>6908</v>
      </c>
      <c r="W190" s="511" t="s">
        <v>258</v>
      </c>
    </row>
    <row r="191" spans="1:23" ht="12.75" hidden="1" customHeight="1">
      <c r="A191" s="12"/>
      <c r="B191" s="8"/>
      <c r="C191" s="8" t="str">
        <f>Language!C557</f>
        <v>Construção do prédio e do pátio</v>
      </c>
      <c r="D191" s="303" t="s">
        <v>5430</v>
      </c>
      <c r="E191" s="307"/>
      <c r="F191" s="1346"/>
      <c r="G191" s="1347">
        <f>E191*F191*Q191</f>
        <v>0</v>
      </c>
      <c r="H191" s="166"/>
      <c r="I191" s="159"/>
      <c r="J191" s="802">
        <f t="shared" si="21"/>
        <v>0</v>
      </c>
      <c r="K191" s="21"/>
      <c r="L191" s="38"/>
      <c r="M191" s="907"/>
      <c r="N191" s="12"/>
      <c r="O191"/>
      <c r="P191"/>
      <c r="Q191">
        <f>IF(OR(Q6=TRUE,HideCodeCA_BP=$R$195),0,1)</f>
        <v>0</v>
      </c>
      <c r="R191"/>
      <c r="S191"/>
      <c r="T191"/>
      <c r="U191">
        <v>61793</v>
      </c>
      <c r="V191" s="510" t="s">
        <v>6990</v>
      </c>
      <c r="W191" s="511" t="s">
        <v>3941</v>
      </c>
    </row>
    <row r="192" spans="1:23" ht="12.75" customHeight="1">
      <c r="A192" s="12"/>
      <c r="B192" s="8"/>
      <c r="C192" s="8" t="str">
        <f>Language!C558</f>
        <v>Peças de reposição</v>
      </c>
      <c r="D192" s="21" t="str">
        <f>Language!C1306</f>
        <v>%</v>
      </c>
      <c r="E192" s="422"/>
      <c r="F192" s="1346"/>
      <c r="G192" s="1347">
        <f>E192*F192*Q192</f>
        <v>0</v>
      </c>
      <c r="H192" s="166"/>
      <c r="I192" s="159"/>
      <c r="J192" s="802">
        <f t="shared" si="21"/>
        <v>0</v>
      </c>
      <c r="K192" s="21"/>
      <c r="L192" s="38"/>
      <c r="M192" s="907"/>
      <c r="N192" s="12"/>
      <c r="O192"/>
      <c r="P192"/>
      <c r="Q192">
        <f>IF(HideCodeCA_BP=$R$195,0,1)</f>
        <v>1</v>
      </c>
      <c r="R192"/>
      <c r="S192"/>
      <c r="T192"/>
      <c r="U192">
        <v>61794</v>
      </c>
      <c r="V192" s="510" t="s">
        <v>6862</v>
      </c>
      <c r="W192" s="511" t="s">
        <v>3949</v>
      </c>
    </row>
    <row r="193" spans="1:23" ht="12.75" customHeight="1">
      <c r="A193" s="12"/>
      <c r="B193" s="8"/>
      <c r="C193" s="8" t="str">
        <f>Language!C559</f>
        <v>Transporte</v>
      </c>
      <c r="D193" s="21" t="str">
        <f>$D$28</f>
        <v>projeto</v>
      </c>
      <c r="E193" s="307"/>
      <c r="F193" s="1346"/>
      <c r="G193" s="1347">
        <f>E193*F193*Q193</f>
        <v>0</v>
      </c>
      <c r="H193" s="166"/>
      <c r="I193" s="159"/>
      <c r="J193" s="802">
        <f t="shared" si="21"/>
        <v>0</v>
      </c>
      <c r="K193" s="21"/>
      <c r="L193" s="38"/>
      <c r="M193" s="907"/>
      <c r="N193" s="12"/>
      <c r="O193"/>
      <c r="P193"/>
      <c r="Q193">
        <f>IF(HideCodeCA_BP=$R$195,0,1)</f>
        <v>1</v>
      </c>
      <c r="R193"/>
      <c r="S193"/>
      <c r="T193"/>
      <c r="U193">
        <v>61795</v>
      </c>
      <c r="V193" s="510" t="s">
        <v>6711</v>
      </c>
      <c r="W193" s="511" t="s">
        <v>3173</v>
      </c>
    </row>
    <row r="194" spans="1:23" ht="12.75" customHeight="1">
      <c r="A194" s="12"/>
      <c r="B194" s="8"/>
      <c r="C194" s="8" t="str">
        <f>Language!C560</f>
        <v>Treinamento &amp; Comissionamento</v>
      </c>
      <c r="D194" s="21" t="str">
        <f>$D$23</f>
        <v>d-p</v>
      </c>
      <c r="E194" s="307"/>
      <c r="F194" s="1346"/>
      <c r="G194" s="1347">
        <f>E194*F194*Q194</f>
        <v>0</v>
      </c>
      <c r="H194" s="166"/>
      <c r="I194" s="159"/>
      <c r="J194" s="802">
        <f t="shared" si="21"/>
        <v>0</v>
      </c>
      <c r="K194" s="21"/>
      <c r="L194" s="38"/>
      <c r="M194" s="907"/>
      <c r="N194" s="12"/>
      <c r="O194"/>
      <c r="P194"/>
      <c r="Q194">
        <f>IF(HideCodeCA_BP=$R$195,0,1)</f>
        <v>1</v>
      </c>
      <c r="R194"/>
      <c r="S194"/>
      <c r="T194"/>
      <c r="U194">
        <v>61796</v>
      </c>
      <c r="V194" s="510" t="s">
        <v>6872</v>
      </c>
      <c r="W194" s="511" t="s">
        <v>516</v>
      </c>
    </row>
    <row r="195" spans="1:23" ht="12.75" customHeight="1">
      <c r="A195" s="12"/>
      <c r="B195" s="8"/>
      <c r="C195" s="792" t="str">
        <f>F273</f>
        <v>Definido pelo usuário</v>
      </c>
      <c r="D195" s="303" t="s">
        <v>6171</v>
      </c>
      <c r="E195" s="307"/>
      <c r="F195" s="1346"/>
      <c r="G195" s="1347">
        <f>IF(D195=$C$261,-1,1)*E195*F195*Q195</f>
        <v>0</v>
      </c>
      <c r="H195" s="166"/>
      <c r="I195" s="159"/>
      <c r="J195" s="802">
        <f t="shared" si="21"/>
        <v>0</v>
      </c>
      <c r="K195" s="21"/>
      <c r="L195" s="38"/>
      <c r="M195" s="907"/>
      <c r="N195" s="12"/>
      <c r="O195"/>
      <c r="P195"/>
      <c r="Q195">
        <v>1</v>
      </c>
      <c r="R195"/>
      <c r="S195"/>
      <c r="T195"/>
      <c r="U195">
        <v>61142</v>
      </c>
      <c r="V195" s="510" t="s">
        <v>6953</v>
      </c>
      <c r="W195" s="511" t="s">
        <v>5481</v>
      </c>
    </row>
    <row r="196" spans="1:23" ht="12.75" customHeight="1">
      <c r="A196" s="12"/>
      <c r="B196" s="8"/>
      <c r="C196" s="8" t="str">
        <f>Language!C561</f>
        <v>Contingências</v>
      </c>
      <c r="D196" s="21" t="str">
        <f>$D$192</f>
        <v>%</v>
      </c>
      <c r="E196" s="422">
        <v>0.05</v>
      </c>
      <c r="F196" s="1347">
        <f ca="1">G35+G48+G59+G71+G85+G96+SUM(G98:G195)</f>
        <v>5792.5</v>
      </c>
      <c r="G196" s="1347">
        <f ca="1">E196*F196</f>
        <v>289.625</v>
      </c>
      <c r="H196" s="166"/>
      <c r="I196" s="159"/>
      <c r="J196" s="802">
        <f t="shared" ca="1" si="21"/>
        <v>0</v>
      </c>
      <c r="K196" s="21"/>
      <c r="L196" s="38"/>
      <c r="M196" s="907"/>
      <c r="N196" s="12"/>
      <c r="O196"/>
      <c r="P196"/>
      <c r="Q196"/>
      <c r="R196"/>
      <c r="S196"/>
      <c r="T196"/>
      <c r="U196">
        <v>61805</v>
      </c>
      <c r="V196" s="510" t="s">
        <v>6954</v>
      </c>
      <c r="W196" s="511" t="s">
        <v>2158</v>
      </c>
    </row>
    <row r="197" spans="1:23" ht="12.75" customHeight="1" thickBot="1">
      <c r="A197" s="12"/>
      <c r="B197" s="8"/>
      <c r="C197" s="8" t="str">
        <f>Language!C562</f>
        <v>Juros durante a construçaõ</v>
      </c>
      <c r="D197" s="498"/>
      <c r="E197" s="1345"/>
      <c r="F197" s="1347">
        <f ca="1">F196+G196</f>
        <v>6082.125</v>
      </c>
      <c r="G197" s="1347">
        <f ca="1">F197*D197*E197/12/2</f>
        <v>0</v>
      </c>
      <c r="H197" s="166"/>
      <c r="I197" s="159"/>
      <c r="J197" s="802">
        <f t="shared" ca="1" si="21"/>
        <v>0</v>
      </c>
      <c r="K197" s="21"/>
      <c r="L197" s="38"/>
      <c r="M197" s="907"/>
      <c r="N197" s="12"/>
      <c r="O197"/>
      <c r="P197"/>
      <c r="Q197"/>
      <c r="R197"/>
      <c r="S197"/>
      <c r="T197"/>
      <c r="U197">
        <v>61806</v>
      </c>
      <c r="V197" s="510" t="s">
        <v>6956</v>
      </c>
      <c r="W197" s="511" t="s">
        <v>4153</v>
      </c>
    </row>
    <row r="198" spans="1:23" ht="12.75" customHeight="1" thickTop="1" thickBot="1">
      <c r="A198" s="12"/>
      <c r="B198" s="8"/>
      <c r="C198" s="8" t="str">
        <f>Language!C518</f>
        <v>Subtotal</v>
      </c>
      <c r="D198" s="8"/>
      <c r="E198" s="551" t="str">
        <f>IF(ISNUMBER(CA_Month),"",Language!C563)</f>
        <v>Entrar número de meses</v>
      </c>
      <c r="F198" s="1347"/>
      <c r="G198" s="1353">
        <f ca="1">SUM(G100:G197)</f>
        <v>289.625</v>
      </c>
      <c r="H198" s="649">
        <f ca="1">IF(G199=0,"",G198/$G$199)</f>
        <v>4.7619047619047616E-2</v>
      </c>
      <c r="I198" s="168">
        <f ca="1">IF(J198=0,0,J198*$Q$9/G198)</f>
        <v>0</v>
      </c>
      <c r="J198" s="885">
        <f ca="1">SUM(J99:J197)</f>
        <v>0</v>
      </c>
      <c r="K198" s="21"/>
      <c r="L198" s="38"/>
      <c r="M198" s="29"/>
      <c r="N198" s="12"/>
      <c r="O198"/>
      <c r="P198"/>
      <c r="Q198"/>
      <c r="R198"/>
      <c r="S198"/>
      <c r="T198"/>
      <c r="U198">
        <v>61700</v>
      </c>
      <c r="V198" s="510" t="s">
        <v>6955</v>
      </c>
      <c r="W198" s="511" t="s">
        <v>4152</v>
      </c>
    </row>
    <row r="199" spans="1:23" ht="12.75" customHeight="1" thickTop="1">
      <c r="A199" s="1258" t="str">
        <f>Language!C572</f>
        <v>Total de custos de investimento</v>
      </c>
      <c r="B199" s="1269"/>
      <c r="C199" s="1269"/>
      <c r="D199" s="15"/>
      <c r="E199" s="15"/>
      <c r="F199" s="1356"/>
      <c r="G199" s="1357">
        <f ca="1">F197+G197</f>
        <v>6082.125</v>
      </c>
      <c r="H199" s="650">
        <f ca="1">IF(G199=0,"",G199/$G$199)</f>
        <v>1</v>
      </c>
      <c r="I199" s="169">
        <f ca="1">IF(J199=0,0,J199*$Q$9/G199)</f>
        <v>0</v>
      </c>
      <c r="J199" s="887">
        <f ca="1">J198+J96+J85+J71+J59+J48+J35+J98</f>
        <v>0</v>
      </c>
      <c r="K199" s="33"/>
      <c r="L199" s="33"/>
      <c r="M199" s="95"/>
      <c r="N199" s="12"/>
      <c r="O199"/>
      <c r="P199"/>
      <c r="Q199"/>
      <c r="R199"/>
      <c r="S199"/>
      <c r="T199"/>
      <c r="U199">
        <v>61000</v>
      </c>
      <c r="V199" s="510" t="s">
        <v>6997</v>
      </c>
      <c r="W199" s="511" t="s">
        <v>2748</v>
      </c>
    </row>
    <row r="200" spans="1:23" ht="12.75" customHeight="1">
      <c r="A200" s="1"/>
      <c r="B200" s="1"/>
      <c r="C200" s="1"/>
      <c r="D200" s="1"/>
      <c r="E200" s="1"/>
      <c r="F200" s="1358"/>
      <c r="G200" s="1358"/>
      <c r="H200" s="1"/>
      <c r="I200" s="1"/>
      <c r="J200" s="1"/>
      <c r="K200" s="29"/>
      <c r="L200" s="29"/>
      <c r="M200" s="29"/>
      <c r="N200" s="8"/>
      <c r="O200"/>
      <c r="P200"/>
      <c r="Q200"/>
      <c r="R200"/>
      <c r="S200"/>
      <c r="T200"/>
      <c r="U200">
        <v>60000</v>
      </c>
      <c r="V200" s="510" t="s">
        <v>6971</v>
      </c>
      <c r="W200" s="511" t="s">
        <v>5481</v>
      </c>
    </row>
    <row r="201" spans="1:23">
      <c r="A201" s="1203" t="str">
        <f>Language!C573</f>
        <v>Custo anual (créditos)</v>
      </c>
      <c r="B201" s="1204"/>
      <c r="C201" s="1204"/>
      <c r="D201" s="151" t="str">
        <f>D9</f>
        <v>Unidade</v>
      </c>
      <c r="E201" s="151" t="str">
        <f>E9</f>
        <v>Quantidade</v>
      </c>
      <c r="F201" s="1359" t="str">
        <f>F9</f>
        <v>Custo unitário</v>
      </c>
      <c r="G201" s="1359" t="str">
        <f>G9</f>
        <v>Quantidade</v>
      </c>
      <c r="H201" s="151"/>
      <c r="I201" s="151" t="str">
        <f>I9</f>
        <v>%</v>
      </c>
      <c r="J201" s="274" t="str">
        <f>J9</f>
        <v>Quantidade</v>
      </c>
      <c r="K201" s="151"/>
      <c r="L201" s="274"/>
      <c r="M201" s="151" t="str">
        <f>M9</f>
        <v>Notas/faixa</v>
      </c>
      <c r="N201" s="12"/>
      <c r="O201"/>
      <c r="P201"/>
      <c r="Q201"/>
      <c r="R201"/>
      <c r="S201"/>
      <c r="T201"/>
      <c r="U201">
        <v>62000</v>
      </c>
      <c r="V201" s="510" t="s">
        <v>2722</v>
      </c>
      <c r="W201" s="511" t="s">
        <v>4079</v>
      </c>
    </row>
    <row r="202" spans="1:23">
      <c r="A202" s="727"/>
      <c r="B202" s="1171" t="str">
        <f>Language!C564</f>
        <v>O&amp;M</v>
      </c>
      <c r="C202" s="1171"/>
      <c r="D202" s="8"/>
      <c r="E202" s="8"/>
      <c r="F202" s="1347"/>
      <c r="G202" s="1347"/>
      <c r="H202" s="8"/>
      <c r="I202" s="8"/>
      <c r="J202" s="9"/>
      <c r="K202" s="21"/>
      <c r="L202" s="38"/>
      <c r="M202" s="29"/>
      <c r="N202" s="12"/>
      <c r="O202"/>
      <c r="P202"/>
      <c r="Q202"/>
      <c r="R202"/>
      <c r="S202"/>
      <c r="T202"/>
      <c r="U202">
        <v>62100</v>
      </c>
      <c r="V202" s="510" t="s">
        <v>6843</v>
      </c>
      <c r="W202" s="511" t="s">
        <v>5480</v>
      </c>
    </row>
    <row r="203" spans="1:23" hidden="1">
      <c r="A203" s="12"/>
      <c r="B203" s="153"/>
      <c r="C203" s="8" t="str">
        <f>Language!C2594</f>
        <v>Custo (economia) de O&amp;M</v>
      </c>
      <c r="D203" s="21" t="str">
        <f t="shared" ref="D203:D208" si="22">$D$28</f>
        <v>projeto</v>
      </c>
      <c r="E203" s="8"/>
      <c r="F203" s="1347"/>
      <c r="G203" s="1347">
        <f>IF(HideCode_projectType=8,-'Modelo Energético '!H148,'Modelo Energético '!Q993)*O203</f>
        <v>0</v>
      </c>
      <c r="H203" s="8"/>
      <c r="I203" s="159"/>
      <c r="J203" s="802">
        <f t="shared" ref="J203:J212" si="23">G203/$Q$9*I203</f>
        <v>0</v>
      </c>
      <c r="K203" s="21"/>
      <c r="L203" s="38"/>
      <c r="M203" s="907"/>
      <c r="N203" s="12"/>
      <c r="O203">
        <f>IF(OR(HideCode_projectType=8,HideCode_projectType=9),1,0)</f>
        <v>0</v>
      </c>
      <c r="P203"/>
      <c r="Q203"/>
      <c r="R203"/>
      <c r="S203"/>
      <c r="T203"/>
      <c r="U203">
        <v>62102</v>
      </c>
      <c r="V203" s="510" t="s">
        <v>35</v>
      </c>
      <c r="W203" s="511" t="s">
        <v>5481</v>
      </c>
    </row>
    <row r="204" spans="1:23" ht="12.75" hidden="1" customHeight="1">
      <c r="A204" s="12"/>
      <c r="B204" s="8"/>
      <c r="C204" s="8" t="str">
        <f>Language!C1769</f>
        <v>Locação de recurso &amp; arrendamento do terreno</v>
      </c>
      <c r="D204" s="21" t="str">
        <f t="shared" si="22"/>
        <v>projeto</v>
      </c>
      <c r="E204" s="303"/>
      <c r="F204" s="1346"/>
      <c r="G204" s="1347">
        <f>E204*F204*O204</f>
        <v>0</v>
      </c>
      <c r="H204" s="8"/>
      <c r="I204" s="159"/>
      <c r="J204" s="802">
        <f t="shared" si="23"/>
        <v>0</v>
      </c>
      <c r="K204" s="21"/>
      <c r="L204" s="38"/>
      <c r="M204" s="907"/>
      <c r="N204" s="12"/>
      <c r="O204">
        <f>IF(HideCodeCA_ProjectT&lt;&gt;0,1,0)</f>
        <v>0</v>
      </c>
      <c r="P204"/>
      <c r="Q204"/>
      <c r="R204"/>
      <c r="S204"/>
      <c r="T204"/>
      <c r="U204">
        <v>62104</v>
      </c>
      <c r="V204" s="510" t="s">
        <v>6957</v>
      </c>
      <c r="W204" s="511" t="s">
        <v>4693</v>
      </c>
    </row>
    <row r="205" spans="1:23" ht="12.75" hidden="1" customHeight="1">
      <c r="A205" s="12"/>
      <c r="B205" s="8"/>
      <c r="C205" s="8" t="str">
        <f>Language!C566</f>
        <v>Imposto territorial</v>
      </c>
      <c r="D205" s="21" t="str">
        <f t="shared" si="22"/>
        <v>projeto</v>
      </c>
      <c r="E205" s="303"/>
      <c r="F205" s="1346"/>
      <c r="G205" s="1347">
        <f>E205*F205*O204</f>
        <v>0</v>
      </c>
      <c r="H205" s="8"/>
      <c r="I205" s="159"/>
      <c r="J205" s="802">
        <f t="shared" si="23"/>
        <v>0</v>
      </c>
      <c r="K205" s="21"/>
      <c r="L205" s="38"/>
      <c r="M205" s="907"/>
      <c r="N205" s="12"/>
      <c r="O205"/>
      <c r="P205"/>
      <c r="Q205"/>
      <c r="R205"/>
      <c r="S205"/>
      <c r="T205"/>
      <c r="U205">
        <v>62106</v>
      </c>
      <c r="V205" s="510" t="s">
        <v>6959</v>
      </c>
      <c r="W205" s="511" t="s">
        <v>4526</v>
      </c>
    </row>
    <row r="206" spans="1:23" ht="12.75" hidden="1" customHeight="1">
      <c r="A206" s="12"/>
      <c r="B206" s="8"/>
      <c r="C206" s="8" t="str">
        <f>Language!C567</f>
        <v>Seguro</v>
      </c>
      <c r="D206" s="21" t="str">
        <f t="shared" si="22"/>
        <v>projeto</v>
      </c>
      <c r="E206" s="303"/>
      <c r="F206" s="1346"/>
      <c r="G206" s="1347">
        <f>E206*F206*O204</f>
        <v>0</v>
      </c>
      <c r="H206" s="8"/>
      <c r="I206" s="159"/>
      <c r="J206" s="802">
        <f t="shared" si="23"/>
        <v>0</v>
      </c>
      <c r="K206" s="21"/>
      <c r="L206" s="38"/>
      <c r="M206" s="907"/>
      <c r="N206" s="12"/>
      <c r="O206"/>
      <c r="P206"/>
      <c r="Q206"/>
      <c r="R206"/>
      <c r="S206"/>
      <c r="T206"/>
      <c r="U206">
        <v>62108</v>
      </c>
      <c r="V206" s="510" t="s">
        <v>6960</v>
      </c>
      <c r="W206" s="511" t="s">
        <v>2610</v>
      </c>
    </row>
    <row r="207" spans="1:23">
      <c r="A207" s="12"/>
      <c r="B207" s="8"/>
      <c r="C207" s="8" t="str">
        <f>Language!C568</f>
        <v>Peças e mão de obra</v>
      </c>
      <c r="D207" s="21" t="str">
        <f t="shared" si="22"/>
        <v>projeto</v>
      </c>
      <c r="E207" s="307"/>
      <c r="F207" s="1346"/>
      <c r="G207" s="1347">
        <f>E207*F207</f>
        <v>0</v>
      </c>
      <c r="H207" s="8"/>
      <c r="I207" s="159"/>
      <c r="J207" s="802">
        <f t="shared" si="23"/>
        <v>0</v>
      </c>
      <c r="K207" s="21"/>
      <c r="L207" s="38"/>
      <c r="M207" s="907"/>
      <c r="N207" s="12"/>
      <c r="O207"/>
      <c r="P207"/>
      <c r="Q207"/>
      <c r="R207"/>
      <c r="S207"/>
      <c r="T207"/>
      <c r="U207">
        <v>62110</v>
      </c>
      <c r="V207" s="510" t="s">
        <v>6972</v>
      </c>
      <c r="W207" s="511" t="s">
        <v>4526</v>
      </c>
    </row>
    <row r="208" spans="1:23" ht="12.75" hidden="1" customHeight="1">
      <c r="A208" s="12"/>
      <c r="B208" s="8"/>
      <c r="C208" s="8" t="str">
        <f>Language!C569</f>
        <v>M &amp; V dos GEE</v>
      </c>
      <c r="D208" s="21" t="str">
        <f t="shared" si="22"/>
        <v>projeto</v>
      </c>
      <c r="E208" s="303"/>
      <c r="F208" s="1346"/>
      <c r="G208" s="1347">
        <f>E208*F208*O204</f>
        <v>0</v>
      </c>
      <c r="H208" s="8"/>
      <c r="I208" s="159"/>
      <c r="J208" s="802">
        <f t="shared" si="23"/>
        <v>0</v>
      </c>
      <c r="K208" s="21"/>
      <c r="L208" s="38"/>
      <c r="M208" s="907"/>
      <c r="N208" s="12"/>
      <c r="O208"/>
      <c r="P208"/>
      <c r="Q208"/>
      <c r="R208"/>
      <c r="S208"/>
      <c r="T208"/>
      <c r="U208">
        <v>62126</v>
      </c>
      <c r="V208" s="510" t="s">
        <v>36</v>
      </c>
      <c r="W208" s="511" t="s">
        <v>203</v>
      </c>
    </row>
    <row r="209" spans="1:23" ht="12.75" hidden="1" customHeight="1">
      <c r="A209" s="12"/>
      <c r="B209" s="8"/>
      <c r="C209" s="8" t="str">
        <f>Language!C570</f>
        <v>Benefícios à sociedade</v>
      </c>
      <c r="D209" s="21" t="str">
        <f>D28</f>
        <v>projeto</v>
      </c>
      <c r="E209" s="303"/>
      <c r="F209" s="1346"/>
      <c r="G209" s="1347">
        <f>E209*F209*O204</f>
        <v>0</v>
      </c>
      <c r="H209" s="8"/>
      <c r="I209" s="159"/>
      <c r="J209" s="802">
        <f t="shared" si="23"/>
        <v>0</v>
      </c>
      <c r="K209" s="21"/>
      <c r="L209" s="38"/>
      <c r="M209" s="907"/>
      <c r="N209" s="12"/>
      <c r="O209"/>
      <c r="P209"/>
      <c r="Q209"/>
      <c r="R209"/>
      <c r="S209"/>
      <c r="T209"/>
      <c r="U209">
        <v>62128</v>
      </c>
      <c r="V209" s="510" t="s">
        <v>6963</v>
      </c>
      <c r="W209" s="511" t="s">
        <v>4468</v>
      </c>
    </row>
    <row r="210" spans="1:23" ht="12.75" hidden="1" customHeight="1">
      <c r="A210" s="12"/>
      <c r="B210" s="8"/>
      <c r="C210" s="8" t="str">
        <f>Language!C571</f>
        <v>Geral e administrativo</v>
      </c>
      <c r="D210" s="21" t="str">
        <f>$D$192</f>
        <v>%</v>
      </c>
      <c r="E210" s="422"/>
      <c r="F210" s="1347">
        <f>SUM(G203:G209)</f>
        <v>0</v>
      </c>
      <c r="G210" s="1347">
        <f>E210*F210*O204</f>
        <v>0</v>
      </c>
      <c r="H210" s="8"/>
      <c r="I210" s="159"/>
      <c r="J210" s="802">
        <f t="shared" si="23"/>
        <v>0</v>
      </c>
      <c r="K210" s="21"/>
      <c r="L210" s="38"/>
      <c r="M210" s="907"/>
      <c r="N210" s="12"/>
      <c r="O210"/>
      <c r="P210"/>
      <c r="Q210"/>
      <c r="R210"/>
      <c r="S210"/>
      <c r="T210"/>
      <c r="U210">
        <v>62130</v>
      </c>
      <c r="V210" s="510" t="s">
        <v>6962</v>
      </c>
      <c r="W210" s="511" t="s">
        <v>4466</v>
      </c>
    </row>
    <row r="211" spans="1:23">
      <c r="A211" s="12"/>
      <c r="B211" s="8"/>
      <c r="C211" s="792" t="str">
        <f>F273</f>
        <v>Definido pelo usuário</v>
      </c>
      <c r="D211" s="303" t="s">
        <v>6171</v>
      </c>
      <c r="E211" s="307">
        <v>1</v>
      </c>
      <c r="F211" s="1346">
        <v>300</v>
      </c>
      <c r="G211" s="1347">
        <f>IF(D211=$C$261,-1,1)*E211*F211</f>
        <v>300</v>
      </c>
      <c r="H211" s="8"/>
      <c r="I211" s="159"/>
      <c r="J211" s="802">
        <f t="shared" si="23"/>
        <v>0</v>
      </c>
      <c r="K211" s="21"/>
      <c r="L211" s="38"/>
      <c r="M211" s="907"/>
      <c r="N211" s="12"/>
      <c r="O211"/>
      <c r="P211"/>
      <c r="Q211"/>
      <c r="R211"/>
      <c r="S211"/>
      <c r="T211"/>
      <c r="U211">
        <v>62132</v>
      </c>
      <c r="V211" s="510" t="s">
        <v>1288</v>
      </c>
      <c r="W211" s="511" t="s">
        <v>4467</v>
      </c>
    </row>
    <row r="212" spans="1:23" ht="13.8" thickBot="1">
      <c r="A212" s="12"/>
      <c r="B212" s="8"/>
      <c r="C212" s="8" t="str">
        <f>Language!C561</f>
        <v>Contingências</v>
      </c>
      <c r="D212" s="21" t="str">
        <f>$D$192</f>
        <v>%</v>
      </c>
      <c r="E212" s="439"/>
      <c r="F212" s="1347">
        <f>SUM(G203:G211)</f>
        <v>300</v>
      </c>
      <c r="G212" s="1347">
        <f>E212*F212</f>
        <v>0</v>
      </c>
      <c r="H212" s="8"/>
      <c r="I212" s="159"/>
      <c r="J212" s="802">
        <f t="shared" si="23"/>
        <v>0</v>
      </c>
      <c r="K212" s="21"/>
      <c r="L212" s="38"/>
      <c r="M212" s="907"/>
      <c r="N212" s="12"/>
      <c r="O212"/>
      <c r="P212"/>
      <c r="Q212"/>
      <c r="R212"/>
      <c r="S212"/>
      <c r="T212"/>
      <c r="U212">
        <v>62134</v>
      </c>
      <c r="V212" s="510" t="s">
        <v>6978</v>
      </c>
      <c r="W212" s="511" t="s">
        <v>4364</v>
      </c>
    </row>
    <row r="213" spans="1:23" ht="13.8" thickTop="1">
      <c r="A213" s="12"/>
      <c r="B213" s="8"/>
      <c r="C213" s="5" t="str">
        <f>C198</f>
        <v>Subtotal</v>
      </c>
      <c r="D213" s="85"/>
      <c r="E213" s="5"/>
      <c r="F213" s="1360"/>
      <c r="G213" s="1353">
        <f>IF($Q$7=TRUE,SUM(G203:G212),G203+G207+G211+G212)</f>
        <v>300</v>
      </c>
      <c r="H213" s="285"/>
      <c r="I213" s="168">
        <f>IF(J213=0,0,J213*$Q$9/G213)</f>
        <v>0</v>
      </c>
      <c r="J213" s="885">
        <f>IF($Q$6&lt;&gt;TRUE,SUM(J203:J212),J207+J211+J212+J203)</f>
        <v>0</v>
      </c>
      <c r="K213" s="21"/>
      <c r="L213" s="21"/>
      <c r="M213" s="912"/>
      <c r="N213" s="12"/>
      <c r="O213"/>
      <c r="P213"/>
      <c r="Q213"/>
      <c r="R213"/>
      <c r="S213"/>
      <c r="T213"/>
      <c r="U213">
        <v>62100</v>
      </c>
      <c r="V213" s="510" t="s">
        <v>6968</v>
      </c>
      <c r="W213" s="511" t="s">
        <v>3398</v>
      </c>
    </row>
    <row r="214" spans="1:23" hidden="1">
      <c r="A214" s="727"/>
      <c r="B214" s="1171" t="str">
        <f>Language!C692</f>
        <v>Custo combustível - caso proposto</v>
      </c>
      <c r="C214" s="1171"/>
      <c r="D214" s="21"/>
      <c r="E214" s="8"/>
      <c r="F214" s="268"/>
      <c r="G214" s="268"/>
      <c r="H214" s="8"/>
      <c r="I214" s="8"/>
      <c r="J214" s="802"/>
      <c r="K214" s="21"/>
      <c r="L214" s="38"/>
      <c r="M214" s="29"/>
      <c r="N214" s="12"/>
      <c r="O214">
        <f>IF(SUM(O215:O224)=10,1,0)</f>
        <v>1</v>
      </c>
      <c r="P214"/>
      <c r="Q214"/>
      <c r="R214"/>
      <c r="S214"/>
      <c r="T214"/>
      <c r="U214">
        <v>62200</v>
      </c>
      <c r="V214" s="510" t="s">
        <v>2184</v>
      </c>
      <c r="W214" s="511" t="s">
        <v>3400</v>
      </c>
    </row>
    <row r="215" spans="1:23" ht="12.75" hidden="1" customHeight="1" thickBot="1">
      <c r="A215" s="12"/>
      <c r="B215" s="8"/>
      <c r="C215" s="8" t="str">
        <f>'Modelo Energético'!B1155</f>
        <v xml:space="preserve">Biomassa </v>
      </c>
      <c r="D215" s="21" t="str">
        <f>'Modelo Energético'!C1155</f>
        <v>t</v>
      </c>
      <c r="E215" s="88">
        <f>'Modelo Energético'!D1155</f>
        <v>0</v>
      </c>
      <c r="F215" s="1363">
        <f>'Modelo Energético'!H1155</f>
        <v>0</v>
      </c>
      <c r="G215" s="1347">
        <f>IF(ISERROR(E215),0,E215*F215)</f>
        <v>0</v>
      </c>
      <c r="H215" s="8"/>
      <c r="I215" s="159"/>
      <c r="J215" s="802">
        <f t="shared" ref="J215:J224" si="24">G215/$Q$9*I215</f>
        <v>0</v>
      </c>
      <c r="K215" s="21"/>
      <c r="L215" s="38"/>
      <c r="M215" s="907"/>
      <c r="N215" s="12"/>
      <c r="O215">
        <f>IF(ISERROR(E215),1,IF(E215&lt;0.0000001,1,0))</f>
        <v>1</v>
      </c>
      <c r="P215"/>
      <c r="Q215"/>
      <c r="R215"/>
      <c r="S215"/>
      <c r="T215"/>
      <c r="U215">
        <v>62200</v>
      </c>
      <c r="V215" s="510" t="s">
        <v>6958</v>
      </c>
      <c r="W215" s="511" t="s">
        <v>4526</v>
      </c>
    </row>
    <row r="216" spans="1:23" ht="12.75" hidden="1" customHeight="1" thickBot="1">
      <c r="A216" s="12"/>
      <c r="B216" s="8"/>
      <c r="C216" s="8" t="str">
        <f>'Modelo Energético'!B1156</f>
        <v>Gás Natural</v>
      </c>
      <c r="D216" s="21" t="e">
        <f>'Modelo Energético'!C1156</f>
        <v>#N/A</v>
      </c>
      <c r="E216" s="88" t="e">
        <f>'Modelo Energético'!D1156</f>
        <v>#N/A</v>
      </c>
      <c r="F216" s="1363" t="e">
        <f>'Modelo Energético'!H1156</f>
        <v>#N/A</v>
      </c>
      <c r="G216" s="1347">
        <f t="shared" ref="G216:G224" si="25">IF(ISERROR(E216),0,E216*F216)</f>
        <v>0</v>
      </c>
      <c r="H216" s="8"/>
      <c r="I216" s="159"/>
      <c r="J216" s="802">
        <f t="shared" si="24"/>
        <v>0</v>
      </c>
      <c r="K216" s="21"/>
      <c r="L216" s="38"/>
      <c r="M216" s="907"/>
      <c r="N216" s="12"/>
      <c r="O216">
        <f t="shared" ref="O216:O224" si="26">IF(ISERROR(E216),1,IF(E216&lt;0.0000001,1,0))</f>
        <v>1</v>
      </c>
      <c r="P216"/>
      <c r="Q216"/>
      <c r="R216"/>
      <c r="S216"/>
      <c r="T216"/>
      <c r="U216">
        <v>62200</v>
      </c>
      <c r="V216" s="510" t="s">
        <v>6975</v>
      </c>
      <c r="W216" s="511" t="s">
        <v>4362</v>
      </c>
    </row>
    <row r="217" spans="1:23" ht="12.75" hidden="1" customHeight="1">
      <c r="A217" s="12"/>
      <c r="B217" s="8"/>
      <c r="C217" s="8" t="str">
        <f>'Modelo Energético'!B1157</f>
        <v>Gás Natural</v>
      </c>
      <c r="D217" s="21" t="e">
        <f>'Modelo Energético'!C1157</f>
        <v>#N/A</v>
      </c>
      <c r="E217" s="88" t="e">
        <f>'Modelo Energético'!D1157</f>
        <v>#N/A</v>
      </c>
      <c r="F217" s="1363" t="e">
        <f>'Modelo Energético'!H1157</f>
        <v>#N/A</v>
      </c>
      <c r="G217" s="1347">
        <f t="shared" si="25"/>
        <v>0</v>
      </c>
      <c r="H217" s="8"/>
      <c r="I217" s="159"/>
      <c r="J217" s="802">
        <f t="shared" si="24"/>
        <v>0</v>
      </c>
      <c r="K217" s="21"/>
      <c r="L217" s="38"/>
      <c r="M217" s="907"/>
      <c r="N217" s="12"/>
      <c r="O217">
        <f t="shared" si="26"/>
        <v>1</v>
      </c>
      <c r="P217"/>
      <c r="Q217"/>
      <c r="R217"/>
      <c r="S217"/>
      <c r="T217"/>
      <c r="U217">
        <v>62200</v>
      </c>
      <c r="V217" s="510" t="s">
        <v>6973</v>
      </c>
      <c r="W217" s="511" t="s">
        <v>2051</v>
      </c>
    </row>
    <row r="218" spans="1:23" ht="12.75" hidden="1" customHeight="1">
      <c r="A218" s="12"/>
      <c r="B218" s="8"/>
      <c r="C218" s="8" t="str">
        <f>'Modelo Energético'!B1158</f>
        <v>Gás Natural</v>
      </c>
      <c r="D218" s="21" t="e">
        <f>'Modelo Energético'!C1158</f>
        <v>#N/A</v>
      </c>
      <c r="E218" s="88" t="e">
        <f>'Modelo Energético'!D1158</f>
        <v>#N/A</v>
      </c>
      <c r="F218" s="1363" t="e">
        <f>'Modelo Energético'!H1158</f>
        <v>#N/A</v>
      </c>
      <c r="G218" s="1347">
        <f t="shared" si="25"/>
        <v>0</v>
      </c>
      <c r="H218" s="8"/>
      <c r="I218" s="159"/>
      <c r="J218" s="802">
        <f t="shared" si="24"/>
        <v>0</v>
      </c>
      <c r="K218" s="21"/>
      <c r="L218" s="38"/>
      <c r="M218" s="907"/>
      <c r="N218" s="12"/>
      <c r="O218">
        <f t="shared" si="26"/>
        <v>1</v>
      </c>
      <c r="P218"/>
      <c r="Q218"/>
      <c r="R218"/>
      <c r="S218"/>
      <c r="T218"/>
      <c r="U218">
        <v>62200</v>
      </c>
      <c r="V218" s="510" t="s">
        <v>6976</v>
      </c>
      <c r="W218" s="511" t="s">
        <v>4363</v>
      </c>
    </row>
    <row r="219" spans="1:23" ht="12.75" hidden="1" customHeight="1">
      <c r="A219" s="12"/>
      <c r="B219" s="8"/>
      <c r="C219" s="8" t="str">
        <f>'Modelo Energético'!B1159</f>
        <v>Gás Natural</v>
      </c>
      <c r="D219" s="21" t="e">
        <f>'Modelo Energético'!C1159</f>
        <v>#N/A</v>
      </c>
      <c r="E219" s="88" t="e">
        <f>'Modelo Energético'!D1159</f>
        <v>#N/A</v>
      </c>
      <c r="F219" s="1363" t="e">
        <f>'Modelo Energético'!H1159</f>
        <v>#N/A</v>
      </c>
      <c r="G219" s="1347">
        <f t="shared" si="25"/>
        <v>0</v>
      </c>
      <c r="H219" s="8"/>
      <c r="I219" s="159"/>
      <c r="J219" s="802">
        <f t="shared" si="24"/>
        <v>0</v>
      </c>
      <c r="K219" s="21"/>
      <c r="L219" s="38"/>
      <c r="M219" s="907"/>
      <c r="N219" s="12"/>
      <c r="O219">
        <f t="shared" si="26"/>
        <v>1</v>
      </c>
      <c r="P219"/>
      <c r="Q219"/>
      <c r="R219"/>
      <c r="S219"/>
      <c r="T219"/>
      <c r="U219">
        <v>62200</v>
      </c>
      <c r="V219" s="510" t="s">
        <v>6977</v>
      </c>
      <c r="W219" s="511" t="s">
        <v>5979</v>
      </c>
    </row>
    <row r="220" spans="1:23" ht="12.75" hidden="1" customHeight="1">
      <c r="A220" s="12"/>
      <c r="B220" s="8"/>
      <c r="C220" s="8" t="str">
        <f>'Modelo Energético'!B1160</f>
        <v>Gás Natural</v>
      </c>
      <c r="D220" s="21" t="e">
        <f>'Modelo Energético'!C1160</f>
        <v>#N/A</v>
      </c>
      <c r="E220" s="88" t="e">
        <f>'Modelo Energético'!D1160</f>
        <v>#N/A</v>
      </c>
      <c r="F220" s="1363" t="e">
        <f>'Modelo Energético'!H1160</f>
        <v>#N/A</v>
      </c>
      <c r="G220" s="1347">
        <f t="shared" si="25"/>
        <v>0</v>
      </c>
      <c r="H220" s="8"/>
      <c r="I220" s="159"/>
      <c r="J220" s="802">
        <f t="shared" si="24"/>
        <v>0</v>
      </c>
      <c r="K220" s="21"/>
      <c r="L220" s="38"/>
      <c r="M220" s="907"/>
      <c r="N220" s="12"/>
      <c r="O220">
        <f t="shared" si="26"/>
        <v>1</v>
      </c>
      <c r="P220"/>
      <c r="Q220"/>
      <c r="R220"/>
      <c r="S220"/>
      <c r="T220"/>
      <c r="U220">
        <v>62200</v>
      </c>
      <c r="V220" s="510" t="s">
        <v>3378</v>
      </c>
      <c r="W220" s="511" t="s">
        <v>4361</v>
      </c>
    </row>
    <row r="221" spans="1:23" ht="12.75" hidden="1" customHeight="1">
      <c r="A221" s="12"/>
      <c r="B221" s="8"/>
      <c r="C221" s="8" t="str">
        <f>'Modelo Energético'!B1161</f>
        <v>Gás Natural</v>
      </c>
      <c r="D221" s="21" t="e">
        <f>'Modelo Energético'!C1161</f>
        <v>#N/A</v>
      </c>
      <c r="E221" s="88" t="e">
        <f>'Modelo Energético'!D1161</f>
        <v>#N/A</v>
      </c>
      <c r="F221" s="1363" t="e">
        <f>'Modelo Energético'!H1161</f>
        <v>#N/A</v>
      </c>
      <c r="G221" s="1347">
        <f t="shared" si="25"/>
        <v>0</v>
      </c>
      <c r="H221" s="8"/>
      <c r="I221" s="159"/>
      <c r="J221" s="802">
        <f t="shared" si="24"/>
        <v>0</v>
      </c>
      <c r="K221" s="21"/>
      <c r="L221" s="38"/>
      <c r="M221" s="907"/>
      <c r="N221" s="12"/>
      <c r="O221">
        <f t="shared" si="26"/>
        <v>1</v>
      </c>
      <c r="P221"/>
      <c r="Q221"/>
      <c r="R221"/>
      <c r="S221"/>
      <c r="T221"/>
      <c r="U221">
        <v>62200</v>
      </c>
      <c r="V221" s="510" t="s">
        <v>6974</v>
      </c>
      <c r="W221" s="511" t="s">
        <v>3690</v>
      </c>
    </row>
    <row r="222" spans="1:23" ht="12.75" hidden="1" customHeight="1">
      <c r="A222" s="12"/>
      <c r="B222" s="8"/>
      <c r="C222" s="8" t="str">
        <f>'Modelo Energético'!B1162</f>
        <v>Gás Natural</v>
      </c>
      <c r="D222" s="21" t="e">
        <f>'Modelo Energético'!C1162</f>
        <v>#N/A</v>
      </c>
      <c r="E222" s="88" t="e">
        <f>'Modelo Energético'!D1162</f>
        <v>#N/A</v>
      </c>
      <c r="F222" s="1363" t="e">
        <f>'Modelo Energético'!H1162</f>
        <v>#N/A</v>
      </c>
      <c r="G222" s="1347">
        <f t="shared" si="25"/>
        <v>0</v>
      </c>
      <c r="H222" s="8"/>
      <c r="I222" s="159"/>
      <c r="J222" s="802">
        <f t="shared" si="24"/>
        <v>0</v>
      </c>
      <c r="K222" s="21"/>
      <c r="L222" s="38"/>
      <c r="M222" s="907"/>
      <c r="N222" s="12"/>
      <c r="O222">
        <f t="shared" si="26"/>
        <v>1</v>
      </c>
      <c r="P222"/>
      <c r="Q222"/>
      <c r="R222"/>
      <c r="S222"/>
      <c r="T222"/>
      <c r="U222">
        <v>62200</v>
      </c>
      <c r="V222" s="510" t="s">
        <v>6979</v>
      </c>
      <c r="W222" s="511" t="s">
        <v>3310</v>
      </c>
    </row>
    <row r="223" spans="1:23" ht="12.75" hidden="1" customHeight="1">
      <c r="A223" s="449" t="b">
        <v>1</v>
      </c>
      <c r="B223" s="8"/>
      <c r="C223" s="8" t="str">
        <f>'Modelo Energético'!B1163</f>
        <v>Gás Natural</v>
      </c>
      <c r="D223" s="21" t="e">
        <f>'Modelo Energético'!C1163</f>
        <v>#N/A</v>
      </c>
      <c r="E223" s="88" t="e">
        <f>'Modelo Energético'!D1163</f>
        <v>#N/A</v>
      </c>
      <c r="F223" s="1363" t="e">
        <f>'Modelo Energético'!H1163</f>
        <v>#N/A</v>
      </c>
      <c r="G223" s="1347">
        <f t="shared" si="25"/>
        <v>0</v>
      </c>
      <c r="H223" s="8"/>
      <c r="I223" s="159"/>
      <c r="J223" s="802">
        <f t="shared" si="24"/>
        <v>0</v>
      </c>
      <c r="K223" s="21"/>
      <c r="L223" s="38"/>
      <c r="M223" s="907"/>
      <c r="N223" s="12"/>
      <c r="O223">
        <f t="shared" si="26"/>
        <v>1</v>
      </c>
      <c r="P223"/>
      <c r="Q223"/>
      <c r="R223"/>
      <c r="S223"/>
      <c r="T223"/>
      <c r="U223">
        <v>62200</v>
      </c>
      <c r="V223" s="510" t="s">
        <v>6980</v>
      </c>
      <c r="W223" s="511" t="s">
        <v>3311</v>
      </c>
    </row>
    <row r="224" spans="1:23" ht="13.5" hidden="1" customHeight="1" thickBot="1">
      <c r="A224" s="12"/>
      <c r="B224" s="8"/>
      <c r="C224" s="8" t="str">
        <f>'Modelo Energético'!B1164</f>
        <v>Gás Natural</v>
      </c>
      <c r="D224" s="21" t="e">
        <f>'Modelo Energético'!C1164</f>
        <v>#N/A</v>
      </c>
      <c r="E224" s="88" t="e">
        <f>'Modelo Energético'!D1164</f>
        <v>#N/A</v>
      </c>
      <c r="F224" s="1363" t="e">
        <f>'Modelo Energético'!H1164</f>
        <v>#N/A</v>
      </c>
      <c r="G224" s="1347">
        <f t="shared" si="25"/>
        <v>0</v>
      </c>
      <c r="H224" s="8"/>
      <c r="I224" s="159"/>
      <c r="J224" s="802">
        <f t="shared" si="24"/>
        <v>0</v>
      </c>
      <c r="K224" s="21"/>
      <c r="L224" s="38"/>
      <c r="M224" s="907"/>
      <c r="N224" s="12"/>
      <c r="O224">
        <f t="shared" si="26"/>
        <v>1</v>
      </c>
      <c r="P224"/>
      <c r="Q224"/>
      <c r="R224"/>
      <c r="S224"/>
      <c r="T224"/>
      <c r="U224">
        <v>62200</v>
      </c>
      <c r="V224" s="510" t="s">
        <v>37</v>
      </c>
      <c r="W224" s="511" t="s">
        <v>4565</v>
      </c>
    </row>
    <row r="225" spans="1:23" ht="13.8" hidden="1" thickTop="1">
      <c r="A225" s="14"/>
      <c r="B225" s="15"/>
      <c r="C225" s="46" t="str">
        <f>C198</f>
        <v>Subtotal</v>
      </c>
      <c r="D225" s="46"/>
      <c r="E225" s="46"/>
      <c r="F225" s="287"/>
      <c r="G225" s="1357">
        <f>SUM(G215:G224)</f>
        <v>0</v>
      </c>
      <c r="H225" s="286"/>
      <c r="I225" s="169">
        <f>IF(J225=0,0,J225*$Q$9/G225)</f>
        <v>0</v>
      </c>
      <c r="J225" s="887">
        <f>SUM(J215:J224)</f>
        <v>0</v>
      </c>
      <c r="K225" s="33"/>
      <c r="L225" s="95"/>
      <c r="M225" s="33"/>
      <c r="N225" s="12"/>
      <c r="O225">
        <f>O214</f>
        <v>1</v>
      </c>
      <c r="P225"/>
      <c r="Q225"/>
      <c r="R225"/>
      <c r="S225"/>
      <c r="T225"/>
      <c r="U225">
        <v>62200</v>
      </c>
      <c r="V225" s="510" t="s">
        <v>6988</v>
      </c>
      <c r="W225" s="511" t="s">
        <v>2282</v>
      </c>
    </row>
    <row r="226" spans="1:23">
      <c r="A226" s="46"/>
      <c r="B226" s="46"/>
      <c r="C226" s="46"/>
      <c r="D226" s="46"/>
      <c r="E226" s="46"/>
      <c r="F226" s="287"/>
      <c r="G226" s="1361"/>
      <c r="H226" s="692"/>
      <c r="I226" s="693"/>
      <c r="J226" s="803"/>
      <c r="K226" s="288"/>
      <c r="L226" s="288"/>
      <c r="M226" s="29"/>
      <c r="N226" s="8"/>
      <c r="O226"/>
      <c r="P226"/>
      <c r="Q226"/>
      <c r="R226"/>
      <c r="S226"/>
      <c r="T226"/>
      <c r="U226">
        <v>60000</v>
      </c>
      <c r="V226" s="510" t="s">
        <v>6855</v>
      </c>
      <c r="W226" s="511" t="s">
        <v>5480</v>
      </c>
    </row>
    <row r="227" spans="1:23" hidden="1">
      <c r="A227" s="1203" t="str">
        <f>Language!C1478</f>
        <v>Economia anual</v>
      </c>
      <c r="B227" s="1204"/>
      <c r="C227" s="1204"/>
      <c r="D227" s="151" t="str">
        <f>D9</f>
        <v>Unidade</v>
      </c>
      <c r="E227" s="151" t="str">
        <f>E9</f>
        <v>Quantidade</v>
      </c>
      <c r="F227" s="151" t="str">
        <f>F9</f>
        <v>Custo unitário</v>
      </c>
      <c r="G227" s="1359" t="str">
        <f>G9</f>
        <v>Quantidade</v>
      </c>
      <c r="H227" s="151"/>
      <c r="I227" s="151"/>
      <c r="J227" s="888"/>
      <c r="K227" s="151"/>
      <c r="L227" s="274"/>
      <c r="M227" s="151" t="str">
        <f>D5</f>
        <v>Notas/faixa</v>
      </c>
      <c r="N227" s="12"/>
      <c r="O227">
        <f>IF(SUM(O229:O250)=22,1,0)</f>
        <v>1</v>
      </c>
      <c r="P227"/>
      <c r="Q227"/>
      <c r="R227"/>
      <c r="S227"/>
      <c r="T227"/>
      <c r="U227">
        <v>63000</v>
      </c>
      <c r="V227" s="510" t="s">
        <v>6884</v>
      </c>
      <c r="W227" s="511" t="s">
        <v>5481</v>
      </c>
    </row>
    <row r="228" spans="1:23" hidden="1">
      <c r="A228" s="727"/>
      <c r="B228" s="1171" t="str">
        <f>Language!C693</f>
        <v>Custo combustível - caso de referência</v>
      </c>
      <c r="C228" s="1171"/>
      <c r="D228" s="8"/>
      <c r="E228" s="8"/>
      <c r="F228" s="268"/>
      <c r="G228" s="273"/>
      <c r="H228" s="285"/>
      <c r="I228" s="223"/>
      <c r="J228" s="647"/>
      <c r="K228" s="21"/>
      <c r="L228" s="38"/>
      <c r="M228" s="38"/>
      <c r="N228" s="12"/>
      <c r="O228">
        <f>O227</f>
        <v>1</v>
      </c>
      <c r="P228"/>
      <c r="Q228"/>
      <c r="R228"/>
      <c r="S228"/>
      <c r="T228"/>
      <c r="U228">
        <v>63100</v>
      </c>
      <c r="V228" s="510" t="s">
        <v>6981</v>
      </c>
      <c r="W228" s="511" t="s">
        <v>3312</v>
      </c>
    </row>
    <row r="229" spans="1:23" ht="13.8" hidden="1" thickBot="1">
      <c r="A229" s="194"/>
      <c r="B229" s="8"/>
      <c r="C229" s="8" t="str">
        <f>'Carga e Rede'!G367</f>
        <v xml:space="preserve">Biomassa </v>
      </c>
      <c r="D229" s="21" t="str">
        <f>'Carga e Rede'!H367</f>
        <v>t</v>
      </c>
      <c r="E229" s="88">
        <f>'Carga e Rede'!I367</f>
        <v>0</v>
      </c>
      <c r="F229" s="1363" t="e">
        <f>G229/E229</f>
        <v>#DIV/0!</v>
      </c>
      <c r="G229" s="1347">
        <f>'Carga e Rede'!J367</f>
        <v>0</v>
      </c>
      <c r="H229" s="285"/>
      <c r="I229" s="223"/>
      <c r="J229" s="647"/>
      <c r="K229" s="21"/>
      <c r="L229" s="38"/>
      <c r="M229" s="907"/>
      <c r="N229" s="12"/>
      <c r="O229">
        <f>IF(ISERROR(E229),1,IF(E229&lt;0.0000001,1,0))</f>
        <v>1</v>
      </c>
      <c r="P229"/>
      <c r="Q229"/>
      <c r="R229"/>
      <c r="S229"/>
      <c r="T229"/>
      <c r="U229">
        <v>63100</v>
      </c>
      <c r="V229" s="510" t="s">
        <v>2280</v>
      </c>
      <c r="W229" s="511" t="s">
        <v>203</v>
      </c>
    </row>
    <row r="230" spans="1:23" ht="13.8" hidden="1" thickBot="1">
      <c r="A230" s="194"/>
      <c r="B230" s="8"/>
      <c r="C230" s="8" t="str">
        <f>'Carga e Rede'!G368</f>
        <v>Gás Natural</v>
      </c>
      <c r="D230" s="21" t="str">
        <f>'Carga e Rede'!H368</f>
        <v>m³</v>
      </c>
      <c r="E230" s="88">
        <f>'Carga e Rede'!I368</f>
        <v>0</v>
      </c>
      <c r="F230" s="1363" t="e">
        <f t="shared" ref="F230:F250" si="27">G230/E230</f>
        <v>#DIV/0!</v>
      </c>
      <c r="G230" s="1347">
        <f>'Carga e Rede'!J368</f>
        <v>0</v>
      </c>
      <c r="H230" s="285"/>
      <c r="I230" s="223"/>
      <c r="J230" s="647"/>
      <c r="K230" s="21"/>
      <c r="L230" s="38"/>
      <c r="M230" s="907"/>
      <c r="N230" s="12"/>
      <c r="O230">
        <f t="shared" ref="O230:O250" si="28">IF(ISERROR(E230),1,IF(E230&lt;0.0000001,1,0))</f>
        <v>1</v>
      </c>
      <c r="P230"/>
      <c r="Q230"/>
      <c r="R230"/>
      <c r="S230"/>
      <c r="T230"/>
      <c r="U230">
        <v>63100</v>
      </c>
      <c r="V230" s="510" t="s">
        <v>38</v>
      </c>
      <c r="W230" s="511" t="s">
        <v>4891</v>
      </c>
    </row>
    <row r="231" spans="1:23" hidden="1">
      <c r="A231" s="194"/>
      <c r="B231" s="8"/>
      <c r="C231" s="8" t="str">
        <f>'Carga e Rede'!G369</f>
        <v>Gás Natural</v>
      </c>
      <c r="D231" s="21" t="str">
        <f>'Carga e Rede'!H369</f>
        <v>m³</v>
      </c>
      <c r="E231" s="88">
        <f>'Carga e Rede'!I369</f>
        <v>0</v>
      </c>
      <c r="F231" s="1363" t="e">
        <f t="shared" si="27"/>
        <v>#DIV/0!</v>
      </c>
      <c r="G231" s="1347">
        <f>'Carga e Rede'!J369</f>
        <v>0</v>
      </c>
      <c r="H231" s="285"/>
      <c r="I231" s="223"/>
      <c r="J231" s="647"/>
      <c r="K231" s="21"/>
      <c r="L231" s="38"/>
      <c r="M231" s="907"/>
      <c r="N231" s="12"/>
      <c r="O231">
        <f t="shared" si="28"/>
        <v>1</v>
      </c>
      <c r="P231"/>
      <c r="Q231"/>
      <c r="R231"/>
      <c r="S231"/>
      <c r="T231"/>
      <c r="U231">
        <v>63100</v>
      </c>
      <c r="V231" s="510" t="s">
        <v>3820</v>
      </c>
      <c r="W231" s="511" t="s">
        <v>604</v>
      </c>
    </row>
    <row r="232" spans="1:23" hidden="1">
      <c r="A232" s="194"/>
      <c r="B232" s="8"/>
      <c r="C232" s="8" t="str">
        <f>'Carga e Rede'!G370</f>
        <v>Gás Natural</v>
      </c>
      <c r="D232" s="21" t="str">
        <f>'Carga e Rede'!H370</f>
        <v>m³</v>
      </c>
      <c r="E232" s="88">
        <f>'Carga e Rede'!I370</f>
        <v>0</v>
      </c>
      <c r="F232" s="1363" t="e">
        <f t="shared" si="27"/>
        <v>#DIV/0!</v>
      </c>
      <c r="G232" s="1347">
        <f>'Carga e Rede'!J370</f>
        <v>0</v>
      </c>
      <c r="H232" s="285"/>
      <c r="I232" s="223"/>
      <c r="J232" s="647"/>
      <c r="K232" s="21"/>
      <c r="L232" s="38"/>
      <c r="M232" s="907"/>
      <c r="N232" s="12"/>
      <c r="O232">
        <f t="shared" si="28"/>
        <v>1</v>
      </c>
      <c r="P232"/>
      <c r="Q232"/>
      <c r="R232"/>
      <c r="S232"/>
      <c r="T232"/>
      <c r="U232">
        <v>63100</v>
      </c>
      <c r="V232" s="510" t="s">
        <v>6982</v>
      </c>
      <c r="W232" s="511" t="s">
        <v>4377</v>
      </c>
    </row>
    <row r="233" spans="1:23" hidden="1">
      <c r="A233" s="194"/>
      <c r="B233" s="8"/>
      <c r="C233" s="8" t="str">
        <f>'Carga e Rede'!G371</f>
        <v>Gás Natural</v>
      </c>
      <c r="D233" s="21" t="str">
        <f>'Carga e Rede'!H371</f>
        <v>m³</v>
      </c>
      <c r="E233" s="88">
        <f>'Carga e Rede'!I371</f>
        <v>0</v>
      </c>
      <c r="F233" s="1363" t="e">
        <f t="shared" si="27"/>
        <v>#DIV/0!</v>
      </c>
      <c r="G233" s="1347">
        <f>'Carga e Rede'!J371</f>
        <v>0</v>
      </c>
      <c r="H233" s="285"/>
      <c r="I233" s="223"/>
      <c r="J233" s="647"/>
      <c r="K233" s="21"/>
      <c r="L233" s="38"/>
      <c r="M233" s="907"/>
      <c r="N233" s="12"/>
      <c r="O233">
        <f t="shared" si="28"/>
        <v>1</v>
      </c>
      <c r="P233"/>
      <c r="Q233"/>
      <c r="R233"/>
      <c r="S233"/>
      <c r="T233"/>
      <c r="U233">
        <v>63100</v>
      </c>
      <c r="V233" s="510" t="s">
        <v>6983</v>
      </c>
      <c r="W233" s="511" t="s">
        <v>4378</v>
      </c>
    </row>
    <row r="234" spans="1:23" hidden="1">
      <c r="A234" s="194"/>
      <c r="B234" s="8"/>
      <c r="C234" s="8" t="str">
        <f>'Carga e Rede'!G372</f>
        <v>Gás Natural</v>
      </c>
      <c r="D234" s="21" t="str">
        <f>'Carga e Rede'!H372</f>
        <v>m³</v>
      </c>
      <c r="E234" s="88">
        <f>'Carga e Rede'!I372</f>
        <v>0</v>
      </c>
      <c r="F234" s="1363" t="e">
        <f t="shared" si="27"/>
        <v>#DIV/0!</v>
      </c>
      <c r="G234" s="1347">
        <f>'Carga e Rede'!J372</f>
        <v>0</v>
      </c>
      <c r="H234" s="285"/>
      <c r="I234" s="223"/>
      <c r="J234" s="647"/>
      <c r="K234" s="21"/>
      <c r="L234" s="38"/>
      <c r="M234" s="907"/>
      <c r="N234" s="12"/>
      <c r="O234">
        <f t="shared" si="28"/>
        <v>1</v>
      </c>
      <c r="P234"/>
      <c r="Q234"/>
      <c r="R234"/>
      <c r="S234"/>
      <c r="T234"/>
      <c r="U234">
        <v>63100</v>
      </c>
      <c r="V234" s="510" t="s">
        <v>6985</v>
      </c>
      <c r="W234" s="511" t="s">
        <v>3332</v>
      </c>
    </row>
    <row r="235" spans="1:23" hidden="1">
      <c r="A235" s="194"/>
      <c r="B235" s="8"/>
      <c r="C235" s="8" t="str">
        <f>'Carga e Rede'!G373</f>
        <v>Gás Natural</v>
      </c>
      <c r="D235" s="21" t="str">
        <f>'Carga e Rede'!H373</f>
        <v>m³</v>
      </c>
      <c r="E235" s="88">
        <f>'Carga e Rede'!I373</f>
        <v>0</v>
      </c>
      <c r="F235" s="1363" t="e">
        <f t="shared" si="27"/>
        <v>#DIV/0!</v>
      </c>
      <c r="G235" s="1347">
        <f>'Carga e Rede'!J373</f>
        <v>0</v>
      </c>
      <c r="H235" s="285"/>
      <c r="I235" s="8"/>
      <c r="J235" s="9"/>
      <c r="K235" s="1"/>
      <c r="L235" s="38"/>
      <c r="M235" s="907"/>
      <c r="N235" s="12"/>
      <c r="O235">
        <f t="shared" si="28"/>
        <v>1</v>
      </c>
      <c r="P235"/>
      <c r="Q235"/>
      <c r="R235"/>
      <c r="S235"/>
      <c r="T235"/>
      <c r="U235">
        <v>63100</v>
      </c>
      <c r="V235" s="510" t="s">
        <v>6984</v>
      </c>
      <c r="W235" s="511" t="s">
        <v>5746</v>
      </c>
    </row>
    <row r="236" spans="1:23" hidden="1">
      <c r="A236" s="194"/>
      <c r="B236" s="8"/>
      <c r="C236" s="8" t="str">
        <f>'Carga e Rede'!G374</f>
        <v>Gás Natural</v>
      </c>
      <c r="D236" s="21" t="str">
        <f>'Carga e Rede'!H374</f>
        <v>m³</v>
      </c>
      <c r="E236" s="88">
        <f>'Carga e Rede'!I374</f>
        <v>0</v>
      </c>
      <c r="F236" s="1363" t="e">
        <f t="shared" si="27"/>
        <v>#DIV/0!</v>
      </c>
      <c r="G236" s="1347">
        <f>'Carga e Rede'!J374</f>
        <v>0</v>
      </c>
      <c r="H236" s="285"/>
      <c r="I236" s="223"/>
      <c r="J236" s="647"/>
      <c r="K236" s="21"/>
      <c r="L236" s="38"/>
      <c r="M236" s="907"/>
      <c r="N236" s="12"/>
      <c r="O236">
        <f t="shared" si="28"/>
        <v>1</v>
      </c>
      <c r="P236"/>
      <c r="Q236"/>
      <c r="R236"/>
      <c r="S236"/>
      <c r="T236"/>
      <c r="U236">
        <v>63100</v>
      </c>
      <c r="V236" s="510" t="s">
        <v>4495</v>
      </c>
      <c r="W236" s="511" t="s">
        <v>3851</v>
      </c>
    </row>
    <row r="237" spans="1:23" hidden="1">
      <c r="A237" s="194"/>
      <c r="B237" s="8"/>
      <c r="C237" s="8" t="str">
        <f>'Carga e Rede'!G375</f>
        <v>Gás Natural</v>
      </c>
      <c r="D237" s="21" t="str">
        <f>'Carga e Rede'!H375</f>
        <v>m³</v>
      </c>
      <c r="E237" s="88">
        <f>'Carga e Rede'!I375</f>
        <v>0</v>
      </c>
      <c r="F237" s="1363" t="e">
        <f t="shared" si="27"/>
        <v>#DIV/0!</v>
      </c>
      <c r="G237" s="1347">
        <f>'Carga e Rede'!J375</f>
        <v>0</v>
      </c>
      <c r="H237" s="285"/>
      <c r="I237" s="223"/>
      <c r="J237" s="647"/>
      <c r="K237" s="21"/>
      <c r="L237" s="38"/>
      <c r="M237" s="907"/>
      <c r="N237" s="12"/>
      <c r="O237">
        <f t="shared" si="28"/>
        <v>1</v>
      </c>
      <c r="P237"/>
      <c r="Q237"/>
      <c r="R237"/>
      <c r="S237"/>
      <c r="T237"/>
      <c r="U237">
        <v>63100</v>
      </c>
      <c r="V237" s="510" t="s">
        <v>6989</v>
      </c>
      <c r="W237" s="511" t="s">
        <v>5675</v>
      </c>
    </row>
    <row r="238" spans="1:23" hidden="1">
      <c r="A238" s="194"/>
      <c r="B238" s="8"/>
      <c r="C238" s="8" t="str">
        <f>'Carga e Rede'!G376</f>
        <v>Gás Natural</v>
      </c>
      <c r="D238" s="21" t="str">
        <f>'Carga e Rede'!H376</f>
        <v>m³</v>
      </c>
      <c r="E238" s="88">
        <f>'Carga e Rede'!I376</f>
        <v>0</v>
      </c>
      <c r="F238" s="1363" t="e">
        <f t="shared" si="27"/>
        <v>#DIV/0!</v>
      </c>
      <c r="G238" s="1347">
        <f>'Carga e Rede'!J376</f>
        <v>0</v>
      </c>
      <c r="H238" s="285"/>
      <c r="I238" s="223"/>
      <c r="J238" s="647"/>
      <c r="K238" s="21"/>
      <c r="L238" s="38"/>
      <c r="M238" s="907"/>
      <c r="N238" s="12"/>
      <c r="O238">
        <f t="shared" si="28"/>
        <v>1</v>
      </c>
      <c r="P238"/>
      <c r="Q238"/>
      <c r="R238"/>
      <c r="S238"/>
      <c r="T238"/>
      <c r="U238">
        <v>63100</v>
      </c>
      <c r="V238" s="510" t="s">
        <v>39</v>
      </c>
      <c r="W238" s="511" t="s">
        <v>2283</v>
      </c>
    </row>
    <row r="239" spans="1:23" hidden="1">
      <c r="A239" s="194"/>
      <c r="B239" s="8"/>
      <c r="C239" s="8" t="str">
        <f>'Carga e Rede'!G377</f>
        <v>Gás Natural</v>
      </c>
      <c r="D239" s="21" t="str">
        <f>'Carga e Rede'!H377</f>
        <v>m³</v>
      </c>
      <c r="E239" s="88">
        <f>'Carga e Rede'!I377</f>
        <v>0</v>
      </c>
      <c r="F239" s="1363" t="e">
        <f t="shared" si="27"/>
        <v>#DIV/0!</v>
      </c>
      <c r="G239" s="1347">
        <f>'Carga e Rede'!J377</f>
        <v>0</v>
      </c>
      <c r="H239" s="285"/>
      <c r="I239" s="223"/>
      <c r="J239" s="647"/>
      <c r="K239" s="21"/>
      <c r="L239" s="38"/>
      <c r="M239" s="907"/>
      <c r="N239" s="12"/>
      <c r="O239">
        <f t="shared" si="28"/>
        <v>1</v>
      </c>
      <c r="P239"/>
      <c r="Q239"/>
      <c r="R239"/>
      <c r="S239"/>
      <c r="T239"/>
      <c r="U239">
        <v>63100</v>
      </c>
      <c r="V239" s="510" t="s">
        <v>6991</v>
      </c>
      <c r="W239" s="511" t="s">
        <v>2041</v>
      </c>
    </row>
    <row r="240" spans="1:23" hidden="1">
      <c r="A240" s="194"/>
      <c r="B240" s="8"/>
      <c r="C240" s="8" t="str">
        <f>'Carga e Rede'!G378</f>
        <v>Gás Natural</v>
      </c>
      <c r="D240" s="21" t="str">
        <f>'Carga e Rede'!H378</f>
        <v>m³</v>
      </c>
      <c r="E240" s="88">
        <f>'Carga e Rede'!I378</f>
        <v>0</v>
      </c>
      <c r="F240" s="1363" t="e">
        <f t="shared" si="27"/>
        <v>#DIV/0!</v>
      </c>
      <c r="G240" s="1347">
        <f>'Carga e Rede'!J378</f>
        <v>0</v>
      </c>
      <c r="H240" s="285"/>
      <c r="I240" s="223"/>
      <c r="J240" s="647"/>
      <c r="K240" s="21"/>
      <c r="L240" s="38"/>
      <c r="M240" s="907"/>
      <c r="N240" s="12"/>
      <c r="O240">
        <f t="shared" si="28"/>
        <v>1</v>
      </c>
      <c r="P240"/>
      <c r="Q240"/>
      <c r="R240"/>
      <c r="S240"/>
      <c r="T240"/>
      <c r="U240">
        <v>63100</v>
      </c>
      <c r="V240" s="510" t="s">
        <v>6994</v>
      </c>
      <c r="W240" s="511" t="s">
        <v>1830</v>
      </c>
    </row>
    <row r="241" spans="1:23" hidden="1">
      <c r="A241" s="194"/>
      <c r="B241" s="8"/>
      <c r="C241" s="8" t="str">
        <f>'Carga e Rede'!G379</f>
        <v>Gás Natural</v>
      </c>
      <c r="D241" s="21" t="str">
        <f>'Carga e Rede'!H379</f>
        <v>m³</v>
      </c>
      <c r="E241" s="88">
        <f>'Carga e Rede'!I379</f>
        <v>0</v>
      </c>
      <c r="F241" s="1363" t="e">
        <f t="shared" si="27"/>
        <v>#DIV/0!</v>
      </c>
      <c r="G241" s="1347">
        <f>'Carga e Rede'!J379</f>
        <v>0</v>
      </c>
      <c r="H241" s="285"/>
      <c r="I241" s="223"/>
      <c r="J241" s="647"/>
      <c r="K241" s="21"/>
      <c r="L241" s="38"/>
      <c r="M241" s="907"/>
      <c r="N241" s="12"/>
      <c r="O241">
        <f t="shared" si="28"/>
        <v>1</v>
      </c>
      <c r="P241"/>
      <c r="Q241"/>
      <c r="R241"/>
      <c r="S241"/>
      <c r="T241"/>
      <c r="U241">
        <v>63100</v>
      </c>
      <c r="V241" s="510" t="s">
        <v>3822</v>
      </c>
      <c r="W241" s="511" t="s">
        <v>1831</v>
      </c>
    </row>
    <row r="242" spans="1:23" hidden="1">
      <c r="A242" s="194"/>
      <c r="B242" s="8"/>
      <c r="C242" s="8" t="str">
        <f>'Carga e Rede'!G380</f>
        <v>Gás Natural</v>
      </c>
      <c r="D242" s="21" t="str">
        <f>'Carga e Rede'!H380</f>
        <v>m³</v>
      </c>
      <c r="E242" s="88">
        <f>'Carga e Rede'!I380</f>
        <v>0</v>
      </c>
      <c r="F242" s="1363" t="e">
        <f t="shared" si="27"/>
        <v>#DIV/0!</v>
      </c>
      <c r="G242" s="1347">
        <f>'Carga e Rede'!J380</f>
        <v>0</v>
      </c>
      <c r="H242" s="285"/>
      <c r="I242" s="223"/>
      <c r="J242" s="647"/>
      <c r="K242" s="21"/>
      <c r="L242" s="38"/>
      <c r="M242" s="907"/>
      <c r="N242" s="12"/>
      <c r="O242">
        <f t="shared" si="28"/>
        <v>1</v>
      </c>
      <c r="P242"/>
      <c r="Q242"/>
      <c r="R242"/>
      <c r="S242"/>
      <c r="T242"/>
      <c r="U242">
        <v>63100</v>
      </c>
      <c r="V242" s="510" t="s">
        <v>6896</v>
      </c>
      <c r="W242" s="511" t="s">
        <v>5481</v>
      </c>
    </row>
    <row r="243" spans="1:23" hidden="1">
      <c r="A243" s="194"/>
      <c r="B243" s="8"/>
      <c r="C243" s="8" t="str">
        <f>'Carga e Rede'!G381</f>
        <v>Gás Natural</v>
      </c>
      <c r="D243" s="21" t="str">
        <f>'Carga e Rede'!H381</f>
        <v>m³</v>
      </c>
      <c r="E243" s="88">
        <f>'Carga e Rede'!I381</f>
        <v>0</v>
      </c>
      <c r="F243" s="1363" t="e">
        <f t="shared" si="27"/>
        <v>#DIV/0!</v>
      </c>
      <c r="G243" s="1347">
        <f>'Carga e Rede'!J381</f>
        <v>0</v>
      </c>
      <c r="H243" s="285"/>
      <c r="I243" s="223"/>
      <c r="J243" s="647"/>
      <c r="K243" s="21"/>
      <c r="L243" s="38"/>
      <c r="M243" s="907"/>
      <c r="N243" s="12"/>
      <c r="O243">
        <f t="shared" si="28"/>
        <v>1</v>
      </c>
      <c r="P243"/>
      <c r="Q243"/>
      <c r="R243"/>
      <c r="S243"/>
      <c r="T243"/>
      <c r="U243">
        <v>63100</v>
      </c>
      <c r="V243" s="510" t="s">
        <v>3823</v>
      </c>
      <c r="W243" s="511" t="s">
        <v>4250</v>
      </c>
    </row>
    <row r="244" spans="1:23" hidden="1">
      <c r="A244" s="194"/>
      <c r="B244" s="8"/>
      <c r="C244" s="8" t="str">
        <f>'Carga e Rede'!G382</f>
        <v>Gás Natural</v>
      </c>
      <c r="D244" s="21" t="str">
        <f>'Carga e Rede'!H382</f>
        <v>m³</v>
      </c>
      <c r="E244" s="88">
        <f>'Carga e Rede'!I382</f>
        <v>0</v>
      </c>
      <c r="F244" s="1363" t="e">
        <f t="shared" si="27"/>
        <v>#DIV/0!</v>
      </c>
      <c r="G244" s="1347">
        <f>'Carga e Rede'!J382</f>
        <v>0</v>
      </c>
      <c r="H244" s="285"/>
      <c r="I244" s="223"/>
      <c r="J244" s="647"/>
      <c r="K244" s="21"/>
      <c r="L244" s="38"/>
      <c r="M244" s="907"/>
      <c r="N244" s="12"/>
      <c r="O244">
        <f t="shared" si="28"/>
        <v>1</v>
      </c>
      <c r="P244"/>
      <c r="Q244"/>
      <c r="R244"/>
      <c r="S244"/>
      <c r="T244"/>
      <c r="U244">
        <v>63100</v>
      </c>
      <c r="V244" s="510" t="s">
        <v>6995</v>
      </c>
      <c r="W244" s="511" t="s">
        <v>4251</v>
      </c>
    </row>
    <row r="245" spans="1:23" hidden="1">
      <c r="A245" s="194"/>
      <c r="B245" s="8"/>
      <c r="C245" s="8" t="str">
        <f>'Carga e Rede'!G383</f>
        <v>Gás Natural</v>
      </c>
      <c r="D245" s="21" t="str">
        <f>'Carga e Rede'!H383</f>
        <v>m³</v>
      </c>
      <c r="E245" s="88">
        <f>'Carga e Rede'!I383</f>
        <v>0</v>
      </c>
      <c r="F245" s="1363" t="e">
        <f t="shared" si="27"/>
        <v>#DIV/0!</v>
      </c>
      <c r="G245" s="1347">
        <f>'Carga e Rede'!J383</f>
        <v>0</v>
      </c>
      <c r="H245" s="285"/>
      <c r="I245" s="223"/>
      <c r="J245" s="647"/>
      <c r="K245" s="21"/>
      <c r="L245" s="38"/>
      <c r="M245" s="907"/>
      <c r="N245" s="12"/>
      <c r="O245">
        <f t="shared" si="28"/>
        <v>1</v>
      </c>
      <c r="P245"/>
      <c r="Q245"/>
      <c r="R245"/>
      <c r="S245"/>
      <c r="T245"/>
      <c r="U245">
        <v>63100</v>
      </c>
      <c r="V245" s="510" t="s">
        <v>6996</v>
      </c>
      <c r="W245" s="511" t="s">
        <v>5824</v>
      </c>
    </row>
    <row r="246" spans="1:23" hidden="1">
      <c r="A246" s="194"/>
      <c r="B246" s="8"/>
      <c r="C246" s="8" t="str">
        <f>'Carga e Rede'!G384</f>
        <v>Gás Natural</v>
      </c>
      <c r="D246" s="21" t="str">
        <f>'Carga e Rede'!H384</f>
        <v>m³</v>
      </c>
      <c r="E246" s="88">
        <f>'Carga e Rede'!I384</f>
        <v>0</v>
      </c>
      <c r="F246" s="1363" t="e">
        <f t="shared" si="27"/>
        <v>#DIV/0!</v>
      </c>
      <c r="G246" s="1347">
        <f>'Carga e Rede'!J384</f>
        <v>0</v>
      </c>
      <c r="H246" s="285"/>
      <c r="I246" s="223"/>
      <c r="J246" s="647"/>
      <c r="K246" s="21"/>
      <c r="L246" s="38"/>
      <c r="M246" s="907"/>
      <c r="N246" s="12"/>
      <c r="O246">
        <f t="shared" si="28"/>
        <v>1</v>
      </c>
      <c r="P246"/>
      <c r="Q246"/>
      <c r="R246"/>
      <c r="S246"/>
      <c r="T246"/>
      <c r="U246">
        <v>63100</v>
      </c>
      <c r="V246" s="510" t="s">
        <v>40</v>
      </c>
      <c r="W246" s="511" t="s">
        <v>1011</v>
      </c>
    </row>
    <row r="247" spans="1:23" ht="13.8" hidden="1" thickBot="1">
      <c r="A247" s="194"/>
      <c r="B247" s="8"/>
      <c r="C247" s="8" t="str">
        <f>'Carga e Rede'!G385</f>
        <v>Gás Natural</v>
      </c>
      <c r="D247" s="21" t="str">
        <f>'Carga e Rede'!H385</f>
        <v>m³</v>
      </c>
      <c r="E247" s="88">
        <f>'Carga e Rede'!I385</f>
        <v>0</v>
      </c>
      <c r="F247" s="1363" t="e">
        <f t="shared" si="27"/>
        <v>#DIV/0!</v>
      </c>
      <c r="G247" s="1347">
        <f>'Carga e Rede'!J385</f>
        <v>0</v>
      </c>
      <c r="H247" s="285"/>
      <c r="I247" s="223"/>
      <c r="J247" s="647"/>
      <c r="K247" s="21"/>
      <c r="L247" s="38"/>
      <c r="M247" s="907"/>
      <c r="N247" s="12"/>
      <c r="O247">
        <f t="shared" si="28"/>
        <v>1</v>
      </c>
      <c r="P247"/>
      <c r="Q247"/>
      <c r="R247"/>
      <c r="S247"/>
      <c r="T247"/>
      <c r="U247">
        <v>63100</v>
      </c>
      <c r="V247" s="989" t="s">
        <v>6999</v>
      </c>
      <c r="W247" s="990" t="s">
        <v>2495</v>
      </c>
    </row>
    <row r="248" spans="1:23" hidden="1">
      <c r="A248" s="194"/>
      <c r="B248" s="8"/>
      <c r="C248" s="8" t="str">
        <f>'Carga e Rede'!G386</f>
        <v>Gás Natural</v>
      </c>
      <c r="D248" s="21" t="str">
        <f>'Carga e Rede'!H386</f>
        <v>m³</v>
      </c>
      <c r="E248" s="88">
        <f>'Carga e Rede'!I386</f>
        <v>0</v>
      </c>
      <c r="F248" s="1363" t="e">
        <f t="shared" si="27"/>
        <v>#DIV/0!</v>
      </c>
      <c r="G248" s="1347">
        <f>'Carga e Rede'!J386</f>
        <v>0</v>
      </c>
      <c r="H248" s="285"/>
      <c r="I248" s="223"/>
      <c r="J248" s="647"/>
      <c r="K248" s="21"/>
      <c r="L248" s="38"/>
      <c r="M248" s="907"/>
      <c r="N248" s="12"/>
      <c r="O248">
        <f t="shared" si="28"/>
        <v>1</v>
      </c>
      <c r="P248"/>
      <c r="Q248"/>
      <c r="R248"/>
      <c r="S248"/>
      <c r="T248"/>
      <c r="U248">
        <v>63100</v>
      </c>
      <c r="V248"/>
      <c r="W248"/>
    </row>
    <row r="249" spans="1:23" hidden="1">
      <c r="A249" s="194"/>
      <c r="B249" s="8"/>
      <c r="C249" s="8" t="str">
        <f>'Carga e Rede'!G387</f>
        <v>Gás Natural</v>
      </c>
      <c r="D249" s="21" t="str">
        <f>'Carga e Rede'!H387</f>
        <v>m³</v>
      </c>
      <c r="E249" s="88">
        <f>'Carga e Rede'!I387</f>
        <v>0</v>
      </c>
      <c r="F249" s="1363" t="e">
        <f t="shared" si="27"/>
        <v>#DIV/0!</v>
      </c>
      <c r="G249" s="1347">
        <f>'Carga e Rede'!J387</f>
        <v>0</v>
      </c>
      <c r="H249" s="285"/>
      <c r="I249" s="223"/>
      <c r="J249" s="647"/>
      <c r="K249" s="21"/>
      <c r="L249" s="38"/>
      <c r="M249" s="907"/>
      <c r="N249" s="12"/>
      <c r="O249">
        <f t="shared" si="28"/>
        <v>1</v>
      </c>
      <c r="P249"/>
      <c r="Q249"/>
      <c r="R249"/>
      <c r="S249"/>
      <c r="T249"/>
      <c r="U249">
        <v>63100</v>
      </c>
      <c r="V249"/>
      <c r="W249"/>
    </row>
    <row r="250" spans="1:23" ht="13.8" hidden="1" thickBot="1">
      <c r="A250" s="194"/>
      <c r="B250" s="8"/>
      <c r="C250" s="15" t="str">
        <f>'Carga e Rede'!G388</f>
        <v>Gás Natural</v>
      </c>
      <c r="D250" s="33" t="str">
        <f>'Carga e Rede'!H388</f>
        <v>m³</v>
      </c>
      <c r="E250" s="34">
        <f>'Carga e Rede'!I388</f>
        <v>0</v>
      </c>
      <c r="F250" s="1364" t="e">
        <f t="shared" si="27"/>
        <v>#DIV/0!</v>
      </c>
      <c r="G250" s="1356">
        <f>'Carga e Rede'!J388</f>
        <v>0</v>
      </c>
      <c r="H250" s="285"/>
      <c r="I250" s="223"/>
      <c r="J250" s="647"/>
      <c r="K250" s="21"/>
      <c r="L250" s="38"/>
      <c r="M250" s="907"/>
      <c r="N250" s="12"/>
      <c r="O250">
        <f t="shared" si="28"/>
        <v>1</v>
      </c>
      <c r="P250"/>
      <c r="Q250"/>
      <c r="R250"/>
      <c r="S250"/>
      <c r="T250"/>
      <c r="U250">
        <v>63100</v>
      </c>
      <c r="V250"/>
      <c r="W250"/>
    </row>
    <row r="251" spans="1:23" ht="13.8" hidden="1" thickTop="1">
      <c r="A251" s="48"/>
      <c r="B251" s="15"/>
      <c r="C251" s="46" t="str">
        <f>C225</f>
        <v>Subtotal</v>
      </c>
      <c r="D251" s="46"/>
      <c r="E251" s="46"/>
      <c r="F251" s="287"/>
      <c r="G251" s="1357">
        <f>SUM(G229:G250)</f>
        <v>0</v>
      </c>
      <c r="H251" s="286"/>
      <c r="I251" s="102"/>
      <c r="J251" s="648"/>
      <c r="K251" s="33"/>
      <c r="L251" s="95"/>
      <c r="M251" s="95"/>
      <c r="N251" s="12"/>
      <c r="O251">
        <f>O227</f>
        <v>1</v>
      </c>
      <c r="P251"/>
      <c r="Q251"/>
      <c r="R251"/>
      <c r="S251"/>
      <c r="T251"/>
      <c r="U251">
        <v>63100</v>
      </c>
      <c r="V251"/>
      <c r="W251"/>
    </row>
    <row r="252" spans="1:23" hidden="1">
      <c r="A252" s="1"/>
      <c r="B252" s="1"/>
      <c r="C252" s="1"/>
      <c r="D252" s="1"/>
      <c r="E252" s="1"/>
      <c r="F252" s="269"/>
      <c r="G252" s="269"/>
      <c r="H252" s="1"/>
      <c r="I252" s="1"/>
      <c r="J252" s="1"/>
      <c r="K252" s="1"/>
      <c r="L252" s="1"/>
      <c r="M252" s="29"/>
      <c r="N252" s="8"/>
      <c r="O252">
        <f>O227</f>
        <v>1</v>
      </c>
      <c r="P252"/>
      <c r="Q252"/>
      <c r="R252"/>
      <c r="S252"/>
      <c r="T252"/>
      <c r="U252">
        <v>60000</v>
      </c>
      <c r="V252"/>
      <c r="W252"/>
    </row>
    <row r="253" spans="1:23">
      <c r="A253" s="1203" t="str">
        <f>Language!C577</f>
        <v>Custos periódicos(créditos)</v>
      </c>
      <c r="B253" s="1204"/>
      <c r="C253" s="1204"/>
      <c r="D253" s="151" t="str">
        <f>D201</f>
        <v>Unidade</v>
      </c>
      <c r="E253" s="151" t="str">
        <f>Language!C643</f>
        <v>Ano</v>
      </c>
      <c r="F253" s="270" t="str">
        <f>F9</f>
        <v>Custo unitário</v>
      </c>
      <c r="G253" s="270" t="str">
        <f>G9</f>
        <v>Quantidade</v>
      </c>
      <c r="H253" s="147"/>
      <c r="I253" s="151" t="str">
        <f>I201</f>
        <v>%</v>
      </c>
      <c r="J253" s="274" t="str">
        <f>J201</f>
        <v>Quantidade</v>
      </c>
      <c r="K253" s="147"/>
      <c r="L253" s="148"/>
      <c r="M253" s="151" t="str">
        <f>M9</f>
        <v>Notas/faixa</v>
      </c>
      <c r="N253" s="12"/>
      <c r="O253"/>
      <c r="P253"/>
      <c r="Q253"/>
      <c r="R253"/>
      <c r="S253"/>
      <c r="T253"/>
      <c r="U253">
        <v>64000</v>
      </c>
      <c r="V253"/>
      <c r="W253"/>
    </row>
    <row r="254" spans="1:23">
      <c r="A254" s="12"/>
      <c r="B254" s="8"/>
      <c r="C254" s="793" t="str">
        <f>F273</f>
        <v>Definido pelo usuário</v>
      </c>
      <c r="D254" s="303" t="s">
        <v>6171</v>
      </c>
      <c r="E254" s="303">
        <v>10</v>
      </c>
      <c r="F254" s="1346">
        <f ca="1">0.25*G199</f>
        <v>1520.53125</v>
      </c>
      <c r="G254" s="1362">
        <f ca="1">IF(D254=$C$261,-1,1)*F254</f>
        <v>1520.53125</v>
      </c>
      <c r="H254" s="8"/>
      <c r="I254" s="159"/>
      <c r="J254" s="802">
        <f ca="1">G254/$Q$9*I254</f>
        <v>0</v>
      </c>
      <c r="K254" s="8"/>
      <c r="L254" s="9"/>
      <c r="M254" s="907"/>
      <c r="N254" s="12"/>
      <c r="O254"/>
      <c r="P254"/>
      <c r="Q254"/>
      <c r="R254"/>
      <c r="S254"/>
      <c r="T254"/>
      <c r="U254">
        <v>64000</v>
      </c>
      <c r="V254"/>
      <c r="W254"/>
    </row>
    <row r="255" spans="1:23">
      <c r="A255" s="12"/>
      <c r="B255" s="8"/>
      <c r="C255" s="792"/>
      <c r="D255" s="303"/>
      <c r="E255" s="303"/>
      <c r="F255" s="1346"/>
      <c r="G255" s="1347">
        <f>IF(D255=$C$261,-1,1)*F255</f>
        <v>0</v>
      </c>
      <c r="H255" s="8"/>
      <c r="I255" s="159"/>
      <c r="J255" s="802">
        <f>G255/$Q$9*I255</f>
        <v>0</v>
      </c>
      <c r="K255" s="8"/>
      <c r="L255" s="9"/>
      <c r="M255" s="907"/>
      <c r="N255" s="12"/>
      <c r="O255"/>
      <c r="P255"/>
      <c r="Q255"/>
      <c r="R255"/>
      <c r="S255"/>
      <c r="T255"/>
      <c r="U255">
        <v>64000</v>
      </c>
      <c r="V255"/>
      <c r="W255"/>
    </row>
    <row r="256" spans="1:23">
      <c r="A256" s="14"/>
      <c r="B256" s="15"/>
      <c r="C256" s="15" t="str">
        <f>Language!C579</f>
        <v>Valor residual do projeto</v>
      </c>
      <c r="D256" s="303" t="s">
        <v>6171</v>
      </c>
      <c r="E256" s="741"/>
      <c r="F256" s="1346"/>
      <c r="G256" s="1356">
        <f>IF(D256=$C$261,-1,1)*F256</f>
        <v>0</v>
      </c>
      <c r="H256" s="15"/>
      <c r="I256" s="541"/>
      <c r="J256" s="542"/>
      <c r="K256" s="541"/>
      <c r="L256" s="542"/>
      <c r="M256" s="687"/>
      <c r="N256" s="12"/>
      <c r="O256"/>
      <c r="P256"/>
      <c r="Q256"/>
      <c r="R256"/>
      <c r="S256"/>
      <c r="T256"/>
      <c r="U256">
        <v>64002</v>
      </c>
      <c r="V256"/>
      <c r="W256"/>
    </row>
    <row r="257" spans="1:23" ht="13.5" customHeight="1">
      <c r="A257" s="1"/>
      <c r="B257" s="1"/>
      <c r="C257" s="1"/>
      <c r="D257" s="1"/>
      <c r="E257" s="1"/>
      <c r="F257" s="269"/>
      <c r="G257" s="269"/>
      <c r="H257" s="1"/>
      <c r="I257" s="1"/>
      <c r="J257" s="1"/>
      <c r="K257" s="1"/>
      <c r="L257" s="1"/>
      <c r="M257" s="29"/>
      <c r="N257" s="1"/>
      <c r="O257"/>
      <c r="P257"/>
      <c r="Q257"/>
      <c r="R257"/>
      <c r="S257"/>
      <c r="T257"/>
      <c r="U257">
        <v>60000</v>
      </c>
      <c r="V257"/>
      <c r="W257"/>
    </row>
    <row r="258" spans="1:23" ht="13.5" customHeight="1">
      <c r="A258" s="1"/>
      <c r="B258" s="1"/>
      <c r="C258" s="1"/>
      <c r="D258" s="1237" t="str">
        <f>IF(AND(EE_UserCode=3,Set_Level=2,HideCode_projectType=9),Language!C2604,Language!C64)</f>
        <v>Ir para a planilha de Análise de Emissões</v>
      </c>
      <c r="E258" s="1237"/>
      <c r="F258" s="1237"/>
      <c r="G258" s="269"/>
      <c r="H258" s="1"/>
      <c r="I258" s="1"/>
      <c r="J258" s="1"/>
      <c r="K258" s="1"/>
      <c r="L258" s="1"/>
      <c r="M258" s="29"/>
      <c r="N258" s="1"/>
      <c r="O258"/>
      <c r="P258"/>
      <c r="Q258"/>
      <c r="R258"/>
      <c r="S258"/>
      <c r="T258"/>
      <c r="U258">
        <v>60000</v>
      </c>
      <c r="V258"/>
      <c r="W258"/>
    </row>
    <row r="259" spans="1:23" ht="13.5" customHeight="1">
      <c r="A259" s="1"/>
      <c r="B259" s="1"/>
      <c r="C259" s="1"/>
      <c r="D259" s="1"/>
      <c r="E259" s="1"/>
      <c r="F259" s="269"/>
      <c r="G259" s="269"/>
      <c r="H259" s="1"/>
      <c r="I259" s="1"/>
      <c r="J259" s="1"/>
      <c r="K259" s="1"/>
      <c r="L259" s="1"/>
      <c r="M259" s="29"/>
      <c r="N259" s="1"/>
      <c r="O259"/>
      <c r="P259"/>
      <c r="Q259"/>
      <c r="R259"/>
      <c r="S259"/>
      <c r="T259"/>
      <c r="U259">
        <v>60000</v>
      </c>
      <c r="V259"/>
      <c r="W259"/>
    </row>
    <row r="260" spans="1:23" ht="13.5" hidden="1" customHeight="1">
      <c r="A260"/>
      <c r="B260"/>
      <c r="C260" s="342" t="str">
        <f>Language!C160</f>
        <v>custo</v>
      </c>
      <c r="D260"/>
      <c r="E260"/>
      <c r="F260" s="272"/>
      <c r="G260" s="272"/>
      <c r="H260"/>
      <c r="I260"/>
      <c r="J260"/>
      <c r="K260"/>
      <c r="L260" s="342" t="str">
        <f>C266</f>
        <v>m³/h</v>
      </c>
      <c r="M260" s="219">
        <v>1</v>
      </c>
      <c r="N260"/>
      <c r="O260"/>
      <c r="P260"/>
      <c r="Q260"/>
      <c r="R260"/>
      <c r="S260"/>
      <c r="T260"/>
      <c r="U260"/>
      <c r="V260"/>
      <c r="W260"/>
    </row>
    <row r="261" spans="1:23" ht="13.5" hidden="1" customHeight="1">
      <c r="A261"/>
      <c r="B261"/>
      <c r="C261" s="343" t="str">
        <f>Language!C161</f>
        <v>crédito</v>
      </c>
      <c r="D261" t="str">
        <f>Language!C1364</f>
        <v>kW</v>
      </c>
      <c r="E261">
        <v>1</v>
      </c>
      <c r="F261" s="346" t="str">
        <f>Language!C547</f>
        <v>Sistema de captação do GFL</v>
      </c>
      <c r="G261" s="345">
        <v>1</v>
      </c>
      <c r="H261" t="s">
        <v>7740</v>
      </c>
      <c r="I261"/>
      <c r="J261"/>
      <c r="K261"/>
      <c r="L261" s="343" t="str">
        <f>Language!C2195</f>
        <v>pcm</v>
      </c>
      <c r="M261" s="219"/>
      <c r="N261"/>
      <c r="O261"/>
      <c r="P261"/>
      <c r="Q261"/>
      <c r="R261"/>
      <c r="S261"/>
      <c r="T261"/>
      <c r="U261"/>
      <c r="V261"/>
      <c r="W261"/>
    </row>
    <row r="262" spans="1:23" ht="13.5" hidden="1" customHeight="1">
      <c r="A262"/>
      <c r="B262"/>
      <c r="C262" s="344" t="str">
        <f>Language!C1362</f>
        <v>km</v>
      </c>
      <c r="D262" t="str">
        <f>Language!C1383</f>
        <v>milhão Btu/h</v>
      </c>
      <c r="E262">
        <f>Ferramentas!G749*10^6</f>
        <v>293.07107017222216</v>
      </c>
      <c r="F262" s="346" t="str">
        <f>Language!C162</f>
        <v>Sistema de abastecimento de combustível</v>
      </c>
      <c r="G262" s="345">
        <v>2</v>
      </c>
      <c r="H262" t="s">
        <v>7753</v>
      </c>
      <c r="I262"/>
      <c r="J262"/>
      <c r="K262"/>
      <c r="L262" s="342" t="str">
        <f>Language!C1366</f>
        <v>L</v>
      </c>
      <c r="M262" s="219"/>
      <c r="N262"/>
      <c r="O262"/>
      <c r="P262"/>
      <c r="Q262"/>
      <c r="R262"/>
      <c r="S262"/>
      <c r="T262"/>
      <c r="U262"/>
      <c r="V262"/>
      <c r="W262"/>
    </row>
    <row r="263" spans="1:23" ht="13.5" hidden="1" customHeight="1">
      <c r="A263"/>
      <c r="B263"/>
      <c r="C263" s="343" t="str">
        <f>Language!C1380</f>
        <v>milhas</v>
      </c>
      <c r="D263" t="str">
        <f>Language!C1403</f>
        <v>TR</v>
      </c>
      <c r="E263">
        <f>Ferramentas!F748</f>
        <v>0.28434513609399525</v>
      </c>
      <c r="F263" s="346" t="str">
        <f>Language!C2090</f>
        <v>Instalação de turbina eólica</v>
      </c>
      <c r="G263" s="345">
        <v>3</v>
      </c>
      <c r="H263" t="s">
        <v>7526</v>
      </c>
      <c r="I263"/>
      <c r="J263"/>
      <c r="K263"/>
      <c r="L263" s="343" t="str">
        <f>Language!C1334</f>
        <v>gal</v>
      </c>
      <c r="M263" s="219"/>
      <c r="N263"/>
      <c r="O263"/>
      <c r="P263"/>
      <c r="Q263"/>
      <c r="R263"/>
      <c r="S263"/>
      <c r="T263"/>
      <c r="U263"/>
      <c r="V263"/>
      <c r="W263"/>
    </row>
    <row r="264" spans="1:23" ht="13.5" hidden="1" customHeight="1">
      <c r="A264"/>
      <c r="B264"/>
      <c r="C264" s="344" t="str">
        <f>Language!C1372</f>
        <v>m</v>
      </c>
      <c r="D264"/>
      <c r="E264" s="501"/>
      <c r="F264" s="346" t="str">
        <f>Language!C1740</f>
        <v>Trabalho civil de uma hidro</v>
      </c>
      <c r="G264" s="347">
        <v>4</v>
      </c>
      <c r="H264" t="s">
        <v>6839</v>
      </c>
      <c r="I264"/>
      <c r="J264"/>
      <c r="K264"/>
      <c r="L264" s="342" t="str">
        <f>D61</f>
        <v>kW</v>
      </c>
      <c r="M264" s="219"/>
      <c r="N264"/>
      <c r="O264"/>
      <c r="P264"/>
      <c r="Q264"/>
      <c r="R264"/>
      <c r="S264"/>
      <c r="T264"/>
      <c r="U264"/>
      <c r="V264"/>
      <c r="W264"/>
    </row>
    <row r="265" spans="1:23" ht="13.5" hidden="1" customHeight="1">
      <c r="A265"/>
      <c r="B265"/>
      <c r="C265" s="343" t="str">
        <f>Language!C1327</f>
        <v>pe</v>
      </c>
      <c r="D265"/>
      <c r="E265" s="501"/>
      <c r="F265" s="346" t="str">
        <f>Lang_ES_Photov</f>
        <v>Fotovoltaica</v>
      </c>
      <c r="G265" s="345">
        <v>5</v>
      </c>
      <c r="H265" t="s">
        <v>6138</v>
      </c>
      <c r="I265"/>
      <c r="J265"/>
      <c r="K265"/>
      <c r="L265" s="343" t="str">
        <f>Language!C1323</f>
        <v>Btu/h</v>
      </c>
      <c r="M265" s="219"/>
      <c r="N265"/>
      <c r="O265"/>
      <c r="P265"/>
      <c r="Q265"/>
      <c r="R265"/>
      <c r="S265"/>
      <c r="T265"/>
      <c r="U265"/>
      <c r="V265"/>
      <c r="W265"/>
    </row>
    <row r="266" spans="1:23" ht="13.5" hidden="1" customHeight="1">
      <c r="A266"/>
      <c r="B266"/>
      <c r="C266" s="344" t="str">
        <f>Language!C1376</f>
        <v>m³/h</v>
      </c>
      <c r="D266" s="22" t="str">
        <f>lang_cr_none</f>
        <v>Nenhum</v>
      </c>
      <c r="E266" s="501"/>
      <c r="F266" s="346" t="str">
        <f>Language!C126</f>
        <v>Fora da Rede</v>
      </c>
      <c r="G266" s="345">
        <v>6</v>
      </c>
      <c r="H266" s="321" t="s">
        <v>6152</v>
      </c>
      <c r="I266"/>
      <c r="J266"/>
      <c r="K266"/>
      <c r="L266" s="342" t="str">
        <f>Language!C1414</f>
        <v>W</v>
      </c>
      <c r="M266" s="219"/>
      <c r="N266"/>
      <c r="O266"/>
      <c r="P266"/>
      <c r="Q266"/>
      <c r="R266"/>
      <c r="S266"/>
      <c r="T266"/>
      <c r="U266"/>
      <c r="V266"/>
      <c r="W266"/>
    </row>
    <row r="267" spans="1:23" ht="13.5" hidden="1" customHeight="1">
      <c r="A267"/>
      <c r="B267"/>
      <c r="C267" s="343" t="str">
        <f>Language!C1332</f>
        <v>pe³/h</v>
      </c>
      <c r="D267" s="22" t="str">
        <f>Lang_Currency</f>
        <v>Definido pelo usuário</v>
      </c>
      <c r="E267" s="501"/>
      <c r="F267" s="346" t="str">
        <f>Language!C2071</f>
        <v>Bombeamento de água</v>
      </c>
      <c r="G267" s="345">
        <v>7</v>
      </c>
      <c r="H267" t="s">
        <v>7838</v>
      </c>
      <c r="I267"/>
      <c r="J267"/>
      <c r="K267"/>
      <c r="L267" s="343" t="str">
        <f>Language!C2212</f>
        <v>hp</v>
      </c>
      <c r="M267" s="219"/>
      <c r="N267"/>
      <c r="O267"/>
      <c r="P267"/>
      <c r="Q267"/>
      <c r="R267"/>
      <c r="S267"/>
      <c r="T267"/>
      <c r="U267"/>
      <c r="V267"/>
      <c r="W267"/>
    </row>
    <row r="268" spans="1:23" ht="13.5" hidden="1" customHeight="1">
      <c r="A268"/>
      <c r="B268"/>
      <c r="C268" s="344" t="str">
        <f>Language!C1352</f>
        <v>kg</v>
      </c>
      <c r="D268" s="22"/>
      <c r="E268" s="501"/>
      <c r="F268" t="str">
        <f>Language!C1979</f>
        <v>Aquecedor de ar solar</v>
      </c>
      <c r="G268" s="347">
        <v>8</v>
      </c>
      <c r="H268" t="s">
        <v>7501</v>
      </c>
      <c r="I268"/>
      <c r="J268"/>
      <c r="K268"/>
      <c r="L268" s="344" t="str">
        <f>Language!C1375</f>
        <v>m³</v>
      </c>
      <c r="M268" s="219"/>
      <c r="N268"/>
      <c r="O268"/>
      <c r="P268"/>
      <c r="Q268"/>
      <c r="R268"/>
      <c r="S268"/>
      <c r="T268"/>
      <c r="U268"/>
      <c r="V268"/>
      <c r="W268"/>
    </row>
    <row r="269" spans="1:23" ht="13.5" hidden="1" customHeight="1">
      <c r="A269"/>
      <c r="B269"/>
      <c r="C269" s="75" t="str">
        <f>Language!C1367</f>
        <v>lb</v>
      </c>
      <c r="D269" s="22"/>
      <c r="E269" s="501"/>
      <c r="F269" t="str">
        <f>Language!C1992</f>
        <v>Aquecedor solar de água</v>
      </c>
      <c r="G269" s="345">
        <v>9</v>
      </c>
      <c r="H269" t="s">
        <v>6173</v>
      </c>
      <c r="I269"/>
      <c r="J269"/>
      <c r="K269"/>
      <c r="L269" s="343" t="str">
        <f>Language!C1417</f>
        <v>jarda³</v>
      </c>
      <c r="M269" s="219"/>
      <c r="N269"/>
      <c r="O269"/>
      <c r="P269"/>
      <c r="Q269"/>
      <c r="R269"/>
      <c r="S269"/>
      <c r="T269"/>
      <c r="U269"/>
      <c r="V269"/>
      <c r="W269"/>
    </row>
    <row r="270" spans="1:23" ht="13.5" hidden="1" customHeight="1">
      <c r="A270"/>
      <c r="B270"/>
      <c r="C270" s="344" t="str">
        <f>Language!C1362</f>
        <v>km</v>
      </c>
      <c r="D270"/>
      <c r="E270"/>
      <c r="F270" s="346" t="str">
        <f>Lang_Currency</f>
        <v>Definido pelo usuário</v>
      </c>
      <c r="G270" s="347">
        <v>10</v>
      </c>
      <c r="H270" t="s">
        <v>6540</v>
      </c>
      <c r="I270"/>
      <c r="J270"/>
      <c r="K270"/>
      <c r="L270" s="344" t="str">
        <f>Language!C1374</f>
        <v>m²</v>
      </c>
      <c r="M270" s="219"/>
      <c r="N270"/>
      <c r="O270"/>
      <c r="P270"/>
      <c r="Q270"/>
      <c r="R270"/>
      <c r="S270"/>
      <c r="T270"/>
      <c r="U270"/>
      <c r="V270"/>
      <c r="W270"/>
    </row>
    <row r="271" spans="1:23" ht="13.5" hidden="1" customHeight="1">
      <c r="A271"/>
      <c r="B271"/>
      <c r="C271" s="343" t="str">
        <f>Language!C1378</f>
        <v>mi</v>
      </c>
      <c r="D271" t="s">
        <v>542</v>
      </c>
      <c r="E271"/>
      <c r="F271" s="321" t="str">
        <f>Language!C1706</f>
        <v>Trocador de calor com o solo</v>
      </c>
      <c r="G271" s="345">
        <v>11</v>
      </c>
      <c r="H271" s="321" t="s">
        <v>7500</v>
      </c>
      <c r="I271"/>
      <c r="J271"/>
      <c r="K271"/>
      <c r="L271" s="343" t="str">
        <f>Language!C1329</f>
        <v>pe²</v>
      </c>
      <c r="M271" s="219"/>
      <c r="N271"/>
      <c r="O271"/>
      <c r="P271"/>
      <c r="Q271"/>
      <c r="R271"/>
      <c r="S271"/>
      <c r="T271"/>
      <c r="U271"/>
      <c r="V271"/>
      <c r="W271"/>
    </row>
    <row r="272" spans="1:23" ht="13.5" hidden="1" customHeight="1">
      <c r="A272"/>
      <c r="B272"/>
      <c r="C272" s="344" t="str">
        <f>Language!C1340</f>
        <v>ha</v>
      </c>
      <c r="D272" s="254" t="str">
        <f>IF(Currency_index=7,LEFT(Currency_user,3),VLOOKUP(Currency_name,Currency_range,2,FALSE))</f>
        <v>€</v>
      </c>
      <c r="E272" s="255" t="str">
        <f>IF(Currency2_index=7,LEFT(Currency2_user,3),VLOOKUP(Currency2_name,Currency_range,2,FALSE))</f>
        <v>$</v>
      </c>
      <c r="F272" s="321" t="str">
        <f>Language!C1741</f>
        <v>Método de custeio de hidro por fórmula</v>
      </c>
      <c r="G272" s="347">
        <v>12</v>
      </c>
      <c r="H272" t="s">
        <v>7479</v>
      </c>
      <c r="I272"/>
      <c r="J272"/>
      <c r="K272"/>
      <c r="L272"/>
      <c r="M272" s="219"/>
      <c r="N272"/>
      <c r="O272"/>
      <c r="P272"/>
      <c r="Q272"/>
      <c r="R272"/>
      <c r="S272"/>
      <c r="T272"/>
      <c r="U272"/>
      <c r="V272"/>
      <c r="W272"/>
    </row>
    <row r="273" spans="3:13" customFormat="1" ht="13.5" hidden="1" customHeight="1">
      <c r="C273" s="343" t="str">
        <f>Language!C1318</f>
        <v>acre</v>
      </c>
      <c r="D273" s="281" t="str">
        <f>IF(ISERROR(D272)," ",D272)</f>
        <v>€</v>
      </c>
      <c r="E273" s="279" t="str">
        <f>IF(ISERROR(E272)," ",E272)</f>
        <v>$</v>
      </c>
      <c r="F273" t="str">
        <f>D267</f>
        <v>Definido pelo usuário</v>
      </c>
      <c r="M273" s="219"/>
    </row>
  </sheetData>
  <sortState xmlns:xlrd2="http://schemas.microsoft.com/office/spreadsheetml/2017/richdata2" ref="H261:H272">
    <sortCondition ref="H261"/>
  </sortState>
  <mergeCells count="25">
    <mergeCell ref="D258:F258"/>
    <mergeCell ref="A1:L3"/>
    <mergeCell ref="I5:J5"/>
    <mergeCell ref="K6:L6"/>
    <mergeCell ref="A4:C4"/>
    <mergeCell ref="A9:C9"/>
    <mergeCell ref="A20:C20"/>
    <mergeCell ref="B10:C10"/>
    <mergeCell ref="B214:C214"/>
    <mergeCell ref="B22:C22"/>
    <mergeCell ref="B36:C36"/>
    <mergeCell ref="B60:C60"/>
    <mergeCell ref="B49:C49"/>
    <mergeCell ref="V2:W2"/>
    <mergeCell ref="D100:F100"/>
    <mergeCell ref="B228:C228"/>
    <mergeCell ref="B72:C72"/>
    <mergeCell ref="A253:C253"/>
    <mergeCell ref="A201:C201"/>
    <mergeCell ref="A227:C227"/>
    <mergeCell ref="B86:C86"/>
    <mergeCell ref="B97:C97"/>
    <mergeCell ref="B99:C99"/>
    <mergeCell ref="A199:C199"/>
    <mergeCell ref="B202:C202"/>
  </mergeCells>
  <phoneticPr fontId="0" type="noConversion"/>
  <conditionalFormatting sqref="K201:L201 K227:L227 K253:L253 K9:L9">
    <cfRule type="expression" dxfId="165" priority="1" stopIfTrue="1">
      <formula>$G$6=$D$266</formula>
    </cfRule>
  </conditionalFormatting>
  <conditionalFormatting sqref="K215:L224 K204:L212 M198:M199 M96:M97 M35:M36 M48:M49 M59:M60 M71:M72 M85:M86 K23:L199">
    <cfRule type="expression" dxfId="164" priority="2" stopIfTrue="1">
      <formula>OR($G$6=$D$266,$G$6="")</formula>
    </cfRule>
  </conditionalFormatting>
  <conditionalFormatting sqref="K22:L22">
    <cfRule type="expression" dxfId="163" priority="3" stopIfTrue="1">
      <formula>$G$6=$D$266</formula>
    </cfRule>
  </conditionalFormatting>
  <conditionalFormatting sqref="F6:G6">
    <cfRule type="expression" dxfId="162" priority="4" stopIfTrue="1">
      <formula>$R$5=FALSE</formula>
    </cfRule>
  </conditionalFormatting>
  <conditionalFormatting sqref="L8 K7:K8 M7:M8">
    <cfRule type="expression" dxfId="161" priority="5" stopIfTrue="1">
      <formula>OR(#REF!&lt;&gt;6,#REF!&lt;&gt;3)</formula>
    </cfRule>
    <cfRule type="expression" dxfId="160" priority="6" stopIfTrue="1">
      <formula>"OR($G$5=6,$G$4=6)"</formula>
    </cfRule>
  </conditionalFormatting>
  <conditionalFormatting sqref="K6">
    <cfRule type="expression" dxfId="159" priority="7" stopIfTrue="1">
      <formula>OR($G$6=$D$266,$G$6="")</formula>
    </cfRule>
  </conditionalFormatting>
  <conditionalFormatting sqref="L7">
    <cfRule type="expression" dxfId="158" priority="8" stopIfTrue="1">
      <formula>OR(#REF!&lt;&gt;6,#REF!&lt;&gt;3)</formula>
    </cfRule>
    <cfRule type="expression" dxfId="157" priority="9" stopIfTrue="1">
      <formula>"OR($G$5=6,$G$4=6)"</formula>
    </cfRule>
  </conditionalFormatting>
  <conditionalFormatting sqref="H5 I7">
    <cfRule type="expression" dxfId="156" priority="10" stopIfTrue="1">
      <formula>$R$6=FALSE</formula>
    </cfRule>
  </conditionalFormatting>
  <conditionalFormatting sqref="I6">
    <cfRule type="expression" dxfId="155" priority="11" stopIfTrue="1">
      <formula>AND($R$6=TRUE,$O$5=7)</formula>
    </cfRule>
  </conditionalFormatting>
  <conditionalFormatting sqref="I5:J5">
    <cfRule type="expression" dxfId="154" priority="12" stopIfTrue="1">
      <formula>$R$6=FALSE</formula>
    </cfRule>
  </conditionalFormatting>
  <conditionalFormatting sqref="J7">
    <cfRule type="expression" dxfId="153" priority="13" stopIfTrue="1">
      <formula>$R$6=FALSE</formula>
    </cfRule>
  </conditionalFormatting>
  <conditionalFormatting sqref="J6">
    <cfRule type="expression" dxfId="152" priority="14" stopIfTrue="1">
      <formula>AND($O$5=7,$R$6=TRUE)</formula>
    </cfRule>
    <cfRule type="expression" dxfId="151" priority="15" stopIfTrue="1">
      <formula>$R$6=FALSE</formula>
    </cfRule>
  </conditionalFormatting>
  <dataValidations count="17">
    <dataValidation type="list" allowBlank="1" showInputMessage="1" showErrorMessage="1" sqref="D185:D190 D254:D256 D169:D170 D159:D160 D149:D150 D112:D113 D106:D107 D69:D70 D45:D47 D195 D32:D34 D83:D84 D94:D95 D211 D16:D17 D132:D133 D137:D138 D143:D144 D116:D117 D179:D180 D56:D58" xr:uid="{E55522DE-A12E-439D-AF42-6AF2499D9A0F}">
      <formula1>$C$260:$C$261</formula1>
    </dataValidation>
    <dataValidation type="list" allowBlank="1" showInputMessage="1" showErrorMessage="1" sqref="D191 D135 D151:D154 D161:D162" xr:uid="{6E293287-D769-4DEB-995F-976A9BD65AC9}">
      <formula1>$L$270:$L$271</formula1>
    </dataValidation>
    <dataValidation type="list" allowBlank="1" showInputMessage="1" showErrorMessage="1" sqref="G6" xr:uid="{2C5D9EBB-7EDE-4571-BACA-7322BF9F2E93}">
      <formula1>$D$266:$D$267</formula1>
    </dataValidation>
    <dataValidation type="list" allowBlank="1" showInputMessage="1" showErrorMessage="1" sqref="I5:J5" xr:uid="{554381AE-6CBB-4FDE-A192-2E3145169163}">
      <formula1>currency_list</formula1>
    </dataValidation>
    <dataValidation type="list" allowBlank="1" showInputMessage="1" showErrorMessage="1" sqref="D104:D105" xr:uid="{DB806097-FBCB-41FF-A84A-DDEB561446CB}">
      <formula1>$C$266:$C$267</formula1>
    </dataValidation>
    <dataValidation type="list" allowBlank="1" showInputMessage="1" showErrorMessage="1" sqref="D101:D102 D131 D163" xr:uid="{0D704714-EA30-449A-9CBD-B17DDE6FDBC4}">
      <formula1>$C$264:$C$265</formula1>
    </dataValidation>
    <dataValidation type="list" allowBlank="1" showInputMessage="1" showErrorMessage="1" sqref="D100:F100" xr:uid="{A0B3DDDF-D7B5-4673-8967-677CBA907610}">
      <formula1>$H$261:$H$272</formula1>
    </dataValidation>
    <dataValidation type="list" allowBlank="1" showInputMessage="1" showErrorMessage="1" sqref="D87:D89" xr:uid="{13A9F3AA-8E19-40B7-95ED-9EDF3B0360C1}">
      <formula1>$D$261:$D$263</formula1>
    </dataValidation>
    <dataValidation type="list" allowBlank="1" showInputMessage="1" showErrorMessage="1" sqref="D74:D78" xr:uid="{9E20644B-9748-4D49-8E9B-62427963CAA4}">
      <formula1>$D$261:$D$262</formula1>
    </dataValidation>
    <dataValidation type="list" allowBlank="1" showInputMessage="1" showErrorMessage="1" sqref="D65:D66" xr:uid="{4FF243CE-8B0B-4B0D-A06C-AD2603968308}">
      <formula1>$C$262:$C$263</formula1>
    </dataValidation>
    <dataValidation type="list" allowBlank="1" showInputMessage="1" showErrorMessage="1" sqref="D118" xr:uid="{20717C27-05C3-429B-A63A-161DE4DC8DA8}">
      <formula1>$C$272:$C$273</formula1>
    </dataValidation>
    <dataValidation type="list" allowBlank="1" showInputMessage="1" showErrorMessage="1" sqref="D119:D123 D130 D125:D128" xr:uid="{3D8474CF-06FA-4511-A04A-02155845A0B6}">
      <formula1>$L$268:$L$269</formula1>
    </dataValidation>
    <dataValidation type="list" allowBlank="1" showInputMessage="1" showErrorMessage="1" sqref="D129" xr:uid="{FD88A9D2-290B-4A5E-AEF7-35DA3014728E}">
      <formula1>$C$268:$C$269</formula1>
    </dataValidation>
    <dataValidation type="list" allowBlank="1" showInputMessage="1" showErrorMessage="1" sqref="D155:D158" xr:uid="{AEE6E8AF-9DE4-4B44-8A59-30ECD86F9BED}">
      <formula1>$L$260:$L$261</formula1>
    </dataValidation>
    <dataValidation type="list" allowBlank="1" showInputMessage="1" showErrorMessage="1" sqref="D164" xr:uid="{F41C2D48-3936-4F5E-8E12-398D16B8E27D}">
      <formula1>$L$262:$L$263</formula1>
    </dataValidation>
    <dataValidation type="list" allowBlank="1" showInputMessage="1" showErrorMessage="1" sqref="D165" xr:uid="{AC31B827-E6B7-4D4B-B6E6-D962146E02CF}">
      <formula1>$L$264:$L$265</formula1>
    </dataValidation>
    <dataValidation type="list" allowBlank="1" showInputMessage="1" showErrorMessage="1" sqref="D166" xr:uid="{62B8A1AF-1FE8-44F5-B432-F50250EC5506}">
      <formula1>$L$266:$L$267</formula1>
    </dataValidation>
  </dataValidations>
  <printOptions horizontalCentered="1"/>
  <pageMargins left="0.51181102362204722" right="0.51181102362204722" top="0.51181102362204722" bottom="0.51181102362204722" header="0.51181102362204722" footer="0.31496062992125984"/>
  <pageSetup scale="76" orientation="portrait" r:id="rId1"/>
  <headerFooter alignWithMargins="0">
    <oddFooter>&amp;L_x000D_&amp;R2007-09-27_x000D_RETScreen4-v182-45.xls</oddFooter>
  </headerFooter>
  <drawing r:id="rId2"/>
  <legacyDrawing r:id="rId3"/>
  <controls>
    <mc:AlternateContent xmlns:mc="http://schemas.openxmlformats.org/markup-compatibility/2006">
      <mc:Choice Requires="x14">
        <control shapeId="9222" r:id="rId4" name="AllocationBtn">
          <controlPr defaultSize="0" autoLine="0" linkedCell="R7" r:id="rId5">
            <anchor moveWithCells="1" sizeWithCells="1">
              <from>
                <xdr:col>3</xdr:col>
                <xdr:colOff>76200</xdr:colOff>
                <xdr:row>6</xdr:row>
                <xdr:rowOff>15240</xdr:rowOff>
              </from>
              <to>
                <xdr:col>3</xdr:col>
                <xdr:colOff>236220</xdr:colOff>
                <xdr:row>7</xdr:row>
                <xdr:rowOff>0</xdr:rowOff>
              </to>
            </anchor>
          </controlPr>
        </control>
      </mc:Choice>
      <mc:Fallback>
        <control shapeId="9222" r:id="rId4" name="AllocationBtn"/>
      </mc:Fallback>
    </mc:AlternateContent>
    <mc:AlternateContent xmlns:mc="http://schemas.openxmlformats.org/markup-compatibility/2006">
      <mc:Choice Requires="x14">
        <control shapeId="9220" r:id="rId6" name="Currency2Btn">
          <controlPr defaultSize="0" autoLine="0" linkedCell="R6" r:id="rId5">
            <anchor moveWithCells="1" sizeWithCells="1">
              <from>
                <xdr:col>3</xdr:col>
                <xdr:colOff>76200</xdr:colOff>
                <xdr:row>5</xdr:row>
                <xdr:rowOff>15240</xdr:rowOff>
              </from>
              <to>
                <xdr:col>3</xdr:col>
                <xdr:colOff>236220</xdr:colOff>
                <xdr:row>6</xdr:row>
                <xdr:rowOff>7620</xdr:rowOff>
              </to>
            </anchor>
          </controlPr>
        </control>
      </mc:Choice>
      <mc:Fallback>
        <control shapeId="9220" r:id="rId6" name="Currency2Btn"/>
      </mc:Fallback>
    </mc:AlternateContent>
    <mc:AlternateContent xmlns:mc="http://schemas.openxmlformats.org/markup-compatibility/2006">
      <mc:Choice Requires="x14">
        <control shapeId="9219" r:id="rId7" name="CostRefBtn">
          <controlPr defaultSize="0" autoLine="0" linkedCell="R5" r:id="rId8">
            <anchor moveWithCells="1" sizeWithCells="1">
              <from>
                <xdr:col>3</xdr:col>
                <xdr:colOff>76200</xdr:colOff>
                <xdr:row>4</xdr:row>
                <xdr:rowOff>30480</xdr:rowOff>
              </from>
              <to>
                <xdr:col>3</xdr:col>
                <xdr:colOff>236220</xdr:colOff>
                <xdr:row>5</xdr:row>
                <xdr:rowOff>15240</xdr:rowOff>
              </to>
            </anchor>
          </controlPr>
        </control>
      </mc:Choice>
      <mc:Fallback>
        <control shapeId="9219" r:id="rId7" name="CostRefBtn"/>
      </mc:Fallback>
    </mc:AlternateContent>
    <mc:AlternateContent xmlns:mc="http://schemas.openxmlformats.org/markup-compatibility/2006">
      <mc:Choice Requires="x14">
        <control shapeId="9218" r:id="rId9" name="Level3Btn">
          <controlPr defaultSize="0" autoLine="0" linkedCell="Q7" r:id="rId5">
            <anchor moveWithCells="1">
              <from>
                <xdr:col>0</xdr:col>
                <xdr:colOff>53340</xdr:colOff>
                <xdr:row>5</xdr:row>
                <xdr:rowOff>15240</xdr:rowOff>
              </from>
              <to>
                <xdr:col>1</xdr:col>
                <xdr:colOff>45720</xdr:colOff>
                <xdr:row>6</xdr:row>
                <xdr:rowOff>7620</xdr:rowOff>
              </to>
            </anchor>
          </controlPr>
        </control>
      </mc:Choice>
      <mc:Fallback>
        <control shapeId="9218" r:id="rId9" name="Level3Btn"/>
      </mc:Fallback>
    </mc:AlternateContent>
    <mc:AlternateContent xmlns:mc="http://schemas.openxmlformats.org/markup-compatibility/2006">
      <mc:Choice Requires="x14">
        <control shapeId="9217" r:id="rId10" name="Level2Btn">
          <controlPr defaultSize="0" autoLine="0" linkedCell="Q6" r:id="rId8">
            <anchor moveWithCells="1">
              <from>
                <xdr:col>0</xdr:col>
                <xdr:colOff>53340</xdr:colOff>
                <xdr:row>4</xdr:row>
                <xdr:rowOff>15240</xdr:rowOff>
              </from>
              <to>
                <xdr:col>1</xdr:col>
                <xdr:colOff>45720</xdr:colOff>
                <xdr:row>5</xdr:row>
                <xdr:rowOff>7620</xdr:rowOff>
              </to>
            </anchor>
          </controlPr>
        </control>
      </mc:Choice>
      <mc:Fallback>
        <control shapeId="9217" r:id="rId10" name="Level2Btn"/>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956E6-BCCF-470B-9943-959C9C9E03F8}">
  <sheetPr codeName="CHP_GHG">
    <pageSetUpPr fitToPage="1"/>
  </sheetPr>
  <dimension ref="A1:AQ589"/>
  <sheetViews>
    <sheetView showRowColHeaders="0" topLeftCell="A50" zoomScale="87" zoomScaleNormal="87" workbookViewId="0">
      <selection activeCell="J191" sqref="J191"/>
    </sheetView>
  </sheetViews>
  <sheetFormatPr defaultColWidth="0" defaultRowHeight="13.35" customHeight="1" zeroHeight="1"/>
  <cols>
    <col min="1" max="2" width="2.33203125" customWidth="1"/>
    <col min="3" max="3" width="31.33203125" customWidth="1"/>
    <col min="4" max="4" width="15.77734375" customWidth="1"/>
    <col min="5" max="5" width="14.77734375" customWidth="1"/>
    <col min="6" max="6" width="18.77734375" customWidth="1"/>
    <col min="7" max="7" width="15.77734375" customWidth="1"/>
    <col min="8" max="8" width="14.77734375" customWidth="1"/>
    <col min="9" max="11" width="15.77734375" customWidth="1"/>
    <col min="12" max="13" width="2.33203125" customWidth="1"/>
    <col min="14" max="20" width="11" hidden="1" customWidth="1"/>
    <col min="21" max="21" width="16.6640625" hidden="1" customWidth="1"/>
    <col min="22" max="28" width="11" hidden="1" customWidth="1"/>
  </cols>
  <sheetData>
    <row r="1" spans="1:43" ht="12.75" customHeight="1">
      <c r="A1" s="1194" t="str">
        <f>Language!C870&amp;B188</f>
        <v>Análise da Redução das Emissões RETScreen - Projeto produção de Eletricidade</v>
      </c>
      <c r="B1" s="1194"/>
      <c r="C1" s="1194"/>
      <c r="D1" s="1194"/>
      <c r="E1" s="1194"/>
      <c r="F1" s="1194"/>
      <c r="G1" s="1194"/>
      <c r="H1" s="1194"/>
      <c r="I1" s="1194"/>
      <c r="J1" s="1194"/>
      <c r="K1" s="1194"/>
      <c r="L1" s="1194"/>
      <c r="M1" s="1"/>
      <c r="N1">
        <f>IF(ISERROR(SUM(N2:N13, N40:N195)+GHG_Type),4,SUM(N2:N13, N40:N195)+GHG_Type)</f>
        <v>3372.8103944564427</v>
      </c>
      <c r="O1" s="319">
        <v>3372.8103944564427</v>
      </c>
      <c r="P1" s="3" t="b">
        <v>1</v>
      </c>
      <c r="Q1" t="s">
        <v>318</v>
      </c>
      <c r="R1" s="3" t="b">
        <v>1</v>
      </c>
      <c r="S1" t="s">
        <v>2337</v>
      </c>
      <c r="AB1">
        <v>90000</v>
      </c>
      <c r="AC1" t="s">
        <v>4194</v>
      </c>
      <c r="AD1" s="1006" t="s">
        <v>2452</v>
      </c>
      <c r="AE1" s="1006" t="s">
        <v>3541</v>
      </c>
      <c r="AF1" s="1006" t="s">
        <v>3542</v>
      </c>
      <c r="AG1" s="1006" t="s">
        <v>3543</v>
      </c>
      <c r="AH1" s="1006" t="s">
        <v>2456</v>
      </c>
      <c r="AI1" s="1006" t="s">
        <v>2457</v>
      </c>
      <c r="AK1" t="s">
        <v>977</v>
      </c>
      <c r="AL1" s="1013" t="s">
        <v>2452</v>
      </c>
      <c r="AM1" s="1013" t="s">
        <v>2453</v>
      </c>
      <c r="AN1" s="1013" t="s">
        <v>2455</v>
      </c>
      <c r="AO1" s="1013" t="s">
        <v>2454</v>
      </c>
      <c r="AP1" s="1013" t="s">
        <v>4185</v>
      </c>
      <c r="AQ1" s="1013" t="s">
        <v>4186</v>
      </c>
    </row>
    <row r="2" spans="1:43" ht="12.75" customHeight="1">
      <c r="A2" s="1194"/>
      <c r="B2" s="1194"/>
      <c r="C2" s="1194"/>
      <c r="D2" s="1194"/>
      <c r="E2" s="1194"/>
      <c r="F2" s="1194"/>
      <c r="G2" s="1194"/>
      <c r="H2" s="1194"/>
      <c r="I2" s="1194"/>
      <c r="J2" s="1194"/>
      <c r="K2" s="1194"/>
      <c r="L2" s="1194"/>
      <c r="M2" s="1"/>
      <c r="P2" s="3" t="b">
        <v>1</v>
      </c>
      <c r="Q2" t="s">
        <v>5201</v>
      </c>
      <c r="R2" s="3" t="b">
        <v>0</v>
      </c>
      <c r="S2" t="s">
        <v>3962</v>
      </c>
      <c r="U2">
        <v>25</v>
      </c>
      <c r="V2" t="str">
        <f>Language!$C$587</f>
        <v>tons CO2 =</v>
      </c>
      <c r="W2" t="str">
        <f>Language!C588</f>
        <v>1 ton CH4</v>
      </c>
      <c r="AB2">
        <v>90000</v>
      </c>
      <c r="AD2" s="1008">
        <v>5</v>
      </c>
      <c r="AE2" s="1008">
        <v>1</v>
      </c>
      <c r="AF2" s="1008">
        <v>1</v>
      </c>
      <c r="AG2" s="1008">
        <v>18</v>
      </c>
      <c r="AH2" s="1008" t="b">
        <v>1</v>
      </c>
      <c r="AI2" s="1008" t="s">
        <v>98</v>
      </c>
      <c r="AL2" s="1008">
        <v>45</v>
      </c>
      <c r="AM2" s="1008">
        <v>2</v>
      </c>
      <c r="AN2" s="1008">
        <v>45</v>
      </c>
      <c r="AO2" s="1008">
        <v>16</v>
      </c>
      <c r="AP2" s="1008">
        <v>45</v>
      </c>
      <c r="AQ2" s="1008">
        <v>5</v>
      </c>
    </row>
    <row r="3" spans="1:43" ht="12.75" customHeight="1">
      <c r="A3" s="446"/>
      <c r="B3" s="57"/>
      <c r="C3" s="25" t="str">
        <f>Language!C24</f>
        <v>Análise de Emissões</v>
      </c>
      <c r="D3" s="57"/>
      <c r="E3" s="57"/>
      <c r="F3" s="57"/>
      <c r="G3" s="57"/>
      <c r="H3" s="57"/>
      <c r="I3" s="57"/>
      <c r="J3" s="57"/>
      <c r="K3" s="57"/>
      <c r="L3" s="276"/>
      <c r="M3" s="1"/>
      <c r="P3" s="3" t="b">
        <v>0</v>
      </c>
      <c r="Q3" t="s">
        <v>5202</v>
      </c>
      <c r="R3" s="3" t="b">
        <v>0</v>
      </c>
      <c r="S3" t="s">
        <v>1049</v>
      </c>
      <c r="U3">
        <v>298</v>
      </c>
      <c r="V3" t="str">
        <f>Language!$C$587</f>
        <v>tons CO2 =</v>
      </c>
      <c r="W3" t="str">
        <f>Language!C589</f>
        <v>1 ton N2O</v>
      </c>
      <c r="AB3">
        <v>91002</v>
      </c>
      <c r="AD3" s="1008">
        <v>6</v>
      </c>
      <c r="AE3" s="1008">
        <v>1</v>
      </c>
      <c r="AF3" s="1008">
        <v>2</v>
      </c>
      <c r="AG3" s="1008">
        <v>18</v>
      </c>
      <c r="AH3" s="1008" t="b">
        <v>1</v>
      </c>
      <c r="AI3" s="1008" t="s">
        <v>98</v>
      </c>
    </row>
    <row r="4" spans="1:43" ht="15" customHeight="1">
      <c r="A4" s="12"/>
      <c r="B4" s="1"/>
      <c r="C4" s="1"/>
      <c r="D4" s="1"/>
      <c r="E4" s="1"/>
      <c r="F4" s="1"/>
      <c r="G4" s="1"/>
      <c r="H4" s="1"/>
      <c r="I4" s="1"/>
      <c r="J4" s="1"/>
      <c r="K4" s="8"/>
      <c r="L4" s="9"/>
      <c r="M4" s="1"/>
      <c r="S4" t="s">
        <v>5055</v>
      </c>
      <c r="T4">
        <f>Iniciar!P3</f>
        <v>0</v>
      </c>
      <c r="V4" t="s">
        <v>663</v>
      </c>
      <c r="W4">
        <f>IF(OR(R5=2,R5=4,R5=5,R5=7),SUM('Modelo Energético'!H940:H946)-IF('Modelo Energético'!D946='Modelo Energético'!P1066,'Modelo Energético'!H946,0),0)/1000</f>
        <v>3.7949999999999998E-3</v>
      </c>
      <c r="X4" t="s">
        <v>1363</v>
      </c>
      <c r="AB4">
        <v>91002</v>
      </c>
      <c r="AD4" s="1008">
        <v>7</v>
      </c>
      <c r="AE4" s="1008">
        <v>1</v>
      </c>
      <c r="AF4" s="1008">
        <v>3</v>
      </c>
      <c r="AG4" s="1008">
        <v>18</v>
      </c>
      <c r="AH4" s="1008" t="b">
        <v>1</v>
      </c>
      <c r="AI4" s="1008" t="s">
        <v>98</v>
      </c>
    </row>
    <row r="5" spans="1:43" ht="15" customHeight="1">
      <c r="A5" s="1278" t="s">
        <v>942</v>
      </c>
      <c r="B5" s="1191"/>
      <c r="C5" s="265" t="str">
        <f>Language!C1811</f>
        <v xml:space="preserve">Método 1 </v>
      </c>
      <c r="D5" s="1"/>
      <c r="E5" s="29"/>
      <c r="F5" s="335"/>
      <c r="G5" s="1"/>
      <c r="H5" s="278" t="str">
        <f>Language!C585</f>
        <v>Potencial de Aquecimento global dos GEE</v>
      </c>
      <c r="I5" s="1"/>
      <c r="J5" s="1"/>
      <c r="K5" s="8"/>
      <c r="L5" s="9"/>
      <c r="M5" s="1"/>
      <c r="N5">
        <f>IF(Link_GHG_Start=TRUE,100+GHG_Type*13,0)+IF(OR(R5=1,R5=3,R5=6),0,1)*IF(EM_gridtype=5,100,0)</f>
        <v>139</v>
      </c>
      <c r="O5">
        <f>IF(Set_Level=1,3,IF(R2=TRUE,1,IF(R3=TRUE,2,3)))</f>
        <v>3</v>
      </c>
      <c r="P5" s="319">
        <f>H6</f>
        <v>25</v>
      </c>
      <c r="Q5" t="s">
        <v>2338</v>
      </c>
      <c r="R5">
        <f>HideCode_projectType</f>
        <v>2</v>
      </c>
      <c r="S5" t="s">
        <v>3632</v>
      </c>
      <c r="T5">
        <f>EM_gridtype</f>
        <v>1</v>
      </c>
      <c r="U5" t="s">
        <v>2617</v>
      </c>
      <c r="V5" t="s">
        <v>447</v>
      </c>
      <c r="W5">
        <f>(Q64-Q130)/3600</f>
        <v>0</v>
      </c>
      <c r="X5" t="s">
        <v>1364</v>
      </c>
      <c r="AB5">
        <v>91002</v>
      </c>
    </row>
    <row r="6" spans="1:43" ht="15.75" customHeight="1">
      <c r="A6" s="1278" t="s">
        <v>943</v>
      </c>
      <c r="B6" s="1191"/>
      <c r="C6" s="265" t="str">
        <f>Language!C1812</f>
        <v xml:space="preserve">Método 2 </v>
      </c>
      <c r="D6" s="1"/>
      <c r="E6" s="1"/>
      <c r="F6" s="335"/>
      <c r="G6" s="1"/>
      <c r="H6" s="305">
        <v>25</v>
      </c>
      <c r="I6" s="79" t="str">
        <f>IF(GHG_Type=1,Q7,Language!$C$587)</f>
        <v>tons CO2 =</v>
      </c>
      <c r="J6" s="1" t="str">
        <f>Language!C588</f>
        <v>1 ton CH4</v>
      </c>
      <c r="K6" s="8" t="s">
        <v>4722</v>
      </c>
      <c r="L6" s="9"/>
      <c r="M6" s="1"/>
      <c r="N6">
        <f>LangIndex</f>
        <v>23</v>
      </c>
      <c r="P6" s="319">
        <f>H7</f>
        <v>298</v>
      </c>
      <c r="R6" s="204">
        <f>'Carga e Rede'!M377+'Modelo Energético'!G1179+Q63+IF(AND(R5=2,T5&lt;&gt;5),1,0)</f>
        <v>20.405197228221521</v>
      </c>
      <c r="S6" t="s">
        <v>751</v>
      </c>
      <c r="AB6">
        <v>91002</v>
      </c>
    </row>
    <row r="7" spans="1:43" ht="15" customHeight="1">
      <c r="A7" s="1278" t="s">
        <v>943</v>
      </c>
      <c r="B7" s="1191"/>
      <c r="C7" s="265" t="str">
        <f>Language!C1813</f>
        <v>Método 3</v>
      </c>
      <c r="D7" s="1"/>
      <c r="E7" s="1"/>
      <c r="F7" s="335"/>
      <c r="G7" s="1"/>
      <c r="H7" s="305">
        <v>298</v>
      </c>
      <c r="I7" s="79" t="str">
        <f>IF(GHG_Type=1,Q8,Language!$C$587)</f>
        <v>tons CO2 =</v>
      </c>
      <c r="J7" s="1" t="str">
        <f>Language!C589</f>
        <v>1 ton N2O</v>
      </c>
      <c r="K7" s="8" t="s">
        <v>4722</v>
      </c>
      <c r="L7" s="9"/>
      <c r="M7" s="1"/>
      <c r="P7" s="319">
        <v>25</v>
      </c>
      <c r="Q7" t="str">
        <f>U2&amp;" "&amp;Language!$C$587</f>
        <v>25 tons CO2 =</v>
      </c>
      <c r="R7">
        <f>IF(OR(R5=1,R5=3,R5=6),0,100)*0</f>
        <v>0</v>
      </c>
      <c r="AB7">
        <v>91002</v>
      </c>
    </row>
    <row r="8" spans="1:43" ht="15" customHeight="1">
      <c r="A8" s="14"/>
      <c r="B8" s="15"/>
      <c r="C8" s="15"/>
      <c r="D8" s="15"/>
      <c r="E8" s="833"/>
      <c r="F8" s="833"/>
      <c r="G8" s="833"/>
      <c r="H8" s="15"/>
      <c r="I8" s="15"/>
      <c r="J8" s="15"/>
      <c r="K8" s="15"/>
      <c r="L8" s="11"/>
      <c r="M8" s="1"/>
      <c r="P8" s="319">
        <v>298</v>
      </c>
      <c r="Q8" t="str">
        <f>U3&amp;" "&amp;Language!$C$587</f>
        <v>298 tons CO2 =</v>
      </c>
      <c r="AB8">
        <v>91002</v>
      </c>
    </row>
    <row r="9" spans="1:43" ht="13.2">
      <c r="A9" s="1"/>
      <c r="B9" s="1"/>
      <c r="C9" s="1"/>
      <c r="D9" s="1"/>
      <c r="E9" s="1"/>
      <c r="F9" s="1"/>
      <c r="G9" s="1"/>
      <c r="H9" s="1"/>
      <c r="I9" s="1"/>
      <c r="J9" s="1"/>
      <c r="K9" s="1"/>
      <c r="L9" s="1"/>
      <c r="M9" s="1"/>
      <c r="AB9">
        <v>90000</v>
      </c>
    </row>
    <row r="10" spans="1:43" ht="13.2">
      <c r="A10" s="446" t="str">
        <f>Language!C590</f>
        <v>Sistema elétrico de referência ( Baseline)</v>
      </c>
      <c r="B10" s="25"/>
      <c r="C10" s="25"/>
      <c r="D10" s="25"/>
      <c r="E10" s="25"/>
      <c r="F10" s="25"/>
      <c r="G10" s="25"/>
      <c r="H10" s="25"/>
      <c r="I10" s="25"/>
      <c r="J10" s="25"/>
      <c r="K10" s="170"/>
      <c r="L10" s="276"/>
      <c r="M10" s="1"/>
      <c r="N10">
        <f>IF(ISERROR(R6),100,IF(R6+R7&gt;0,100,0))</f>
        <v>100</v>
      </c>
      <c r="AB10">
        <v>92000</v>
      </c>
    </row>
    <row r="11" spans="1:43" ht="12.75" hidden="1" customHeight="1">
      <c r="A11" s="12"/>
      <c r="B11" s="1"/>
      <c r="C11" s="1"/>
      <c r="D11" s="1"/>
      <c r="E11" s="1"/>
      <c r="F11" s="1"/>
      <c r="G11" s="1"/>
      <c r="H11" s="1"/>
      <c r="I11" s="1"/>
      <c r="J11" s="1"/>
      <c r="K11" s="8"/>
      <c r="L11" s="9"/>
      <c r="M11" s="1"/>
      <c r="AB11">
        <v>92000</v>
      </c>
    </row>
    <row r="12" spans="1:43" ht="38.25" hidden="1" customHeight="1">
      <c r="A12" s="12"/>
      <c r="B12" s="1"/>
      <c r="C12" s="1"/>
      <c r="D12" s="82" t="str">
        <f>Language!C412</f>
        <v>Mix do combustível</v>
      </c>
      <c r="E12" s="82" t="str">
        <f>Language!C591</f>
        <v>Fator de
emissão de CO2</v>
      </c>
      <c r="F12" s="82" t="str">
        <f>Language!C592</f>
        <v>Fator de
emissão de CH4</v>
      </c>
      <c r="G12" s="82" t="str">
        <f>Language!C593</f>
        <v>Fator de
emissão de N2O</v>
      </c>
      <c r="H12" s="1207" t="str">
        <f>Language!C594</f>
        <v>Eficiência na geração 
de eletricidade</v>
      </c>
      <c r="I12" s="1207"/>
      <c r="J12" s="82" t="str">
        <f>Language!C595</f>
        <v>Perdas
T&amp;D</v>
      </c>
      <c r="K12" s="20" t="str">
        <f>Language!C596</f>
        <v>Fator de emissão
de GEE</v>
      </c>
      <c r="L12" s="9"/>
      <c r="M12" s="1"/>
      <c r="AB12">
        <v>92000</v>
      </c>
    </row>
    <row r="13" spans="1:43" ht="12" hidden="1" customHeight="1">
      <c r="A13" s="12"/>
      <c r="B13" s="15"/>
      <c r="C13" s="49" t="str">
        <f>Language!C211</f>
        <v>Tipo de Combustível</v>
      </c>
      <c r="D13" s="128" t="str">
        <f>Language!C1306</f>
        <v>%</v>
      </c>
      <c r="E13" s="128" t="str">
        <f>Language!C1354</f>
        <v>kg/GJ</v>
      </c>
      <c r="F13" s="128" t="str">
        <f>$E$13</f>
        <v>kg/GJ</v>
      </c>
      <c r="G13" s="128" t="str">
        <f>$E$13</f>
        <v>kg/GJ</v>
      </c>
      <c r="H13" s="1275" t="str">
        <f>D13</f>
        <v>%</v>
      </c>
      <c r="I13" s="1275"/>
      <c r="J13" s="29" t="str">
        <f>D13</f>
        <v>%</v>
      </c>
      <c r="K13" s="938" t="s">
        <v>4285</v>
      </c>
      <c r="L13" s="9"/>
      <c r="M13" s="1"/>
      <c r="AB13">
        <v>92000</v>
      </c>
    </row>
    <row r="14" spans="1:43" ht="12" hidden="1" customHeight="1">
      <c r="A14" s="12"/>
      <c r="B14" s="46"/>
      <c r="C14" s="46" t="str">
        <f>'Carga e Rede'!P367</f>
        <v>Gás Natural</v>
      </c>
      <c r="D14" s="171">
        <v>1</v>
      </c>
      <c r="E14" s="464"/>
      <c r="F14" s="985"/>
      <c r="G14" s="465"/>
      <c r="H14" s="1276">
        <f>H26</f>
        <v>0</v>
      </c>
      <c r="I14" s="1277"/>
      <c r="J14" s="422"/>
      <c r="K14" s="981">
        <f>IF(OR(HideCode_projectType=1,HideCode_projectType=3,HideCode_projectType=6,EM_gridtype&lt;5),0,IF(D14=0,0,(E14+(F14*$P$5)+(G14*$P$6))*(1/H26)*(1/(1-J14))*3.6*(1/1000)))</f>
        <v>0</v>
      </c>
      <c r="L14" s="9"/>
      <c r="M14" s="1"/>
      <c r="S14">
        <f>IF(OR(H14=0,H14=""),1,H14)</f>
        <v>1</v>
      </c>
      <c r="T14">
        <f>IF(OR(J14=0,J14=""),0,J14)</f>
        <v>0</v>
      </c>
      <c r="AB14">
        <v>92000</v>
      </c>
    </row>
    <row r="15" spans="1:43" ht="12" hidden="1" customHeight="1">
      <c r="A15" s="12"/>
      <c r="B15" s="1280" t="s">
        <v>7157</v>
      </c>
      <c r="C15" s="1279"/>
      <c r="D15" s="366"/>
      <c r="E15" s="464">
        <v>49.36</v>
      </c>
      <c r="F15" s="985">
        <v>3.6253858828431298E-3</v>
      </c>
      <c r="G15" s="465">
        <v>9.0634647071078202E-4</v>
      </c>
      <c r="H15" s="1273">
        <v>0.40785591181985198</v>
      </c>
      <c r="I15" s="1274"/>
      <c r="J15" s="366"/>
      <c r="K15" s="981">
        <f t="shared" ref="K15:K24" si="0">IF(OR(B15="",D15=0),0,(E15+(F15*$P$5)+(G15*$P$6))*(1/H15)*(1/(1-J15))*3.6*(1/1000))</f>
        <v>0</v>
      </c>
      <c r="L15" s="9"/>
      <c r="M15" s="1"/>
      <c r="N15">
        <f>SUM(N16:N36)</f>
        <v>16</v>
      </c>
      <c r="O15">
        <v>16</v>
      </c>
      <c r="S15">
        <f t="shared" ref="S15:S24" si="1">IF(OR(H15=0,H15=""),1,H15)</f>
        <v>0.40785591181985198</v>
      </c>
      <c r="T15">
        <f t="shared" ref="T15:T24" si="2">IF(OR(J15=0,J15=""),0,J15)</f>
        <v>0</v>
      </c>
      <c r="AB15">
        <v>92000</v>
      </c>
    </row>
    <row r="16" spans="1:43" ht="12" hidden="1" customHeight="1">
      <c r="A16" s="12"/>
      <c r="B16" s="1279"/>
      <c r="C16" s="1279"/>
      <c r="D16" s="366"/>
      <c r="E16" s="464"/>
      <c r="F16" s="985"/>
      <c r="G16" s="465"/>
      <c r="H16" s="1273"/>
      <c r="I16" s="1274"/>
      <c r="J16" s="366"/>
      <c r="K16" s="981">
        <f t="shared" si="0"/>
        <v>0</v>
      </c>
      <c r="L16" s="9"/>
      <c r="M16" s="1"/>
      <c r="N16">
        <f>IF(AND(B15="",B16="",D16=""),1,0)</f>
        <v>0</v>
      </c>
      <c r="S16">
        <f t="shared" si="1"/>
        <v>1</v>
      </c>
      <c r="T16">
        <f t="shared" si="2"/>
        <v>0</v>
      </c>
      <c r="W16" t="s">
        <v>1466</v>
      </c>
      <c r="X16">
        <f>F189</f>
        <v>0</v>
      </c>
      <c r="Y16" t="s">
        <v>4252</v>
      </c>
      <c r="AB16">
        <v>92000</v>
      </c>
    </row>
    <row r="17" spans="1:28" ht="12" hidden="1" customHeight="1">
      <c r="A17" s="12"/>
      <c r="B17" s="1279"/>
      <c r="C17" s="1279"/>
      <c r="D17" s="366"/>
      <c r="E17" s="464"/>
      <c r="F17" s="985"/>
      <c r="G17" s="465"/>
      <c r="H17" s="1273"/>
      <c r="I17" s="1274"/>
      <c r="J17" s="366"/>
      <c r="K17" s="981">
        <f t="shared" si="0"/>
        <v>0</v>
      </c>
      <c r="L17" s="9"/>
      <c r="M17" s="1"/>
      <c r="N17">
        <f t="shared" ref="N17:N24" si="3">IF(AND(B16="",B17="",D17=""),1,0)</f>
        <v>1</v>
      </c>
      <c r="S17">
        <f t="shared" si="1"/>
        <v>1</v>
      </c>
      <c r="T17">
        <f t="shared" si="2"/>
        <v>0</v>
      </c>
      <c r="W17" t="s">
        <v>3755</v>
      </c>
      <c r="X17">
        <f>IF(OR(W4&gt;15,W5&gt;15,X16&gt;15000),1,2)</f>
        <v>2</v>
      </c>
      <c r="AB17">
        <v>92000</v>
      </c>
    </row>
    <row r="18" spans="1:28" ht="12" hidden="1" customHeight="1">
      <c r="A18" s="12"/>
      <c r="B18" s="1279"/>
      <c r="C18" s="1279"/>
      <c r="D18" s="366"/>
      <c r="E18" s="464"/>
      <c r="F18" s="985"/>
      <c r="G18" s="465"/>
      <c r="H18" s="1273"/>
      <c r="I18" s="1274"/>
      <c r="J18" s="366"/>
      <c r="K18" s="981">
        <f t="shared" si="0"/>
        <v>0</v>
      </c>
      <c r="L18" s="9"/>
      <c r="M18" s="1"/>
      <c r="N18">
        <f t="shared" si="3"/>
        <v>1</v>
      </c>
      <c r="S18">
        <f t="shared" si="1"/>
        <v>1</v>
      </c>
      <c r="T18">
        <f t="shared" si="2"/>
        <v>0</v>
      </c>
      <c r="W18" t="s">
        <v>5383</v>
      </c>
      <c r="X18">
        <f>IF(P2=TRUE,1,0)</f>
        <v>1</v>
      </c>
      <c r="AB18">
        <v>92000</v>
      </c>
    </row>
    <row r="19" spans="1:28" ht="12" hidden="1" customHeight="1">
      <c r="A19" s="12"/>
      <c r="B19" s="1279"/>
      <c r="C19" s="1279"/>
      <c r="D19" s="366"/>
      <c r="E19" s="464"/>
      <c r="F19" s="985"/>
      <c r="G19" s="465"/>
      <c r="H19" s="1273"/>
      <c r="I19" s="1274"/>
      <c r="J19" s="366"/>
      <c r="K19" s="981">
        <f t="shared" si="0"/>
        <v>0</v>
      </c>
      <c r="L19" s="9"/>
      <c r="M19" s="1"/>
      <c r="N19">
        <f t="shared" si="3"/>
        <v>1</v>
      </c>
      <c r="S19">
        <f t="shared" si="1"/>
        <v>1</v>
      </c>
      <c r="T19">
        <f t="shared" si="2"/>
        <v>0</v>
      </c>
      <c r="AB19">
        <v>92000</v>
      </c>
    </row>
    <row r="20" spans="1:28" ht="12" hidden="1" customHeight="1">
      <c r="A20" s="12"/>
      <c r="B20" s="1279"/>
      <c r="C20" s="1279"/>
      <c r="D20" s="366"/>
      <c r="E20" s="464"/>
      <c r="F20" s="985"/>
      <c r="G20" s="465"/>
      <c r="H20" s="1273"/>
      <c r="I20" s="1274"/>
      <c r="J20" s="366"/>
      <c r="K20" s="981">
        <f t="shared" si="0"/>
        <v>0</v>
      </c>
      <c r="L20" s="9"/>
      <c r="M20" s="1"/>
      <c r="N20">
        <f t="shared" si="3"/>
        <v>1</v>
      </c>
      <c r="S20">
        <f t="shared" si="1"/>
        <v>1</v>
      </c>
      <c r="T20">
        <f t="shared" si="2"/>
        <v>0</v>
      </c>
      <c r="AB20">
        <v>92000</v>
      </c>
    </row>
    <row r="21" spans="1:28" ht="12" hidden="1" customHeight="1">
      <c r="A21" s="12"/>
      <c r="B21" s="1279"/>
      <c r="C21" s="1279"/>
      <c r="D21" s="366"/>
      <c r="E21" s="464"/>
      <c r="F21" s="985"/>
      <c r="G21" s="465"/>
      <c r="H21" s="1273"/>
      <c r="I21" s="1274"/>
      <c r="J21" s="366"/>
      <c r="K21" s="981">
        <f t="shared" si="0"/>
        <v>0</v>
      </c>
      <c r="L21" s="9"/>
      <c r="M21" s="1"/>
      <c r="N21">
        <f t="shared" si="3"/>
        <v>1</v>
      </c>
      <c r="S21">
        <f t="shared" si="1"/>
        <v>1</v>
      </c>
      <c r="T21">
        <f t="shared" si="2"/>
        <v>0</v>
      </c>
      <c r="AB21">
        <v>92000</v>
      </c>
    </row>
    <row r="22" spans="1:28" ht="12" hidden="1" customHeight="1">
      <c r="A22" s="12"/>
      <c r="B22" s="1279"/>
      <c r="C22" s="1279"/>
      <c r="D22" s="366"/>
      <c r="E22" s="464"/>
      <c r="F22" s="985"/>
      <c r="G22" s="465"/>
      <c r="H22" s="1273"/>
      <c r="I22" s="1274"/>
      <c r="J22" s="366"/>
      <c r="K22" s="981">
        <f t="shared" si="0"/>
        <v>0</v>
      </c>
      <c r="L22" s="9"/>
      <c r="M22" s="1"/>
      <c r="N22">
        <f t="shared" si="3"/>
        <v>1</v>
      </c>
      <c r="S22">
        <f t="shared" si="1"/>
        <v>1</v>
      </c>
      <c r="T22">
        <f t="shared" si="2"/>
        <v>0</v>
      </c>
      <c r="AB22">
        <v>92000</v>
      </c>
    </row>
    <row r="23" spans="1:28" ht="12" hidden="1" customHeight="1">
      <c r="A23" s="12"/>
      <c r="B23" s="1279"/>
      <c r="C23" s="1279"/>
      <c r="D23" s="366"/>
      <c r="E23" s="464"/>
      <c r="F23" s="985"/>
      <c r="G23" s="465"/>
      <c r="H23" s="1273"/>
      <c r="I23" s="1274"/>
      <c r="J23" s="366"/>
      <c r="K23" s="981">
        <f t="shared" si="0"/>
        <v>0</v>
      </c>
      <c r="L23" s="9"/>
      <c r="M23" s="1"/>
      <c r="N23">
        <f t="shared" si="3"/>
        <v>1</v>
      </c>
      <c r="S23">
        <f t="shared" si="1"/>
        <v>1</v>
      </c>
      <c r="T23">
        <f t="shared" si="2"/>
        <v>0</v>
      </c>
      <c r="AB23">
        <v>92000</v>
      </c>
    </row>
    <row r="24" spans="1:28" ht="12" hidden="1" customHeight="1">
      <c r="A24" s="12"/>
      <c r="B24" s="1279"/>
      <c r="C24" s="1279"/>
      <c r="D24" s="366"/>
      <c r="E24" s="464"/>
      <c r="F24" s="985"/>
      <c r="G24" s="465"/>
      <c r="H24" s="1273"/>
      <c r="I24" s="1274"/>
      <c r="J24" s="366"/>
      <c r="K24" s="982">
        <f t="shared" si="0"/>
        <v>0</v>
      </c>
      <c r="L24" s="9"/>
      <c r="M24" s="1"/>
      <c r="N24">
        <f t="shared" si="3"/>
        <v>1</v>
      </c>
      <c r="S24">
        <f t="shared" si="1"/>
        <v>1</v>
      </c>
      <c r="T24">
        <f t="shared" si="2"/>
        <v>0</v>
      </c>
      <c r="V24" t="s">
        <v>487</v>
      </c>
      <c r="AB24">
        <v>92000</v>
      </c>
    </row>
    <row r="25" spans="1:28" ht="12" hidden="1" customHeight="1">
      <c r="A25" s="12"/>
      <c r="B25" s="8"/>
      <c r="C25" s="1" t="str">
        <f>Language!C598</f>
        <v>Mix de Eletricidade</v>
      </c>
      <c r="D25" s="177">
        <f>IF(AND(EM_gridtype=5,GHG_EnergyModelUse=0),D14,SUM(D15:D24))</f>
        <v>0</v>
      </c>
      <c r="E25" s="178">
        <f>IF(AND(EM_gridtype=5,GHG_EnergyModelUse=0),$D$14*E14/$S$14/(1-$T$14),SUMPRODUCT($D$15:$D$24*E15:E24/$S$15:$S$24/(1-$T$15:$T$24)))</f>
        <v>0</v>
      </c>
      <c r="F25" s="986">
        <f>IF(AND(EM_gridtype=5,GHG_EnergyModelUse=0),$D$14*F14/$S$14/(1-$T$14),SUMPRODUCT($D$15:$D$24*F15:F24/$S$15:$S$24/(1-$T$15:$T$24)))</f>
        <v>0</v>
      </c>
      <c r="G25" s="179">
        <f>IF(AND(EM_gridtype=5,GHG_EnergyModelUse=0),$D$14*G14/$S$14/(1-$T$14),SUMPRODUCT($D$15:$D$24*G15:G24/$S$15:$S$24/(1-$T$15:$T$24)))</f>
        <v>0</v>
      </c>
      <c r="H25" s="1282"/>
      <c r="I25" s="1282"/>
      <c r="J25" s="177">
        <f>IF(AND(EM_gridtype=5,GHG_EnergyModelUse=0),J14,SUMPRODUCT(D15:D24,J15:J24))</f>
        <v>0</v>
      </c>
      <c r="K25" s="983">
        <f>IF(AND(EM_gridtype=5,GHG_EnergyModelUse=0),K14,SUMPRODUCT(D15:D24,K15:K24))</f>
        <v>0</v>
      </c>
      <c r="L25" s="9"/>
      <c r="M25" s="1"/>
      <c r="S25">
        <f>IF(GHG_Type=2,E25,E37)</f>
        <v>0</v>
      </c>
      <c r="T25">
        <f>IF(GHG_Type=2,F25,F37)</f>
        <v>0</v>
      </c>
      <c r="U25">
        <f>IF(GHG_Type=2,G25,G37)</f>
        <v>0</v>
      </c>
      <c r="AB25">
        <v>92000</v>
      </c>
    </row>
    <row r="26" spans="1:28" ht="12" hidden="1" customHeight="1">
      <c r="A26" s="12"/>
      <c r="B26" s="1"/>
      <c r="C26" s="1" t="str">
        <f>C14</f>
        <v>Gás Natural</v>
      </c>
      <c r="D26" s="80">
        <f>D14</f>
        <v>1</v>
      </c>
      <c r="E26" s="172">
        <f>IF(C26="","",VLOOKUP($C26,$C$207:$F$221,2,FALSE))</f>
        <v>54.46</v>
      </c>
      <c r="F26" s="984">
        <f>IF($C26="","",VLOOKUP($C26,$C$207:$F$221,3,FALSE))</f>
        <v>4.0000000000000001E-3</v>
      </c>
      <c r="G26" s="173">
        <f>IF($C26="","",VLOOKUP($C26,$C$207:$F$221,4,FALSE))</f>
        <v>1E-3</v>
      </c>
      <c r="H26" s="1281">
        <f>IF('Carga e Rede'!W222=0,0,'Carga e Rede'!D246*3.6/'Carga e Rede'!W222)</f>
        <v>0</v>
      </c>
      <c r="I26" s="1281"/>
      <c r="J26" s="422"/>
      <c r="K26" s="981">
        <f>IF(OR(HideCode_projectType=1,HideCode_projectType=3,HideCode_projectType=6,EM_gridtype&lt;5),0,IF(D26=0,0,(E26+(F26*U$2)+(G26*U$3))*(1/H26)*(1/(1-J26))*3.6*(1/1000)))</f>
        <v>0</v>
      </c>
      <c r="L26" s="9"/>
      <c r="M26" s="1"/>
      <c r="P26">
        <f t="shared" ref="P26:R36" si="4">IF(E26="",0,E26)</f>
        <v>54.46</v>
      </c>
      <c r="Q26">
        <f t="shared" si="4"/>
        <v>4.0000000000000001E-3</v>
      </c>
      <c r="R26">
        <f t="shared" si="4"/>
        <v>1E-3</v>
      </c>
      <c r="S26">
        <f>IF(OR(H26=0,H26=""),1,H26)</f>
        <v>1</v>
      </c>
      <c r="T26">
        <f>IF(OR(J26=0,J26=""),0,J26)</f>
        <v>0</v>
      </c>
      <c r="AB26">
        <v>92000</v>
      </c>
    </row>
    <row r="27" spans="1:28" ht="12" hidden="1" customHeight="1">
      <c r="A27" s="12"/>
      <c r="B27" s="1279" t="s">
        <v>7157</v>
      </c>
      <c r="C27" s="1279"/>
      <c r="D27" s="366"/>
      <c r="E27" s="172">
        <f t="shared" ref="E27:E36" si="5">IF(B27="","",VLOOKUP($B27,$C$207:$F$221,2,FALSE))</f>
        <v>54.46</v>
      </c>
      <c r="F27" s="984">
        <f t="shared" ref="F27:F36" si="6">IF($B27="","",VLOOKUP($B27,$C$207:$F$221,3,FALSE))</f>
        <v>4.0000000000000001E-3</v>
      </c>
      <c r="G27" s="173">
        <f t="shared" ref="G27:G36" si="7">IF($B27="","",VLOOKUP($B27,$C$207:$F$221,4,FALSE))</f>
        <v>1E-3</v>
      </c>
      <c r="H27" s="1273">
        <v>0.40785591181985198</v>
      </c>
      <c r="I27" s="1274"/>
      <c r="J27" s="366"/>
      <c r="K27" s="981">
        <f t="shared" ref="K27:K36" si="8">IF(OR(B27="",D27=0),0,(E27+(F27*U$2)+(G27*U$3))*(1/H27)*(1/(1-J27))*3.6*(1/1000))</f>
        <v>0</v>
      </c>
      <c r="L27" s="9"/>
      <c r="M27" s="1"/>
      <c r="P27">
        <f t="shared" si="4"/>
        <v>54.46</v>
      </c>
      <c r="Q27">
        <f t="shared" si="4"/>
        <v>4.0000000000000001E-3</v>
      </c>
      <c r="R27">
        <f t="shared" si="4"/>
        <v>1E-3</v>
      </c>
      <c r="S27">
        <f t="shared" ref="S27:S36" si="9">IF(OR(H27=0,H27=""),1,H27)</f>
        <v>0.40785591181985198</v>
      </c>
      <c r="T27">
        <f t="shared" ref="T27:T36" si="10">IF(OR(J27=0,J27=""),0,J27)</f>
        <v>0</v>
      </c>
      <c r="AB27">
        <v>92000</v>
      </c>
    </row>
    <row r="28" spans="1:28" ht="12" hidden="1" customHeight="1">
      <c r="A28" s="12"/>
      <c r="B28" s="1283"/>
      <c r="C28" s="1284"/>
      <c r="D28" s="366"/>
      <c r="E28" s="172" t="str">
        <f t="shared" si="5"/>
        <v/>
      </c>
      <c r="F28" s="984" t="str">
        <f t="shared" si="6"/>
        <v/>
      </c>
      <c r="G28" s="173" t="str">
        <f t="shared" si="7"/>
        <v/>
      </c>
      <c r="H28" s="1273"/>
      <c r="I28" s="1274"/>
      <c r="J28" s="366"/>
      <c r="K28" s="981">
        <f t="shared" si="8"/>
        <v>0</v>
      </c>
      <c r="L28" s="9"/>
      <c r="M28" s="1"/>
      <c r="N28">
        <f>IF(AND(B27="",B28="",D28=""),1,0)</f>
        <v>0</v>
      </c>
      <c r="P28">
        <f t="shared" si="4"/>
        <v>0</v>
      </c>
      <c r="Q28">
        <f t="shared" si="4"/>
        <v>0</v>
      </c>
      <c r="R28">
        <f t="shared" si="4"/>
        <v>0</v>
      </c>
      <c r="S28">
        <f t="shared" si="9"/>
        <v>1</v>
      </c>
      <c r="T28">
        <f t="shared" si="10"/>
        <v>0</v>
      </c>
      <c r="AB28">
        <v>92000</v>
      </c>
    </row>
    <row r="29" spans="1:28" ht="12" hidden="1" customHeight="1">
      <c r="A29" s="12"/>
      <c r="B29" s="1283"/>
      <c r="C29" s="1284"/>
      <c r="D29" s="366"/>
      <c r="E29" s="172" t="str">
        <f t="shared" si="5"/>
        <v/>
      </c>
      <c r="F29" s="984" t="str">
        <f t="shared" si="6"/>
        <v/>
      </c>
      <c r="G29" s="173" t="str">
        <f t="shared" si="7"/>
        <v/>
      </c>
      <c r="H29" s="1273"/>
      <c r="I29" s="1274"/>
      <c r="J29" s="366"/>
      <c r="K29" s="981">
        <f t="shared" si="8"/>
        <v>0</v>
      </c>
      <c r="L29" s="9"/>
      <c r="M29" s="1"/>
      <c r="N29">
        <f t="shared" ref="N29:N36" si="11">IF(AND(B28="",B29="",D29=""),1,0)</f>
        <v>1</v>
      </c>
      <c r="P29">
        <f t="shared" si="4"/>
        <v>0</v>
      </c>
      <c r="Q29">
        <f t="shared" si="4"/>
        <v>0</v>
      </c>
      <c r="R29">
        <f t="shared" si="4"/>
        <v>0</v>
      </c>
      <c r="S29">
        <f t="shared" si="9"/>
        <v>1</v>
      </c>
      <c r="T29">
        <f t="shared" si="10"/>
        <v>0</v>
      </c>
      <c r="AB29">
        <v>92000</v>
      </c>
    </row>
    <row r="30" spans="1:28" ht="12" hidden="1" customHeight="1">
      <c r="A30" s="12"/>
      <c r="B30" s="1283"/>
      <c r="C30" s="1284"/>
      <c r="D30" s="366"/>
      <c r="E30" s="172" t="str">
        <f t="shared" si="5"/>
        <v/>
      </c>
      <c r="F30" s="984" t="str">
        <f t="shared" si="6"/>
        <v/>
      </c>
      <c r="G30" s="173" t="str">
        <f t="shared" si="7"/>
        <v/>
      </c>
      <c r="H30" s="1273"/>
      <c r="I30" s="1274"/>
      <c r="J30" s="366"/>
      <c r="K30" s="981">
        <f t="shared" si="8"/>
        <v>0</v>
      </c>
      <c r="L30" s="9"/>
      <c r="M30" s="1"/>
      <c r="N30">
        <f t="shared" si="11"/>
        <v>1</v>
      </c>
      <c r="P30">
        <f t="shared" si="4"/>
        <v>0</v>
      </c>
      <c r="Q30">
        <f t="shared" si="4"/>
        <v>0</v>
      </c>
      <c r="R30">
        <f t="shared" si="4"/>
        <v>0</v>
      </c>
      <c r="S30">
        <f t="shared" si="9"/>
        <v>1</v>
      </c>
      <c r="T30">
        <f t="shared" si="10"/>
        <v>0</v>
      </c>
      <c r="AB30">
        <v>92000</v>
      </c>
    </row>
    <row r="31" spans="1:28" ht="12" hidden="1" customHeight="1">
      <c r="A31" s="12"/>
      <c r="B31" s="1283"/>
      <c r="C31" s="1284"/>
      <c r="D31" s="366"/>
      <c r="E31" s="172" t="str">
        <f t="shared" si="5"/>
        <v/>
      </c>
      <c r="F31" s="984" t="str">
        <f t="shared" si="6"/>
        <v/>
      </c>
      <c r="G31" s="173" t="str">
        <f t="shared" si="7"/>
        <v/>
      </c>
      <c r="H31" s="1273"/>
      <c r="I31" s="1274"/>
      <c r="J31" s="366"/>
      <c r="K31" s="981">
        <f t="shared" si="8"/>
        <v>0</v>
      </c>
      <c r="L31" s="9"/>
      <c r="M31" s="1"/>
      <c r="N31">
        <f t="shared" si="11"/>
        <v>1</v>
      </c>
      <c r="P31">
        <f t="shared" si="4"/>
        <v>0</v>
      </c>
      <c r="Q31">
        <f t="shared" si="4"/>
        <v>0</v>
      </c>
      <c r="R31">
        <f t="shared" si="4"/>
        <v>0</v>
      </c>
      <c r="S31">
        <f t="shared" si="9"/>
        <v>1</v>
      </c>
      <c r="T31">
        <f t="shared" si="10"/>
        <v>0</v>
      </c>
      <c r="V31" t="s">
        <v>5865</v>
      </c>
      <c r="AB31">
        <v>92000</v>
      </c>
    </row>
    <row r="32" spans="1:28" ht="12" hidden="1" customHeight="1">
      <c r="A32" s="12"/>
      <c r="B32" s="1283"/>
      <c r="C32" s="1284"/>
      <c r="D32" s="366"/>
      <c r="E32" s="172" t="str">
        <f t="shared" si="5"/>
        <v/>
      </c>
      <c r="F32" s="984" t="str">
        <f t="shared" si="6"/>
        <v/>
      </c>
      <c r="G32" s="173" t="str">
        <f t="shared" si="7"/>
        <v/>
      </c>
      <c r="H32" s="1273"/>
      <c r="I32" s="1274"/>
      <c r="J32" s="366"/>
      <c r="K32" s="981">
        <f t="shared" si="8"/>
        <v>0</v>
      </c>
      <c r="L32" s="9"/>
      <c r="M32" s="1"/>
      <c r="N32">
        <f t="shared" si="11"/>
        <v>1</v>
      </c>
      <c r="P32">
        <f t="shared" si="4"/>
        <v>0</v>
      </c>
      <c r="Q32">
        <f t="shared" si="4"/>
        <v>0</v>
      </c>
      <c r="R32">
        <f t="shared" si="4"/>
        <v>0</v>
      </c>
      <c r="S32">
        <f t="shared" si="9"/>
        <v>1</v>
      </c>
      <c r="T32">
        <f t="shared" si="10"/>
        <v>0</v>
      </c>
      <c r="AB32">
        <v>92000</v>
      </c>
    </row>
    <row r="33" spans="1:28" ht="12" hidden="1" customHeight="1">
      <c r="A33" s="12"/>
      <c r="B33" s="1283"/>
      <c r="C33" s="1284"/>
      <c r="D33" s="366"/>
      <c r="E33" s="172" t="str">
        <f t="shared" si="5"/>
        <v/>
      </c>
      <c r="F33" s="984" t="str">
        <f t="shared" si="6"/>
        <v/>
      </c>
      <c r="G33" s="173" t="str">
        <f t="shared" si="7"/>
        <v/>
      </c>
      <c r="H33" s="1273"/>
      <c r="I33" s="1274"/>
      <c r="J33" s="366"/>
      <c r="K33" s="981">
        <f t="shared" si="8"/>
        <v>0</v>
      </c>
      <c r="L33" s="9"/>
      <c r="M33" s="1"/>
      <c r="N33">
        <f t="shared" si="11"/>
        <v>1</v>
      </c>
      <c r="P33">
        <f t="shared" si="4"/>
        <v>0</v>
      </c>
      <c r="Q33">
        <f t="shared" si="4"/>
        <v>0</v>
      </c>
      <c r="R33">
        <f t="shared" si="4"/>
        <v>0</v>
      </c>
      <c r="S33">
        <f t="shared" si="9"/>
        <v>1</v>
      </c>
      <c r="T33">
        <f t="shared" si="10"/>
        <v>0</v>
      </c>
      <c r="AB33">
        <v>92000</v>
      </c>
    </row>
    <row r="34" spans="1:28" ht="12" hidden="1" customHeight="1">
      <c r="A34" s="12"/>
      <c r="B34" s="1283"/>
      <c r="C34" s="1284"/>
      <c r="D34" s="366"/>
      <c r="E34" s="172" t="str">
        <f t="shared" si="5"/>
        <v/>
      </c>
      <c r="F34" s="984" t="str">
        <f t="shared" si="6"/>
        <v/>
      </c>
      <c r="G34" s="173" t="str">
        <f t="shared" si="7"/>
        <v/>
      </c>
      <c r="H34" s="1273"/>
      <c r="I34" s="1274"/>
      <c r="J34" s="366"/>
      <c r="K34" s="981">
        <f t="shared" si="8"/>
        <v>0</v>
      </c>
      <c r="L34" s="9"/>
      <c r="M34" s="1"/>
      <c r="N34">
        <f t="shared" si="11"/>
        <v>1</v>
      </c>
      <c r="P34">
        <f t="shared" si="4"/>
        <v>0</v>
      </c>
      <c r="Q34">
        <f t="shared" si="4"/>
        <v>0</v>
      </c>
      <c r="R34">
        <f t="shared" si="4"/>
        <v>0</v>
      </c>
      <c r="S34">
        <f t="shared" si="9"/>
        <v>1</v>
      </c>
      <c r="T34">
        <f t="shared" si="10"/>
        <v>0</v>
      </c>
      <c r="AB34">
        <v>92000</v>
      </c>
    </row>
    <row r="35" spans="1:28" ht="12" hidden="1" customHeight="1">
      <c r="A35" s="12"/>
      <c r="B35" s="1283"/>
      <c r="C35" s="1284"/>
      <c r="D35" s="366"/>
      <c r="E35" s="172" t="str">
        <f t="shared" si="5"/>
        <v/>
      </c>
      <c r="F35" s="984" t="str">
        <f t="shared" si="6"/>
        <v/>
      </c>
      <c r="G35" s="173" t="str">
        <f t="shared" si="7"/>
        <v/>
      </c>
      <c r="H35" s="1273"/>
      <c r="I35" s="1274"/>
      <c r="J35" s="366"/>
      <c r="K35" s="981">
        <f t="shared" si="8"/>
        <v>0</v>
      </c>
      <c r="L35" s="9"/>
      <c r="M35" s="1"/>
      <c r="N35">
        <f t="shared" si="11"/>
        <v>1</v>
      </c>
      <c r="P35">
        <f t="shared" si="4"/>
        <v>0</v>
      </c>
      <c r="Q35">
        <f t="shared" si="4"/>
        <v>0</v>
      </c>
      <c r="R35">
        <f t="shared" si="4"/>
        <v>0</v>
      </c>
      <c r="S35">
        <f t="shared" si="9"/>
        <v>1</v>
      </c>
      <c r="T35">
        <f t="shared" si="10"/>
        <v>0</v>
      </c>
      <c r="AB35">
        <v>92000</v>
      </c>
    </row>
    <row r="36" spans="1:28" ht="12" hidden="1" customHeight="1">
      <c r="A36" s="12"/>
      <c r="B36" s="1283"/>
      <c r="C36" s="1284"/>
      <c r="D36" s="366"/>
      <c r="E36" s="172" t="str">
        <f t="shared" si="5"/>
        <v/>
      </c>
      <c r="F36" s="984" t="str">
        <f t="shared" si="6"/>
        <v/>
      </c>
      <c r="G36" s="173" t="str">
        <f t="shared" si="7"/>
        <v/>
      </c>
      <c r="H36" s="1273"/>
      <c r="I36" s="1274"/>
      <c r="J36" s="366"/>
      <c r="K36" s="981">
        <f t="shared" si="8"/>
        <v>0</v>
      </c>
      <c r="L36" s="9"/>
      <c r="M36" s="1"/>
      <c r="N36">
        <f t="shared" si="11"/>
        <v>1</v>
      </c>
      <c r="P36">
        <f t="shared" si="4"/>
        <v>0</v>
      </c>
      <c r="Q36">
        <f t="shared" si="4"/>
        <v>0</v>
      </c>
      <c r="R36">
        <f t="shared" si="4"/>
        <v>0</v>
      </c>
      <c r="S36">
        <f t="shared" si="9"/>
        <v>1</v>
      </c>
      <c r="T36">
        <f t="shared" si="10"/>
        <v>0</v>
      </c>
      <c r="AB36">
        <v>92000</v>
      </c>
    </row>
    <row r="37" spans="1:28" ht="12" hidden="1" customHeight="1">
      <c r="A37" s="12"/>
      <c r="B37" s="1"/>
      <c r="C37" s="5" t="str">
        <f>Language!C598</f>
        <v>Mix de Eletricidade</v>
      </c>
      <c r="D37" s="177">
        <f>IF(AND(EM_gridtype=5,GHG_EnergyModelUse=0),D26,SUMIF(B27:B36,"&lt;&gt;""",D27:D36))</f>
        <v>0</v>
      </c>
      <c r="E37" s="178">
        <f>IF(AND(EM_gridtype=5,GHG_EnergyModelUse=0),$D$26*P26/$S$26/(1-$T$26),SUMPRODUCT($D$27:$D$36*P27:P36/$S$27:$S$36/(1-$T$27:$T$36)))</f>
        <v>0</v>
      </c>
      <c r="F37" s="986">
        <f>IF(AND(EM_gridtype=5,GHG_EnergyModelUse=0),$D$26*Q26/$S$26/(1-$T$26),SUMPRODUCT($D$27:$D$36*Q27:Q36/$S$27:$S$36/(1-$T$27:$T$36)))</f>
        <v>0</v>
      </c>
      <c r="G37" s="179">
        <f>IF(AND(EM_gridtype=5,GHG_EnergyModelUse=0),$D$26*R26/$S$26/(1-$T$26),SUMPRODUCT($D$27:$D$36*R27:R36/$S$27:$S$36/(1-$T$27:$T$36)))</f>
        <v>0</v>
      </c>
      <c r="H37" s="177"/>
      <c r="I37" s="177"/>
      <c r="J37" s="177">
        <f>IF(AND(EM_gridtype=5,GHG_EnergyModelUse=0),J26,SUMPRODUCT(D27:D36,J27:J36))</f>
        <v>0</v>
      </c>
      <c r="K37" s="983">
        <f>IF(AND(EM_gridtype=5,GHG_EnergyModelUse=0),K26,SUMPRODUCT(D27:D36,K27:K36))</f>
        <v>0</v>
      </c>
      <c r="L37" s="9"/>
      <c r="M37" s="1"/>
      <c r="AB37">
        <v>92000</v>
      </c>
    </row>
    <row r="38" spans="1:28" ht="12.75" hidden="1" customHeight="1">
      <c r="A38" s="12"/>
      <c r="B38" s="1"/>
      <c r="C38" s="1"/>
      <c r="D38" s="1"/>
      <c r="E38" s="1"/>
      <c r="F38" s="1"/>
      <c r="G38" s="1"/>
      <c r="H38" s="1"/>
      <c r="I38" s="1"/>
      <c r="J38" s="1"/>
      <c r="K38" s="8"/>
      <c r="L38" s="9"/>
      <c r="M38" s="1"/>
      <c r="AB38">
        <v>92000</v>
      </c>
    </row>
    <row r="39" spans="1:28" ht="13.2">
      <c r="A39" s="12"/>
      <c r="B39" s="1"/>
      <c r="C39" s="1"/>
      <c r="D39" s="1"/>
      <c r="E39" s="1"/>
      <c r="F39" s="1"/>
      <c r="G39" s="1"/>
      <c r="H39" s="1"/>
      <c r="I39" s="1"/>
      <c r="J39" s="1"/>
      <c r="K39" s="8"/>
      <c r="L39" s="9"/>
      <c r="M39" s="1"/>
      <c r="AB39">
        <v>92000</v>
      </c>
    </row>
    <row r="40" spans="1:28" ht="38.25" customHeight="1">
      <c r="A40" s="12"/>
      <c r="B40" s="1216" t="str">
        <f>IF(Q43=5,C13,Language!C631)</f>
        <v>País - região</v>
      </c>
      <c r="C40" s="1285"/>
      <c r="D40" s="1285"/>
      <c r="E40" s="1207" t="str">
        <f>C13</f>
        <v>Tipo de Combustível</v>
      </c>
      <c r="F40" s="82" t="str">
        <f>Language!C597</f>
        <v>Fator de
Emissão de GEE
(excl. T&amp;D)</v>
      </c>
      <c r="G40" s="82" t="str">
        <f>J12</f>
        <v>Perdas
T&amp;D</v>
      </c>
      <c r="H40" s="82" t="str">
        <f>Language!C596</f>
        <v>Fator de emissão
de GEE</v>
      </c>
      <c r="I40" s="1"/>
      <c r="J40" s="1"/>
      <c r="K40" s="8"/>
      <c r="L40" s="9"/>
      <c r="M40" s="1"/>
      <c r="AB40">
        <v>92000</v>
      </c>
    </row>
    <row r="41" spans="1:28" ht="15.75" customHeight="1">
      <c r="A41" s="12"/>
      <c r="B41" s="1285"/>
      <c r="C41" s="1285"/>
      <c r="D41" s="1285"/>
      <c r="E41" s="1208"/>
      <c r="F41" s="936" t="s">
        <v>4285</v>
      </c>
      <c r="G41" s="45" t="str">
        <f>D13</f>
        <v>%</v>
      </c>
      <c r="H41" s="936" t="s">
        <v>4285</v>
      </c>
      <c r="I41" s="1"/>
      <c r="J41" s="1"/>
      <c r="K41" s="8"/>
      <c r="L41" s="9"/>
      <c r="M41" s="1"/>
      <c r="AB41">
        <v>92000</v>
      </c>
    </row>
    <row r="42" spans="1:28" ht="12.75" hidden="1" customHeight="1">
      <c r="A42" s="12"/>
      <c r="B42" s="1"/>
      <c r="C42" s="5" t="str">
        <f>'Carga e Rede'!P367</f>
        <v>Gás Natural</v>
      </c>
      <c r="D42" s="5"/>
      <c r="E42" s="5"/>
      <c r="F42" s="312"/>
      <c r="G42" s="366"/>
      <c r="H42" s="124">
        <f>F42*(1/(1-G42))</f>
        <v>0</v>
      </c>
      <c r="I42" s="1"/>
      <c r="J42" s="1"/>
      <c r="K42" s="8"/>
      <c r="L42" s="9"/>
      <c r="M42" s="1"/>
      <c r="AB42">
        <v>92000</v>
      </c>
    </row>
    <row r="43" spans="1:28" ht="13.2">
      <c r="A43" s="12"/>
      <c r="B43" s="1"/>
      <c r="C43" s="1286" t="s">
        <v>3023</v>
      </c>
      <c r="D43" s="1287"/>
      <c r="E43" s="303" t="s">
        <v>6609</v>
      </c>
      <c r="F43" s="312">
        <v>0.4194</v>
      </c>
      <c r="G43" s="366">
        <v>7.0000000000000007E-2</v>
      </c>
      <c r="H43" s="124">
        <f>IF(Set_Level=2,F43*(1/(1-G43)),IF(AND(Set_Level=1,Iniciar!P4=0),'Modelo Energético'!F971,'Modelo Energético '!F958))</f>
        <v>0.45096774193548395</v>
      </c>
      <c r="I43" s="1"/>
      <c r="J43" s="1"/>
      <c r="K43" s="8"/>
      <c r="L43" s="9"/>
      <c r="M43" s="1"/>
      <c r="N43">
        <f>IF(E43="",1,MATCH(E43,N200:N204,0))</f>
        <v>1</v>
      </c>
      <c r="P43" t="str">
        <f>_xlnm.Criteria</f>
        <v>Portugal</v>
      </c>
      <c r="Q43">
        <f>EM_gridtype</f>
        <v>1</v>
      </c>
      <c r="AB43">
        <v>92000</v>
      </c>
    </row>
    <row r="44" spans="1:28" ht="12.75" customHeight="1">
      <c r="A44" s="12"/>
      <c r="B44" s="1"/>
      <c r="C44" s="1"/>
      <c r="D44" s="1"/>
      <c r="E44" s="1"/>
      <c r="F44" s="1"/>
      <c r="G44" s="1"/>
      <c r="H44" s="1"/>
      <c r="I44" s="1"/>
      <c r="J44" s="1"/>
      <c r="K44" s="8"/>
      <c r="L44" s="9"/>
      <c r="M44" s="1"/>
      <c r="AA44">
        <v>92000</v>
      </c>
      <c r="AB44">
        <v>92000</v>
      </c>
    </row>
    <row r="45" spans="1:28" ht="12.75" customHeight="1">
      <c r="A45" s="12"/>
      <c r="B45" s="1017" t="s">
        <v>4189</v>
      </c>
      <c r="C45" s="1" t="str">
        <f>Language!C600</f>
        <v>Mudanças na linha de base durante projeto</v>
      </c>
      <c r="D45" s="1"/>
      <c r="E45" s="1"/>
      <c r="F45" s="1"/>
      <c r="G45" s="1"/>
      <c r="H45" s="1"/>
      <c r="I45" s="79" t="str">
        <f>Language!C604</f>
        <v xml:space="preserve">Troca no fator de emissão de GEE </v>
      </c>
      <c r="J45" s="29" t="str">
        <f>Language!C1306</f>
        <v>%</v>
      </c>
      <c r="K45" s="366">
        <v>-0.1</v>
      </c>
      <c r="L45" s="9"/>
      <c r="M45" s="1"/>
      <c r="N45">
        <f>IF(P45=TRUE,IF(HideCodeGHG_elect=0,111,0),111)</f>
        <v>111</v>
      </c>
      <c r="P45" s="3" t="b">
        <v>0</v>
      </c>
      <c r="AA45">
        <v>92030</v>
      </c>
      <c r="AB45">
        <v>92032</v>
      </c>
    </row>
    <row r="46" spans="1:28" ht="12.75" hidden="1" customHeight="1">
      <c r="A46" s="12"/>
      <c r="B46" s="1"/>
      <c r="C46" s="1"/>
      <c r="D46" s="79" t="str">
        <f>Language!C601</f>
        <v xml:space="preserve">Ano da mudança </v>
      </c>
      <c r="E46" s="459"/>
      <c r="F46" s="1"/>
      <c r="G46" s="1"/>
      <c r="H46" s="1"/>
      <c r="I46" s="79" t="str">
        <f>U204&amp;E46&amp;U205</f>
        <v xml:space="preserve">Fator de emissão de GEE por ano  e além </v>
      </c>
      <c r="J46" s="313" t="s">
        <v>4285</v>
      </c>
      <c r="K46" s="981">
        <f>IF(GHG_Baseline=0,Q46*(1+K45),Q46)</f>
        <v>0.45096774193548395</v>
      </c>
      <c r="L46" s="9"/>
      <c r="M46" s="1"/>
      <c r="Q46">
        <f>IF(GHG_Type=1,K37,IF(GHG_Type=2,K25,IF(EM_gridtype=5,H42,H43)))</f>
        <v>0.45096774193548395</v>
      </c>
      <c r="AA46">
        <v>92034</v>
      </c>
      <c r="AB46">
        <v>92036</v>
      </c>
    </row>
    <row r="47" spans="1:28" ht="12.75" hidden="1" customHeight="1">
      <c r="A47" s="12"/>
      <c r="B47" s="1"/>
      <c r="C47" s="1"/>
      <c r="D47" s="79" t="str">
        <f>Language!C602</f>
        <v xml:space="preserve">Motivo p/ mudança da referência </v>
      </c>
      <c r="E47" s="1243" t="str">
        <f>Language!C603</f>
        <v>Nova planta hidroelétrica em construção</v>
      </c>
      <c r="F47" s="1244"/>
      <c r="G47" s="1244"/>
      <c r="H47" s="1244"/>
      <c r="I47" s="1244"/>
      <c r="J47" s="1245"/>
      <c r="K47" s="8"/>
      <c r="L47" s="9"/>
      <c r="M47" s="1"/>
      <c r="AB47">
        <v>92038</v>
      </c>
    </row>
    <row r="48" spans="1:28" ht="12.75" customHeight="1">
      <c r="A48" s="14"/>
      <c r="B48" s="1"/>
      <c r="C48" s="1"/>
      <c r="D48" s="1" t="s">
        <v>708</v>
      </c>
      <c r="E48" s="1"/>
      <c r="F48" s="1"/>
      <c r="G48" s="1"/>
      <c r="H48" s="1"/>
      <c r="I48" s="1"/>
      <c r="J48" s="1"/>
      <c r="K48" s="15"/>
      <c r="L48" s="11"/>
      <c r="M48" s="1"/>
      <c r="AB48">
        <v>92000</v>
      </c>
    </row>
    <row r="49" spans="1:28" ht="12.75" customHeight="1">
      <c r="A49" s="5"/>
      <c r="B49" s="5"/>
      <c r="C49" s="5"/>
      <c r="D49" s="5"/>
      <c r="E49" s="5"/>
      <c r="F49" s="5"/>
      <c r="G49" s="5"/>
      <c r="H49" s="5"/>
      <c r="I49" s="5"/>
      <c r="J49" s="5"/>
      <c r="K49" s="5"/>
      <c r="L49" s="8"/>
      <c r="M49" s="1"/>
      <c r="AB49">
        <v>90000</v>
      </c>
    </row>
    <row r="50" spans="1:28" ht="12.75" customHeight="1">
      <c r="A50" s="446" t="str">
        <f>Language!C605</f>
        <v>Sumário dos GEE do caso de referência
(Baseline)</v>
      </c>
      <c r="B50" s="25"/>
      <c r="C50" s="25"/>
      <c r="D50" s="25"/>
      <c r="E50" s="25"/>
      <c r="F50" s="25"/>
      <c r="G50" s="25"/>
      <c r="H50" s="25"/>
      <c r="I50" s="25"/>
      <c r="J50" s="25"/>
      <c r="K50" s="25"/>
      <c r="L50" s="276"/>
      <c r="M50" s="1"/>
      <c r="AB50">
        <v>93000</v>
      </c>
    </row>
    <row r="51" spans="1:28" ht="12.75" customHeight="1">
      <c r="A51" s="12"/>
      <c r="B51" s="1"/>
      <c r="C51" s="1"/>
      <c r="D51" s="1"/>
      <c r="E51" s="1"/>
      <c r="F51" s="1"/>
      <c r="G51" s="1"/>
      <c r="H51" s="1"/>
      <c r="I51" s="1"/>
      <c r="J51" s="1"/>
      <c r="K51" s="8"/>
      <c r="L51" s="9"/>
      <c r="M51" s="1"/>
      <c r="AB51">
        <v>93000</v>
      </c>
    </row>
    <row r="52" spans="1:28" ht="38.25" customHeight="1">
      <c r="A52" s="12"/>
      <c r="B52" s="1"/>
      <c r="C52" s="1"/>
      <c r="D52" s="82" t="str">
        <f>D12</f>
        <v>Mix do combustível</v>
      </c>
      <c r="E52" s="82" t="str">
        <f>Language!C591</f>
        <v>Fator de
emissão de CO2</v>
      </c>
      <c r="F52" s="82" t="str">
        <f>Language!C592</f>
        <v>Fator de
emissão de CH4</v>
      </c>
      <c r="G52" s="82" t="str">
        <f>Language!C593</f>
        <v>Fator de
emissão de N2O</v>
      </c>
      <c r="H52" s="1"/>
      <c r="I52" s="82" t="str">
        <f>Language!C606</f>
        <v>Consumo
de combustível</v>
      </c>
      <c r="J52" s="82" t="str">
        <f>Language!C596</f>
        <v>Fator de emissão
de GEE</v>
      </c>
      <c r="K52" s="20" t="str">
        <f>Language!C599</f>
        <v>Emissão de GEE</v>
      </c>
      <c r="L52" s="9"/>
      <c r="M52" s="1"/>
      <c r="AB52">
        <v>93000</v>
      </c>
    </row>
    <row r="53" spans="1:28" ht="12.75" customHeight="1">
      <c r="A53" s="12"/>
      <c r="B53" s="15"/>
      <c r="C53" s="49" t="str">
        <f>C13</f>
        <v>Tipo de Combustível</v>
      </c>
      <c r="D53" s="128" t="str">
        <f>D13</f>
        <v>%</v>
      </c>
      <c r="E53" s="128" t="str">
        <f>$E$13</f>
        <v>kg/GJ</v>
      </c>
      <c r="F53" s="128" t="str">
        <f>$E$13</f>
        <v>kg/GJ</v>
      </c>
      <c r="G53" s="128" t="str">
        <f>$E$13</f>
        <v>kg/GJ</v>
      </c>
      <c r="H53" s="15"/>
      <c r="I53" s="423" t="s">
        <v>2745</v>
      </c>
      <c r="J53" s="423" t="s">
        <v>4285</v>
      </c>
      <c r="K53" s="128" t="str">
        <f>Language!C1409</f>
        <v>tCO2</v>
      </c>
      <c r="L53" s="9"/>
      <c r="M53" s="1"/>
      <c r="Q53" t="s">
        <v>5865</v>
      </c>
      <c r="S53" t="str">
        <f>D190</f>
        <v xml:space="preserve"> e além </v>
      </c>
      <c r="AB53">
        <v>93000</v>
      </c>
    </row>
    <row r="54" spans="1:28" ht="13.5" hidden="1" customHeight="1">
      <c r="A54" s="12"/>
      <c r="B54" s="1"/>
      <c r="C54" s="1" t="str">
        <f>'Carga e Rede'!L368</f>
        <v xml:space="preserve">Biomassa </v>
      </c>
      <c r="D54" s="181">
        <f t="shared" ref="D54:D63" si="12">Q54/$Q$64</f>
        <v>0</v>
      </c>
      <c r="E54" s="172">
        <f t="shared" ref="E54:E63" si="13">VLOOKUP($C54,$C$207:$F$222,2,FALSE)</f>
        <v>0</v>
      </c>
      <c r="F54" s="984">
        <f t="shared" ref="F54:F63" si="14">VLOOKUP($C54,$C$207:$F$222,3,FALSE)</f>
        <v>3.2000000000000001E-2</v>
      </c>
      <c r="G54" s="173">
        <f t="shared" ref="G54:G63" si="15">VLOOKUP($C54,$C$207:$F$222,4,FALSE)</f>
        <v>4.0000000000000001E-3</v>
      </c>
      <c r="H54" s="1"/>
      <c r="I54" s="182">
        <f t="shared" ref="I54:I86" si="16">IF($I$53=$X$207,1,1/3.6)*Q54</f>
        <v>0</v>
      </c>
      <c r="J54" s="183">
        <f t="shared" ref="J54:J63" si="17">IF(GHG_Type=1,IF(D54=0,0,(E54+(F54*U$2)+(G54*U$3))*3.6*(1/1000)),IF(D54=0,0,(E54+(F54*$P$5)+(G54*$P$6))*3.6*(1/1000)))</f>
        <v>0</v>
      </c>
      <c r="K54" s="973">
        <f>J54*Q54/3.6</f>
        <v>0</v>
      </c>
      <c r="L54" s="9"/>
      <c r="M54" s="1"/>
      <c r="N54">
        <f>IF(ISERROR(Q54),10,IF(Q54=0,10,0))</f>
        <v>10</v>
      </c>
      <c r="Q54" s="204">
        <f>'Carga e Rede'!M368</f>
        <v>0</v>
      </c>
      <c r="R54" s="3">
        <v>0</v>
      </c>
      <c r="S54">
        <f t="shared" ref="S54:S62" si="18">J54</f>
        <v>0</v>
      </c>
      <c r="AB54">
        <v>93000</v>
      </c>
    </row>
    <row r="55" spans="1:28" ht="13.5" hidden="1" customHeight="1">
      <c r="A55" s="12"/>
      <c r="B55" s="1"/>
      <c r="C55" s="1" t="str">
        <f>'Carga e Rede'!L369</f>
        <v>Carvão</v>
      </c>
      <c r="D55" s="181">
        <f t="shared" si="12"/>
        <v>0</v>
      </c>
      <c r="E55" s="172">
        <f t="shared" si="13"/>
        <v>95.84</v>
      </c>
      <c r="F55" s="984">
        <f t="shared" si="14"/>
        <v>1.4999999999999999E-2</v>
      </c>
      <c r="G55" s="173">
        <f t="shared" si="15"/>
        <v>3.0000000000000001E-3</v>
      </c>
      <c r="H55" s="1"/>
      <c r="I55" s="182">
        <f t="shared" si="16"/>
        <v>0</v>
      </c>
      <c r="J55" s="183">
        <f t="shared" si="17"/>
        <v>0</v>
      </c>
      <c r="K55" s="973">
        <f t="shared" ref="K55:K85" si="19">J55*Q55/3.6</f>
        <v>0</v>
      </c>
      <c r="L55" s="9"/>
      <c r="M55" s="1"/>
      <c r="N55">
        <f>IF(ISERROR(Q55),22,IF(Q55=0,22,0))</f>
        <v>22</v>
      </c>
      <c r="Q55" s="204">
        <f>'Carga e Rede'!M369</f>
        <v>0</v>
      </c>
      <c r="R55" s="3">
        <v>0</v>
      </c>
      <c r="S55">
        <f t="shared" si="18"/>
        <v>0</v>
      </c>
      <c r="AB55">
        <v>93000</v>
      </c>
    </row>
    <row r="56" spans="1:28" ht="12.75" hidden="1" customHeight="1">
      <c r="A56" s="12"/>
      <c r="B56" s="1"/>
      <c r="C56" s="1" t="str">
        <f>'Carga e Rede'!L370</f>
        <v>Diesel (oleo#2)</v>
      </c>
      <c r="D56" s="181">
        <f t="shared" si="12"/>
        <v>0</v>
      </c>
      <c r="E56" s="172">
        <f t="shared" si="13"/>
        <v>73.34</v>
      </c>
      <c r="F56" s="984">
        <f t="shared" si="14"/>
        <v>2E-3</v>
      </c>
      <c r="G56" s="173">
        <f t="shared" si="15"/>
        <v>2E-3</v>
      </c>
      <c r="H56" s="1"/>
      <c r="I56" s="182">
        <f t="shared" si="16"/>
        <v>0</v>
      </c>
      <c r="J56" s="183">
        <f t="shared" si="17"/>
        <v>0</v>
      </c>
      <c r="K56" s="973">
        <f t="shared" si="19"/>
        <v>0</v>
      </c>
      <c r="L56" s="9"/>
      <c r="M56" s="1"/>
      <c r="N56">
        <f>IF(ISERROR(Q56),11,IF(Q56=0,11,0))</f>
        <v>11</v>
      </c>
      <c r="Q56" s="204">
        <f>'Carga e Rede'!M370</f>
        <v>0</v>
      </c>
      <c r="R56" s="3">
        <v>0</v>
      </c>
      <c r="S56">
        <f t="shared" si="18"/>
        <v>0</v>
      </c>
      <c r="AB56">
        <v>93000</v>
      </c>
    </row>
    <row r="57" spans="1:28" ht="12.75" hidden="1" customHeight="1">
      <c r="A57" s="12"/>
      <c r="B57" s="1"/>
      <c r="C57" s="1" t="str">
        <f>'Carga e Rede'!L371</f>
        <v>Gasolina</v>
      </c>
      <c r="D57" s="181">
        <f t="shared" si="12"/>
        <v>0</v>
      </c>
      <c r="E57" s="172">
        <f t="shared" si="13"/>
        <v>75.69</v>
      </c>
      <c r="F57" s="984">
        <f t="shared" si="14"/>
        <v>0.03</v>
      </c>
      <c r="G57" s="173">
        <f t="shared" si="15"/>
        <v>2E-3</v>
      </c>
      <c r="H57" s="1"/>
      <c r="I57" s="182">
        <f t="shared" si="16"/>
        <v>0</v>
      </c>
      <c r="J57" s="183">
        <f t="shared" si="17"/>
        <v>0</v>
      </c>
      <c r="K57" s="973">
        <f t="shared" si="19"/>
        <v>0</v>
      </c>
      <c r="L57" s="9"/>
      <c r="M57" s="1"/>
      <c r="N57">
        <f>IF(ISERROR(Q57),12,IF(Q57=0,12,0))</f>
        <v>12</v>
      </c>
      <c r="Q57" s="204">
        <f>'Carga e Rede'!M371</f>
        <v>0</v>
      </c>
      <c r="R57" s="3">
        <v>0</v>
      </c>
      <c r="S57">
        <f t="shared" si="18"/>
        <v>0</v>
      </c>
      <c r="AB57">
        <v>93000</v>
      </c>
    </row>
    <row r="58" spans="1:28" ht="13.5" hidden="1" customHeight="1">
      <c r="A58" s="12"/>
      <c r="B58" s="1"/>
      <c r="C58" s="1" t="str">
        <f>'Carga e Rede'!L372</f>
        <v>Querosene</v>
      </c>
      <c r="D58" s="181">
        <f t="shared" si="12"/>
        <v>0</v>
      </c>
      <c r="E58" s="172">
        <f t="shared" si="13"/>
        <v>73.849999999999994</v>
      </c>
      <c r="F58" s="984">
        <f t="shared" si="14"/>
        <v>7.0000000000000001E-3</v>
      </c>
      <c r="G58" s="173">
        <f t="shared" si="15"/>
        <v>2E-3</v>
      </c>
      <c r="H58" s="1"/>
      <c r="I58" s="182">
        <f t="shared" si="16"/>
        <v>0</v>
      </c>
      <c r="J58" s="183">
        <f t="shared" si="17"/>
        <v>0</v>
      </c>
      <c r="K58" s="973">
        <f t="shared" si="19"/>
        <v>0</v>
      </c>
      <c r="L58" s="9"/>
      <c r="M58" s="1"/>
      <c r="N58">
        <f>IF(ISERROR(Q58),13,IF(Q58=0,13,0))</f>
        <v>13</v>
      </c>
      <c r="Q58" s="204">
        <f>'Carga e Rede'!M372</f>
        <v>0</v>
      </c>
      <c r="R58" s="3">
        <v>0</v>
      </c>
      <c r="S58">
        <f t="shared" si="18"/>
        <v>0</v>
      </c>
      <c r="AB58">
        <v>93000</v>
      </c>
    </row>
    <row r="59" spans="1:28" ht="13.5" hidden="1" customHeight="1">
      <c r="A59" s="12"/>
      <c r="B59" s="1"/>
      <c r="C59" s="1" t="str">
        <f>'Carga e Rede'!L373</f>
        <v>Gás Natural</v>
      </c>
      <c r="D59" s="181">
        <f t="shared" si="12"/>
        <v>0</v>
      </c>
      <c r="E59" s="172">
        <f t="shared" si="13"/>
        <v>54.46</v>
      </c>
      <c r="F59" s="984">
        <f t="shared" si="14"/>
        <v>4.0000000000000001E-3</v>
      </c>
      <c r="G59" s="173">
        <f t="shared" si="15"/>
        <v>1E-3</v>
      </c>
      <c r="H59" s="1"/>
      <c r="I59" s="182">
        <f t="shared" si="16"/>
        <v>0</v>
      </c>
      <c r="J59" s="183">
        <f t="shared" si="17"/>
        <v>0</v>
      </c>
      <c r="K59" s="973">
        <f t="shared" si="19"/>
        <v>0</v>
      </c>
      <c r="L59" s="9"/>
      <c r="M59" s="1"/>
      <c r="N59">
        <f>IF(ISERROR(Q59),14,IF(Q59=0,14,0))</f>
        <v>14</v>
      </c>
      <c r="Q59" s="204">
        <f>'Carga e Rede'!M373</f>
        <v>0</v>
      </c>
      <c r="R59" s="919">
        <v>0</v>
      </c>
      <c r="S59">
        <f t="shared" si="18"/>
        <v>0</v>
      </c>
      <c r="AB59">
        <v>93000</v>
      </c>
    </row>
    <row r="60" spans="1:28" ht="12.75" hidden="1" customHeight="1">
      <c r="A60" s="12"/>
      <c r="B60" s="1"/>
      <c r="C60" s="1" t="str">
        <f>'Carga e Rede'!L374</f>
        <v>Óleo (#6)</v>
      </c>
      <c r="D60" s="181">
        <f t="shared" si="12"/>
        <v>0</v>
      </c>
      <c r="E60" s="172">
        <f t="shared" si="13"/>
        <v>77.83</v>
      </c>
      <c r="F60" s="984">
        <f t="shared" si="14"/>
        <v>3.0000000000000001E-3</v>
      </c>
      <c r="G60" s="173">
        <f t="shared" si="15"/>
        <v>2E-3</v>
      </c>
      <c r="H60" s="1"/>
      <c r="I60" s="182">
        <f t="shared" si="16"/>
        <v>0</v>
      </c>
      <c r="J60" s="183">
        <f t="shared" si="17"/>
        <v>0</v>
      </c>
      <c r="K60" s="973">
        <f t="shared" si="19"/>
        <v>0</v>
      </c>
      <c r="L60" s="9"/>
      <c r="M60" s="1"/>
      <c r="N60">
        <f>IF(ISERROR(Q60),111,IF(Q60=0,111,0))</f>
        <v>111</v>
      </c>
      <c r="Q60" s="204">
        <f>'Carga e Rede'!M374</f>
        <v>0</v>
      </c>
      <c r="R60" s="3">
        <v>0</v>
      </c>
      <c r="S60">
        <f t="shared" si="18"/>
        <v>0</v>
      </c>
      <c r="AB60">
        <v>93000</v>
      </c>
    </row>
    <row r="61" spans="1:28" ht="12.75" hidden="1" customHeight="1">
      <c r="A61" s="12"/>
      <c r="B61" s="1"/>
      <c r="C61" s="1" t="str">
        <f>'Carga e Rede'!L375</f>
        <v>Propano</v>
      </c>
      <c r="D61" s="181">
        <f t="shared" si="12"/>
        <v>0</v>
      </c>
      <c r="E61" s="172">
        <f t="shared" si="13"/>
        <v>67.92</v>
      </c>
      <c r="F61" s="984">
        <f t="shared" si="14"/>
        <v>1E-3</v>
      </c>
      <c r="G61" s="173">
        <f t="shared" si="15"/>
        <v>1E-3</v>
      </c>
      <c r="H61" s="1"/>
      <c r="I61" s="182">
        <f t="shared" si="16"/>
        <v>0</v>
      </c>
      <c r="J61" s="183">
        <f t="shared" si="17"/>
        <v>0</v>
      </c>
      <c r="K61" s="973">
        <f t="shared" si="19"/>
        <v>0</v>
      </c>
      <c r="L61" s="9"/>
      <c r="M61" s="1"/>
      <c r="N61">
        <f>IF(ISERROR(Q61),15,IF(Q61=0,15,0))</f>
        <v>15</v>
      </c>
      <c r="Q61" s="204">
        <f>'Carga e Rede'!M375</f>
        <v>0</v>
      </c>
      <c r="R61" s="3">
        <v>0</v>
      </c>
      <c r="S61">
        <f t="shared" si="18"/>
        <v>0</v>
      </c>
      <c r="AB61">
        <v>93000</v>
      </c>
    </row>
    <row r="62" spans="1:28" ht="12.75" hidden="1" customHeight="1">
      <c r="A62" s="12"/>
      <c r="B62" s="1"/>
      <c r="C62" s="1" t="str">
        <f>'Carga e Rede'!L376</f>
        <v>Combustível definido pelo usuário</v>
      </c>
      <c r="D62" s="181">
        <f t="shared" si="12"/>
        <v>0</v>
      </c>
      <c r="E62" s="172">
        <f t="shared" si="13"/>
        <v>0</v>
      </c>
      <c r="F62" s="984">
        <f t="shared" si="14"/>
        <v>0</v>
      </c>
      <c r="G62" s="173">
        <f t="shared" si="15"/>
        <v>0</v>
      </c>
      <c r="H62" s="1"/>
      <c r="I62" s="182">
        <f t="shared" si="16"/>
        <v>0</v>
      </c>
      <c r="J62" s="183">
        <f t="shared" si="17"/>
        <v>0</v>
      </c>
      <c r="K62" s="973">
        <f t="shared" si="19"/>
        <v>0</v>
      </c>
      <c r="L62" s="9"/>
      <c r="M62" s="1"/>
      <c r="N62">
        <f>IF(ISERROR(Q62),16,IF(Q62=0,16,0))</f>
        <v>16</v>
      </c>
      <c r="Q62" s="204">
        <f>IF(ISERROR('Carga e Rede'!M376),0,'Carga e Rede'!M376)</f>
        <v>0</v>
      </c>
      <c r="R62" s="919">
        <v>0</v>
      </c>
      <c r="S62">
        <f t="shared" si="18"/>
        <v>0</v>
      </c>
      <c r="AB62">
        <v>93000</v>
      </c>
    </row>
    <row r="63" spans="1:28" ht="12.75" hidden="1" customHeight="1">
      <c r="A63" s="12"/>
      <c r="B63" s="15"/>
      <c r="C63" s="15" t="str">
        <f>'Carga e Rede'!L377</f>
        <v>Eletricidade</v>
      </c>
      <c r="D63" s="185">
        <f t="shared" si="12"/>
        <v>1</v>
      </c>
      <c r="E63" s="174">
        <f t="shared" si="13"/>
        <v>0</v>
      </c>
      <c r="F63" s="987">
        <f t="shared" si="14"/>
        <v>0</v>
      </c>
      <c r="G63" s="175">
        <f t="shared" si="15"/>
        <v>0</v>
      </c>
      <c r="H63" s="15"/>
      <c r="I63" s="186">
        <f t="shared" si="16"/>
        <v>5.3903325633948675</v>
      </c>
      <c r="J63" s="176">
        <f t="shared" si="17"/>
        <v>0</v>
      </c>
      <c r="K63" s="974">
        <f t="shared" si="19"/>
        <v>0</v>
      </c>
      <c r="L63" s="9"/>
      <c r="M63" s="1"/>
      <c r="N63">
        <f>IF(ISERROR(Q63),17,IF(Q63=0,17,0))</f>
        <v>0</v>
      </c>
      <c r="Q63" s="204">
        <f>'Carga e Rede'!M377+IF(OR(R5=9,R5=8,T5=5),0,1)*SUM('Modelo Energético'!J1107:J1108)*3.6</f>
        <v>19.405197228221521</v>
      </c>
      <c r="R63" s="919">
        <v>19.405197228221521</v>
      </c>
      <c r="S63">
        <f>K46</f>
        <v>0.45096774193548395</v>
      </c>
      <c r="AB63">
        <v>93000</v>
      </c>
    </row>
    <row r="64" spans="1:28" ht="12.75" hidden="1" customHeight="1">
      <c r="A64" s="12"/>
      <c r="B64" s="1"/>
      <c r="C64" s="5" t="str">
        <f>J169</f>
        <v>Total</v>
      </c>
      <c r="D64" s="187">
        <f>SUM(D54:D63)</f>
        <v>1</v>
      </c>
      <c r="E64" s="178">
        <f>SUMPRODUCT($D$54:$D$63*E54:E63)</f>
        <v>0</v>
      </c>
      <c r="F64" s="986">
        <f>SUMPRODUCT($D$54:$D$63*F54:F63)</f>
        <v>0</v>
      </c>
      <c r="G64" s="179">
        <f>SUMPRODUCT($D$54:$D$63*G54:G63)</f>
        <v>0</v>
      </c>
      <c r="H64" s="5"/>
      <c r="I64" s="188">
        <f t="shared" si="16"/>
        <v>5.3903325633948675</v>
      </c>
      <c r="J64" s="180">
        <f>SUMPRODUCT($D$54:$D$63,J54:J63)</f>
        <v>0</v>
      </c>
      <c r="K64" s="975">
        <f t="shared" si="19"/>
        <v>0</v>
      </c>
      <c r="L64" s="9"/>
      <c r="M64" s="1"/>
      <c r="N64" s="204">
        <f>Q64</f>
        <v>19.405197228221521</v>
      </c>
      <c r="Q64" s="204">
        <f>IF(SUM(Q54:Q63)=0,1,SUM(Q54:Q63))</f>
        <v>19.405197228221521</v>
      </c>
      <c r="R64" s="919">
        <v>19.405197228221521</v>
      </c>
      <c r="S64">
        <f>SUMPRODUCT($D$54:$D$63,S54:S63)</f>
        <v>0.45096774193548395</v>
      </c>
      <c r="AB64">
        <v>93000</v>
      </c>
    </row>
    <row r="65" spans="1:28" ht="12.75" hidden="1" customHeight="1">
      <c r="A65" s="12"/>
      <c r="B65" s="1"/>
      <c r="C65" s="1" t="str">
        <f t="shared" ref="C65:D74" si="20">C54</f>
        <v xml:space="preserve">Biomassa </v>
      </c>
      <c r="D65" s="181">
        <f t="shared" si="20"/>
        <v>0</v>
      </c>
      <c r="E65" s="464"/>
      <c r="F65" s="985"/>
      <c r="G65" s="465"/>
      <c r="H65" s="1"/>
      <c r="I65" s="182">
        <f t="shared" si="16"/>
        <v>0</v>
      </c>
      <c r="J65" s="183">
        <f t="shared" ref="J65:J74" si="21">IF(GHG_Type=1,IF(D65=0,0,(E65+(F65*U$2)+(G65*U$3))*3.6*(1/1000)),IF(D65=0,0,(E65+(F65*$P$5)+(G65*$P$6))*3.6*(1/1000)))</f>
        <v>0</v>
      </c>
      <c r="K65" s="973">
        <f t="shared" si="19"/>
        <v>0</v>
      </c>
      <c r="L65" s="9"/>
      <c r="M65" s="1"/>
      <c r="Q65" s="204">
        <f>Q54</f>
        <v>0</v>
      </c>
      <c r="S65">
        <f t="shared" ref="S65:S73" si="22">J65</f>
        <v>0</v>
      </c>
      <c r="AB65">
        <v>93000</v>
      </c>
    </row>
    <row r="66" spans="1:28" ht="12.75" hidden="1" customHeight="1">
      <c r="A66" s="12"/>
      <c r="B66" s="1"/>
      <c r="C66" s="1" t="str">
        <f t="shared" si="20"/>
        <v>Carvão</v>
      </c>
      <c r="D66" s="181">
        <f t="shared" si="20"/>
        <v>0</v>
      </c>
      <c r="E66" s="464"/>
      <c r="F66" s="985"/>
      <c r="G66" s="465"/>
      <c r="H66" s="1"/>
      <c r="I66" s="182">
        <f t="shared" si="16"/>
        <v>0</v>
      </c>
      <c r="J66" s="183">
        <f t="shared" si="21"/>
        <v>0</v>
      </c>
      <c r="K66" s="973">
        <f t="shared" si="19"/>
        <v>0</v>
      </c>
      <c r="L66" s="9"/>
      <c r="M66" s="1"/>
      <c r="Q66" s="204">
        <f>Q55</f>
        <v>0</v>
      </c>
      <c r="S66">
        <f t="shared" si="22"/>
        <v>0</v>
      </c>
      <c r="AB66">
        <v>93000</v>
      </c>
    </row>
    <row r="67" spans="1:28" ht="12.75" hidden="1" customHeight="1">
      <c r="A67" s="12"/>
      <c r="B67" s="1"/>
      <c r="C67" s="1" t="str">
        <f t="shared" si="20"/>
        <v>Diesel (oleo#2)</v>
      </c>
      <c r="D67" s="181">
        <f t="shared" si="20"/>
        <v>0</v>
      </c>
      <c r="E67" s="464"/>
      <c r="F67" s="985"/>
      <c r="G67" s="465"/>
      <c r="H67" s="1"/>
      <c r="I67" s="182">
        <f t="shared" si="16"/>
        <v>0</v>
      </c>
      <c r="J67" s="183">
        <f t="shared" si="21"/>
        <v>0</v>
      </c>
      <c r="K67" s="973">
        <f t="shared" si="19"/>
        <v>0</v>
      </c>
      <c r="L67" s="9"/>
      <c r="M67" s="1"/>
      <c r="Q67" s="204">
        <f>Q56</f>
        <v>0</v>
      </c>
      <c r="S67">
        <f t="shared" si="22"/>
        <v>0</v>
      </c>
      <c r="AB67">
        <v>93000</v>
      </c>
    </row>
    <row r="68" spans="1:28" ht="12.75" hidden="1" customHeight="1">
      <c r="A68" s="12"/>
      <c r="B68" s="1"/>
      <c r="C68" s="1" t="str">
        <f t="shared" si="20"/>
        <v>Gasolina</v>
      </c>
      <c r="D68" s="181">
        <f t="shared" si="20"/>
        <v>0</v>
      </c>
      <c r="E68" s="464"/>
      <c r="F68" s="985"/>
      <c r="G68" s="465"/>
      <c r="H68" s="1"/>
      <c r="I68" s="182">
        <f t="shared" si="16"/>
        <v>0</v>
      </c>
      <c r="J68" s="183">
        <f t="shared" si="21"/>
        <v>0</v>
      </c>
      <c r="K68" s="973">
        <f t="shared" si="19"/>
        <v>0</v>
      </c>
      <c r="L68" s="9"/>
      <c r="M68" s="1"/>
      <c r="Q68" s="204">
        <f>Q57</f>
        <v>0</v>
      </c>
      <c r="S68">
        <f t="shared" si="22"/>
        <v>0</v>
      </c>
      <c r="AB68">
        <v>93000</v>
      </c>
    </row>
    <row r="69" spans="1:28" ht="12.75" hidden="1" customHeight="1">
      <c r="A69" s="12"/>
      <c r="B69" s="1"/>
      <c r="C69" s="1" t="str">
        <f t="shared" si="20"/>
        <v>Querosene</v>
      </c>
      <c r="D69" s="181">
        <f t="shared" si="20"/>
        <v>0</v>
      </c>
      <c r="E69" s="464"/>
      <c r="F69" s="985"/>
      <c r="G69" s="465"/>
      <c r="H69" s="1"/>
      <c r="I69" s="182">
        <f t="shared" si="16"/>
        <v>0</v>
      </c>
      <c r="J69" s="183">
        <f t="shared" si="21"/>
        <v>0</v>
      </c>
      <c r="K69" s="973">
        <f t="shared" si="19"/>
        <v>0</v>
      </c>
      <c r="L69" s="9"/>
      <c r="M69" s="1"/>
      <c r="Q69" s="204">
        <f t="shared" ref="Q69:Q74" si="23">Q58</f>
        <v>0</v>
      </c>
      <c r="S69">
        <f t="shared" si="22"/>
        <v>0</v>
      </c>
      <c r="AB69">
        <v>93000</v>
      </c>
    </row>
    <row r="70" spans="1:28" ht="12.75" hidden="1" customHeight="1">
      <c r="A70" s="12"/>
      <c r="B70" s="1"/>
      <c r="C70" s="1" t="str">
        <f t="shared" si="20"/>
        <v>Gás Natural</v>
      </c>
      <c r="D70" s="181">
        <f t="shared" si="20"/>
        <v>0</v>
      </c>
      <c r="E70" s="464"/>
      <c r="F70" s="985"/>
      <c r="G70" s="465"/>
      <c r="H70" s="1"/>
      <c r="I70" s="182">
        <f t="shared" si="16"/>
        <v>0</v>
      </c>
      <c r="J70" s="183">
        <f t="shared" si="21"/>
        <v>0</v>
      </c>
      <c r="K70" s="973">
        <f t="shared" si="19"/>
        <v>0</v>
      </c>
      <c r="L70" s="9"/>
      <c r="M70" s="1"/>
      <c r="Q70" s="204">
        <f t="shared" si="23"/>
        <v>0</v>
      </c>
      <c r="S70">
        <f t="shared" si="22"/>
        <v>0</v>
      </c>
      <c r="AB70">
        <v>93000</v>
      </c>
    </row>
    <row r="71" spans="1:28" ht="12.75" hidden="1" customHeight="1">
      <c r="A71" s="12"/>
      <c r="B71" s="1"/>
      <c r="C71" s="1" t="str">
        <f t="shared" si="20"/>
        <v>Óleo (#6)</v>
      </c>
      <c r="D71" s="181">
        <f t="shared" si="20"/>
        <v>0</v>
      </c>
      <c r="E71" s="464"/>
      <c r="F71" s="985"/>
      <c r="G71" s="465"/>
      <c r="H71" s="1"/>
      <c r="I71" s="182">
        <f t="shared" si="16"/>
        <v>0</v>
      </c>
      <c r="J71" s="183">
        <f t="shared" si="21"/>
        <v>0</v>
      </c>
      <c r="K71" s="973">
        <f t="shared" si="19"/>
        <v>0</v>
      </c>
      <c r="L71" s="9"/>
      <c r="M71" s="1"/>
      <c r="Q71" s="204">
        <f t="shared" si="23"/>
        <v>0</v>
      </c>
      <c r="S71">
        <f t="shared" si="22"/>
        <v>0</v>
      </c>
      <c r="AB71">
        <v>93000</v>
      </c>
    </row>
    <row r="72" spans="1:28" ht="12.75" hidden="1" customHeight="1">
      <c r="A72" s="12"/>
      <c r="B72" s="1"/>
      <c r="C72" s="1" t="str">
        <f t="shared" si="20"/>
        <v>Propano</v>
      </c>
      <c r="D72" s="181">
        <f t="shared" si="20"/>
        <v>0</v>
      </c>
      <c r="E72" s="464"/>
      <c r="F72" s="985"/>
      <c r="G72" s="465"/>
      <c r="H72" s="1"/>
      <c r="I72" s="182">
        <f t="shared" si="16"/>
        <v>0</v>
      </c>
      <c r="J72" s="183">
        <f t="shared" si="21"/>
        <v>0</v>
      </c>
      <c r="K72" s="973">
        <f t="shared" si="19"/>
        <v>0</v>
      </c>
      <c r="L72" s="9"/>
      <c r="M72" s="1"/>
      <c r="Q72" s="204">
        <f t="shared" si="23"/>
        <v>0</v>
      </c>
      <c r="S72">
        <f t="shared" si="22"/>
        <v>0</v>
      </c>
      <c r="AB72">
        <v>93000</v>
      </c>
    </row>
    <row r="73" spans="1:28" ht="12.75" hidden="1" customHeight="1">
      <c r="A73" s="12"/>
      <c r="B73" s="1"/>
      <c r="C73" s="1" t="str">
        <f t="shared" si="20"/>
        <v>Combustível definido pelo usuário</v>
      </c>
      <c r="D73" s="181">
        <f t="shared" si="20"/>
        <v>0</v>
      </c>
      <c r="E73" s="464"/>
      <c r="F73" s="985"/>
      <c r="G73" s="465"/>
      <c r="H73" s="1"/>
      <c r="I73" s="182">
        <f t="shared" si="16"/>
        <v>0</v>
      </c>
      <c r="J73" s="183">
        <f t="shared" si="21"/>
        <v>0</v>
      </c>
      <c r="K73" s="973">
        <f t="shared" si="19"/>
        <v>0</v>
      </c>
      <c r="L73" s="9"/>
      <c r="M73" s="1"/>
      <c r="Q73" s="204">
        <f t="shared" si="23"/>
        <v>0</v>
      </c>
      <c r="S73">
        <f t="shared" si="22"/>
        <v>0</v>
      </c>
      <c r="AB73">
        <v>93000</v>
      </c>
    </row>
    <row r="74" spans="1:28" ht="12.75" hidden="1" customHeight="1">
      <c r="A74" s="12"/>
      <c r="B74" s="15"/>
      <c r="C74" s="15" t="str">
        <f t="shared" si="20"/>
        <v>Eletricidade</v>
      </c>
      <c r="D74" s="185">
        <f t="shared" si="20"/>
        <v>1</v>
      </c>
      <c r="E74" s="174">
        <f>E63</f>
        <v>0</v>
      </c>
      <c r="F74" s="987">
        <f>F63</f>
        <v>0</v>
      </c>
      <c r="G74" s="175">
        <f>G63</f>
        <v>0</v>
      </c>
      <c r="H74" s="15"/>
      <c r="I74" s="186">
        <f t="shared" si="16"/>
        <v>5.3903325633948675</v>
      </c>
      <c r="J74" s="176">
        <f t="shared" si="21"/>
        <v>0</v>
      </c>
      <c r="K74" s="974">
        <f t="shared" si="19"/>
        <v>0</v>
      </c>
      <c r="L74" s="9"/>
      <c r="M74" s="1"/>
      <c r="Q74" s="204">
        <f t="shared" si="23"/>
        <v>19.405197228221521</v>
      </c>
      <c r="S74">
        <f>K46</f>
        <v>0.45096774193548395</v>
      </c>
      <c r="AB74">
        <v>93000</v>
      </c>
    </row>
    <row r="75" spans="1:28" ht="12.75" hidden="1" customHeight="1">
      <c r="A75" s="12"/>
      <c r="B75" s="1"/>
      <c r="C75" s="5" t="str">
        <f>J169</f>
        <v>Total</v>
      </c>
      <c r="D75" s="187">
        <f>SUM(D65:D74)</f>
        <v>1</v>
      </c>
      <c r="E75" s="178">
        <f>SUMPRODUCT($D$54:$D$63*E65:E74)</f>
        <v>0</v>
      </c>
      <c r="F75" s="986">
        <f>SUMPRODUCT($D$54:$D$63*F65:F74)</f>
        <v>0</v>
      </c>
      <c r="G75" s="179">
        <f>SUMPRODUCT($D$54:$D$63*G65:G74)</f>
        <v>0</v>
      </c>
      <c r="H75" s="5"/>
      <c r="I75" s="188">
        <f t="shared" si="16"/>
        <v>5.3903325633948675</v>
      </c>
      <c r="J75" s="180">
        <f>SUMPRODUCT($D$65:$D$74,J65:J74)</f>
        <v>0</v>
      </c>
      <c r="K75" s="975">
        <f t="shared" si="19"/>
        <v>0</v>
      </c>
      <c r="L75" s="9"/>
      <c r="M75" s="1"/>
      <c r="Q75" s="204">
        <f>SUM(Q65:Q74)</f>
        <v>19.405197228221521</v>
      </c>
      <c r="S75">
        <f>SUMPRODUCT($D$65:$D$74,S65:S74)</f>
        <v>0.45096774193548395</v>
      </c>
      <c r="AB75">
        <v>93000</v>
      </c>
    </row>
    <row r="76" spans="1:28" ht="12.75" hidden="1" customHeight="1">
      <c r="A76" s="12"/>
      <c r="B76" s="1"/>
      <c r="C76" s="1" t="str">
        <f t="shared" ref="C76:D85" si="24">C54</f>
        <v xml:space="preserve">Biomassa </v>
      </c>
      <c r="D76" s="181">
        <f t="shared" si="24"/>
        <v>0</v>
      </c>
      <c r="E76" s="172"/>
      <c r="F76" s="984"/>
      <c r="G76" s="173"/>
      <c r="H76" s="1"/>
      <c r="I76" s="182">
        <f t="shared" si="16"/>
        <v>0</v>
      </c>
      <c r="J76" s="183">
        <f t="shared" ref="J76:J84" si="25">IF(C76=$C$222,$H$43,J54)</f>
        <v>0</v>
      </c>
      <c r="K76" s="973">
        <f t="shared" si="19"/>
        <v>0</v>
      </c>
      <c r="L76" s="9"/>
      <c r="M76" s="1"/>
      <c r="Q76" s="204">
        <f>Q54</f>
        <v>0</v>
      </c>
      <c r="S76">
        <f t="shared" ref="S76:S84" si="26">J76</f>
        <v>0</v>
      </c>
      <c r="AB76">
        <v>93000</v>
      </c>
    </row>
    <row r="77" spans="1:28" ht="12.75" hidden="1" customHeight="1">
      <c r="A77" s="12"/>
      <c r="B77" s="1"/>
      <c r="C77" s="1" t="str">
        <f t="shared" si="24"/>
        <v>Carvão</v>
      </c>
      <c r="D77" s="181">
        <f t="shared" si="24"/>
        <v>0</v>
      </c>
      <c r="E77" s="172"/>
      <c r="F77" s="984"/>
      <c r="G77" s="173"/>
      <c r="H77" s="1"/>
      <c r="I77" s="182">
        <f t="shared" si="16"/>
        <v>0</v>
      </c>
      <c r="J77" s="183">
        <f t="shared" si="25"/>
        <v>0</v>
      </c>
      <c r="K77" s="973">
        <f t="shared" si="19"/>
        <v>0</v>
      </c>
      <c r="L77" s="9"/>
      <c r="M77" s="1"/>
      <c r="Q77" s="204">
        <f>Q55</f>
        <v>0</v>
      </c>
      <c r="S77">
        <f t="shared" si="26"/>
        <v>0</v>
      </c>
      <c r="AB77">
        <v>93000</v>
      </c>
    </row>
    <row r="78" spans="1:28" ht="12.75" hidden="1" customHeight="1">
      <c r="A78" s="12"/>
      <c r="B78" s="1"/>
      <c r="C78" s="1" t="str">
        <f t="shared" si="24"/>
        <v>Diesel (oleo#2)</v>
      </c>
      <c r="D78" s="181">
        <f t="shared" si="24"/>
        <v>0</v>
      </c>
      <c r="E78" s="172"/>
      <c r="F78" s="984"/>
      <c r="G78" s="173"/>
      <c r="H78" s="1"/>
      <c r="I78" s="182">
        <f t="shared" si="16"/>
        <v>0</v>
      </c>
      <c r="J78" s="183">
        <f t="shared" si="25"/>
        <v>0</v>
      </c>
      <c r="K78" s="973">
        <f t="shared" si="19"/>
        <v>0</v>
      </c>
      <c r="L78" s="9"/>
      <c r="M78" s="1"/>
      <c r="Q78" s="204">
        <f>Q56</f>
        <v>0</v>
      </c>
      <c r="S78">
        <f t="shared" si="26"/>
        <v>0</v>
      </c>
      <c r="AB78">
        <v>93000</v>
      </c>
    </row>
    <row r="79" spans="1:28" ht="12.75" hidden="1" customHeight="1">
      <c r="A79" s="12"/>
      <c r="B79" s="1"/>
      <c r="C79" s="1" t="str">
        <f t="shared" si="24"/>
        <v>Gasolina</v>
      </c>
      <c r="D79" s="181">
        <f t="shared" si="24"/>
        <v>0</v>
      </c>
      <c r="E79" s="172"/>
      <c r="F79" s="984"/>
      <c r="G79" s="173"/>
      <c r="H79" s="1"/>
      <c r="I79" s="182">
        <f t="shared" si="16"/>
        <v>0</v>
      </c>
      <c r="J79" s="183">
        <f t="shared" si="25"/>
        <v>0</v>
      </c>
      <c r="K79" s="973">
        <f t="shared" si="19"/>
        <v>0</v>
      </c>
      <c r="L79" s="9"/>
      <c r="M79" s="1"/>
      <c r="Q79" s="204">
        <f>Q57</f>
        <v>0</v>
      </c>
      <c r="S79">
        <f t="shared" si="26"/>
        <v>0</v>
      </c>
      <c r="AB79">
        <v>93000</v>
      </c>
    </row>
    <row r="80" spans="1:28" ht="12.75" hidden="1" customHeight="1">
      <c r="A80" s="12"/>
      <c r="B80" s="1"/>
      <c r="C80" s="1" t="str">
        <f t="shared" si="24"/>
        <v>Querosene</v>
      </c>
      <c r="D80" s="181">
        <f t="shared" si="24"/>
        <v>0</v>
      </c>
      <c r="E80" s="172"/>
      <c r="F80" s="984"/>
      <c r="G80" s="173"/>
      <c r="H80" s="1"/>
      <c r="I80" s="182">
        <f t="shared" si="16"/>
        <v>0</v>
      </c>
      <c r="J80" s="183">
        <f t="shared" si="25"/>
        <v>0</v>
      </c>
      <c r="K80" s="973">
        <f t="shared" si="19"/>
        <v>0</v>
      </c>
      <c r="L80" s="9"/>
      <c r="M80" s="1"/>
      <c r="Q80" s="204">
        <f t="shared" ref="Q80:Q85" si="27">Q58</f>
        <v>0</v>
      </c>
      <c r="S80">
        <f t="shared" si="26"/>
        <v>0</v>
      </c>
      <c r="AB80">
        <v>93000</v>
      </c>
    </row>
    <row r="81" spans="1:28" ht="12.75" hidden="1" customHeight="1">
      <c r="A81" s="12"/>
      <c r="B81" s="1"/>
      <c r="C81" s="1" t="str">
        <f t="shared" si="24"/>
        <v>Gás Natural</v>
      </c>
      <c r="D81" s="181">
        <f t="shared" si="24"/>
        <v>0</v>
      </c>
      <c r="E81" s="172"/>
      <c r="F81" s="984"/>
      <c r="G81" s="173"/>
      <c r="H81" s="1"/>
      <c r="I81" s="182">
        <f t="shared" si="16"/>
        <v>0</v>
      </c>
      <c r="J81" s="183">
        <f t="shared" si="25"/>
        <v>0</v>
      </c>
      <c r="K81" s="973">
        <f t="shared" si="19"/>
        <v>0</v>
      </c>
      <c r="L81" s="9"/>
      <c r="M81" s="1"/>
      <c r="Q81" s="204">
        <f t="shared" si="27"/>
        <v>0</v>
      </c>
      <c r="S81">
        <f t="shared" si="26"/>
        <v>0</v>
      </c>
      <c r="AB81">
        <v>93000</v>
      </c>
    </row>
    <row r="82" spans="1:28" ht="12.75" hidden="1" customHeight="1">
      <c r="A82" s="12"/>
      <c r="B82" s="1"/>
      <c r="C82" s="1" t="str">
        <f t="shared" si="24"/>
        <v>Óleo (#6)</v>
      </c>
      <c r="D82" s="181">
        <f t="shared" si="24"/>
        <v>0</v>
      </c>
      <c r="E82" s="172"/>
      <c r="F82" s="984"/>
      <c r="G82" s="173"/>
      <c r="H82" s="1"/>
      <c r="I82" s="182">
        <f t="shared" si="16"/>
        <v>0</v>
      </c>
      <c r="J82" s="183">
        <f t="shared" si="25"/>
        <v>0</v>
      </c>
      <c r="K82" s="973">
        <f t="shared" si="19"/>
        <v>0</v>
      </c>
      <c r="L82" s="9"/>
      <c r="M82" s="1"/>
      <c r="Q82" s="204">
        <f t="shared" si="27"/>
        <v>0</v>
      </c>
      <c r="S82">
        <f t="shared" si="26"/>
        <v>0</v>
      </c>
      <c r="AB82">
        <v>93000</v>
      </c>
    </row>
    <row r="83" spans="1:28" ht="12.75" hidden="1" customHeight="1">
      <c r="A83" s="12"/>
      <c r="B83" s="1"/>
      <c r="C83" s="1" t="str">
        <f t="shared" si="24"/>
        <v>Propano</v>
      </c>
      <c r="D83" s="181">
        <f t="shared" si="24"/>
        <v>0</v>
      </c>
      <c r="E83" s="172"/>
      <c r="F83" s="984"/>
      <c r="G83" s="173"/>
      <c r="H83" s="1"/>
      <c r="I83" s="182">
        <f t="shared" si="16"/>
        <v>0</v>
      </c>
      <c r="J83" s="183">
        <f t="shared" si="25"/>
        <v>0</v>
      </c>
      <c r="K83" s="973">
        <f t="shared" si="19"/>
        <v>0</v>
      </c>
      <c r="L83" s="9"/>
      <c r="M83" s="1"/>
      <c r="Q83" s="204">
        <f t="shared" si="27"/>
        <v>0</v>
      </c>
      <c r="S83">
        <f t="shared" si="26"/>
        <v>0</v>
      </c>
      <c r="AB83">
        <v>93000</v>
      </c>
    </row>
    <row r="84" spans="1:28" ht="12.75" hidden="1" customHeight="1">
      <c r="A84" s="12"/>
      <c r="B84" s="1"/>
      <c r="C84" s="1" t="str">
        <f t="shared" si="24"/>
        <v>Combustível definido pelo usuário</v>
      </c>
      <c r="D84" s="181">
        <f t="shared" si="24"/>
        <v>0</v>
      </c>
      <c r="E84" s="172"/>
      <c r="F84" s="984"/>
      <c r="G84" s="173"/>
      <c r="H84" s="1"/>
      <c r="I84" s="182">
        <f t="shared" si="16"/>
        <v>0</v>
      </c>
      <c r="J84" s="183">
        <f t="shared" si="25"/>
        <v>0</v>
      </c>
      <c r="K84" s="973">
        <f t="shared" si="19"/>
        <v>0</v>
      </c>
      <c r="L84" s="9"/>
      <c r="M84" s="1"/>
      <c r="Q84" s="204">
        <f t="shared" si="27"/>
        <v>0</v>
      </c>
      <c r="S84">
        <f t="shared" si="26"/>
        <v>0</v>
      </c>
      <c r="AB84">
        <v>93000</v>
      </c>
    </row>
    <row r="85" spans="1:28" ht="12.75" customHeight="1">
      <c r="A85" s="12"/>
      <c r="B85" s="15"/>
      <c r="C85" s="15" t="str">
        <f t="shared" si="24"/>
        <v>Eletricidade</v>
      </c>
      <c r="D85" s="185">
        <f t="shared" si="24"/>
        <v>1</v>
      </c>
      <c r="E85" s="174"/>
      <c r="F85" s="987"/>
      <c r="G85" s="175"/>
      <c r="H85" s="15"/>
      <c r="I85" s="186">
        <f t="shared" si="16"/>
        <v>5.3903325633948675</v>
      </c>
      <c r="J85" s="176">
        <f>IF(C85=$C$222,IF(AND(EM_gridtype=5,GHG_EnergyModelUse=0),H42,$H$43),J63)</f>
        <v>0.45096774193548395</v>
      </c>
      <c r="K85" s="974">
        <f t="shared" si="19"/>
        <v>2.4308661043954918</v>
      </c>
      <c r="L85" s="9"/>
      <c r="M85" s="1"/>
      <c r="Q85" s="204">
        <f t="shared" si="27"/>
        <v>19.405197228221521</v>
      </c>
      <c r="S85">
        <f>K46</f>
        <v>0.45096774193548395</v>
      </c>
      <c r="AB85">
        <v>93000</v>
      </c>
    </row>
    <row r="86" spans="1:28" ht="12.75" customHeight="1">
      <c r="A86" s="12"/>
      <c r="B86" s="1"/>
      <c r="C86" s="5" t="str">
        <f>J169</f>
        <v>Total</v>
      </c>
      <c r="D86" s="187">
        <f>SUM(D76:D85)</f>
        <v>1</v>
      </c>
      <c r="E86" s="178"/>
      <c r="F86" s="986"/>
      <c r="G86" s="179"/>
      <c r="H86" s="5"/>
      <c r="I86" s="188">
        <f t="shared" si="16"/>
        <v>5.3903325633948675</v>
      </c>
      <c r="J86" s="180">
        <f>SUMPRODUCT($D$76:$D$85,J76:J85)</f>
        <v>0.45096774193548395</v>
      </c>
      <c r="K86" s="975">
        <f>J86*Q86/3.6</f>
        <v>2.4308661043954918</v>
      </c>
      <c r="L86" s="9"/>
      <c r="M86" s="1"/>
      <c r="Q86" s="204">
        <f>SUM(Q76:Q85)</f>
        <v>19.405197228221521</v>
      </c>
      <c r="S86">
        <f>SUMPRODUCT($D$76:$D$85,S76:S85)</f>
        <v>0.45096774193548395</v>
      </c>
      <c r="AB86">
        <v>93000</v>
      </c>
    </row>
    <row r="87" spans="1:28" ht="12.75" hidden="1" customHeight="1">
      <c r="A87" s="12"/>
      <c r="B87" s="1"/>
      <c r="C87" s="1"/>
      <c r="D87" s="1"/>
      <c r="E87" s="1"/>
      <c r="F87" s="1"/>
      <c r="G87" s="1"/>
      <c r="H87" s="1"/>
      <c r="I87" s="1"/>
      <c r="J87" s="1"/>
      <c r="K87" s="8"/>
      <c r="L87" s="9"/>
      <c r="M87" s="1"/>
      <c r="Q87" s="204"/>
      <c r="AB87">
        <v>93000</v>
      </c>
    </row>
    <row r="88" spans="1:28" ht="38.25" hidden="1" customHeight="1">
      <c r="A88" s="12"/>
      <c r="B88" s="1"/>
      <c r="C88" s="1"/>
      <c r="D88" s="1"/>
      <c r="E88" s="82" t="str">
        <f>Language!C591</f>
        <v>Fator de
emissão de CO2</v>
      </c>
      <c r="F88" s="82" t="str">
        <f>Language!C592</f>
        <v>Fator de
emissão de CH4</v>
      </c>
      <c r="G88" s="82" t="str">
        <f>Language!C593</f>
        <v>Fator de
emissão de N2O</v>
      </c>
      <c r="H88" s="1"/>
      <c r="I88" s="82" t="str">
        <f>Language!C607</f>
        <v>Potencial
de biogás</v>
      </c>
      <c r="J88" s="82" t="str">
        <f>Language!C596</f>
        <v>Fator de emissão
de GEE</v>
      </c>
      <c r="K88" s="8"/>
      <c r="L88" s="9"/>
      <c r="M88" s="1"/>
      <c r="Q88" s="204"/>
      <c r="AB88">
        <v>93000</v>
      </c>
    </row>
    <row r="89" spans="1:28" ht="12.75" hidden="1" customHeight="1">
      <c r="A89" s="12"/>
      <c r="B89" s="1"/>
      <c r="C89" s="1"/>
      <c r="D89" s="1"/>
      <c r="E89" s="128" t="str">
        <f>$E$13</f>
        <v>kg/GJ</v>
      </c>
      <c r="F89" s="128" t="str">
        <f>$E$13</f>
        <v>kg/GJ</v>
      </c>
      <c r="G89" s="128" t="str">
        <f>$E$13</f>
        <v>kg/GJ</v>
      </c>
      <c r="H89" s="11"/>
      <c r="I89" s="423" t="s">
        <v>5865</v>
      </c>
      <c r="J89" s="423" t="s">
        <v>4285</v>
      </c>
      <c r="K89" s="8"/>
      <c r="L89" s="9"/>
      <c r="M89" s="1"/>
      <c r="Q89" s="204" t="s">
        <v>5865</v>
      </c>
      <c r="AB89">
        <v>93000</v>
      </c>
    </row>
    <row r="90" spans="1:28" ht="12.75" hidden="1" customHeight="1">
      <c r="A90" s="12"/>
      <c r="B90" s="1"/>
      <c r="C90" s="1" t="str">
        <f>Language!C608</f>
        <v>Biogás queimado</v>
      </c>
      <c r="D90" s="1"/>
      <c r="E90" s="172">
        <f>D255</f>
        <v>0</v>
      </c>
      <c r="F90" s="984">
        <f>E255</f>
        <v>0</v>
      </c>
      <c r="G90" s="173">
        <f>F255</f>
        <v>0</v>
      </c>
      <c r="H90" s="1"/>
      <c r="I90" s="182">
        <f t="shared" ref="I90:I95" si="28">IF($I$89=$X$207,1,1/3.6)*Q90</f>
        <v>0</v>
      </c>
      <c r="J90" s="183">
        <f>IF(GHG_Type=1,(E90+(F90*U$2)+(G90*U$3))*3.6*(1/1000),(E90+(F90*$P$5)+(G90*$P$6))*3.6*(1/1000))</f>
        <v>0</v>
      </c>
      <c r="K90" s="973">
        <f>J90*Q90/3.6*O90</f>
        <v>0</v>
      </c>
      <c r="L90" s="9"/>
      <c r="M90" s="1"/>
      <c r="N90">
        <f>IF(ISERROR(GHG_LFG_F),0,IF(GHG_LFG_F&gt;SMIN,193,0))</f>
        <v>0</v>
      </c>
      <c r="O90">
        <f>IF(ISERROR(VLOOKUP('Modelo Energético'!B1226,C117:C126,1,FALSE)),0,1)</f>
        <v>0</v>
      </c>
      <c r="Q90" s="204">
        <f>IF(Ferramentas!D417=Ferramentas!B670,Ferramentas!N414*Ferramentas!D418,0)*O90</f>
        <v>0</v>
      </c>
      <c r="AB90">
        <v>93000</v>
      </c>
    </row>
    <row r="91" spans="1:28" ht="12.75" hidden="1" customHeight="1">
      <c r="A91" s="12"/>
      <c r="B91" s="1"/>
      <c r="C91" s="1" t="str">
        <f>Language!C609</f>
        <v>Emissões de biogás</v>
      </c>
      <c r="D91" s="1"/>
      <c r="E91" s="172">
        <v>0</v>
      </c>
      <c r="F91" s="984">
        <f>Ferramentas!D404</f>
        <v>17.988133764832796</v>
      </c>
      <c r="G91" s="173">
        <v>0</v>
      </c>
      <c r="H91" s="1"/>
      <c r="I91" s="182">
        <f t="shared" si="28"/>
        <v>0</v>
      </c>
      <c r="J91" s="183">
        <f>IF(GHG_Type=1,(E91+(F91*U$2)+(G91*U$3))*3.6*(1/1000),(E91+(F91*$P$5)+(G91*$P$6))*3.6*(1/1000))</f>
        <v>1.6189320388349517</v>
      </c>
      <c r="K91" s="973">
        <f>J91*Q91/3.6*O90</f>
        <v>0</v>
      </c>
      <c r="L91" s="9"/>
      <c r="M91" s="1"/>
      <c r="Q91" s="204">
        <f>IF(ISERROR(Ferramentas!$N$414),0,(Ferramentas!$N$414-Q90)*O90)</f>
        <v>0</v>
      </c>
      <c r="AB91">
        <v>93000</v>
      </c>
    </row>
    <row r="92" spans="1:28" ht="12.75" hidden="1" customHeight="1">
      <c r="A92" s="12"/>
      <c r="B92" s="1"/>
      <c r="C92" s="1" t="str">
        <f>Language!C608</f>
        <v>Biogás queimado</v>
      </c>
      <c r="D92" s="1"/>
      <c r="E92" s="464"/>
      <c r="F92" s="985"/>
      <c r="G92" s="465"/>
      <c r="H92" s="1"/>
      <c r="I92" s="182">
        <f t="shared" si="28"/>
        <v>0</v>
      </c>
      <c r="J92" s="183">
        <f>IF(GHG_Type=1,(E92+(F92*U$2)+(G92*U$3))*3.6*(1/1000),(E92+(F92*$P$5)+(G92*$P$6))*3.6*(1/1000))</f>
        <v>0</v>
      </c>
      <c r="K92" s="973">
        <f>J92*Q92/3.6*O90</f>
        <v>0</v>
      </c>
      <c r="L92" s="9"/>
      <c r="M92" s="1"/>
      <c r="Q92" s="204">
        <f>Q90</f>
        <v>0</v>
      </c>
      <c r="AB92">
        <v>93000</v>
      </c>
    </row>
    <row r="93" spans="1:28" ht="12.75" hidden="1" customHeight="1">
      <c r="A93" s="12"/>
      <c r="B93" s="1"/>
      <c r="C93" s="1" t="str">
        <f>Language!C609</f>
        <v>Emissões de biogás</v>
      </c>
      <c r="D93" s="1"/>
      <c r="E93" s="464"/>
      <c r="F93" s="985"/>
      <c r="G93" s="465"/>
      <c r="H93" s="1"/>
      <c r="I93" s="182">
        <f t="shared" si="28"/>
        <v>0</v>
      </c>
      <c r="J93" s="183">
        <f>IF(GHG_Type=1,(E93+(F93*U$2)+(G93*U$3))*3.6*(1/1000),(E93+(F93*$P$5)+(G93*$P$6))*3.6*(1/1000))</f>
        <v>0</v>
      </c>
      <c r="K93" s="973">
        <f>J93*Q93/3.6*O90</f>
        <v>0</v>
      </c>
      <c r="L93" s="9"/>
      <c r="M93" s="1"/>
      <c r="Q93" s="204">
        <f>Q91</f>
        <v>0</v>
      </c>
      <c r="AB93">
        <v>93000</v>
      </c>
    </row>
    <row r="94" spans="1:28" ht="12.75" hidden="1" customHeight="1">
      <c r="A94" s="12"/>
      <c r="B94" s="1"/>
      <c r="C94" s="1" t="str">
        <f>Language!C608</f>
        <v>Biogás queimado</v>
      </c>
      <c r="D94" s="1"/>
      <c r="E94" s="1"/>
      <c r="F94" s="1"/>
      <c r="G94" s="1"/>
      <c r="H94" s="1"/>
      <c r="I94" s="182">
        <f t="shared" si="28"/>
        <v>0</v>
      </c>
      <c r="J94" s="183">
        <f>J90</f>
        <v>0</v>
      </c>
      <c r="K94" s="973">
        <f>J94*Q94/3.6*O90</f>
        <v>0</v>
      </c>
      <c r="L94" s="9"/>
      <c r="M94" s="1"/>
      <c r="Q94" s="204">
        <f>Q90</f>
        <v>0</v>
      </c>
      <c r="AB94">
        <v>93000</v>
      </c>
    </row>
    <row r="95" spans="1:28" ht="12.75" hidden="1" customHeight="1">
      <c r="A95" s="12"/>
      <c r="B95" s="1"/>
      <c r="C95" s="1" t="str">
        <f>Language!C609</f>
        <v>Emissões de biogás</v>
      </c>
      <c r="D95" s="1"/>
      <c r="E95" s="1"/>
      <c r="F95" s="1"/>
      <c r="G95" s="1"/>
      <c r="H95" s="1"/>
      <c r="I95" s="182">
        <f t="shared" si="28"/>
        <v>0</v>
      </c>
      <c r="J95" s="183">
        <f>J91</f>
        <v>1.6189320388349517</v>
      </c>
      <c r="K95" s="974">
        <f>J95*Q95/3.6*O90</f>
        <v>0</v>
      </c>
      <c r="L95" s="9"/>
      <c r="M95" s="1"/>
      <c r="Q95" s="204">
        <f>Q91</f>
        <v>0</v>
      </c>
      <c r="AB95">
        <v>93000</v>
      </c>
    </row>
    <row r="96" spans="1:28" ht="12.75" hidden="1" customHeight="1">
      <c r="A96" s="12"/>
      <c r="B96" s="1"/>
      <c r="C96" s="1"/>
      <c r="D96" s="1"/>
      <c r="E96" s="1"/>
      <c r="F96" s="1"/>
      <c r="G96" s="1"/>
      <c r="H96" s="1"/>
      <c r="I96" s="1"/>
      <c r="J96" s="79" t="str">
        <f>J169</f>
        <v>Total</v>
      </c>
      <c r="K96" s="975">
        <f>IF(GHG_Type=1,K64+K90+K91,IF(GHG_Type=2,K75+K92+K93,K86+K94+K95))</f>
        <v>2.4308661043954918</v>
      </c>
      <c r="L96" s="9"/>
      <c r="M96" s="1"/>
      <c r="AB96">
        <v>93000</v>
      </c>
    </row>
    <row r="97" spans="1:28" ht="12.75" hidden="1" customHeight="1">
      <c r="A97" s="12"/>
      <c r="B97" s="1"/>
      <c r="C97" s="1"/>
      <c r="D97" s="1"/>
      <c r="E97" s="1"/>
      <c r="F97" s="1"/>
      <c r="G97" s="1"/>
      <c r="H97" s="1"/>
      <c r="I97" s="1"/>
      <c r="J97" s="79"/>
      <c r="K97" s="184"/>
      <c r="L97" s="9"/>
      <c r="M97" s="1"/>
      <c r="N97">
        <f>IF(SUM($N$100:$N$109)=0,0,1)</f>
        <v>0</v>
      </c>
      <c r="AB97">
        <v>93000</v>
      </c>
    </row>
    <row r="98" spans="1:28" ht="38.25" hidden="1" customHeight="1">
      <c r="A98" s="12"/>
      <c r="B98" s="1"/>
      <c r="C98" s="1"/>
      <c r="D98" s="1"/>
      <c r="E98" s="1"/>
      <c r="F98" s="1"/>
      <c r="G98" s="1"/>
      <c r="H98" s="1"/>
      <c r="I98" s="82" t="str">
        <f>Language!C1477</f>
        <v>Perda anual do refrigerante</v>
      </c>
      <c r="J98" s="82" t="str">
        <f>Language!C1699</f>
        <v>Potencial de aquecimento global</v>
      </c>
      <c r="K98" s="184"/>
      <c r="L98" s="9"/>
      <c r="M98" s="1"/>
      <c r="N98">
        <f>IF(SUM($N$100:$N$109)=0,0,1)</f>
        <v>0</v>
      </c>
      <c r="AB98">
        <v>93000</v>
      </c>
    </row>
    <row r="99" spans="1:28" ht="12.75" hidden="1" customHeight="1">
      <c r="A99" s="12"/>
      <c r="B99" s="1"/>
      <c r="C99" s="1"/>
      <c r="D99" s="1"/>
      <c r="E99" s="1"/>
      <c r="F99" s="1"/>
      <c r="G99" s="1"/>
      <c r="H99" s="128" t="str">
        <f>Language!C1932</f>
        <v>Refrigerante</v>
      </c>
      <c r="I99" s="128" t="str">
        <f>Language!C1352</f>
        <v>kg</v>
      </c>
      <c r="J99" s="423" t="s">
        <v>2487</v>
      </c>
      <c r="K99" s="184"/>
      <c r="L99" s="9"/>
      <c r="M99" s="1"/>
      <c r="N99">
        <f>IF(SUM($N$100:$N$109)=0,0,1)</f>
        <v>0</v>
      </c>
      <c r="AB99">
        <v>93000</v>
      </c>
    </row>
    <row r="100" spans="1:28" ht="12.75" hidden="1" customHeight="1">
      <c r="A100" s="12"/>
      <c r="B100" s="1"/>
      <c r="C100" s="1" t="str">
        <f>IF(EET!D22="","",EET!D22)</f>
        <v/>
      </c>
      <c r="D100" s="1"/>
      <c r="E100" s="1"/>
      <c r="F100" s="1"/>
      <c r="G100" s="1"/>
      <c r="H100" s="29">
        <f>EET!AC22</f>
        <v>0</v>
      </c>
      <c r="I100" s="29">
        <f>EET!AF22*'Modelo Energético '!M47*IF('Modelo Energético '!Q47=TRUE,1,0)*IF($R$5=8,1,0)</f>
        <v>0</v>
      </c>
      <c r="J100" s="30" t="e">
        <f>IF(H100=$N$453,EET!AI22,VLOOKUP(H100,$N$340:$O$452,2,FALSE))</f>
        <v>#N/A</v>
      </c>
      <c r="K100" s="976">
        <f>IF(ISERROR(I100*J100),0,I100*J100/1000)*IF(GHG_Type=2,0,1)</f>
        <v>0</v>
      </c>
      <c r="L100" s="9"/>
      <c r="M100" s="1"/>
      <c r="N100">
        <f>IF(K100=0,0,1)</f>
        <v>0</v>
      </c>
      <c r="AB100">
        <v>93000</v>
      </c>
    </row>
    <row r="101" spans="1:28" ht="13.2" hidden="1">
      <c r="A101" s="12"/>
      <c r="B101" s="1"/>
      <c r="C101" s="1" t="str">
        <f>IF(EET!D23="","",EET!D23)</f>
        <v/>
      </c>
      <c r="D101" s="1"/>
      <c r="E101" s="1"/>
      <c r="F101" s="1"/>
      <c r="G101" s="1"/>
      <c r="H101" s="29">
        <f>EET!AC23</f>
        <v>0</v>
      </c>
      <c r="I101" s="29">
        <f>EET!AF23*'Modelo Energético '!M48*IF('Modelo Energético '!Q48=TRUE,1,0)*IF($R$5=8,1,0)</f>
        <v>0</v>
      </c>
      <c r="J101" s="30" t="e">
        <f>IF(H101=$N$453,EET!AI23,VLOOKUP(H101,$N$340:$O$452,2,FALSE))</f>
        <v>#N/A</v>
      </c>
      <c r="K101" s="976">
        <f>IF(ISERROR(I101*J101),0,I101*J101/1000)*IF(GHG_Type=2,0,1)</f>
        <v>0</v>
      </c>
      <c r="L101" s="9"/>
      <c r="M101" s="1"/>
      <c r="N101">
        <f>IF(K101=0,0,1)</f>
        <v>0</v>
      </c>
      <c r="AB101">
        <v>93000</v>
      </c>
    </row>
    <row r="102" spans="1:28" ht="13.2" hidden="1">
      <c r="A102" s="12"/>
      <c r="B102" s="1"/>
      <c r="C102" s="1" t="str">
        <f>IF(EET!D24="","",EET!D24)</f>
        <v/>
      </c>
      <c r="D102" s="1"/>
      <c r="E102" s="1"/>
      <c r="F102" s="1"/>
      <c r="G102" s="1"/>
      <c r="H102" s="29">
        <f>EET!AC24</f>
        <v>0</v>
      </c>
      <c r="I102" s="29">
        <f>EET!AF24*'Modelo Energético '!M49*IF('Modelo Energético '!Q49=TRUE,1,0)*IF($R$5=8,1,0)</f>
        <v>0</v>
      </c>
      <c r="J102" s="30" t="e">
        <f>IF(H102=$N$453,EET!AI24,VLOOKUP(H102,$N$340:$O$452,2,FALSE))</f>
        <v>#N/A</v>
      </c>
      <c r="K102" s="976">
        <f>IF(ISERROR(I102*J102),0,I102*J102/1000)*IF(GHG_Type=2,0,1)</f>
        <v>0</v>
      </c>
      <c r="L102" s="9"/>
      <c r="M102" s="1"/>
      <c r="N102">
        <f>IF(K102=0,0,1)</f>
        <v>0</v>
      </c>
      <c r="AB102">
        <v>93000</v>
      </c>
    </row>
    <row r="103" spans="1:28" ht="12.75" hidden="1" customHeight="1">
      <c r="A103" s="12"/>
      <c r="B103" s="1"/>
      <c r="C103" s="1" t="str">
        <f>IF(EET!D25="","",EET!D25)</f>
        <v/>
      </c>
      <c r="D103" s="1"/>
      <c r="E103" s="1"/>
      <c r="F103" s="1"/>
      <c r="G103" s="1"/>
      <c r="H103" s="29">
        <f>EET!AC25</f>
        <v>0</v>
      </c>
      <c r="I103" s="29">
        <f>EET!AF25*'Modelo Energético '!M50*IF('Modelo Energético '!Q50=TRUE,1,0)*IF($R$5=8,1,0)</f>
        <v>0</v>
      </c>
      <c r="J103" s="30" t="e">
        <f>IF(H103=$N$453,EET!AI25,VLOOKUP(H103,$N$340:$O$452,2,FALSE))</f>
        <v>#N/A</v>
      </c>
      <c r="K103" s="976">
        <f>IF(ISERROR(I103*J103),0,I103*J103/1000)*IF(GHG_Type=2,0,1)</f>
        <v>0</v>
      </c>
      <c r="L103" s="9"/>
      <c r="M103" s="1"/>
      <c r="N103">
        <f>IF(K103=0,0,1)</f>
        <v>0</v>
      </c>
      <c r="AB103">
        <v>93000</v>
      </c>
    </row>
    <row r="104" spans="1:28" ht="12.75" hidden="1" customHeight="1">
      <c r="A104" s="12"/>
      <c r="B104" s="1"/>
      <c r="C104" s="1" t="str">
        <f>IF(EET!D26="","",EET!D26)</f>
        <v/>
      </c>
      <c r="D104" s="1"/>
      <c r="E104" s="1"/>
      <c r="F104" s="1"/>
      <c r="G104" s="1"/>
      <c r="H104" s="29">
        <f>EET!AC26</f>
        <v>0</v>
      </c>
      <c r="I104" s="29">
        <f>EET!AF26*'Modelo Energético '!M51*IF('Modelo Energético '!Q51=TRUE,1,0)*IF($R$5=8,1,0)</f>
        <v>0</v>
      </c>
      <c r="J104" s="30" t="e">
        <f>IF(H104=$N$453,EET!AI26,VLOOKUP(H104,$N$340:$O$452,2,FALSE))</f>
        <v>#N/A</v>
      </c>
      <c r="K104" s="976">
        <f>IF(ISERROR(I104*J104),0,I104*J104/1000)*IF(GHG_Type=2,0,1)</f>
        <v>0</v>
      </c>
      <c r="L104" s="9"/>
      <c r="M104" s="1"/>
      <c r="N104">
        <f>IF(K104=0,0,1)</f>
        <v>0</v>
      </c>
      <c r="AB104">
        <v>93000</v>
      </c>
    </row>
    <row r="105" spans="1:28" ht="12.75" hidden="1" customHeight="1">
      <c r="A105" s="12"/>
      <c r="B105" s="1"/>
      <c r="C105" s="1" t="str">
        <f>$C$100</f>
        <v/>
      </c>
      <c r="D105" s="1"/>
      <c r="E105" s="1"/>
      <c r="F105" s="1"/>
      <c r="G105" s="1"/>
      <c r="H105" s="29">
        <f>H100</f>
        <v>0</v>
      </c>
      <c r="I105" s="29">
        <f>I100</f>
        <v>0</v>
      </c>
      <c r="J105" s="305"/>
      <c r="K105" s="976">
        <f>IF(ISERROR(I105*J105),0,I105*J105/1000)*IF(GHG_Type=2,1,0)</f>
        <v>0</v>
      </c>
      <c r="L105" s="9"/>
      <c r="M105" s="1"/>
      <c r="N105">
        <f>IF(I105=0,0,1)*IF(GHG_Type=2,1,0)</f>
        <v>0</v>
      </c>
      <c r="AB105">
        <v>93000</v>
      </c>
    </row>
    <row r="106" spans="1:28" ht="12.75" hidden="1" customHeight="1">
      <c r="A106" s="12"/>
      <c r="B106" s="1"/>
      <c r="C106" s="1" t="str">
        <f>$C$101</f>
        <v/>
      </c>
      <c r="D106" s="1"/>
      <c r="E106" s="1"/>
      <c r="F106" s="1"/>
      <c r="G106" s="1"/>
      <c r="H106" s="29">
        <f t="shared" ref="H106:I109" si="29">H101</f>
        <v>0</v>
      </c>
      <c r="I106" s="29">
        <f t="shared" si="29"/>
        <v>0</v>
      </c>
      <c r="J106" s="305"/>
      <c r="K106" s="976">
        <f>IF(ISERROR(I106*J106),0,I106*J106/1000)*IF(GHG_Type=2,1,0)</f>
        <v>0</v>
      </c>
      <c r="L106" s="9"/>
      <c r="M106" s="1"/>
      <c r="N106">
        <f>IF(I106=0,0,1)*IF(GHG_Type=2,1,0)</f>
        <v>0</v>
      </c>
      <c r="AB106">
        <v>93000</v>
      </c>
    </row>
    <row r="107" spans="1:28" ht="12.75" hidden="1" customHeight="1">
      <c r="A107" s="12"/>
      <c r="B107" s="1"/>
      <c r="C107" s="1" t="str">
        <f>$C$102</f>
        <v/>
      </c>
      <c r="D107" s="1"/>
      <c r="E107" s="1"/>
      <c r="F107" s="1"/>
      <c r="G107" s="1"/>
      <c r="H107" s="29">
        <f t="shared" si="29"/>
        <v>0</v>
      </c>
      <c r="I107" s="29">
        <f t="shared" si="29"/>
        <v>0</v>
      </c>
      <c r="J107" s="305"/>
      <c r="K107" s="976">
        <f>IF(ISERROR(I107*J107),0,I107*J107/1000)*IF(GHG_Type=2,1,0)</f>
        <v>0</v>
      </c>
      <c r="L107" s="9"/>
      <c r="M107" s="1"/>
      <c r="N107">
        <f>IF(I107=0,0,1)*IF(GHG_Type=2,1,0)</f>
        <v>0</v>
      </c>
      <c r="AB107">
        <v>93000</v>
      </c>
    </row>
    <row r="108" spans="1:28" ht="12.75" hidden="1" customHeight="1">
      <c r="A108" s="12"/>
      <c r="B108" s="1"/>
      <c r="C108" s="1" t="str">
        <f>$C$103</f>
        <v/>
      </c>
      <c r="D108" s="1"/>
      <c r="E108" s="1"/>
      <c r="F108" s="1"/>
      <c r="G108" s="1"/>
      <c r="H108" s="29">
        <f t="shared" si="29"/>
        <v>0</v>
      </c>
      <c r="I108" s="29">
        <f t="shared" si="29"/>
        <v>0</v>
      </c>
      <c r="J108" s="305"/>
      <c r="K108" s="976">
        <f>IF(ISERROR(I108*J108),0,I108*J108/1000)*IF(GHG_Type=2,1,0)</f>
        <v>0</v>
      </c>
      <c r="L108" s="9"/>
      <c r="M108" s="1"/>
      <c r="N108">
        <f>IF(I108=0,0,1)*IF(GHG_Type=2,1,0)</f>
        <v>0</v>
      </c>
      <c r="AB108">
        <v>93000</v>
      </c>
    </row>
    <row r="109" spans="1:28" ht="12.75" hidden="1" customHeight="1">
      <c r="A109" s="12"/>
      <c r="B109" s="1"/>
      <c r="C109" s="1" t="str">
        <f>$C$104</f>
        <v/>
      </c>
      <c r="D109" s="1"/>
      <c r="E109" s="1"/>
      <c r="F109" s="1"/>
      <c r="G109" s="1"/>
      <c r="H109" s="29">
        <f t="shared" si="29"/>
        <v>0</v>
      </c>
      <c r="I109" s="29">
        <f t="shared" si="29"/>
        <v>0</v>
      </c>
      <c r="J109" s="305"/>
      <c r="K109" s="977">
        <f>IF(ISERROR(I109*J109),0,I109*J109/1000)*IF(GHG_Type=2,1,0)</f>
        <v>0</v>
      </c>
      <c r="L109" s="9"/>
      <c r="M109" s="1"/>
      <c r="N109">
        <f>IF(I109=0,0,1)*IF(GHG_Type=2,1,0)</f>
        <v>0</v>
      </c>
      <c r="AB109">
        <v>93000</v>
      </c>
    </row>
    <row r="110" spans="1:28" ht="12.75" hidden="1" customHeight="1">
      <c r="A110" s="12"/>
      <c r="B110" s="1"/>
      <c r="C110" s="1"/>
      <c r="D110" s="1"/>
      <c r="E110" s="1"/>
      <c r="F110" s="1"/>
      <c r="G110" s="1"/>
      <c r="H110" s="1"/>
      <c r="I110" s="1"/>
      <c r="J110" s="79" t="str">
        <f>J169</f>
        <v>Total</v>
      </c>
      <c r="K110" s="975">
        <f>K96+SUM(K100:K109)</f>
        <v>2.4308661043954918</v>
      </c>
      <c r="L110" s="9"/>
      <c r="M110" s="1"/>
      <c r="N110">
        <f>IF(SUM($N$100:$N$109)=0,0,1)</f>
        <v>0</v>
      </c>
      <c r="AB110">
        <v>93000</v>
      </c>
    </row>
    <row r="111" spans="1:28" ht="12.75" customHeight="1">
      <c r="A111" s="14"/>
      <c r="B111" s="15"/>
      <c r="C111" s="15"/>
      <c r="D111" s="15"/>
      <c r="E111" s="15"/>
      <c r="F111" s="15"/>
      <c r="G111" s="15"/>
      <c r="H111" s="15"/>
      <c r="I111" s="15"/>
      <c r="J111" s="15"/>
      <c r="K111" s="15"/>
      <c r="L111" s="11"/>
      <c r="M111" s="1"/>
      <c r="AB111">
        <v>93000</v>
      </c>
    </row>
    <row r="112" spans="1:28" ht="12.75" customHeight="1">
      <c r="A112" s="1"/>
      <c r="B112" s="1"/>
      <c r="C112" s="1"/>
      <c r="D112" s="1"/>
      <c r="E112" s="1"/>
      <c r="F112" s="1"/>
      <c r="G112" s="1"/>
      <c r="H112" s="1"/>
      <c r="I112" s="1"/>
      <c r="J112" s="1"/>
      <c r="K112" s="1"/>
      <c r="L112" s="8"/>
      <c r="M112" s="1"/>
      <c r="AB112">
        <v>90000</v>
      </c>
    </row>
    <row r="113" spans="1:28" ht="12.75" customHeight="1">
      <c r="A113" s="446" t="str">
        <f>Language!C610&amp;" ("&amp;B188&amp;")"</f>
        <v>Sumário GEE do caso proposto (Projeto produção de Eletricidade)</v>
      </c>
      <c r="B113" s="25"/>
      <c r="C113" s="25"/>
      <c r="D113" s="25"/>
      <c r="E113" s="25"/>
      <c r="F113" s="25"/>
      <c r="G113" s="25"/>
      <c r="H113" s="25"/>
      <c r="I113" s="25"/>
      <c r="J113" s="25"/>
      <c r="K113" s="25"/>
      <c r="L113" s="277"/>
      <c r="M113" s="1"/>
      <c r="AB113">
        <v>94000</v>
      </c>
    </row>
    <row r="114" spans="1:28" ht="12.75" customHeight="1">
      <c r="A114" s="12"/>
      <c r="B114" s="1"/>
      <c r="C114" s="1"/>
      <c r="D114" s="1"/>
      <c r="E114" s="1"/>
      <c r="F114" s="1"/>
      <c r="G114" s="1"/>
      <c r="H114" s="1"/>
      <c r="I114" s="1"/>
      <c r="J114" s="1"/>
      <c r="K114" s="1"/>
      <c r="L114" s="9"/>
      <c r="M114" s="1"/>
      <c r="N114">
        <f>N127*13+N128*7</f>
        <v>7</v>
      </c>
      <c r="Q114">
        <v>1E-4</v>
      </c>
      <c r="R114" t="s">
        <v>1765</v>
      </c>
      <c r="AB114">
        <v>94000</v>
      </c>
    </row>
    <row r="115" spans="1:28" ht="38.25" customHeight="1">
      <c r="A115" s="12"/>
      <c r="B115" s="1"/>
      <c r="C115" s="1"/>
      <c r="D115" s="82" t="str">
        <f>D12</f>
        <v>Mix do combustível</v>
      </c>
      <c r="E115" s="82" t="str">
        <f>Language!C591</f>
        <v>Fator de
emissão de CO2</v>
      </c>
      <c r="F115" s="82" t="str">
        <f>Language!C592</f>
        <v>Fator de
emissão de CH4</v>
      </c>
      <c r="G115" s="82" t="str">
        <f>Language!C593</f>
        <v>Fator de
emissão de N2O</v>
      </c>
      <c r="H115" s="1"/>
      <c r="I115" s="82" t="str">
        <f>Language!C606</f>
        <v>Consumo
de combustível</v>
      </c>
      <c r="J115" s="82" t="str">
        <f>Language!C596</f>
        <v>Fator de emissão
de GEE</v>
      </c>
      <c r="K115" s="82" t="str">
        <f>K52</f>
        <v>Emissão de GEE</v>
      </c>
      <c r="L115" s="9"/>
      <c r="M115" s="1"/>
      <c r="AB115">
        <v>94000</v>
      </c>
    </row>
    <row r="116" spans="1:28" ht="12.75" customHeight="1">
      <c r="A116" s="12"/>
      <c r="B116" s="15"/>
      <c r="C116" s="49" t="str">
        <f>C13</f>
        <v>Tipo de Combustível</v>
      </c>
      <c r="D116" s="128" t="str">
        <f>D13</f>
        <v>%</v>
      </c>
      <c r="E116" s="128" t="str">
        <f>$E$13</f>
        <v>kg/GJ</v>
      </c>
      <c r="F116" s="128" t="str">
        <f>$E$13</f>
        <v>kg/GJ</v>
      </c>
      <c r="G116" s="128" t="str">
        <f>$E$13</f>
        <v>kg/GJ</v>
      </c>
      <c r="H116" s="15"/>
      <c r="I116" s="423" t="s">
        <v>2745</v>
      </c>
      <c r="J116" s="423" t="s">
        <v>4285</v>
      </c>
      <c r="K116" s="128" t="str">
        <f>$K$53</f>
        <v>tCO2</v>
      </c>
      <c r="L116" s="9"/>
      <c r="M116" s="1"/>
      <c r="Q116" t="s">
        <v>5865</v>
      </c>
      <c r="AB116">
        <v>94000</v>
      </c>
    </row>
    <row r="117" spans="1:28" ht="12.75" hidden="1" customHeight="1">
      <c r="A117" s="12"/>
      <c r="B117" s="1"/>
      <c r="C117" s="1" t="str">
        <f>'Análise de Custos'!C215</f>
        <v xml:space="preserve">Biomassa </v>
      </c>
      <c r="D117" s="181">
        <f t="shared" ref="D117:D126" si="30">IF($Q$130=0,0,Q117/$Q$130)</f>
        <v>0</v>
      </c>
      <c r="E117" s="172">
        <f t="shared" ref="E117:E126" si="31">VLOOKUP($C117,$C$207:$F$338,2,FALSE)</f>
        <v>0</v>
      </c>
      <c r="F117" s="984">
        <f t="shared" ref="F117:F126" si="32">VLOOKUP($C117,$C$207:$F$338,3,FALSE)</f>
        <v>3.2000000000000001E-2</v>
      </c>
      <c r="G117" s="173">
        <f t="shared" ref="G117:G126" si="33">VLOOKUP($C117,$C$207:$F$338,4,FALSE)</f>
        <v>4.0000000000000001E-3</v>
      </c>
      <c r="H117" s="1"/>
      <c r="I117" s="182">
        <f t="shared" ref="I117:I160" si="34">IF($I$116=$X$207,1,1/3.6)*Q117</f>
        <v>0</v>
      </c>
      <c r="J117" s="183">
        <f t="shared" ref="J117:J128" si="35">IF(GHG_Type=1,IF(D117=0,0,(E117+(F117*U$2)+(G117*U$3))*3.6*(1/1000)),IF(D117=0,0,(E117+(F117*$P$5)+(G117*$P$6))*3.6*(1/1000)))</f>
        <v>0</v>
      </c>
      <c r="K117" s="976">
        <f>J117*Q117/3.6</f>
        <v>0</v>
      </c>
      <c r="L117" s="9"/>
      <c r="M117" s="1"/>
      <c r="N117">
        <f>IF(ISERROR(Q117),453,IF(OR(GHG_Type=2,GHG_Type=3),IF(Q131&lt;=SMIN,123,0),IF(Q117&lt;=SMIN,453,0)))</f>
        <v>123</v>
      </c>
      <c r="Q117" s="204">
        <f>'Modelo Energético'!G1155</f>
        <v>0</v>
      </c>
      <c r="S117">
        <f t="shared" ref="S117:S126" si="36">IF(C117=$C$222,$K$46,J117)</f>
        <v>0</v>
      </c>
      <c r="AB117">
        <v>94000</v>
      </c>
    </row>
    <row r="118" spans="1:28" ht="12.75" hidden="1" customHeight="1">
      <c r="A118" s="12"/>
      <c r="B118" s="1"/>
      <c r="C118" s="1" t="str">
        <f>'Análise de Custos'!C216</f>
        <v>Gás Natural</v>
      </c>
      <c r="D118" s="181">
        <f t="shared" si="30"/>
        <v>0</v>
      </c>
      <c r="E118" s="172">
        <f t="shared" si="31"/>
        <v>54.46</v>
      </c>
      <c r="F118" s="984">
        <f t="shared" si="32"/>
        <v>4.0000000000000001E-3</v>
      </c>
      <c r="G118" s="173">
        <f t="shared" si="33"/>
        <v>1E-3</v>
      </c>
      <c r="H118" s="1"/>
      <c r="I118" s="182">
        <f t="shared" si="34"/>
        <v>0</v>
      </c>
      <c r="J118" s="183">
        <f t="shared" si="35"/>
        <v>0</v>
      </c>
      <c r="K118" s="976">
        <f t="shared" ref="K118:K160" si="37">J118*Q118/3.6</f>
        <v>0</v>
      </c>
      <c r="L118" s="9"/>
      <c r="M118" s="1"/>
      <c r="N118">
        <f>IF(ISERROR(Q118),567,IF(OR(GHG_Type=2,GHG_Type=3),IF(Q132&lt;=SMIN,345,0),IF(Q118&lt;=SMIN,567,0)))</f>
        <v>345</v>
      </c>
      <c r="Q118" s="204">
        <f>'Modelo Energético'!G1156</f>
        <v>0</v>
      </c>
      <c r="S118">
        <f t="shared" si="36"/>
        <v>0</v>
      </c>
      <c r="AB118">
        <v>94000</v>
      </c>
    </row>
    <row r="119" spans="1:28" ht="12.75" hidden="1" customHeight="1">
      <c r="A119" s="12"/>
      <c r="B119" s="1"/>
      <c r="C119" s="1" t="str">
        <f>'Análise de Custos'!C217</f>
        <v>Gás Natural</v>
      </c>
      <c r="D119" s="181">
        <f t="shared" si="30"/>
        <v>0</v>
      </c>
      <c r="E119" s="172">
        <f t="shared" si="31"/>
        <v>54.46</v>
      </c>
      <c r="F119" s="984">
        <f t="shared" si="32"/>
        <v>4.0000000000000001E-3</v>
      </c>
      <c r="G119" s="173">
        <f t="shared" si="33"/>
        <v>1E-3</v>
      </c>
      <c r="H119" s="1"/>
      <c r="I119" s="182">
        <f t="shared" si="34"/>
        <v>0</v>
      </c>
      <c r="J119" s="183">
        <f t="shared" si="35"/>
        <v>0</v>
      </c>
      <c r="K119" s="976">
        <f t="shared" si="37"/>
        <v>0</v>
      </c>
      <c r="L119" s="9"/>
      <c r="M119" s="1"/>
      <c r="N119">
        <f>IF(ISERROR(Q119),191,IF(OR(GHG_Type=2,GHG_Type=3),IF(Q133&lt;=SMIN,119,0),IF(Q119&lt;=SMIN,191,0)))</f>
        <v>119</v>
      </c>
      <c r="Q119" s="204">
        <f>'Modelo Energético'!G1157</f>
        <v>0</v>
      </c>
      <c r="S119">
        <f t="shared" si="36"/>
        <v>0</v>
      </c>
      <c r="AB119">
        <v>94000</v>
      </c>
    </row>
    <row r="120" spans="1:28" ht="12.75" hidden="1" customHeight="1">
      <c r="A120" s="12"/>
      <c r="B120" s="1"/>
      <c r="C120" s="1" t="str">
        <f>'Análise de Custos'!C218</f>
        <v>Gás Natural</v>
      </c>
      <c r="D120" s="181">
        <f t="shared" si="30"/>
        <v>0</v>
      </c>
      <c r="E120" s="172">
        <f t="shared" si="31"/>
        <v>54.46</v>
      </c>
      <c r="F120" s="984">
        <f t="shared" si="32"/>
        <v>4.0000000000000001E-3</v>
      </c>
      <c r="G120" s="173">
        <f t="shared" si="33"/>
        <v>1E-3</v>
      </c>
      <c r="H120" s="1"/>
      <c r="I120" s="182">
        <f t="shared" si="34"/>
        <v>0</v>
      </c>
      <c r="J120" s="183">
        <f t="shared" si="35"/>
        <v>0</v>
      </c>
      <c r="K120" s="976">
        <f t="shared" si="37"/>
        <v>0</v>
      </c>
      <c r="L120" s="9"/>
      <c r="M120" s="1"/>
      <c r="N120">
        <f>IF(ISERROR(Q120),814,IF(OR(GHG_Type=2,GHG_Type=3),IF(Q134&lt;=SMIN,314,0),IF(Q120&lt;=SMIN,814,0)))</f>
        <v>314</v>
      </c>
      <c r="Q120" s="204">
        <f>'Modelo Energético'!G1158</f>
        <v>0</v>
      </c>
      <c r="S120">
        <f t="shared" si="36"/>
        <v>0</v>
      </c>
      <c r="AB120">
        <v>94000</v>
      </c>
    </row>
    <row r="121" spans="1:28" ht="12.75" hidden="1" customHeight="1">
      <c r="A121" s="12"/>
      <c r="B121" s="1"/>
      <c r="C121" s="1" t="str">
        <f>'Análise de Custos'!C219</f>
        <v>Gás Natural</v>
      </c>
      <c r="D121" s="181">
        <f t="shared" si="30"/>
        <v>0</v>
      </c>
      <c r="E121" s="172">
        <f t="shared" si="31"/>
        <v>54.46</v>
      </c>
      <c r="F121" s="984">
        <f t="shared" si="32"/>
        <v>4.0000000000000001E-3</v>
      </c>
      <c r="G121" s="173">
        <f t="shared" si="33"/>
        <v>1E-3</v>
      </c>
      <c r="H121" s="1"/>
      <c r="I121" s="182">
        <f t="shared" si="34"/>
        <v>0</v>
      </c>
      <c r="J121" s="183">
        <f t="shared" si="35"/>
        <v>0</v>
      </c>
      <c r="K121" s="976">
        <f t="shared" si="37"/>
        <v>0</v>
      </c>
      <c r="L121" s="9"/>
      <c r="M121" s="1"/>
      <c r="N121">
        <f>IF(ISERROR(Q121),671,IF(OR(GHG_Type=2,GHG_Type=3),IF(Q135&lt;=SMIN,541,0),IF(Q121&lt;=SMIN,671,0)))</f>
        <v>541</v>
      </c>
      <c r="Q121" s="204">
        <f>'Modelo Energético'!G1159</f>
        <v>0</v>
      </c>
      <c r="S121">
        <f t="shared" si="36"/>
        <v>0</v>
      </c>
      <c r="U121" s="53"/>
      <c r="AB121">
        <v>94000</v>
      </c>
    </row>
    <row r="122" spans="1:28" ht="12.75" hidden="1" customHeight="1">
      <c r="A122" s="12"/>
      <c r="B122" s="1"/>
      <c r="C122" s="1" t="str">
        <f>'Análise de Custos'!C220</f>
        <v>Gás Natural</v>
      </c>
      <c r="D122" s="181">
        <f t="shared" si="30"/>
        <v>0</v>
      </c>
      <c r="E122" s="172">
        <f t="shared" si="31"/>
        <v>54.46</v>
      </c>
      <c r="F122" s="984">
        <f t="shared" si="32"/>
        <v>4.0000000000000001E-3</v>
      </c>
      <c r="G122" s="173">
        <f t="shared" si="33"/>
        <v>1E-3</v>
      </c>
      <c r="H122" s="1"/>
      <c r="I122" s="182">
        <f t="shared" si="34"/>
        <v>0</v>
      </c>
      <c r="J122" s="183">
        <f t="shared" si="35"/>
        <v>0</v>
      </c>
      <c r="K122" s="976">
        <f t="shared" si="37"/>
        <v>0</v>
      </c>
      <c r="L122" s="9"/>
      <c r="M122" s="1"/>
      <c r="N122">
        <f>IF(ISERROR(Q122),541,IF(OR(GHG_Type=2,GHG_Type=3),IF(Q136&lt;=SMIN,351,0),IF(Q122&lt;=SMIN,541,0)))</f>
        <v>351</v>
      </c>
      <c r="Q122" s="204">
        <f>'Modelo Energético'!G1160</f>
        <v>0</v>
      </c>
      <c r="S122">
        <f t="shared" si="36"/>
        <v>0</v>
      </c>
      <c r="U122" s="53"/>
      <c r="AB122">
        <v>94000</v>
      </c>
    </row>
    <row r="123" spans="1:28" ht="12.75" hidden="1" customHeight="1">
      <c r="A123" s="12"/>
      <c r="B123" s="1"/>
      <c r="C123" s="1" t="str">
        <f>'Análise de Custos'!C221</f>
        <v>Gás Natural</v>
      </c>
      <c r="D123" s="181">
        <f t="shared" si="30"/>
        <v>0</v>
      </c>
      <c r="E123" s="172">
        <f t="shared" si="31"/>
        <v>54.46</v>
      </c>
      <c r="F123" s="984">
        <f t="shared" si="32"/>
        <v>4.0000000000000001E-3</v>
      </c>
      <c r="G123" s="173">
        <f t="shared" si="33"/>
        <v>1E-3</v>
      </c>
      <c r="H123" s="1"/>
      <c r="I123" s="182">
        <f t="shared" si="34"/>
        <v>0</v>
      </c>
      <c r="J123" s="183">
        <f t="shared" si="35"/>
        <v>0</v>
      </c>
      <c r="K123" s="976">
        <f t="shared" si="37"/>
        <v>0</v>
      </c>
      <c r="L123" s="9"/>
      <c r="M123" s="1"/>
      <c r="N123">
        <f>IF(ISERROR(Q123),221,IF(OR(GHG_Type=2,GHG_Type=3),IF(Q137&lt;=SMIN,661,0),IF(Q123&lt;=SMIN,221,0)))</f>
        <v>661</v>
      </c>
      <c r="Q123" s="204">
        <f>'Modelo Energético'!G1161</f>
        <v>0</v>
      </c>
      <c r="S123">
        <f t="shared" si="36"/>
        <v>0</v>
      </c>
      <c r="AB123">
        <v>94000</v>
      </c>
    </row>
    <row r="124" spans="1:28" ht="12.75" hidden="1" customHeight="1">
      <c r="A124" s="12"/>
      <c r="B124" s="1"/>
      <c r="C124" s="1" t="str">
        <f>'Análise de Custos'!C222</f>
        <v>Gás Natural</v>
      </c>
      <c r="D124" s="181">
        <f t="shared" si="30"/>
        <v>0</v>
      </c>
      <c r="E124" s="172">
        <f t="shared" si="31"/>
        <v>54.46</v>
      </c>
      <c r="F124" s="984">
        <f t="shared" si="32"/>
        <v>4.0000000000000001E-3</v>
      </c>
      <c r="G124" s="173">
        <f t="shared" si="33"/>
        <v>1E-3</v>
      </c>
      <c r="H124" s="1"/>
      <c r="I124" s="182">
        <f t="shared" si="34"/>
        <v>0</v>
      </c>
      <c r="J124" s="183">
        <f t="shared" si="35"/>
        <v>0</v>
      </c>
      <c r="K124" s="976">
        <f t="shared" si="37"/>
        <v>0</v>
      </c>
      <c r="L124" s="9"/>
      <c r="M124" s="1"/>
      <c r="N124">
        <f>IF(ISERROR(Q124),1,IF(OR(GHG_Type=2,GHG_Type=3),IF(Q138&lt;=SMIN,1,0),IF(Q124&lt;=SMIN,1,0)))</f>
        <v>1</v>
      </c>
      <c r="Q124" s="204">
        <f>'Modelo Energético'!G1162</f>
        <v>0</v>
      </c>
      <c r="S124">
        <f t="shared" si="36"/>
        <v>0</v>
      </c>
      <c r="AB124">
        <v>94000</v>
      </c>
    </row>
    <row r="125" spans="1:28" ht="12.75" hidden="1" customHeight="1">
      <c r="A125" s="12"/>
      <c r="B125" s="1"/>
      <c r="C125" s="1" t="str">
        <f>'Análise de Custos'!C223</f>
        <v>Gás Natural</v>
      </c>
      <c r="D125" s="181">
        <f t="shared" si="30"/>
        <v>0</v>
      </c>
      <c r="E125" s="172">
        <f t="shared" si="31"/>
        <v>54.46</v>
      </c>
      <c r="F125" s="984">
        <f t="shared" si="32"/>
        <v>4.0000000000000001E-3</v>
      </c>
      <c r="G125" s="173">
        <f t="shared" si="33"/>
        <v>1E-3</v>
      </c>
      <c r="H125" s="1"/>
      <c r="I125" s="182">
        <f t="shared" si="34"/>
        <v>0</v>
      </c>
      <c r="J125" s="183">
        <f t="shared" si="35"/>
        <v>0</v>
      </c>
      <c r="K125" s="976">
        <f t="shared" si="37"/>
        <v>0</v>
      </c>
      <c r="L125" s="9"/>
      <c r="M125" s="1"/>
      <c r="N125">
        <f>IF(ISERROR(Q125),1,IF(OR(GHG_Type=2,GHG_Type=3),IF(Q139&lt;=SMIN,1,0),IF(Q125&lt;=SMIN,1,0)))</f>
        <v>1</v>
      </c>
      <c r="Q125" s="204">
        <f>'Modelo Energético'!G1163</f>
        <v>0</v>
      </c>
      <c r="S125">
        <f t="shared" si="36"/>
        <v>0</v>
      </c>
      <c r="AB125">
        <v>94000</v>
      </c>
    </row>
    <row r="126" spans="1:28" ht="12.75" hidden="1" customHeight="1">
      <c r="A126" s="12"/>
      <c r="B126" s="1"/>
      <c r="C126" s="1" t="str">
        <f>'Análise de Custos'!C224</f>
        <v>Gás Natural</v>
      </c>
      <c r="D126" s="181">
        <f t="shared" si="30"/>
        <v>0</v>
      </c>
      <c r="E126" s="172">
        <f t="shared" si="31"/>
        <v>54.46</v>
      </c>
      <c r="F126" s="984">
        <f t="shared" si="32"/>
        <v>4.0000000000000001E-3</v>
      </c>
      <c r="G126" s="173">
        <f t="shared" si="33"/>
        <v>1E-3</v>
      </c>
      <c r="H126" s="1"/>
      <c r="I126" s="182">
        <f t="shared" si="34"/>
        <v>0</v>
      </c>
      <c r="J126" s="183">
        <f t="shared" si="35"/>
        <v>0</v>
      </c>
      <c r="K126" s="976">
        <f t="shared" si="37"/>
        <v>0</v>
      </c>
      <c r="L126" s="9"/>
      <c r="M126" s="1"/>
      <c r="N126">
        <f>IF(ISERROR(Q126),1,IF(OR(GHG_Type=2,GHG_Type=3),IF(Q140&lt;=SMIN,1,0),IF(Q126&lt;=SMIN,1,0)))</f>
        <v>1</v>
      </c>
      <c r="Q126" s="204">
        <f>'Modelo Energético'!G1164</f>
        <v>0</v>
      </c>
      <c r="S126">
        <f t="shared" si="36"/>
        <v>0</v>
      </c>
      <c r="AB126">
        <v>94000</v>
      </c>
    </row>
    <row r="127" spans="1:28" ht="12.75" hidden="1" customHeight="1">
      <c r="A127" s="12"/>
      <c r="B127" s="1"/>
      <c r="C127" s="1" t="str">
        <f>VLOOKUP(P127,$C$327:$H$335,6,FALSE)</f>
        <v>Solar</v>
      </c>
      <c r="D127" s="181">
        <f>IF(ISERROR(Q127),0,IF($Q$130=0,0,Q127/$Q$130))</f>
        <v>1</v>
      </c>
      <c r="E127" s="172">
        <f>VLOOKUP($P127,$C$207:$F$338,2,FALSE)</f>
        <v>0</v>
      </c>
      <c r="F127" s="984">
        <f>VLOOKUP($P127,$C$207:$F$338,3,FALSE)</f>
        <v>0</v>
      </c>
      <c r="G127" s="173">
        <f>VLOOKUP($P127,$C$207:$F$338,4,FALSE)</f>
        <v>0</v>
      </c>
      <c r="H127" s="1"/>
      <c r="I127" s="182">
        <f t="shared" si="34"/>
        <v>5.3903325633948675</v>
      </c>
      <c r="J127" s="183">
        <f t="shared" si="35"/>
        <v>0</v>
      </c>
      <c r="K127" s="976">
        <f t="shared" si="37"/>
        <v>0</v>
      </c>
      <c r="L127" s="9"/>
      <c r="M127" s="1"/>
      <c r="N127">
        <f>IF(OR(P127="",P127="Z9Z"),1,IF(OR($R$5=1,$R$5=2,$R$5=4,$R$5=5,$R$5=6,$R$5=7),VLOOKUP(P127,$C$323:$G$338,5,FALSE),1))</f>
        <v>0</v>
      </c>
      <c r="P127" t="str">
        <f>IF(ISERROR(IF(Iniciar!P3=0,IF(OR(R5=1,R5=6),'Modelo Energético'!C1109,IF(OR('Modelo Energético'!D1107="",'Modelo Energético'!D1107=0),"Z9Z",'Modelo Energético'!D1107)),IF(OR(Iniciar!Q28=10700,Iniciar!Q28=10800),'Modelo Energético'!C1109,IF(OR(Iniciar!Q28=20950,Iniciar!Q28=20750,Iniciar!Q28=20850),'Modelo Energético '!B1113,"Z9Z")))),"Z9Z",IF(Iniciar!P3=0,IF(OR(R5=1,R5=6),'Modelo Energético'!C1109,IF(OR('Modelo Energético'!D1107="",'Modelo Energético'!D1107=0),"Z9Z",'Modelo Energético'!D1107)),IF(OR(Iniciar!Q28=10700,Iniciar!Q28=10800),'Modelo Energético'!C1109,IF(OR(Iniciar!Q28=20950,Iniciar!Q28=20750,Iniciar!Q28=20850),'Modelo Energético '!B1113,"Z9Z"))))</f>
        <v>Fotovoltaica</v>
      </c>
      <c r="Q127" s="204">
        <f>IF(ISERROR(IF(OR(R5=1,R5=6),IF(P127=C331,'Modelo Energético'!G1109*3.6,0),IF(N127=0,('Modelo Energético'!G1107+'Modelo Energético'!J1107)*3.6,0))),0,IF(OR(R5=1,R5=6),IF(P127=C331,'Modelo Energético'!G1109*3.6,0),IF(N127=0,('Modelo Energético'!G1107+'Modelo Energético'!J1107)*3.6,0)))</f>
        <v>19.405197228221521</v>
      </c>
      <c r="S127">
        <f>IF(P127=$C$222,$K$46,J127)</f>
        <v>0</v>
      </c>
      <c r="AB127">
        <v>94000</v>
      </c>
    </row>
    <row r="128" spans="1:28" ht="12.75" hidden="1" customHeight="1">
      <c r="A128" s="12"/>
      <c r="B128" s="1"/>
      <c r="C128" s="1" t="e">
        <f>VLOOKUP(P128,$C$327:$H$331,6,FALSE)</f>
        <v>#N/A</v>
      </c>
      <c r="D128" s="181">
        <f>IF(ISERROR(Q128),0,IF($Q$130=0,0,Q128/$Q$130))</f>
        <v>0</v>
      </c>
      <c r="E128" s="172">
        <f>VLOOKUP($P128,$C$207:$F$338,2,FALSE)</f>
        <v>0</v>
      </c>
      <c r="F128" s="984">
        <f>VLOOKUP($P128,$C$207:$F$338,3,FALSE)</f>
        <v>0</v>
      </c>
      <c r="G128" s="173">
        <f>VLOOKUP($P128,$C$207:$F$338,4,FALSE)</f>
        <v>0</v>
      </c>
      <c r="H128" s="1"/>
      <c r="I128" s="182">
        <f t="shared" si="34"/>
        <v>0</v>
      </c>
      <c r="J128" s="183">
        <f t="shared" si="35"/>
        <v>0</v>
      </c>
      <c r="K128" s="976">
        <f t="shared" si="37"/>
        <v>0</v>
      </c>
      <c r="L128" s="9"/>
      <c r="M128" s="1"/>
      <c r="N128">
        <f>IF(OR(P128="",P128="Z9Z"),1,IF(OR($R$5=2,$R$5=4,$R$5=5,$R$5=7),VLOOKUP(P128,$C$323:$G$338,5,FALSE),1))</f>
        <v>1</v>
      </c>
      <c r="P128" t="str">
        <f>IF(OR('Modelo Energético'!D1108="",'Modelo Energético'!D1108=0),"Z9Z",'Modelo Energético'!D1108)</f>
        <v>Z9Z</v>
      </c>
      <c r="Q128" s="204">
        <f>IF(ISERROR(IF(N128=0,('Modelo Energético'!G1108+'Modelo Energético'!J1108)*3.6,0)),0,(IF(N128=0,('Modelo Energético'!G1108+'Modelo Energético'!J1108)*3.6,0)))</f>
        <v>0</v>
      </c>
      <c r="S128">
        <f>IF(P128=$C$222,$K$46,J128)</f>
        <v>0</v>
      </c>
      <c r="AB128">
        <v>94000</v>
      </c>
    </row>
    <row r="129" spans="1:28" ht="12.75" hidden="1" customHeight="1">
      <c r="A129" s="12"/>
      <c r="B129" s="1"/>
      <c r="C129" s="1"/>
      <c r="D129" s="181"/>
      <c r="E129" s="172"/>
      <c r="F129" s="984"/>
      <c r="G129" s="173"/>
      <c r="H129" s="1"/>
      <c r="I129" s="182"/>
      <c r="J129" s="183"/>
      <c r="K129" s="978"/>
      <c r="L129" s="9"/>
      <c r="M129" s="1"/>
      <c r="N129">
        <f>IF(GHG_Type=1,133,IF(GHG_Type=2,N143,N158))</f>
        <v>13</v>
      </c>
      <c r="Q129" s="204">
        <v>0</v>
      </c>
      <c r="S129">
        <f>K46</f>
        <v>0.45096774193548395</v>
      </c>
      <c r="AB129">
        <v>94000</v>
      </c>
    </row>
    <row r="130" spans="1:28" ht="13.5" hidden="1" customHeight="1">
      <c r="A130" s="12"/>
      <c r="B130" s="5"/>
      <c r="C130" s="5" t="str">
        <f>J169</f>
        <v>Total</v>
      </c>
      <c r="D130" s="187">
        <f>IF(SUM(D117:D129)=0,1,SUM(D117:D129))</f>
        <v>1</v>
      </c>
      <c r="E130" s="178">
        <f>SUMPRODUCT($D$117:$D$129*E117:E129)</f>
        <v>0</v>
      </c>
      <c r="F130" s="986">
        <f>SUMPRODUCT($D$117:$D$129*F117:F129)</f>
        <v>0</v>
      </c>
      <c r="G130" s="179">
        <f>SUMPRODUCT($D$117:$D$129*G117:G129)</f>
        <v>0</v>
      </c>
      <c r="H130" s="5"/>
      <c r="I130" s="188">
        <f t="shared" si="34"/>
        <v>5.3903325633948675</v>
      </c>
      <c r="J130" s="180">
        <f>SUMPRODUCT($D$117:$D$129*J117:J129)</f>
        <v>0</v>
      </c>
      <c r="K130" s="975">
        <f t="shared" si="37"/>
        <v>0</v>
      </c>
      <c r="L130" s="9"/>
      <c r="M130" s="1"/>
      <c r="N130" s="204">
        <f>Q130</f>
        <v>19.405197228221521</v>
      </c>
      <c r="Q130" s="204">
        <f>SUM(Q117:Q129)</f>
        <v>19.405197228221521</v>
      </c>
      <c r="S130">
        <f>SUMPRODUCT($D$117:$D$129*S117:S129)</f>
        <v>0</v>
      </c>
      <c r="AB130">
        <v>94000</v>
      </c>
    </row>
    <row r="131" spans="1:28" ht="12.75" hidden="1" customHeight="1">
      <c r="A131" s="12"/>
      <c r="B131" s="1"/>
      <c r="C131" s="1" t="str">
        <f t="shared" ref="C131:D142" si="38">C117</f>
        <v xml:space="preserve">Biomassa </v>
      </c>
      <c r="D131" s="181">
        <f>IF(C117=$C$143,0,D117)</f>
        <v>0</v>
      </c>
      <c r="E131" s="464"/>
      <c r="F131" s="985"/>
      <c r="G131" s="465"/>
      <c r="H131" s="1"/>
      <c r="I131" s="182">
        <f t="shared" si="34"/>
        <v>0</v>
      </c>
      <c r="J131" s="183">
        <f t="shared" ref="J131:J143" si="39">IF(GHG_Type=1,IF(D131=0,0,(E131+(F131*U$2)+(G131*U$3))*3.6*(1/1000)),IF(D131=0,0,(E131+(F131*$P$5)+(G131*$P$6))*3.6*(1/1000)))</f>
        <v>0</v>
      </c>
      <c r="K131" s="976">
        <f t="shared" si="37"/>
        <v>0</v>
      </c>
      <c r="L131" s="9"/>
      <c r="M131" s="1"/>
      <c r="Q131" s="204">
        <f>IF(C117=$C$143,0,Q117)</f>
        <v>0</v>
      </c>
      <c r="S131">
        <f t="shared" ref="S131:S140" si="40">IF(C131=$C$222,$K$46,J131)</f>
        <v>0</v>
      </c>
      <c r="AB131">
        <v>94000</v>
      </c>
    </row>
    <row r="132" spans="1:28" ht="12.75" hidden="1" customHeight="1">
      <c r="A132" s="12"/>
      <c r="B132" s="1"/>
      <c r="C132" s="1" t="str">
        <f t="shared" si="38"/>
        <v>Gás Natural</v>
      </c>
      <c r="D132" s="181">
        <f t="shared" ref="D132:D140" si="41">IF(C118=$C$143,0,D118)</f>
        <v>0</v>
      </c>
      <c r="E132" s="464"/>
      <c r="F132" s="985"/>
      <c r="G132" s="465"/>
      <c r="H132" s="1"/>
      <c r="I132" s="182">
        <f t="shared" si="34"/>
        <v>0</v>
      </c>
      <c r="J132" s="183">
        <f t="shared" si="39"/>
        <v>0</v>
      </c>
      <c r="K132" s="976">
        <f t="shared" si="37"/>
        <v>0</v>
      </c>
      <c r="L132" s="9"/>
      <c r="M132" s="1"/>
      <c r="Q132" s="204">
        <f t="shared" ref="Q132:Q140" si="42">IF(C118=$C$143,0,Q118)</f>
        <v>0</v>
      </c>
      <c r="S132">
        <f t="shared" si="40"/>
        <v>0</v>
      </c>
      <c r="AB132">
        <v>94000</v>
      </c>
    </row>
    <row r="133" spans="1:28" ht="12.75" hidden="1" customHeight="1">
      <c r="A133" s="12"/>
      <c r="B133" s="1"/>
      <c r="C133" s="1" t="str">
        <f t="shared" si="38"/>
        <v>Gás Natural</v>
      </c>
      <c r="D133" s="181">
        <f t="shared" si="41"/>
        <v>0</v>
      </c>
      <c r="E133" s="464"/>
      <c r="F133" s="985"/>
      <c r="G133" s="465"/>
      <c r="H133" s="1"/>
      <c r="I133" s="182">
        <f t="shared" si="34"/>
        <v>0</v>
      </c>
      <c r="J133" s="183">
        <f t="shared" si="39"/>
        <v>0</v>
      </c>
      <c r="K133" s="976">
        <f t="shared" si="37"/>
        <v>0</v>
      </c>
      <c r="L133" s="9"/>
      <c r="M133" s="1"/>
      <c r="Q133" s="204">
        <f t="shared" si="42"/>
        <v>0</v>
      </c>
      <c r="S133">
        <f t="shared" si="40"/>
        <v>0</v>
      </c>
      <c r="AB133">
        <v>94000</v>
      </c>
    </row>
    <row r="134" spans="1:28" ht="12.75" hidden="1" customHeight="1">
      <c r="A134" s="12"/>
      <c r="B134" s="1"/>
      <c r="C134" s="1" t="str">
        <f t="shared" si="38"/>
        <v>Gás Natural</v>
      </c>
      <c r="D134" s="181">
        <f t="shared" si="41"/>
        <v>0</v>
      </c>
      <c r="E134" s="464"/>
      <c r="F134" s="985"/>
      <c r="G134" s="465"/>
      <c r="H134" s="1"/>
      <c r="I134" s="182">
        <f t="shared" si="34"/>
        <v>0</v>
      </c>
      <c r="J134" s="183">
        <f t="shared" si="39"/>
        <v>0</v>
      </c>
      <c r="K134" s="976">
        <f t="shared" si="37"/>
        <v>0</v>
      </c>
      <c r="L134" s="9"/>
      <c r="M134" s="1"/>
      <c r="Q134" s="204">
        <f t="shared" si="42"/>
        <v>0</v>
      </c>
      <c r="S134">
        <f t="shared" si="40"/>
        <v>0</v>
      </c>
      <c r="AB134">
        <v>94000</v>
      </c>
    </row>
    <row r="135" spans="1:28" ht="12.75" hidden="1" customHeight="1">
      <c r="A135" s="12"/>
      <c r="B135" s="1"/>
      <c r="C135" s="1" t="str">
        <f t="shared" si="38"/>
        <v>Gás Natural</v>
      </c>
      <c r="D135" s="181">
        <f t="shared" si="41"/>
        <v>0</v>
      </c>
      <c r="E135" s="464"/>
      <c r="F135" s="985"/>
      <c r="G135" s="465"/>
      <c r="H135" s="1"/>
      <c r="I135" s="182">
        <f t="shared" si="34"/>
        <v>0</v>
      </c>
      <c r="J135" s="183">
        <f t="shared" si="39"/>
        <v>0</v>
      </c>
      <c r="K135" s="976">
        <f t="shared" si="37"/>
        <v>0</v>
      </c>
      <c r="L135" s="9"/>
      <c r="M135" s="1"/>
      <c r="Q135" s="204">
        <f t="shared" si="42"/>
        <v>0</v>
      </c>
      <c r="S135">
        <f t="shared" si="40"/>
        <v>0</v>
      </c>
      <c r="AB135">
        <v>94000</v>
      </c>
    </row>
    <row r="136" spans="1:28" ht="12.75" hidden="1" customHeight="1">
      <c r="A136" s="12"/>
      <c r="B136" s="1"/>
      <c r="C136" s="1" t="str">
        <f t="shared" si="38"/>
        <v>Gás Natural</v>
      </c>
      <c r="D136" s="181">
        <f t="shared" si="41"/>
        <v>0</v>
      </c>
      <c r="E136" s="464"/>
      <c r="F136" s="985"/>
      <c r="G136" s="465"/>
      <c r="H136" s="1"/>
      <c r="I136" s="182">
        <f t="shared" si="34"/>
        <v>0</v>
      </c>
      <c r="J136" s="183">
        <f t="shared" si="39"/>
        <v>0</v>
      </c>
      <c r="K136" s="976">
        <f t="shared" si="37"/>
        <v>0</v>
      </c>
      <c r="L136" s="9"/>
      <c r="M136" s="1"/>
      <c r="Q136" s="204">
        <f t="shared" si="42"/>
        <v>0</v>
      </c>
      <c r="S136">
        <f t="shared" si="40"/>
        <v>0</v>
      </c>
      <c r="AB136">
        <v>94000</v>
      </c>
    </row>
    <row r="137" spans="1:28" ht="12.75" hidden="1" customHeight="1">
      <c r="A137" s="12"/>
      <c r="B137" s="1"/>
      <c r="C137" s="1" t="str">
        <f t="shared" si="38"/>
        <v>Gás Natural</v>
      </c>
      <c r="D137" s="181">
        <f t="shared" si="41"/>
        <v>0</v>
      </c>
      <c r="E137" s="464"/>
      <c r="F137" s="985"/>
      <c r="G137" s="465"/>
      <c r="H137" s="1"/>
      <c r="I137" s="182">
        <f t="shared" si="34"/>
        <v>0</v>
      </c>
      <c r="J137" s="183">
        <f t="shared" si="39"/>
        <v>0</v>
      </c>
      <c r="K137" s="976">
        <f t="shared" si="37"/>
        <v>0</v>
      </c>
      <c r="L137" s="9"/>
      <c r="M137" s="1"/>
      <c r="Q137" s="204">
        <f t="shared" si="42"/>
        <v>0</v>
      </c>
      <c r="S137">
        <f t="shared" si="40"/>
        <v>0</v>
      </c>
      <c r="AB137">
        <v>94000</v>
      </c>
    </row>
    <row r="138" spans="1:28" ht="12.75" hidden="1" customHeight="1">
      <c r="A138" s="12"/>
      <c r="B138" s="1"/>
      <c r="C138" s="1" t="str">
        <f t="shared" si="38"/>
        <v>Gás Natural</v>
      </c>
      <c r="D138" s="181">
        <f t="shared" si="41"/>
        <v>0</v>
      </c>
      <c r="E138" s="464"/>
      <c r="F138" s="985"/>
      <c r="G138" s="465"/>
      <c r="H138" s="1"/>
      <c r="I138" s="182">
        <f t="shared" si="34"/>
        <v>0</v>
      </c>
      <c r="J138" s="183">
        <f t="shared" si="39"/>
        <v>0</v>
      </c>
      <c r="K138" s="976">
        <f t="shared" si="37"/>
        <v>0</v>
      </c>
      <c r="L138" s="9"/>
      <c r="M138" s="1"/>
      <c r="Q138" s="204">
        <f t="shared" si="42"/>
        <v>0</v>
      </c>
      <c r="S138">
        <f t="shared" si="40"/>
        <v>0</v>
      </c>
      <c r="AB138">
        <v>94000</v>
      </c>
    </row>
    <row r="139" spans="1:28" ht="12.75" hidden="1" customHeight="1">
      <c r="A139" s="12"/>
      <c r="B139" s="1"/>
      <c r="C139" s="1" t="str">
        <f t="shared" si="38"/>
        <v>Gás Natural</v>
      </c>
      <c r="D139" s="181">
        <f t="shared" si="41"/>
        <v>0</v>
      </c>
      <c r="E139" s="464"/>
      <c r="F139" s="985"/>
      <c r="G139" s="465"/>
      <c r="H139" s="1"/>
      <c r="I139" s="182">
        <f t="shared" si="34"/>
        <v>0</v>
      </c>
      <c r="J139" s="183">
        <f t="shared" si="39"/>
        <v>0</v>
      </c>
      <c r="K139" s="976">
        <f t="shared" si="37"/>
        <v>0</v>
      </c>
      <c r="L139" s="9"/>
      <c r="M139" s="1"/>
      <c r="Q139" s="204">
        <f t="shared" si="42"/>
        <v>0</v>
      </c>
      <c r="S139">
        <f t="shared" si="40"/>
        <v>0</v>
      </c>
      <c r="AB139">
        <v>94000</v>
      </c>
    </row>
    <row r="140" spans="1:28" ht="12.75" hidden="1" customHeight="1">
      <c r="A140" s="12"/>
      <c r="B140" s="1"/>
      <c r="C140" s="1" t="str">
        <f t="shared" si="38"/>
        <v>Gás Natural</v>
      </c>
      <c r="D140" s="181">
        <f t="shared" si="41"/>
        <v>0</v>
      </c>
      <c r="E140" s="464"/>
      <c r="F140" s="985"/>
      <c r="G140" s="465"/>
      <c r="H140" s="1"/>
      <c r="I140" s="182">
        <f t="shared" si="34"/>
        <v>0</v>
      </c>
      <c r="J140" s="183">
        <f t="shared" si="39"/>
        <v>0</v>
      </c>
      <c r="K140" s="976">
        <f t="shared" si="37"/>
        <v>0</v>
      </c>
      <c r="L140" s="9"/>
      <c r="M140" s="1"/>
      <c r="Q140" s="204">
        <f t="shared" si="42"/>
        <v>0</v>
      </c>
      <c r="S140">
        <f t="shared" si="40"/>
        <v>0</v>
      </c>
      <c r="AB140">
        <v>94000</v>
      </c>
    </row>
    <row r="141" spans="1:28" ht="12.75" hidden="1" customHeight="1">
      <c r="A141" s="12"/>
      <c r="B141" s="1"/>
      <c r="C141" s="1" t="str">
        <f>C127</f>
        <v>Solar</v>
      </c>
      <c r="D141" s="181">
        <f t="shared" si="38"/>
        <v>1</v>
      </c>
      <c r="E141" s="464"/>
      <c r="F141" s="985"/>
      <c r="G141" s="465"/>
      <c r="H141" s="1"/>
      <c r="I141" s="182">
        <f t="shared" si="34"/>
        <v>5.3903325633948675</v>
      </c>
      <c r="J141" s="183">
        <f t="shared" si="39"/>
        <v>0</v>
      </c>
      <c r="K141" s="976">
        <f t="shared" si="37"/>
        <v>0</v>
      </c>
      <c r="L141" s="9"/>
      <c r="M141" s="1"/>
      <c r="Q141" s="204">
        <f>IF(P127=$C$143,0,IF(ISERROR(Q127),0,Q127))</f>
        <v>19.405197228221521</v>
      </c>
      <c r="S141">
        <f>IF(P127=$C$222,$K$46,J141)</f>
        <v>0</v>
      </c>
      <c r="AB141">
        <v>94000</v>
      </c>
    </row>
    <row r="142" spans="1:28" ht="12.75" hidden="1" customHeight="1">
      <c r="A142" s="12"/>
      <c r="B142" s="1"/>
      <c r="C142" s="1" t="e">
        <f>C128</f>
        <v>#N/A</v>
      </c>
      <c r="D142" s="181">
        <f t="shared" si="38"/>
        <v>0</v>
      </c>
      <c r="E142" s="464"/>
      <c r="F142" s="985"/>
      <c r="G142" s="465"/>
      <c r="H142" s="1"/>
      <c r="I142" s="182">
        <f>IF($I$116=$X$207,1,1/3.6)*Q142</f>
        <v>0</v>
      </c>
      <c r="J142" s="183">
        <f t="shared" si="39"/>
        <v>0</v>
      </c>
      <c r="K142" s="976">
        <f>J142*Q142/3.6</f>
        <v>0</v>
      </c>
      <c r="L142" s="9"/>
      <c r="M142" s="1"/>
      <c r="Q142" s="204">
        <f>IF(P128=$C$143,0,IF(ISERROR(Q128),0,Q128))</f>
        <v>0</v>
      </c>
      <c r="S142">
        <f>IF(P128=$C$222,$K$46,J142)</f>
        <v>0</v>
      </c>
    </row>
    <row r="143" spans="1:28" ht="12.75" hidden="1" customHeight="1">
      <c r="A143" s="12"/>
      <c r="B143" s="1"/>
      <c r="C143" s="1" t="str">
        <f>C222</f>
        <v>Eletricidade</v>
      </c>
      <c r="D143" s="181">
        <f>SUMIF(C117:C126,C143,D117:D126)</f>
        <v>0</v>
      </c>
      <c r="E143" s="172">
        <f>E25</f>
        <v>0</v>
      </c>
      <c r="F143" s="984">
        <f>F25</f>
        <v>0</v>
      </c>
      <c r="G143" s="173">
        <f>G25</f>
        <v>0</v>
      </c>
      <c r="H143" s="1"/>
      <c r="I143" s="182">
        <f t="shared" si="34"/>
        <v>0</v>
      </c>
      <c r="J143" s="183">
        <f t="shared" si="39"/>
        <v>0</v>
      </c>
      <c r="K143" s="976">
        <f t="shared" si="37"/>
        <v>0</v>
      </c>
      <c r="L143" s="9"/>
      <c r="M143" s="1"/>
      <c r="N143">
        <f>IF(ISERROR(Q143),13,IF(Q143=0,13,0))</f>
        <v>13</v>
      </c>
      <c r="Q143" s="204">
        <f>SUMIF(C117:C126,C143,Q117:Q126)</f>
        <v>0</v>
      </c>
      <c r="S143">
        <f>IF(C143=$C$222,$K$46,J143)</f>
        <v>0.45096774193548395</v>
      </c>
      <c r="AB143">
        <v>94000</v>
      </c>
    </row>
    <row r="144" spans="1:28" ht="12.75" hidden="1" customHeight="1">
      <c r="A144" s="12"/>
      <c r="B144" s="15"/>
      <c r="C144" s="15"/>
      <c r="D144" s="185"/>
      <c r="E144" s="174"/>
      <c r="F144" s="987"/>
      <c r="G144" s="175"/>
      <c r="H144" s="15"/>
      <c r="I144" s="186"/>
      <c r="J144" s="176"/>
      <c r="K144" s="747"/>
      <c r="L144" s="9"/>
      <c r="M144" s="1"/>
      <c r="Q144" s="204">
        <f>Q129</f>
        <v>0</v>
      </c>
      <c r="S144">
        <f>K46</f>
        <v>0.45096774193548395</v>
      </c>
      <c r="AB144">
        <v>94000</v>
      </c>
    </row>
    <row r="145" spans="1:28" ht="13.5" hidden="1" customHeight="1">
      <c r="A145" s="12"/>
      <c r="B145" s="5"/>
      <c r="C145" s="5" t="str">
        <f>J169</f>
        <v>Total</v>
      </c>
      <c r="D145" s="187">
        <f>IF(SUM(D131:D144)=0,1,SUM(D131:D144))</f>
        <v>1</v>
      </c>
      <c r="E145" s="178">
        <f>SUMPRODUCT(D131:D144*E131:E144)</f>
        <v>0</v>
      </c>
      <c r="F145" s="986">
        <f>SUMPRODUCT(D131:D144*F131:F144)</f>
        <v>0</v>
      </c>
      <c r="G145" s="179">
        <f>SUMPRODUCT(D131:D144*G131:G144)</f>
        <v>0</v>
      </c>
      <c r="H145" s="5"/>
      <c r="I145" s="188">
        <f t="shared" si="34"/>
        <v>5.3903325633948675</v>
      </c>
      <c r="J145" s="180">
        <f>SUMPRODUCT($D$131:$D$144*J131:J144)</f>
        <v>0</v>
      </c>
      <c r="K145" s="975">
        <f t="shared" si="37"/>
        <v>0</v>
      </c>
      <c r="L145" s="9"/>
      <c r="M145" s="1"/>
      <c r="Q145" s="204">
        <f>SUM(Q131:Q144)</f>
        <v>19.405197228221521</v>
      </c>
      <c r="S145">
        <f>SUMPRODUCT($D$131:$D$144*S131:S144)</f>
        <v>0</v>
      </c>
      <c r="AB145">
        <v>94000</v>
      </c>
    </row>
    <row r="146" spans="1:28" ht="12.75" hidden="1" customHeight="1">
      <c r="A146" s="12"/>
      <c r="B146" s="1"/>
      <c r="C146" s="1" t="str">
        <f t="shared" ref="C146:C157" si="43">C117</f>
        <v xml:space="preserve">Biomassa </v>
      </c>
      <c r="D146" s="181">
        <f>D131</f>
        <v>0</v>
      </c>
      <c r="E146" s="172"/>
      <c r="F146" s="984"/>
      <c r="G146" s="173"/>
      <c r="H146" s="1"/>
      <c r="I146" s="182">
        <f t="shared" si="34"/>
        <v>0</v>
      </c>
      <c r="J146" s="183">
        <f>J117</f>
        <v>0</v>
      </c>
      <c r="K146" s="976">
        <f t="shared" si="37"/>
        <v>0</v>
      </c>
      <c r="L146" s="9"/>
      <c r="M146" s="1"/>
      <c r="Q146" s="204">
        <f t="shared" ref="Q146:Q159" si="44">Q131</f>
        <v>0</v>
      </c>
      <c r="S146">
        <f t="shared" ref="S146:S155" si="45">IF(C146=$C$222,$K$46,J146)</f>
        <v>0</v>
      </c>
      <c r="AB146">
        <v>94000</v>
      </c>
    </row>
    <row r="147" spans="1:28" ht="12.75" hidden="1" customHeight="1">
      <c r="A147" s="12"/>
      <c r="B147" s="1"/>
      <c r="C147" s="1" t="str">
        <f t="shared" si="43"/>
        <v>Gás Natural</v>
      </c>
      <c r="D147" s="181">
        <f t="shared" ref="D147:D157" si="46">D132</f>
        <v>0</v>
      </c>
      <c r="E147" s="172"/>
      <c r="F147" s="984"/>
      <c r="G147" s="173"/>
      <c r="H147" s="1"/>
      <c r="I147" s="182">
        <f t="shared" si="34"/>
        <v>0</v>
      </c>
      <c r="J147" s="183">
        <f t="shared" ref="J147:J157" si="47">J118</f>
        <v>0</v>
      </c>
      <c r="K147" s="976">
        <f t="shared" si="37"/>
        <v>0</v>
      </c>
      <c r="L147" s="9"/>
      <c r="M147" s="1"/>
      <c r="Q147" s="204">
        <f t="shared" si="44"/>
        <v>0</v>
      </c>
      <c r="S147">
        <f t="shared" si="45"/>
        <v>0</v>
      </c>
      <c r="AB147">
        <v>94000</v>
      </c>
    </row>
    <row r="148" spans="1:28" ht="13.2" hidden="1">
      <c r="A148" s="12"/>
      <c r="B148" s="1"/>
      <c r="C148" s="1" t="str">
        <f t="shared" si="43"/>
        <v>Gás Natural</v>
      </c>
      <c r="D148" s="181">
        <f t="shared" si="46"/>
        <v>0</v>
      </c>
      <c r="E148" s="172"/>
      <c r="F148" s="984"/>
      <c r="G148" s="173"/>
      <c r="H148" s="1"/>
      <c r="I148" s="182">
        <f t="shared" si="34"/>
        <v>0</v>
      </c>
      <c r="J148" s="183">
        <f t="shared" si="47"/>
        <v>0</v>
      </c>
      <c r="K148" s="976">
        <f t="shared" si="37"/>
        <v>0</v>
      </c>
      <c r="L148" s="9"/>
      <c r="M148" s="1"/>
      <c r="Q148" s="204">
        <f t="shared" si="44"/>
        <v>0</v>
      </c>
      <c r="S148">
        <f t="shared" si="45"/>
        <v>0</v>
      </c>
      <c r="AB148">
        <v>94000</v>
      </c>
    </row>
    <row r="149" spans="1:28" ht="12.75" hidden="1" customHeight="1">
      <c r="A149" s="12"/>
      <c r="B149" s="1"/>
      <c r="C149" s="1" t="str">
        <f t="shared" si="43"/>
        <v>Gás Natural</v>
      </c>
      <c r="D149" s="181">
        <f t="shared" si="46"/>
        <v>0</v>
      </c>
      <c r="E149" s="172"/>
      <c r="F149" s="984"/>
      <c r="G149" s="173"/>
      <c r="H149" s="1"/>
      <c r="I149" s="182">
        <f t="shared" si="34"/>
        <v>0</v>
      </c>
      <c r="J149" s="183">
        <f t="shared" si="47"/>
        <v>0</v>
      </c>
      <c r="K149" s="976">
        <f t="shared" si="37"/>
        <v>0</v>
      </c>
      <c r="L149" s="9"/>
      <c r="M149" s="1"/>
      <c r="Q149" s="204">
        <f t="shared" si="44"/>
        <v>0</v>
      </c>
      <c r="S149">
        <f t="shared" si="45"/>
        <v>0</v>
      </c>
      <c r="AB149">
        <v>94000</v>
      </c>
    </row>
    <row r="150" spans="1:28" ht="12.75" hidden="1" customHeight="1">
      <c r="A150" s="12"/>
      <c r="B150" s="1"/>
      <c r="C150" s="1" t="str">
        <f t="shared" si="43"/>
        <v>Gás Natural</v>
      </c>
      <c r="D150" s="181">
        <f t="shared" si="46"/>
        <v>0</v>
      </c>
      <c r="E150" s="172"/>
      <c r="F150" s="984"/>
      <c r="G150" s="173"/>
      <c r="H150" s="1"/>
      <c r="I150" s="182">
        <f t="shared" si="34"/>
        <v>0</v>
      </c>
      <c r="J150" s="183">
        <f t="shared" si="47"/>
        <v>0</v>
      </c>
      <c r="K150" s="976">
        <f t="shared" si="37"/>
        <v>0</v>
      </c>
      <c r="L150" s="9"/>
      <c r="M150" s="1"/>
      <c r="Q150" s="204">
        <f t="shared" si="44"/>
        <v>0</v>
      </c>
      <c r="S150">
        <f t="shared" si="45"/>
        <v>0</v>
      </c>
      <c r="AB150">
        <v>94000</v>
      </c>
    </row>
    <row r="151" spans="1:28" ht="13.2" hidden="1">
      <c r="A151" s="12"/>
      <c r="B151" s="1"/>
      <c r="C151" s="1" t="str">
        <f t="shared" si="43"/>
        <v>Gás Natural</v>
      </c>
      <c r="D151" s="181">
        <f t="shared" si="46"/>
        <v>0</v>
      </c>
      <c r="E151" s="172"/>
      <c r="F151" s="984"/>
      <c r="G151" s="173"/>
      <c r="H151" s="1"/>
      <c r="I151" s="182">
        <f t="shared" si="34"/>
        <v>0</v>
      </c>
      <c r="J151" s="183">
        <f t="shared" si="47"/>
        <v>0</v>
      </c>
      <c r="K151" s="976">
        <f t="shared" si="37"/>
        <v>0</v>
      </c>
      <c r="L151" s="9"/>
      <c r="M151" s="1"/>
      <c r="Q151" s="204">
        <f t="shared" si="44"/>
        <v>0</v>
      </c>
      <c r="S151">
        <f t="shared" si="45"/>
        <v>0</v>
      </c>
      <c r="AB151">
        <v>94000</v>
      </c>
    </row>
    <row r="152" spans="1:28" ht="12.75" hidden="1" customHeight="1">
      <c r="A152" s="12"/>
      <c r="B152" s="1"/>
      <c r="C152" s="1" t="str">
        <f t="shared" si="43"/>
        <v>Gás Natural</v>
      </c>
      <c r="D152" s="181">
        <f t="shared" si="46"/>
        <v>0</v>
      </c>
      <c r="E152" s="172"/>
      <c r="F152" s="984"/>
      <c r="G152" s="173"/>
      <c r="H152" s="1"/>
      <c r="I152" s="182">
        <f t="shared" si="34"/>
        <v>0</v>
      </c>
      <c r="J152" s="183">
        <f t="shared" si="47"/>
        <v>0</v>
      </c>
      <c r="K152" s="976">
        <f t="shared" si="37"/>
        <v>0</v>
      </c>
      <c r="L152" s="9"/>
      <c r="M152" s="1"/>
      <c r="Q152" s="204">
        <f t="shared" si="44"/>
        <v>0</v>
      </c>
      <c r="S152">
        <f t="shared" si="45"/>
        <v>0</v>
      </c>
      <c r="AB152">
        <v>94000</v>
      </c>
    </row>
    <row r="153" spans="1:28" ht="12.75" hidden="1" customHeight="1">
      <c r="A153" s="12"/>
      <c r="B153" s="1"/>
      <c r="C153" s="1" t="str">
        <f t="shared" si="43"/>
        <v>Gás Natural</v>
      </c>
      <c r="D153" s="181">
        <f t="shared" si="46"/>
        <v>0</v>
      </c>
      <c r="E153" s="172"/>
      <c r="F153" s="984"/>
      <c r="G153" s="173"/>
      <c r="H153" s="1"/>
      <c r="I153" s="182">
        <f t="shared" si="34"/>
        <v>0</v>
      </c>
      <c r="J153" s="183">
        <f t="shared" si="47"/>
        <v>0</v>
      </c>
      <c r="K153" s="976">
        <f t="shared" si="37"/>
        <v>0</v>
      </c>
      <c r="L153" s="9"/>
      <c r="M153" s="1"/>
      <c r="Q153" s="204">
        <f t="shared" si="44"/>
        <v>0</v>
      </c>
      <c r="S153">
        <f t="shared" si="45"/>
        <v>0</v>
      </c>
      <c r="AB153">
        <v>94000</v>
      </c>
    </row>
    <row r="154" spans="1:28" ht="12.75" hidden="1" customHeight="1">
      <c r="A154" s="12"/>
      <c r="B154" s="1"/>
      <c r="C154" s="1" t="str">
        <f t="shared" si="43"/>
        <v>Gás Natural</v>
      </c>
      <c r="D154" s="181">
        <f t="shared" si="46"/>
        <v>0</v>
      </c>
      <c r="E154" s="172"/>
      <c r="F154" s="984"/>
      <c r="G154" s="173"/>
      <c r="H154" s="1"/>
      <c r="I154" s="182">
        <f t="shared" si="34"/>
        <v>0</v>
      </c>
      <c r="J154" s="183">
        <f t="shared" si="47"/>
        <v>0</v>
      </c>
      <c r="K154" s="976">
        <f t="shared" si="37"/>
        <v>0</v>
      </c>
      <c r="L154" s="9"/>
      <c r="M154" s="1"/>
      <c r="Q154" s="204">
        <f t="shared" si="44"/>
        <v>0</v>
      </c>
      <c r="S154">
        <f t="shared" si="45"/>
        <v>0</v>
      </c>
      <c r="AB154">
        <v>94000</v>
      </c>
    </row>
    <row r="155" spans="1:28" ht="12.75" hidden="1" customHeight="1">
      <c r="A155" s="12"/>
      <c r="B155" s="1"/>
      <c r="C155" s="1" t="str">
        <f t="shared" si="43"/>
        <v>Gás Natural</v>
      </c>
      <c r="D155" s="181">
        <f t="shared" si="46"/>
        <v>0</v>
      </c>
      <c r="E155" s="172"/>
      <c r="F155" s="984"/>
      <c r="G155" s="173"/>
      <c r="H155" s="1"/>
      <c r="I155" s="182">
        <f t="shared" si="34"/>
        <v>0</v>
      </c>
      <c r="J155" s="183">
        <f t="shared" si="47"/>
        <v>0</v>
      </c>
      <c r="K155" s="976">
        <f t="shared" si="37"/>
        <v>0</v>
      </c>
      <c r="L155" s="9"/>
      <c r="M155" s="1"/>
      <c r="Q155" s="204">
        <f t="shared" si="44"/>
        <v>0</v>
      </c>
      <c r="S155">
        <f t="shared" si="45"/>
        <v>0</v>
      </c>
      <c r="AB155">
        <v>94000</v>
      </c>
    </row>
    <row r="156" spans="1:28" ht="13.2">
      <c r="A156" s="12"/>
      <c r="B156" s="1"/>
      <c r="C156" s="1" t="str">
        <f t="shared" si="43"/>
        <v>Solar</v>
      </c>
      <c r="D156" s="181">
        <f t="shared" si="46"/>
        <v>1</v>
      </c>
      <c r="E156" s="172"/>
      <c r="F156" s="984"/>
      <c r="G156" s="173"/>
      <c r="H156" s="1"/>
      <c r="I156" s="182">
        <f t="shared" si="34"/>
        <v>5.3903325633948675</v>
      </c>
      <c r="J156" s="183">
        <f t="shared" si="47"/>
        <v>0</v>
      </c>
      <c r="K156" s="976">
        <f t="shared" si="37"/>
        <v>0</v>
      </c>
      <c r="L156" s="9"/>
      <c r="M156" s="1"/>
      <c r="Q156" s="204">
        <f t="shared" si="44"/>
        <v>19.405197228221521</v>
      </c>
      <c r="S156">
        <f>IF(P127=$C$222,$K$46,J156)</f>
        <v>0</v>
      </c>
      <c r="AB156">
        <v>94000</v>
      </c>
    </row>
    <row r="157" spans="1:28" ht="13.5" hidden="1" customHeight="1">
      <c r="A157" s="12"/>
      <c r="B157" s="1"/>
      <c r="C157" s="1" t="e">
        <f t="shared" si="43"/>
        <v>#N/A</v>
      </c>
      <c r="D157" s="181">
        <f t="shared" si="46"/>
        <v>0</v>
      </c>
      <c r="E157" s="172"/>
      <c r="F157" s="984"/>
      <c r="G157" s="173"/>
      <c r="H157" s="1"/>
      <c r="I157" s="182">
        <f>IF($I$116=$X$207,1,1/3.6)*Q157</f>
        <v>0</v>
      </c>
      <c r="J157" s="183">
        <f t="shared" si="47"/>
        <v>0</v>
      </c>
      <c r="K157" s="976">
        <f>J157*Q157/3.6</f>
        <v>0</v>
      </c>
      <c r="L157" s="9"/>
      <c r="M157" s="1"/>
      <c r="Q157" s="204">
        <f t="shared" si="44"/>
        <v>0</v>
      </c>
      <c r="S157">
        <f>IF(P128=$C$222,$K$46,J157)</f>
        <v>0</v>
      </c>
    </row>
    <row r="158" spans="1:28" ht="13.5" hidden="1" customHeight="1">
      <c r="A158" s="12"/>
      <c r="B158" s="1"/>
      <c r="C158" s="1" t="str">
        <f>C222</f>
        <v>Eletricidade</v>
      </c>
      <c r="D158" s="181">
        <f>D143</f>
        <v>0</v>
      </c>
      <c r="E158" s="172"/>
      <c r="F158" s="984"/>
      <c r="G158" s="173"/>
      <c r="H158" s="1"/>
      <c r="I158" s="182">
        <f t="shared" si="34"/>
        <v>0</v>
      </c>
      <c r="J158" s="183">
        <f>IF(AND(GHG_EnergyModelUse=0,T5=5),H42,H43)</f>
        <v>0.45096774193548395</v>
      </c>
      <c r="K158" s="976">
        <f t="shared" si="37"/>
        <v>0</v>
      </c>
      <c r="L158" s="9"/>
      <c r="M158" s="1"/>
      <c r="N158">
        <f>IF(ISERROR(Q158),13,IF(Q158=0,13,0))</f>
        <v>13</v>
      </c>
      <c r="Q158" s="204">
        <f t="shared" si="44"/>
        <v>0</v>
      </c>
      <c r="S158">
        <f>IF(C158=$C$222,$K$46,J158)</f>
        <v>0.45096774193548395</v>
      </c>
      <c r="AB158">
        <v>94000</v>
      </c>
    </row>
    <row r="159" spans="1:28" ht="13.5" hidden="1" customHeight="1">
      <c r="A159" s="12"/>
      <c r="B159" s="15"/>
      <c r="C159" s="15"/>
      <c r="D159" s="185"/>
      <c r="E159" s="174"/>
      <c r="F159" s="987"/>
      <c r="G159" s="175"/>
      <c r="H159" s="15"/>
      <c r="I159" s="186"/>
      <c r="J159" s="176"/>
      <c r="K159" s="747"/>
      <c r="L159" s="9"/>
      <c r="M159" s="1"/>
      <c r="Q159" s="204">
        <f t="shared" si="44"/>
        <v>0</v>
      </c>
      <c r="S159">
        <f>K46</f>
        <v>0.45096774193548395</v>
      </c>
      <c r="AB159">
        <v>94000</v>
      </c>
    </row>
    <row r="160" spans="1:28" ht="13.2">
      <c r="A160" s="12"/>
      <c r="B160" s="5"/>
      <c r="C160" s="5" t="str">
        <f>J169</f>
        <v>Total</v>
      </c>
      <c r="D160" s="187">
        <f>IF(SUM(D146:D159)=0,1,SUM(D146:D159))</f>
        <v>1</v>
      </c>
      <c r="E160" s="178"/>
      <c r="F160" s="986"/>
      <c r="G160" s="179"/>
      <c r="H160" s="5"/>
      <c r="I160" s="188">
        <f t="shared" si="34"/>
        <v>5.3903325633948675</v>
      </c>
      <c r="J160" s="180">
        <f>SUMPRODUCT($D$146:$D$159*J146:J159)</f>
        <v>0</v>
      </c>
      <c r="K160" s="975">
        <f t="shared" si="37"/>
        <v>0</v>
      </c>
      <c r="L160" s="9"/>
      <c r="M160" s="1"/>
      <c r="Q160" s="204">
        <f>SUM(Q146:Q159)</f>
        <v>19.405197228221521</v>
      </c>
      <c r="S160">
        <f>SUMPRODUCT($D$146:$D$159*S146:S159)</f>
        <v>0</v>
      </c>
      <c r="AB160">
        <v>94000</v>
      </c>
    </row>
    <row r="161" spans="1:28" ht="12.75" hidden="1" customHeight="1">
      <c r="A161" s="12"/>
      <c r="B161" s="1"/>
      <c r="C161" s="1"/>
      <c r="D161" s="1"/>
      <c r="E161" s="1"/>
      <c r="F161" s="1"/>
      <c r="G161" s="1"/>
      <c r="H161" s="1"/>
      <c r="I161" s="1"/>
      <c r="J161" s="1"/>
      <c r="K161" s="1"/>
      <c r="L161" s="9"/>
      <c r="M161" s="1"/>
      <c r="AB161">
        <v>94000</v>
      </c>
    </row>
    <row r="162" spans="1:28" ht="38.25" hidden="1" customHeight="1">
      <c r="A162" s="12"/>
      <c r="B162" s="1"/>
      <c r="C162" s="1"/>
      <c r="D162" s="1"/>
      <c r="E162" s="82" t="str">
        <f>Language!C591</f>
        <v>Fator de
emissão de CO2</v>
      </c>
      <c r="F162" s="82" t="str">
        <f>Language!C592</f>
        <v>Fator de
emissão de CH4</v>
      </c>
      <c r="G162" s="82" t="str">
        <f>Language!C593</f>
        <v>Fator de
emissão de N2O</v>
      </c>
      <c r="H162" s="1"/>
      <c r="I162" s="82" t="str">
        <f>I88</f>
        <v>Potencial
de biogás</v>
      </c>
      <c r="J162" s="82" t="str">
        <f>J115</f>
        <v>Fator de emissão
de GEE</v>
      </c>
      <c r="K162" s="1"/>
      <c r="L162" s="9"/>
      <c r="M162" s="1"/>
      <c r="AB162">
        <v>94000</v>
      </c>
    </row>
    <row r="163" spans="1:28" ht="12.75" hidden="1" customHeight="1">
      <c r="A163" s="12"/>
      <c r="B163" s="1"/>
      <c r="C163" s="1"/>
      <c r="D163" s="1"/>
      <c r="E163" s="128" t="str">
        <f>$E$13</f>
        <v>kg/GJ</v>
      </c>
      <c r="F163" s="128" t="str">
        <f>$E$13</f>
        <v>kg/GJ</v>
      </c>
      <c r="G163" s="128" t="str">
        <f>$E$13</f>
        <v>kg/GJ</v>
      </c>
      <c r="H163" s="11"/>
      <c r="I163" s="313" t="s">
        <v>5865</v>
      </c>
      <c r="J163" s="313" t="s">
        <v>4285</v>
      </c>
      <c r="K163" s="1"/>
      <c r="L163" s="9"/>
      <c r="M163" s="1"/>
      <c r="Q163" t="s">
        <v>5183</v>
      </c>
      <c r="AB163">
        <v>94000</v>
      </c>
    </row>
    <row r="164" spans="1:28" ht="12.75" hidden="1" customHeight="1">
      <c r="A164" s="12"/>
      <c r="B164" s="1"/>
      <c r="C164" s="1" t="str">
        <f>$C$90</f>
        <v>Biogás queimado</v>
      </c>
      <c r="D164" s="1"/>
      <c r="E164" s="178">
        <f>D255</f>
        <v>0</v>
      </c>
      <c r="F164" s="189">
        <f>E255</f>
        <v>0</v>
      </c>
      <c r="G164" s="189">
        <f>F255</f>
        <v>0</v>
      </c>
      <c r="H164" s="5"/>
      <c r="I164" s="188">
        <f>IF($I$163=$X$207,1,1/3.6)*Q164</f>
        <v>0</v>
      </c>
      <c r="J164" s="180">
        <f>IF(GHG_Type=1,IF(GHG_LFG=0,0,(E164+(F164*U$2)+(G164*U$3))*3.6*(1/1000)),IF(GHG_LFG=0,0,(E164+(F164*$P$5)+(G164*$P$6))*3.6*(1/1000)))</f>
        <v>0</v>
      </c>
      <c r="K164" s="976">
        <f>J164*Q164/3.6*O90</f>
        <v>0</v>
      </c>
      <c r="L164" s="9"/>
      <c r="M164" s="1"/>
      <c r="N164">
        <f>IF(ISERROR(GHG_LFG),29,IF(GHG_LFG=0,29,0))</f>
        <v>29</v>
      </c>
      <c r="Q164">
        <f>IF(ISERROR(Ferramentas!$N$420),0,Ferramentas!$N$420)</f>
        <v>0</v>
      </c>
      <c r="AB164">
        <v>94000</v>
      </c>
    </row>
    <row r="165" spans="1:28" ht="12.75" hidden="1" customHeight="1">
      <c r="A165" s="12"/>
      <c r="B165" s="1"/>
      <c r="C165" s="1" t="str">
        <f>$C$90</f>
        <v>Biogás queimado</v>
      </c>
      <c r="D165" s="1"/>
      <c r="E165" s="464"/>
      <c r="F165" s="456"/>
      <c r="G165" s="456"/>
      <c r="H165" s="1"/>
      <c r="I165" s="182">
        <f>IF($I$163=$X$207,1,1/3.6)*Q165</f>
        <v>0</v>
      </c>
      <c r="J165" s="183">
        <f>IF(GHG_Type=1,IF(GHG_LFG=0,0,(E165+(F165*U$2)+(G165*U$3))*3.6*(1/1000)),IF(GHG_LFG=0,0,(E165+(F165*$P$5)+(G165*$P$6))*3.6*(1/1000)))</f>
        <v>0</v>
      </c>
      <c r="K165" s="976">
        <f>J165*Q165/3.6*O90</f>
        <v>0</v>
      </c>
      <c r="L165" s="9"/>
      <c r="M165" s="1"/>
      <c r="Q165">
        <f>Q164</f>
        <v>0</v>
      </c>
      <c r="AB165">
        <v>94000</v>
      </c>
    </row>
    <row r="166" spans="1:28" ht="12.75" hidden="1" customHeight="1">
      <c r="A166" s="12"/>
      <c r="B166" s="1"/>
      <c r="C166" s="1" t="str">
        <f>$C$90</f>
        <v>Biogás queimado</v>
      </c>
      <c r="D166" s="1"/>
      <c r="E166" s="1"/>
      <c r="F166" s="1"/>
      <c r="G166" s="1"/>
      <c r="H166" s="1"/>
      <c r="I166" s="182">
        <f>IF($I$163=$X$207,1,1/3.6)*Q166</f>
        <v>0</v>
      </c>
      <c r="J166" s="183">
        <f>J164</f>
        <v>0</v>
      </c>
      <c r="K166" s="976">
        <f>J166*Q166/3.6*O90</f>
        <v>0</v>
      </c>
      <c r="L166" s="9"/>
      <c r="M166" s="1"/>
      <c r="Q166">
        <f>Q164</f>
        <v>0</v>
      </c>
      <c r="AB166">
        <v>94000</v>
      </c>
    </row>
    <row r="167" spans="1:28" ht="13.2">
      <c r="A167" s="12"/>
      <c r="B167" s="1"/>
      <c r="C167" s="1"/>
      <c r="D167" s="1"/>
      <c r="E167" s="1"/>
      <c r="F167" s="1264" t="str">
        <f>Language!C611</f>
        <v>Perdas T&amp;D</v>
      </c>
      <c r="G167" s="1264"/>
      <c r="H167" s="1264"/>
      <c r="I167" s="1"/>
      <c r="J167" s="190" t="str">
        <f>J169</f>
        <v>Total</v>
      </c>
      <c r="K167" s="975">
        <f>K169</f>
        <v>0</v>
      </c>
      <c r="L167" s="9"/>
      <c r="M167" s="1"/>
      <c r="AB167">
        <v>94000</v>
      </c>
    </row>
    <row r="168" spans="1:28" ht="13.2">
      <c r="A168" s="12"/>
      <c r="B168" s="1"/>
      <c r="C168" s="1" t="str">
        <f>Language!C206</f>
        <v>Eletricidade exportada p/ rede</v>
      </c>
      <c r="D168" s="29" t="str">
        <f>Language!C1396</f>
        <v>MWh</v>
      </c>
      <c r="E168" s="30">
        <f>'Análise Financeira'!D33</f>
        <v>5.3903325633948667</v>
      </c>
      <c r="F168" s="1"/>
      <c r="G168" s="422"/>
      <c r="H168" s="1"/>
      <c r="I168" s="182">
        <f>IF($I$116=$X$207,1,1/3.6)*Q168</f>
        <v>0</v>
      </c>
      <c r="J168" s="183">
        <f>Q46</f>
        <v>0.45096774193548395</v>
      </c>
      <c r="K168" s="974">
        <f>E168*O168*J168</f>
        <v>0</v>
      </c>
      <c r="L168" s="9"/>
      <c r="M168" s="1"/>
      <c r="N168">
        <f>IF(ISERROR(E168),17,IF(E168&lt;0.00001,17,0))</f>
        <v>0</v>
      </c>
      <c r="O168">
        <f>IF(Set_Level=1,IF(Iniciar!P4=0,'Modelo Energético'!F973,'Modelo Energético '!F960),'Análise de Emissões'!G168)</f>
        <v>0</v>
      </c>
      <c r="Q168">
        <f>O168*E168*3.6</f>
        <v>0</v>
      </c>
      <c r="AB168">
        <v>94000</v>
      </c>
    </row>
    <row r="169" spans="1:28" ht="13.2">
      <c r="A169" s="12"/>
      <c r="B169" s="1"/>
      <c r="C169" s="1"/>
      <c r="D169" s="1"/>
      <c r="E169" s="1"/>
      <c r="F169" s="1"/>
      <c r="G169" s="1"/>
      <c r="H169" s="1"/>
      <c r="I169" s="1"/>
      <c r="J169" s="79" t="str">
        <f>Language!C233</f>
        <v>Total</v>
      </c>
      <c r="K169" s="976">
        <f>IF(GHG_Type=1,K130+K164,IF(GHG_Type=2,K145+K165,K160+K166))+K168</f>
        <v>0</v>
      </c>
      <c r="L169" s="9"/>
      <c r="M169" s="1"/>
      <c r="AB169">
        <v>94000</v>
      </c>
    </row>
    <row r="170" spans="1:28" ht="13.2">
      <c r="A170" s="12"/>
      <c r="B170" s="1"/>
      <c r="C170" s="1"/>
      <c r="D170" s="1"/>
      <c r="E170" s="1"/>
      <c r="F170" s="1"/>
      <c r="G170" s="1"/>
      <c r="H170" s="1"/>
      <c r="I170" s="1"/>
      <c r="J170" s="79"/>
      <c r="K170" s="182"/>
      <c r="L170" s="9"/>
      <c r="M170" s="1"/>
      <c r="AB170">
        <v>94000</v>
      </c>
    </row>
    <row r="171" spans="1:28" ht="38.25" hidden="1" customHeight="1">
      <c r="A171" s="12"/>
      <c r="B171" s="1"/>
      <c r="C171" s="1"/>
      <c r="D171" s="1"/>
      <c r="E171" s="1"/>
      <c r="F171" s="1"/>
      <c r="G171" s="1"/>
      <c r="H171" s="45"/>
      <c r="I171" s="82" t="str">
        <f>I98</f>
        <v>Perda anual do refrigerante</v>
      </c>
      <c r="J171" s="82" t="str">
        <f>J98</f>
        <v>Potencial de aquecimento global</v>
      </c>
      <c r="K171" s="182"/>
      <c r="L171" s="9"/>
      <c r="M171" s="1"/>
      <c r="N171">
        <f>$N$172</f>
        <v>0</v>
      </c>
      <c r="AB171">
        <v>94000</v>
      </c>
    </row>
    <row r="172" spans="1:28" ht="13.2" hidden="1">
      <c r="A172" s="12"/>
      <c r="B172" s="1"/>
      <c r="C172" s="1"/>
      <c r="D172" s="1"/>
      <c r="E172" s="1"/>
      <c r="F172" s="1"/>
      <c r="G172" s="1"/>
      <c r="H172" s="128" t="str">
        <f>H99</f>
        <v>Refrigerante</v>
      </c>
      <c r="I172" s="128" t="str">
        <f>I99</f>
        <v>kg</v>
      </c>
      <c r="J172" s="423" t="s">
        <v>102</v>
      </c>
      <c r="K172" s="182"/>
      <c r="L172" s="9"/>
      <c r="M172" s="1"/>
      <c r="N172">
        <f>N99</f>
        <v>0</v>
      </c>
      <c r="AB172">
        <v>94000</v>
      </c>
    </row>
    <row r="173" spans="1:28" ht="13.2" hidden="1">
      <c r="A173" s="12"/>
      <c r="B173" s="1"/>
      <c r="C173" s="1" t="str">
        <f>$C$100</f>
        <v/>
      </c>
      <c r="D173" s="1"/>
      <c r="E173" s="1"/>
      <c r="F173" s="1"/>
      <c r="G173" s="1"/>
      <c r="H173" s="29">
        <f>EET!AE22</f>
        <v>0</v>
      </c>
      <c r="I173" s="29">
        <f>EET!AH22*'Modelo Energético '!M47*IF('Modelo Energético '!Q47=TRUE,1,0)*IF($R$5=8,1,0)</f>
        <v>0</v>
      </c>
      <c r="J173" s="30" t="e">
        <f>IF(H173=$N$453,EET!AJ22,VLOOKUP(H173,$N$340:$O$452,2,FALSE))</f>
        <v>#N/A</v>
      </c>
      <c r="K173" s="976">
        <f>IF(ISERROR(I173*J173),0,I173*J173/1000)*IF(GHG_Type=2,0,1)</f>
        <v>0</v>
      </c>
      <c r="L173" s="9"/>
      <c r="M173" s="1"/>
      <c r="N173">
        <f t="shared" ref="N173:N182" si="48">N100</f>
        <v>0</v>
      </c>
      <c r="AB173">
        <v>94000</v>
      </c>
    </row>
    <row r="174" spans="1:28" ht="13.2" hidden="1">
      <c r="A174" s="12"/>
      <c r="B174" s="1"/>
      <c r="C174" s="1" t="str">
        <f>$C$101</f>
        <v/>
      </c>
      <c r="D174" s="1"/>
      <c r="E174" s="1"/>
      <c r="F174" s="1"/>
      <c r="G174" s="1"/>
      <c r="H174" s="29">
        <f>EET!AE23</f>
        <v>0</v>
      </c>
      <c r="I174" s="29">
        <f>EET!AH23*'Modelo Energético '!M48*IF('Modelo Energético '!Q48=TRUE,1,0)*IF($R$5=8,1,0)</f>
        <v>0</v>
      </c>
      <c r="J174" s="30" t="e">
        <f>IF(H174=$N$453,EET!AJ23,VLOOKUP(H174,$N$340:$O$452,2,FALSE))</f>
        <v>#N/A</v>
      </c>
      <c r="K174" s="976">
        <f>IF(ISERROR(I174*J174),0,I174*J174/1000)*IF(GHG_Type=2,0,1)</f>
        <v>0</v>
      </c>
      <c r="L174" s="9"/>
      <c r="M174" s="1"/>
      <c r="N174">
        <f t="shared" si="48"/>
        <v>0</v>
      </c>
      <c r="AB174">
        <v>94000</v>
      </c>
    </row>
    <row r="175" spans="1:28" ht="13.2" hidden="1">
      <c r="A175" s="12"/>
      <c r="B175" s="1"/>
      <c r="C175" s="1" t="str">
        <f>$C$102</f>
        <v/>
      </c>
      <c r="D175" s="1"/>
      <c r="E175" s="1"/>
      <c r="F175" s="1"/>
      <c r="G175" s="1"/>
      <c r="H175" s="29">
        <f>EET!AE24</f>
        <v>0</v>
      </c>
      <c r="I175" s="29">
        <f>EET!AH24*'Modelo Energético '!M49*IF('Modelo Energético '!Q49=TRUE,1,0)*IF($R$5=8,1,0)</f>
        <v>0</v>
      </c>
      <c r="J175" s="30" t="e">
        <f>IF(H175=$N$453,EET!AJ24,VLOOKUP(H175,$N$340:$O$452,2,FALSE))</f>
        <v>#N/A</v>
      </c>
      <c r="K175" s="976">
        <f>IF(ISERROR(I175*J175),0,I175*J175/1000)*IF(GHG_Type=2,0,1)</f>
        <v>0</v>
      </c>
      <c r="L175" s="9"/>
      <c r="M175" s="1"/>
      <c r="N175">
        <f t="shared" si="48"/>
        <v>0</v>
      </c>
      <c r="AB175">
        <v>94000</v>
      </c>
    </row>
    <row r="176" spans="1:28" ht="13.2" hidden="1">
      <c r="A176" s="12"/>
      <c r="B176" s="1"/>
      <c r="C176" s="1" t="str">
        <f>$C$103</f>
        <v/>
      </c>
      <c r="D176" s="1"/>
      <c r="E176" s="1"/>
      <c r="F176" s="1"/>
      <c r="G176" s="1"/>
      <c r="H176" s="29">
        <f>EET!AE25</f>
        <v>0</v>
      </c>
      <c r="I176" s="29">
        <f>EET!AH25*'Modelo Energético '!M50*IF('Modelo Energético '!Q50=TRUE,1,0)*IF($R$5=8,1,0)</f>
        <v>0</v>
      </c>
      <c r="J176" s="30" t="e">
        <f>IF(H176=$N$453,EET!AJ25,VLOOKUP(H176,$N$340:$O$452,2,FALSE))</f>
        <v>#N/A</v>
      </c>
      <c r="K176" s="976">
        <f>IF(ISERROR(I176*J176),0,I176*J176/1000)*IF(GHG_Type=2,0,1)</f>
        <v>0</v>
      </c>
      <c r="L176" s="9"/>
      <c r="M176" s="1"/>
      <c r="N176">
        <f t="shared" si="48"/>
        <v>0</v>
      </c>
      <c r="AB176">
        <v>94000</v>
      </c>
    </row>
    <row r="177" spans="1:28" ht="13.2" hidden="1">
      <c r="A177" s="12"/>
      <c r="B177" s="1"/>
      <c r="C177" s="1" t="str">
        <f>$C$104</f>
        <v/>
      </c>
      <c r="D177" s="1"/>
      <c r="E177" s="1"/>
      <c r="F177" s="1"/>
      <c r="G177" s="1"/>
      <c r="H177" s="29">
        <f>EET!AE26</f>
        <v>0</v>
      </c>
      <c r="I177" s="29">
        <f>EET!AH26*'Modelo Energético '!M51*IF('Modelo Energético '!Q51=TRUE,1,0)*IF($R$5=8,1,0)</f>
        <v>0</v>
      </c>
      <c r="J177" s="30" t="e">
        <f>IF(H177=$N$453,EET!AJ26,VLOOKUP(H177,$N$340:$O$452,2,FALSE))</f>
        <v>#N/A</v>
      </c>
      <c r="K177" s="976">
        <f>IF(ISERROR(I177*J177),0,I177*J177/1000)*IF(GHG_Type=2,0,1)</f>
        <v>0</v>
      </c>
      <c r="L177" s="9"/>
      <c r="M177" s="1"/>
      <c r="N177">
        <f t="shared" si="48"/>
        <v>0</v>
      </c>
      <c r="AB177">
        <v>94000</v>
      </c>
    </row>
    <row r="178" spans="1:28" ht="13.2" hidden="1">
      <c r="A178" s="12"/>
      <c r="B178" s="1"/>
      <c r="C178" s="1" t="str">
        <f>$C$100</f>
        <v/>
      </c>
      <c r="D178" s="1"/>
      <c r="E178" s="1"/>
      <c r="F178" s="1"/>
      <c r="G178" s="1"/>
      <c r="H178" s="29">
        <f>H173</f>
        <v>0</v>
      </c>
      <c r="I178" s="29">
        <f>I173</f>
        <v>0</v>
      </c>
      <c r="J178" s="305"/>
      <c r="K178" s="976">
        <f>IF(ISERROR(I178*J178),0,I178*J178/1000)*IF(GHG_Type=2,1,0)</f>
        <v>0</v>
      </c>
      <c r="L178" s="9"/>
      <c r="M178" s="1"/>
      <c r="N178">
        <f t="shared" si="48"/>
        <v>0</v>
      </c>
      <c r="AB178">
        <v>94000</v>
      </c>
    </row>
    <row r="179" spans="1:28" ht="13.2" hidden="1">
      <c r="A179" s="12"/>
      <c r="B179" s="1"/>
      <c r="C179" s="1" t="str">
        <f>$C$101</f>
        <v/>
      </c>
      <c r="D179" s="1"/>
      <c r="E179" s="1"/>
      <c r="F179" s="1"/>
      <c r="G179" s="1"/>
      <c r="H179" s="29">
        <f t="shared" ref="H179:I182" si="49">H174</f>
        <v>0</v>
      </c>
      <c r="I179" s="29">
        <f t="shared" si="49"/>
        <v>0</v>
      </c>
      <c r="J179" s="305"/>
      <c r="K179" s="976">
        <f>IF(ISERROR(I179*J179),0,I179*J179/1000)*IF(GHG_Type=2,1,0)</f>
        <v>0</v>
      </c>
      <c r="L179" s="9"/>
      <c r="M179" s="1"/>
      <c r="N179">
        <f t="shared" si="48"/>
        <v>0</v>
      </c>
      <c r="AB179">
        <v>94000</v>
      </c>
    </row>
    <row r="180" spans="1:28" ht="13.2" hidden="1">
      <c r="A180" s="12"/>
      <c r="B180" s="1"/>
      <c r="C180" s="1" t="str">
        <f>$C$102</f>
        <v/>
      </c>
      <c r="D180" s="1"/>
      <c r="E180" s="1"/>
      <c r="F180" s="1"/>
      <c r="G180" s="1"/>
      <c r="H180" s="29">
        <f t="shared" si="49"/>
        <v>0</v>
      </c>
      <c r="I180" s="29">
        <f t="shared" si="49"/>
        <v>0</v>
      </c>
      <c r="J180" s="305"/>
      <c r="K180" s="976">
        <f>IF(ISERROR(I180*J180),0,I180*J180/1000)*IF(GHG_Type=2,1,0)</f>
        <v>0</v>
      </c>
      <c r="L180" s="9"/>
      <c r="M180" s="1"/>
      <c r="N180">
        <f t="shared" si="48"/>
        <v>0</v>
      </c>
      <c r="AB180">
        <v>94000</v>
      </c>
    </row>
    <row r="181" spans="1:28" ht="13.2" hidden="1">
      <c r="A181" s="12"/>
      <c r="B181" s="1"/>
      <c r="C181" s="1" t="str">
        <f>$C$103</f>
        <v/>
      </c>
      <c r="D181" s="1"/>
      <c r="E181" s="1"/>
      <c r="F181" s="1"/>
      <c r="G181" s="1"/>
      <c r="H181" s="29">
        <f t="shared" si="49"/>
        <v>0</v>
      </c>
      <c r="I181" s="29">
        <f t="shared" si="49"/>
        <v>0</v>
      </c>
      <c r="J181" s="305"/>
      <c r="K181" s="976">
        <f>IF(ISERROR(I181*J181),0,I181*J181/1000)*IF(GHG_Type=2,1,0)</f>
        <v>0</v>
      </c>
      <c r="L181" s="9"/>
      <c r="M181" s="1"/>
      <c r="N181">
        <f t="shared" si="48"/>
        <v>0</v>
      </c>
      <c r="AB181">
        <v>94000</v>
      </c>
    </row>
    <row r="182" spans="1:28" ht="13.2" hidden="1">
      <c r="A182" s="12"/>
      <c r="B182" s="1"/>
      <c r="C182" s="1" t="str">
        <f>$C$104</f>
        <v/>
      </c>
      <c r="D182" s="1"/>
      <c r="E182" s="1"/>
      <c r="F182" s="1"/>
      <c r="G182" s="1"/>
      <c r="H182" s="29">
        <f t="shared" si="49"/>
        <v>0</v>
      </c>
      <c r="I182" s="29">
        <f t="shared" si="49"/>
        <v>0</v>
      </c>
      <c r="J182" s="305"/>
      <c r="K182" s="977">
        <f>IF(ISERROR(I182*J182),0,I182*J182/1000)*IF(GHG_Type=2,1,0)</f>
        <v>0</v>
      </c>
      <c r="L182" s="9"/>
      <c r="M182" s="1"/>
      <c r="N182">
        <f t="shared" si="48"/>
        <v>0</v>
      </c>
      <c r="AB182">
        <v>94000</v>
      </c>
    </row>
    <row r="183" spans="1:28" ht="13.2" hidden="1">
      <c r="A183" s="12"/>
      <c r="B183" s="1"/>
      <c r="C183" s="1"/>
      <c r="D183" s="1"/>
      <c r="E183" s="1"/>
      <c r="F183" s="1"/>
      <c r="G183" s="1"/>
      <c r="H183" s="1"/>
      <c r="I183" s="1"/>
      <c r="J183" s="79" t="str">
        <f>J169</f>
        <v>Total</v>
      </c>
      <c r="K183" s="975">
        <f>K169+SUM(K173:K182)</f>
        <v>0</v>
      </c>
      <c r="L183" s="9"/>
      <c r="M183" s="1"/>
      <c r="N183">
        <f>$N$172</f>
        <v>0</v>
      </c>
      <c r="AB183">
        <v>94000</v>
      </c>
    </row>
    <row r="184" spans="1:28" ht="13.2">
      <c r="A184" s="5"/>
      <c r="B184" s="5"/>
      <c r="C184" s="5"/>
      <c r="D184" s="5"/>
      <c r="E184" s="5"/>
      <c r="F184" s="5"/>
      <c r="G184" s="5"/>
      <c r="H184" s="5"/>
      <c r="I184" s="5"/>
      <c r="J184" s="5"/>
      <c r="K184" s="5"/>
      <c r="L184" s="5"/>
      <c r="M184" s="1"/>
      <c r="N184">
        <f>$N$172</f>
        <v>0</v>
      </c>
      <c r="AB184">
        <v>90000</v>
      </c>
    </row>
    <row r="185" spans="1:28" ht="13.2">
      <c r="A185" s="446" t="str">
        <f>Language!C612</f>
        <v>Sumário da redução de emissões dos GEE</v>
      </c>
      <c r="B185" s="25"/>
      <c r="C185" s="25"/>
      <c r="D185" s="25"/>
      <c r="E185" s="25"/>
      <c r="F185" s="25"/>
      <c r="G185" s="25"/>
      <c r="H185" s="25"/>
      <c r="I185" s="25"/>
      <c r="J185" s="25"/>
      <c r="K185" s="25"/>
      <c r="L185" s="27"/>
      <c r="M185" s="69"/>
      <c r="AB185">
        <v>96000</v>
      </c>
    </row>
    <row r="186" spans="1:28" ht="13.2">
      <c r="A186" s="12"/>
      <c r="B186" s="1"/>
      <c r="C186" s="1"/>
      <c r="D186" s="1"/>
      <c r="E186" s="1"/>
      <c r="F186" s="1"/>
      <c r="G186" s="1"/>
      <c r="H186" s="1"/>
      <c r="I186" s="1"/>
      <c r="J186" s="1"/>
      <c r="K186" s="1"/>
      <c r="L186" s="9"/>
      <c r="M186" s="1"/>
      <c r="AB186">
        <v>96000</v>
      </c>
    </row>
    <row r="187" spans="1:28" ht="51" customHeight="1">
      <c r="A187" s="12"/>
      <c r="B187" s="1"/>
      <c r="C187" s="1"/>
      <c r="D187" s="82" t="str">
        <f>Language!C613</f>
        <v>Anos de ocorrência</v>
      </c>
      <c r="E187" s="82" t="str">
        <f>Language!C614</f>
        <v>Emissões GEE
Caso de referência</v>
      </c>
      <c r="F187" s="82" t="str">
        <f>Language!C615</f>
        <v>Emissões de GEE
Caso Proposto</v>
      </c>
      <c r="G187" s="28"/>
      <c r="H187" s="1"/>
      <c r="I187" s="82" t="str">
        <f>Language!C616</f>
        <v>Redução
anual bruta
de emissões
de GEE</v>
      </c>
      <c r="J187" s="82" t="str">
        <f>Language!C617</f>
        <v>Custo de
transação
dos créditos
de GEE</v>
      </c>
      <c r="K187" s="82" t="str">
        <f>Language!C618</f>
        <v>Redução
anual líquida
de emissões
de GEE</v>
      </c>
      <c r="L187" s="9"/>
      <c r="M187" s="1"/>
      <c r="AB187">
        <v>96000</v>
      </c>
    </row>
    <row r="188" spans="1:28" ht="12.75" customHeight="1">
      <c r="A188" s="12"/>
      <c r="B188" s="1288" t="str">
        <f>IF(Iniciar!D20="",V212,VLOOKUP(Iniciar!N20,T212:V220,3,FALSE))</f>
        <v>Projeto produção de Eletricidade</v>
      </c>
      <c r="C188" s="1289"/>
      <c r="D188" s="45" t="str">
        <f>Lang_yr</f>
        <v>ano</v>
      </c>
      <c r="E188" s="45" t="str">
        <f>$K$53</f>
        <v>tCO2</v>
      </c>
      <c r="F188" s="45" t="str">
        <f>$K$53</f>
        <v>tCO2</v>
      </c>
      <c r="G188" s="28"/>
      <c r="H188" s="1"/>
      <c r="I188" s="45" t="str">
        <f>$K$53</f>
        <v>tCO2</v>
      </c>
      <c r="J188" s="45" t="str">
        <f>D13</f>
        <v>%</v>
      </c>
      <c r="K188" s="45" t="str">
        <f>$K$53</f>
        <v>tCO2</v>
      </c>
      <c r="L188" s="9"/>
      <c r="M188" s="1"/>
      <c r="P188" s="466">
        <f>IF(Set_Level=1,IF(Iniciar!P4=0,'Modelo Energético'!D979,'Modelo Energético '!D966),J189)</f>
        <v>0.02</v>
      </c>
      <c r="AB188">
        <v>96000</v>
      </c>
    </row>
    <row r="189" spans="1:28" ht="12.75" customHeight="1">
      <c r="A189" s="12"/>
      <c r="B189" s="1289"/>
      <c r="C189" s="1289"/>
      <c r="D189" s="85" t="str">
        <f>U206&amp;E46-1</f>
        <v>1 à -1</v>
      </c>
      <c r="E189" s="244">
        <f>$Q$64*P189/3.6+($Q$95*R189+$Q$94*S189)/3.6+SUM(K100:K109)</f>
        <v>2.4308661043954918</v>
      </c>
      <c r="F189" s="244">
        <f>K183</f>
        <v>0</v>
      </c>
      <c r="G189" s="5"/>
      <c r="H189" s="5"/>
      <c r="I189" s="244">
        <f>E189-F189</f>
        <v>2.4308661043954918</v>
      </c>
      <c r="J189" s="339">
        <v>0.02</v>
      </c>
      <c r="K189" s="979">
        <f>I189*(1-P188)</f>
        <v>2.382248782307582</v>
      </c>
      <c r="L189" s="9"/>
      <c r="M189" s="1"/>
      <c r="N189">
        <f>HideCode_projectType*100</f>
        <v>200</v>
      </c>
      <c r="P189">
        <f>IF(GHG_Type=1,J64,IF(GHG_Type=2,J75,J86))</f>
        <v>0.45096774193548395</v>
      </c>
      <c r="Q189">
        <f>IF(GHG_Type=1,J130,IF(GHG_Type=2,J145,J160))</f>
        <v>0</v>
      </c>
      <c r="R189">
        <f>IF(GHG_Type=1,$J$91,IF(GHG_Type=2,$J$93,$J$95))</f>
        <v>1.6189320388349517</v>
      </c>
      <c r="S189">
        <f>IF(GHG_Type=1,$J$90,IF(GHG_Type=2,$J$92,$J$94))</f>
        <v>0</v>
      </c>
      <c r="T189">
        <f>IF(GHG_Type=1,$J$164,IF(GHG_Type=2,$J$165,$J$166))</f>
        <v>0</v>
      </c>
      <c r="U189" s="919">
        <v>2.382248782307582</v>
      </c>
      <c r="AB189">
        <v>96000</v>
      </c>
    </row>
    <row r="190" spans="1:28" ht="12.75" hidden="1" customHeight="1">
      <c r="A190" s="12"/>
      <c r="B190" s="1"/>
      <c r="C190" s="1"/>
      <c r="D190" s="33" t="str">
        <f>E46&amp;U205</f>
        <v xml:space="preserve"> e além </v>
      </c>
      <c r="E190" s="245">
        <f>$Q$64*P190/3.6+($Q$95*R189+$Q$94*S189)/3.6++SUM(K100:K109)</f>
        <v>2.4308661043954918</v>
      </c>
      <c r="F190" s="245">
        <f>($Q$130*Q190+$Q$164*T189)/3.6+E168*O168*K46+SUM(K173:K182)</f>
        <v>0</v>
      </c>
      <c r="G190" s="15"/>
      <c r="H190" s="15"/>
      <c r="I190" s="245">
        <f>E190-F190</f>
        <v>2.4308661043954918</v>
      </c>
      <c r="J190" s="339"/>
      <c r="K190" s="980">
        <f>I190*(1-J190)</f>
        <v>2.4308661043954918</v>
      </c>
      <c r="L190" s="9"/>
      <c r="M190" s="1"/>
      <c r="P190">
        <f>IF(GHG_Type=1,S64,IF(GHG_Type=2,S75,S86))</f>
        <v>0.45096774193548395</v>
      </c>
      <c r="Q190">
        <f>IF(GHG_Type=1,S130,IF(GHG_Type=2,S145,S160))</f>
        <v>0</v>
      </c>
      <c r="U190" s="919">
        <v>2.4308661043954918</v>
      </c>
      <c r="AB190">
        <v>96000</v>
      </c>
    </row>
    <row r="191" spans="1:28" ht="13.2">
      <c r="A191" s="12"/>
      <c r="B191" s="1"/>
      <c r="C191" s="1"/>
      <c r="D191" s="1"/>
      <c r="E191" s="1"/>
      <c r="F191" s="1"/>
      <c r="G191" s="1"/>
      <c r="H191" s="1"/>
      <c r="I191" s="1"/>
      <c r="J191" s="1"/>
      <c r="K191" s="1"/>
      <c r="L191" s="9"/>
      <c r="M191" s="1"/>
      <c r="AB191">
        <v>96000</v>
      </c>
    </row>
    <row r="192" spans="1:28" ht="13.2">
      <c r="A192" s="12"/>
      <c r="B192" s="1"/>
      <c r="C192" s="1"/>
      <c r="D192" s="1"/>
      <c r="E192" s="1"/>
      <c r="F192" s="1"/>
      <c r="G192" s="1"/>
      <c r="H192" s="1"/>
      <c r="I192" s="1"/>
      <c r="J192" s="1"/>
      <c r="K192" s="1"/>
      <c r="L192" s="9"/>
      <c r="M192" s="1"/>
      <c r="AB192">
        <v>96000</v>
      </c>
    </row>
    <row r="193" spans="1:28" ht="13.2">
      <c r="A193" s="12"/>
      <c r="B193" s="1"/>
      <c r="C193" s="1" t="str">
        <f>Language!C619</f>
        <v>Redução anual líquida de emissões de GEE</v>
      </c>
      <c r="D193" s="1"/>
      <c r="E193" s="36" t="str">
        <f>FIXED(K189,IF(K189&gt;=100,0,1))</f>
        <v>2,4</v>
      </c>
      <c r="F193" s="29" t="str">
        <f>K53</f>
        <v>tCO2</v>
      </c>
      <c r="G193" s="29" t="str">
        <f>Language!C839</f>
        <v>é equivalente a</v>
      </c>
      <c r="H193" s="29" t="str">
        <f>FIXED(VLOOKUP(I193,$V$223:$W$230,2,FALSE)/VLOOKUP(F193,$V$223:$W$230,2,FALSE)*E193,IF(VLOOKUP(I193,$V$223:$W$230,2,FALSE)/VLOOKUP(F193,$V$223:$W$230,2,FALSE)*E193&gt;=100,0,1))</f>
        <v>1 031</v>
      </c>
      <c r="I193" s="1243" t="s">
        <v>6806</v>
      </c>
      <c r="J193" s="1244"/>
      <c r="K193" s="1245"/>
      <c r="L193" s="9"/>
      <c r="M193" s="1"/>
      <c r="AB193">
        <v>96000</v>
      </c>
    </row>
    <row r="194" spans="1:28" ht="13.2">
      <c r="A194" s="14"/>
      <c r="B194" s="15"/>
      <c r="C194" s="15"/>
      <c r="D194" s="15"/>
      <c r="E194" s="15"/>
      <c r="F194" s="15"/>
      <c r="G194" s="15"/>
      <c r="H194" s="15"/>
      <c r="I194" s="15"/>
      <c r="J194" s="15"/>
      <c r="K194" s="15"/>
      <c r="L194" s="11"/>
      <c r="M194" s="1"/>
      <c r="AB194">
        <v>96000</v>
      </c>
    </row>
    <row r="195" spans="1:28" ht="13.2">
      <c r="A195" s="5"/>
      <c r="B195" s="5"/>
      <c r="C195" s="5"/>
      <c r="D195" s="5"/>
      <c r="E195" s="5"/>
      <c r="F195" s="5"/>
      <c r="G195" s="5"/>
      <c r="H195" s="5"/>
      <c r="I195" s="5"/>
      <c r="J195" s="5"/>
      <c r="K195" s="5"/>
      <c r="L195" s="5"/>
      <c r="M195" s="1"/>
      <c r="AB195">
        <v>90000</v>
      </c>
    </row>
    <row r="196" spans="1:28" ht="13.2">
      <c r="A196" s="8"/>
      <c r="B196" s="8"/>
      <c r="C196" s="8"/>
      <c r="D196" s="8"/>
      <c r="E196" s="1237" t="str">
        <f>Language!C2604</f>
        <v>Completar folha de Análise Financeira</v>
      </c>
      <c r="F196" s="1237"/>
      <c r="G196" s="1237"/>
      <c r="H196" s="8"/>
      <c r="I196" s="537"/>
      <c r="J196" s="537"/>
      <c r="K196" s="537"/>
      <c r="L196" s="8"/>
      <c r="M196" s="1"/>
      <c r="AB196">
        <v>90000</v>
      </c>
    </row>
    <row r="197" spans="1:28" ht="12.75" customHeight="1">
      <c r="A197" s="1"/>
      <c r="B197" s="1"/>
      <c r="C197" s="1"/>
      <c r="D197" s="1"/>
      <c r="E197" s="1"/>
      <c r="F197" s="1"/>
      <c r="G197" s="1"/>
      <c r="H197" s="1"/>
      <c r="I197" s="1"/>
      <c r="J197" s="1"/>
      <c r="K197" s="1"/>
      <c r="L197" s="1"/>
      <c r="M197" s="1"/>
      <c r="AB197">
        <v>90000</v>
      </c>
    </row>
    <row r="198" spans="1:28" ht="12.75" hidden="1" customHeight="1">
      <c r="N198" t="s">
        <v>4307</v>
      </c>
      <c r="AB198">
        <v>90000</v>
      </c>
    </row>
    <row r="199" spans="1:28" ht="12.75" hidden="1" customHeight="1">
      <c r="AB199">
        <v>90000</v>
      </c>
    </row>
    <row r="200" spans="1:28" ht="12.75" hidden="1" customHeight="1">
      <c r="N200" t="str">
        <f>Language!C632</f>
        <v>Todos os tipos</v>
      </c>
      <c r="Q200">
        <v>0.95</v>
      </c>
    </row>
    <row r="201" spans="1:28" ht="13.2" hidden="1">
      <c r="N201" t="str">
        <f>C214</f>
        <v>Gás Natural</v>
      </c>
    </row>
    <row r="202" spans="1:28" ht="13.2" hidden="1">
      <c r="G202" t="s">
        <v>5089</v>
      </c>
      <c r="H202">
        <f>SUMIF(C131:C140,C255,Q131:Q140)</f>
        <v>0</v>
      </c>
      <c r="N202" t="str">
        <f>C208</f>
        <v>Carvão</v>
      </c>
      <c r="U202" t="s">
        <v>212</v>
      </c>
    </row>
    <row r="203" spans="1:28" ht="13.2" hidden="1">
      <c r="G203" t="s">
        <v>3430</v>
      </c>
      <c r="N203" t="str">
        <f>C217</f>
        <v>Óleo (#6)</v>
      </c>
      <c r="U203" t="str">
        <f>Language!C486</f>
        <v>A soma de combustiveis de totalizar 100%</v>
      </c>
      <c r="X203" t="str">
        <f>Language!C1410</f>
        <v>tCO2/MWh</v>
      </c>
      <c r="Y203" t="str">
        <f>Language!C2214</f>
        <v>kgCO2/kg</v>
      </c>
    </row>
    <row r="204" spans="1:28" ht="13.2" hidden="1">
      <c r="N204" t="str">
        <f>Language!C142</f>
        <v>Outro</v>
      </c>
      <c r="U204" t="str">
        <f>Language!C625</f>
        <v xml:space="preserve">Fator de emissão de GEE por ano </v>
      </c>
      <c r="X204" t="str">
        <f>Language!C1353</f>
        <v>kgCO2/kWh</v>
      </c>
      <c r="Y204" t="str">
        <f>Language!C2635</f>
        <v>tCO2/t</v>
      </c>
    </row>
    <row r="205" spans="1:28" ht="13.2" hidden="1">
      <c r="D205" t="s">
        <v>4422</v>
      </c>
      <c r="H205" t="s">
        <v>1887</v>
      </c>
      <c r="P205" t="s">
        <v>2666</v>
      </c>
      <c r="U205" t="str">
        <f>Language!C626</f>
        <v xml:space="preserve"> e além </v>
      </c>
    </row>
    <row r="206" spans="1:28" ht="13.2" hidden="1">
      <c r="D206" t="s">
        <v>3727</v>
      </c>
      <c r="E206" t="s">
        <v>5427</v>
      </c>
      <c r="F206" t="s">
        <v>517</v>
      </c>
      <c r="G206" t="s">
        <v>504</v>
      </c>
      <c r="H206" t="s">
        <v>3727</v>
      </c>
      <c r="I206" t="s">
        <v>5427</v>
      </c>
      <c r="J206" t="s">
        <v>517</v>
      </c>
      <c r="K206" t="s">
        <v>504</v>
      </c>
      <c r="N206" t="s">
        <v>5865</v>
      </c>
      <c r="O206" t="s">
        <v>2374</v>
      </c>
      <c r="P206" t="s">
        <v>3727</v>
      </c>
      <c r="Q206" t="s">
        <v>5427</v>
      </c>
      <c r="R206" t="s">
        <v>517</v>
      </c>
      <c r="S206" t="s">
        <v>504</v>
      </c>
      <c r="U206" t="str">
        <f>Language!C627</f>
        <v xml:space="preserve">1 à </v>
      </c>
    </row>
    <row r="207" spans="1:28" ht="13.2" hidden="1">
      <c r="C207" t="str">
        <f>C317</f>
        <v xml:space="preserve">Biomassa </v>
      </c>
      <c r="D207" s="203">
        <f t="shared" ref="D207:D215" si="50">IF(EMHV=1,H207,P207)</f>
        <v>0</v>
      </c>
      <c r="E207" s="280">
        <f t="shared" ref="E207:E215" si="51">IF(EMHV=1,I207,Q207)</f>
        <v>3.2000000000000001E-2</v>
      </c>
      <c r="F207" s="280">
        <f t="shared" ref="F207:F215" si="52">IF(EMHV=1,J207,R207)</f>
        <v>4.0000000000000001E-3</v>
      </c>
      <c r="G207" s="203">
        <f t="shared" ref="G207:G215" si="53">IF(EMHV=1,K207,S207)</f>
        <v>0.25</v>
      </c>
      <c r="H207" s="203">
        <v>0</v>
      </c>
      <c r="I207" s="203">
        <v>2.9870050703506162E-2</v>
      </c>
      <c r="J207" s="203">
        <v>3.7337563379382702E-3</v>
      </c>
      <c r="K207" s="203">
        <v>0.2333597711211419</v>
      </c>
      <c r="N207">
        <f>SUMIF($C$117:$C$126,C207,$Q$117:$Q$126)</f>
        <v>0</v>
      </c>
      <c r="O207" s="3">
        <v>0</v>
      </c>
      <c r="P207">
        <v>0</v>
      </c>
      <c r="Q207">
        <v>3.2000000000000001E-2</v>
      </c>
      <c r="R207">
        <v>4.0000000000000001E-3</v>
      </c>
      <c r="S207">
        <v>0.25</v>
      </c>
      <c r="U207" t="str">
        <f>Language!C628</f>
        <v>Sistema caso proposto (</v>
      </c>
      <c r="X207" t="str">
        <f>Language!C1335</f>
        <v>GJ</v>
      </c>
    </row>
    <row r="208" spans="1:28" ht="13.2" hidden="1">
      <c r="C208" t="str">
        <f>'Modelo Energético'!B1176</f>
        <v>Carvão</v>
      </c>
      <c r="D208" s="203">
        <f t="shared" si="50"/>
        <v>95.84</v>
      </c>
      <c r="E208" s="280">
        <f t="shared" si="51"/>
        <v>1.4999999999999999E-2</v>
      </c>
      <c r="F208" s="280">
        <f t="shared" si="52"/>
        <v>3.0000000000000001E-3</v>
      </c>
      <c r="G208" s="203">
        <f t="shared" si="53"/>
        <v>0.35</v>
      </c>
      <c r="H208" s="203">
        <v>92.66</v>
      </c>
      <c r="I208" s="203">
        <v>1.4502141412778653E-2</v>
      </c>
      <c r="J208" s="203">
        <v>2.9004282825557306E-3</v>
      </c>
      <c r="K208" s="203">
        <v>0.33838329963150188</v>
      </c>
      <c r="N208">
        <f t="shared" ref="N208:N271" si="54">SUMIF($C$117:$C$126,C208,$Q$117:$Q$126)</f>
        <v>0</v>
      </c>
      <c r="O208" s="3">
        <v>0</v>
      </c>
      <c r="P208">
        <v>95.84</v>
      </c>
      <c r="Q208">
        <v>1.4999999999999999E-2</v>
      </c>
      <c r="R208">
        <v>3.0000000000000001E-3</v>
      </c>
      <c r="S208">
        <v>0.35</v>
      </c>
      <c r="U208" t="str">
        <f>Language!C629</f>
        <v xml:space="preserve"> projeto)</v>
      </c>
      <c r="X208" t="str">
        <f>Language!C1396</f>
        <v>MWh</v>
      </c>
    </row>
    <row r="209" spans="3:23" ht="13.2" hidden="1">
      <c r="C209" t="str">
        <f>'Modelo Energético'!I1178</f>
        <v>Diesel (oleo#2)</v>
      </c>
      <c r="D209" s="203">
        <f t="shared" si="50"/>
        <v>73.34</v>
      </c>
      <c r="E209" s="280">
        <f t="shared" si="51"/>
        <v>2E-3</v>
      </c>
      <c r="F209" s="280">
        <f t="shared" si="52"/>
        <v>2E-3</v>
      </c>
      <c r="G209" s="203">
        <f t="shared" si="53"/>
        <v>0.3</v>
      </c>
      <c r="H209" s="203">
        <v>69.34</v>
      </c>
      <c r="I209" s="203">
        <v>1.8909680262910967E-3</v>
      </c>
      <c r="J209" s="203">
        <v>1.8909680262910967E-3</v>
      </c>
      <c r="K209" s="203">
        <v>0.28364520394366449</v>
      </c>
      <c r="N209">
        <f t="shared" si="54"/>
        <v>0</v>
      </c>
      <c r="O209" s="3">
        <v>0</v>
      </c>
      <c r="P209">
        <v>73.34</v>
      </c>
      <c r="Q209">
        <v>2E-3</v>
      </c>
      <c r="R209">
        <v>2E-3</v>
      </c>
      <c r="S209">
        <v>0.3</v>
      </c>
      <c r="U209" t="str">
        <f>Language!C630</f>
        <v xml:space="preserve"> projeto</v>
      </c>
    </row>
    <row r="210" spans="3:23" ht="13.2" hidden="1">
      <c r="C210" t="str">
        <f>'Modelo Energético'!I1181</f>
        <v>Gasolina</v>
      </c>
      <c r="D210" s="203">
        <f t="shared" si="50"/>
        <v>75.69</v>
      </c>
      <c r="E210" s="280">
        <f t="shared" si="51"/>
        <v>0.03</v>
      </c>
      <c r="F210" s="280">
        <f t="shared" si="52"/>
        <v>2E-3</v>
      </c>
      <c r="G210" s="203">
        <f t="shared" si="53"/>
        <v>0.25</v>
      </c>
      <c r="H210" s="203">
        <v>71.81</v>
      </c>
      <c r="I210" s="203">
        <v>2.8463889513193136E-2</v>
      </c>
      <c r="J210" s="203">
        <v>1.897592634212876E-3</v>
      </c>
      <c r="K210" s="203">
        <v>0.23719907927660949</v>
      </c>
      <c r="N210">
        <f t="shared" si="54"/>
        <v>0</v>
      </c>
      <c r="O210" s="3">
        <v>0</v>
      </c>
      <c r="P210">
        <v>75.69</v>
      </c>
      <c r="Q210">
        <v>0.03</v>
      </c>
      <c r="R210">
        <v>2E-3</v>
      </c>
      <c r="S210">
        <v>0.25</v>
      </c>
    </row>
    <row r="211" spans="3:23" ht="13.2" hidden="1">
      <c r="C211" t="str">
        <f>Language!C622</f>
        <v>Geotérmica</v>
      </c>
      <c r="D211" s="203">
        <f t="shared" si="50"/>
        <v>0</v>
      </c>
      <c r="E211" s="280">
        <f t="shared" si="51"/>
        <v>0</v>
      </c>
      <c r="F211" s="280">
        <f t="shared" si="52"/>
        <v>0</v>
      </c>
      <c r="G211" s="203">
        <f t="shared" si="53"/>
        <v>0.3</v>
      </c>
      <c r="H211" s="203">
        <v>0</v>
      </c>
      <c r="I211" s="203">
        <v>0</v>
      </c>
      <c r="J211" s="203">
        <v>0</v>
      </c>
      <c r="K211" s="203">
        <v>0.3</v>
      </c>
      <c r="N211">
        <f t="shared" si="54"/>
        <v>0</v>
      </c>
      <c r="O211" s="3">
        <v>0</v>
      </c>
      <c r="P211">
        <v>0</v>
      </c>
      <c r="Q211">
        <v>0</v>
      </c>
      <c r="R211">
        <v>0</v>
      </c>
      <c r="S211">
        <v>0.3</v>
      </c>
    </row>
    <row r="212" spans="3:23" ht="13.2" hidden="1">
      <c r="C212" t="str">
        <f>Language!C621</f>
        <v>Hidro</v>
      </c>
      <c r="D212" s="203">
        <f t="shared" si="50"/>
        <v>0</v>
      </c>
      <c r="E212" s="280">
        <f t="shared" si="51"/>
        <v>0</v>
      </c>
      <c r="F212" s="280">
        <f t="shared" si="52"/>
        <v>0</v>
      </c>
      <c r="G212" s="203">
        <f t="shared" si="53"/>
        <v>1</v>
      </c>
      <c r="H212" s="203">
        <v>0</v>
      </c>
      <c r="I212" s="203">
        <v>0</v>
      </c>
      <c r="J212" s="203">
        <v>0</v>
      </c>
      <c r="K212" s="203">
        <v>1</v>
      </c>
      <c r="N212">
        <f t="shared" si="54"/>
        <v>0</v>
      </c>
      <c r="O212" s="3">
        <v>0</v>
      </c>
      <c r="P212">
        <v>0</v>
      </c>
      <c r="Q212">
        <v>0</v>
      </c>
      <c r="R212">
        <v>0</v>
      </c>
      <c r="S212">
        <v>1</v>
      </c>
      <c r="T212">
        <v>1</v>
      </c>
      <c r="U212" t="str">
        <f>Iniciar!B107</f>
        <v>Produção de calor</v>
      </c>
      <c r="V212" t="str">
        <f>Language!C243</f>
        <v>Projeto do Sistema de Aquecimento</v>
      </c>
    </row>
    <row r="213" spans="3:23" ht="13.2" hidden="1">
      <c r="C213" t="str">
        <f>'Modelo Energético'!I1183</f>
        <v>Querosene</v>
      </c>
      <c r="D213" s="203">
        <f t="shared" si="50"/>
        <v>73.849999999999994</v>
      </c>
      <c r="E213" s="280">
        <f t="shared" si="51"/>
        <v>7.0000000000000001E-3</v>
      </c>
      <c r="F213" s="280">
        <f t="shared" si="52"/>
        <v>2E-3</v>
      </c>
      <c r="G213" s="203">
        <f t="shared" si="53"/>
        <v>0.25</v>
      </c>
      <c r="H213" s="203">
        <v>69.86</v>
      </c>
      <c r="I213" s="203">
        <v>6.6224099084992299E-3</v>
      </c>
      <c r="J213" s="203">
        <v>1.8921171167140657E-3</v>
      </c>
      <c r="K213" s="203">
        <v>0.2365146395892582</v>
      </c>
      <c r="N213">
        <f t="shared" si="54"/>
        <v>0</v>
      </c>
      <c r="O213" s="3">
        <v>0</v>
      </c>
      <c r="P213">
        <v>73.849999999999994</v>
      </c>
      <c r="Q213">
        <v>7.0000000000000001E-3</v>
      </c>
      <c r="R213">
        <v>2E-3</v>
      </c>
      <c r="S213">
        <v>0.25</v>
      </c>
      <c r="T213">
        <v>2</v>
      </c>
      <c r="U213" t="str">
        <f>Iniciar!B108</f>
        <v>Produção de eletricidade</v>
      </c>
      <c r="V213" t="str">
        <f>Language!C366</f>
        <v>Projeto produção de Eletricidade</v>
      </c>
    </row>
    <row r="214" spans="3:23" ht="13.2" hidden="1">
      <c r="C214" t="str">
        <f>'Modelo Energético'!I1187</f>
        <v>Gás Natural</v>
      </c>
      <c r="D214" s="203">
        <f t="shared" si="50"/>
        <v>54.46</v>
      </c>
      <c r="E214" s="280">
        <f t="shared" si="51"/>
        <v>4.0000000000000001E-3</v>
      </c>
      <c r="F214" s="280">
        <f t="shared" si="52"/>
        <v>1E-3</v>
      </c>
      <c r="G214" s="203">
        <f t="shared" si="53"/>
        <v>0.45</v>
      </c>
      <c r="H214" s="203">
        <v>49.36</v>
      </c>
      <c r="I214" s="203">
        <v>3.6253858828431281E-3</v>
      </c>
      <c r="J214" s="203">
        <v>9.0634647071078202E-4</v>
      </c>
      <c r="K214" s="203">
        <v>0.40785591181985187</v>
      </c>
      <c r="N214">
        <f t="shared" si="54"/>
        <v>0</v>
      </c>
      <c r="O214" s="919">
        <v>0</v>
      </c>
      <c r="P214">
        <v>54.46</v>
      </c>
      <c r="Q214">
        <v>4.0000000000000001E-3</v>
      </c>
      <c r="R214">
        <v>1E-3</v>
      </c>
      <c r="S214">
        <v>0.45</v>
      </c>
      <c r="T214">
        <v>3</v>
      </c>
      <c r="U214" t="str">
        <f>Iniciar!B109</f>
        <v>Produção de frio</v>
      </c>
      <c r="V214" t="str">
        <f>Language!C336</f>
        <v>Projeto de Refrigeração</v>
      </c>
    </row>
    <row r="215" spans="3:23" ht="13.2" hidden="1">
      <c r="C215" t="str">
        <f>Language!C620</f>
        <v>Nuclear</v>
      </c>
      <c r="D215" s="203">
        <f t="shared" si="50"/>
        <v>0</v>
      </c>
      <c r="E215" s="280">
        <f t="shared" si="51"/>
        <v>0</v>
      </c>
      <c r="F215" s="280">
        <f t="shared" si="52"/>
        <v>0</v>
      </c>
      <c r="G215" s="203">
        <f t="shared" si="53"/>
        <v>0.3</v>
      </c>
      <c r="H215" s="203">
        <v>0</v>
      </c>
      <c r="I215" s="203">
        <v>0</v>
      </c>
      <c r="J215" s="203">
        <v>0</v>
      </c>
      <c r="K215" s="203">
        <v>0.3</v>
      </c>
      <c r="N215">
        <f t="shared" si="54"/>
        <v>0</v>
      </c>
      <c r="O215" s="3">
        <v>0</v>
      </c>
      <c r="P215">
        <v>0</v>
      </c>
      <c r="Q215">
        <v>0</v>
      </c>
      <c r="R215">
        <v>0</v>
      </c>
      <c r="S215">
        <v>0.3</v>
      </c>
      <c r="T215">
        <v>4</v>
      </c>
      <c r="U215" t="str">
        <f>Iniciar!B110</f>
        <v>Produção de calor e eletricidade</v>
      </c>
      <c r="V215" t="str">
        <f>Language!C91</f>
        <v>Projeto de produção de calor e eletricidade</v>
      </c>
    </row>
    <row r="216" spans="3:23" ht="13.2" hidden="1">
      <c r="C216" t="str">
        <f>H332</f>
        <v>Oceano</v>
      </c>
      <c r="D216" s="203">
        <v>0</v>
      </c>
      <c r="E216" s="280">
        <v>0</v>
      </c>
      <c r="F216" s="280">
        <v>0</v>
      </c>
      <c r="G216" s="203">
        <v>1</v>
      </c>
      <c r="H216" s="203">
        <v>0</v>
      </c>
      <c r="I216" s="203">
        <v>0</v>
      </c>
      <c r="J216" s="203">
        <v>0</v>
      </c>
      <c r="K216" s="203">
        <v>1</v>
      </c>
      <c r="N216">
        <f t="shared" si="54"/>
        <v>0</v>
      </c>
      <c r="O216" s="3">
        <v>0</v>
      </c>
      <c r="P216">
        <v>0</v>
      </c>
      <c r="Q216">
        <v>0</v>
      </c>
      <c r="R216">
        <v>0</v>
      </c>
      <c r="S216">
        <v>1</v>
      </c>
      <c r="T216">
        <v>5</v>
      </c>
      <c r="U216" t="str">
        <f>Iniciar!B111</f>
        <v>Produção de frio e eletricidade</v>
      </c>
      <c r="V216" t="str">
        <f>Language!C92</f>
        <v>Projeto de produção de frio e eletricidade</v>
      </c>
    </row>
    <row r="217" spans="3:23" ht="13.2" hidden="1">
      <c r="C217" t="str">
        <f>'Modelo Energético'!I1191</f>
        <v>Óleo (#6)</v>
      </c>
      <c r="D217" s="203">
        <f t="shared" ref="D217:G219" si="55">IF(EMHV=1,H217,P217)</f>
        <v>77.83</v>
      </c>
      <c r="E217" s="280">
        <f t="shared" si="55"/>
        <v>3.0000000000000001E-3</v>
      </c>
      <c r="F217" s="280">
        <f t="shared" si="55"/>
        <v>2E-3</v>
      </c>
      <c r="G217" s="203">
        <f t="shared" si="55"/>
        <v>0.3</v>
      </c>
      <c r="H217" s="203">
        <v>74.12</v>
      </c>
      <c r="I217" s="203">
        <v>2.8571487846725412E-3</v>
      </c>
      <c r="J217" s="203">
        <v>1.9047658564483607E-3</v>
      </c>
      <c r="K217" s="203">
        <v>0.28571487846725413</v>
      </c>
      <c r="N217">
        <f t="shared" si="54"/>
        <v>0</v>
      </c>
      <c r="O217" s="3">
        <v>0</v>
      </c>
      <c r="P217">
        <v>77.83</v>
      </c>
      <c r="Q217">
        <v>3.0000000000000001E-3</v>
      </c>
      <c r="R217">
        <v>2E-3</v>
      </c>
      <c r="S217">
        <v>0.3</v>
      </c>
      <c r="T217">
        <v>6</v>
      </c>
      <c r="U217" t="str">
        <f>Iniciar!B112</f>
        <v>Produção de calor e frio</v>
      </c>
      <c r="V217" t="str">
        <f>Language!C93</f>
        <v>Projeto de produção de calor e frio</v>
      </c>
    </row>
    <row r="218" spans="3:23" ht="13.2" hidden="1">
      <c r="C218" t="str">
        <f>'Modelo Energético'!I1194</f>
        <v>Propano</v>
      </c>
      <c r="D218" s="203">
        <f t="shared" si="55"/>
        <v>67.92</v>
      </c>
      <c r="E218" s="280">
        <f t="shared" si="55"/>
        <v>1E-3</v>
      </c>
      <c r="F218" s="280">
        <f t="shared" si="55"/>
        <v>1E-3</v>
      </c>
      <c r="G218" s="203">
        <f t="shared" si="55"/>
        <v>0.45</v>
      </c>
      <c r="H218" s="203">
        <v>57.47</v>
      </c>
      <c r="I218" s="203">
        <v>9.2307101727447224E-4</v>
      </c>
      <c r="J218" s="203">
        <v>9.2307101727447224E-4</v>
      </c>
      <c r="K218" s="203">
        <v>0.4153819577735125</v>
      </c>
      <c r="N218">
        <f t="shared" si="54"/>
        <v>0</v>
      </c>
      <c r="O218" s="3">
        <v>0</v>
      </c>
      <c r="P218">
        <v>67.92</v>
      </c>
      <c r="Q218">
        <v>1E-3</v>
      </c>
      <c r="R218">
        <v>1E-3</v>
      </c>
      <c r="S218">
        <v>0.45</v>
      </c>
      <c r="T218">
        <v>7</v>
      </c>
      <c r="U218" t="str">
        <f>Iniciar!B113</f>
        <v>Produção de frio, calor e eletricidade</v>
      </c>
      <c r="V218" t="str">
        <f>Language!C94</f>
        <v>Projeto de produção de frio,calor e eletricidade</v>
      </c>
    </row>
    <row r="219" spans="3:23" ht="13.2" hidden="1">
      <c r="C219" t="str">
        <f>Language!C624</f>
        <v>Solar</v>
      </c>
      <c r="D219" s="203">
        <f t="shared" si="55"/>
        <v>0</v>
      </c>
      <c r="E219" s="280">
        <f t="shared" si="55"/>
        <v>0</v>
      </c>
      <c r="F219" s="280">
        <f t="shared" si="55"/>
        <v>0</v>
      </c>
      <c r="G219" s="203">
        <f t="shared" si="55"/>
        <v>1</v>
      </c>
      <c r="H219" s="203">
        <v>0</v>
      </c>
      <c r="I219" s="203">
        <v>0</v>
      </c>
      <c r="J219" s="203">
        <v>0</v>
      </c>
      <c r="K219" s="203">
        <v>1</v>
      </c>
      <c r="N219">
        <f t="shared" si="54"/>
        <v>0</v>
      </c>
      <c r="O219" s="3">
        <v>0</v>
      </c>
      <c r="P219">
        <v>0</v>
      </c>
      <c r="Q219">
        <v>0</v>
      </c>
      <c r="R219">
        <v>0</v>
      </c>
      <c r="S219">
        <v>1</v>
      </c>
      <c r="T219">
        <v>8</v>
      </c>
      <c r="U219" t="str">
        <f>Iniciar!B114</f>
        <v>Ações de Eficiência energética</v>
      </c>
      <c r="V219" t="str">
        <f>Language!C1634</f>
        <v>Projeto de ações de eficiência energética</v>
      </c>
    </row>
    <row r="220" spans="3:23" ht="13.2" hidden="1">
      <c r="C220" t="str">
        <f>Language!C1442</f>
        <v>Combustível definido pelo usuário</v>
      </c>
      <c r="D220" s="203">
        <f t="shared" ref="D220:F221" si="56">IF(EMHV=1,H220,P220)</f>
        <v>0</v>
      </c>
      <c r="E220" s="280">
        <f t="shared" si="56"/>
        <v>0</v>
      </c>
      <c r="F220" s="280">
        <f t="shared" si="56"/>
        <v>0</v>
      </c>
      <c r="G220" s="203">
        <v>0.45</v>
      </c>
      <c r="H220" s="203">
        <f>Ferramentas!D464</f>
        <v>0</v>
      </c>
      <c r="I220" s="203">
        <f>Ferramentas!D465</f>
        <v>0</v>
      </c>
      <c r="J220" s="203">
        <f>Ferramentas!D466</f>
        <v>0</v>
      </c>
      <c r="K220" s="203"/>
      <c r="N220">
        <f t="shared" si="54"/>
        <v>0</v>
      </c>
      <c r="O220" s="919">
        <v>0</v>
      </c>
      <c r="P220">
        <f>Ferramentas!E464</f>
        <v>0</v>
      </c>
      <c r="Q220">
        <f>Ferramentas!E465</f>
        <v>0</v>
      </c>
      <c r="R220">
        <f>Ferramentas!E466</f>
        <v>0</v>
      </c>
      <c r="T220">
        <v>9</v>
      </c>
      <c r="U220" t="str">
        <f>Iniciar!B115</f>
        <v>Definido pelo usuário</v>
      </c>
      <c r="V220" t="str">
        <f>U220</f>
        <v>Definido pelo usuário</v>
      </c>
    </row>
    <row r="221" spans="3:23" ht="13.2" hidden="1">
      <c r="C221" t="str">
        <f>Language!C623</f>
        <v>Eólica</v>
      </c>
      <c r="D221" s="203">
        <f t="shared" si="56"/>
        <v>0</v>
      </c>
      <c r="E221" s="280">
        <f t="shared" si="56"/>
        <v>0</v>
      </c>
      <c r="F221" s="280">
        <f t="shared" si="56"/>
        <v>0</v>
      </c>
      <c r="G221" s="203">
        <f>IF(EMHV=1,K221,S221)</f>
        <v>1</v>
      </c>
      <c r="H221" s="203">
        <v>0</v>
      </c>
      <c r="I221" s="203">
        <v>0</v>
      </c>
      <c r="J221" s="203">
        <v>0</v>
      </c>
      <c r="K221" s="203">
        <v>1</v>
      </c>
      <c r="N221">
        <f t="shared" si="54"/>
        <v>0</v>
      </c>
      <c r="O221" s="3">
        <v>0</v>
      </c>
      <c r="P221">
        <v>0</v>
      </c>
      <c r="Q221">
        <v>0</v>
      </c>
      <c r="R221">
        <v>0</v>
      </c>
      <c r="S221">
        <v>1</v>
      </c>
    </row>
    <row r="222" spans="3:23" ht="13.2" hidden="1">
      <c r="C222" t="str">
        <f>C316</f>
        <v>Eletricidade</v>
      </c>
      <c r="D222" s="203">
        <f>IF(GHG_Type=1,E37,IF(GHG_Type=2,E25,0))</f>
        <v>0</v>
      </c>
      <c r="E222" s="280">
        <f>IF(GHG_Type=1,F37,IF(GHG_Type=2,F25,0))</f>
        <v>0</v>
      </c>
      <c r="F222" s="280">
        <f>IF(GHG_Type=1,G37,IF(GHG_Type=2,G25,0))</f>
        <v>0</v>
      </c>
      <c r="G222" s="203"/>
      <c r="H222" s="203"/>
      <c r="I222" s="203"/>
      <c r="J222" s="203"/>
      <c r="K222" s="203"/>
      <c r="N222">
        <f t="shared" si="54"/>
        <v>0</v>
      </c>
      <c r="O222" s="919">
        <v>0</v>
      </c>
      <c r="W222" t="s">
        <v>4723</v>
      </c>
    </row>
    <row r="223" spans="3:23" ht="13.2" hidden="1">
      <c r="C223" t="str">
        <f>'Modelo Energético'!I1288</f>
        <v>Combustível definido pelo usuário - sólido</v>
      </c>
      <c r="D223" s="203">
        <f t="shared" ref="D223:F224" si="57">IF(EMHV=1,H223,P223)</f>
        <v>0</v>
      </c>
      <c r="E223" s="280">
        <f t="shared" si="57"/>
        <v>0</v>
      </c>
      <c r="F223" s="280">
        <f t="shared" si="57"/>
        <v>0</v>
      </c>
      <c r="G223" s="203"/>
      <c r="H223" s="203">
        <f>Ferramentas!D521</f>
        <v>0</v>
      </c>
      <c r="I223" s="203">
        <f>Ferramentas!D522</f>
        <v>0</v>
      </c>
      <c r="J223" s="203">
        <f>Ferramentas!D523</f>
        <v>0</v>
      </c>
      <c r="K223" s="203"/>
      <c r="N223">
        <f t="shared" si="54"/>
        <v>0</v>
      </c>
      <c r="O223" s="3">
        <v>0</v>
      </c>
      <c r="P223">
        <f>Ferramentas!E521</f>
        <v>0</v>
      </c>
      <c r="Q223">
        <f>Ferramentas!E522</f>
        <v>0</v>
      </c>
      <c r="R223">
        <f>Ferramentas!E523</f>
        <v>0</v>
      </c>
      <c r="U223" t="str">
        <f>$K$53</f>
        <v>tCO2</v>
      </c>
      <c r="V223" t="str">
        <f>$K$53</f>
        <v>tCO2</v>
      </c>
      <c r="W223">
        <f>Ferramentas!F691</f>
        <v>1</v>
      </c>
    </row>
    <row r="224" spans="3:23" ht="13.2" hidden="1">
      <c r="C224" t="str">
        <f>'Modelo Energético'!I1287</f>
        <v>Combustível definido pelo usuário - gás</v>
      </c>
      <c r="D224" s="203">
        <f t="shared" si="57"/>
        <v>0</v>
      </c>
      <c r="E224" s="280">
        <f t="shared" si="57"/>
        <v>0</v>
      </c>
      <c r="F224" s="280">
        <f t="shared" si="57"/>
        <v>0</v>
      </c>
      <c r="G224" s="203"/>
      <c r="H224" s="203">
        <f>Ferramentas!D495</f>
        <v>0</v>
      </c>
      <c r="I224" s="203">
        <f>Ferramentas!D496</f>
        <v>0</v>
      </c>
      <c r="J224" s="203">
        <f>Ferramentas!D497</f>
        <v>0</v>
      </c>
      <c r="K224" s="203"/>
      <c r="N224">
        <f t="shared" si="54"/>
        <v>0</v>
      </c>
      <c r="O224" s="3">
        <v>0</v>
      </c>
      <c r="P224">
        <f>Ferramentas!E495</f>
        <v>0</v>
      </c>
      <c r="Q224">
        <f>Ferramentas!E496</f>
        <v>0</v>
      </c>
      <c r="R224">
        <f>Ferramentas!E497</f>
        <v>0</v>
      </c>
      <c r="U224" t="str">
        <f t="shared" ref="U224:U230" si="58">$K$53</f>
        <v>tCO2</v>
      </c>
      <c r="V224" t="str">
        <f>Language!C840</f>
        <v>Carros e camionetes não utilizados</v>
      </c>
      <c r="W224">
        <f>Ferramentas!F692</f>
        <v>0.18315018315018314</v>
      </c>
    </row>
    <row r="225" spans="3:23" ht="13.2" hidden="1">
      <c r="C225" t="str">
        <f>'Modelo Energético'!B1196</f>
        <v>Alfafa</v>
      </c>
      <c r="D225">
        <f t="shared" ref="D225:D288" si="59">$D$207</f>
        <v>0</v>
      </c>
      <c r="E225" s="280">
        <f t="shared" ref="E225:E288" si="60">$E$207</f>
        <v>3.2000000000000001E-2</v>
      </c>
      <c r="F225" s="280">
        <f t="shared" ref="F225:F288" si="61">$F$207</f>
        <v>4.0000000000000001E-3</v>
      </c>
      <c r="N225">
        <f t="shared" si="54"/>
        <v>0</v>
      </c>
      <c r="O225" s="3">
        <v>0</v>
      </c>
      <c r="U225" t="str">
        <f t="shared" si="58"/>
        <v>tCO2</v>
      </c>
      <c r="V225" t="str">
        <f>Language!C841</f>
        <v>Litros gasolina não consumidos</v>
      </c>
      <c r="W225">
        <f>Ferramentas!F693</f>
        <v>429.67216617480136</v>
      </c>
    </row>
    <row r="226" spans="3:23" ht="13.2" hidden="1">
      <c r="C226" t="str">
        <f>'Modelo Energético'!B1197</f>
        <v>Amêndua - casca</v>
      </c>
      <c r="D226">
        <f t="shared" si="59"/>
        <v>0</v>
      </c>
      <c r="E226" s="280">
        <f t="shared" si="60"/>
        <v>3.2000000000000001E-2</v>
      </c>
      <c r="F226" s="280">
        <f t="shared" si="61"/>
        <v>4.0000000000000001E-3</v>
      </c>
      <c r="N226">
        <f t="shared" si="54"/>
        <v>0</v>
      </c>
      <c r="O226" s="3">
        <v>0</v>
      </c>
      <c r="U226" t="str">
        <f t="shared" si="58"/>
        <v>tCO2</v>
      </c>
      <c r="V226" t="str">
        <f>Language!C842</f>
        <v>Barris de óleo bruto não consumidos</v>
      </c>
      <c r="W226">
        <f>Ferramentas!F694</f>
        <v>2.3255813953488373</v>
      </c>
    </row>
    <row r="227" spans="3:23" ht="13.2" hidden="1">
      <c r="C227" t="str">
        <f>'Modelo Energético'!B1198</f>
        <v>Cinza (branca)</v>
      </c>
      <c r="D227">
        <f t="shared" si="59"/>
        <v>0</v>
      </c>
      <c r="E227" s="280">
        <f t="shared" si="60"/>
        <v>3.2000000000000001E-2</v>
      </c>
      <c r="F227" s="280">
        <f t="shared" si="61"/>
        <v>4.0000000000000001E-3</v>
      </c>
      <c r="N227">
        <f t="shared" si="54"/>
        <v>0</v>
      </c>
      <c r="O227" s="3">
        <v>0</v>
      </c>
      <c r="U227" t="str">
        <f t="shared" si="58"/>
        <v>tCO2</v>
      </c>
      <c r="V227" t="str">
        <f>Language!C843</f>
        <v>Pessoas reduzindo uso de energia em 20%</v>
      </c>
      <c r="W227">
        <f>Ferramentas!F695</f>
        <v>1</v>
      </c>
    </row>
    <row r="228" spans="3:23" ht="13.2" hidden="1">
      <c r="C228" t="str">
        <f>'Modelo Energético'!B1199</f>
        <v>Bagaço</v>
      </c>
      <c r="D228">
        <f t="shared" si="59"/>
        <v>0</v>
      </c>
      <c r="E228" s="280">
        <f t="shared" si="60"/>
        <v>3.2000000000000001E-2</v>
      </c>
      <c r="F228" s="280">
        <f t="shared" si="61"/>
        <v>4.0000000000000001E-3</v>
      </c>
      <c r="N228">
        <f t="shared" si="54"/>
        <v>0</v>
      </c>
      <c r="O228" s="3">
        <v>0</v>
      </c>
      <c r="U228" t="str">
        <f t="shared" si="58"/>
        <v>tCO2</v>
      </c>
      <c r="V228" t="str">
        <f>Language!C844</f>
        <v>Acres de floresta absorvendo carbono</v>
      </c>
      <c r="W228">
        <f>Ferramentas!F696</f>
        <v>0.22727272727272727</v>
      </c>
    </row>
    <row r="229" spans="3:23" ht="13.2" hidden="1">
      <c r="C229" t="str">
        <f>'Modelo Energético'!B1200</f>
        <v>Cevada - palha</v>
      </c>
      <c r="D229">
        <f t="shared" si="59"/>
        <v>0</v>
      </c>
      <c r="E229" s="280">
        <f t="shared" si="60"/>
        <v>3.2000000000000001E-2</v>
      </c>
      <c r="F229" s="280">
        <f t="shared" si="61"/>
        <v>4.0000000000000001E-3</v>
      </c>
      <c r="N229">
        <f t="shared" si="54"/>
        <v>0</v>
      </c>
      <c r="O229" s="3">
        <v>0</v>
      </c>
      <c r="U229" t="str">
        <f t="shared" si="58"/>
        <v>tCO2</v>
      </c>
      <c r="V229" t="str">
        <f>Language!C845</f>
        <v>Hectares de floresta absorvendo carbono</v>
      </c>
      <c r="W229">
        <f>Ferramentas!F697</f>
        <v>9.1974009599999976E-2</v>
      </c>
    </row>
    <row r="230" spans="3:23" ht="13.2" hidden="1">
      <c r="C230" t="str">
        <f>'Modelo Energético'!B1201</f>
        <v>Faia - casca</v>
      </c>
      <c r="D230">
        <f t="shared" si="59"/>
        <v>0</v>
      </c>
      <c r="E230" s="280">
        <f t="shared" si="60"/>
        <v>3.2000000000000001E-2</v>
      </c>
      <c r="F230" s="280">
        <f t="shared" si="61"/>
        <v>4.0000000000000001E-3</v>
      </c>
      <c r="N230">
        <f t="shared" si="54"/>
        <v>0</v>
      </c>
      <c r="O230" s="3">
        <v>0</v>
      </c>
      <c r="U230" t="str">
        <f t="shared" si="58"/>
        <v>tCO2</v>
      </c>
      <c r="V230" t="str">
        <f>Language!C846</f>
        <v>Toneladas lixo reciclado</v>
      </c>
      <c r="W230">
        <f>Ferramentas!F698</f>
        <v>0.34482758620689657</v>
      </c>
    </row>
    <row r="231" spans="3:23" ht="13.2" hidden="1">
      <c r="C231" t="str">
        <f>'Modelo Energético'!B1202</f>
        <v>Biodiesel</v>
      </c>
      <c r="D231">
        <f t="shared" si="59"/>
        <v>0</v>
      </c>
      <c r="E231" s="280">
        <f t="shared" si="60"/>
        <v>3.2000000000000001E-2</v>
      </c>
      <c r="F231" s="280">
        <f t="shared" si="61"/>
        <v>4.0000000000000001E-3</v>
      </c>
      <c r="N231">
        <f t="shared" si="54"/>
        <v>0</v>
      </c>
      <c r="O231" s="3">
        <v>0</v>
      </c>
    </row>
    <row r="232" spans="3:23" ht="13.2" hidden="1">
      <c r="C232" t="str">
        <f>'Modelo Energético'!B1203</f>
        <v>Biogás</v>
      </c>
      <c r="D232">
        <f t="shared" si="59"/>
        <v>0</v>
      </c>
      <c r="E232" s="280">
        <f t="shared" si="60"/>
        <v>3.2000000000000001E-2</v>
      </c>
      <c r="F232" s="280">
        <f t="shared" si="61"/>
        <v>4.0000000000000001E-3</v>
      </c>
      <c r="N232">
        <f t="shared" si="54"/>
        <v>0</v>
      </c>
      <c r="O232" s="3">
        <v>0</v>
      </c>
    </row>
    <row r="233" spans="3:23" ht="13.2" hidden="1">
      <c r="C233" t="str">
        <f>'Modelo Energético'!B1204</f>
        <v>Bio - óleo</v>
      </c>
      <c r="D233">
        <f t="shared" si="59"/>
        <v>0</v>
      </c>
      <c r="E233" s="280">
        <f t="shared" si="60"/>
        <v>3.2000000000000001E-2</v>
      </c>
      <c r="F233" s="280">
        <f t="shared" si="61"/>
        <v>4.0000000000000001E-3</v>
      </c>
      <c r="N233">
        <f t="shared" si="54"/>
        <v>0</v>
      </c>
      <c r="O233" s="3">
        <v>0</v>
      </c>
    </row>
    <row r="234" spans="3:23" ht="13.2" hidden="1">
      <c r="C234" t="str">
        <f>'Modelo Energético'!B1205</f>
        <v>Vidoeiro (branco) - casca</v>
      </c>
      <c r="D234">
        <f t="shared" si="59"/>
        <v>0</v>
      </c>
      <c r="E234" s="280">
        <f t="shared" si="60"/>
        <v>3.2000000000000001E-2</v>
      </c>
      <c r="F234" s="280">
        <f t="shared" si="61"/>
        <v>4.0000000000000001E-3</v>
      </c>
      <c r="N234">
        <f t="shared" si="54"/>
        <v>0</v>
      </c>
      <c r="O234" s="3">
        <v>0</v>
      </c>
    </row>
    <row r="235" spans="3:23" ht="13.2" hidden="1">
      <c r="C235" t="str">
        <f>'Modelo Energético'!B1206</f>
        <v>Resíduo ind. de malte e cerveja</v>
      </c>
      <c r="D235">
        <f t="shared" si="59"/>
        <v>0</v>
      </c>
      <c r="E235" s="280">
        <f t="shared" si="60"/>
        <v>3.2000000000000001E-2</v>
      </c>
      <c r="F235" s="280">
        <f t="shared" si="61"/>
        <v>4.0000000000000001E-3</v>
      </c>
      <c r="N235">
        <f t="shared" si="54"/>
        <v>0</v>
      </c>
      <c r="O235" s="3">
        <v>0</v>
      </c>
    </row>
    <row r="236" spans="3:23" ht="13.2" hidden="1">
      <c r="C236" t="str">
        <f>'Modelo Energético'!B1207</f>
        <v>Papelão</v>
      </c>
      <c r="D236">
        <f t="shared" si="59"/>
        <v>0</v>
      </c>
      <c r="E236" s="280">
        <f t="shared" si="60"/>
        <v>3.2000000000000001E-2</v>
      </c>
      <c r="F236" s="280">
        <f t="shared" si="61"/>
        <v>4.0000000000000001E-3</v>
      </c>
      <c r="N236">
        <f t="shared" si="54"/>
        <v>0</v>
      </c>
      <c r="O236" s="3">
        <v>0</v>
      </c>
    </row>
    <row r="237" spans="3:23" ht="13.2" hidden="1">
      <c r="C237" t="str">
        <f>'Modelo Energético'!B1208</f>
        <v>Pinheiro de natal</v>
      </c>
      <c r="D237">
        <f t="shared" si="59"/>
        <v>0</v>
      </c>
      <c r="E237" s="280">
        <f t="shared" si="60"/>
        <v>3.2000000000000001E-2</v>
      </c>
      <c r="F237" s="280">
        <f t="shared" si="61"/>
        <v>4.0000000000000001E-3</v>
      </c>
      <c r="N237">
        <f t="shared" si="54"/>
        <v>0</v>
      </c>
      <c r="O237" s="3">
        <v>0</v>
      </c>
    </row>
    <row r="238" spans="3:23" ht="13.2" hidden="1">
      <c r="C238" t="str">
        <f>'Modelo Energético'!B1209</f>
        <v>Fibra de coco</v>
      </c>
      <c r="D238">
        <f t="shared" si="59"/>
        <v>0</v>
      </c>
      <c r="E238" s="280">
        <f t="shared" si="60"/>
        <v>3.2000000000000001E-2</v>
      </c>
      <c r="F238" s="280">
        <f t="shared" si="61"/>
        <v>4.0000000000000001E-3</v>
      </c>
      <c r="N238">
        <f t="shared" si="54"/>
        <v>0</v>
      </c>
      <c r="O238" s="3">
        <v>0</v>
      </c>
    </row>
    <row r="239" spans="3:23" ht="13.2" hidden="1">
      <c r="C239" t="str">
        <f>'Modelo Energético'!B1210</f>
        <v>Café - resíduo</v>
      </c>
      <c r="D239">
        <f t="shared" si="59"/>
        <v>0</v>
      </c>
      <c r="E239" s="280">
        <f t="shared" si="60"/>
        <v>3.2000000000000001E-2</v>
      </c>
      <c r="F239" s="280">
        <f t="shared" si="61"/>
        <v>4.0000000000000001E-3</v>
      </c>
      <c r="N239">
        <f t="shared" si="54"/>
        <v>0</v>
      </c>
      <c r="O239" s="3">
        <v>0</v>
      </c>
    </row>
    <row r="240" spans="3:23" ht="13.2" hidden="1">
      <c r="C240" t="str">
        <f>'Modelo Energético'!B1211</f>
        <v>Composto</v>
      </c>
      <c r="D240">
        <f t="shared" si="59"/>
        <v>0</v>
      </c>
      <c r="E240" s="280">
        <f t="shared" si="60"/>
        <v>3.2000000000000001E-2</v>
      </c>
      <c r="F240" s="280">
        <f t="shared" si="61"/>
        <v>4.0000000000000001E-3</v>
      </c>
      <c r="N240">
        <f t="shared" si="54"/>
        <v>0</v>
      </c>
      <c r="O240" s="3">
        <v>0</v>
      </c>
    </row>
    <row r="241" spans="3:18" ht="13.2" hidden="1">
      <c r="C241" t="str">
        <f>'Modelo Energético'!B1212</f>
        <v>Milho - sabugo</v>
      </c>
      <c r="D241">
        <f t="shared" si="59"/>
        <v>0</v>
      </c>
      <c r="E241" s="280">
        <f t="shared" si="60"/>
        <v>3.2000000000000001E-2</v>
      </c>
      <c r="F241" s="280">
        <f t="shared" si="61"/>
        <v>4.0000000000000001E-3</v>
      </c>
      <c r="N241">
        <f t="shared" si="54"/>
        <v>0</v>
      </c>
      <c r="O241" s="3">
        <v>0</v>
      </c>
    </row>
    <row r="242" spans="3:18" ht="13.2" hidden="1">
      <c r="C242" t="str">
        <f>'Modelo Energético'!B1213</f>
        <v>Milho - palha</v>
      </c>
      <c r="D242">
        <f t="shared" si="59"/>
        <v>0</v>
      </c>
      <c r="E242" s="280">
        <f t="shared" si="60"/>
        <v>3.2000000000000001E-2</v>
      </c>
      <c r="F242" s="280">
        <f t="shared" si="61"/>
        <v>4.0000000000000001E-3</v>
      </c>
      <c r="N242">
        <f t="shared" si="54"/>
        <v>0</v>
      </c>
      <c r="O242" s="3">
        <v>0</v>
      </c>
    </row>
    <row r="243" spans="3:18" ht="13.2" hidden="1">
      <c r="C243" t="str">
        <f>'Modelo Energético'!B1214</f>
        <v>Algodão - resíduo</v>
      </c>
      <c r="D243">
        <f t="shared" si="59"/>
        <v>0</v>
      </c>
      <c r="E243" s="280">
        <f t="shared" si="60"/>
        <v>3.2000000000000001E-2</v>
      </c>
      <c r="F243" s="280">
        <f t="shared" si="61"/>
        <v>4.0000000000000001E-3</v>
      </c>
      <c r="N243">
        <f t="shared" si="54"/>
        <v>0</v>
      </c>
      <c r="O243" s="3">
        <v>0</v>
      </c>
    </row>
    <row r="244" spans="3:18" ht="13.2" hidden="1">
      <c r="C244" t="str">
        <f>'Modelo Energético'!B1215</f>
        <v>Ulmeiro - casca</v>
      </c>
      <c r="D244">
        <f t="shared" si="59"/>
        <v>0</v>
      </c>
      <c r="E244" s="280">
        <f t="shared" si="60"/>
        <v>3.2000000000000001E-2</v>
      </c>
      <c r="F244" s="280">
        <f t="shared" si="61"/>
        <v>4.0000000000000001E-3</v>
      </c>
      <c r="N244">
        <f t="shared" si="54"/>
        <v>0</v>
      </c>
      <c r="O244" s="3">
        <v>0</v>
      </c>
    </row>
    <row r="245" spans="3:18" ht="13.2" hidden="1">
      <c r="C245" t="str">
        <f>'Modelo Energético'!B1216</f>
        <v>Etanol</v>
      </c>
      <c r="D245">
        <f t="shared" si="59"/>
        <v>0</v>
      </c>
      <c r="E245" s="280">
        <f t="shared" si="60"/>
        <v>3.2000000000000001E-2</v>
      </c>
      <c r="F245" s="280">
        <f t="shared" si="61"/>
        <v>4.0000000000000001E-3</v>
      </c>
      <c r="N245">
        <f t="shared" si="54"/>
        <v>0</v>
      </c>
      <c r="O245" s="3">
        <v>0</v>
      </c>
    </row>
    <row r="246" spans="3:18" ht="13.2" hidden="1">
      <c r="C246" t="str">
        <f>'Modelo Energético'!B1217</f>
        <v>Eucalipto</v>
      </c>
      <c r="D246">
        <f t="shared" si="59"/>
        <v>0</v>
      </c>
      <c r="E246" s="280">
        <f t="shared" si="60"/>
        <v>3.2000000000000001E-2</v>
      </c>
      <c r="F246" s="280">
        <f t="shared" si="61"/>
        <v>4.0000000000000001E-3</v>
      </c>
      <c r="N246">
        <f t="shared" si="54"/>
        <v>0</v>
      </c>
      <c r="O246" s="3">
        <v>0</v>
      </c>
    </row>
    <row r="247" spans="3:18" ht="13.2" hidden="1">
      <c r="C247" t="str">
        <f>'Modelo Energético'!B1218</f>
        <v>Pinho (bálsamo) - casca</v>
      </c>
      <c r="D247">
        <f t="shared" si="59"/>
        <v>0</v>
      </c>
      <c r="E247" s="280">
        <f t="shared" si="60"/>
        <v>3.2000000000000001E-2</v>
      </c>
      <c r="F247" s="280">
        <f t="shared" si="61"/>
        <v>4.0000000000000001E-3</v>
      </c>
      <c r="N247">
        <f t="shared" si="54"/>
        <v>0</v>
      </c>
      <c r="O247" s="3">
        <v>0</v>
      </c>
    </row>
    <row r="248" spans="3:18" ht="13.2" hidden="1">
      <c r="C248" t="str">
        <f>'Modelo Energético'!B1219</f>
        <v>Linho</v>
      </c>
      <c r="D248">
        <f t="shared" si="59"/>
        <v>0</v>
      </c>
      <c r="E248" s="280">
        <f t="shared" si="60"/>
        <v>3.2000000000000001E-2</v>
      </c>
      <c r="F248" s="280">
        <f t="shared" si="61"/>
        <v>4.0000000000000001E-3</v>
      </c>
      <c r="N248">
        <f t="shared" si="54"/>
        <v>0</v>
      </c>
      <c r="O248" s="3">
        <v>0</v>
      </c>
    </row>
    <row r="249" spans="3:18" ht="13.2" hidden="1">
      <c r="C249" t="str">
        <f>'Modelo Energético'!B1220</f>
        <v>Resíduo de alimentos</v>
      </c>
      <c r="D249">
        <f t="shared" si="59"/>
        <v>0</v>
      </c>
      <c r="E249" s="280">
        <f t="shared" si="60"/>
        <v>3.2000000000000001E-2</v>
      </c>
      <c r="F249" s="280">
        <f t="shared" si="61"/>
        <v>4.0000000000000001E-3</v>
      </c>
      <c r="N249">
        <f t="shared" si="54"/>
        <v>0</v>
      </c>
      <c r="O249" s="3">
        <v>0</v>
      </c>
    </row>
    <row r="250" spans="3:18" ht="13.2" hidden="1">
      <c r="C250" t="str">
        <f>'Modelo Energético'!B1221</f>
        <v>Floresta - resíduo</v>
      </c>
      <c r="D250">
        <f t="shared" si="59"/>
        <v>0</v>
      </c>
      <c r="E250" s="280">
        <f t="shared" si="60"/>
        <v>3.2000000000000001E-2</v>
      </c>
      <c r="F250" s="280">
        <f t="shared" si="61"/>
        <v>4.0000000000000001E-3</v>
      </c>
      <c r="N250">
        <f t="shared" si="54"/>
        <v>0</v>
      </c>
      <c r="O250" s="3">
        <v>0</v>
      </c>
    </row>
    <row r="251" spans="3:18" ht="13.2" hidden="1">
      <c r="C251" t="str">
        <f>'Modelo Energético'!B1222</f>
        <v>Avelã - casca</v>
      </c>
      <c r="D251">
        <f t="shared" si="59"/>
        <v>0</v>
      </c>
      <c r="E251" s="280">
        <f t="shared" si="60"/>
        <v>3.2000000000000001E-2</v>
      </c>
      <c r="F251" s="280">
        <f t="shared" si="61"/>
        <v>4.0000000000000001E-3</v>
      </c>
      <c r="N251">
        <f t="shared" si="54"/>
        <v>0</v>
      </c>
      <c r="O251" s="3">
        <v>0</v>
      </c>
    </row>
    <row r="252" spans="3:18" ht="13.2" hidden="1">
      <c r="C252" t="str">
        <f>'Modelo Energético'!B1223</f>
        <v>Cânhamo</v>
      </c>
      <c r="D252">
        <f t="shared" si="59"/>
        <v>0</v>
      </c>
      <c r="E252" s="280">
        <f t="shared" si="60"/>
        <v>3.2000000000000001E-2</v>
      </c>
      <c r="F252" s="280">
        <f t="shared" si="61"/>
        <v>4.0000000000000001E-3</v>
      </c>
      <c r="N252">
        <f t="shared" si="54"/>
        <v>0</v>
      </c>
      <c r="O252" s="3">
        <v>0</v>
      </c>
    </row>
    <row r="253" spans="3:18" ht="13.2" hidden="1">
      <c r="C253" t="str">
        <f>'Modelo Energético'!B1224</f>
        <v>Nogueira</v>
      </c>
      <c r="D253">
        <f t="shared" si="59"/>
        <v>0</v>
      </c>
      <c r="E253" s="280">
        <f t="shared" si="60"/>
        <v>3.2000000000000001E-2</v>
      </c>
      <c r="F253" s="280">
        <f t="shared" si="61"/>
        <v>4.0000000000000001E-3</v>
      </c>
      <c r="N253">
        <f t="shared" si="54"/>
        <v>0</v>
      </c>
      <c r="O253" s="3">
        <v>0</v>
      </c>
    </row>
    <row r="254" spans="3:18" ht="13.2" hidden="1">
      <c r="C254" t="str">
        <f>'Modelo Energético'!B1225</f>
        <v>Hidrogênio</v>
      </c>
      <c r="D254">
        <f t="shared" si="59"/>
        <v>0</v>
      </c>
      <c r="E254" s="280">
        <f t="shared" si="60"/>
        <v>3.2000000000000001E-2</v>
      </c>
      <c r="F254" s="280">
        <f t="shared" si="61"/>
        <v>4.0000000000000001E-3</v>
      </c>
      <c r="N254">
        <f t="shared" si="54"/>
        <v>0</v>
      </c>
      <c r="O254" s="3">
        <v>0</v>
      </c>
    </row>
    <row r="255" spans="3:18" ht="13.2" hidden="1">
      <c r="C255" t="str">
        <f>'Modelo Energético'!B1226</f>
        <v>Gás de Lixo (Biogás)</v>
      </c>
      <c r="D255">
        <f>IF(EMHV=1,H255,P255)</f>
        <v>0</v>
      </c>
      <c r="E255" s="280">
        <f>IF(EMHV=1,I255,Q255)</f>
        <v>0</v>
      </c>
      <c r="F255" s="280">
        <f>IF(EMHV=1,J255,R255)</f>
        <v>0</v>
      </c>
      <c r="H255">
        <f>Ferramentas!D421</f>
        <v>0</v>
      </c>
      <c r="I255">
        <f>Ferramentas!D422</f>
        <v>0</v>
      </c>
      <c r="J255">
        <f>Ferramentas!D423</f>
        <v>0</v>
      </c>
      <c r="N255">
        <f t="shared" si="54"/>
        <v>0</v>
      </c>
      <c r="O255" s="3">
        <v>0</v>
      </c>
      <c r="P255">
        <f>H255</f>
        <v>0</v>
      </c>
      <c r="Q255">
        <f>I255</f>
        <v>0</v>
      </c>
      <c r="R255">
        <f>J255</f>
        <v>0</v>
      </c>
    </row>
    <row r="256" spans="3:18" ht="13.2" hidden="1">
      <c r="C256" t="str">
        <f>'Modelo Energético'!B1227</f>
        <v>Lariço</v>
      </c>
      <c r="D256">
        <f t="shared" si="59"/>
        <v>0</v>
      </c>
      <c r="E256" s="280">
        <f t="shared" si="60"/>
        <v>3.2000000000000001E-2</v>
      </c>
      <c r="F256" s="280">
        <f t="shared" si="61"/>
        <v>4.0000000000000001E-3</v>
      </c>
      <c r="N256">
        <f t="shared" si="54"/>
        <v>0</v>
      </c>
      <c r="O256" s="3">
        <v>0</v>
      </c>
    </row>
    <row r="257" spans="3:15" ht="13.2" hidden="1">
      <c r="C257" t="str">
        <f>'Modelo Energético'!B1228</f>
        <v>Couro</v>
      </c>
      <c r="D257">
        <f t="shared" si="59"/>
        <v>0</v>
      </c>
      <c r="E257" s="280">
        <f t="shared" si="60"/>
        <v>3.2000000000000001E-2</v>
      </c>
      <c r="F257" s="280">
        <f t="shared" si="61"/>
        <v>4.0000000000000001E-3</v>
      </c>
      <c r="N257">
        <f t="shared" si="54"/>
        <v>0</v>
      </c>
      <c r="O257" s="3">
        <v>0</v>
      </c>
    </row>
    <row r="258" spans="3:15" ht="13.2" hidden="1">
      <c r="C258" t="str">
        <f>'Modelo Energético'!B1229</f>
        <v>Macadâmia</v>
      </c>
      <c r="D258">
        <f t="shared" si="59"/>
        <v>0</v>
      </c>
      <c r="E258" s="280">
        <f t="shared" si="60"/>
        <v>3.2000000000000001E-2</v>
      </c>
      <c r="F258" s="280">
        <f t="shared" si="61"/>
        <v>4.0000000000000001E-3</v>
      </c>
      <c r="N258">
        <f t="shared" si="54"/>
        <v>0</v>
      </c>
      <c r="O258" s="3">
        <v>0</v>
      </c>
    </row>
    <row r="259" spans="3:15" ht="13.2" hidden="1">
      <c r="C259" t="str">
        <f>'Modelo Energético'!B1230</f>
        <v>Esterco</v>
      </c>
      <c r="D259">
        <f t="shared" si="59"/>
        <v>0</v>
      </c>
      <c r="E259" s="280">
        <f t="shared" si="60"/>
        <v>3.2000000000000001E-2</v>
      </c>
      <c r="F259" s="280">
        <f t="shared" si="61"/>
        <v>4.0000000000000001E-3</v>
      </c>
      <c r="N259">
        <f t="shared" si="54"/>
        <v>0</v>
      </c>
      <c r="O259" s="3">
        <v>0</v>
      </c>
    </row>
    <row r="260" spans="3:15" ht="13.2" hidden="1">
      <c r="C260" t="str">
        <f>'Modelo Energético'!B1231</f>
        <v>Acer (açucar) - casca</v>
      </c>
      <c r="D260">
        <f t="shared" si="59"/>
        <v>0</v>
      </c>
      <c r="E260" s="280">
        <f t="shared" si="60"/>
        <v>3.2000000000000001E-2</v>
      </c>
      <c r="F260" s="280">
        <f t="shared" si="61"/>
        <v>4.0000000000000001E-3</v>
      </c>
      <c r="N260">
        <f t="shared" si="54"/>
        <v>0</v>
      </c>
      <c r="O260" s="3">
        <v>0</v>
      </c>
    </row>
    <row r="261" spans="3:15" ht="13.2" hidden="1">
      <c r="C261" t="str">
        <f>'Modelo Energético'!B1232</f>
        <v>Metanol</v>
      </c>
      <c r="D261">
        <f t="shared" si="59"/>
        <v>0</v>
      </c>
      <c r="E261" s="280">
        <f t="shared" si="60"/>
        <v>3.2000000000000001E-2</v>
      </c>
      <c r="F261" s="280">
        <f t="shared" si="61"/>
        <v>4.0000000000000001E-3</v>
      </c>
      <c r="N261">
        <f t="shared" si="54"/>
        <v>0</v>
      </c>
      <c r="O261" s="3">
        <v>0</v>
      </c>
    </row>
    <row r="262" spans="3:15" ht="13.2" hidden="1">
      <c r="C262" t="str">
        <f>'Modelo Energético'!B1233</f>
        <v>Carvalho</v>
      </c>
      <c r="D262">
        <f t="shared" si="59"/>
        <v>0</v>
      </c>
      <c r="E262" s="280">
        <f t="shared" si="60"/>
        <v>3.2000000000000001E-2</v>
      </c>
      <c r="F262" s="280">
        <f t="shared" si="61"/>
        <v>4.0000000000000001E-3</v>
      </c>
      <c r="N262">
        <f t="shared" si="54"/>
        <v>0</v>
      </c>
      <c r="O262" s="3">
        <v>0</v>
      </c>
    </row>
    <row r="263" spans="3:15" ht="13.2" hidden="1">
      <c r="C263" t="str">
        <f>'Modelo Energético'!B1234</f>
        <v>Palha da aveia</v>
      </c>
      <c r="D263">
        <f t="shared" si="59"/>
        <v>0</v>
      </c>
      <c r="E263" s="280">
        <f t="shared" si="60"/>
        <v>3.2000000000000001E-2</v>
      </c>
      <c r="F263" s="280">
        <f t="shared" si="61"/>
        <v>4.0000000000000001E-3</v>
      </c>
      <c r="N263">
        <f t="shared" si="54"/>
        <v>0</v>
      </c>
      <c r="O263" s="3">
        <v>0</v>
      </c>
    </row>
    <row r="264" spans="3:15" ht="13.2" hidden="1">
      <c r="C264" t="str">
        <f>'Modelo Energético'!B1235</f>
        <v>Azeitona - caroço</v>
      </c>
      <c r="D264">
        <f t="shared" si="59"/>
        <v>0</v>
      </c>
      <c r="E264" s="280">
        <f t="shared" si="60"/>
        <v>3.2000000000000001E-2</v>
      </c>
      <c r="F264" s="280">
        <f t="shared" si="61"/>
        <v>4.0000000000000001E-3</v>
      </c>
      <c r="N264">
        <f t="shared" si="54"/>
        <v>0</v>
      </c>
      <c r="O264" s="3">
        <v>0</v>
      </c>
    </row>
    <row r="265" spans="3:15" ht="13.2" hidden="1">
      <c r="C265" t="str">
        <f>'Modelo Energético'!B1236</f>
        <v>Embalagens - resíduo</v>
      </c>
      <c r="D265">
        <f t="shared" si="59"/>
        <v>0</v>
      </c>
      <c r="E265" s="280">
        <f t="shared" si="60"/>
        <v>3.2000000000000001E-2</v>
      </c>
      <c r="F265" s="280">
        <f t="shared" si="61"/>
        <v>4.0000000000000001E-3</v>
      </c>
      <c r="N265">
        <f t="shared" si="54"/>
        <v>0</v>
      </c>
      <c r="O265" s="3">
        <v>0</v>
      </c>
    </row>
    <row r="266" spans="3:15" ht="13.2" hidden="1">
      <c r="C266" t="str">
        <f>'Modelo Energético'!B1237</f>
        <v>Óleo de palma - residuo</v>
      </c>
      <c r="D266">
        <f t="shared" si="59"/>
        <v>0</v>
      </c>
      <c r="E266" s="280">
        <f t="shared" si="60"/>
        <v>3.2000000000000001E-2</v>
      </c>
      <c r="F266" s="280">
        <f t="shared" si="61"/>
        <v>4.0000000000000001E-3</v>
      </c>
      <c r="N266">
        <f t="shared" si="54"/>
        <v>0</v>
      </c>
      <c r="O266" s="3">
        <v>0</v>
      </c>
    </row>
    <row r="267" spans="3:15" ht="13.2" hidden="1">
      <c r="C267" t="str">
        <f>'Modelo Energético'!B1238</f>
        <v>Óleo de palma bruto</v>
      </c>
      <c r="D267">
        <f t="shared" si="59"/>
        <v>0</v>
      </c>
      <c r="E267" s="280">
        <f t="shared" si="60"/>
        <v>3.2000000000000001E-2</v>
      </c>
      <c r="F267" s="280">
        <f t="shared" si="61"/>
        <v>4.0000000000000001E-3</v>
      </c>
      <c r="N267">
        <f t="shared" si="54"/>
        <v>0</v>
      </c>
      <c r="O267" s="3">
        <v>0</v>
      </c>
    </row>
    <row r="268" spans="3:15" ht="13.2" hidden="1">
      <c r="C268" t="str">
        <f>'Modelo Energético'!B1239</f>
        <v>Papel</v>
      </c>
      <c r="D268">
        <f t="shared" si="59"/>
        <v>0</v>
      </c>
      <c r="E268" s="280">
        <f t="shared" si="60"/>
        <v>3.2000000000000001E-2</v>
      </c>
      <c r="F268" s="280">
        <f t="shared" si="61"/>
        <v>4.0000000000000001E-3</v>
      </c>
      <c r="N268">
        <f t="shared" si="54"/>
        <v>0</v>
      </c>
      <c r="O268" s="3">
        <v>0</v>
      </c>
    </row>
    <row r="269" spans="3:15" ht="13.2" hidden="1">
      <c r="C269" t="str">
        <f>'Modelo Energético'!B1240</f>
        <v>Amendoim - casca</v>
      </c>
      <c r="D269">
        <f t="shared" si="59"/>
        <v>0</v>
      </c>
      <c r="E269" s="280">
        <f t="shared" si="60"/>
        <v>3.2000000000000001E-2</v>
      </c>
      <c r="F269" s="280">
        <f t="shared" si="61"/>
        <v>4.0000000000000001E-3</v>
      </c>
      <c r="N269">
        <f t="shared" si="54"/>
        <v>0</v>
      </c>
      <c r="O269" s="3">
        <v>0</v>
      </c>
    </row>
    <row r="270" spans="3:15" ht="13.2" hidden="1">
      <c r="C270" t="str">
        <f>'Modelo Energético'!B1241</f>
        <v>Turfa</v>
      </c>
      <c r="D270">
        <f t="shared" si="59"/>
        <v>0</v>
      </c>
      <c r="E270" s="280">
        <f t="shared" si="60"/>
        <v>3.2000000000000001E-2</v>
      </c>
      <c r="F270" s="280">
        <f t="shared" si="61"/>
        <v>4.0000000000000001E-3</v>
      </c>
      <c r="N270">
        <f t="shared" si="54"/>
        <v>0</v>
      </c>
      <c r="O270" s="3">
        <v>0</v>
      </c>
    </row>
    <row r="271" spans="3:15" ht="13.2" hidden="1">
      <c r="C271" t="str">
        <f>'Modelo Energético'!B1242</f>
        <v>Pinho</v>
      </c>
      <c r="D271">
        <f t="shared" si="59"/>
        <v>0</v>
      </c>
      <c r="E271" s="280">
        <f t="shared" si="60"/>
        <v>3.2000000000000001E-2</v>
      </c>
      <c r="F271" s="280">
        <f t="shared" si="61"/>
        <v>4.0000000000000001E-3</v>
      </c>
      <c r="N271">
        <f t="shared" si="54"/>
        <v>0</v>
      </c>
      <c r="O271" s="3">
        <v>0</v>
      </c>
    </row>
    <row r="272" spans="3:15" ht="13.2" hidden="1">
      <c r="C272" t="str">
        <f>'Modelo Energético'!B1243</f>
        <v>Pinho - casca</v>
      </c>
      <c r="D272">
        <f t="shared" si="59"/>
        <v>0</v>
      </c>
      <c r="E272" s="280">
        <f t="shared" si="60"/>
        <v>3.2000000000000001E-2</v>
      </c>
      <c r="F272" s="280">
        <f t="shared" si="61"/>
        <v>4.0000000000000001E-3</v>
      </c>
      <c r="N272">
        <f t="shared" ref="N272:N315" si="62">SUMIF($C$117:$C$126,C272,$Q$117:$Q$126)</f>
        <v>0</v>
      </c>
      <c r="O272" s="3">
        <v>0</v>
      </c>
    </row>
    <row r="273" spans="3:20" ht="13.2" hidden="1">
      <c r="C273" t="str">
        <f>'Modelo Energético'!B1244</f>
        <v>Pistache - casca</v>
      </c>
      <c r="D273">
        <f t="shared" si="59"/>
        <v>0</v>
      </c>
      <c r="E273" s="280">
        <f t="shared" si="60"/>
        <v>3.2000000000000001E-2</v>
      </c>
      <c r="F273" s="280">
        <f t="shared" si="61"/>
        <v>4.0000000000000001E-3</v>
      </c>
      <c r="N273">
        <f t="shared" si="62"/>
        <v>0</v>
      </c>
      <c r="O273" s="3">
        <v>0</v>
      </c>
    </row>
    <row r="274" spans="3:20" ht="13.2" hidden="1">
      <c r="C274" t="str">
        <f>'Modelo Energético'!B1245</f>
        <v>Plástico</v>
      </c>
      <c r="D274">
        <f>IF(EMHV=1,H274,P274)</f>
        <v>73.34</v>
      </c>
      <c r="E274" s="280">
        <f>IF(EMHV=1,I274,Q274)</f>
        <v>2E-3</v>
      </c>
      <c r="F274" s="280">
        <f>IF(EMHV=1,J274,R274)</f>
        <v>2E-3</v>
      </c>
      <c r="H274">
        <f>H209</f>
        <v>69.34</v>
      </c>
      <c r="I274">
        <f>I209</f>
        <v>1.8909680262910967E-3</v>
      </c>
      <c r="J274">
        <f>J209</f>
        <v>1.8909680262910967E-3</v>
      </c>
      <c r="N274">
        <f t="shared" si="62"/>
        <v>0</v>
      </c>
      <c r="O274" s="3">
        <v>0</v>
      </c>
      <c r="P274">
        <f>P209</f>
        <v>73.34</v>
      </c>
      <c r="Q274">
        <f>Q209</f>
        <v>2E-3</v>
      </c>
      <c r="R274">
        <f>R209</f>
        <v>2E-3</v>
      </c>
    </row>
    <row r="275" spans="3:20" ht="13.2" hidden="1">
      <c r="C275" t="str">
        <f>'Modelo Energético'!B1246</f>
        <v>Choupo</v>
      </c>
      <c r="D275">
        <f t="shared" si="59"/>
        <v>0</v>
      </c>
      <c r="E275" s="280">
        <f t="shared" si="60"/>
        <v>3.2000000000000001E-2</v>
      </c>
      <c r="F275" s="280">
        <f t="shared" si="61"/>
        <v>4.0000000000000001E-3</v>
      </c>
      <c r="N275">
        <f t="shared" si="62"/>
        <v>0</v>
      </c>
      <c r="O275" s="3">
        <v>0</v>
      </c>
    </row>
    <row r="276" spans="3:20" ht="13.2" hidden="1">
      <c r="C276" t="str">
        <f>'Modelo Energético'!B1247</f>
        <v>Choupo - casca</v>
      </c>
      <c r="D276">
        <f t="shared" si="59"/>
        <v>0</v>
      </c>
      <c r="E276" s="280">
        <f t="shared" si="60"/>
        <v>3.2000000000000001E-2</v>
      </c>
      <c r="F276" s="280">
        <f t="shared" si="61"/>
        <v>4.0000000000000001E-3</v>
      </c>
      <c r="N276">
        <f t="shared" si="62"/>
        <v>0</v>
      </c>
      <c r="O276" s="3">
        <v>0</v>
      </c>
    </row>
    <row r="277" spans="3:20" ht="13.2" hidden="1">
      <c r="C277" t="str">
        <f>'Modelo Energético'!B1248</f>
        <v>Furnier de aves</v>
      </c>
      <c r="D277">
        <f t="shared" si="59"/>
        <v>0</v>
      </c>
      <c r="E277" s="280">
        <f t="shared" si="60"/>
        <v>3.2000000000000001E-2</v>
      </c>
      <c r="F277" s="280">
        <f t="shared" si="61"/>
        <v>4.0000000000000001E-3</v>
      </c>
      <c r="N277">
        <f t="shared" si="62"/>
        <v>0</v>
      </c>
      <c r="O277" s="3">
        <v>0</v>
      </c>
    </row>
    <row r="278" spans="3:20" ht="13.2" hidden="1">
      <c r="C278" t="str">
        <f>'Modelo Energético'!B1249</f>
        <v>Ameixa - caroço</v>
      </c>
      <c r="D278">
        <f t="shared" si="59"/>
        <v>0</v>
      </c>
      <c r="E278" s="280">
        <f t="shared" si="60"/>
        <v>3.2000000000000001E-2</v>
      </c>
      <c r="F278" s="280">
        <f t="shared" si="61"/>
        <v>4.0000000000000001E-3</v>
      </c>
      <c r="N278">
        <f t="shared" si="62"/>
        <v>0</v>
      </c>
      <c r="O278" s="3">
        <v>0</v>
      </c>
    </row>
    <row r="279" spans="3:20" ht="13.2" hidden="1">
      <c r="C279" t="str">
        <f>'Modelo Energético'!B1250</f>
        <v>Colza - palha</v>
      </c>
      <c r="D279">
        <f t="shared" si="59"/>
        <v>0</v>
      </c>
      <c r="E279" s="280">
        <f t="shared" si="60"/>
        <v>3.2000000000000001E-2</v>
      </c>
      <c r="F279" s="280">
        <f t="shared" si="61"/>
        <v>4.0000000000000001E-3</v>
      </c>
      <c r="N279">
        <f t="shared" si="62"/>
        <v>0</v>
      </c>
      <c r="O279" s="3">
        <v>0</v>
      </c>
    </row>
    <row r="280" spans="3:20" ht="13.2" hidden="1">
      <c r="C280" t="str">
        <f>'Modelo Energético'!B1251</f>
        <v>Colza - semente</v>
      </c>
      <c r="D280">
        <f t="shared" si="59"/>
        <v>0</v>
      </c>
      <c r="E280" s="280">
        <f t="shared" si="60"/>
        <v>3.2000000000000001E-2</v>
      </c>
      <c r="F280" s="280">
        <f t="shared" si="61"/>
        <v>4.0000000000000001E-3</v>
      </c>
      <c r="N280">
        <f t="shared" si="62"/>
        <v>0</v>
      </c>
      <c r="O280" s="3">
        <v>0</v>
      </c>
    </row>
    <row r="281" spans="3:20" ht="13.2" hidden="1">
      <c r="C281" t="str">
        <f>'Modelo Energético'!B1252</f>
        <v>Combustível deriv. recusa(RDF)-pelotas</v>
      </c>
      <c r="D281">
        <f>IF(EMHV=1,H281,P281)</f>
        <v>8.8008000000000006</v>
      </c>
      <c r="E281" s="280">
        <f>IF(EMHV=1,I281,Q281)</f>
        <v>2.8400000000000002E-2</v>
      </c>
      <c r="F281" s="280">
        <f>IF(EMHV=1,J281,R281)</f>
        <v>3.7600000000000003E-3</v>
      </c>
      <c r="H281">
        <f>H274*$T$281+H207*(1-$T$281)</f>
        <v>8.3208000000000002</v>
      </c>
      <c r="I281">
        <f>I274*$T$281+I207*(1-$T$281)</f>
        <v>2.6512560782240353E-2</v>
      </c>
      <c r="J281">
        <f>J274*$T$281+J207*(1-$T$281)</f>
        <v>3.5126217405406094E-3</v>
      </c>
      <c r="N281">
        <f t="shared" si="62"/>
        <v>0</v>
      </c>
      <c r="O281" s="3">
        <v>0</v>
      </c>
      <c r="P281">
        <f>P274*$T$281+P207*(1-$T$281)</f>
        <v>8.8008000000000006</v>
      </c>
      <c r="Q281">
        <f>Q274*$T$281+Q207*(1-$T$281)</f>
        <v>2.8400000000000002E-2</v>
      </c>
      <c r="R281">
        <f>R274*$T$281+R207*(1-$T$281)</f>
        <v>3.7600000000000003E-3</v>
      </c>
      <c r="T281">
        <v>0.12</v>
      </c>
    </row>
    <row r="282" spans="3:20" ht="13.2" hidden="1">
      <c r="C282" t="str">
        <f>'Modelo Energético'!B1253</f>
        <v>Arroz - casca</v>
      </c>
      <c r="D282">
        <f t="shared" si="59"/>
        <v>0</v>
      </c>
      <c r="E282" s="280">
        <f t="shared" si="60"/>
        <v>3.2000000000000001E-2</v>
      </c>
      <c r="F282" s="280">
        <f t="shared" si="61"/>
        <v>4.0000000000000001E-3</v>
      </c>
      <c r="N282">
        <f t="shared" si="62"/>
        <v>0</v>
      </c>
      <c r="O282" s="3">
        <v>0</v>
      </c>
    </row>
    <row r="283" spans="3:20" ht="13.2" hidden="1">
      <c r="C283" t="str">
        <f>'Modelo Energético'!B1254</f>
        <v>Arroz - palha</v>
      </c>
      <c r="D283">
        <f t="shared" si="59"/>
        <v>0</v>
      </c>
      <c r="E283" s="280">
        <f t="shared" si="60"/>
        <v>3.2000000000000001E-2</v>
      </c>
      <c r="F283" s="280">
        <f t="shared" si="61"/>
        <v>4.0000000000000001E-3</v>
      </c>
      <c r="N283">
        <f t="shared" si="62"/>
        <v>0</v>
      </c>
      <c r="O283" s="3">
        <v>0</v>
      </c>
    </row>
    <row r="284" spans="3:20" ht="13.2" hidden="1">
      <c r="C284" t="str">
        <f>'Modelo Energético'!B1255</f>
        <v>Centeio - palha</v>
      </c>
      <c r="D284">
        <f t="shared" si="59"/>
        <v>0</v>
      </c>
      <c r="E284" s="280">
        <f t="shared" si="60"/>
        <v>3.2000000000000001E-2</v>
      </c>
      <c r="F284" s="280">
        <f t="shared" si="61"/>
        <v>4.0000000000000001E-3</v>
      </c>
      <c r="N284">
        <f t="shared" si="62"/>
        <v>0</v>
      </c>
      <c r="O284" s="3">
        <v>0</v>
      </c>
    </row>
    <row r="285" spans="3:20" ht="13.2" hidden="1">
      <c r="C285" t="str">
        <f>'Modelo Energético'!B1256</f>
        <v>Poeira - MDF</v>
      </c>
      <c r="D285">
        <f t="shared" si="59"/>
        <v>0</v>
      </c>
      <c r="E285" s="280">
        <f t="shared" si="60"/>
        <v>3.2000000000000001E-2</v>
      </c>
      <c r="F285" s="280">
        <f t="shared" si="61"/>
        <v>4.0000000000000001E-3</v>
      </c>
      <c r="N285">
        <f t="shared" si="62"/>
        <v>0</v>
      </c>
      <c r="O285" s="3">
        <v>0</v>
      </c>
    </row>
    <row r="286" spans="3:20" ht="13.2" hidden="1">
      <c r="C286" t="str">
        <f>'Modelo Energético'!B1257</f>
        <v>Serragem</v>
      </c>
      <c r="D286">
        <f t="shared" si="59"/>
        <v>0</v>
      </c>
      <c r="E286" s="280">
        <f t="shared" si="60"/>
        <v>3.2000000000000001E-2</v>
      </c>
      <c r="F286" s="280">
        <f t="shared" si="61"/>
        <v>4.0000000000000001E-3</v>
      </c>
      <c r="N286">
        <f t="shared" si="62"/>
        <v>0</v>
      </c>
      <c r="O286" s="3">
        <v>0</v>
      </c>
    </row>
    <row r="287" spans="3:20" ht="13.2" hidden="1">
      <c r="C287" t="str">
        <f>'Modelo Energético'!B1258</f>
        <v>Sequoia</v>
      </c>
      <c r="D287">
        <f t="shared" si="59"/>
        <v>0</v>
      </c>
      <c r="E287" s="280">
        <f t="shared" si="60"/>
        <v>3.2000000000000001E-2</v>
      </c>
      <c r="F287" s="280">
        <f t="shared" si="61"/>
        <v>4.0000000000000001E-3</v>
      </c>
      <c r="N287">
        <f t="shared" si="62"/>
        <v>0</v>
      </c>
      <c r="O287" s="3">
        <v>0</v>
      </c>
    </row>
    <row r="288" spans="3:20" ht="13.2" hidden="1">
      <c r="C288" t="str">
        <f>'Modelo Energético'!B1259</f>
        <v>Gás - esgoto</v>
      </c>
      <c r="D288">
        <f t="shared" si="59"/>
        <v>0</v>
      </c>
      <c r="E288" s="280">
        <f t="shared" si="60"/>
        <v>3.2000000000000001E-2</v>
      </c>
      <c r="F288" s="280">
        <f t="shared" si="61"/>
        <v>4.0000000000000001E-3</v>
      </c>
      <c r="N288">
        <f t="shared" si="62"/>
        <v>0</v>
      </c>
      <c r="O288" s="3">
        <v>0</v>
      </c>
    </row>
    <row r="289" spans="3:18" ht="13.2" hidden="1">
      <c r="C289" t="str">
        <f>'Modelo Energético'!B1260</f>
        <v>Lodo - esgoto</v>
      </c>
      <c r="D289">
        <f t="shared" ref="D289:D315" si="63">$D$207</f>
        <v>0</v>
      </c>
      <c r="E289" s="280">
        <f t="shared" ref="E289:E315" si="64">$E$207</f>
        <v>3.2000000000000001E-2</v>
      </c>
      <c r="F289" s="280">
        <f t="shared" ref="F289:F315" si="65">$F$207</f>
        <v>4.0000000000000001E-3</v>
      </c>
      <c r="N289">
        <f t="shared" si="62"/>
        <v>0</v>
      </c>
      <c r="O289" s="3">
        <v>0</v>
      </c>
    </row>
    <row r="290" spans="3:18" ht="13.2" hidden="1">
      <c r="C290" t="str">
        <f>'Modelo Energético'!B1261</f>
        <v>Lodo (descolorante)</v>
      </c>
      <c r="D290">
        <f t="shared" si="63"/>
        <v>0</v>
      </c>
      <c r="E290" s="280">
        <f t="shared" si="64"/>
        <v>3.2000000000000001E-2</v>
      </c>
      <c r="F290" s="280">
        <f t="shared" si="65"/>
        <v>4.0000000000000001E-3</v>
      </c>
      <c r="N290">
        <f t="shared" si="62"/>
        <v>0</v>
      </c>
      <c r="O290" s="3">
        <v>0</v>
      </c>
    </row>
    <row r="291" spans="3:18" ht="13.2" hidden="1">
      <c r="C291" t="str">
        <f>'Modelo Energético'!B1262</f>
        <v>Lodo - usina de papel</v>
      </c>
      <c r="D291">
        <f t="shared" si="63"/>
        <v>0</v>
      </c>
      <c r="E291" s="280">
        <f t="shared" si="64"/>
        <v>3.2000000000000001E-2</v>
      </c>
      <c r="F291" s="280">
        <f t="shared" si="65"/>
        <v>4.0000000000000001E-3</v>
      </c>
      <c r="N291">
        <f t="shared" si="62"/>
        <v>0</v>
      </c>
      <c r="O291" s="3">
        <v>0</v>
      </c>
    </row>
    <row r="292" spans="3:18" ht="13.2" hidden="1">
      <c r="C292" t="str">
        <f>'Modelo Energético'!B1263</f>
        <v>Abeto - casca</v>
      </c>
      <c r="D292">
        <f t="shared" si="63"/>
        <v>0</v>
      </c>
      <c r="E292" s="280">
        <f t="shared" si="64"/>
        <v>3.2000000000000001E-2</v>
      </c>
      <c r="F292" s="280">
        <f t="shared" si="65"/>
        <v>4.0000000000000001E-3</v>
      </c>
      <c r="N292">
        <f t="shared" si="62"/>
        <v>0</v>
      </c>
      <c r="O292" s="3">
        <v>0</v>
      </c>
    </row>
    <row r="293" spans="3:18" ht="13.2" hidden="1">
      <c r="C293" t="str">
        <f>'Modelo Energético'!B1264</f>
        <v>Resíduos da beterraba</v>
      </c>
      <c r="D293">
        <f t="shared" si="63"/>
        <v>0</v>
      </c>
      <c r="E293" s="280">
        <f t="shared" si="64"/>
        <v>3.2000000000000001E-2</v>
      </c>
      <c r="F293" s="280">
        <f t="shared" si="65"/>
        <v>4.0000000000000001E-3</v>
      </c>
      <c r="N293">
        <f t="shared" si="62"/>
        <v>0</v>
      </c>
      <c r="O293" s="3">
        <v>0</v>
      </c>
    </row>
    <row r="294" spans="3:18" ht="13.2" hidden="1">
      <c r="C294" t="str">
        <f>'Modelo Energético'!B1265</f>
        <v>Girassol - palha</v>
      </c>
      <c r="D294">
        <f t="shared" si="63"/>
        <v>0</v>
      </c>
      <c r="E294" s="280">
        <f t="shared" si="64"/>
        <v>3.2000000000000001E-2</v>
      </c>
      <c r="F294" s="280">
        <f t="shared" si="65"/>
        <v>4.0000000000000001E-3</v>
      </c>
      <c r="N294">
        <f t="shared" si="62"/>
        <v>0</v>
      </c>
      <c r="O294" s="3">
        <v>0</v>
      </c>
    </row>
    <row r="295" spans="3:18" ht="13.2" hidden="1">
      <c r="C295" t="str">
        <f>'Modelo Energético'!B1266</f>
        <v>Girassol - casca</v>
      </c>
      <c r="D295">
        <f t="shared" si="63"/>
        <v>0</v>
      </c>
      <c r="E295" s="280">
        <f t="shared" si="64"/>
        <v>3.2000000000000001E-2</v>
      </c>
      <c r="F295" s="280">
        <f t="shared" si="65"/>
        <v>4.0000000000000001E-3</v>
      </c>
      <c r="N295">
        <f t="shared" si="62"/>
        <v>0</v>
      </c>
      <c r="O295" s="3">
        <v>0</v>
      </c>
    </row>
    <row r="296" spans="3:18" ht="13.2" hidden="1">
      <c r="C296" t="str">
        <f>'Modelo Energético'!B1267</f>
        <v>Grama</v>
      </c>
      <c r="D296">
        <f t="shared" si="63"/>
        <v>0</v>
      </c>
      <c r="E296" s="280">
        <f t="shared" si="64"/>
        <v>3.2000000000000001E-2</v>
      </c>
      <c r="F296" s="280">
        <f t="shared" si="65"/>
        <v>4.0000000000000001E-3</v>
      </c>
      <c r="N296">
        <f t="shared" si="62"/>
        <v>0</v>
      </c>
      <c r="O296" s="3">
        <v>0</v>
      </c>
    </row>
    <row r="297" spans="3:18" ht="13.2" hidden="1">
      <c r="C297" t="str">
        <f>'Modelo Energético'!B1268</f>
        <v>Chá - resíduos</v>
      </c>
      <c r="D297">
        <f t="shared" si="63"/>
        <v>0</v>
      </c>
      <c r="E297" s="280">
        <f t="shared" si="64"/>
        <v>3.2000000000000001E-2</v>
      </c>
      <c r="F297" s="280">
        <f t="shared" si="65"/>
        <v>4.0000000000000001E-3</v>
      </c>
      <c r="N297">
        <f t="shared" si="62"/>
        <v>0</v>
      </c>
      <c r="O297" s="3">
        <v>0</v>
      </c>
    </row>
    <row r="298" spans="3:18" ht="13.2" hidden="1">
      <c r="C298" t="str">
        <f>'Modelo Energético'!B1269</f>
        <v>Textil</v>
      </c>
      <c r="D298">
        <f t="shared" si="63"/>
        <v>0</v>
      </c>
      <c r="E298" s="280">
        <f t="shared" si="64"/>
        <v>3.2000000000000001E-2</v>
      </c>
      <c r="F298" s="280">
        <f t="shared" si="65"/>
        <v>4.0000000000000001E-3</v>
      </c>
      <c r="N298">
        <f t="shared" si="62"/>
        <v>0</v>
      </c>
      <c r="O298" s="3">
        <v>0</v>
      </c>
    </row>
    <row r="299" spans="3:18" ht="13.2" hidden="1">
      <c r="C299" t="str">
        <f>'Modelo Energético'!B1270</f>
        <v>Pneus</v>
      </c>
      <c r="D299">
        <f>IF(EMHV=1,H299,P299)</f>
        <v>73.34</v>
      </c>
      <c r="E299" s="280">
        <f>IF(EMHV=1,I299,Q299)</f>
        <v>2E-3</v>
      </c>
      <c r="F299" s="280">
        <f>IF(EMHV=1,J299,R299)</f>
        <v>2E-3</v>
      </c>
      <c r="H299">
        <f>H209</f>
        <v>69.34</v>
      </c>
      <c r="I299">
        <f>I209</f>
        <v>1.8909680262910967E-3</v>
      </c>
      <c r="J299">
        <f>J209</f>
        <v>1.8909680262910967E-3</v>
      </c>
      <c r="N299">
        <f t="shared" si="62"/>
        <v>0</v>
      </c>
      <c r="O299" s="3">
        <v>0</v>
      </c>
      <c r="P299">
        <f>P209</f>
        <v>73.34</v>
      </c>
      <c r="Q299">
        <f>Q209</f>
        <v>2E-3</v>
      </c>
      <c r="R299">
        <f>R209</f>
        <v>2E-3</v>
      </c>
    </row>
    <row r="300" spans="3:18" ht="13.2" hidden="1">
      <c r="C300" t="str">
        <f>'Modelo Energético'!B1271</f>
        <v>Noz - casca</v>
      </c>
      <c r="D300">
        <f t="shared" si="63"/>
        <v>0</v>
      </c>
      <c r="E300" s="280">
        <f t="shared" si="64"/>
        <v>3.2000000000000001E-2</v>
      </c>
      <c r="F300" s="280">
        <f t="shared" si="65"/>
        <v>4.0000000000000001E-3</v>
      </c>
      <c r="N300">
        <f t="shared" si="62"/>
        <v>0</v>
      </c>
      <c r="O300" s="3">
        <v>0</v>
      </c>
    </row>
    <row r="301" spans="3:18" ht="13.2" hidden="1">
      <c r="C301" t="str">
        <f>'Modelo Energético'!B1272</f>
        <v>Árvore de noz</v>
      </c>
      <c r="D301">
        <f t="shared" si="63"/>
        <v>0</v>
      </c>
      <c r="E301" s="280">
        <f t="shared" si="64"/>
        <v>3.2000000000000001E-2</v>
      </c>
      <c r="F301" s="280">
        <f t="shared" si="65"/>
        <v>4.0000000000000001E-3</v>
      </c>
      <c r="N301">
        <f t="shared" si="62"/>
        <v>0</v>
      </c>
      <c r="O301" s="3">
        <v>0</v>
      </c>
    </row>
    <row r="302" spans="3:18" ht="13.2" hidden="1">
      <c r="C302" t="str">
        <f>'Modelo Energético'!B1273</f>
        <v>Lixo doméstico</v>
      </c>
      <c r="D302">
        <f t="shared" si="63"/>
        <v>0</v>
      </c>
      <c r="E302" s="280">
        <f t="shared" si="64"/>
        <v>3.2000000000000001E-2</v>
      </c>
      <c r="F302" s="280">
        <f t="shared" si="65"/>
        <v>4.0000000000000001E-3</v>
      </c>
      <c r="N302">
        <f t="shared" si="62"/>
        <v>0</v>
      </c>
      <c r="O302" s="3">
        <v>0</v>
      </c>
    </row>
    <row r="303" spans="3:18" ht="13.2" hidden="1">
      <c r="C303" t="str">
        <f>'Modelo Energético'!B1274</f>
        <v>Trigo - palha</v>
      </c>
      <c r="D303">
        <f t="shared" si="63"/>
        <v>0</v>
      </c>
      <c r="E303" s="280">
        <f t="shared" si="64"/>
        <v>3.2000000000000001E-2</v>
      </c>
      <c r="F303" s="280">
        <f t="shared" si="65"/>
        <v>4.0000000000000001E-3</v>
      </c>
      <c r="N303">
        <f t="shared" si="62"/>
        <v>0</v>
      </c>
      <c r="O303" s="3">
        <v>0</v>
      </c>
    </row>
    <row r="304" spans="3:18" ht="13.2" hidden="1">
      <c r="C304" t="str">
        <f>'Modelo Energético'!B1275</f>
        <v>Salgueiro (1-3 a.)</v>
      </c>
      <c r="D304">
        <f t="shared" si="63"/>
        <v>0</v>
      </c>
      <c r="E304" s="280">
        <f t="shared" si="64"/>
        <v>3.2000000000000001E-2</v>
      </c>
      <c r="F304" s="280">
        <f t="shared" si="65"/>
        <v>4.0000000000000001E-3</v>
      </c>
      <c r="N304">
        <f t="shared" si="62"/>
        <v>0</v>
      </c>
      <c r="O304" s="3">
        <v>0</v>
      </c>
    </row>
    <row r="305" spans="3:15" ht="13.2" hidden="1">
      <c r="C305" t="str">
        <f>'Modelo Energético'!B1276</f>
        <v>Madeira - casca</v>
      </c>
      <c r="D305">
        <f t="shared" si="63"/>
        <v>0</v>
      </c>
      <c r="E305" s="280">
        <f t="shared" si="64"/>
        <v>3.2000000000000001E-2</v>
      </c>
      <c r="F305" s="280">
        <f t="shared" si="65"/>
        <v>4.0000000000000001E-3</v>
      </c>
      <c r="N305">
        <f t="shared" si="62"/>
        <v>0</v>
      </c>
      <c r="O305" s="3">
        <v>0</v>
      </c>
    </row>
    <row r="306" spans="3:15" ht="13.2" hidden="1">
      <c r="C306" t="str">
        <f>'Modelo Energético'!B1277</f>
        <v>Madeira-resíduos alvejamento</v>
      </c>
      <c r="D306">
        <f t="shared" si="63"/>
        <v>0</v>
      </c>
      <c r="E306" s="280">
        <f t="shared" si="64"/>
        <v>3.2000000000000001E-2</v>
      </c>
      <c r="F306" s="280">
        <f t="shared" si="65"/>
        <v>4.0000000000000001E-3</v>
      </c>
      <c r="N306">
        <f t="shared" si="62"/>
        <v>0</v>
      </c>
      <c r="O306" s="3">
        <v>0</v>
      </c>
    </row>
    <row r="307" spans="3:15" ht="13.2" hidden="1">
      <c r="C307" t="str">
        <f>'Modelo Energético'!B1278</f>
        <v>Madeira-grãos</v>
      </c>
      <c r="D307">
        <f t="shared" si="63"/>
        <v>0</v>
      </c>
      <c r="E307" s="280">
        <f t="shared" si="64"/>
        <v>3.2000000000000001E-2</v>
      </c>
      <c r="F307" s="280">
        <f t="shared" si="65"/>
        <v>4.0000000000000001E-3</v>
      </c>
      <c r="N307">
        <f t="shared" si="62"/>
        <v>0</v>
      </c>
      <c r="O307" s="3">
        <v>0</v>
      </c>
    </row>
    <row r="308" spans="3:15" ht="13.2" hidden="1">
      <c r="C308" t="str">
        <f>'Modelo Energético'!B1279</f>
        <v>Madeira de demolição-resto</v>
      </c>
      <c r="D308">
        <f t="shared" si="63"/>
        <v>0</v>
      </c>
      <c r="E308" s="280">
        <f t="shared" si="64"/>
        <v>3.2000000000000001E-2</v>
      </c>
      <c r="F308" s="280">
        <f t="shared" si="65"/>
        <v>4.0000000000000001E-3</v>
      </c>
      <c r="N308">
        <f t="shared" si="62"/>
        <v>0</v>
      </c>
      <c r="O308" s="3">
        <v>0</v>
      </c>
    </row>
    <row r="309" spans="3:15" ht="13.2" hidden="1">
      <c r="C309" t="str">
        <f>'Modelo Energético'!B1280</f>
        <v>Madeiras macias - resíduos</v>
      </c>
      <c r="D309">
        <f t="shared" si="63"/>
        <v>0</v>
      </c>
      <c r="E309" s="280">
        <f t="shared" si="64"/>
        <v>3.2000000000000001E-2</v>
      </c>
      <c r="F309" s="280">
        <f t="shared" si="65"/>
        <v>4.0000000000000001E-3</v>
      </c>
      <c r="N309">
        <f t="shared" si="62"/>
        <v>0</v>
      </c>
      <c r="O309" s="3">
        <v>0</v>
      </c>
    </row>
    <row r="310" spans="3:15" ht="13.2" hidden="1">
      <c r="C310" t="str">
        <f>'Modelo Energético'!B1281</f>
        <v>Residuo de madeira - placa de partícula</v>
      </c>
      <c r="D310">
        <f t="shared" si="63"/>
        <v>0</v>
      </c>
      <c r="E310" s="280">
        <f t="shared" si="64"/>
        <v>3.2000000000000001E-2</v>
      </c>
      <c r="F310" s="280">
        <f t="shared" si="65"/>
        <v>4.0000000000000001E-3</v>
      </c>
      <c r="N310">
        <f t="shared" si="62"/>
        <v>0</v>
      </c>
      <c r="O310" s="3">
        <v>0</v>
      </c>
    </row>
    <row r="311" spans="3:15" ht="13.2" hidden="1">
      <c r="C311" t="str">
        <f>'Modelo Energético'!B1282</f>
        <v>Madeira - resíduo c/placa</v>
      </c>
      <c r="D311">
        <f t="shared" si="63"/>
        <v>0</v>
      </c>
      <c r="E311" s="280">
        <f t="shared" si="64"/>
        <v>3.2000000000000001E-2</v>
      </c>
      <c r="F311" s="280">
        <f t="shared" si="65"/>
        <v>4.0000000000000001E-3</v>
      </c>
      <c r="N311">
        <f t="shared" si="62"/>
        <v>0</v>
      </c>
      <c r="O311" s="3">
        <v>0</v>
      </c>
    </row>
    <row r="312" spans="3:15" ht="13.2" hidden="1">
      <c r="C312" t="str">
        <f>'Modelo Energético'!B1283</f>
        <v>Madeira - resíduo s/pressão</v>
      </c>
      <c r="D312">
        <f t="shared" si="63"/>
        <v>0</v>
      </c>
      <c r="E312" s="280">
        <f t="shared" si="64"/>
        <v>3.2000000000000001E-2</v>
      </c>
      <c r="F312" s="280">
        <f t="shared" si="65"/>
        <v>4.0000000000000001E-3</v>
      </c>
      <c r="N312">
        <f t="shared" si="62"/>
        <v>0</v>
      </c>
      <c r="O312" s="3">
        <v>0</v>
      </c>
    </row>
    <row r="313" spans="3:15" ht="13.2" hidden="1">
      <c r="C313" t="str">
        <f>'Modelo Energético'!B1284</f>
        <v>Madeira - resíduo postes telefônicos</v>
      </c>
      <c r="D313">
        <f t="shared" si="63"/>
        <v>0</v>
      </c>
      <c r="E313" s="280">
        <f t="shared" si="64"/>
        <v>3.2000000000000001E-2</v>
      </c>
      <c r="F313" s="280">
        <f t="shared" si="65"/>
        <v>4.0000000000000001E-3</v>
      </c>
      <c r="N313">
        <f t="shared" si="62"/>
        <v>0</v>
      </c>
      <c r="O313" s="3">
        <v>0</v>
      </c>
    </row>
    <row r="314" spans="3:15" ht="13.2" hidden="1">
      <c r="C314" t="str">
        <f>'Modelo Energético'!B1285</f>
        <v>Madeira - resíduo típico</v>
      </c>
      <c r="D314">
        <f t="shared" si="63"/>
        <v>0</v>
      </c>
      <c r="E314" s="280">
        <f t="shared" si="64"/>
        <v>3.2000000000000001E-2</v>
      </c>
      <c r="F314" s="280">
        <f t="shared" si="65"/>
        <v>4.0000000000000001E-3</v>
      </c>
      <c r="N314">
        <f t="shared" si="62"/>
        <v>0</v>
      </c>
      <c r="O314" s="3">
        <v>0</v>
      </c>
    </row>
    <row r="315" spans="3:15" ht="13.2" hidden="1">
      <c r="C315" t="str">
        <f>'Modelo Energético'!B1286</f>
        <v>Jardinagem - resíduo</v>
      </c>
      <c r="D315">
        <f t="shared" si="63"/>
        <v>0</v>
      </c>
      <c r="E315" s="280">
        <f t="shared" si="64"/>
        <v>3.2000000000000001E-2</v>
      </c>
      <c r="F315" s="280">
        <f t="shared" si="65"/>
        <v>4.0000000000000001E-3</v>
      </c>
      <c r="N315">
        <f t="shared" si="62"/>
        <v>0</v>
      </c>
      <c r="O315" s="3">
        <v>0</v>
      </c>
    </row>
    <row r="316" spans="3:15" ht="13.2" hidden="1">
      <c r="C316" t="str">
        <f>'Modelo Energético'!I1179</f>
        <v>Eletricidade</v>
      </c>
      <c r="E316" s="280"/>
      <c r="F316" s="280"/>
    </row>
    <row r="317" spans="3:15" ht="13.2" hidden="1">
      <c r="C317" t="str">
        <f>'Modelo Energético'!I1289</f>
        <v xml:space="preserve">Biomassa </v>
      </c>
      <c r="D317">
        <f>$D$207</f>
        <v>0</v>
      </c>
      <c r="E317" s="280">
        <f>$E$207</f>
        <v>3.2000000000000001E-2</v>
      </c>
      <c r="F317" s="280">
        <f>$F$207</f>
        <v>4.0000000000000001E-3</v>
      </c>
    </row>
    <row r="318" spans="3:15" ht="13.2" hidden="1">
      <c r="C318" t="str">
        <f>'Modelo Energético'!I1290</f>
        <v>XX</v>
      </c>
    </row>
    <row r="319" spans="3:15" ht="13.2" hidden="1">
      <c r="C319" t="str">
        <f>'Modelo Energético'!I1291</f>
        <v>Refrigeração Natural</v>
      </c>
    </row>
    <row r="320" spans="3:15" ht="13.2" hidden="1">
      <c r="C320" t="str">
        <f>'Modelo Energético'!I1292</f>
        <v>Calor recuperado</v>
      </c>
    </row>
    <row r="321" spans="2:16" ht="13.2" hidden="1">
      <c r="C321" t="str">
        <f>'Modelo Energético'!I1293</f>
        <v>Sistema de Aquecimento</v>
      </c>
    </row>
    <row r="322" spans="2:16" ht="13.2" hidden="1">
      <c r="C322" t="str">
        <f>'Modelo Energético'!I1294</f>
        <v>Sistema de produção de eletricidade</v>
      </c>
    </row>
    <row r="323" spans="2:16" ht="13.2" hidden="1">
      <c r="C323" t="str">
        <f>'Modelo Energético'!I1114</f>
        <v>Motor recíproco</v>
      </c>
      <c r="G323">
        <v>1</v>
      </c>
    </row>
    <row r="324" spans="2:16" ht="13.2" hidden="1">
      <c r="C324" t="str">
        <f>'Modelo Energético'!I1115</f>
        <v>Turbina à gas</v>
      </c>
      <c r="G324">
        <v>1</v>
      </c>
    </row>
    <row r="325" spans="2:16" ht="13.2" hidden="1">
      <c r="C325" t="str">
        <f>'Modelo Energético'!I1116</f>
        <v>Turbina à gas-ciclo combinado</v>
      </c>
      <c r="G325">
        <v>1</v>
      </c>
    </row>
    <row r="326" spans="2:16" ht="13.2" hidden="1">
      <c r="C326" t="str">
        <f>'Modelo Energético'!I1117</f>
        <v>Turbina à vapor</v>
      </c>
      <c r="G326">
        <v>1</v>
      </c>
    </row>
    <row r="327" spans="2:16" ht="13.2" hidden="1">
      <c r="B327">
        <v>1</v>
      </c>
      <c r="C327" t="str">
        <f>'Modelo Energético'!I1118</f>
        <v>Energia Geotérmica</v>
      </c>
      <c r="D327">
        <v>0</v>
      </c>
      <c r="E327">
        <v>0</v>
      </c>
      <c r="F327">
        <v>0</v>
      </c>
      <c r="G327">
        <v>0</v>
      </c>
      <c r="H327" t="str">
        <f>Language!C622</f>
        <v>Geotérmica</v>
      </c>
      <c r="N327">
        <f>SUMIF($P$127:$P$128,C327,$Q$127:$Q$128)</f>
        <v>0</v>
      </c>
      <c r="O327" s="919">
        <v>0</v>
      </c>
    </row>
    <row r="328" spans="2:16" ht="13.2" hidden="1">
      <c r="C328" t="str">
        <f>'Modelo Energético'!I1119</f>
        <v>Célula combustível</v>
      </c>
      <c r="G328">
        <v>1</v>
      </c>
      <c r="O328" s="3"/>
    </row>
    <row r="329" spans="2:16" ht="13.2" hidden="1">
      <c r="C329" t="str">
        <f>'Modelo Energético'!I1120</f>
        <v>Turbina eólica</v>
      </c>
      <c r="D329">
        <v>0</v>
      </c>
      <c r="E329">
        <v>0</v>
      </c>
      <c r="F329">
        <v>0</v>
      </c>
      <c r="G329">
        <v>0</v>
      </c>
      <c r="H329" t="str">
        <f>Language!C623</f>
        <v>Eólica</v>
      </c>
      <c r="N329">
        <f t="shared" ref="N329:N335" si="66">SUMIF($P$127:$P$128,C329,$Q$127:$Q$128)</f>
        <v>0</v>
      </c>
      <c r="O329" s="3">
        <v>0</v>
      </c>
    </row>
    <row r="330" spans="2:16" ht="13.2" hidden="1">
      <c r="C330" t="str">
        <f>'Modelo Energético'!I1121</f>
        <v>Turbina hidráulica</v>
      </c>
      <c r="D330">
        <v>0</v>
      </c>
      <c r="E330">
        <v>0</v>
      </c>
      <c r="F330">
        <v>0</v>
      </c>
      <c r="G330">
        <v>0</v>
      </c>
      <c r="H330" t="str">
        <f>Language!C621</f>
        <v>Hidro</v>
      </c>
      <c r="N330">
        <f t="shared" si="66"/>
        <v>0</v>
      </c>
      <c r="O330" s="3">
        <v>0</v>
      </c>
    </row>
    <row r="331" spans="2:16" ht="13.2" hidden="1">
      <c r="C331" t="str">
        <f>'Modelo Energético'!I1122</f>
        <v>Fotovoltaica</v>
      </c>
      <c r="D331">
        <v>0</v>
      </c>
      <c r="E331">
        <v>0</v>
      </c>
      <c r="F331">
        <v>0</v>
      </c>
      <c r="G331">
        <v>0</v>
      </c>
      <c r="H331" t="str">
        <f>Language!C624</f>
        <v>Solar</v>
      </c>
      <c r="N331">
        <f t="shared" si="66"/>
        <v>19.405197228221521</v>
      </c>
      <c r="O331" s="3">
        <v>19.405197228221521</v>
      </c>
    </row>
    <row r="332" spans="2:16" ht="13.2" hidden="1">
      <c r="C332" t="str">
        <f>'Modelo Energético'!I1124</f>
        <v>Energia das correntes oceânicas</v>
      </c>
      <c r="D332">
        <v>0</v>
      </c>
      <c r="E332">
        <v>0</v>
      </c>
      <c r="F332">
        <v>0</v>
      </c>
      <c r="G332">
        <v>0</v>
      </c>
      <c r="H332" t="str">
        <f>Language!C1847</f>
        <v>Oceano</v>
      </c>
      <c r="N332">
        <f t="shared" si="66"/>
        <v>0</v>
      </c>
      <c r="O332" s="3">
        <v>0</v>
      </c>
    </row>
    <row r="333" spans="2:16" ht="13.2" hidden="1">
      <c r="C333" t="str">
        <f>'Modelo Energético'!I1125</f>
        <v>Energia das marés</v>
      </c>
      <c r="D333">
        <v>0</v>
      </c>
      <c r="E333">
        <v>0</v>
      </c>
      <c r="F333">
        <v>0</v>
      </c>
      <c r="G333">
        <v>0</v>
      </c>
      <c r="H333" t="str">
        <f>$H$332</f>
        <v>Oceano</v>
      </c>
      <c r="N333">
        <f t="shared" si="66"/>
        <v>0</v>
      </c>
      <c r="O333" s="3">
        <v>0</v>
      </c>
    </row>
    <row r="334" spans="2:16" ht="13.2" hidden="1">
      <c r="C334" t="str">
        <f>'Modelo Energético'!I1126</f>
        <v>Energia da onda</v>
      </c>
      <c r="D334">
        <v>0</v>
      </c>
      <c r="E334">
        <v>0</v>
      </c>
      <c r="F334">
        <v>0</v>
      </c>
      <c r="G334">
        <v>0</v>
      </c>
      <c r="H334" t="str">
        <f>$H$332</f>
        <v>Oceano</v>
      </c>
      <c r="N334">
        <f t="shared" si="66"/>
        <v>0</v>
      </c>
      <c r="O334" s="3">
        <v>0</v>
      </c>
    </row>
    <row r="335" spans="2:16" ht="13.2" hidden="1">
      <c r="C335" t="str">
        <f>'Modelo Energético'!I1127</f>
        <v>Energia solar térmica</v>
      </c>
      <c r="D335">
        <v>0</v>
      </c>
      <c r="E335">
        <v>0</v>
      </c>
      <c r="F335">
        <v>0</v>
      </c>
      <c r="G335">
        <v>0</v>
      </c>
      <c r="H335" t="str">
        <f>H331</f>
        <v>Solar</v>
      </c>
      <c r="N335">
        <f t="shared" si="66"/>
        <v>0</v>
      </c>
      <c r="O335" s="3">
        <v>0</v>
      </c>
    </row>
    <row r="336" spans="2:16" ht="13.2" hidden="1">
      <c r="C336" t="s">
        <v>1520</v>
      </c>
      <c r="N336" s="204">
        <f>Q64-SUM(N207:N315)</f>
        <v>19.405197228221521</v>
      </c>
      <c r="O336" s="919">
        <v>19.405197228221521</v>
      </c>
      <c r="P336" t="s">
        <v>319</v>
      </c>
    </row>
    <row r="337" spans="3:15" ht="13.2" hidden="1">
      <c r="C337" t="str">
        <f>'Modelo Energético'!C1121</f>
        <v>Outro</v>
      </c>
      <c r="G337">
        <v>1</v>
      </c>
    </row>
    <row r="338" spans="3:15" ht="13.2" hidden="1">
      <c r="C338" t="str">
        <f>'Modelo Energético'!D1121</f>
        <v>Outro #2</v>
      </c>
      <c r="D338">
        <v>0</v>
      </c>
      <c r="E338">
        <v>0</v>
      </c>
      <c r="F338">
        <v>0</v>
      </c>
      <c r="G338">
        <v>1</v>
      </c>
    </row>
    <row r="339" spans="3:15" ht="13.2" hidden="1">
      <c r="E339" t="s">
        <v>5431</v>
      </c>
      <c r="F339" t="s">
        <v>4571</v>
      </c>
      <c r="N339" s="22"/>
      <c r="O339" s="22" t="s">
        <v>134</v>
      </c>
    </row>
    <row r="340" spans="3:15" ht="13.2" hidden="1">
      <c r="E340" t="s">
        <v>3448</v>
      </c>
      <c r="F340" t="s">
        <v>1192</v>
      </c>
      <c r="G340" t="s">
        <v>5814</v>
      </c>
      <c r="H340" t="s">
        <v>5815</v>
      </c>
      <c r="N340" s="22" t="str">
        <f>Language!C2260</f>
        <v>CFC-11</v>
      </c>
      <c r="O340">
        <v>4750</v>
      </c>
    </row>
    <row r="341" spans="3:15" ht="13.2" hidden="1">
      <c r="C341" t="s">
        <v>6841</v>
      </c>
      <c r="D341" t="str">
        <f>Language!C882</f>
        <v>Afganistão</v>
      </c>
      <c r="J341" t="s">
        <v>7152</v>
      </c>
      <c r="N341" s="22" t="str">
        <f>Language!C2261</f>
        <v>CFC-12</v>
      </c>
      <c r="O341">
        <v>10900</v>
      </c>
    </row>
    <row r="342" spans="3:15" ht="13.2" hidden="1">
      <c r="C342" t="s">
        <v>6969</v>
      </c>
      <c r="D342" t="str">
        <f>Language!C883</f>
        <v>Albania</v>
      </c>
      <c r="E342">
        <v>1.3699999999999999E-2</v>
      </c>
      <c r="G342">
        <v>0.75900000000000001</v>
      </c>
      <c r="H342">
        <v>0.6</v>
      </c>
      <c r="J342" t="s">
        <v>7061</v>
      </c>
      <c r="N342" t="str">
        <f>Language!C41819</f>
        <v>CFC-13</v>
      </c>
      <c r="O342">
        <v>14400</v>
      </c>
    </row>
    <row r="343" spans="3:15" ht="13.2" hidden="1">
      <c r="C343" t="s">
        <v>10</v>
      </c>
      <c r="D343" t="str">
        <f>Language!C884</f>
        <v>Argélia</v>
      </c>
      <c r="E343">
        <v>0.68810000000000004</v>
      </c>
      <c r="F343">
        <v>0.69499999999999995</v>
      </c>
      <c r="H343">
        <v>0.84099999999999997</v>
      </c>
      <c r="J343" t="s">
        <v>7235</v>
      </c>
      <c r="N343" s="22" t="str">
        <f>Language!C2265</f>
        <v>CFC-113</v>
      </c>
      <c r="O343">
        <v>6130</v>
      </c>
    </row>
    <row r="344" spans="3:15" ht="13.2" hidden="1">
      <c r="C344" t="s">
        <v>6887</v>
      </c>
      <c r="D344" t="str">
        <f>Language!C887</f>
        <v>Angola</v>
      </c>
      <c r="E344">
        <v>9.8000000000000004E-2</v>
      </c>
      <c r="H344">
        <v>1.044</v>
      </c>
      <c r="J344" t="s">
        <v>7161</v>
      </c>
      <c r="N344" s="22" t="str">
        <f>Language!C2266</f>
        <v>CFC-114</v>
      </c>
      <c r="O344">
        <v>10000</v>
      </c>
    </row>
    <row r="345" spans="3:15" ht="13.2" hidden="1">
      <c r="C345" t="s">
        <v>11</v>
      </c>
      <c r="D345" t="str">
        <f>Language!C890</f>
        <v>Argentina</v>
      </c>
      <c r="E345">
        <v>0.3034</v>
      </c>
      <c r="F345">
        <v>0.39200000000000002</v>
      </c>
      <c r="G345">
        <v>1.337</v>
      </c>
      <c r="H345">
        <v>0.52700000000000002</v>
      </c>
      <c r="J345" t="s">
        <v>6601</v>
      </c>
      <c r="N345" s="22" t="str">
        <f>Language!C2267</f>
        <v>CFC-115</v>
      </c>
      <c r="O345">
        <v>7370</v>
      </c>
    </row>
    <row r="346" spans="3:15" ht="13.2" hidden="1">
      <c r="C346" t="s">
        <v>2968</v>
      </c>
      <c r="D346" t="str">
        <f>Language!C891</f>
        <v>Armenia</v>
      </c>
      <c r="E346">
        <v>7.4099999999999999E-2</v>
      </c>
      <c r="F346">
        <v>0.45400000000000001</v>
      </c>
      <c r="J346" t="s">
        <v>7157</v>
      </c>
      <c r="N346" s="22" t="str">
        <f>Language!C2304</f>
        <v>CFC-500</v>
      </c>
      <c r="O346">
        <v>8077</v>
      </c>
    </row>
    <row r="347" spans="3:15" ht="13.2" hidden="1">
      <c r="C347" t="s">
        <v>6844</v>
      </c>
      <c r="D347" t="str">
        <f>Language!C893</f>
        <v>Austrália</v>
      </c>
      <c r="E347">
        <v>0.89390000000000003</v>
      </c>
      <c r="F347">
        <v>0.58599999999999997</v>
      </c>
      <c r="G347">
        <v>1.042</v>
      </c>
      <c r="H347">
        <v>0.52500000000000002</v>
      </c>
      <c r="J347" t="s">
        <v>7159</v>
      </c>
      <c r="N347" s="22" t="str">
        <f>Language!C2305</f>
        <v>CFC-501</v>
      </c>
      <c r="O347">
        <v>4083</v>
      </c>
    </row>
    <row r="348" spans="3:15" ht="13.2" hidden="1">
      <c r="C348" t="s">
        <v>7000</v>
      </c>
      <c r="D348" t="str">
        <f>Language!C894</f>
        <v>Áustria</v>
      </c>
      <c r="E348">
        <v>0.21590000000000001</v>
      </c>
      <c r="F348">
        <v>0.34300000000000003</v>
      </c>
      <c r="G348">
        <v>0.874</v>
      </c>
      <c r="H348">
        <v>0.40799999999999997</v>
      </c>
      <c r="J348" t="s">
        <v>6600</v>
      </c>
      <c r="N348" s="22" t="str">
        <f>Language!C2306</f>
        <v>CFC-502</v>
      </c>
      <c r="O348">
        <v>4657</v>
      </c>
    </row>
    <row r="349" spans="3:15" ht="13.2" hidden="1">
      <c r="C349" t="s">
        <v>6845</v>
      </c>
      <c r="D349" t="str">
        <f>Language!C895</f>
        <v>Azerbaijão</v>
      </c>
      <c r="E349">
        <v>0.30730000000000002</v>
      </c>
      <c r="F349">
        <v>0.50700000000000001</v>
      </c>
      <c r="H349">
        <v>0.91400000000000003</v>
      </c>
      <c r="J349" t="s">
        <v>6599</v>
      </c>
      <c r="N349" s="22" t="str">
        <f>Language!C2307</f>
        <v>CFC-503</v>
      </c>
      <c r="O349">
        <v>14560</v>
      </c>
    </row>
    <row r="350" spans="3:15" ht="13.2" hidden="1">
      <c r="C350" t="s">
        <v>6934</v>
      </c>
      <c r="D350" t="str">
        <f>Language!C897</f>
        <v>Bahrain</v>
      </c>
      <c r="E350">
        <v>0.83120000000000005</v>
      </c>
      <c r="F350">
        <v>0.83499999999999996</v>
      </c>
      <c r="J350" t="s">
        <v>846</v>
      </c>
      <c r="N350" s="22" t="str">
        <f>Language!C2308</f>
        <v>CFC-504</v>
      </c>
      <c r="O350">
        <v>4143</v>
      </c>
    </row>
    <row r="351" spans="3:15" ht="13.2" hidden="1">
      <c r="C351" t="s">
        <v>6961</v>
      </c>
      <c r="D351" t="str">
        <f>Language!C898</f>
        <v>Bangladesh</v>
      </c>
      <c r="E351">
        <v>0.58440000000000003</v>
      </c>
      <c r="F351">
        <v>0.626</v>
      </c>
      <c r="H351">
        <v>0.89600000000000002</v>
      </c>
      <c r="J351" t="s">
        <v>7615</v>
      </c>
      <c r="N351" s="22" t="str">
        <f>Language!C2262</f>
        <v>HCFC-22</v>
      </c>
      <c r="O351">
        <v>1810</v>
      </c>
    </row>
    <row r="352" spans="3:15" ht="13.2" hidden="1">
      <c r="C352" t="s">
        <v>6842</v>
      </c>
      <c r="D352" t="str">
        <f>Language!C900</f>
        <v>Bielorussia</v>
      </c>
      <c r="E352">
        <v>0.50439999999999996</v>
      </c>
      <c r="F352">
        <v>0.29299999999999998</v>
      </c>
      <c r="G352">
        <v>0.505</v>
      </c>
      <c r="H352">
        <v>0.38600000000000001</v>
      </c>
      <c r="J352" t="s">
        <v>7162</v>
      </c>
      <c r="N352" s="22" t="str">
        <f>Language!C2269</f>
        <v>HCFC-123</v>
      </c>
      <c r="O352">
        <v>77</v>
      </c>
    </row>
    <row r="353" spans="3:15" ht="13.2" hidden="1">
      <c r="C353" t="s">
        <v>12</v>
      </c>
      <c r="D353" t="str">
        <f>Language!C901</f>
        <v>Bélgica</v>
      </c>
      <c r="E353">
        <v>0.251</v>
      </c>
      <c r="F353">
        <v>0.31</v>
      </c>
      <c r="G353">
        <v>1.0880000000000001</v>
      </c>
      <c r="H353">
        <v>0.52600000000000002</v>
      </c>
      <c r="J353" t="s">
        <v>7158</v>
      </c>
      <c r="N353" s="22" t="str">
        <f>Language!C2270</f>
        <v>HCFC-124</v>
      </c>
      <c r="O353">
        <v>609</v>
      </c>
    </row>
    <row r="354" spans="3:15" ht="13.2" hidden="1">
      <c r="C354" t="s">
        <v>13</v>
      </c>
      <c r="D354" t="str">
        <f>Language!C903</f>
        <v>Benin</v>
      </c>
      <c r="E354">
        <v>0.7087</v>
      </c>
      <c r="H354">
        <v>0.88100000000000001</v>
      </c>
      <c r="J354" t="s">
        <v>7160</v>
      </c>
      <c r="N354" t="str">
        <f>Language!C41825</f>
        <v>HCFC-141b</v>
      </c>
      <c r="O354">
        <v>725</v>
      </c>
    </row>
    <row r="355" spans="3:15" ht="13.2" hidden="1">
      <c r="C355" t="s">
        <v>3819</v>
      </c>
      <c r="D355" t="str">
        <f>Language!C906</f>
        <v>Bolívia</v>
      </c>
      <c r="E355">
        <v>0.50439999999999996</v>
      </c>
      <c r="F355">
        <v>0.90600000000000003</v>
      </c>
      <c r="H355">
        <v>1.268</v>
      </c>
      <c r="J355" t="s">
        <v>847</v>
      </c>
      <c r="N355" s="22" t="str">
        <f>Language!C2273</f>
        <v>HCFC-142b</v>
      </c>
      <c r="O355">
        <v>2310</v>
      </c>
    </row>
    <row r="356" spans="3:15" ht="13.2" hidden="1">
      <c r="C356" t="s">
        <v>6846</v>
      </c>
      <c r="D356" t="str">
        <f>Language!C907</f>
        <v>Bosnia-Herzegovina</v>
      </c>
      <c r="E356">
        <v>0.85270000000000001</v>
      </c>
      <c r="F356">
        <v>0.28699999999999998</v>
      </c>
      <c r="G356">
        <v>1.391</v>
      </c>
      <c r="H356">
        <v>0.46400000000000002</v>
      </c>
      <c r="N356" t="str">
        <f>Language!C41826</f>
        <v>HCFC-225ca</v>
      </c>
      <c r="O356">
        <v>122</v>
      </c>
    </row>
    <row r="357" spans="3:15" ht="13.2" hidden="1">
      <c r="C357" t="s">
        <v>6847</v>
      </c>
      <c r="D357" t="str">
        <f>Language!C910</f>
        <v>Brasil</v>
      </c>
      <c r="E357">
        <v>8.1799999999999998E-2</v>
      </c>
      <c r="F357">
        <v>0.45500000000000002</v>
      </c>
      <c r="G357">
        <v>1.474</v>
      </c>
      <c r="H357">
        <v>0.78400000000000003</v>
      </c>
      <c r="N357" t="str">
        <f>Language!C41827</f>
        <v>HCFC-225cb</v>
      </c>
      <c r="O357">
        <v>595</v>
      </c>
    </row>
    <row r="358" spans="3:15" ht="13.2" hidden="1">
      <c r="C358" t="s">
        <v>6848</v>
      </c>
      <c r="D358" t="str">
        <f>Language!C913</f>
        <v>Brunei Darussalam</v>
      </c>
      <c r="E358">
        <v>0.81870000000000009</v>
      </c>
      <c r="F358">
        <v>0.78200000000000003</v>
      </c>
      <c r="H358">
        <v>0.76300000000000001</v>
      </c>
      <c r="N358" s="22" t="str">
        <f>Language!C2284</f>
        <v>HCFC-401A</v>
      </c>
      <c r="O358">
        <v>1182</v>
      </c>
    </row>
    <row r="359" spans="3:15" ht="13.2" hidden="1">
      <c r="C359" t="s">
        <v>5139</v>
      </c>
      <c r="D359" t="str">
        <f>Language!C914</f>
        <v>Bulgária</v>
      </c>
      <c r="E359">
        <v>0.48469999999999996</v>
      </c>
      <c r="F359">
        <v>0.29499999999999998</v>
      </c>
      <c r="G359">
        <v>0.879</v>
      </c>
      <c r="H359">
        <v>0.57999999999999996</v>
      </c>
      <c r="N359" s="22" t="str">
        <f>Language!C2285</f>
        <v>HCFC-401B</v>
      </c>
      <c r="O359">
        <v>1288</v>
      </c>
    </row>
    <row r="360" spans="3:15" ht="13.2" hidden="1">
      <c r="C360" t="s">
        <v>14</v>
      </c>
      <c r="D360" t="str">
        <f>Language!C918</f>
        <v>Camarões</v>
      </c>
      <c r="E360">
        <v>3.3299999999999996E-2</v>
      </c>
      <c r="H360">
        <v>0.748</v>
      </c>
      <c r="N360" s="22" t="str">
        <f>Language!C2286</f>
        <v>HCFC-401C</v>
      </c>
      <c r="O360">
        <v>933</v>
      </c>
    </row>
    <row r="361" spans="3:15" ht="13.2" hidden="1">
      <c r="C361" t="s">
        <v>672</v>
      </c>
      <c r="D361" t="str">
        <f>Language!C919</f>
        <v>Canada</v>
      </c>
      <c r="E361">
        <v>0.18159999999999998</v>
      </c>
      <c r="F361">
        <v>0.38400000000000001</v>
      </c>
      <c r="G361">
        <v>0.86699999999999999</v>
      </c>
      <c r="H361">
        <v>0.67300000000000004</v>
      </c>
      <c r="N361" s="22" t="str">
        <f>Language!C2287</f>
        <v>HCFC-402A</v>
      </c>
      <c r="O361">
        <v>2788</v>
      </c>
    </row>
    <row r="362" spans="3:15" ht="13.2" hidden="1">
      <c r="C362" t="s">
        <v>15</v>
      </c>
      <c r="D362" t="str">
        <f>Language!C712</f>
        <v>Canada - Alberta</v>
      </c>
      <c r="E362">
        <v>0.80500000000000005</v>
      </c>
      <c r="N362" s="22" t="str">
        <f>Language!C2288</f>
        <v>HCFC-402B</v>
      </c>
      <c r="O362">
        <v>2416</v>
      </c>
    </row>
    <row r="363" spans="3:15" ht="13.2" hidden="1">
      <c r="C363" t="s">
        <v>6850</v>
      </c>
      <c r="D363" t="str">
        <f>Language!C713</f>
        <v>Canada - Columbia Britânica</v>
      </c>
      <c r="E363">
        <v>1.6E-2</v>
      </c>
      <c r="N363" s="22" t="str">
        <f>Language!C2289</f>
        <v>HCFC-403A</v>
      </c>
      <c r="O363">
        <v>3124</v>
      </c>
    </row>
    <row r="364" spans="3:15" ht="13.2" hidden="1">
      <c r="C364" t="s">
        <v>3401</v>
      </c>
      <c r="D364" t="str">
        <f>Language!C714</f>
        <v>Canada - Manitoba</v>
      </c>
      <c r="E364">
        <v>1.2999999999999999E-2</v>
      </c>
      <c r="N364" s="22" t="str">
        <f>Language!C2290</f>
        <v>HCFC-403B</v>
      </c>
      <c r="O364">
        <v>4457</v>
      </c>
    </row>
    <row r="365" spans="3:15" ht="13.2" hidden="1">
      <c r="C365" t="s">
        <v>16</v>
      </c>
      <c r="D365" t="str">
        <f>Language!C715</f>
        <v>Canada - Nova Brunswick</v>
      </c>
      <c r="E365">
        <v>0.36699999999999999</v>
      </c>
      <c r="N365" s="22" t="str">
        <f>Language!C2292</f>
        <v>HCFC-405A</v>
      </c>
      <c r="O365">
        <v>5328</v>
      </c>
    </row>
    <row r="366" spans="3:15" ht="13.2" hidden="1">
      <c r="C366" t="s">
        <v>17</v>
      </c>
      <c r="D366" t="str">
        <f>Language!C716</f>
        <v>Canada - Terra Nova e Lavrador</v>
      </c>
      <c r="E366">
        <v>2.9000000000000001E-2</v>
      </c>
      <c r="N366" s="22" t="str">
        <f>Language!C2293</f>
        <v>HCFC-406A</v>
      </c>
      <c r="O366">
        <v>1943</v>
      </c>
    </row>
    <row r="367" spans="3:15" ht="13.2" hidden="1">
      <c r="C367" t="s">
        <v>6849</v>
      </c>
      <c r="D367" t="str">
        <f>Language!C717</f>
        <v>Canada - Nova Escocia</v>
      </c>
      <c r="E367">
        <v>0.72199999999999998</v>
      </c>
      <c r="N367" s="22" t="str">
        <f>Language!C2298</f>
        <v>HCFC-408A</v>
      </c>
      <c r="O367">
        <v>3152</v>
      </c>
    </row>
    <row r="368" spans="3:15" ht="13.2" hidden="1">
      <c r="C368" t="s">
        <v>6852</v>
      </c>
      <c r="D368" t="str">
        <f>Language!C718</f>
        <v>Canada - Ontario</v>
      </c>
      <c r="E368">
        <v>0.20100000000000001</v>
      </c>
      <c r="N368" s="22" t="str">
        <f>Language!C2299</f>
        <v>HCFC-409A</v>
      </c>
      <c r="O368">
        <v>1585</v>
      </c>
    </row>
    <row r="369" spans="3:15" ht="13.2" hidden="1">
      <c r="C369" t="s">
        <v>18</v>
      </c>
      <c r="D369" t="str">
        <f>Language!C719</f>
        <v>Canadá - Ilha Príncipe Eduardo</v>
      </c>
      <c r="E369">
        <v>0.23100000000000001</v>
      </c>
      <c r="N369" t="str">
        <f>Language!C41856</f>
        <v>HCFC-409B</v>
      </c>
      <c r="O369">
        <v>1560</v>
      </c>
    </row>
    <row r="370" spans="3:15" ht="13.2" hidden="1">
      <c r="C370" t="s">
        <v>673</v>
      </c>
      <c r="D370" t="str">
        <f>Language!C720</f>
        <v>Canada - Quebec</v>
      </c>
      <c r="E370">
        <v>8.9999999999999993E-3</v>
      </c>
      <c r="N370" s="22" t="str">
        <f>Language!C2301</f>
        <v>HCFC-411A</v>
      </c>
      <c r="O370">
        <v>1597</v>
      </c>
    </row>
    <row r="371" spans="3:15" ht="13.2" hidden="1">
      <c r="C371" t="s">
        <v>6854</v>
      </c>
      <c r="D371" t="str">
        <f>Language!C721</f>
        <v>Canada - Saskatchewan</v>
      </c>
      <c r="E371">
        <v>0.76</v>
      </c>
      <c r="N371" s="22" t="str">
        <f>Language!C2302</f>
        <v>HCFC-411B</v>
      </c>
      <c r="O371">
        <v>1705</v>
      </c>
    </row>
    <row r="372" spans="3:15" ht="13.2" hidden="1">
      <c r="C372" t="s">
        <v>19</v>
      </c>
      <c r="D372" t="str">
        <f>Language!C722</f>
        <v>Canada - Territórios</v>
      </c>
      <c r="E372">
        <v>2.8000000000000001E-2</v>
      </c>
      <c r="N372" s="22" t="str">
        <f>Language!C2303</f>
        <v>HCFC-412A</v>
      </c>
      <c r="O372">
        <v>2286</v>
      </c>
    </row>
    <row r="373" spans="3:15" ht="13.2" hidden="1">
      <c r="C373" t="s">
        <v>6857</v>
      </c>
      <c r="D373" t="str">
        <f>Language!C924</f>
        <v>Chile</v>
      </c>
      <c r="E373">
        <v>0.30599999999999999</v>
      </c>
      <c r="F373">
        <v>0.40400000000000003</v>
      </c>
      <c r="G373">
        <v>0.78900000000000003</v>
      </c>
      <c r="H373">
        <v>0.89800000000000002</v>
      </c>
      <c r="N373" t="str">
        <f>Language!C41858</f>
        <v>HFC-413A</v>
      </c>
      <c r="O373">
        <v>2053</v>
      </c>
    </row>
    <row r="374" spans="3:15" ht="13.2" hidden="1">
      <c r="C374" t="s">
        <v>5655</v>
      </c>
      <c r="D374" t="str">
        <f>Language!C1087</f>
        <v>Taiwan</v>
      </c>
      <c r="E374">
        <v>0.65849999999999997</v>
      </c>
      <c r="F374">
        <v>0.54400000000000004</v>
      </c>
      <c r="G374">
        <v>0.83</v>
      </c>
      <c r="H374">
        <v>0.53800000000000003</v>
      </c>
      <c r="N374" t="str">
        <f>Language!C41859</f>
        <v>HCFC-414A</v>
      </c>
      <c r="O374">
        <v>1478</v>
      </c>
    </row>
    <row r="375" spans="3:15" ht="13.2" hidden="1">
      <c r="C375" t="s">
        <v>2721</v>
      </c>
      <c r="D375" t="str">
        <f>Language!C928</f>
        <v>Colombia</v>
      </c>
      <c r="E375">
        <v>0.15080000000000002</v>
      </c>
      <c r="F375">
        <v>0.53400000000000003</v>
      </c>
      <c r="G375">
        <v>0.86199999999999999</v>
      </c>
      <c r="H375">
        <v>0.86099999999999999</v>
      </c>
      <c r="N375" t="str">
        <f>Language!C41860</f>
        <v>HCFC-414B</v>
      </c>
      <c r="O375">
        <v>1362</v>
      </c>
    </row>
    <row r="376" spans="3:15" ht="13.2" hidden="1">
      <c r="C376" t="s">
        <v>6851</v>
      </c>
      <c r="D376" t="str">
        <f>Language!C930</f>
        <v>Congo, Rep. do</v>
      </c>
      <c r="E376">
        <v>0.11040000000000001</v>
      </c>
      <c r="N376" t="str">
        <f>Language!C41861</f>
        <v>HCFC-415A</v>
      </c>
      <c r="O376">
        <v>1507</v>
      </c>
    </row>
    <row r="377" spans="3:15" ht="13.2" hidden="1">
      <c r="C377" t="s">
        <v>6860</v>
      </c>
      <c r="D377" t="str">
        <f>Language!C932</f>
        <v>Costa Rica</v>
      </c>
      <c r="E377">
        <v>4.7100000000000003E-2</v>
      </c>
      <c r="H377">
        <v>0.93700000000000006</v>
      </c>
      <c r="N377" t="str">
        <f>Language!C41862</f>
        <v>HCFC-415B</v>
      </c>
      <c r="O377">
        <v>546</v>
      </c>
    </row>
    <row r="378" spans="3:15" ht="13.2" hidden="1">
      <c r="C378" t="s">
        <v>6859</v>
      </c>
      <c r="D378" t="str">
        <f>Language!C933</f>
        <v>Costa do Marfim</v>
      </c>
      <c r="E378">
        <v>0.42619999999999997</v>
      </c>
      <c r="F378">
        <v>0.60599999999999998</v>
      </c>
      <c r="H378">
        <v>0.97</v>
      </c>
      <c r="N378" t="str">
        <f>Language!C41863</f>
        <v>HCFC-416A</v>
      </c>
      <c r="O378">
        <v>1084</v>
      </c>
    </row>
    <row r="379" spans="3:15" ht="13.2" hidden="1">
      <c r="C379" t="s">
        <v>6858</v>
      </c>
      <c r="D379" t="str">
        <f>Language!C934</f>
        <v>Croácia</v>
      </c>
      <c r="E379">
        <v>0.31689999999999996</v>
      </c>
      <c r="F379">
        <v>0.34599999999999997</v>
      </c>
      <c r="G379">
        <v>0.90700000000000003</v>
      </c>
      <c r="H379">
        <v>0.622</v>
      </c>
      <c r="N379" t="str">
        <f>Language!C41864</f>
        <v xml:space="preserve">HFC-417A </v>
      </c>
      <c r="O379">
        <v>2346</v>
      </c>
    </row>
    <row r="380" spans="3:15" ht="13.2" hidden="1">
      <c r="C380" t="s">
        <v>5312</v>
      </c>
      <c r="D380" t="str">
        <f>Language!C935</f>
        <v>Cuba</v>
      </c>
      <c r="E380">
        <v>1.0195000000000001</v>
      </c>
      <c r="F380">
        <v>0.47699999999999998</v>
      </c>
      <c r="H380">
        <v>0.85699999999999998</v>
      </c>
      <c r="N380" t="str">
        <f>Language!C41865</f>
        <v xml:space="preserve">HCFC-418A </v>
      </c>
      <c r="O380">
        <v>1741</v>
      </c>
    </row>
    <row r="381" spans="3:15" ht="13.2" hidden="1">
      <c r="C381" t="s">
        <v>1285</v>
      </c>
      <c r="D381" t="str">
        <f>Language!C936</f>
        <v>Chipre</v>
      </c>
      <c r="E381">
        <v>0.75670000000000004</v>
      </c>
      <c r="H381">
        <v>0.75800000000000001</v>
      </c>
      <c r="N381" t="str">
        <f>Language!C41866</f>
        <v xml:space="preserve">HFC-419A </v>
      </c>
      <c r="O381">
        <v>2967</v>
      </c>
    </row>
    <row r="382" spans="3:15" ht="13.2" hidden="1">
      <c r="C382" t="s">
        <v>6688</v>
      </c>
      <c r="D382" t="str">
        <f>Language!C937</f>
        <v>República Tcheca</v>
      </c>
      <c r="E382">
        <v>0.57099999999999995</v>
      </c>
      <c r="F382">
        <v>0.27200000000000002</v>
      </c>
      <c r="G382">
        <v>0.76300000000000001</v>
      </c>
      <c r="H382">
        <v>0.47699999999999998</v>
      </c>
      <c r="N382" t="str">
        <f>Language!C41867</f>
        <v xml:space="preserve">HCFC-420A </v>
      </c>
      <c r="O382">
        <v>1273</v>
      </c>
    </row>
    <row r="383" spans="3:15" ht="13.2" hidden="1">
      <c r="C383" t="s">
        <v>6648</v>
      </c>
      <c r="D383" t="str">
        <f>Language!C938</f>
        <v>Congo, Rep. Democ. do</v>
      </c>
      <c r="E383">
        <v>2.5999999999999999E-3</v>
      </c>
      <c r="H383">
        <v>1.155</v>
      </c>
      <c r="N383" s="22" t="str">
        <f>Language!C2312</f>
        <v>HCFC-509A</v>
      </c>
      <c r="O383">
        <v>5741</v>
      </c>
    </row>
    <row r="384" spans="3:15" ht="13.2" hidden="1">
      <c r="C384" t="s">
        <v>3069</v>
      </c>
      <c r="D384" t="str">
        <f>Language!C940</f>
        <v>Dinamarca</v>
      </c>
      <c r="E384">
        <v>0.30099999999999999</v>
      </c>
      <c r="F384">
        <v>0.252</v>
      </c>
      <c r="G384">
        <v>0.54</v>
      </c>
      <c r="H384">
        <v>0.53200000000000003</v>
      </c>
      <c r="N384" t="str">
        <f>Language!C41841</f>
        <v>HCFE-235da2</v>
      </c>
      <c r="O384">
        <v>350</v>
      </c>
    </row>
    <row r="385" spans="3:15" ht="13.2" hidden="1">
      <c r="C385" t="s">
        <v>6689</v>
      </c>
      <c r="D385" t="str">
        <f>Language!C943</f>
        <v>República Dominicana</v>
      </c>
      <c r="E385">
        <v>0.624</v>
      </c>
      <c r="G385">
        <v>0.88400000000000001</v>
      </c>
      <c r="H385">
        <v>0.79200000000000004</v>
      </c>
      <c r="N385" s="22" t="str">
        <f>Language!C2263</f>
        <v>HFC-23</v>
      </c>
      <c r="O385">
        <v>14800</v>
      </c>
    </row>
    <row r="386" spans="3:15" ht="13.2" hidden="1">
      <c r="C386" t="s">
        <v>6691</v>
      </c>
      <c r="D386" t="str">
        <f>Language!C939</f>
        <v>Corea do Norte</v>
      </c>
      <c r="E386">
        <v>0.53310000000000002</v>
      </c>
      <c r="G386">
        <v>1.206</v>
      </c>
      <c r="H386">
        <v>1.3779999999999999</v>
      </c>
      <c r="N386" s="22" t="str">
        <f>Language!C2264</f>
        <v>HFC-32</v>
      </c>
      <c r="O386">
        <v>675</v>
      </c>
    </row>
    <row r="387" spans="3:15" ht="13.2" hidden="1">
      <c r="C387" t="s">
        <v>1286</v>
      </c>
      <c r="D387" t="str">
        <f>Language!C944</f>
        <v>Equador</v>
      </c>
      <c r="E387">
        <v>0.38950000000000001</v>
      </c>
      <c r="F387">
        <v>0.53600000000000003</v>
      </c>
      <c r="H387">
        <v>0.73199999999999998</v>
      </c>
      <c r="N387" t="str">
        <f>Language!C41829</f>
        <v>HFC-43-10mee</v>
      </c>
      <c r="O387">
        <v>1640</v>
      </c>
    </row>
    <row r="388" spans="3:15" ht="13.2" hidden="1">
      <c r="C388" t="s">
        <v>8</v>
      </c>
      <c r="D388" t="str">
        <f>Language!C945</f>
        <v>Egito</v>
      </c>
      <c r="E388">
        <v>0.4698</v>
      </c>
      <c r="F388">
        <v>0.46700000000000003</v>
      </c>
      <c r="H388">
        <v>0.85499999999999998</v>
      </c>
      <c r="N388" s="22" t="str">
        <f>Language!C2271</f>
        <v>HFC-125</v>
      </c>
      <c r="O388">
        <v>3500</v>
      </c>
    </row>
    <row r="389" spans="3:15" ht="13.2" hidden="1">
      <c r="C389" t="s">
        <v>1287</v>
      </c>
      <c r="D389" t="str">
        <f>Language!C946</f>
        <v>El Salvador</v>
      </c>
      <c r="E389">
        <v>0.21619999999999998</v>
      </c>
      <c r="H389">
        <v>0.65300000000000002</v>
      </c>
      <c r="N389" s="22" t="str">
        <f>Language!C2272</f>
        <v>HFC-134a</v>
      </c>
      <c r="O389">
        <v>1430</v>
      </c>
    </row>
    <row r="390" spans="3:15" ht="13.2" hidden="1">
      <c r="C390" t="s">
        <v>6690</v>
      </c>
      <c r="D390" t="str">
        <f>Language!C948</f>
        <v>Eritréia</v>
      </c>
      <c r="E390">
        <v>0.70629999999999993</v>
      </c>
      <c r="H390">
        <v>0.68500000000000005</v>
      </c>
      <c r="N390" s="22" t="str">
        <f>Language!C2274</f>
        <v>HFC-143</v>
      </c>
      <c r="O390">
        <v>330</v>
      </c>
    </row>
    <row r="391" spans="3:15" ht="13.2" hidden="1">
      <c r="C391" t="s">
        <v>6649</v>
      </c>
      <c r="D391" t="str">
        <f>Language!C949</f>
        <v>Estônia</v>
      </c>
      <c r="E391">
        <v>0.95620000000000005</v>
      </c>
      <c r="F391">
        <v>0.247</v>
      </c>
      <c r="G391">
        <v>0.95199999999999996</v>
      </c>
      <c r="H391">
        <v>0.40799999999999997</v>
      </c>
      <c r="N391" s="22" t="str">
        <f>Language!C2275</f>
        <v>HFC-143a</v>
      </c>
      <c r="O391">
        <v>4470</v>
      </c>
    </row>
    <row r="392" spans="3:15" ht="13.2" hidden="1">
      <c r="C392" t="s">
        <v>6950</v>
      </c>
      <c r="D392" t="str">
        <f>Language!C950</f>
        <v>Etiópia</v>
      </c>
      <c r="E392">
        <v>3.0999999999999999E-3</v>
      </c>
      <c r="H392">
        <v>0.75700000000000001</v>
      </c>
      <c r="N392" s="22" t="str">
        <f>Language!C2276</f>
        <v>HFC-152a</v>
      </c>
      <c r="O392">
        <v>124</v>
      </c>
    </row>
    <row r="393" spans="3:15" ht="13.2" hidden="1">
      <c r="C393" t="s">
        <v>6906</v>
      </c>
      <c r="D393" t="str">
        <f>Language!C954</f>
        <v>Finlândia</v>
      </c>
      <c r="E393">
        <v>0.27860000000000001</v>
      </c>
      <c r="F393">
        <v>0.24199999999999999</v>
      </c>
      <c r="G393">
        <v>0.57199999999999995</v>
      </c>
      <c r="H393">
        <v>0.34599999999999997</v>
      </c>
      <c r="N393" s="22" t="str">
        <f>Language!C2278</f>
        <v>HFC-227ea</v>
      </c>
      <c r="O393">
        <v>3220</v>
      </c>
    </row>
    <row r="394" spans="3:15" ht="13.2" hidden="1">
      <c r="C394" t="s">
        <v>6863</v>
      </c>
      <c r="D394" t="str">
        <f>Language!C1006</f>
        <v>Macedônia</v>
      </c>
      <c r="E394">
        <v>0.6905</v>
      </c>
      <c r="F394">
        <v>0.23599999999999999</v>
      </c>
      <c r="G394">
        <v>0.96499999999999997</v>
      </c>
      <c r="H394">
        <v>0.38300000000000001</v>
      </c>
      <c r="N394" s="22" t="str">
        <f>Language!C2279</f>
        <v>HFC-236ea</v>
      </c>
      <c r="O394">
        <v>1200</v>
      </c>
    </row>
    <row r="395" spans="3:15" ht="13.2" hidden="1">
      <c r="C395" t="s">
        <v>20</v>
      </c>
      <c r="D395" t="str">
        <f>Language!C955</f>
        <v>França</v>
      </c>
      <c r="E395">
        <v>7.4400000000000008E-2</v>
      </c>
      <c r="F395">
        <v>0.34599999999999997</v>
      </c>
      <c r="G395">
        <v>1.123</v>
      </c>
      <c r="H395">
        <v>0.60499999999999998</v>
      </c>
      <c r="N395" s="22" t="str">
        <f>Language!C2280</f>
        <v>HFC-236fa</v>
      </c>
      <c r="O395">
        <v>9810</v>
      </c>
    </row>
    <row r="396" spans="3:15" ht="13.2" hidden="1">
      <c r="C396" t="s">
        <v>21</v>
      </c>
      <c r="D396" t="str">
        <f>Language!C959</f>
        <v>Gabão</v>
      </c>
      <c r="E396">
        <v>0.34639999999999999</v>
      </c>
      <c r="F396">
        <v>0.89300000000000002</v>
      </c>
      <c r="H396">
        <v>0.68500000000000005</v>
      </c>
      <c r="N396" s="22" t="str">
        <f>Language!C2281</f>
        <v>HFC-245ca</v>
      </c>
      <c r="O396">
        <v>640</v>
      </c>
    </row>
    <row r="397" spans="3:15" ht="13.2" hidden="1">
      <c r="C397" t="s">
        <v>6871</v>
      </c>
      <c r="D397" t="str">
        <f>Language!C961</f>
        <v>Georgia</v>
      </c>
      <c r="E397">
        <v>0.14680000000000001</v>
      </c>
      <c r="F397">
        <v>0.64400000000000002</v>
      </c>
      <c r="H397">
        <v>2.6480000000000001</v>
      </c>
      <c r="N397" s="22" t="str">
        <f>Language!C2282</f>
        <v>HFC-245fa</v>
      </c>
      <c r="O397">
        <v>1030</v>
      </c>
    </row>
    <row r="398" spans="3:15" ht="13.2" hidden="1">
      <c r="C398" t="s">
        <v>6964</v>
      </c>
      <c r="D398" t="str">
        <f>Language!C962</f>
        <v>Alemanha</v>
      </c>
      <c r="E398">
        <v>0.49210000000000004</v>
      </c>
      <c r="F398">
        <v>0.32700000000000001</v>
      </c>
      <c r="G398">
        <v>0.90800000000000003</v>
      </c>
      <c r="H398">
        <v>0.51700000000000002</v>
      </c>
      <c r="N398" t="str">
        <f>Language!C41828</f>
        <v>HFC-365mfc</v>
      </c>
      <c r="O398">
        <v>794</v>
      </c>
    </row>
    <row r="399" spans="3:15" ht="13.2" hidden="1">
      <c r="C399" t="s">
        <v>22</v>
      </c>
      <c r="D399" t="str">
        <f>Language!C963</f>
        <v>Gana</v>
      </c>
      <c r="E399">
        <v>0.2752</v>
      </c>
      <c r="H399">
        <v>0.68300000000000005</v>
      </c>
      <c r="N399" s="22" t="str">
        <f>Language!C2291</f>
        <v>HFC-404A</v>
      </c>
      <c r="O399">
        <v>3922</v>
      </c>
    </row>
    <row r="400" spans="3:15" ht="13.2" hidden="1">
      <c r="C400" t="s">
        <v>6866</v>
      </c>
      <c r="D400" t="str">
        <f>Language!C964</f>
        <v>Gibraltar</v>
      </c>
      <c r="H400">
        <v>1.7470000000000001</v>
      </c>
      <c r="N400" s="22" t="str">
        <f>Language!C2294</f>
        <v>HFC-407A</v>
      </c>
      <c r="O400">
        <v>2107</v>
      </c>
    </row>
    <row r="401" spans="3:15" ht="13.2" hidden="1">
      <c r="C401" t="s">
        <v>6873</v>
      </c>
      <c r="D401" t="str">
        <f>Language!C965</f>
        <v>Grécia</v>
      </c>
      <c r="E401">
        <v>0.66439999999999999</v>
      </c>
      <c r="F401">
        <v>0.44600000000000001</v>
      </c>
      <c r="G401">
        <v>0.98799999999999999</v>
      </c>
      <c r="H401">
        <v>0.748</v>
      </c>
      <c r="N401" s="22" t="str">
        <f>Language!C2295</f>
        <v>HFC-407B</v>
      </c>
      <c r="O401">
        <v>2804</v>
      </c>
    </row>
    <row r="402" spans="3:15" ht="13.2" hidden="1">
      <c r="C402" t="s">
        <v>6867</v>
      </c>
      <c r="D402" t="str">
        <f>Language!C970</f>
        <v>Guatemala</v>
      </c>
      <c r="E402">
        <v>0.33479999999999999</v>
      </c>
      <c r="G402">
        <v>0.95499999999999996</v>
      </c>
      <c r="H402">
        <v>0.77400000000000002</v>
      </c>
      <c r="N402" s="22" t="str">
        <f>Language!C2296</f>
        <v>HFC-407C</v>
      </c>
      <c r="O402">
        <v>1774</v>
      </c>
    </row>
    <row r="403" spans="3:15" ht="13.2" hidden="1">
      <c r="C403" t="s">
        <v>6708</v>
      </c>
      <c r="D403" t="str">
        <f>Language!C974</f>
        <v>Haiti</v>
      </c>
      <c r="E403">
        <v>0.29819999999999997</v>
      </c>
      <c r="H403">
        <v>0.63900000000000001</v>
      </c>
      <c r="N403" s="22" t="str">
        <f>Language!C2297</f>
        <v>HFC-407D</v>
      </c>
      <c r="O403">
        <v>1627</v>
      </c>
    </row>
    <row r="404" spans="3:15" ht="13.2" hidden="1">
      <c r="C404" t="s">
        <v>6951</v>
      </c>
      <c r="D404" t="str">
        <f>Language!C977</f>
        <v>Honduras</v>
      </c>
      <c r="E404">
        <v>0.41289999999999999</v>
      </c>
      <c r="H404">
        <v>0.69099999999999995</v>
      </c>
      <c r="N404" t="str">
        <f>Language!C41855</f>
        <v>HFC-407E</v>
      </c>
      <c r="O404">
        <v>1552</v>
      </c>
    </row>
    <row r="405" spans="3:15" ht="13.2" hidden="1">
      <c r="C405" t="s">
        <v>6869</v>
      </c>
      <c r="D405" t="str">
        <f>Language!C978</f>
        <v>Hong Kong</v>
      </c>
      <c r="F405">
        <v>0.36599999999999999</v>
      </c>
      <c r="G405">
        <v>0.877</v>
      </c>
      <c r="H405">
        <v>1.0109999999999999</v>
      </c>
      <c r="N405" s="22" t="str">
        <f>Language!C2300</f>
        <v>HFC-410A</v>
      </c>
      <c r="O405">
        <v>2088</v>
      </c>
    </row>
    <row r="406" spans="3:15" ht="13.2" hidden="1">
      <c r="C406" t="s">
        <v>4086</v>
      </c>
      <c r="D406" t="str">
        <f>Language!C979</f>
        <v>Hungria</v>
      </c>
      <c r="E406">
        <v>0.36849999999999999</v>
      </c>
      <c r="F406">
        <v>0.315</v>
      </c>
      <c r="G406">
        <v>0.94</v>
      </c>
      <c r="H406">
        <v>0.55900000000000005</v>
      </c>
      <c r="N406" t="str">
        <f>Language!C41857</f>
        <v>HFC-410B</v>
      </c>
      <c r="O406">
        <v>2229</v>
      </c>
    </row>
    <row r="407" spans="3:15" ht="13.2" hidden="1">
      <c r="C407" t="s">
        <v>6870</v>
      </c>
      <c r="D407" t="str">
        <f>Language!C980</f>
        <v>Islândia</v>
      </c>
      <c r="E407">
        <v>0</v>
      </c>
      <c r="H407">
        <v>0.27500000000000002</v>
      </c>
      <c r="N407" s="22" t="str">
        <f>Language!C2309</f>
        <v>HFC-507A</v>
      </c>
      <c r="O407">
        <v>3985</v>
      </c>
    </row>
    <row r="408" spans="3:15" ht="13.2" hidden="1">
      <c r="C408" t="s">
        <v>3070</v>
      </c>
      <c r="D408" t="str">
        <f>Language!C981</f>
        <v>India</v>
      </c>
      <c r="E408">
        <v>0.93279999999999996</v>
      </c>
      <c r="F408">
        <v>0.41</v>
      </c>
      <c r="G408">
        <v>1.2070000000000001</v>
      </c>
      <c r="H408">
        <v>0.81499999999999995</v>
      </c>
      <c r="N408" s="22" t="str">
        <f>Language!C2310</f>
        <v>HFC-508A</v>
      </c>
      <c r="O408">
        <v>13214</v>
      </c>
    </row>
    <row r="409" spans="3:15" ht="13.2" hidden="1">
      <c r="C409" t="s">
        <v>6709</v>
      </c>
      <c r="D409" t="str">
        <f>Language!C982</f>
        <v>Indonésia</v>
      </c>
      <c r="E409">
        <v>0.67670000000000008</v>
      </c>
      <c r="F409">
        <v>0.49</v>
      </c>
      <c r="G409">
        <v>1.113</v>
      </c>
      <c r="H409">
        <v>0.71599999999999997</v>
      </c>
      <c r="N409" s="22" t="str">
        <f>Language!C2311</f>
        <v>HFC-508B</v>
      </c>
      <c r="O409">
        <v>13396</v>
      </c>
    </row>
    <row r="410" spans="3:15" ht="13.2" hidden="1">
      <c r="C410" t="s">
        <v>6710</v>
      </c>
      <c r="D410" t="str">
        <f>Language!C984</f>
        <v>Iraque</v>
      </c>
      <c r="E410">
        <v>0.70099999999999996</v>
      </c>
      <c r="H410">
        <v>0.71</v>
      </c>
      <c r="N410" t="str">
        <f>Language!C41850</f>
        <v>HFE-43-10pccc124</v>
      </c>
      <c r="O410">
        <v>1870</v>
      </c>
    </row>
    <row r="411" spans="3:15" ht="13.2" hidden="1">
      <c r="C411" t="s">
        <v>9</v>
      </c>
      <c r="D411" t="str">
        <f>Language!C985</f>
        <v>Irlanda</v>
      </c>
      <c r="E411">
        <v>0.53710000000000002</v>
      </c>
      <c r="F411">
        <v>0.44500000000000001</v>
      </c>
      <c r="G411">
        <v>0.92</v>
      </c>
      <c r="H411">
        <v>0.80500000000000005</v>
      </c>
      <c r="N411" t="str">
        <f>Language!C41838</f>
        <v>HFE-125</v>
      </c>
      <c r="O411">
        <v>14900</v>
      </c>
    </row>
    <row r="412" spans="3:15" ht="13.2" hidden="1">
      <c r="C412" t="s">
        <v>6713</v>
      </c>
      <c r="D412" t="str">
        <f>Language!C983</f>
        <v>Irã</v>
      </c>
      <c r="E412">
        <v>0.53660000000000008</v>
      </c>
      <c r="F412">
        <v>0.50700000000000001</v>
      </c>
      <c r="H412">
        <v>0.96699999999999997</v>
      </c>
      <c r="N412" t="str">
        <f>Language!C41839</f>
        <v>HFE-134</v>
      </c>
      <c r="O412">
        <v>6320</v>
      </c>
    </row>
    <row r="413" spans="3:15" ht="13.2" hidden="1">
      <c r="C413" t="s">
        <v>3821</v>
      </c>
      <c r="D413" t="str">
        <f>Language!C986</f>
        <v>Israel</v>
      </c>
      <c r="E413">
        <v>0.79289999999999994</v>
      </c>
      <c r="F413">
        <v>0.53500000000000003</v>
      </c>
      <c r="G413">
        <v>0.85099999999999998</v>
      </c>
      <c r="H413">
        <v>0.73099999999999998</v>
      </c>
      <c r="N413" t="str">
        <f>Language!C41840</f>
        <v>HFE-143a</v>
      </c>
      <c r="O413">
        <v>756</v>
      </c>
    </row>
    <row r="414" spans="3:15" ht="13.2" hidden="1">
      <c r="C414" t="s">
        <v>6987</v>
      </c>
      <c r="D414" t="str">
        <f>Language!C987</f>
        <v>Itália</v>
      </c>
      <c r="E414">
        <v>0.39910000000000001</v>
      </c>
      <c r="F414">
        <v>0.435</v>
      </c>
      <c r="G414">
        <v>1.004</v>
      </c>
      <c r="H414">
        <v>0.64200000000000002</v>
      </c>
      <c r="N414" t="str">
        <f>Language!C41851</f>
        <v>HFE-236ca12</v>
      </c>
      <c r="O414">
        <v>2800</v>
      </c>
    </row>
    <row r="415" spans="3:15" ht="13.2" hidden="1">
      <c r="C415" t="s">
        <v>6712</v>
      </c>
      <c r="D415" t="str">
        <f>Language!C988</f>
        <v>Jamaica</v>
      </c>
      <c r="E415">
        <v>0.82969999999999999</v>
      </c>
      <c r="H415">
        <v>0.82599999999999996</v>
      </c>
      <c r="N415" t="str">
        <f>Language!C41842</f>
        <v>HFE-245cb2</v>
      </c>
      <c r="O415">
        <v>708</v>
      </c>
    </row>
    <row r="416" spans="3:15" ht="13.2" hidden="1">
      <c r="C416" t="s">
        <v>6875</v>
      </c>
      <c r="D416" t="str">
        <f>Language!C989</f>
        <v>Japão</v>
      </c>
      <c r="E416">
        <v>0.4163</v>
      </c>
      <c r="F416">
        <v>0.45300000000000001</v>
      </c>
      <c r="G416">
        <v>0.91200000000000003</v>
      </c>
      <c r="H416">
        <v>0.57599999999999996</v>
      </c>
      <c r="N416" t="str">
        <f>Language!C41843</f>
        <v>HFE-245fa2</v>
      </c>
      <c r="O416">
        <v>659</v>
      </c>
    </row>
    <row r="417" spans="3:15" ht="13.2" hidden="1">
      <c r="C417" t="s">
        <v>6965</v>
      </c>
      <c r="D417" t="str">
        <f>Language!C990</f>
        <v>Jordânia</v>
      </c>
      <c r="E417">
        <v>0.6018</v>
      </c>
      <c r="F417">
        <v>0.64600000000000002</v>
      </c>
      <c r="H417">
        <v>0.755</v>
      </c>
      <c r="N417" t="str">
        <f>Language!C41844</f>
        <v>HFE-254cb2</v>
      </c>
      <c r="O417">
        <v>359</v>
      </c>
    </row>
    <row r="418" spans="3:15" ht="13.2" hidden="1">
      <c r="C418" t="s">
        <v>6966</v>
      </c>
      <c r="D418" t="str">
        <f>Language!C991</f>
        <v>Cazaquistão</v>
      </c>
      <c r="E418">
        <v>0.65949999999999998</v>
      </c>
      <c r="F418">
        <v>0.58499999999999996</v>
      </c>
      <c r="G418">
        <v>1.52</v>
      </c>
      <c r="H418">
        <v>0.74099999999999999</v>
      </c>
      <c r="N418" t="str">
        <f>Language!C41852</f>
        <v>HFE-338pcc13</v>
      </c>
      <c r="O418">
        <v>1500</v>
      </c>
    </row>
    <row r="419" spans="3:15" ht="13.2" hidden="1">
      <c r="C419" t="s">
        <v>6970</v>
      </c>
      <c r="D419" t="str">
        <f>Language!C992</f>
        <v>Quênia</v>
      </c>
      <c r="E419">
        <v>0.31260000000000004</v>
      </c>
      <c r="H419">
        <v>1.645</v>
      </c>
      <c r="N419" t="str">
        <f>Language!C41845</f>
        <v>HFE-347mcc3</v>
      </c>
      <c r="O419">
        <v>575</v>
      </c>
    </row>
    <row r="420" spans="3:15" ht="13.2" hidden="1">
      <c r="C420" t="s">
        <v>6993</v>
      </c>
      <c r="D420" t="str">
        <f>Language!C1053</f>
        <v>Coréa do Sul</v>
      </c>
      <c r="E420">
        <v>0.46710000000000002</v>
      </c>
      <c r="F420">
        <v>0.33900000000000002</v>
      </c>
      <c r="G420">
        <v>0.85699999999999998</v>
      </c>
      <c r="H420">
        <v>0.39</v>
      </c>
      <c r="N420" t="str">
        <f>Language!C41846</f>
        <v>HFE-347pcf2</v>
      </c>
      <c r="O420">
        <v>580</v>
      </c>
    </row>
    <row r="421" spans="3:15" ht="13.2" hidden="1">
      <c r="C421" t="s">
        <v>6876</v>
      </c>
      <c r="D421" t="str">
        <f>Language!C994</f>
        <v>Kuwait</v>
      </c>
      <c r="E421">
        <v>0.64300000000000002</v>
      </c>
      <c r="F421">
        <v>0.51700000000000002</v>
      </c>
      <c r="H421">
        <v>0.72</v>
      </c>
      <c r="N421" t="str">
        <f>Language!C41847</f>
        <v>HFE-356pcc3</v>
      </c>
      <c r="O421">
        <v>110</v>
      </c>
    </row>
    <row r="422" spans="3:15" ht="13.2" hidden="1">
      <c r="C422" t="s">
        <v>6877</v>
      </c>
      <c r="D422" t="str">
        <f>Language!C995</f>
        <v>Quirguistão</v>
      </c>
      <c r="E422">
        <v>4.4499999999999998E-2</v>
      </c>
      <c r="F422">
        <v>0.28199999999999997</v>
      </c>
      <c r="G422">
        <v>0.50800000000000001</v>
      </c>
      <c r="N422" t="str">
        <f>Language!C41848</f>
        <v>HFE-499sl</v>
      </c>
      <c r="O422">
        <v>297</v>
      </c>
    </row>
    <row r="423" spans="3:15" ht="13.2" hidden="1">
      <c r="C423" t="s">
        <v>23</v>
      </c>
      <c r="D423" t="str">
        <f>Language!C997</f>
        <v>Letônia</v>
      </c>
      <c r="E423">
        <v>0.15740000000000001</v>
      </c>
      <c r="F423">
        <v>0.23899999999999999</v>
      </c>
      <c r="G423">
        <v>0.55500000000000005</v>
      </c>
      <c r="H423">
        <v>0.30599999999999999</v>
      </c>
      <c r="N423" t="str">
        <f>Language!C41849</f>
        <v>HFE-569sf2</v>
      </c>
      <c r="O423">
        <v>59</v>
      </c>
    </row>
    <row r="424" spans="3:15" ht="13.2" hidden="1">
      <c r="C424" t="s">
        <v>6947</v>
      </c>
      <c r="D424" t="str">
        <f>Language!C998</f>
        <v>Líbano</v>
      </c>
      <c r="E424">
        <v>0.69450000000000001</v>
      </c>
      <c r="H424">
        <v>0.77600000000000002</v>
      </c>
      <c r="N424" t="str">
        <f>Language!C41868</f>
        <v>HFE-7100</v>
      </c>
      <c r="O424">
        <v>297</v>
      </c>
    </row>
    <row r="425" spans="3:15" ht="13.2" hidden="1">
      <c r="C425" t="s">
        <v>6880</v>
      </c>
      <c r="D425" t="str">
        <f>Language!C1001</f>
        <v>Líbia</v>
      </c>
      <c r="E425">
        <v>0.90689999999999993</v>
      </c>
      <c r="F425">
        <v>0.80400000000000005</v>
      </c>
      <c r="H425">
        <v>1.2909999999999999</v>
      </c>
      <c r="N425" t="str">
        <f>Language!C41869</f>
        <v>HFE-7200</v>
      </c>
      <c r="O425">
        <v>59</v>
      </c>
    </row>
    <row r="426" spans="3:15" ht="13.2" hidden="1">
      <c r="C426" t="s">
        <v>6881</v>
      </c>
      <c r="D426" t="str">
        <f>Language!C1003</f>
        <v>Lituânia</v>
      </c>
      <c r="E426">
        <v>0.1168</v>
      </c>
      <c r="F426">
        <v>0.26600000000000001</v>
      </c>
      <c r="G426">
        <v>0.44700000000000001</v>
      </c>
      <c r="H426">
        <v>0.34</v>
      </c>
      <c r="N426" t="str">
        <f>Language!C41832</f>
        <v>PFC-14</v>
      </c>
      <c r="O426">
        <v>7390</v>
      </c>
    </row>
    <row r="427" spans="3:15" ht="13.2" hidden="1">
      <c r="C427" t="s">
        <v>6885</v>
      </c>
      <c r="D427" t="str">
        <f>Language!C1004</f>
        <v>Luxemburgo</v>
      </c>
      <c r="E427">
        <v>0.35869999999999996</v>
      </c>
      <c r="F427">
        <v>0.32700000000000001</v>
      </c>
      <c r="N427" s="22" t="str">
        <f>Language!C2268</f>
        <v>PFC-116</v>
      </c>
      <c r="O427">
        <v>12200</v>
      </c>
    </row>
    <row r="428" spans="3:15" ht="13.2" hidden="1">
      <c r="C428" t="s">
        <v>6886</v>
      </c>
      <c r="D428" t="str">
        <f>Language!C1009</f>
        <v>Malásia</v>
      </c>
      <c r="E428">
        <v>0.66779999999999995</v>
      </c>
      <c r="F428">
        <v>0.46800000000000003</v>
      </c>
      <c r="G428">
        <v>0.86899999999999999</v>
      </c>
      <c r="H428">
        <v>0.92200000000000004</v>
      </c>
      <c r="N428" s="22" t="str">
        <f>Language!C2277</f>
        <v>PFC-218</v>
      </c>
      <c r="O428">
        <v>8830</v>
      </c>
    </row>
    <row r="429" spans="3:15" ht="13.2" hidden="1">
      <c r="C429" t="s">
        <v>6888</v>
      </c>
      <c r="D429" t="str">
        <f>Language!C1012</f>
        <v>Malta</v>
      </c>
      <c r="E429">
        <v>0.84920000000000007</v>
      </c>
      <c r="H429">
        <v>0.88800000000000001</v>
      </c>
      <c r="N429" t="str">
        <f>Language!C41833</f>
        <v>PFC-318</v>
      </c>
      <c r="O429">
        <v>10300</v>
      </c>
    </row>
    <row r="430" spans="3:15" ht="13.2" hidden="1">
      <c r="C430" t="s">
        <v>3803</v>
      </c>
      <c r="D430" t="str">
        <f>Language!C1018</f>
        <v>México</v>
      </c>
      <c r="E430">
        <v>0.5413</v>
      </c>
      <c r="F430">
        <v>0.53300000000000003</v>
      </c>
      <c r="G430">
        <v>0.96299999999999997</v>
      </c>
      <c r="H430">
        <v>0.79500000000000004</v>
      </c>
      <c r="N430" t="str">
        <f>Language!C41834</f>
        <v>PFC-3-1-10</v>
      </c>
      <c r="O430">
        <v>8860</v>
      </c>
    </row>
    <row r="431" spans="3:15" ht="13.2" hidden="1">
      <c r="C431" t="s">
        <v>5126</v>
      </c>
      <c r="D431" t="str">
        <f>Language!C2889</f>
        <v>Montenegro</v>
      </c>
      <c r="E431">
        <v>0.52879999999999994</v>
      </c>
      <c r="F431">
        <v>0.27100000000000002</v>
      </c>
      <c r="G431">
        <v>1.258</v>
      </c>
      <c r="H431">
        <v>0.39500000000000002</v>
      </c>
      <c r="N431" t="str">
        <f>Language!C41835</f>
        <v>PFC-4-1-12</v>
      </c>
      <c r="O431">
        <v>9160</v>
      </c>
    </row>
    <row r="432" spans="3:15" ht="13.2" hidden="1">
      <c r="C432" t="s">
        <v>6889</v>
      </c>
      <c r="D432" t="str">
        <f>Language!C1023</f>
        <v>Marrocos</v>
      </c>
      <c r="E432">
        <v>0.70799999999999996</v>
      </c>
      <c r="G432">
        <v>0.82</v>
      </c>
      <c r="H432">
        <v>0.81299999999999994</v>
      </c>
      <c r="N432" t="str">
        <f>Language!C41836</f>
        <v>PFC-5-1-14</v>
      </c>
      <c r="O432">
        <v>9300</v>
      </c>
    </row>
    <row r="433" spans="3:15" ht="13.2" hidden="1">
      <c r="C433" t="s">
        <v>24</v>
      </c>
      <c r="D433" t="str">
        <f>Language!C1024</f>
        <v>Moçambique</v>
      </c>
      <c r="E433">
        <v>1.4E-3</v>
      </c>
      <c r="F433">
        <v>0.70299999999999996</v>
      </c>
      <c r="H433">
        <v>1.0589999999999999</v>
      </c>
      <c r="N433" t="str">
        <f>Language!C41837</f>
        <v>PFC-9-1-18</v>
      </c>
      <c r="O433">
        <v>7500</v>
      </c>
    </row>
    <row r="434" spans="3:15" ht="13.2" hidden="1">
      <c r="C434" t="s">
        <v>6890</v>
      </c>
      <c r="D434" t="str">
        <f>Language!C1025</f>
        <v>Myanma</v>
      </c>
      <c r="E434">
        <v>0.33739999999999998</v>
      </c>
      <c r="F434">
        <v>0.39700000000000002</v>
      </c>
      <c r="H434">
        <v>0.67</v>
      </c>
      <c r="N434" t="str">
        <f>Language!C41821</f>
        <v>Halon-1211</v>
      </c>
      <c r="O434">
        <v>1890</v>
      </c>
    </row>
    <row r="435" spans="3:15" ht="13.2" hidden="1">
      <c r="C435" t="s">
        <v>6891</v>
      </c>
      <c r="D435" t="str">
        <f>Language!C1027</f>
        <v>Namíbia</v>
      </c>
      <c r="E435">
        <v>8.0500000000000002E-2</v>
      </c>
      <c r="G435">
        <v>1.403</v>
      </c>
      <c r="H435">
        <v>0.81200000000000006</v>
      </c>
      <c r="N435" t="str">
        <f>Language!C41820</f>
        <v>Halon-1301</v>
      </c>
      <c r="O435">
        <v>7140</v>
      </c>
    </row>
    <row r="436" spans="3:15" ht="13.2" hidden="1">
      <c r="C436" t="s">
        <v>4609</v>
      </c>
      <c r="D436" t="str">
        <f>Language!C1029</f>
        <v>Nepal</v>
      </c>
      <c r="E436">
        <v>3.7000000000000002E-3</v>
      </c>
      <c r="H436">
        <v>0.85</v>
      </c>
      <c r="N436" t="str">
        <f>Language!C41822</f>
        <v>Halon-2402</v>
      </c>
      <c r="O436">
        <v>1640</v>
      </c>
    </row>
    <row r="437" spans="3:15" ht="13.2" hidden="1">
      <c r="C437" t="s">
        <v>4494</v>
      </c>
      <c r="D437" t="str">
        <f>Language!C1030</f>
        <v>Holanda</v>
      </c>
      <c r="E437">
        <v>0.38010000000000005</v>
      </c>
      <c r="F437">
        <v>0.315</v>
      </c>
      <c r="G437">
        <v>0.96499999999999997</v>
      </c>
      <c r="H437">
        <v>0.52800000000000002</v>
      </c>
      <c r="N437" t="str">
        <f>Language!C41872</f>
        <v>HG-01</v>
      </c>
      <c r="O437">
        <v>1500</v>
      </c>
    </row>
    <row r="438" spans="3:15" ht="13.2" hidden="1">
      <c r="C438" t="s">
        <v>6894</v>
      </c>
      <c r="D438" t="str">
        <f>Language!C1031</f>
        <v>Antilhas Holandesas</v>
      </c>
      <c r="H438">
        <v>0.71899999999999997</v>
      </c>
      <c r="N438" t="str">
        <f>Language!C41871</f>
        <v>HG-10</v>
      </c>
      <c r="O438">
        <v>2800</v>
      </c>
    </row>
    <row r="439" spans="3:15" ht="13.2" hidden="1">
      <c r="C439" t="s">
        <v>6882</v>
      </c>
      <c r="D439" t="str">
        <f>Language!C1033</f>
        <v>Nova Zelândia</v>
      </c>
      <c r="E439">
        <v>0.25630000000000003</v>
      </c>
      <c r="F439">
        <v>0.439</v>
      </c>
      <c r="G439">
        <v>0.84899999999999998</v>
      </c>
      <c r="N439" t="str">
        <f>Language!C41870</f>
        <v>H-Galden 1040x</v>
      </c>
      <c r="O439">
        <v>1870</v>
      </c>
    </row>
    <row r="440" spans="3:15" ht="13.2" hidden="1">
      <c r="C440" t="s">
        <v>6892</v>
      </c>
      <c r="D440" t="str">
        <f>Language!C1034</f>
        <v>Nicarágua</v>
      </c>
      <c r="E440">
        <v>0.55100000000000005</v>
      </c>
      <c r="H440">
        <v>0.71399999999999997</v>
      </c>
      <c r="N440" s="22" t="str">
        <f>Language!C2314</f>
        <v>Amonia</v>
      </c>
      <c r="O440">
        <v>0</v>
      </c>
    </row>
    <row r="441" spans="3:15" ht="13.2" hidden="1">
      <c r="C441" t="s">
        <v>6874</v>
      </c>
      <c r="D441" t="str">
        <f>Language!C1036</f>
        <v>Nigéria</v>
      </c>
      <c r="E441">
        <v>0.38600000000000001</v>
      </c>
      <c r="F441">
        <v>0.67</v>
      </c>
      <c r="H441">
        <v>0.80100000000000005</v>
      </c>
      <c r="N441" s="22" t="str">
        <f>Language!C2315</f>
        <v>Dioxido de carbono</v>
      </c>
      <c r="O441">
        <v>1</v>
      </c>
    </row>
    <row r="442" spans="3:15" ht="13.2" hidden="1">
      <c r="C442" t="s">
        <v>6893</v>
      </c>
      <c r="D442" t="str">
        <f>Language!C1039</f>
        <v>Noruega</v>
      </c>
      <c r="E442">
        <v>3.3999999999999998E-3</v>
      </c>
      <c r="F442">
        <v>0.27700000000000002</v>
      </c>
      <c r="G442">
        <v>0.83499999999999996</v>
      </c>
      <c r="H442">
        <v>0.28899999999999998</v>
      </c>
      <c r="N442" t="str">
        <f>Language!C40255</f>
        <v>Tetracloreto de carbono</v>
      </c>
      <c r="O442">
        <v>1400</v>
      </c>
    </row>
    <row r="443" spans="3:15" ht="13.2" hidden="1">
      <c r="C443" t="s">
        <v>25</v>
      </c>
      <c r="D443" t="str">
        <f>Language!C1040</f>
        <v>Omã</v>
      </c>
      <c r="E443">
        <v>0.85609999999999997</v>
      </c>
      <c r="F443">
        <v>0.78</v>
      </c>
      <c r="H443">
        <v>1.056</v>
      </c>
      <c r="N443" t="str">
        <f>Language!C41854</f>
        <v>Dimethylether</v>
      </c>
      <c r="O443">
        <v>1</v>
      </c>
    </row>
    <row r="444" spans="3:15" ht="13.2" hidden="1">
      <c r="C444" t="s">
        <v>6933</v>
      </c>
      <c r="D444" t="str">
        <f>Language!C1041</f>
        <v>Paquistão</v>
      </c>
      <c r="E444">
        <v>0.4128</v>
      </c>
      <c r="F444">
        <v>0.53</v>
      </c>
      <c r="G444">
        <v>1.534</v>
      </c>
      <c r="H444">
        <v>0.77300000000000002</v>
      </c>
      <c r="N444" s="22" t="str">
        <f>Language!C2313</f>
        <v>Isobutano</v>
      </c>
      <c r="O444">
        <v>3</v>
      </c>
    </row>
    <row r="445" spans="3:15" ht="13.2" hidden="1">
      <c r="C445" t="s">
        <v>749</v>
      </c>
      <c r="D445" t="str">
        <f>Language!C1043</f>
        <v>Panamá</v>
      </c>
      <c r="E445">
        <v>0.2288</v>
      </c>
      <c r="H445">
        <v>0.76400000000000001</v>
      </c>
      <c r="N445" t="str">
        <f>Language!C41823</f>
        <v>Methyl bromide</v>
      </c>
      <c r="O445">
        <v>5</v>
      </c>
    </row>
    <row r="446" spans="3:15" ht="13.2" hidden="1">
      <c r="C446" t="s">
        <v>750</v>
      </c>
      <c r="D446" t="str">
        <f>Language!C1045</f>
        <v>Paraguai</v>
      </c>
      <c r="E446">
        <v>0</v>
      </c>
      <c r="N446" t="str">
        <f>Language!C41087</f>
        <v>Cloreto de metilo</v>
      </c>
      <c r="O446">
        <v>13</v>
      </c>
    </row>
    <row r="447" spans="3:15" ht="13.2" hidden="1">
      <c r="C447" t="s">
        <v>6897</v>
      </c>
      <c r="D447" t="str">
        <f>Language!C925</f>
        <v>China</v>
      </c>
      <c r="E447">
        <v>0.84450000000000003</v>
      </c>
      <c r="F447">
        <v>0.311</v>
      </c>
      <c r="G447">
        <v>0.89300000000000002</v>
      </c>
      <c r="H447">
        <v>0.64500000000000002</v>
      </c>
      <c r="N447" t="str">
        <f>Language!C41824</f>
        <v>Methyl chloroform</v>
      </c>
      <c r="O447">
        <v>146</v>
      </c>
    </row>
    <row r="448" spans="3:15" ht="13.2" hidden="1">
      <c r="C448" t="s">
        <v>6998</v>
      </c>
      <c r="D448" t="str">
        <f>Language!C1046</f>
        <v>Peru</v>
      </c>
      <c r="E448">
        <v>0.17219999999999999</v>
      </c>
      <c r="F448">
        <v>0.64600000000000002</v>
      </c>
      <c r="G448">
        <v>1.7549999999999999</v>
      </c>
      <c r="H448">
        <v>0.72199999999999998</v>
      </c>
      <c r="N448" t="str">
        <f>Language!C41090</f>
        <v>Cloreto de metileno</v>
      </c>
      <c r="O448">
        <v>8.6999999999999993</v>
      </c>
    </row>
    <row r="449" spans="3:15" ht="13.2" hidden="1">
      <c r="C449" t="s">
        <v>6853</v>
      </c>
      <c r="D449" t="str">
        <f>Language!C1047</f>
        <v>Filipinas</v>
      </c>
      <c r="E449">
        <v>0.43460000000000004</v>
      </c>
      <c r="F449">
        <v>0.38</v>
      </c>
      <c r="G449">
        <v>0.92100000000000004</v>
      </c>
      <c r="H449">
        <v>0.80300000000000005</v>
      </c>
      <c r="N449" t="str">
        <f>Language!C41831</f>
        <v>Nitrogen trifluoride</v>
      </c>
      <c r="O449">
        <v>17200</v>
      </c>
    </row>
    <row r="450" spans="3:15" ht="13.2" hidden="1">
      <c r="C450" t="s">
        <v>6864</v>
      </c>
      <c r="D450" t="str">
        <f>Language!C1049</f>
        <v>Polônia</v>
      </c>
      <c r="E450">
        <v>0.4803</v>
      </c>
      <c r="F450">
        <v>0.32700000000000001</v>
      </c>
      <c r="G450">
        <v>0.68600000000000005</v>
      </c>
      <c r="H450">
        <v>0.46400000000000002</v>
      </c>
      <c r="N450" t="str">
        <f>Language!C41853</f>
        <v>PFPMIE</v>
      </c>
      <c r="O450">
        <v>10300</v>
      </c>
    </row>
    <row r="451" spans="3:15" ht="13.2" hidden="1">
      <c r="C451" t="s">
        <v>6940</v>
      </c>
      <c r="D451" t="str">
        <f>Language!C1050</f>
        <v>Portugal</v>
      </c>
      <c r="E451">
        <v>0.4194</v>
      </c>
      <c r="F451">
        <v>0.34699999999999998</v>
      </c>
      <c r="G451">
        <v>0.84199999999999997</v>
      </c>
      <c r="H451">
        <v>0.624</v>
      </c>
      <c r="N451" s="22" t="str">
        <f>Language!C2283</f>
        <v>Propano</v>
      </c>
      <c r="O451">
        <v>3</v>
      </c>
    </row>
    <row r="452" spans="3:15" ht="13.2" hidden="1">
      <c r="C452" t="s">
        <v>6861</v>
      </c>
      <c r="D452" t="str">
        <f>Language!C1052</f>
        <v>Catar</v>
      </c>
      <c r="E452">
        <v>0.62579999999999991</v>
      </c>
      <c r="F452">
        <v>0.84699999999999998</v>
      </c>
      <c r="N452" t="str">
        <f>Language!C41830</f>
        <v>Sulphur hexafluoride</v>
      </c>
      <c r="O452">
        <v>22800</v>
      </c>
    </row>
    <row r="453" spans="3:15" ht="13.2" hidden="1">
      <c r="C453" t="s">
        <v>6865</v>
      </c>
      <c r="D453" t="str">
        <f>Language!C1054</f>
        <v>Moldávia</v>
      </c>
      <c r="E453">
        <v>0.54189999999999994</v>
      </c>
      <c r="F453">
        <v>0.752</v>
      </c>
      <c r="G453">
        <v>1.012</v>
      </c>
      <c r="H453">
        <v>0.84</v>
      </c>
      <c r="N453" t="str">
        <f>Lang_Currency</f>
        <v>Definido pelo usuário</v>
      </c>
    </row>
    <row r="454" spans="3:15" ht="13.2" hidden="1">
      <c r="C454" t="s">
        <v>6868</v>
      </c>
      <c r="D454" t="str">
        <f>Language!C1056</f>
        <v>Romênia</v>
      </c>
      <c r="E454">
        <v>0.47760000000000002</v>
      </c>
      <c r="F454">
        <v>0.307</v>
      </c>
      <c r="G454">
        <v>0.83</v>
      </c>
      <c r="H454">
        <v>0.39400000000000002</v>
      </c>
    </row>
    <row r="455" spans="3:15" ht="13.2" hidden="1">
      <c r="C455" t="s">
        <v>6879</v>
      </c>
      <c r="D455" t="str">
        <f>Language!C1057</f>
        <v>Rússia</v>
      </c>
      <c r="E455">
        <v>0.33310000000000001</v>
      </c>
      <c r="F455">
        <v>0.30099999999999999</v>
      </c>
      <c r="G455">
        <v>0.52300000000000002</v>
      </c>
      <c r="H455">
        <v>0.40899999999999997</v>
      </c>
    </row>
    <row r="456" spans="3:15" ht="13.2" hidden="1">
      <c r="C456" t="s">
        <v>6895</v>
      </c>
      <c r="D456" t="str">
        <f>Language!C1065</f>
        <v>Arábia Saudita</v>
      </c>
      <c r="E456">
        <v>0.75539999999999996</v>
      </c>
      <c r="F456">
        <v>0.432</v>
      </c>
      <c r="H456">
        <v>0.68600000000000005</v>
      </c>
    </row>
    <row r="457" spans="3:15" ht="13.2" hidden="1">
      <c r="C457" t="s">
        <v>6878</v>
      </c>
      <c r="D457" t="str">
        <f>Language!C1066</f>
        <v>Senegal</v>
      </c>
      <c r="E457">
        <v>0.75029999999999997</v>
      </c>
      <c r="H457">
        <v>0.85799999999999998</v>
      </c>
    </row>
    <row r="458" spans="3:15" ht="13.2" hidden="1">
      <c r="C458" t="s">
        <v>6931</v>
      </c>
      <c r="D458" t="str">
        <f>Language!C1067</f>
        <v>Sérvia</v>
      </c>
      <c r="E458">
        <v>0.52879999999999994</v>
      </c>
      <c r="F458">
        <v>0.27100000000000002</v>
      </c>
      <c r="G458">
        <v>1.258</v>
      </c>
      <c r="H458">
        <v>0.39500000000000002</v>
      </c>
    </row>
    <row r="459" spans="3:15" ht="13.2" hidden="1">
      <c r="C459" t="s">
        <v>6920</v>
      </c>
      <c r="D459" t="str">
        <f>Language!C1070</f>
        <v>Cingapura</v>
      </c>
      <c r="E459">
        <v>0.53600000000000003</v>
      </c>
      <c r="F459">
        <v>0.41899999999999998</v>
      </c>
      <c r="H459">
        <v>0.71399999999999997</v>
      </c>
    </row>
    <row r="460" spans="3:15" ht="13.2" hidden="1">
      <c r="C460" t="s">
        <v>6967</v>
      </c>
      <c r="D460" t="str">
        <f>Language!C1071</f>
        <v>Eslováquia</v>
      </c>
      <c r="E460">
        <v>0.14959999999999998</v>
      </c>
      <c r="F460">
        <v>0.24399999999999999</v>
      </c>
      <c r="G460">
        <v>0.78900000000000003</v>
      </c>
      <c r="H460">
        <v>0.40300000000000002</v>
      </c>
    </row>
    <row r="461" spans="3:15" ht="13.2" hidden="1">
      <c r="C461" t="s">
        <v>6986</v>
      </c>
      <c r="D461" t="str">
        <f>Language!C1072</f>
        <v>Eslovênia</v>
      </c>
      <c r="E461">
        <v>0.21340000000000001</v>
      </c>
      <c r="F461">
        <v>0.27100000000000002</v>
      </c>
      <c r="G461">
        <v>0.878</v>
      </c>
      <c r="H461">
        <v>0.52800000000000002</v>
      </c>
    </row>
    <row r="462" spans="3:15" ht="13.2" hidden="1">
      <c r="C462" t="s">
        <v>6992</v>
      </c>
      <c r="D462" t="str">
        <f>Language!C1075</f>
        <v>África do Sul</v>
      </c>
      <c r="E462">
        <v>0.87260000000000004</v>
      </c>
      <c r="G462">
        <v>0.90400000000000003</v>
      </c>
    </row>
    <row r="463" spans="3:15" ht="13.2" hidden="1">
      <c r="C463" t="s">
        <v>6856</v>
      </c>
      <c r="D463" t="str">
        <f>Language!C1076</f>
        <v>Espanha</v>
      </c>
      <c r="E463">
        <v>0.33850000000000002</v>
      </c>
      <c r="F463">
        <v>0.32500000000000001</v>
      </c>
      <c r="G463">
        <v>0.90800000000000003</v>
      </c>
      <c r="H463">
        <v>0.65800000000000003</v>
      </c>
    </row>
    <row r="464" spans="3:15" ht="13.2" hidden="1">
      <c r="C464" t="s">
        <v>26</v>
      </c>
      <c r="D464" t="str">
        <f>Language!C1077</f>
        <v>Sri Lanka</v>
      </c>
      <c r="E464">
        <v>0.3105</v>
      </c>
      <c r="H464">
        <v>0.69599999999999995</v>
      </c>
    </row>
    <row r="465" spans="3:8" ht="13.2" hidden="1">
      <c r="C465" t="s">
        <v>6899</v>
      </c>
      <c r="D465" t="str">
        <f>Language!C1080</f>
        <v>Sudão</v>
      </c>
      <c r="E465">
        <v>0.61299999999999999</v>
      </c>
      <c r="H465">
        <v>1.137</v>
      </c>
    </row>
    <row r="466" spans="3:8" ht="13.2" hidden="1">
      <c r="C466" t="s">
        <v>6900</v>
      </c>
      <c r="D466" t="str">
        <f>Language!C1084</f>
        <v>Suécia</v>
      </c>
      <c r="E466">
        <v>3.0300000000000001E-2</v>
      </c>
      <c r="F466">
        <v>0.22</v>
      </c>
      <c r="G466">
        <v>0.57899999999999996</v>
      </c>
      <c r="H466">
        <v>0.33</v>
      </c>
    </row>
    <row r="467" spans="3:8" ht="13.2" hidden="1">
      <c r="C467" t="s">
        <v>6901</v>
      </c>
      <c r="D467" t="str">
        <f>Language!C1085</f>
        <v>Suíça</v>
      </c>
      <c r="E467">
        <v>1.4999999999999999E-2</v>
      </c>
      <c r="F467">
        <v>0.38400000000000001</v>
      </c>
      <c r="H467">
        <v>0.65700000000000003</v>
      </c>
    </row>
    <row r="468" spans="3:8" ht="13.2" hidden="1">
      <c r="C468" t="s">
        <v>6902</v>
      </c>
      <c r="D468" t="str">
        <f>Language!C1086</f>
        <v>Síria</v>
      </c>
      <c r="E468">
        <v>0.58739999999999992</v>
      </c>
      <c r="F468">
        <v>0.52100000000000002</v>
      </c>
      <c r="H468">
        <v>0.83199999999999996</v>
      </c>
    </row>
    <row r="469" spans="3:8" ht="13.2" hidden="1">
      <c r="C469" t="s">
        <v>6898</v>
      </c>
      <c r="D469" t="str">
        <f>Language!C1088</f>
        <v>Tagiquistão</v>
      </c>
      <c r="E469">
        <v>1.4800000000000001E-2</v>
      </c>
      <c r="F469">
        <v>0.51700000000000002</v>
      </c>
    </row>
    <row r="470" spans="3:8" ht="13.2" hidden="1">
      <c r="C470" t="s">
        <v>27</v>
      </c>
      <c r="D470" t="str">
        <f>Language!C1089</f>
        <v>Tailândia</v>
      </c>
      <c r="E470">
        <v>0.51090000000000002</v>
      </c>
      <c r="F470">
        <v>0.498</v>
      </c>
      <c r="G470">
        <v>0.96699999999999997</v>
      </c>
      <c r="H470">
        <v>0.751</v>
      </c>
    </row>
    <row r="471" spans="3:8" ht="13.2" hidden="1">
      <c r="C471" t="s">
        <v>6903</v>
      </c>
      <c r="D471" t="str">
        <f>Language!C1091</f>
        <v>Togo</v>
      </c>
      <c r="E471">
        <v>0.45250000000000001</v>
      </c>
      <c r="H471">
        <v>1.335</v>
      </c>
    </row>
    <row r="472" spans="3:8" ht="13.2" hidden="1">
      <c r="C472" t="s">
        <v>28</v>
      </c>
      <c r="D472" t="str">
        <f>Language!C1094</f>
        <v>Trinidad e Tobago</v>
      </c>
      <c r="E472">
        <v>0.72389999999999999</v>
      </c>
      <c r="F472">
        <v>0.71</v>
      </c>
      <c r="H472">
        <v>1.0589999999999999</v>
      </c>
    </row>
    <row r="473" spans="3:8" ht="13.2" hidden="1">
      <c r="C473" t="s">
        <v>6904</v>
      </c>
      <c r="D473" t="str">
        <f>Language!C1095</f>
        <v>Tunísia</v>
      </c>
      <c r="E473">
        <v>0.54600000000000004</v>
      </c>
      <c r="F473">
        <v>0.52900000000000003</v>
      </c>
      <c r="H473">
        <v>0.84</v>
      </c>
    </row>
    <row r="474" spans="3:8" ht="13.2" hidden="1">
      <c r="C474" t="s">
        <v>6905</v>
      </c>
      <c r="D474" t="str">
        <f>Language!C1096</f>
        <v>Turquia</v>
      </c>
      <c r="E474">
        <v>0.4496</v>
      </c>
      <c r="F474">
        <v>0.42099999999999999</v>
      </c>
      <c r="G474">
        <v>1.24</v>
      </c>
      <c r="H474">
        <v>0.69499999999999995</v>
      </c>
    </row>
    <row r="475" spans="3:8" ht="13.2" hidden="1">
      <c r="C475" t="s">
        <v>2596</v>
      </c>
      <c r="D475" t="str">
        <f>Language!C1097</f>
        <v>Turcomenistão</v>
      </c>
      <c r="E475">
        <v>0.45089999999999997</v>
      </c>
      <c r="F475">
        <v>0.76100000000000001</v>
      </c>
    </row>
    <row r="476" spans="3:8" ht="13.2" hidden="1">
      <c r="C476" t="s">
        <v>29</v>
      </c>
      <c r="D476" t="str">
        <f>Language!C1103</f>
        <v>Ucrânia</v>
      </c>
      <c r="E476">
        <v>0.43280000000000002</v>
      </c>
      <c r="F476">
        <v>0.35499999999999998</v>
      </c>
      <c r="G476">
        <v>0.50900000000000001</v>
      </c>
      <c r="H476">
        <v>0.55100000000000005</v>
      </c>
    </row>
    <row r="477" spans="3:8" ht="13.2" hidden="1">
      <c r="C477" t="s">
        <v>3824</v>
      </c>
      <c r="D477" t="str">
        <f>Language!C1100</f>
        <v>Emirados Árabes</v>
      </c>
      <c r="E477">
        <v>0.82</v>
      </c>
      <c r="F477">
        <v>0.88900000000000001</v>
      </c>
      <c r="H477">
        <v>1.0489999999999999</v>
      </c>
    </row>
    <row r="478" spans="3:8" ht="13.2" hidden="1">
      <c r="C478" t="s">
        <v>3825</v>
      </c>
      <c r="D478" t="str">
        <f>Language!C1104</f>
        <v>Reino Unido</v>
      </c>
      <c r="E478">
        <v>0.4965</v>
      </c>
      <c r="F478">
        <v>0.376</v>
      </c>
      <c r="G478">
        <v>0.89600000000000002</v>
      </c>
      <c r="H478">
        <v>0.44600000000000001</v>
      </c>
    </row>
    <row r="479" spans="3:8" ht="13.2" hidden="1">
      <c r="C479" t="s">
        <v>6909</v>
      </c>
      <c r="D479" t="str">
        <f>Language!C1101</f>
        <v>Tanzânia</v>
      </c>
      <c r="E479">
        <v>0.24940000000000001</v>
      </c>
      <c r="G479">
        <v>1.1140000000000001</v>
      </c>
      <c r="H479">
        <v>1.4950000000000001</v>
      </c>
    </row>
    <row r="480" spans="3:8" ht="13.2" hidden="1">
      <c r="C480" t="s">
        <v>6910</v>
      </c>
      <c r="D480" t="str">
        <f>Language!C1107</f>
        <v>Estados Unidos da América</v>
      </c>
      <c r="E480">
        <v>0.54359999999999997</v>
      </c>
      <c r="F480">
        <v>0.439</v>
      </c>
      <c r="G480">
        <v>0.94099999999999995</v>
      </c>
      <c r="H480">
        <v>0.72099999999999997</v>
      </c>
    </row>
    <row r="481" spans="3:8" ht="13.2" hidden="1">
      <c r="C481" t="s">
        <v>6911</v>
      </c>
      <c r="D481" t="str">
        <f>Language!C1105</f>
        <v>Uruguai</v>
      </c>
      <c r="E481">
        <v>0.2954</v>
      </c>
      <c r="H481">
        <v>1.1040000000000001</v>
      </c>
    </row>
    <row r="482" spans="3:8" ht="13.2" hidden="1">
      <c r="C482" t="s">
        <v>6912</v>
      </c>
      <c r="D482" t="str">
        <f>Language!C1108</f>
        <v>Uzbequistão</v>
      </c>
      <c r="E482">
        <v>0.46610000000000001</v>
      </c>
      <c r="F482">
        <v>0.46700000000000003</v>
      </c>
      <c r="G482">
        <v>0.96899999999999997</v>
      </c>
      <c r="H482">
        <v>0.58899999999999997</v>
      </c>
    </row>
    <row r="483" spans="3:8" ht="13.2" hidden="1">
      <c r="C483" t="s">
        <v>3826</v>
      </c>
      <c r="D483" t="str">
        <f>Language!C1110</f>
        <v>Venezuela</v>
      </c>
      <c r="E483">
        <v>0.2049</v>
      </c>
      <c r="F483">
        <v>0.74099999999999999</v>
      </c>
      <c r="H483">
        <v>1.016</v>
      </c>
    </row>
    <row r="484" spans="3:8" ht="13.2" hidden="1">
      <c r="C484" t="s">
        <v>6913</v>
      </c>
      <c r="D484" t="str">
        <f>Language!C1111</f>
        <v>Vietnã</v>
      </c>
      <c r="E484">
        <v>0.36230000000000001</v>
      </c>
      <c r="F484">
        <v>0.64300000000000002</v>
      </c>
      <c r="G484">
        <v>1.1930000000000001</v>
      </c>
      <c r="H484">
        <v>0.90700000000000003</v>
      </c>
    </row>
    <row r="485" spans="3:8" ht="13.2" hidden="1">
      <c r="C485" t="s">
        <v>6914</v>
      </c>
      <c r="D485" t="str">
        <f>Language!C1114</f>
        <v>Iémen</v>
      </c>
      <c r="E485">
        <v>0.81489999999999996</v>
      </c>
      <c r="H485">
        <v>0.77200000000000002</v>
      </c>
    </row>
    <row r="486" spans="3:8" ht="13.2" hidden="1">
      <c r="C486" t="s">
        <v>6915</v>
      </c>
      <c r="D486" t="str">
        <f>Language!C1115</f>
        <v>Zambia</v>
      </c>
      <c r="E486">
        <v>7.4999999999999997E-3</v>
      </c>
      <c r="G486">
        <v>1.5269999999999999</v>
      </c>
      <c r="H486">
        <v>0.89600000000000002</v>
      </c>
    </row>
    <row r="487" spans="3:8" ht="13.35" hidden="1" customHeight="1">
      <c r="C487" t="s">
        <v>6916</v>
      </c>
      <c r="D487" t="str">
        <f>Language!C1116</f>
        <v>Zimbábwe</v>
      </c>
      <c r="E487">
        <v>0.56979999999999997</v>
      </c>
      <c r="G487">
        <v>1.36</v>
      </c>
      <c r="H487">
        <v>2.2240000000000002</v>
      </c>
    </row>
    <row r="488" spans="3:8" ht="13.35" hidden="1" customHeight="1">
      <c r="C488" t="s">
        <v>1970</v>
      </c>
      <c r="D488" t="str">
        <f>Language!C885</f>
        <v>Samoa Americana</v>
      </c>
    </row>
    <row r="489" spans="3:8" ht="13.35" hidden="1" customHeight="1">
      <c r="C489" t="s">
        <v>6918</v>
      </c>
      <c r="D489" t="str">
        <f>Language!C886</f>
        <v>Andorra</v>
      </c>
    </row>
    <row r="490" spans="3:8" ht="13.35" hidden="1" customHeight="1">
      <c r="C490" t="s">
        <v>6917</v>
      </c>
      <c r="D490" t="str">
        <f>Language!C888</f>
        <v>Anguila</v>
      </c>
    </row>
    <row r="491" spans="3:8" ht="13.35" hidden="1" customHeight="1">
      <c r="C491" t="s">
        <v>6919</v>
      </c>
      <c r="D491" t="str">
        <f>Language!C1117</f>
        <v>Antártica</v>
      </c>
    </row>
    <row r="492" spans="3:8" ht="13.35" hidden="1" customHeight="1">
      <c r="C492" t="s">
        <v>3281</v>
      </c>
      <c r="D492" t="str">
        <f>Language!C889</f>
        <v>Antigua e Barbuda</v>
      </c>
    </row>
    <row r="493" spans="3:8" ht="13.35" hidden="1" customHeight="1">
      <c r="C493" t="s">
        <v>30</v>
      </c>
      <c r="D493" t="str">
        <f>Language!C892</f>
        <v>Aruba</v>
      </c>
    </row>
    <row r="494" spans="3:8" ht="13.35" hidden="1" customHeight="1">
      <c r="C494" t="s">
        <v>6928</v>
      </c>
      <c r="D494" t="str">
        <f>Language!C896</f>
        <v>Bahamas</v>
      </c>
    </row>
    <row r="495" spans="3:8" ht="13.35" hidden="1" customHeight="1">
      <c r="C495" t="s">
        <v>6921</v>
      </c>
      <c r="D495" t="str">
        <f>Language!C899</f>
        <v>Barbados</v>
      </c>
    </row>
    <row r="496" spans="3:8" ht="13.35" hidden="1" customHeight="1">
      <c r="C496" t="s">
        <v>6923</v>
      </c>
      <c r="D496" t="str">
        <f>Language!C902</f>
        <v>Belize</v>
      </c>
    </row>
    <row r="497" spans="3:5" ht="13.35" hidden="1" customHeight="1">
      <c r="C497" t="s">
        <v>6922</v>
      </c>
      <c r="D497" t="str">
        <f>Language!C904</f>
        <v>Bermuda</v>
      </c>
    </row>
    <row r="498" spans="3:5" ht="13.35" hidden="1" customHeight="1">
      <c r="C498" t="s">
        <v>748</v>
      </c>
      <c r="D498" t="str">
        <f>Language!C905</f>
        <v>Butão</v>
      </c>
    </row>
    <row r="499" spans="3:5" ht="13.35" hidden="1" customHeight="1">
      <c r="C499" t="s">
        <v>6924</v>
      </c>
      <c r="D499" t="str">
        <f>Language!C908</f>
        <v>Botswana</v>
      </c>
      <c r="E499">
        <v>1.8426</v>
      </c>
    </row>
    <row r="500" spans="3:5" ht="13.35" hidden="1" customHeight="1">
      <c r="C500" t="s">
        <v>6925</v>
      </c>
      <c r="D500" t="str">
        <f>Language!C909</f>
        <v>Ilha Bouvet</v>
      </c>
    </row>
    <row r="501" spans="3:5" ht="13.35" hidden="1" customHeight="1">
      <c r="C501" t="s">
        <v>6929</v>
      </c>
      <c r="D501" t="str">
        <f>Language!C911</f>
        <v>Território Britânico do Oceano Índico</v>
      </c>
    </row>
    <row r="502" spans="3:5" ht="13.35" hidden="1" customHeight="1">
      <c r="C502" t="s">
        <v>6952</v>
      </c>
      <c r="D502" t="str">
        <f>Language!C915</f>
        <v>Burkina Faso</v>
      </c>
    </row>
    <row r="503" spans="3:5" ht="13.35" hidden="1" customHeight="1">
      <c r="C503" t="s">
        <v>6926</v>
      </c>
      <c r="D503" t="str">
        <f>Language!C916</f>
        <v>Burundi</v>
      </c>
    </row>
    <row r="504" spans="3:5" ht="13.35" hidden="1" customHeight="1">
      <c r="C504" t="s">
        <v>6927</v>
      </c>
      <c r="D504" t="str">
        <f>Language!C917</f>
        <v>Camboja</v>
      </c>
      <c r="E504">
        <v>1.1396999999999999</v>
      </c>
    </row>
    <row r="505" spans="3:5" ht="13.35" hidden="1" customHeight="1">
      <c r="C505" t="s">
        <v>831</v>
      </c>
      <c r="D505" t="str">
        <f>Language!C920</f>
        <v>Cabo Verde</v>
      </c>
    </row>
    <row r="506" spans="3:5" ht="13.35" hidden="1" customHeight="1">
      <c r="C506" t="s">
        <v>3314</v>
      </c>
      <c r="D506" t="str">
        <f>Language!C921</f>
        <v>Ilhas Caimã</v>
      </c>
    </row>
    <row r="507" spans="3:5" ht="13.35" hidden="1" customHeight="1">
      <c r="C507" t="s">
        <v>6930</v>
      </c>
      <c r="D507" t="str">
        <f>Language!C922</f>
        <v>República Centro africana</v>
      </c>
    </row>
    <row r="508" spans="3:5" ht="13.35" hidden="1" customHeight="1">
      <c r="C508" t="s">
        <v>6932</v>
      </c>
      <c r="D508" t="str">
        <f>Language!C923</f>
        <v>Chade</v>
      </c>
    </row>
    <row r="509" spans="3:5" ht="13.35" hidden="1" customHeight="1">
      <c r="C509" t="s">
        <v>2133</v>
      </c>
      <c r="D509" t="str">
        <f>Language!C926</f>
        <v>Ilha Christmas</v>
      </c>
    </row>
    <row r="510" spans="3:5" ht="13.35" hidden="1" customHeight="1">
      <c r="C510" t="s">
        <v>31</v>
      </c>
      <c r="D510" t="str">
        <f>Language!C927</f>
        <v>Ilhas Cocos(Keeling)</v>
      </c>
    </row>
    <row r="511" spans="3:5" ht="13.35" hidden="1" customHeight="1">
      <c r="C511" t="s">
        <v>6937</v>
      </c>
      <c r="D511" t="str">
        <f>Language!C929</f>
        <v>Comores</v>
      </c>
    </row>
    <row r="512" spans="3:5" ht="13.35" hidden="1" customHeight="1">
      <c r="C512" t="s">
        <v>6938</v>
      </c>
      <c r="D512" t="str">
        <f>Language!C931</f>
        <v>Ilhas Cook</v>
      </c>
    </row>
    <row r="513" spans="3:4" ht="13.35" hidden="1" customHeight="1">
      <c r="C513" t="s">
        <v>6939</v>
      </c>
      <c r="D513" t="str">
        <f>Language!C941</f>
        <v>Djibuti</v>
      </c>
    </row>
    <row r="514" spans="3:4" ht="13.35" hidden="1" customHeight="1">
      <c r="C514" t="s">
        <v>32</v>
      </c>
      <c r="D514" t="str">
        <f>Language!C942</f>
        <v>Dominica</v>
      </c>
    </row>
    <row r="515" spans="3:4" ht="13.35" hidden="1" customHeight="1">
      <c r="C515" t="s">
        <v>6941</v>
      </c>
      <c r="D515" t="str">
        <f>Language!C947</f>
        <v>Guiné Equatorial</v>
      </c>
    </row>
    <row r="516" spans="3:4" ht="13.35" hidden="1" customHeight="1">
      <c r="C516" t="s">
        <v>6935</v>
      </c>
      <c r="D516" t="str">
        <f>Language!C951</f>
        <v>Ilhas Malvinas</v>
      </c>
    </row>
    <row r="517" spans="3:4" ht="13.35" hidden="1" customHeight="1">
      <c r="C517" t="s">
        <v>6936</v>
      </c>
      <c r="D517" t="str">
        <f>Language!C952</f>
        <v>Ilhas Faroe</v>
      </c>
    </row>
    <row r="518" spans="3:4" ht="13.35" hidden="1" customHeight="1">
      <c r="C518" t="s">
        <v>6942</v>
      </c>
      <c r="D518" t="str">
        <f>Language!C953</f>
        <v>Fiji</v>
      </c>
    </row>
    <row r="519" spans="3:4" ht="13.35" hidden="1" customHeight="1">
      <c r="C519" t="s">
        <v>6153</v>
      </c>
      <c r="D519" t="str">
        <f>Language!C956</f>
        <v>Guiana Francesa</v>
      </c>
    </row>
    <row r="520" spans="3:4" ht="13.35" hidden="1" customHeight="1">
      <c r="C520" t="s">
        <v>33</v>
      </c>
      <c r="D520" t="str">
        <f>Language!C957</f>
        <v>Polinésia Francesa</v>
      </c>
    </row>
    <row r="521" spans="3:4" ht="13.35" hidden="1" customHeight="1">
      <c r="C521" t="s">
        <v>6944</v>
      </c>
      <c r="D521" t="str">
        <f>Language!C958</f>
        <v>Territórios Franceses do Sul</v>
      </c>
    </row>
    <row r="522" spans="3:4" ht="13.35" hidden="1" customHeight="1">
      <c r="C522" t="s">
        <v>6945</v>
      </c>
      <c r="D522" t="str">
        <f>Language!C960</f>
        <v>Gâmbia</v>
      </c>
    </row>
    <row r="523" spans="3:4" ht="13.35" hidden="1" customHeight="1">
      <c r="C523" t="s">
        <v>6943</v>
      </c>
      <c r="D523" t="str">
        <f>Language!C966</f>
        <v>Groenlândia</v>
      </c>
    </row>
    <row r="524" spans="3:4" ht="13.35" hidden="1" customHeight="1">
      <c r="C524" t="s">
        <v>6946</v>
      </c>
      <c r="D524" t="str">
        <f>Language!C967</f>
        <v>Grenada</v>
      </c>
    </row>
    <row r="525" spans="3:4" ht="13.35" hidden="1" customHeight="1">
      <c r="C525" t="s">
        <v>34</v>
      </c>
      <c r="D525" t="str">
        <f>Language!C968</f>
        <v>Guadalupe</v>
      </c>
    </row>
    <row r="526" spans="3:4" ht="13.35" hidden="1" customHeight="1">
      <c r="C526" t="s">
        <v>2182</v>
      </c>
      <c r="D526" t="str">
        <f>Language!C969</f>
        <v>Guam</v>
      </c>
    </row>
    <row r="527" spans="3:4" ht="13.35" hidden="1" customHeight="1">
      <c r="C527" t="s">
        <v>6883</v>
      </c>
      <c r="D527" t="str">
        <f>Language!C971</f>
        <v>Guiné</v>
      </c>
    </row>
    <row r="528" spans="3:4" ht="13.35" hidden="1" customHeight="1">
      <c r="C528" t="s">
        <v>6948</v>
      </c>
      <c r="D528" t="str">
        <f>Language!C972</f>
        <v>Guiné-Bissau</v>
      </c>
    </row>
    <row r="529" spans="3:4" ht="13.35" hidden="1" customHeight="1">
      <c r="C529" t="s">
        <v>6949</v>
      </c>
      <c r="D529" t="str">
        <f>Language!C973</f>
        <v>Guiana</v>
      </c>
    </row>
    <row r="530" spans="3:4" ht="13.35" hidden="1" customHeight="1">
      <c r="C530" t="s">
        <v>3023</v>
      </c>
      <c r="D530" t="str">
        <f>Language!C975</f>
        <v>Ilhas Heard e McDonald</v>
      </c>
    </row>
    <row r="531" spans="3:4" ht="13.35" hidden="1" customHeight="1">
      <c r="C531" t="s">
        <v>6907</v>
      </c>
      <c r="D531" t="str">
        <f>Language!C976</f>
        <v>Vaticano</v>
      </c>
    </row>
    <row r="532" spans="3:4" ht="13.35" hidden="1" customHeight="1">
      <c r="C532" t="s">
        <v>6908</v>
      </c>
      <c r="D532" t="str">
        <f>Language!C993</f>
        <v>Kiribati</v>
      </c>
    </row>
    <row r="533" spans="3:4" ht="13.35" hidden="1" customHeight="1">
      <c r="C533" t="s">
        <v>6990</v>
      </c>
      <c r="D533" t="str">
        <f>Language!C996</f>
        <v>Laos</v>
      </c>
    </row>
    <row r="534" spans="3:4" ht="13.35" hidden="1" customHeight="1">
      <c r="C534" t="s">
        <v>6862</v>
      </c>
      <c r="D534" t="str">
        <f>Language!C999</f>
        <v>Lesotho</v>
      </c>
    </row>
    <row r="535" spans="3:4" ht="13.35" hidden="1" customHeight="1">
      <c r="C535" t="s">
        <v>6711</v>
      </c>
      <c r="D535" t="str">
        <f>Language!C1000</f>
        <v>Libéria</v>
      </c>
    </row>
    <row r="536" spans="3:4" ht="13.35" hidden="1" customHeight="1">
      <c r="C536" t="s">
        <v>6872</v>
      </c>
      <c r="D536" t="str">
        <f>Language!C1002</f>
        <v>Liechtenstein</v>
      </c>
    </row>
    <row r="537" spans="3:4" ht="13.35" hidden="1" customHeight="1">
      <c r="C537" t="s">
        <v>6953</v>
      </c>
      <c r="D537" t="str">
        <f>Language!C1005</f>
        <v>Macau</v>
      </c>
    </row>
    <row r="538" spans="3:4" ht="13.35" hidden="1" customHeight="1">
      <c r="C538" t="s">
        <v>6954</v>
      </c>
      <c r="D538" t="str">
        <f>Language!C1007</f>
        <v>Madagascar</v>
      </c>
    </row>
    <row r="539" spans="3:4" ht="13.35" hidden="1" customHeight="1">
      <c r="C539" t="s">
        <v>6956</v>
      </c>
      <c r="D539" t="str">
        <f>Language!C1008</f>
        <v>Malaui</v>
      </c>
    </row>
    <row r="540" spans="3:4" ht="13.35" hidden="1" customHeight="1">
      <c r="C540" t="s">
        <v>6955</v>
      </c>
      <c r="D540" t="str">
        <f>Language!C1010</f>
        <v>Maldivas</v>
      </c>
    </row>
    <row r="541" spans="3:4" ht="13.35" hidden="1" customHeight="1">
      <c r="C541" t="s">
        <v>6997</v>
      </c>
      <c r="D541" t="str">
        <f>Language!C1011</f>
        <v>Mali</v>
      </c>
    </row>
    <row r="542" spans="3:4" ht="13.35" hidden="1" customHeight="1">
      <c r="C542" t="s">
        <v>6971</v>
      </c>
      <c r="D542" t="str">
        <f>Language!C1013</f>
        <v>Ilhas Marshall</v>
      </c>
    </row>
    <row r="543" spans="3:4" ht="13.35" hidden="1" customHeight="1">
      <c r="C543" t="s">
        <v>2722</v>
      </c>
      <c r="D543" t="str">
        <f>Language!C1014</f>
        <v>Martinica</v>
      </c>
    </row>
    <row r="544" spans="3:4" ht="13.35" hidden="1" customHeight="1">
      <c r="C544" t="s">
        <v>6843</v>
      </c>
      <c r="D544" t="str">
        <f>Language!C1015</f>
        <v>Mauritânia</v>
      </c>
    </row>
    <row r="545" spans="3:5" ht="13.35" hidden="1" customHeight="1">
      <c r="C545" t="s">
        <v>35</v>
      </c>
      <c r="D545" t="str">
        <f>Language!C1016</f>
        <v>Maurício</v>
      </c>
    </row>
    <row r="546" spans="3:5" ht="13.35" hidden="1" customHeight="1">
      <c r="C546" t="s">
        <v>6957</v>
      </c>
      <c r="D546" t="str">
        <f>Language!C1017</f>
        <v>Mayotte</v>
      </c>
    </row>
    <row r="547" spans="3:5" ht="13.35" hidden="1" customHeight="1">
      <c r="C547" t="s">
        <v>6959</v>
      </c>
      <c r="D547" t="str">
        <f>Language!C1019</f>
        <v>Micronésia</v>
      </c>
    </row>
    <row r="548" spans="3:5" ht="13.35" hidden="1" customHeight="1">
      <c r="C548" t="s">
        <v>6960</v>
      </c>
      <c r="D548" t="str">
        <f>Language!C1020</f>
        <v>Mônaco</v>
      </c>
    </row>
    <row r="549" spans="3:5" ht="13.35" hidden="1" customHeight="1">
      <c r="C549" t="s">
        <v>6972</v>
      </c>
      <c r="D549" t="str">
        <f>Language!C1021</f>
        <v>Mongólia</v>
      </c>
      <c r="E549">
        <v>0.93179999999999996</v>
      </c>
    </row>
    <row r="550" spans="3:5" ht="13.35" hidden="1" customHeight="1">
      <c r="C550" t="s">
        <v>36</v>
      </c>
      <c r="D550" t="str">
        <f>Language!C1022</f>
        <v>Montserrat</v>
      </c>
    </row>
    <row r="551" spans="3:5" ht="13.35" hidden="1" customHeight="1">
      <c r="C551" t="s">
        <v>6963</v>
      </c>
      <c r="D551" t="str">
        <f>Language!C1028</f>
        <v>Nauru</v>
      </c>
    </row>
    <row r="552" spans="3:5" ht="13.35" hidden="1" customHeight="1">
      <c r="C552" t="s">
        <v>6962</v>
      </c>
      <c r="D552" t="str">
        <f>Language!C1032</f>
        <v>Nova Caledônia</v>
      </c>
    </row>
    <row r="553" spans="3:5" ht="13.35" hidden="1" customHeight="1">
      <c r="C553" t="s">
        <v>1288</v>
      </c>
      <c r="D553" t="str">
        <f>Language!C1035</f>
        <v>Níger</v>
      </c>
    </row>
    <row r="554" spans="3:5" ht="13.35" hidden="1" customHeight="1">
      <c r="C554" t="s">
        <v>6978</v>
      </c>
      <c r="D554" t="str">
        <f>Language!C1037</f>
        <v>Niue</v>
      </c>
    </row>
    <row r="555" spans="3:5" ht="13.35" hidden="1" customHeight="1">
      <c r="C555" t="s">
        <v>6968</v>
      </c>
      <c r="D555" t="str">
        <f>Language!C1038</f>
        <v>Ilha Norfolk</v>
      </c>
    </row>
    <row r="556" spans="3:5" ht="13.35" hidden="1" customHeight="1">
      <c r="C556" t="s">
        <v>2184</v>
      </c>
      <c r="D556" t="str">
        <f>Language!C1026</f>
        <v>Ilhas Marianas do Norte</v>
      </c>
    </row>
    <row r="557" spans="3:5" ht="13.35" hidden="1" customHeight="1">
      <c r="C557" t="s">
        <v>6958</v>
      </c>
      <c r="D557" t="str">
        <f>Language!C1042</f>
        <v>Palau</v>
      </c>
    </row>
    <row r="558" spans="3:5" ht="13.35" hidden="1" customHeight="1">
      <c r="C558" t="s">
        <v>6975</v>
      </c>
      <c r="D558" t="str">
        <f>Language!C1044</f>
        <v>Papua-Nova Guné</v>
      </c>
    </row>
    <row r="559" spans="3:5" ht="13.35" hidden="1" customHeight="1">
      <c r="C559" t="s">
        <v>6973</v>
      </c>
      <c r="D559" t="str">
        <f>Language!C1048</f>
        <v>Pitcairn</v>
      </c>
    </row>
    <row r="560" spans="3:5" ht="13.35" hidden="1" customHeight="1">
      <c r="C560" t="s">
        <v>6976</v>
      </c>
      <c r="D560" t="str">
        <f>Language!C1051</f>
        <v>Porto Rico</v>
      </c>
    </row>
    <row r="561" spans="3:4" ht="13.35" hidden="1" customHeight="1">
      <c r="C561" t="s">
        <v>6977</v>
      </c>
      <c r="D561" t="str">
        <f>Language!C1055</f>
        <v>Reunião</v>
      </c>
    </row>
    <row r="562" spans="3:4" ht="13.35" hidden="1" customHeight="1">
      <c r="C562" t="s">
        <v>3378</v>
      </c>
      <c r="D562" t="str">
        <f>Language!C1058</f>
        <v>Ruanda</v>
      </c>
    </row>
    <row r="563" spans="3:4" ht="13.35" hidden="1" customHeight="1">
      <c r="C563" t="s">
        <v>6974</v>
      </c>
      <c r="D563" t="str">
        <f>Language!C1059</f>
        <v>Santa Helena</v>
      </c>
    </row>
    <row r="564" spans="3:4" ht="13.35" hidden="1" customHeight="1">
      <c r="C564" t="s">
        <v>6979</v>
      </c>
      <c r="D564" t="str">
        <f>Language!C1060</f>
        <v>St. Kitts e Névis</v>
      </c>
    </row>
    <row r="565" spans="3:4" ht="13.35" hidden="1" customHeight="1">
      <c r="C565" t="s">
        <v>6980</v>
      </c>
      <c r="D565" t="str">
        <f>Language!C1061</f>
        <v>Santa Lucia</v>
      </c>
    </row>
    <row r="566" spans="3:4" ht="13.35" hidden="1" customHeight="1">
      <c r="C566" t="s">
        <v>37</v>
      </c>
      <c r="D566" t="str">
        <f>Language!C1078</f>
        <v>Saint-Pierre e Miquelon</v>
      </c>
    </row>
    <row r="567" spans="3:4" ht="13.35" hidden="1" customHeight="1">
      <c r="C567" t="s">
        <v>6988</v>
      </c>
      <c r="D567" t="str">
        <f>Language!C1079</f>
        <v>São Vicente e Granadinas</v>
      </c>
    </row>
    <row r="568" spans="3:4" ht="13.35" hidden="1" customHeight="1">
      <c r="C568" t="s">
        <v>6855</v>
      </c>
      <c r="D568" t="str">
        <f>Language!C1062</f>
        <v>Samoa</v>
      </c>
    </row>
    <row r="569" spans="3:4" ht="13.35" hidden="1" customHeight="1">
      <c r="C569" t="s">
        <v>6884</v>
      </c>
      <c r="D569" t="str">
        <f>Language!C1063</f>
        <v>San Marino</v>
      </c>
    </row>
    <row r="570" spans="3:4" ht="13.35" hidden="1" customHeight="1">
      <c r="C570" t="s">
        <v>6981</v>
      </c>
      <c r="D570" t="str">
        <f>Language!C1064</f>
        <v>São Tomé e Príncipe</v>
      </c>
    </row>
    <row r="571" spans="3:4" ht="13.35" hidden="1" customHeight="1">
      <c r="C571" t="s">
        <v>2280</v>
      </c>
      <c r="D571" t="str">
        <f>Language!C1068</f>
        <v>Seychelles</v>
      </c>
    </row>
    <row r="572" spans="3:4" ht="13.35" hidden="1" customHeight="1">
      <c r="C572" t="s">
        <v>38</v>
      </c>
      <c r="D572" t="str">
        <f>Language!C1069</f>
        <v>Serra Leoa</v>
      </c>
    </row>
    <row r="573" spans="3:4" ht="13.35" hidden="1" customHeight="1">
      <c r="C573" t="s">
        <v>3820</v>
      </c>
      <c r="D573" t="str">
        <f>Language!C1073</f>
        <v>Ilhas Salomão</v>
      </c>
    </row>
    <row r="574" spans="3:4" ht="13.35" hidden="1" customHeight="1">
      <c r="C574" t="s">
        <v>6982</v>
      </c>
      <c r="D574" t="str">
        <f>Language!C1074</f>
        <v>Somália</v>
      </c>
    </row>
    <row r="575" spans="3:4" ht="13.35" hidden="1" customHeight="1">
      <c r="C575" t="s">
        <v>6983</v>
      </c>
      <c r="D575" t="str">
        <f>Language!C1081</f>
        <v>Suriname</v>
      </c>
    </row>
    <row r="576" spans="3:4" ht="13.35" hidden="1" customHeight="1">
      <c r="C576" t="s">
        <v>6985</v>
      </c>
      <c r="D576" t="str">
        <f>Language!C1082</f>
        <v>Svalbard</v>
      </c>
    </row>
    <row r="577" spans="3:4" ht="13.35" hidden="1" customHeight="1">
      <c r="C577" t="s">
        <v>6984</v>
      </c>
      <c r="D577" t="str">
        <f>Language!C1083</f>
        <v>Suazilândia</v>
      </c>
    </row>
    <row r="578" spans="3:4" ht="13.35" hidden="1" customHeight="1">
      <c r="C578" t="s">
        <v>4495</v>
      </c>
      <c r="D578" t="str">
        <f>Language!C1090</f>
        <v>Timor Leste</v>
      </c>
    </row>
    <row r="579" spans="3:4" ht="13.35" hidden="1" customHeight="1">
      <c r="C579" t="s">
        <v>6989</v>
      </c>
      <c r="D579" t="str">
        <f>Language!C1092</f>
        <v>Tokelau</v>
      </c>
    </row>
    <row r="580" spans="3:4" ht="13.35" hidden="1" customHeight="1">
      <c r="C580" t="s">
        <v>39</v>
      </c>
      <c r="D580" t="str">
        <f>Language!C1093</f>
        <v>Tonga</v>
      </c>
    </row>
    <row r="581" spans="3:4" ht="13.35" hidden="1" customHeight="1">
      <c r="C581" t="s">
        <v>6991</v>
      </c>
      <c r="D581" t="str">
        <f>Language!C1098</f>
        <v>Ilhas Turks e Caicos</v>
      </c>
    </row>
    <row r="582" spans="3:4" ht="13.35" hidden="1" customHeight="1">
      <c r="C582" t="s">
        <v>6994</v>
      </c>
      <c r="D582" t="str">
        <f>Language!C1099</f>
        <v>Tuvalu</v>
      </c>
    </row>
    <row r="583" spans="3:4" ht="13.35" hidden="1" customHeight="1">
      <c r="C583" t="s">
        <v>3822</v>
      </c>
      <c r="D583" t="str">
        <f>Language!C1102</f>
        <v>Uganda</v>
      </c>
    </row>
    <row r="584" spans="3:4" ht="13.35" hidden="1" customHeight="1">
      <c r="C584" t="s">
        <v>6896</v>
      </c>
      <c r="D584" t="str">
        <f>Language!C1109</f>
        <v>Vanuatu</v>
      </c>
    </row>
    <row r="585" spans="3:4" ht="13.35" hidden="1" customHeight="1">
      <c r="C585" t="s">
        <v>3823</v>
      </c>
      <c r="D585" t="str">
        <f>Language!C912</f>
        <v>Ilhas Virgens Britânicas</v>
      </c>
    </row>
    <row r="586" spans="3:4" ht="13.35" hidden="1" customHeight="1">
      <c r="C586" t="s">
        <v>6995</v>
      </c>
      <c r="D586" t="str">
        <f>Language!C1106</f>
        <v>Ilhas Virgens Americanas</v>
      </c>
    </row>
    <row r="587" spans="3:4" ht="13.35" hidden="1" customHeight="1">
      <c r="C587" t="s">
        <v>6996</v>
      </c>
      <c r="D587" t="str">
        <f>Language!C1112</f>
        <v>Wallis e Futuna</v>
      </c>
    </row>
    <row r="588" spans="3:4" ht="13.35" hidden="1" customHeight="1">
      <c r="C588" t="s">
        <v>40</v>
      </c>
      <c r="D588" t="str">
        <f>Language!C1113</f>
        <v>Sahara Ocidental</v>
      </c>
    </row>
    <row r="589" spans="3:4" ht="13.35" hidden="1" customHeight="1">
      <c r="C589" t="s">
        <v>6999</v>
      </c>
      <c r="D589" t="str">
        <f>N204</f>
        <v>Outro</v>
      </c>
    </row>
  </sheetData>
  <sortState xmlns:xlrd2="http://schemas.microsoft.com/office/spreadsheetml/2017/richdata2" ref="J341:J355">
    <sortCondition ref="J341"/>
  </sortState>
  <mergeCells count="57">
    <mergeCell ref="E196:G196"/>
    <mergeCell ref="I193:K193"/>
    <mergeCell ref="B40:D41"/>
    <mergeCell ref="E40:E41"/>
    <mergeCell ref="C43:D43"/>
    <mergeCell ref="E47:J47"/>
    <mergeCell ref="F167:H167"/>
    <mergeCell ref="B188:C189"/>
    <mergeCell ref="B36:C36"/>
    <mergeCell ref="B27:C27"/>
    <mergeCell ref="H27:I27"/>
    <mergeCell ref="B28:C28"/>
    <mergeCell ref="H28:I28"/>
    <mergeCell ref="B29:C29"/>
    <mergeCell ref="B30:C30"/>
    <mergeCell ref="H33:I33"/>
    <mergeCell ref="H34:I34"/>
    <mergeCell ref="B31:C31"/>
    <mergeCell ref="B24:C24"/>
    <mergeCell ref="H25:I25"/>
    <mergeCell ref="H22:I22"/>
    <mergeCell ref="H23:I23"/>
    <mergeCell ref="H24:I24"/>
    <mergeCell ref="B35:C35"/>
    <mergeCell ref="B32:C32"/>
    <mergeCell ref="B33:C33"/>
    <mergeCell ref="B34:C34"/>
    <mergeCell ref="H26:I26"/>
    <mergeCell ref="B18:C18"/>
    <mergeCell ref="B19:C19"/>
    <mergeCell ref="B20:C20"/>
    <mergeCell ref="B21:C21"/>
    <mergeCell ref="B22:C22"/>
    <mergeCell ref="B23:C23"/>
    <mergeCell ref="H19:I19"/>
    <mergeCell ref="H20:I20"/>
    <mergeCell ref="H21:I21"/>
    <mergeCell ref="B17:C17"/>
    <mergeCell ref="H16:I16"/>
    <mergeCell ref="H17:I17"/>
    <mergeCell ref="H18:I18"/>
    <mergeCell ref="B15:C15"/>
    <mergeCell ref="H15:I15"/>
    <mergeCell ref="B16:C16"/>
    <mergeCell ref="A1:L2"/>
    <mergeCell ref="H12:I12"/>
    <mergeCell ref="H13:I13"/>
    <mergeCell ref="H14:I14"/>
    <mergeCell ref="A5:B5"/>
    <mergeCell ref="A6:B6"/>
    <mergeCell ref="A7:B7"/>
    <mergeCell ref="H35:I35"/>
    <mergeCell ref="H36:I36"/>
    <mergeCell ref="H29:I29"/>
    <mergeCell ref="H30:I30"/>
    <mergeCell ref="H31:I31"/>
    <mergeCell ref="H32:I32"/>
  </mergeCells>
  <phoneticPr fontId="0" type="noConversion"/>
  <conditionalFormatting sqref="K15:K24 K27:K36">
    <cfRule type="expression" dxfId="150" priority="1" stopIfTrue="1">
      <formula>ISBLANK($B15)</formula>
    </cfRule>
  </conditionalFormatting>
  <conditionalFormatting sqref="E15:J24 E27:J36">
    <cfRule type="expression" dxfId="149" priority="2" stopIfTrue="1">
      <formula>$B15=""</formula>
    </cfRule>
  </conditionalFormatting>
  <conditionalFormatting sqref="K26 K14">
    <cfRule type="expression" dxfId="148" priority="3" stopIfTrue="1">
      <formula>ISBLANK($C14)</formula>
    </cfRule>
  </conditionalFormatting>
  <conditionalFormatting sqref="J164:J165 J159">
    <cfRule type="expression" dxfId="147" priority="4" stopIfTrue="1">
      <formula>$C159=0</formula>
    </cfRule>
  </conditionalFormatting>
  <conditionalFormatting sqref="D15:D24 D27:D36">
    <cfRule type="expression" dxfId="146" priority="5" stopIfTrue="1">
      <formula>AND($B15="",$D15="")</formula>
    </cfRule>
  </conditionalFormatting>
  <conditionalFormatting sqref="J168">
    <cfRule type="expression" dxfId="145" priority="6" stopIfTrue="1">
      <formula>$F167=0</formula>
    </cfRule>
  </conditionalFormatting>
  <conditionalFormatting sqref="C5:C7">
    <cfRule type="expression" dxfId="144" priority="7" stopIfTrue="1">
      <formula>(($P$1)=FALSE)</formula>
    </cfRule>
  </conditionalFormatting>
  <conditionalFormatting sqref="K6:K7">
    <cfRule type="expression" dxfId="143" priority="8" stopIfTrue="1">
      <formula>OR($R$2=FALSE,$P$1=FALSE)</formula>
    </cfRule>
  </conditionalFormatting>
  <conditionalFormatting sqref="I6:J7 H5">
    <cfRule type="expression" dxfId="142" priority="9" stopIfTrue="1">
      <formula>OR($O$5=3,$P$1=FALSE)</formula>
    </cfRule>
  </conditionalFormatting>
  <conditionalFormatting sqref="H45:K45">
    <cfRule type="expression" dxfId="141" priority="10" stopIfTrue="1">
      <formula>$N$45=111</formula>
    </cfRule>
  </conditionalFormatting>
  <conditionalFormatting sqref="E52:G52 E115:G115">
    <cfRule type="expression" dxfId="140" priority="11" stopIfTrue="1">
      <formula>$O$5=3</formula>
    </cfRule>
  </conditionalFormatting>
  <conditionalFormatting sqref="D187:D190">
    <cfRule type="expression" dxfId="139" priority="12" stopIfTrue="1">
      <formula>$N$45=111</formula>
    </cfRule>
  </conditionalFormatting>
  <conditionalFormatting sqref="E53:G53 E116:G116 E89:H89 E88:G88 E162:G163">
    <cfRule type="expression" dxfId="138" priority="13" stopIfTrue="1">
      <formula>$O$5=3</formula>
    </cfRule>
  </conditionalFormatting>
  <conditionalFormatting sqref="J167:K167">
    <cfRule type="expression" dxfId="137" priority="14" stopIfTrue="1">
      <formula>OR($N$168=0,$N$164=29)</formula>
    </cfRule>
  </conditionalFormatting>
  <conditionalFormatting sqref="D25">
    <cfRule type="expression" dxfId="136" priority="15" stopIfTrue="1">
      <formula>$D$25&lt;&gt;1</formula>
    </cfRule>
  </conditionalFormatting>
  <conditionalFormatting sqref="D37">
    <cfRule type="expression" dxfId="135" priority="16" stopIfTrue="1">
      <formula>$D$37&lt;&gt;1</formula>
    </cfRule>
  </conditionalFormatting>
  <conditionalFormatting sqref="E42">
    <cfRule type="expression" dxfId="134" priority="17" stopIfTrue="1">
      <formula>$Q$43=3</formula>
    </cfRule>
  </conditionalFormatting>
  <conditionalFormatting sqref="F167:F168">
    <cfRule type="expression" dxfId="133" priority="18" stopIfTrue="1">
      <formula>$E$168=0</formula>
    </cfRule>
  </conditionalFormatting>
  <conditionalFormatting sqref="E40:E41">
    <cfRule type="expression" dxfId="132" priority="19" stopIfTrue="1">
      <formula>OR($Q$43=3,$N$5=239)</formula>
    </cfRule>
  </conditionalFormatting>
  <conditionalFormatting sqref="H6:H7">
    <cfRule type="expression" dxfId="131" priority="20" stopIfTrue="1">
      <formula>OR($O$5=3,$O$5=1,$P$1=FALSE)</formula>
    </cfRule>
  </conditionalFormatting>
  <dataValidations count="9">
    <dataValidation type="list" allowBlank="1" showInputMessage="1" showErrorMessage="1" sqref="E43" xr:uid="{C88E0086-7B1D-4F6F-8C51-83DAB8FDCE76}">
      <formula1>$N$200:$N$204</formula1>
    </dataValidation>
    <dataValidation type="list" allowBlank="1" showInputMessage="1" showErrorMessage="1" sqref="C43:D43" xr:uid="{47CBDAFA-FA05-4335-8822-39A02466D2BB}">
      <formula1>CA_country2</formula1>
    </dataValidation>
    <dataValidation type="decimal" operator="greaterThan" allowBlank="1" showInputMessage="1" showErrorMessage="1" errorTitle="Fuel conversion efficiency" error="The fuel conversion efficiency must be a value _x000a_greater than 0%." sqref="H15:I24" xr:uid="{3756F7C2-2AAD-491B-91E7-6981E0259E55}">
      <formula1>0</formula1>
    </dataValidation>
    <dataValidation type="list" allowBlank="1" showInputMessage="1" showErrorMessage="1" sqref="B27:C36 B15:C24" xr:uid="{322A223A-6097-4064-9B7C-DDD47E7B4B03}">
      <formula1>GHG_Fuel</formula1>
    </dataValidation>
    <dataValidation type="list" allowBlank="1" showInputMessage="1" showErrorMessage="1" sqref="I53 I116 I89 I163" xr:uid="{CD25B5A8-10F6-496B-B788-CC871FA6117E}">
      <formula1>$X$207:$X$208</formula1>
    </dataValidation>
    <dataValidation allowBlank="1" showErrorMessage="1" sqref="D45:E45" xr:uid="{20C18CD2-2897-420B-993B-5603CDF66013}"/>
    <dataValidation type="list" allowBlank="1" showInputMessage="1" showErrorMessage="1" sqref="I193:K193" xr:uid="{5456724C-0DD7-414B-A975-E23C9809640C}">
      <formula1>$V$224:$V$230</formula1>
    </dataValidation>
    <dataValidation type="list" allowBlank="1" showInputMessage="1" showErrorMessage="1" sqref="H41 J53 J116 K13 J89 J46 F41 J163" xr:uid="{90F289EE-1DD8-476E-8AF8-DE92936D263D}">
      <formula1>$X$203:$X$204</formula1>
    </dataValidation>
    <dataValidation type="list" allowBlank="1" sqref="J172 J99" xr:uid="{166C3900-17A8-4A20-BF80-26B71AA9CCDD}">
      <formula1>$Y$203:$Y$204</formula1>
    </dataValidation>
  </dataValidations>
  <printOptions horizontalCentered="1"/>
  <pageMargins left="0.51181102362204722" right="0.51181102362204722" top="0.51181102362204722" bottom="0.51181102362204722" header="0.51181102362204722" footer="0.31496062992125984"/>
  <pageSetup scale="60" orientation="portrait" r:id="rId1"/>
  <headerFooter alignWithMargins="0">
    <oddFooter>&amp;L_x000D_&amp;R2007-09-27_x000D_RETScreen4-v182-45.xls</oddFooter>
  </headerFooter>
  <drawing r:id="rId2"/>
  <legacyDrawing r:id="rId3"/>
  <controls>
    <mc:AlternateContent xmlns:mc="http://schemas.openxmlformats.org/markup-compatibility/2006">
      <mc:Choice Requires="x14">
        <control shapeId="10246" r:id="rId4" name="BaselineChkBox">
          <controlPr defaultSize="0" autoLine="0" linkedCell="$P$45" r:id="rId5">
            <anchor moveWithCells="1" sizeWithCells="1">
              <from>
                <xdr:col>13</xdr:col>
                <xdr:colOff>266700</xdr:colOff>
                <xdr:row>44</xdr:row>
                <xdr:rowOff>7620</xdr:rowOff>
              </from>
              <to>
                <xdr:col>13</xdr:col>
                <xdr:colOff>419100</xdr:colOff>
                <xdr:row>45</xdr:row>
                <xdr:rowOff>0</xdr:rowOff>
              </to>
            </anchor>
          </controlPr>
        </control>
      </mc:Choice>
      <mc:Fallback>
        <control shapeId="10246" r:id="rId4" name="BaselineChkBox"/>
      </mc:Fallback>
    </mc:AlternateContent>
    <mc:AlternateContent xmlns:mc="http://schemas.openxmlformats.org/markup-compatibility/2006">
      <mc:Choice Requires="x14">
        <control shapeId="10244" r:id="rId6" name="SimplifiedAnalBtn">
          <controlPr defaultSize="0" autoLine="0" linkedCell="$R$1" r:id="rId7">
            <anchor moveWithCells="1" sizeWithCells="1">
              <from>
                <xdr:col>13</xdr:col>
                <xdr:colOff>68580</xdr:colOff>
                <xdr:row>4</xdr:row>
                <xdr:rowOff>0</xdr:rowOff>
              </from>
              <to>
                <xdr:col>13</xdr:col>
                <xdr:colOff>228600</xdr:colOff>
                <xdr:row>5</xdr:row>
                <xdr:rowOff>0</xdr:rowOff>
              </to>
            </anchor>
          </controlPr>
        </control>
      </mc:Choice>
      <mc:Fallback>
        <control shapeId="10244" r:id="rId6" name="SimplifiedAnalBtn"/>
      </mc:Fallback>
    </mc:AlternateContent>
    <mc:AlternateContent xmlns:mc="http://schemas.openxmlformats.org/markup-compatibility/2006">
      <mc:Choice Requires="x14">
        <control shapeId="10243" r:id="rId8" name="CustomAnalBtn">
          <controlPr defaultSize="0" autoLine="0" linkedCell="$R$3" r:id="rId9">
            <anchor moveWithCells="1" sizeWithCells="1">
              <from>
                <xdr:col>13</xdr:col>
                <xdr:colOff>68580</xdr:colOff>
                <xdr:row>6</xdr:row>
                <xdr:rowOff>0</xdr:rowOff>
              </from>
              <to>
                <xdr:col>13</xdr:col>
                <xdr:colOff>228600</xdr:colOff>
                <xdr:row>7</xdr:row>
                <xdr:rowOff>0</xdr:rowOff>
              </to>
            </anchor>
          </controlPr>
        </control>
      </mc:Choice>
      <mc:Fallback>
        <control shapeId="10243" r:id="rId8" name="CustomAnalBtn"/>
      </mc:Fallback>
    </mc:AlternateContent>
    <mc:AlternateContent xmlns:mc="http://schemas.openxmlformats.org/markup-compatibility/2006">
      <mc:Choice Requires="x14">
        <control shapeId="10242" r:id="rId10" name="StandardAnalBtn">
          <controlPr defaultSize="0" autoLine="0" linkedCell="$R$2" r:id="rId9">
            <anchor moveWithCells="1" sizeWithCells="1">
              <from>
                <xdr:col>13</xdr:col>
                <xdr:colOff>68580</xdr:colOff>
                <xdr:row>5</xdr:row>
                <xdr:rowOff>0</xdr:rowOff>
              </from>
              <to>
                <xdr:col>13</xdr:col>
                <xdr:colOff>228600</xdr:colOff>
                <xdr:row>6</xdr:row>
                <xdr:rowOff>0</xdr:rowOff>
              </to>
            </anchor>
          </controlPr>
        </control>
      </mc:Choice>
      <mc:Fallback>
        <control shapeId="10242" r:id="rId10" name="StandardAnalBtn"/>
      </mc:Fallback>
    </mc:AlternateContent>
    <mc:AlternateContent xmlns:mc="http://schemas.openxmlformats.org/markup-compatibility/2006">
      <mc:Choice Requires="x14">
        <control shapeId="10241" r:id="rId11" name="GHGAnalChkBox">
          <controlPr defaultSize="0" autoLine="0" linkedCell="$P$1" r:id="rId12">
            <anchor moveWithCells="1" sizeWithCells="1">
              <from>
                <xdr:col>0</xdr:col>
                <xdr:colOff>99060</xdr:colOff>
                <xdr:row>2</xdr:row>
                <xdr:rowOff>0</xdr:rowOff>
              </from>
              <to>
                <xdr:col>1</xdr:col>
                <xdr:colOff>99060</xdr:colOff>
                <xdr:row>2</xdr:row>
                <xdr:rowOff>152400</xdr:rowOff>
              </to>
            </anchor>
          </controlPr>
        </control>
      </mc:Choice>
      <mc:Fallback>
        <control shapeId="10241" r:id="rId11" name="GHGAnalChkBox"/>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B8A45-3C55-4770-A394-C0C2CBCFD584}">
  <sheetPr codeName="CHP_Fin">
    <pageSetUpPr fitToPage="1"/>
  </sheetPr>
  <dimension ref="A1:BS88"/>
  <sheetViews>
    <sheetView showRowColHeaders="0" tabSelected="1" topLeftCell="A28" zoomScale="80" zoomScaleNormal="80" workbookViewId="0">
      <selection activeCell="D37" sqref="D37"/>
    </sheetView>
  </sheetViews>
  <sheetFormatPr defaultColWidth="0" defaultRowHeight="13.35" customHeight="1" zeroHeight="1"/>
  <cols>
    <col min="1" max="1" width="2.33203125" customWidth="1"/>
    <col min="2" max="2" width="45.21875" customWidth="1"/>
    <col min="3" max="3" width="11.44140625" customWidth="1"/>
    <col min="4" max="4" width="12.21875" customWidth="1"/>
    <col min="5" max="6" width="1.33203125" customWidth="1"/>
    <col min="7" max="7" width="14.88671875" customWidth="1"/>
    <col min="8" max="8" width="19.21875" customWidth="1"/>
    <col min="9" max="9" width="8.77734375" customWidth="1"/>
    <col min="10" max="10" width="10.77734375" customWidth="1"/>
    <col min="11" max="11" width="12.21875" customWidth="1"/>
    <col min="12" max="12" width="1.33203125" customWidth="1"/>
    <col min="13" max="13" width="5.44140625" customWidth="1"/>
    <col min="14" max="15" width="14.77734375" customWidth="1"/>
    <col min="16" max="16" width="16.77734375" customWidth="1"/>
    <col min="17" max="17" width="2.33203125" customWidth="1"/>
    <col min="18" max="18" width="2.6640625" hidden="1" customWidth="1"/>
    <col min="19" max="19" width="6.5546875" hidden="1" customWidth="1"/>
    <col min="20" max="20" width="10" hidden="1" customWidth="1"/>
    <col min="21" max="22" width="9.44140625" hidden="1" customWidth="1"/>
    <col min="23" max="23" width="13.33203125" hidden="1" customWidth="1"/>
    <col min="24" max="24" width="11.33203125" hidden="1" customWidth="1"/>
    <col min="25" max="25" width="10.6640625" hidden="1" customWidth="1"/>
    <col min="26" max="26" width="9.33203125" hidden="1" customWidth="1"/>
    <col min="27" max="27" width="12" hidden="1" customWidth="1"/>
    <col min="28" max="28" width="10.88671875" hidden="1" customWidth="1"/>
    <col min="29" max="29" width="10.6640625" hidden="1" customWidth="1"/>
    <col min="30" max="30" width="12" hidden="1" customWidth="1"/>
    <col min="31" max="31" width="13.5546875" hidden="1" customWidth="1"/>
    <col min="32" max="32" width="16.33203125" hidden="1" customWidth="1"/>
    <col min="33" max="33" width="9.33203125" hidden="1" customWidth="1"/>
    <col min="34" max="36" width="10.5546875" hidden="1" customWidth="1"/>
    <col min="37" max="37" width="11.6640625" hidden="1" customWidth="1"/>
    <col min="38" max="38" width="12" hidden="1" customWidth="1"/>
    <col min="39" max="40" width="11.6640625" hidden="1" customWidth="1"/>
    <col min="41" max="43" width="10.109375" hidden="1" customWidth="1"/>
    <col min="44" max="44" width="11.6640625" hidden="1" customWidth="1"/>
    <col min="45" max="45" width="9.33203125" hidden="1" customWidth="1"/>
    <col min="46" max="47" width="10.6640625" hidden="1" customWidth="1"/>
    <col min="48" max="49" width="11.6640625" hidden="1" customWidth="1"/>
    <col min="50" max="50" width="9.33203125" hidden="1" customWidth="1"/>
    <col min="51" max="51" width="10" hidden="1" customWidth="1"/>
    <col min="52" max="52" width="9.33203125" hidden="1" customWidth="1"/>
    <col min="53" max="53" width="10.109375" hidden="1" customWidth="1"/>
    <col min="54" max="54" width="9.33203125" hidden="1" customWidth="1"/>
    <col min="55" max="55" width="11.6640625" hidden="1" customWidth="1"/>
    <col min="56" max="56" width="13.88671875" hidden="1" customWidth="1"/>
    <col min="57" max="57" width="9.88671875" hidden="1" customWidth="1"/>
    <col min="58" max="58" width="9.33203125" hidden="1" customWidth="1"/>
    <col min="59" max="59" width="0" hidden="1" customWidth="1"/>
    <col min="60" max="60" width="10.6640625" hidden="1" customWidth="1"/>
  </cols>
  <sheetData>
    <row r="1" spans="1:71" ht="17.100000000000001" customHeight="1">
      <c r="A1" s="1194" t="str">
        <f>Language!C2603&amp;'Análise de Emissões'!B188</f>
        <v>Análise Financeira RETScreen -Projeto produção de Eletricidade</v>
      </c>
      <c r="B1" s="1194"/>
      <c r="C1" s="1194"/>
      <c r="D1" s="1194"/>
      <c r="E1" s="1194"/>
      <c r="F1" s="1194"/>
      <c r="G1" s="1194"/>
      <c r="H1" s="1194"/>
      <c r="I1" s="1194"/>
      <c r="J1" s="1194"/>
      <c r="K1" s="1194"/>
      <c r="L1" s="1194"/>
      <c r="M1" s="1194"/>
      <c r="N1" s="1194"/>
      <c r="O1" s="1194"/>
      <c r="P1" s="1194"/>
      <c r="Q1" s="1"/>
      <c r="T1">
        <f>HideCode_projectType</f>
        <v>2</v>
      </c>
      <c r="U1" t="s">
        <v>1536</v>
      </c>
      <c r="V1">
        <f>IF(OR(Iniciar!O26=1,Iniciar!O26=3),1,2)</f>
        <v>1</v>
      </c>
      <c r="W1" t="s">
        <v>1934</v>
      </c>
      <c r="AB1">
        <v>0</v>
      </c>
      <c r="AC1">
        <v>-93.996927135589289</v>
      </c>
      <c r="BG1">
        <v>70000</v>
      </c>
      <c r="BH1">
        <v>70000</v>
      </c>
      <c r="BI1">
        <v>70000</v>
      </c>
      <c r="BM1" t="s">
        <v>4193</v>
      </c>
      <c r="BN1" s="1013" t="s">
        <v>2452</v>
      </c>
      <c r="BO1" s="1013" t="s">
        <v>2453</v>
      </c>
      <c r="BP1" s="1013" t="s">
        <v>2455</v>
      </c>
      <c r="BQ1" s="1013" t="s">
        <v>2454</v>
      </c>
      <c r="BR1" s="1013" t="s">
        <v>4185</v>
      </c>
      <c r="BS1" s="1013" t="s">
        <v>4186</v>
      </c>
    </row>
    <row r="2" spans="1:71" ht="12.75" customHeight="1">
      <c r="A2" s="1194"/>
      <c r="B2" s="1194"/>
      <c r="C2" s="1194"/>
      <c r="D2" s="1194"/>
      <c r="E2" s="1194"/>
      <c r="F2" s="1194"/>
      <c r="G2" s="1194"/>
      <c r="H2" s="1194"/>
      <c r="I2" s="1194"/>
      <c r="J2" s="1194"/>
      <c r="K2" s="1194"/>
      <c r="L2" s="1194"/>
      <c r="M2" s="1194"/>
      <c r="N2" s="1194"/>
      <c r="O2" s="1194"/>
      <c r="P2" s="1194"/>
      <c r="Q2" s="1"/>
      <c r="T2">
        <f>GHG</f>
        <v>139</v>
      </c>
      <c r="U2" t="s">
        <v>418</v>
      </c>
      <c r="BA2">
        <f>'Análise de Custos'!E254</f>
        <v>10</v>
      </c>
      <c r="BB2">
        <f>'Análise de Custos'!E255</f>
        <v>0</v>
      </c>
      <c r="BG2">
        <v>70000</v>
      </c>
      <c r="BH2">
        <v>70000</v>
      </c>
      <c r="BI2">
        <v>70000</v>
      </c>
      <c r="BN2" s="1021">
        <v>20</v>
      </c>
      <c r="BO2" s="1021">
        <v>4</v>
      </c>
      <c r="BP2" s="1021">
        <v>81</v>
      </c>
      <c r="BQ2" s="1021">
        <v>21</v>
      </c>
      <c r="BR2" s="1021">
        <v>20</v>
      </c>
      <c r="BS2" s="1021">
        <v>3</v>
      </c>
    </row>
    <row r="3" spans="1:71" ht="12.75" customHeight="1">
      <c r="A3" s="435" t="str">
        <f>Language!C647</f>
        <v>Parâmetros financeiros</v>
      </c>
      <c r="B3" s="192"/>
      <c r="C3" s="192"/>
      <c r="D3" s="193"/>
      <c r="E3" s="1"/>
      <c r="F3" s="435" t="str">
        <f>Language!C682</f>
        <v>Custo projeto e sumario econ./receita</v>
      </c>
      <c r="G3" s="192"/>
      <c r="H3" s="192"/>
      <c r="I3" s="192"/>
      <c r="J3" s="192"/>
      <c r="K3" s="193"/>
      <c r="L3" s="1"/>
      <c r="M3" s="435" t="str">
        <f>Language!C642</f>
        <v>Fluxo de caixa anual</v>
      </c>
      <c r="N3" s="147"/>
      <c r="O3" s="147"/>
      <c r="P3" s="148"/>
      <c r="Q3" s="1"/>
      <c r="T3" t="s">
        <v>2971</v>
      </c>
      <c r="AA3" t="s">
        <v>567</v>
      </c>
      <c r="AH3" t="s">
        <v>1383</v>
      </c>
      <c r="AJ3" t="s">
        <v>154</v>
      </c>
      <c r="AR3" t="s">
        <v>4618</v>
      </c>
      <c r="AS3" t="s">
        <v>4618</v>
      </c>
      <c r="AU3" t="s">
        <v>4618</v>
      </c>
      <c r="AW3" t="s">
        <v>3799</v>
      </c>
      <c r="BA3" t="s">
        <v>3680</v>
      </c>
      <c r="BG3">
        <v>72000</v>
      </c>
      <c r="BH3">
        <v>74000</v>
      </c>
      <c r="BI3">
        <v>76000</v>
      </c>
      <c r="BN3" s="1021">
        <v>38</v>
      </c>
      <c r="BO3" s="1021">
        <v>4</v>
      </c>
      <c r="BP3" s="1021">
        <v>84</v>
      </c>
      <c r="BQ3" s="1021">
        <v>21</v>
      </c>
      <c r="BR3" s="1021">
        <v>38</v>
      </c>
      <c r="BS3" s="1021">
        <v>3</v>
      </c>
    </row>
    <row r="4" spans="1:71" ht="25.5" customHeight="1">
      <c r="A4" s="436" t="str">
        <f>Language!C657</f>
        <v>Geral</v>
      </c>
      <c r="B4" s="8"/>
      <c r="C4" s="8"/>
      <c r="D4" s="9"/>
      <c r="E4" s="1"/>
      <c r="F4" s="1170" t="str">
        <f>Language!C683</f>
        <v>Custos iniciais</v>
      </c>
      <c r="G4" s="1171"/>
      <c r="H4" s="1171"/>
      <c r="I4" s="8"/>
      <c r="J4" s="8"/>
      <c r="K4" s="9"/>
      <c r="L4" s="1"/>
      <c r="M4" s="195" t="str">
        <f>Language!C643</f>
        <v>Ano</v>
      </c>
      <c r="N4" s="20" t="str">
        <f>Language!C644</f>
        <v>Antes imposto</v>
      </c>
      <c r="O4" s="20" t="str">
        <f>Language!C645</f>
        <v>Após imposto</v>
      </c>
      <c r="P4" s="197" t="str">
        <f>Language!C646</f>
        <v>Cumulativo</v>
      </c>
      <c r="Q4" s="1"/>
      <c r="T4" t="s">
        <v>3512</v>
      </c>
      <c r="U4" t="s">
        <v>3288</v>
      </c>
      <c r="V4" t="s">
        <v>1020</v>
      </c>
      <c r="W4" t="s">
        <v>4917</v>
      </c>
      <c r="X4" t="s">
        <v>4445</v>
      </c>
      <c r="Y4" t="s">
        <v>4618</v>
      </c>
      <c r="Z4" t="s">
        <v>4446</v>
      </c>
      <c r="AA4" t="s">
        <v>420</v>
      </c>
      <c r="AB4" t="s">
        <v>419</v>
      </c>
      <c r="AC4" t="s">
        <v>155</v>
      </c>
      <c r="AD4" t="s">
        <v>2771</v>
      </c>
      <c r="AE4" t="s">
        <v>500</v>
      </c>
      <c r="AF4" t="s">
        <v>501</v>
      </c>
      <c r="AG4" t="s">
        <v>4445</v>
      </c>
      <c r="AH4" t="s">
        <v>4445</v>
      </c>
      <c r="AI4" t="s">
        <v>4446</v>
      </c>
      <c r="AJ4" t="s">
        <v>5731</v>
      </c>
      <c r="AK4" t="s">
        <v>4022</v>
      </c>
      <c r="AL4" t="s">
        <v>5949</v>
      </c>
      <c r="AM4" t="s">
        <v>3898</v>
      </c>
      <c r="AN4" t="s">
        <v>3898</v>
      </c>
      <c r="AO4" t="s">
        <v>5374</v>
      </c>
      <c r="AP4" t="s">
        <v>5949</v>
      </c>
      <c r="AQ4" t="s">
        <v>3108</v>
      </c>
      <c r="AR4" t="s">
        <v>3906</v>
      </c>
      <c r="AS4" t="s">
        <v>968</v>
      </c>
      <c r="AT4" t="s">
        <v>2316</v>
      </c>
      <c r="AU4" t="s">
        <v>3134</v>
      </c>
      <c r="AV4" t="s">
        <v>2316</v>
      </c>
      <c r="AW4" t="s">
        <v>3752</v>
      </c>
      <c r="AX4" t="s">
        <v>4025</v>
      </c>
      <c r="AY4" t="s">
        <v>5578</v>
      </c>
      <c r="AZ4" t="s">
        <v>5579</v>
      </c>
      <c r="BA4" t="s">
        <v>2348</v>
      </c>
      <c r="BB4" t="s">
        <v>2509</v>
      </c>
      <c r="BC4" t="s">
        <v>2348</v>
      </c>
      <c r="BD4" t="s">
        <v>2509</v>
      </c>
      <c r="BE4" t="s">
        <v>3725</v>
      </c>
      <c r="BF4" t="s">
        <v>5369</v>
      </c>
      <c r="BG4">
        <v>72100</v>
      </c>
      <c r="BH4">
        <v>74100</v>
      </c>
      <c r="BI4">
        <v>76000</v>
      </c>
      <c r="BN4" s="1021">
        <v>48</v>
      </c>
      <c r="BO4" s="1021">
        <v>4</v>
      </c>
      <c r="BP4" s="1021">
        <v>82</v>
      </c>
      <c r="BQ4" s="1021">
        <v>21</v>
      </c>
      <c r="BR4" s="1021">
        <v>48</v>
      </c>
      <c r="BS4" s="1021">
        <v>3</v>
      </c>
    </row>
    <row r="5" spans="1:71" ht="12.75" customHeight="1">
      <c r="A5" s="12"/>
      <c r="B5" s="8" t="str">
        <f>Language!C658</f>
        <v>Reajuste do custo do combustível</v>
      </c>
      <c r="C5" s="21" t="str">
        <f>C46</f>
        <v>%</v>
      </c>
      <c r="D5" s="302">
        <v>0.04</v>
      </c>
      <c r="E5" s="1"/>
      <c r="F5" s="447"/>
      <c r="G5" s="1166" t="str">
        <f>Language!C508</f>
        <v>Estudo de viabilidade</v>
      </c>
      <c r="H5" s="1166"/>
      <c r="I5" s="198">
        <f t="shared" ref="I5:I12" ca="1" si="0">IF($K$14=0,"",K5/K$14)</f>
        <v>0</v>
      </c>
      <c r="J5" s="21" t="str">
        <f t="shared" ref="J5:J14" si="1">Currency</f>
        <v>€</v>
      </c>
      <c r="K5" s="199">
        <f>IF(U58=2,IF(HideCodeCA_ProjectT=2,0,'Análise de Custos'!G35),0)</f>
        <v>0</v>
      </c>
      <c r="L5" s="1"/>
      <c r="M5" s="200" t="s">
        <v>3348</v>
      </c>
      <c r="N5" s="201" t="str">
        <f>Currency</f>
        <v>€</v>
      </c>
      <c r="O5" s="201" t="str">
        <f>Currency</f>
        <v>€</v>
      </c>
      <c r="P5" s="202" t="str">
        <f>Currency</f>
        <v>€</v>
      </c>
      <c r="Q5" s="1"/>
      <c r="S5" s="3">
        <v>0</v>
      </c>
      <c r="T5" t="s">
        <v>2510</v>
      </c>
      <c r="U5" t="s">
        <v>2510</v>
      </c>
      <c r="V5" t="s">
        <v>2510</v>
      </c>
      <c r="W5" t="s">
        <v>2510</v>
      </c>
      <c r="X5" t="s">
        <v>4429</v>
      </c>
      <c r="Y5" t="s">
        <v>2510</v>
      </c>
      <c r="Z5" t="s">
        <v>4429</v>
      </c>
      <c r="AA5" t="s">
        <v>2510</v>
      </c>
      <c r="AB5" t="s">
        <v>2510</v>
      </c>
      <c r="AC5" t="s">
        <v>2510</v>
      </c>
      <c r="AD5" t="s">
        <v>2398</v>
      </c>
      <c r="AE5" t="s">
        <v>2510</v>
      </c>
      <c r="AF5" t="s">
        <v>2510</v>
      </c>
      <c r="AG5" t="s">
        <v>4429</v>
      </c>
      <c r="AH5" t="s">
        <v>2510</v>
      </c>
      <c r="AI5" t="s">
        <v>4429</v>
      </c>
      <c r="AJ5" t="s">
        <v>2510</v>
      </c>
      <c r="AK5" t="s">
        <v>2510</v>
      </c>
      <c r="AL5" t="s">
        <v>2073</v>
      </c>
      <c r="AM5" t="s">
        <v>593</v>
      </c>
      <c r="AN5" t="s">
        <v>5042</v>
      </c>
      <c r="AO5" t="s">
        <v>5043</v>
      </c>
      <c r="AP5" t="s">
        <v>4864</v>
      </c>
      <c r="AQ5" t="s">
        <v>2510</v>
      </c>
      <c r="AR5" t="s">
        <v>2510</v>
      </c>
      <c r="AS5" t="s">
        <v>2510</v>
      </c>
      <c r="AT5" t="s">
        <v>2073</v>
      </c>
      <c r="AU5" t="s">
        <v>2510</v>
      </c>
      <c r="AV5" t="s">
        <v>4864</v>
      </c>
      <c r="AW5" t="s">
        <v>5781</v>
      </c>
      <c r="AX5" t="s">
        <v>5713</v>
      </c>
      <c r="AY5" t="s">
        <v>2212</v>
      </c>
      <c r="AZ5" t="s">
        <v>2510</v>
      </c>
      <c r="BA5" t="s">
        <v>2510</v>
      </c>
      <c r="BB5" t="s">
        <v>2510</v>
      </c>
      <c r="BC5" t="s">
        <v>2213</v>
      </c>
      <c r="BD5" t="s">
        <v>2213</v>
      </c>
      <c r="BE5" t="s">
        <v>3670</v>
      </c>
      <c r="BF5" t="s">
        <v>3670</v>
      </c>
      <c r="BG5">
        <v>72102</v>
      </c>
      <c r="BH5">
        <v>74102</v>
      </c>
      <c r="BI5">
        <v>76000</v>
      </c>
      <c r="BN5" s="1021">
        <v>57</v>
      </c>
      <c r="BO5" s="1021">
        <v>4</v>
      </c>
      <c r="BP5" s="1021">
        <v>85</v>
      </c>
      <c r="BQ5" s="1021">
        <v>21</v>
      </c>
      <c r="BR5" s="1021">
        <v>57</v>
      </c>
      <c r="BS5" s="1021">
        <v>3</v>
      </c>
    </row>
    <row r="6" spans="1:71" ht="12.75" customHeight="1">
      <c r="A6" s="12"/>
      <c r="B6" s="8" t="str">
        <f>Language!C659</f>
        <v>Taxa de inflação</v>
      </c>
      <c r="C6" s="21" t="str">
        <f>C46</f>
        <v>%</v>
      </c>
      <c r="D6" s="302">
        <v>0.03</v>
      </c>
      <c r="E6" s="1"/>
      <c r="F6" s="447"/>
      <c r="G6" s="1166" t="str">
        <f>Language!C519</f>
        <v>Desenvolvimento</v>
      </c>
      <c r="H6" s="1166"/>
      <c r="I6" s="198">
        <f t="shared" ca="1" si="0"/>
        <v>1.6441621966006948E-2</v>
      </c>
      <c r="J6" s="21" t="str">
        <f t="shared" si="1"/>
        <v>€</v>
      </c>
      <c r="K6" s="199">
        <f>IF(U58=2,IF(HideCodeCA_ProjectT=2,0,'Análise de Custos'!G48),0)</f>
        <v>100</v>
      </c>
      <c r="L6" s="1"/>
      <c r="M6" s="93">
        <v>0</v>
      </c>
      <c r="N6" s="125">
        <f t="shared" ref="N6:N37" ca="1" si="2">AH6</f>
        <v>-6082.125</v>
      </c>
      <c r="O6" s="125">
        <f t="shared" ref="O6:O37" ca="1" si="3">AI6</f>
        <v>-6082.125</v>
      </c>
      <c r="P6" s="199">
        <f ca="1">O6</f>
        <v>-6082.125</v>
      </c>
      <c r="Q6" s="1"/>
      <c r="S6" s="787">
        <v>100</v>
      </c>
      <c r="T6" s="204">
        <f ca="1">Equi_inv</f>
        <v>6082.125</v>
      </c>
      <c r="U6" s="204">
        <v>0</v>
      </c>
      <c r="V6" s="204">
        <v>0</v>
      </c>
      <c r="W6" s="204">
        <v>0</v>
      </c>
      <c r="X6" s="204">
        <f t="shared" ref="X6:X37" ca="1" si="4">SUM(T6:W6)+SUM(BA6:BB6)</f>
        <v>6082.125</v>
      </c>
      <c r="Y6" s="204">
        <f t="shared" ref="Y6:Y37" si="5">IF(AND(W$63=1,M6&lt;=D$29,M6&gt;0),MIN(IF(W$62=1,AU6,IF(W$62=2,AS6,AR6)),0),IF(W$62=1,AU6,IF(W$62=2,AS6,AR6)))</f>
        <v>0</v>
      </c>
      <c r="Z6" s="204">
        <f t="shared" ref="Z6:Z56" ca="1" si="6">X6+Y6</f>
        <v>6082.125</v>
      </c>
      <c r="AA6" s="204">
        <v>0</v>
      </c>
      <c r="AB6" s="204">
        <v>0</v>
      </c>
      <c r="AC6" s="204">
        <v>0</v>
      </c>
      <c r="AD6" s="204">
        <v>0</v>
      </c>
      <c r="AE6" s="204">
        <f>U65</f>
        <v>0</v>
      </c>
      <c r="AF6" s="204">
        <f>IF(M6=ProjLife,-K$27*#REF!,0)</f>
        <v>0</v>
      </c>
      <c r="AG6" s="204">
        <f t="shared" ref="AG6:AG37" si="7">SUM(AA6:AF6)</f>
        <v>0</v>
      </c>
      <c r="AH6" s="204">
        <f t="shared" ref="AH6:AH37" ca="1" si="8">AG6-X6</f>
        <v>-6082.125</v>
      </c>
      <c r="AI6" s="204">
        <f t="shared" ref="AI6:AI37" ca="1" si="9">-Z6+AG6</f>
        <v>-6082.125</v>
      </c>
      <c r="AJ6" s="204">
        <f ca="1">T6</f>
        <v>6082.125</v>
      </c>
      <c r="AK6" s="204">
        <v>0</v>
      </c>
      <c r="AL6" s="204">
        <f ca="1">Init_costs</f>
        <v>6082.125</v>
      </c>
      <c r="AM6" s="204">
        <f t="shared" ref="AM6:AM37" si="10">IF(M6&lt;U$64,0,-AL6)</f>
        <v>0</v>
      </c>
      <c r="AN6" s="204">
        <f ca="1">-(1-D$25)*Init_costs</f>
        <v>-6082.125</v>
      </c>
      <c r="AO6" s="204">
        <f ca="1">-(1-D$25)*Init_costs</f>
        <v>-6082.125</v>
      </c>
      <c r="AP6" s="204">
        <f t="shared" ref="AP6:AP37" ca="1" si="11">AL6+IF(C$23=$X$81,AM6, IF(C$23=$X$82,AN6,AO6))</f>
        <v>0</v>
      </c>
      <c r="AQ6" s="204">
        <f t="shared" ref="AQ6:AQ37" ca="1" si="12">AH6+AJ6+AK6+IF(C$23=$X$81,AM6,IF(C$23=$X$82,AN6,AO6))</f>
        <v>-6082.125</v>
      </c>
      <c r="AR6" s="204">
        <f t="shared" ref="AR6:AR37" si="13">IF($W$61=1,D$21*AQ6,0)</f>
        <v>0</v>
      </c>
      <c r="AS6" s="204">
        <f>IF(AR6&lt;0,0,AR6)</f>
        <v>0</v>
      </c>
      <c r="AT6" s="204">
        <v>0</v>
      </c>
      <c r="AU6" s="204">
        <f>MAX(AR6+AT6,0)</f>
        <v>0</v>
      </c>
      <c r="AV6" s="204">
        <f>AT6+AR6-AU6</f>
        <v>0</v>
      </c>
      <c r="AW6" s="204">
        <f t="shared" ref="AW6:AW37" ca="1" si="14">AH6+W6</f>
        <v>-6082.125</v>
      </c>
      <c r="AX6" s="204">
        <f t="shared" ref="AX6:AX37" ca="1" si="15">P6-O$6</f>
        <v>0</v>
      </c>
      <c r="AY6" s="204">
        <f t="shared" ref="AY6:AY37" si="16">W6</f>
        <v>0</v>
      </c>
      <c r="AZ6" s="204" t="str">
        <f t="shared" ref="AZ6:AZ56" si="17">IF(AY6&lt;&gt;0,(MAX(AW6,AX6)/AY6),"N/A")</f>
        <v>N/A</v>
      </c>
      <c r="BA6" s="204">
        <v>0</v>
      </c>
      <c r="BB6" s="204">
        <v>0</v>
      </c>
      <c r="BC6" s="204" t="str">
        <f t="shared" ref="BC6:BC37" si="18">IF(M6*$BA$2&lt;=U$64,(IF(M6&lt;=1,"",",")&amp;TEXT(M6*$BA$2,"0"))," ")</f>
        <v>0</v>
      </c>
      <c r="BD6" s="204" t="str">
        <f t="shared" ref="BD6:BD37" si="19">IF(M6*$BB$2&lt;=U$64,(IF(M6&lt;=1,"",",")&amp;TEXT(M6*$BB$2,"0"))," ")</f>
        <v>0</v>
      </c>
      <c r="BE6" s="204">
        <f ca="1">-Init_costs+AG6</f>
        <v>-6082.125</v>
      </c>
      <c r="BF6" s="204">
        <f ca="1">-Init_costs+AG6+Y6</f>
        <v>-6082.125</v>
      </c>
      <c r="BG6">
        <v>72104</v>
      </c>
      <c r="BH6">
        <v>74104</v>
      </c>
      <c r="BI6">
        <v>76000</v>
      </c>
      <c r="BN6" s="1021">
        <v>63</v>
      </c>
      <c r="BO6" s="1021">
        <v>4</v>
      </c>
      <c r="BP6" s="1021">
        <v>83</v>
      </c>
      <c r="BQ6" s="1021">
        <v>21</v>
      </c>
      <c r="BR6" s="1021">
        <v>63</v>
      </c>
      <c r="BS6" s="1021">
        <v>3</v>
      </c>
    </row>
    <row r="7" spans="1:71" ht="12.75" customHeight="1">
      <c r="A7" s="12"/>
      <c r="B7" s="8" t="str">
        <f>Language!C660</f>
        <v>Taxa de desconto</v>
      </c>
      <c r="C7" s="21" t="str">
        <f>C46</f>
        <v>%</v>
      </c>
      <c r="D7" s="302">
        <v>2.5000000000000001E-2</v>
      </c>
      <c r="E7" s="1"/>
      <c r="F7" s="447"/>
      <c r="G7" s="1166" t="str">
        <f>Language!C526</f>
        <v>Engenharia</v>
      </c>
      <c r="H7" s="1166"/>
      <c r="I7" s="198">
        <f t="shared" ca="1" si="0"/>
        <v>0</v>
      </c>
      <c r="J7" s="21" t="str">
        <f t="shared" si="1"/>
        <v>€</v>
      </c>
      <c r="K7" s="199">
        <f>IF(U58=2,IF(HideCodeCA_ProjectT=2,0,'Análise de Custos'!G59),0)</f>
        <v>0</v>
      </c>
      <c r="L7" s="1"/>
      <c r="M7" s="93">
        <v>1</v>
      </c>
      <c r="N7" s="125">
        <f t="shared" si="2"/>
        <v>812.18917318613194</v>
      </c>
      <c r="O7" s="125">
        <f t="shared" si="3"/>
        <v>812.18917318613194</v>
      </c>
      <c r="P7" s="199">
        <f t="shared" ref="P7:P56" ca="1" si="20">P6+O7</f>
        <v>-5269.9358268138676</v>
      </c>
      <c r="Q7" s="1"/>
      <c r="S7" s="787">
        <v>0</v>
      </c>
      <c r="T7" s="204"/>
      <c r="U7" s="204">
        <f t="shared" ref="U7:U38" si="21">IF(M7&lt;=ProjLife,K$19*(1+$U$62)^M7,0)</f>
        <v>309</v>
      </c>
      <c r="V7" s="204">
        <f t="shared" ref="V7:V38" si="22">IF(M7&lt;=ProjLife,K$20*(1+$U$61)^M7,0)</f>
        <v>0</v>
      </c>
      <c r="W7" s="204">
        <f t="shared" ref="W7:W38" si="23">IF(M7&lt;=Debt_term,K$21,0)</f>
        <v>0</v>
      </c>
      <c r="X7" s="204">
        <f t="shared" si="4"/>
        <v>309</v>
      </c>
      <c r="Y7" s="204">
        <f t="shared" si="5"/>
        <v>0</v>
      </c>
      <c r="Z7" s="204">
        <f t="shared" si="6"/>
        <v>309</v>
      </c>
      <c r="AA7" s="204">
        <f t="shared" ref="AA7:AA38" si="24">IF(M7&lt;=ProjLife,(K$30+$K$33)*(1+$U$61)^M7,0)</f>
        <v>0</v>
      </c>
      <c r="AB7" s="204">
        <f t="shared" ref="AB7:AB38" si="25">IF(M7&lt;=ProjLife,K$31*(1+$U$69)^M7,0)</f>
        <v>1121.1891731861319</v>
      </c>
      <c r="AC7" s="204">
        <f t="shared" ref="AC7:AC38" si="26">IF(AND(M7&lt;=D$67,M7&lt;=U$64),K$35*(1+$D$68)^M7,0)</f>
        <v>0</v>
      </c>
      <c r="AD7" s="204">
        <f t="shared" ref="AD7:AD38" si="27">IF(AND(M7&lt;=U$71,M7&lt;=U$64,GHG&gt;0),IF(AND(GHG_Baseline=0,M7&lt;=$W$65),$D$39,$D$40),0)*$V$84*(1+$U$72)^M7*$U$59+$V$85*IF(M7&lt;=$D$61,1,0)*(1+$D$62)^M7*$K$34*$U$59</f>
        <v>0</v>
      </c>
      <c r="AE7" s="204"/>
      <c r="AF7" s="204">
        <f t="shared" ref="AF7:AF38" si="28">IF(M7=ProjLife,-K$27*(1+$U$62)^M7,0)</f>
        <v>0</v>
      </c>
      <c r="AG7" s="204">
        <f t="shared" si="7"/>
        <v>1121.1891731861319</v>
      </c>
      <c r="AH7" s="204">
        <f t="shared" si="8"/>
        <v>812.18917318613194</v>
      </c>
      <c r="AI7" s="204">
        <f t="shared" si="9"/>
        <v>812.18917318613194</v>
      </c>
      <c r="AJ7" s="204"/>
      <c r="AK7" s="204">
        <f t="shared" ref="AK7:AK38" si="29">IF(M7&lt;=Debt_term,-PPMT(Debt_IR,M7,Debt_term,Debt_con),0)</f>
        <v>0</v>
      </c>
      <c r="AL7" s="204">
        <f t="shared" ref="AL7:AL56" ca="1" si="30">AP6</f>
        <v>0</v>
      </c>
      <c r="AM7" s="204">
        <f t="shared" si="10"/>
        <v>0</v>
      </c>
      <c r="AN7" s="204">
        <f ca="1">IF(M7&lt;ProjLife,-D$26*AL7*IF(D24=lang_yes,0.5,1),-AL7)</f>
        <v>0</v>
      </c>
      <c r="AO7" s="204">
        <f t="shared" ref="AO7:AO38" ca="1" si="31">IF(M7&lt;ProjLife,IF(M7&lt;=D$27,-D$25*Init_costs/D$27,0),-AL7)</f>
        <v>0</v>
      </c>
      <c r="AP7" s="204">
        <f t="shared" ca="1" si="11"/>
        <v>0</v>
      </c>
      <c r="AQ7" s="204">
        <f t="shared" ca="1" si="12"/>
        <v>812.18917318613194</v>
      </c>
      <c r="AR7" s="204">
        <f t="shared" si="13"/>
        <v>0</v>
      </c>
      <c r="AS7" s="204">
        <f t="shared" ref="AS7:AS56" si="32">IF(AR7&lt;0,0,AR7)</f>
        <v>0</v>
      </c>
      <c r="AT7" s="204">
        <f t="shared" ref="AT7:AT56" si="33">AV6</f>
        <v>0</v>
      </c>
      <c r="AU7" s="204">
        <f t="shared" ref="AU7:AU56" si="34">MAX(AR7+AT7,0)</f>
        <v>0</v>
      </c>
      <c r="AV7" s="204">
        <f t="shared" ref="AV7:AV56" si="35">AT7+AR7-AU7</f>
        <v>0</v>
      </c>
      <c r="AW7" s="204">
        <f t="shared" si="14"/>
        <v>812.18917318613194</v>
      </c>
      <c r="AX7" s="204">
        <f t="shared" ca="1" si="15"/>
        <v>812.18917318613239</v>
      </c>
      <c r="AY7" s="204">
        <f t="shared" si="16"/>
        <v>0</v>
      </c>
      <c r="AZ7" s="204" t="str">
        <f t="shared" si="17"/>
        <v>N/A</v>
      </c>
      <c r="BA7" s="204">
        <f t="shared" ref="BA7:BA38" si="36">IF($BA$2=0,0,IF(AND(M7&lt;=ProjLife,MOD(M7,$BA$2)=0),K$25*(1+$U$62)^M7,0))</f>
        <v>0</v>
      </c>
      <c r="BB7" s="204">
        <f t="shared" ref="BB7:BB38" si="37">IF($BB$2=0,0,IF(AND(M7&lt;=ProjLife,MOD(M7,$BB$2)=0),K$26*(1+$U$62)^M7,0))</f>
        <v>0</v>
      </c>
      <c r="BC7" s="204" t="str">
        <f t="shared" si="18"/>
        <v>10</v>
      </c>
      <c r="BD7" s="204" t="str">
        <f t="shared" si="19"/>
        <v>0</v>
      </c>
      <c r="BE7" s="204">
        <f t="shared" ref="BE7:BE38" si="38">AH7</f>
        <v>812.18917318613194</v>
      </c>
      <c r="BF7" s="204">
        <f t="shared" ref="BF7:BF38" si="39">AI7</f>
        <v>812.18917318613194</v>
      </c>
      <c r="BG7">
        <v>72106</v>
      </c>
      <c r="BH7">
        <v>74106</v>
      </c>
      <c r="BI7">
        <v>76000</v>
      </c>
    </row>
    <row r="8" spans="1:71" ht="12.75" customHeight="1">
      <c r="A8" s="12"/>
      <c r="B8" s="8" t="str">
        <f>Language!C661</f>
        <v>Vida do projeto</v>
      </c>
      <c r="C8" s="21" t="str">
        <f>C67</f>
        <v>ano</v>
      </c>
      <c r="D8" s="441">
        <v>25</v>
      </c>
      <c r="E8" s="1"/>
      <c r="F8" s="447"/>
      <c r="G8" s="1166" t="str">
        <f>Language!C1284</f>
        <v>Sistema de produção de eletricidade</v>
      </c>
      <c r="H8" s="1166"/>
      <c r="I8" s="198">
        <f t="shared" ca="1" si="0"/>
        <v>0.93593933041494548</v>
      </c>
      <c r="J8" s="21" t="str">
        <f t="shared" si="1"/>
        <v>€</v>
      </c>
      <c r="K8" s="199">
        <f>IF(U58=2,IF(HideCodeCA_ProjectT=2,'Análise de Custos'!G11,'Análise de Custos'!G71),IF(V58=0,'Modelo Energético'!D1000,'Modelo Energético '!D987))</f>
        <v>5692.5</v>
      </c>
      <c r="L8" s="1"/>
      <c r="M8" s="93">
        <v>2</v>
      </c>
      <c r="N8" s="125">
        <f t="shared" si="2"/>
        <v>847.76674011357727</v>
      </c>
      <c r="O8" s="125">
        <f t="shared" si="3"/>
        <v>847.76674011357727</v>
      </c>
      <c r="P8" s="199">
        <f t="shared" ca="1" si="20"/>
        <v>-4422.1690867002908</v>
      </c>
      <c r="Q8" s="1"/>
      <c r="S8" s="787">
        <v>5692.5</v>
      </c>
      <c r="T8" s="204"/>
      <c r="U8" s="204">
        <f t="shared" si="21"/>
        <v>318.27</v>
      </c>
      <c r="V8" s="204">
        <f t="shared" si="22"/>
        <v>0</v>
      </c>
      <c r="W8" s="204">
        <f t="shared" si="23"/>
        <v>0</v>
      </c>
      <c r="X8" s="204">
        <f t="shared" si="4"/>
        <v>318.27</v>
      </c>
      <c r="Y8" s="204">
        <f t="shared" si="5"/>
        <v>0</v>
      </c>
      <c r="Z8" s="204">
        <f t="shared" si="6"/>
        <v>318.27</v>
      </c>
      <c r="AA8" s="204">
        <f t="shared" si="24"/>
        <v>0</v>
      </c>
      <c r="AB8" s="204">
        <f t="shared" si="25"/>
        <v>1166.0367401135773</v>
      </c>
      <c r="AC8" s="204">
        <f t="shared" si="26"/>
        <v>0</v>
      </c>
      <c r="AD8" s="204">
        <f t="shared" si="27"/>
        <v>0</v>
      </c>
      <c r="AE8" s="204"/>
      <c r="AF8" s="204">
        <f t="shared" si="28"/>
        <v>0</v>
      </c>
      <c r="AG8" s="204">
        <f t="shared" si="7"/>
        <v>1166.0367401135773</v>
      </c>
      <c r="AH8" s="204">
        <f t="shared" si="8"/>
        <v>847.76674011357727</v>
      </c>
      <c r="AI8" s="204">
        <f t="shared" si="9"/>
        <v>847.76674011357727</v>
      </c>
      <c r="AJ8" s="204"/>
      <c r="AK8" s="204">
        <f t="shared" si="29"/>
        <v>0</v>
      </c>
      <c r="AL8" s="204">
        <f t="shared" ca="1" si="30"/>
        <v>0</v>
      </c>
      <c r="AM8" s="204">
        <f t="shared" si="10"/>
        <v>0</v>
      </c>
      <c r="AN8" s="204">
        <f t="shared" ref="AN8:AN39" ca="1" si="40">IF(M8&lt;ProjLife,-D$26*AL8,-AL8)</f>
        <v>0</v>
      </c>
      <c r="AO8" s="204">
        <f t="shared" ca="1" si="31"/>
        <v>0</v>
      </c>
      <c r="AP8" s="204">
        <f t="shared" ca="1" si="11"/>
        <v>0</v>
      </c>
      <c r="AQ8" s="204">
        <f t="shared" ca="1" si="12"/>
        <v>847.76674011357727</v>
      </c>
      <c r="AR8" s="204">
        <f t="shared" si="13"/>
        <v>0</v>
      </c>
      <c r="AS8" s="204">
        <f t="shared" si="32"/>
        <v>0</v>
      </c>
      <c r="AT8" s="204">
        <f t="shared" si="33"/>
        <v>0</v>
      </c>
      <c r="AU8" s="204">
        <f t="shared" si="34"/>
        <v>0</v>
      </c>
      <c r="AV8" s="204">
        <f t="shared" si="35"/>
        <v>0</v>
      </c>
      <c r="AW8" s="204">
        <f t="shared" si="14"/>
        <v>847.76674011357727</v>
      </c>
      <c r="AX8" s="204">
        <f t="shared" ca="1" si="15"/>
        <v>1659.9559132997092</v>
      </c>
      <c r="AY8" s="204">
        <f t="shared" si="16"/>
        <v>0</v>
      </c>
      <c r="AZ8" s="204" t="str">
        <f t="shared" si="17"/>
        <v>N/A</v>
      </c>
      <c r="BA8" s="204">
        <f t="shared" si="36"/>
        <v>0</v>
      </c>
      <c r="BB8" s="204">
        <f t="shared" si="37"/>
        <v>0</v>
      </c>
      <c r="BC8" s="204" t="str">
        <f t="shared" si="18"/>
        <v>,20</v>
      </c>
      <c r="BD8" s="204" t="str">
        <f t="shared" si="19"/>
        <v>,0</v>
      </c>
      <c r="BE8" s="204">
        <f t="shared" si="38"/>
        <v>847.76674011357727</v>
      </c>
      <c r="BF8" s="204">
        <f t="shared" si="39"/>
        <v>847.76674011357727</v>
      </c>
      <c r="BG8">
        <v>72108</v>
      </c>
      <c r="BH8">
        <v>74108</v>
      </c>
      <c r="BI8">
        <v>76000</v>
      </c>
    </row>
    <row r="9" spans="1:71" ht="12.75" customHeight="1">
      <c r="A9" s="14"/>
      <c r="B9" s="15"/>
      <c r="C9" s="15"/>
      <c r="D9" s="11"/>
      <c r="E9" s="1"/>
      <c r="F9" s="447"/>
      <c r="G9" s="1166" t="str">
        <f>Language!C1283</f>
        <v>Sistema de Aquecimento</v>
      </c>
      <c r="H9" s="1166"/>
      <c r="I9" s="198">
        <f t="shared" ca="1" si="0"/>
        <v>0</v>
      </c>
      <c r="J9" s="21" t="str">
        <f t="shared" si="1"/>
        <v>€</v>
      </c>
      <c r="K9" s="199">
        <f>IF(U58=2,IF(HideCodeCA_ProjectT=2,IF(OR(Set_H=7,Set_H=8),'Análise de Custos'!G13,'Análise de Custos'!G12),'Análise de Custos'!G85),IF(V58=0,'Modelo Energético'!D1001,'Modelo Energético '!D988))</f>
        <v>0</v>
      </c>
      <c r="L9" s="1"/>
      <c r="M9" s="93">
        <v>3</v>
      </c>
      <c r="N9" s="125">
        <f t="shared" si="2"/>
        <v>884.86010971812038</v>
      </c>
      <c r="O9" s="125">
        <f t="shared" si="3"/>
        <v>884.86010971812038</v>
      </c>
      <c r="P9" s="199">
        <f t="shared" ca="1" si="20"/>
        <v>-3537.3089769821704</v>
      </c>
      <c r="Q9" s="1"/>
      <c r="S9" s="787">
        <v>0</v>
      </c>
      <c r="T9" s="204"/>
      <c r="U9" s="204">
        <f t="shared" si="21"/>
        <v>327.81810000000002</v>
      </c>
      <c r="V9" s="204">
        <f t="shared" si="22"/>
        <v>0</v>
      </c>
      <c r="W9" s="204">
        <f t="shared" si="23"/>
        <v>0</v>
      </c>
      <c r="X9" s="204">
        <f t="shared" si="4"/>
        <v>327.81810000000002</v>
      </c>
      <c r="Y9" s="204">
        <f t="shared" si="5"/>
        <v>0</v>
      </c>
      <c r="Z9" s="204">
        <f t="shared" si="6"/>
        <v>327.81810000000002</v>
      </c>
      <c r="AA9" s="204">
        <f t="shared" si="24"/>
        <v>0</v>
      </c>
      <c r="AB9" s="204">
        <f t="shared" si="25"/>
        <v>1212.6782097181203</v>
      </c>
      <c r="AC9" s="204">
        <f t="shared" si="26"/>
        <v>0</v>
      </c>
      <c r="AD9" s="204">
        <f t="shared" si="27"/>
        <v>0</v>
      </c>
      <c r="AE9" s="204"/>
      <c r="AF9" s="204">
        <f t="shared" si="28"/>
        <v>0</v>
      </c>
      <c r="AG9" s="204">
        <f t="shared" si="7"/>
        <v>1212.6782097181203</v>
      </c>
      <c r="AH9" s="204">
        <f t="shared" si="8"/>
        <v>884.86010971812038</v>
      </c>
      <c r="AI9" s="204">
        <f t="shared" si="9"/>
        <v>884.86010971812038</v>
      </c>
      <c r="AJ9" s="204"/>
      <c r="AK9" s="204">
        <f t="shared" si="29"/>
        <v>0</v>
      </c>
      <c r="AL9" s="204">
        <f t="shared" ca="1" si="30"/>
        <v>0</v>
      </c>
      <c r="AM9" s="204">
        <f t="shared" si="10"/>
        <v>0</v>
      </c>
      <c r="AN9" s="204">
        <f t="shared" ca="1" si="40"/>
        <v>0</v>
      </c>
      <c r="AO9" s="204">
        <f t="shared" ca="1" si="31"/>
        <v>0</v>
      </c>
      <c r="AP9" s="204">
        <f t="shared" ca="1" si="11"/>
        <v>0</v>
      </c>
      <c r="AQ9" s="204">
        <f t="shared" ca="1" si="12"/>
        <v>884.86010971812038</v>
      </c>
      <c r="AR9" s="204">
        <f t="shared" si="13"/>
        <v>0</v>
      </c>
      <c r="AS9" s="204">
        <f t="shared" si="32"/>
        <v>0</v>
      </c>
      <c r="AT9" s="204">
        <f t="shared" si="33"/>
        <v>0</v>
      </c>
      <c r="AU9" s="204">
        <f t="shared" si="34"/>
        <v>0</v>
      </c>
      <c r="AV9" s="204">
        <f t="shared" si="35"/>
        <v>0</v>
      </c>
      <c r="AW9" s="204">
        <f t="shared" si="14"/>
        <v>884.86010971812038</v>
      </c>
      <c r="AX9" s="204">
        <f t="shared" ca="1" si="15"/>
        <v>2544.8160230178296</v>
      </c>
      <c r="AY9" s="204">
        <f t="shared" si="16"/>
        <v>0</v>
      </c>
      <c r="AZ9" s="204" t="str">
        <f t="shared" si="17"/>
        <v>N/A</v>
      </c>
      <c r="BA9" s="204">
        <f t="shared" si="36"/>
        <v>0</v>
      </c>
      <c r="BB9" s="204">
        <f t="shared" si="37"/>
        <v>0</v>
      </c>
      <c r="BC9" s="204" t="str">
        <f t="shared" si="18"/>
        <v xml:space="preserve"> </v>
      </c>
      <c r="BD9" s="204" t="str">
        <f t="shared" si="19"/>
        <v>,0</v>
      </c>
      <c r="BE9" s="204">
        <f t="shared" si="38"/>
        <v>884.86010971812038</v>
      </c>
      <c r="BF9" s="204">
        <f t="shared" si="39"/>
        <v>884.86010971812038</v>
      </c>
      <c r="BG9">
        <v>72100</v>
      </c>
      <c r="BH9">
        <v>74110</v>
      </c>
      <c r="BI9">
        <v>76000</v>
      </c>
    </row>
    <row r="10" spans="1:71" ht="12.75" customHeight="1">
      <c r="A10" s="436" t="str">
        <f>Language!C662</f>
        <v>Financiamento</v>
      </c>
      <c r="B10" s="8"/>
      <c r="C10" s="8"/>
      <c r="D10" s="9"/>
      <c r="E10" s="1"/>
      <c r="F10" s="447"/>
      <c r="G10" s="1166" t="str">
        <f>Language!C542</f>
        <v>Sistema de refrigeração</v>
      </c>
      <c r="H10" s="1166"/>
      <c r="I10" s="198">
        <f t="shared" ca="1" si="0"/>
        <v>0</v>
      </c>
      <c r="J10" s="21" t="str">
        <f t="shared" si="1"/>
        <v>€</v>
      </c>
      <c r="K10" s="199">
        <f>IF(U58=2,IF(HideCodeCA_ProjectT=2,'Análise de Custos'!G14,'Análise de Custos'!G96),IF(V58=0,'Modelo Energético'!D1002,'Modelo Energético '!D989))</f>
        <v>0</v>
      </c>
      <c r="L10" s="1"/>
      <c r="M10" s="93">
        <v>4</v>
      </c>
      <c r="N10" s="125">
        <f t="shared" si="2"/>
        <v>923.53269510684527</v>
      </c>
      <c r="O10" s="125">
        <f t="shared" si="3"/>
        <v>923.53269510684527</v>
      </c>
      <c r="P10" s="199">
        <f t="shared" ca="1" si="20"/>
        <v>-2613.7762818753254</v>
      </c>
      <c r="Q10" s="1"/>
      <c r="S10" s="787">
        <v>0</v>
      </c>
      <c r="T10" s="204"/>
      <c r="U10" s="204">
        <f t="shared" si="21"/>
        <v>337.65264299999996</v>
      </c>
      <c r="V10" s="204">
        <f t="shared" si="22"/>
        <v>0</v>
      </c>
      <c r="W10" s="204">
        <f t="shared" si="23"/>
        <v>0</v>
      </c>
      <c r="X10" s="204">
        <f t="shared" si="4"/>
        <v>337.65264299999996</v>
      </c>
      <c r="Y10" s="204">
        <f t="shared" si="5"/>
        <v>0</v>
      </c>
      <c r="Z10" s="204">
        <f t="shared" si="6"/>
        <v>337.65264299999996</v>
      </c>
      <c r="AA10" s="204">
        <f t="shared" si="24"/>
        <v>0</v>
      </c>
      <c r="AB10" s="204">
        <f t="shared" si="25"/>
        <v>1261.1853381068452</v>
      </c>
      <c r="AC10" s="204">
        <f t="shared" si="26"/>
        <v>0</v>
      </c>
      <c r="AD10" s="204">
        <f t="shared" si="27"/>
        <v>0</v>
      </c>
      <c r="AE10" s="204"/>
      <c r="AF10" s="204">
        <f t="shared" si="28"/>
        <v>0</v>
      </c>
      <c r="AG10" s="204">
        <f t="shared" si="7"/>
        <v>1261.1853381068452</v>
      </c>
      <c r="AH10" s="204">
        <f t="shared" si="8"/>
        <v>923.53269510684527</v>
      </c>
      <c r="AI10" s="204">
        <f t="shared" si="9"/>
        <v>923.53269510684527</v>
      </c>
      <c r="AJ10" s="204"/>
      <c r="AK10" s="204">
        <f t="shared" si="29"/>
        <v>0</v>
      </c>
      <c r="AL10" s="204">
        <f t="shared" ca="1" si="30"/>
        <v>0</v>
      </c>
      <c r="AM10" s="204">
        <f t="shared" si="10"/>
        <v>0</v>
      </c>
      <c r="AN10" s="204">
        <f t="shared" ca="1" si="40"/>
        <v>0</v>
      </c>
      <c r="AO10" s="204">
        <f t="shared" ca="1" si="31"/>
        <v>0</v>
      </c>
      <c r="AP10" s="204">
        <f t="shared" ca="1" si="11"/>
        <v>0</v>
      </c>
      <c r="AQ10" s="204">
        <f t="shared" ca="1" si="12"/>
        <v>923.53269510684527</v>
      </c>
      <c r="AR10" s="204">
        <f t="shared" si="13"/>
        <v>0</v>
      </c>
      <c r="AS10" s="204">
        <f t="shared" si="32"/>
        <v>0</v>
      </c>
      <c r="AT10" s="204">
        <f t="shared" si="33"/>
        <v>0</v>
      </c>
      <c r="AU10" s="204">
        <f t="shared" si="34"/>
        <v>0</v>
      </c>
      <c r="AV10" s="204">
        <f t="shared" si="35"/>
        <v>0</v>
      </c>
      <c r="AW10" s="204">
        <f t="shared" si="14"/>
        <v>923.53269510684527</v>
      </c>
      <c r="AX10" s="204">
        <f t="shared" ca="1" si="15"/>
        <v>3468.3487181246746</v>
      </c>
      <c r="AY10" s="204">
        <f t="shared" si="16"/>
        <v>0</v>
      </c>
      <c r="AZ10" s="204" t="str">
        <f t="shared" si="17"/>
        <v>N/A</v>
      </c>
      <c r="BA10" s="204">
        <f t="shared" si="36"/>
        <v>0</v>
      </c>
      <c r="BB10" s="204">
        <f t="shared" si="37"/>
        <v>0</v>
      </c>
      <c r="BC10" s="204" t="str">
        <f t="shared" si="18"/>
        <v xml:space="preserve"> </v>
      </c>
      <c r="BD10" s="204" t="str">
        <f t="shared" si="19"/>
        <v>,0</v>
      </c>
      <c r="BE10" s="204">
        <f t="shared" si="38"/>
        <v>923.53269510684527</v>
      </c>
      <c r="BF10" s="204">
        <f t="shared" si="39"/>
        <v>923.53269510684527</v>
      </c>
      <c r="BG10">
        <v>72200</v>
      </c>
      <c r="BH10">
        <v>74112</v>
      </c>
      <c r="BI10">
        <v>76000</v>
      </c>
    </row>
    <row r="11" spans="1:71" ht="12.75" customHeight="1">
      <c r="A11" s="12"/>
      <c r="B11" s="8" t="str">
        <f>Language!C685</f>
        <v>Incentivos e subsídios</v>
      </c>
      <c r="C11" s="21" t="str">
        <f>Currency</f>
        <v>€</v>
      </c>
      <c r="D11" s="301"/>
      <c r="E11" s="1"/>
      <c r="F11" s="447"/>
      <c r="G11" s="1292" t="str">
        <f>Language!C880</f>
        <v>Definido pelo usuário</v>
      </c>
      <c r="H11" s="1292"/>
      <c r="I11" s="198">
        <f t="shared" ca="1" si="0"/>
        <v>0</v>
      </c>
      <c r="J11" s="21" t="str">
        <f t="shared" si="1"/>
        <v>€</v>
      </c>
      <c r="K11" s="199">
        <f>'Modelo Energético '!D986</f>
        <v>0</v>
      </c>
      <c r="L11" s="1"/>
      <c r="M11" s="93">
        <v>5</v>
      </c>
      <c r="N11" s="125">
        <f t="shared" si="2"/>
        <v>963.85052934111923</v>
      </c>
      <c r="O11" s="125">
        <f t="shared" si="3"/>
        <v>963.85052934111923</v>
      </c>
      <c r="P11" s="199">
        <f t="shared" ca="1" si="20"/>
        <v>-1649.9257525342061</v>
      </c>
      <c r="Q11" s="1"/>
      <c r="S11" s="787">
        <v>0</v>
      </c>
      <c r="T11" s="204"/>
      <c r="U11" s="204">
        <f t="shared" si="21"/>
        <v>347.78222228999994</v>
      </c>
      <c r="V11" s="204">
        <f t="shared" si="22"/>
        <v>0</v>
      </c>
      <c r="W11" s="204">
        <f t="shared" si="23"/>
        <v>0</v>
      </c>
      <c r="X11" s="204">
        <f t="shared" si="4"/>
        <v>347.78222228999994</v>
      </c>
      <c r="Y11" s="204">
        <f t="shared" si="5"/>
        <v>0</v>
      </c>
      <c r="Z11" s="204">
        <f t="shared" si="6"/>
        <v>347.78222228999994</v>
      </c>
      <c r="AA11" s="204">
        <f t="shared" si="24"/>
        <v>0</v>
      </c>
      <c r="AB11" s="204">
        <f t="shared" si="25"/>
        <v>1311.6327516311192</v>
      </c>
      <c r="AC11" s="204">
        <f t="shared" si="26"/>
        <v>0</v>
      </c>
      <c r="AD11" s="204">
        <f t="shared" si="27"/>
        <v>0</v>
      </c>
      <c r="AE11" s="204"/>
      <c r="AF11" s="204">
        <f t="shared" si="28"/>
        <v>0</v>
      </c>
      <c r="AG11" s="204">
        <f t="shared" si="7"/>
        <v>1311.6327516311192</v>
      </c>
      <c r="AH11" s="204">
        <f t="shared" si="8"/>
        <v>963.85052934111923</v>
      </c>
      <c r="AI11" s="204">
        <f t="shared" si="9"/>
        <v>963.85052934111923</v>
      </c>
      <c r="AJ11" s="204"/>
      <c r="AK11" s="204">
        <f t="shared" si="29"/>
        <v>0</v>
      </c>
      <c r="AL11" s="204">
        <f t="shared" ca="1" si="30"/>
        <v>0</v>
      </c>
      <c r="AM11" s="204">
        <f t="shared" si="10"/>
        <v>0</v>
      </c>
      <c r="AN11" s="204">
        <f t="shared" ca="1" si="40"/>
        <v>0</v>
      </c>
      <c r="AO11" s="204">
        <f t="shared" ca="1" si="31"/>
        <v>0</v>
      </c>
      <c r="AP11" s="204">
        <f t="shared" ca="1" si="11"/>
        <v>0</v>
      </c>
      <c r="AQ11" s="204">
        <f t="shared" ca="1" si="12"/>
        <v>963.85052934111923</v>
      </c>
      <c r="AR11" s="204">
        <f t="shared" si="13"/>
        <v>0</v>
      </c>
      <c r="AS11" s="204">
        <f t="shared" si="32"/>
        <v>0</v>
      </c>
      <c r="AT11" s="204">
        <f t="shared" si="33"/>
        <v>0</v>
      </c>
      <c r="AU11" s="204">
        <f t="shared" si="34"/>
        <v>0</v>
      </c>
      <c r="AV11" s="204">
        <f t="shared" si="35"/>
        <v>0</v>
      </c>
      <c r="AW11" s="204">
        <f t="shared" si="14"/>
        <v>963.85052934111923</v>
      </c>
      <c r="AX11" s="204">
        <f t="shared" ca="1" si="15"/>
        <v>4432.1992474657936</v>
      </c>
      <c r="AY11" s="204">
        <f t="shared" si="16"/>
        <v>0</v>
      </c>
      <c r="AZ11" s="204" t="str">
        <f t="shared" si="17"/>
        <v>N/A</v>
      </c>
      <c r="BA11" s="204">
        <f t="shared" si="36"/>
        <v>0</v>
      </c>
      <c r="BB11" s="204">
        <f t="shared" si="37"/>
        <v>0</v>
      </c>
      <c r="BC11" s="204" t="str">
        <f t="shared" si="18"/>
        <v xml:space="preserve"> </v>
      </c>
      <c r="BD11" s="204" t="str">
        <f t="shared" si="19"/>
        <v>,0</v>
      </c>
      <c r="BE11" s="204">
        <f t="shared" si="38"/>
        <v>963.85052934111923</v>
      </c>
      <c r="BF11" s="204">
        <f t="shared" si="39"/>
        <v>963.85052934111923</v>
      </c>
      <c r="BG11">
        <v>72202</v>
      </c>
      <c r="BH11">
        <v>74114</v>
      </c>
      <c r="BI11">
        <v>76000</v>
      </c>
    </row>
    <row r="12" spans="1:71" ht="14.25" customHeight="1">
      <c r="A12" s="12"/>
      <c r="B12" s="8" t="str">
        <f>Language!C663</f>
        <v>Razão da dívida</v>
      </c>
      <c r="C12" s="21" t="str">
        <f>C46</f>
        <v>%</v>
      </c>
      <c r="D12" s="302"/>
      <c r="E12" s="1"/>
      <c r="F12" s="447"/>
      <c r="G12" s="1292" t="str">
        <f>Language!C234</f>
        <v>Ações de Eficiência energética</v>
      </c>
      <c r="H12" s="1292"/>
      <c r="I12" s="198">
        <f t="shared" ca="1" si="0"/>
        <v>0</v>
      </c>
      <c r="J12" s="21" t="str">
        <f t="shared" si="1"/>
        <v>€</v>
      </c>
      <c r="K12" s="199">
        <f>IF(T1=9,0,'Modelo Energético '!D985)</f>
        <v>0</v>
      </c>
      <c r="L12" s="1"/>
      <c r="M12" s="93">
        <v>6</v>
      </c>
      <c r="N12" s="125">
        <f t="shared" si="2"/>
        <v>1005.8823727376639</v>
      </c>
      <c r="O12" s="125">
        <f t="shared" si="3"/>
        <v>1005.8823727376639</v>
      </c>
      <c r="P12" s="199">
        <f t="shared" ca="1" si="20"/>
        <v>-644.04337979654224</v>
      </c>
      <c r="Q12" s="1"/>
      <c r="S12" s="787">
        <v>0</v>
      </c>
      <c r="T12" s="204"/>
      <c r="U12" s="204">
        <f t="shared" si="21"/>
        <v>358.21568895869996</v>
      </c>
      <c r="V12" s="204">
        <f t="shared" si="22"/>
        <v>0</v>
      </c>
      <c r="W12" s="204">
        <f t="shared" si="23"/>
        <v>0</v>
      </c>
      <c r="X12" s="204">
        <f t="shared" si="4"/>
        <v>358.21568895869996</v>
      </c>
      <c r="Y12" s="204">
        <f t="shared" si="5"/>
        <v>0</v>
      </c>
      <c r="Z12" s="204">
        <f t="shared" si="6"/>
        <v>358.21568895869996</v>
      </c>
      <c r="AA12" s="204">
        <f t="shared" si="24"/>
        <v>0</v>
      </c>
      <c r="AB12" s="204">
        <f t="shared" si="25"/>
        <v>1364.0980616963639</v>
      </c>
      <c r="AC12" s="204">
        <f t="shared" si="26"/>
        <v>0</v>
      </c>
      <c r="AD12" s="204">
        <f t="shared" si="27"/>
        <v>0</v>
      </c>
      <c r="AE12" s="204"/>
      <c r="AF12" s="204">
        <f t="shared" si="28"/>
        <v>0</v>
      </c>
      <c r="AG12" s="204">
        <f t="shared" si="7"/>
        <v>1364.0980616963639</v>
      </c>
      <c r="AH12" s="204">
        <f t="shared" si="8"/>
        <v>1005.8823727376639</v>
      </c>
      <c r="AI12" s="204">
        <f t="shared" si="9"/>
        <v>1005.8823727376639</v>
      </c>
      <c r="AJ12" s="204"/>
      <c r="AK12" s="204">
        <f t="shared" si="29"/>
        <v>0</v>
      </c>
      <c r="AL12" s="204">
        <f t="shared" ca="1" si="30"/>
        <v>0</v>
      </c>
      <c r="AM12" s="204">
        <f t="shared" si="10"/>
        <v>0</v>
      </c>
      <c r="AN12" s="204">
        <f t="shared" ca="1" si="40"/>
        <v>0</v>
      </c>
      <c r="AO12" s="204">
        <f t="shared" ca="1" si="31"/>
        <v>0</v>
      </c>
      <c r="AP12" s="204">
        <f t="shared" ca="1" si="11"/>
        <v>0</v>
      </c>
      <c r="AQ12" s="204">
        <f t="shared" ca="1" si="12"/>
        <v>1005.8823727376639</v>
      </c>
      <c r="AR12" s="204">
        <f t="shared" si="13"/>
        <v>0</v>
      </c>
      <c r="AS12" s="204">
        <f t="shared" si="32"/>
        <v>0</v>
      </c>
      <c r="AT12" s="204">
        <f t="shared" si="33"/>
        <v>0</v>
      </c>
      <c r="AU12" s="204">
        <f t="shared" si="34"/>
        <v>0</v>
      </c>
      <c r="AV12" s="204">
        <f t="shared" si="35"/>
        <v>0</v>
      </c>
      <c r="AW12" s="204">
        <f t="shared" si="14"/>
        <v>1005.8823727376639</v>
      </c>
      <c r="AX12" s="204">
        <f t="shared" ca="1" si="15"/>
        <v>5438.0816202034575</v>
      </c>
      <c r="AY12" s="204">
        <f t="shared" si="16"/>
        <v>0</v>
      </c>
      <c r="AZ12" s="204" t="str">
        <f t="shared" si="17"/>
        <v>N/A</v>
      </c>
      <c r="BA12" s="204">
        <f t="shared" si="36"/>
        <v>0</v>
      </c>
      <c r="BB12" s="204">
        <f t="shared" si="37"/>
        <v>0</v>
      </c>
      <c r="BC12" s="204" t="str">
        <f t="shared" si="18"/>
        <v xml:space="preserve"> </v>
      </c>
      <c r="BD12" s="204" t="str">
        <f t="shared" si="19"/>
        <v>,0</v>
      </c>
      <c r="BE12" s="204">
        <f t="shared" si="38"/>
        <v>1005.8823727376639</v>
      </c>
      <c r="BF12" s="204">
        <f t="shared" si="39"/>
        <v>1005.8823727376639</v>
      </c>
      <c r="BG12">
        <v>72204</v>
      </c>
      <c r="BH12">
        <v>74116</v>
      </c>
      <c r="BI12">
        <v>76000</v>
      </c>
    </row>
    <row r="13" spans="1:71" ht="12.75" customHeight="1">
      <c r="A13" s="12"/>
      <c r="B13" s="8" t="str">
        <f>Language!C701</f>
        <v>Empréstimo</v>
      </c>
      <c r="C13" s="21" t="str">
        <f>Currency</f>
        <v>€</v>
      </c>
      <c r="D13" s="199">
        <f ca="1">Init_costs-Equi_inv</f>
        <v>0</v>
      </c>
      <c r="E13" s="1"/>
      <c r="F13" s="447"/>
      <c r="G13" s="1290" t="str">
        <f>Language!C684</f>
        <v>Balanço do sistema e misc.</v>
      </c>
      <c r="H13" s="1290"/>
      <c r="I13" s="198">
        <f ca="1">IF(Init_costs=0,"",K13/K$14)</f>
        <v>4.7619047619047616E-2</v>
      </c>
      <c r="J13" s="21" t="str">
        <f t="shared" si="1"/>
        <v>€</v>
      </c>
      <c r="K13" s="199">
        <f ca="1">IF(U58=2,IF(HideCodeCA_ProjectT=2,SUM('Análise de Custos'!G16:G19),'Análise de Custos'!G198),IF(V58=0,'Modelo Energético'!D1003,'Modelo Energético '!D990))</f>
        <v>289.625</v>
      </c>
      <c r="L13" s="1"/>
      <c r="M13" s="93">
        <v>7</v>
      </c>
      <c r="N13" s="125">
        <f t="shared" si="2"/>
        <v>1049.6998245367574</v>
      </c>
      <c r="O13" s="125">
        <f t="shared" si="3"/>
        <v>1049.6998245367574</v>
      </c>
      <c r="P13" s="199">
        <f t="shared" ca="1" si="20"/>
        <v>405.65644474021519</v>
      </c>
      <c r="Q13" s="1"/>
      <c r="S13" s="787">
        <v>289.625</v>
      </c>
      <c r="T13" s="204"/>
      <c r="U13" s="204">
        <f t="shared" si="21"/>
        <v>368.96215962746101</v>
      </c>
      <c r="V13" s="204">
        <f t="shared" si="22"/>
        <v>0</v>
      </c>
      <c r="W13" s="204">
        <f t="shared" si="23"/>
        <v>0</v>
      </c>
      <c r="X13" s="204">
        <f t="shared" si="4"/>
        <v>368.96215962746101</v>
      </c>
      <c r="Y13" s="204">
        <f t="shared" si="5"/>
        <v>0</v>
      </c>
      <c r="Z13" s="204">
        <f t="shared" si="6"/>
        <v>368.96215962746101</v>
      </c>
      <c r="AA13" s="204">
        <f t="shared" si="24"/>
        <v>0</v>
      </c>
      <c r="AB13" s="204">
        <f t="shared" si="25"/>
        <v>1418.6619841642184</v>
      </c>
      <c r="AC13" s="204">
        <f t="shared" si="26"/>
        <v>0</v>
      </c>
      <c r="AD13" s="204">
        <f t="shared" si="27"/>
        <v>0</v>
      </c>
      <c r="AE13" s="204"/>
      <c r="AF13" s="204">
        <f t="shared" si="28"/>
        <v>0</v>
      </c>
      <c r="AG13" s="204">
        <f t="shared" si="7"/>
        <v>1418.6619841642184</v>
      </c>
      <c r="AH13" s="204">
        <f t="shared" si="8"/>
        <v>1049.6998245367574</v>
      </c>
      <c r="AI13" s="204">
        <f t="shared" si="9"/>
        <v>1049.6998245367574</v>
      </c>
      <c r="AJ13" s="204"/>
      <c r="AK13" s="204">
        <f t="shared" si="29"/>
        <v>0</v>
      </c>
      <c r="AL13" s="204">
        <f t="shared" ca="1" si="30"/>
        <v>0</v>
      </c>
      <c r="AM13" s="204">
        <f t="shared" si="10"/>
        <v>0</v>
      </c>
      <c r="AN13" s="204">
        <f t="shared" ca="1" si="40"/>
        <v>0</v>
      </c>
      <c r="AO13" s="204">
        <f t="shared" ca="1" si="31"/>
        <v>0</v>
      </c>
      <c r="AP13" s="204">
        <f t="shared" ca="1" si="11"/>
        <v>0</v>
      </c>
      <c r="AQ13" s="204">
        <f t="shared" ca="1" si="12"/>
        <v>1049.6998245367574</v>
      </c>
      <c r="AR13" s="204">
        <f t="shared" si="13"/>
        <v>0</v>
      </c>
      <c r="AS13" s="204">
        <f t="shared" si="32"/>
        <v>0</v>
      </c>
      <c r="AT13" s="204">
        <f t="shared" si="33"/>
        <v>0</v>
      </c>
      <c r="AU13" s="204">
        <f t="shared" si="34"/>
        <v>0</v>
      </c>
      <c r="AV13" s="204">
        <f t="shared" si="35"/>
        <v>0</v>
      </c>
      <c r="AW13" s="204">
        <f t="shared" si="14"/>
        <v>1049.6998245367574</v>
      </c>
      <c r="AX13" s="204">
        <f t="shared" ca="1" si="15"/>
        <v>6487.7814447402152</v>
      </c>
      <c r="AY13" s="204">
        <f t="shared" si="16"/>
        <v>0</v>
      </c>
      <c r="AZ13" s="204" t="str">
        <f t="shared" si="17"/>
        <v>N/A</v>
      </c>
      <c r="BA13" s="204">
        <f t="shared" si="36"/>
        <v>0</v>
      </c>
      <c r="BB13" s="204">
        <f t="shared" si="37"/>
        <v>0</v>
      </c>
      <c r="BC13" s="204" t="str">
        <f t="shared" si="18"/>
        <v xml:space="preserve"> </v>
      </c>
      <c r="BD13" s="204" t="str">
        <f t="shared" si="19"/>
        <v>,0</v>
      </c>
      <c r="BE13" s="204">
        <f t="shared" si="38"/>
        <v>1049.6998245367574</v>
      </c>
      <c r="BF13" s="204">
        <f t="shared" si="39"/>
        <v>1049.6998245367574</v>
      </c>
      <c r="BG13">
        <v>72206</v>
      </c>
      <c r="BH13">
        <v>74118</v>
      </c>
      <c r="BI13">
        <v>76000</v>
      </c>
    </row>
    <row r="14" spans="1:71" ht="12.75" customHeight="1">
      <c r="A14" s="12"/>
      <c r="B14" s="8" t="str">
        <f>Language!C700</f>
        <v>Capital próprio investido</v>
      </c>
      <c r="C14" s="21" t="str">
        <f>Currency</f>
        <v>€</v>
      </c>
      <c r="D14" s="199">
        <f ca="1">(1-Debt_ratio)*Init_costs</f>
        <v>6082.125</v>
      </c>
      <c r="E14" s="1"/>
      <c r="F14" s="727"/>
      <c r="G14" s="1188" t="str">
        <f>Language!C572</f>
        <v>Total de custos de investimento</v>
      </c>
      <c r="H14" s="1188"/>
      <c r="I14" s="205">
        <f ca="1">IF(ISERROR(SUM(I5:I13)),"",SUM(I5:I13))</f>
        <v>1</v>
      </c>
      <c r="J14" s="16" t="str">
        <f t="shared" si="1"/>
        <v>€</v>
      </c>
      <c r="K14" s="206">
        <f ca="1">SUM(K5:K13)*(1+VarTab01)</f>
        <v>6082.125</v>
      </c>
      <c r="L14" s="1"/>
      <c r="M14" s="93">
        <v>8</v>
      </c>
      <c r="N14" s="125">
        <f t="shared" si="2"/>
        <v>1095.3774391145027</v>
      </c>
      <c r="O14" s="125">
        <f t="shared" si="3"/>
        <v>1095.3774391145027</v>
      </c>
      <c r="P14" s="199">
        <f t="shared" ca="1" si="20"/>
        <v>1501.0338838547179</v>
      </c>
      <c r="Q14" s="1"/>
      <c r="S14" s="787">
        <v>6082.125</v>
      </c>
      <c r="T14" s="204"/>
      <c r="U14" s="204">
        <f t="shared" si="21"/>
        <v>380.03102441628477</v>
      </c>
      <c r="V14" s="204">
        <f t="shared" si="22"/>
        <v>0</v>
      </c>
      <c r="W14" s="204">
        <f t="shared" si="23"/>
        <v>0</v>
      </c>
      <c r="X14" s="204">
        <f t="shared" si="4"/>
        <v>380.03102441628477</v>
      </c>
      <c r="Y14" s="204">
        <f t="shared" si="5"/>
        <v>0</v>
      </c>
      <c r="Z14" s="204">
        <f t="shared" si="6"/>
        <v>380.03102441628477</v>
      </c>
      <c r="AA14" s="204">
        <f t="shared" si="24"/>
        <v>0</v>
      </c>
      <c r="AB14" s="204">
        <f t="shared" si="25"/>
        <v>1475.4084635307875</v>
      </c>
      <c r="AC14" s="204">
        <f t="shared" si="26"/>
        <v>0</v>
      </c>
      <c r="AD14" s="204">
        <f t="shared" si="27"/>
        <v>0</v>
      </c>
      <c r="AE14" s="204"/>
      <c r="AF14" s="204">
        <f t="shared" si="28"/>
        <v>0</v>
      </c>
      <c r="AG14" s="204">
        <f t="shared" si="7"/>
        <v>1475.4084635307875</v>
      </c>
      <c r="AH14" s="204">
        <f t="shared" si="8"/>
        <v>1095.3774391145027</v>
      </c>
      <c r="AI14" s="204">
        <f t="shared" si="9"/>
        <v>1095.3774391145027</v>
      </c>
      <c r="AJ14" s="204"/>
      <c r="AK14" s="204">
        <f t="shared" si="29"/>
        <v>0</v>
      </c>
      <c r="AL14" s="204">
        <f t="shared" ca="1" si="30"/>
        <v>0</v>
      </c>
      <c r="AM14" s="204">
        <f t="shared" si="10"/>
        <v>0</v>
      </c>
      <c r="AN14" s="204">
        <f t="shared" ca="1" si="40"/>
        <v>0</v>
      </c>
      <c r="AO14" s="204">
        <f t="shared" ca="1" si="31"/>
        <v>0</v>
      </c>
      <c r="AP14" s="204">
        <f t="shared" ca="1" si="11"/>
        <v>0</v>
      </c>
      <c r="AQ14" s="204">
        <f t="shared" ca="1" si="12"/>
        <v>1095.3774391145027</v>
      </c>
      <c r="AR14" s="204">
        <f t="shared" si="13"/>
        <v>0</v>
      </c>
      <c r="AS14" s="204">
        <f t="shared" si="32"/>
        <v>0</v>
      </c>
      <c r="AT14" s="204">
        <f t="shared" si="33"/>
        <v>0</v>
      </c>
      <c r="AU14" s="204">
        <f t="shared" si="34"/>
        <v>0</v>
      </c>
      <c r="AV14" s="204">
        <f t="shared" si="35"/>
        <v>0</v>
      </c>
      <c r="AW14" s="204">
        <f t="shared" si="14"/>
        <v>1095.3774391145027</v>
      </c>
      <c r="AX14" s="204">
        <f t="shared" ca="1" si="15"/>
        <v>7583.1588838547177</v>
      </c>
      <c r="AY14" s="204">
        <f t="shared" si="16"/>
        <v>0</v>
      </c>
      <c r="AZ14" s="204" t="str">
        <f t="shared" si="17"/>
        <v>N/A</v>
      </c>
      <c r="BA14" s="204">
        <f t="shared" si="36"/>
        <v>0</v>
      </c>
      <c r="BB14" s="204">
        <f t="shared" si="37"/>
        <v>0</v>
      </c>
      <c r="BC14" s="204" t="str">
        <f t="shared" si="18"/>
        <v xml:space="preserve"> </v>
      </c>
      <c r="BD14" s="204" t="str">
        <f t="shared" si="19"/>
        <v>,0</v>
      </c>
      <c r="BE14" s="204">
        <f t="shared" si="38"/>
        <v>1095.3774391145027</v>
      </c>
      <c r="BF14" s="204">
        <f t="shared" si="39"/>
        <v>1095.3774391145027</v>
      </c>
      <c r="BG14">
        <v>72208</v>
      </c>
      <c r="BH14">
        <v>74100</v>
      </c>
      <c r="BI14">
        <v>76000</v>
      </c>
    </row>
    <row r="15" spans="1:71" ht="12.75" customHeight="1">
      <c r="A15" s="12"/>
      <c r="B15" s="8" t="str">
        <f>Language!C664</f>
        <v>Taxa de juros da dívida</v>
      </c>
      <c r="C15" s="21" t="str">
        <f>C46</f>
        <v>%</v>
      </c>
      <c r="D15" s="425"/>
      <c r="E15" s="1"/>
      <c r="F15" s="447"/>
      <c r="G15" s="526"/>
      <c r="H15" s="526"/>
      <c r="I15" s="8"/>
      <c r="J15" s="8"/>
      <c r="K15" s="9"/>
      <c r="L15" s="1"/>
      <c r="M15" s="93">
        <v>9</v>
      </c>
      <c r="N15" s="125">
        <f t="shared" si="2"/>
        <v>1142.9928469232457</v>
      </c>
      <c r="O15" s="125">
        <f t="shared" si="3"/>
        <v>1142.9928469232457</v>
      </c>
      <c r="P15" s="199">
        <f t="shared" ca="1" si="20"/>
        <v>2644.0267307779636</v>
      </c>
      <c r="Q15" s="1"/>
      <c r="S15" s="204"/>
      <c r="T15" s="204"/>
      <c r="U15" s="204">
        <f t="shared" si="21"/>
        <v>391.43195514877334</v>
      </c>
      <c r="V15" s="204">
        <f t="shared" si="22"/>
        <v>0</v>
      </c>
      <c r="W15" s="204">
        <f t="shared" si="23"/>
        <v>0</v>
      </c>
      <c r="X15" s="204">
        <f t="shared" si="4"/>
        <v>391.43195514877334</v>
      </c>
      <c r="Y15" s="204">
        <f t="shared" si="5"/>
        <v>0</v>
      </c>
      <c r="Z15" s="204">
        <f t="shared" si="6"/>
        <v>391.43195514877334</v>
      </c>
      <c r="AA15" s="204">
        <f t="shared" si="24"/>
        <v>0</v>
      </c>
      <c r="AB15" s="204">
        <f t="shared" si="25"/>
        <v>1534.424802072019</v>
      </c>
      <c r="AC15" s="204">
        <f t="shared" si="26"/>
        <v>0</v>
      </c>
      <c r="AD15" s="204">
        <f t="shared" si="27"/>
        <v>0</v>
      </c>
      <c r="AE15" s="204"/>
      <c r="AF15" s="204">
        <f t="shared" si="28"/>
        <v>0</v>
      </c>
      <c r="AG15" s="204">
        <f t="shared" si="7"/>
        <v>1534.424802072019</v>
      </c>
      <c r="AH15" s="204">
        <f t="shared" si="8"/>
        <v>1142.9928469232457</v>
      </c>
      <c r="AI15" s="204">
        <f t="shared" si="9"/>
        <v>1142.9928469232457</v>
      </c>
      <c r="AJ15" s="204"/>
      <c r="AK15" s="204">
        <f t="shared" si="29"/>
        <v>0</v>
      </c>
      <c r="AL15" s="204">
        <f t="shared" ca="1" si="30"/>
        <v>0</v>
      </c>
      <c r="AM15" s="204">
        <f t="shared" si="10"/>
        <v>0</v>
      </c>
      <c r="AN15" s="204">
        <f t="shared" ca="1" si="40"/>
        <v>0</v>
      </c>
      <c r="AO15" s="204">
        <f t="shared" ca="1" si="31"/>
        <v>0</v>
      </c>
      <c r="AP15" s="204">
        <f t="shared" ca="1" si="11"/>
        <v>0</v>
      </c>
      <c r="AQ15" s="204">
        <f t="shared" ca="1" si="12"/>
        <v>1142.9928469232457</v>
      </c>
      <c r="AR15" s="204">
        <f t="shared" si="13"/>
        <v>0</v>
      </c>
      <c r="AS15" s="204">
        <f t="shared" si="32"/>
        <v>0</v>
      </c>
      <c r="AT15" s="204">
        <f t="shared" si="33"/>
        <v>0</v>
      </c>
      <c r="AU15" s="204">
        <f t="shared" si="34"/>
        <v>0</v>
      </c>
      <c r="AV15" s="204">
        <f t="shared" si="35"/>
        <v>0</v>
      </c>
      <c r="AW15" s="204">
        <f t="shared" si="14"/>
        <v>1142.9928469232457</v>
      </c>
      <c r="AX15" s="204">
        <f t="shared" ca="1" si="15"/>
        <v>8726.1517307779632</v>
      </c>
      <c r="AY15" s="204">
        <f t="shared" si="16"/>
        <v>0</v>
      </c>
      <c r="AZ15" s="204" t="str">
        <f t="shared" si="17"/>
        <v>N/A</v>
      </c>
      <c r="BA15" s="204">
        <f t="shared" si="36"/>
        <v>0</v>
      </c>
      <c r="BB15" s="204">
        <f t="shared" si="37"/>
        <v>0</v>
      </c>
      <c r="BC15" s="204" t="str">
        <f t="shared" si="18"/>
        <v xml:space="preserve"> </v>
      </c>
      <c r="BD15" s="204" t="str">
        <f t="shared" si="19"/>
        <v>,0</v>
      </c>
      <c r="BE15" s="204">
        <f t="shared" si="38"/>
        <v>1142.9928469232457</v>
      </c>
      <c r="BF15" s="204">
        <f t="shared" si="39"/>
        <v>1142.9928469232457</v>
      </c>
      <c r="BG15">
        <v>72210</v>
      </c>
      <c r="BH15">
        <v>74000</v>
      </c>
      <c r="BI15">
        <v>76000</v>
      </c>
    </row>
    <row r="16" spans="1:71" ht="12.75" customHeight="1">
      <c r="A16" s="12"/>
      <c r="B16" s="8" t="str">
        <f>Language!C665</f>
        <v>Duração da dívida</v>
      </c>
      <c r="C16" s="21" t="str">
        <f>C67</f>
        <v>ano</v>
      </c>
      <c r="D16" s="299"/>
      <c r="E16" s="1"/>
      <c r="F16" s="1165" t="str">
        <f>B11</f>
        <v>Incentivos e subsídios</v>
      </c>
      <c r="G16" s="1166"/>
      <c r="H16" s="1166"/>
      <c r="I16" s="8"/>
      <c r="J16" s="21" t="str">
        <f>J8</f>
        <v>€</v>
      </c>
      <c r="K16" s="199">
        <f>U65</f>
        <v>0</v>
      </c>
      <c r="L16" s="1"/>
      <c r="M16" s="93">
        <v>10</v>
      </c>
      <c r="N16" s="125">
        <f t="shared" ca="1" si="2"/>
        <v>-850.83997182792837</v>
      </c>
      <c r="O16" s="125">
        <f t="shared" ca="1" si="3"/>
        <v>-850.83997182792837</v>
      </c>
      <c r="P16" s="199">
        <f t="shared" ca="1" si="20"/>
        <v>1793.1867589500353</v>
      </c>
      <c r="Q16" s="1"/>
      <c r="S16" s="787">
        <v>0</v>
      </c>
      <c r="T16" s="204"/>
      <c r="U16" s="204">
        <f t="shared" si="21"/>
        <v>403.17491380323651</v>
      </c>
      <c r="V16" s="204">
        <f t="shared" si="22"/>
        <v>0</v>
      </c>
      <c r="W16" s="204">
        <f t="shared" si="23"/>
        <v>0</v>
      </c>
      <c r="X16" s="204">
        <f t="shared" ca="1" si="4"/>
        <v>2446.641765982828</v>
      </c>
      <c r="Y16" s="204">
        <f t="shared" si="5"/>
        <v>0</v>
      </c>
      <c r="Z16" s="204">
        <f t="shared" ca="1" si="6"/>
        <v>2446.641765982828</v>
      </c>
      <c r="AA16" s="204">
        <f t="shared" si="24"/>
        <v>0</v>
      </c>
      <c r="AB16" s="204">
        <f t="shared" si="25"/>
        <v>1595.8017941548997</v>
      </c>
      <c r="AC16" s="204">
        <f t="shared" si="26"/>
        <v>0</v>
      </c>
      <c r="AD16" s="204">
        <f t="shared" si="27"/>
        <v>0</v>
      </c>
      <c r="AE16" s="204"/>
      <c r="AF16" s="204">
        <f t="shared" si="28"/>
        <v>0</v>
      </c>
      <c r="AG16" s="204">
        <f t="shared" si="7"/>
        <v>1595.8017941548997</v>
      </c>
      <c r="AH16" s="204">
        <f t="shared" ca="1" si="8"/>
        <v>-850.83997182792837</v>
      </c>
      <c r="AI16" s="204">
        <f t="shared" ca="1" si="9"/>
        <v>-850.83997182792837</v>
      </c>
      <c r="AJ16" s="204"/>
      <c r="AK16" s="204">
        <f t="shared" si="29"/>
        <v>0</v>
      </c>
      <c r="AL16" s="204">
        <f t="shared" ca="1" si="30"/>
        <v>0</v>
      </c>
      <c r="AM16" s="204">
        <f t="shared" si="10"/>
        <v>0</v>
      </c>
      <c r="AN16" s="204">
        <f t="shared" ca="1" si="40"/>
        <v>0</v>
      </c>
      <c r="AO16" s="204">
        <f t="shared" ca="1" si="31"/>
        <v>0</v>
      </c>
      <c r="AP16" s="204">
        <f t="shared" ca="1" si="11"/>
        <v>0</v>
      </c>
      <c r="AQ16" s="204">
        <f t="shared" ca="1" si="12"/>
        <v>-850.83997182792837</v>
      </c>
      <c r="AR16" s="204">
        <f t="shared" si="13"/>
        <v>0</v>
      </c>
      <c r="AS16" s="204">
        <f t="shared" si="32"/>
        <v>0</v>
      </c>
      <c r="AT16" s="204">
        <f t="shared" si="33"/>
        <v>0</v>
      </c>
      <c r="AU16" s="204">
        <f t="shared" si="34"/>
        <v>0</v>
      </c>
      <c r="AV16" s="204">
        <f t="shared" si="35"/>
        <v>0</v>
      </c>
      <c r="AW16" s="204">
        <f t="shared" ca="1" si="14"/>
        <v>-850.83997182792837</v>
      </c>
      <c r="AX16" s="204">
        <f t="shared" ca="1" si="15"/>
        <v>7875.3117589500353</v>
      </c>
      <c r="AY16" s="204">
        <f t="shared" si="16"/>
        <v>0</v>
      </c>
      <c r="AZ16" s="204" t="str">
        <f t="shared" si="17"/>
        <v>N/A</v>
      </c>
      <c r="BA16" s="204">
        <f t="shared" ca="1" si="36"/>
        <v>2043.4668521795916</v>
      </c>
      <c r="BB16" s="204">
        <f t="shared" si="37"/>
        <v>0</v>
      </c>
      <c r="BC16" s="204" t="str">
        <f t="shared" si="18"/>
        <v xml:space="preserve"> </v>
      </c>
      <c r="BD16" s="204" t="str">
        <f t="shared" si="19"/>
        <v>,0</v>
      </c>
      <c r="BE16" s="204">
        <f t="shared" ca="1" si="38"/>
        <v>-850.83997182792837</v>
      </c>
      <c r="BF16" s="204">
        <f t="shared" ca="1" si="39"/>
        <v>-850.83997182792837</v>
      </c>
      <c r="BG16">
        <v>72212</v>
      </c>
      <c r="BH16">
        <v>74200</v>
      </c>
      <c r="BI16">
        <v>76000</v>
      </c>
    </row>
    <row r="17" spans="1:61" ht="12.75" customHeight="1">
      <c r="A17" s="12"/>
      <c r="B17" s="8" t="str">
        <f>Language!C702</f>
        <v>Pagamento da dívida</v>
      </c>
      <c r="C17" s="21" t="str">
        <f>Currency&amp;Language!C1305</f>
        <v>€/an</v>
      </c>
      <c r="D17" s="758">
        <f>IF(AND(Debt_ratio=0,Debt_term=0),0,-PMT(Debt_IR,Debt_term,Debt_con))</f>
        <v>0</v>
      </c>
      <c r="E17" s="1"/>
      <c r="F17" s="447"/>
      <c r="G17" s="526"/>
      <c r="H17" s="526"/>
      <c r="I17" s="8"/>
      <c r="J17" s="8"/>
      <c r="K17" s="9"/>
      <c r="L17" s="1"/>
      <c r="M17" s="93">
        <v>11</v>
      </c>
      <c r="N17" s="125">
        <f t="shared" si="2"/>
        <v>1244.3637047037619</v>
      </c>
      <c r="O17" s="125">
        <f t="shared" si="3"/>
        <v>1244.3637047037619</v>
      </c>
      <c r="P17" s="199">
        <f t="shared" ca="1" si="20"/>
        <v>3037.5504636537971</v>
      </c>
      <c r="Q17" s="1"/>
      <c r="S17" s="204"/>
      <c r="T17" s="204"/>
      <c r="U17" s="204">
        <f t="shared" si="21"/>
        <v>415.27016121733362</v>
      </c>
      <c r="V17" s="204">
        <f t="shared" si="22"/>
        <v>0</v>
      </c>
      <c r="W17" s="204">
        <f t="shared" si="23"/>
        <v>0</v>
      </c>
      <c r="X17" s="204">
        <f t="shared" si="4"/>
        <v>415.27016121733362</v>
      </c>
      <c r="Y17" s="204">
        <f t="shared" si="5"/>
        <v>0</v>
      </c>
      <c r="Z17" s="204">
        <f t="shared" si="6"/>
        <v>415.27016121733362</v>
      </c>
      <c r="AA17" s="204">
        <f t="shared" si="24"/>
        <v>0</v>
      </c>
      <c r="AB17" s="204">
        <f t="shared" si="25"/>
        <v>1659.6338659210955</v>
      </c>
      <c r="AC17" s="204">
        <f t="shared" si="26"/>
        <v>0</v>
      </c>
      <c r="AD17" s="204">
        <f t="shared" si="27"/>
        <v>0</v>
      </c>
      <c r="AE17" s="204"/>
      <c r="AF17" s="204">
        <f t="shared" si="28"/>
        <v>0</v>
      </c>
      <c r="AG17" s="204">
        <f t="shared" si="7"/>
        <v>1659.6338659210955</v>
      </c>
      <c r="AH17" s="204">
        <f t="shared" si="8"/>
        <v>1244.3637047037619</v>
      </c>
      <c r="AI17" s="204">
        <f t="shared" si="9"/>
        <v>1244.3637047037619</v>
      </c>
      <c r="AJ17" s="204"/>
      <c r="AK17" s="204">
        <f t="shared" si="29"/>
        <v>0</v>
      </c>
      <c r="AL17" s="204">
        <f t="shared" ca="1" si="30"/>
        <v>0</v>
      </c>
      <c r="AM17" s="204">
        <f t="shared" si="10"/>
        <v>0</v>
      </c>
      <c r="AN17" s="204">
        <f t="shared" ca="1" si="40"/>
        <v>0</v>
      </c>
      <c r="AO17" s="204">
        <f t="shared" ca="1" si="31"/>
        <v>0</v>
      </c>
      <c r="AP17" s="204">
        <f t="shared" ca="1" si="11"/>
        <v>0</v>
      </c>
      <c r="AQ17" s="204">
        <f t="shared" ca="1" si="12"/>
        <v>1244.3637047037619</v>
      </c>
      <c r="AR17" s="204">
        <f t="shared" si="13"/>
        <v>0</v>
      </c>
      <c r="AS17" s="204">
        <f t="shared" si="32"/>
        <v>0</v>
      </c>
      <c r="AT17" s="204">
        <f t="shared" si="33"/>
        <v>0</v>
      </c>
      <c r="AU17" s="204">
        <f t="shared" si="34"/>
        <v>0</v>
      </c>
      <c r="AV17" s="204">
        <f t="shared" si="35"/>
        <v>0</v>
      </c>
      <c r="AW17" s="204">
        <f t="shared" si="14"/>
        <v>1244.3637047037619</v>
      </c>
      <c r="AX17" s="204">
        <f t="shared" ca="1" si="15"/>
        <v>9119.6754636537971</v>
      </c>
      <c r="AY17" s="204">
        <f t="shared" si="16"/>
        <v>0</v>
      </c>
      <c r="AZ17" s="204" t="str">
        <f t="shared" si="17"/>
        <v>N/A</v>
      </c>
      <c r="BA17" s="204">
        <f t="shared" si="36"/>
        <v>0</v>
      </c>
      <c r="BB17" s="204">
        <f t="shared" si="37"/>
        <v>0</v>
      </c>
      <c r="BC17" s="204" t="str">
        <f t="shared" si="18"/>
        <v xml:space="preserve"> </v>
      </c>
      <c r="BD17" s="204" t="str">
        <f t="shared" si="19"/>
        <v>,0</v>
      </c>
      <c r="BE17" s="204">
        <f t="shared" si="38"/>
        <v>1244.3637047037619</v>
      </c>
      <c r="BF17" s="204">
        <f t="shared" si="39"/>
        <v>1244.3637047037619</v>
      </c>
      <c r="BG17">
        <v>72214</v>
      </c>
      <c r="BH17">
        <v>74000</v>
      </c>
      <c r="BI17">
        <v>76000</v>
      </c>
    </row>
    <row r="18" spans="1:61" ht="12.75" customHeight="1">
      <c r="A18" s="12"/>
      <c r="B18" s="8"/>
      <c r="C18" s="8"/>
      <c r="D18" s="9"/>
      <c r="E18" s="1"/>
      <c r="F18" s="1170" t="str">
        <f>Language!C686</f>
        <v>Pagamento anual de custos e empréstimos</v>
      </c>
      <c r="G18" s="1171"/>
      <c r="H18" s="1171"/>
      <c r="I18" s="1171"/>
      <c r="J18" s="8"/>
      <c r="K18" s="9"/>
      <c r="L18" s="1"/>
      <c r="M18" s="93">
        <v>12</v>
      </c>
      <c r="N18" s="125">
        <f t="shared" si="2"/>
        <v>1298.2909545040864</v>
      </c>
      <c r="O18" s="125">
        <f t="shared" si="3"/>
        <v>1298.2909545040864</v>
      </c>
      <c r="P18" s="199">
        <f t="shared" ca="1" si="20"/>
        <v>4335.8414181578837</v>
      </c>
      <c r="Q18" s="1"/>
      <c r="S18" s="204"/>
      <c r="T18" s="204"/>
      <c r="U18" s="204">
        <f t="shared" si="21"/>
        <v>427.72826605385359</v>
      </c>
      <c r="V18" s="204">
        <f t="shared" si="22"/>
        <v>0</v>
      </c>
      <c r="W18" s="204">
        <f t="shared" si="23"/>
        <v>0</v>
      </c>
      <c r="X18" s="204">
        <f t="shared" si="4"/>
        <v>427.72826605385359</v>
      </c>
      <c r="Y18" s="204">
        <f t="shared" si="5"/>
        <v>0</v>
      </c>
      <c r="Z18" s="204">
        <f t="shared" si="6"/>
        <v>427.72826605385359</v>
      </c>
      <c r="AA18" s="204">
        <f t="shared" si="24"/>
        <v>0</v>
      </c>
      <c r="AB18" s="204">
        <f t="shared" si="25"/>
        <v>1726.0192205579399</v>
      </c>
      <c r="AC18" s="204">
        <f t="shared" si="26"/>
        <v>0</v>
      </c>
      <c r="AD18" s="204">
        <f t="shared" si="27"/>
        <v>0</v>
      </c>
      <c r="AE18" s="204"/>
      <c r="AF18" s="204">
        <f t="shared" si="28"/>
        <v>0</v>
      </c>
      <c r="AG18" s="204">
        <f t="shared" si="7"/>
        <v>1726.0192205579399</v>
      </c>
      <c r="AH18" s="204">
        <f t="shared" si="8"/>
        <v>1298.2909545040864</v>
      </c>
      <c r="AI18" s="204">
        <f t="shared" si="9"/>
        <v>1298.2909545040864</v>
      </c>
      <c r="AJ18" s="204"/>
      <c r="AK18" s="204">
        <f t="shared" si="29"/>
        <v>0</v>
      </c>
      <c r="AL18" s="204">
        <f t="shared" ca="1" si="30"/>
        <v>0</v>
      </c>
      <c r="AM18" s="204">
        <f t="shared" si="10"/>
        <v>0</v>
      </c>
      <c r="AN18" s="204">
        <f t="shared" ca="1" si="40"/>
        <v>0</v>
      </c>
      <c r="AO18" s="204">
        <f t="shared" ca="1" si="31"/>
        <v>0</v>
      </c>
      <c r="AP18" s="204">
        <f t="shared" ca="1" si="11"/>
        <v>0</v>
      </c>
      <c r="AQ18" s="204">
        <f t="shared" ca="1" si="12"/>
        <v>1298.2909545040864</v>
      </c>
      <c r="AR18" s="204">
        <f t="shared" si="13"/>
        <v>0</v>
      </c>
      <c r="AS18" s="204">
        <f t="shared" si="32"/>
        <v>0</v>
      </c>
      <c r="AT18" s="204">
        <f t="shared" si="33"/>
        <v>0</v>
      </c>
      <c r="AU18" s="204">
        <f t="shared" si="34"/>
        <v>0</v>
      </c>
      <c r="AV18" s="204">
        <f t="shared" si="35"/>
        <v>0</v>
      </c>
      <c r="AW18" s="204">
        <f t="shared" si="14"/>
        <v>1298.2909545040864</v>
      </c>
      <c r="AX18" s="204">
        <f t="shared" ca="1" si="15"/>
        <v>10417.966418157885</v>
      </c>
      <c r="AY18" s="204">
        <f t="shared" si="16"/>
        <v>0</v>
      </c>
      <c r="AZ18" s="204" t="str">
        <f t="shared" si="17"/>
        <v>N/A</v>
      </c>
      <c r="BA18" s="204">
        <f t="shared" si="36"/>
        <v>0</v>
      </c>
      <c r="BB18" s="204">
        <f t="shared" si="37"/>
        <v>0</v>
      </c>
      <c r="BC18" s="204" t="str">
        <f t="shared" si="18"/>
        <v xml:space="preserve"> </v>
      </c>
      <c r="BD18" s="204" t="str">
        <f t="shared" si="19"/>
        <v>,0</v>
      </c>
      <c r="BE18" s="204">
        <f t="shared" si="38"/>
        <v>1298.2909545040864</v>
      </c>
      <c r="BF18" s="204">
        <f t="shared" si="39"/>
        <v>1298.2909545040864</v>
      </c>
      <c r="BG18">
        <v>72200</v>
      </c>
      <c r="BH18">
        <v>74300</v>
      </c>
      <c r="BI18">
        <v>76000</v>
      </c>
    </row>
    <row r="19" spans="1:61" ht="12.75" customHeight="1">
      <c r="A19" s="14"/>
      <c r="B19" s="15"/>
      <c r="C19" s="15"/>
      <c r="D19" s="11"/>
      <c r="E19" s="1"/>
      <c r="F19" s="447"/>
      <c r="G19" s="1166" t="str">
        <f>Language!C564</f>
        <v>O&amp;M</v>
      </c>
      <c r="H19" s="1166"/>
      <c r="I19" s="1166"/>
      <c r="J19" s="21" t="str">
        <f>Currency</f>
        <v>€</v>
      </c>
      <c r="K19" s="199">
        <f>IF(U58=2,'Análise de Custos'!G213,IF(V58=0,'Modelo Energético'!D1013+'Modelo Energético'!D1009,'Modelo Energético '!Q993))*(1+VarTab02)</f>
        <v>300</v>
      </c>
      <c r="L19" s="1"/>
      <c r="M19" s="93">
        <v>13</v>
      </c>
      <c r="N19" s="125">
        <f t="shared" si="2"/>
        <v>1354.4998753447885</v>
      </c>
      <c r="O19" s="125">
        <f t="shared" si="3"/>
        <v>1354.4998753447885</v>
      </c>
      <c r="P19" s="199">
        <f t="shared" ca="1" si="20"/>
        <v>5690.3412935026718</v>
      </c>
      <c r="Q19" s="1"/>
      <c r="S19" s="787">
        <v>300</v>
      </c>
      <c r="T19" s="204"/>
      <c r="U19" s="204">
        <f t="shared" si="21"/>
        <v>440.56011403546916</v>
      </c>
      <c r="V19" s="204">
        <f t="shared" si="22"/>
        <v>0</v>
      </c>
      <c r="W19" s="204">
        <f t="shared" si="23"/>
        <v>0</v>
      </c>
      <c r="X19" s="204">
        <f t="shared" si="4"/>
        <v>440.56011403546916</v>
      </c>
      <c r="Y19" s="204">
        <f t="shared" si="5"/>
        <v>0</v>
      </c>
      <c r="Z19" s="204">
        <f t="shared" si="6"/>
        <v>440.56011403546916</v>
      </c>
      <c r="AA19" s="204">
        <f t="shared" si="24"/>
        <v>0</v>
      </c>
      <c r="AB19" s="204">
        <f t="shared" si="25"/>
        <v>1795.0599893802575</v>
      </c>
      <c r="AC19" s="204">
        <f t="shared" si="26"/>
        <v>0</v>
      </c>
      <c r="AD19" s="204">
        <f t="shared" si="27"/>
        <v>0</v>
      </c>
      <c r="AE19" s="204"/>
      <c r="AF19" s="204">
        <f t="shared" si="28"/>
        <v>0</v>
      </c>
      <c r="AG19" s="204">
        <f t="shared" si="7"/>
        <v>1795.0599893802575</v>
      </c>
      <c r="AH19" s="204">
        <f t="shared" si="8"/>
        <v>1354.4998753447885</v>
      </c>
      <c r="AI19" s="204">
        <f t="shared" si="9"/>
        <v>1354.4998753447885</v>
      </c>
      <c r="AJ19" s="204"/>
      <c r="AK19" s="204">
        <f t="shared" si="29"/>
        <v>0</v>
      </c>
      <c r="AL19" s="204">
        <f t="shared" ca="1" si="30"/>
        <v>0</v>
      </c>
      <c r="AM19" s="204">
        <f t="shared" si="10"/>
        <v>0</v>
      </c>
      <c r="AN19" s="204">
        <f t="shared" ca="1" si="40"/>
        <v>0</v>
      </c>
      <c r="AO19" s="204">
        <f t="shared" ca="1" si="31"/>
        <v>0</v>
      </c>
      <c r="AP19" s="204">
        <f t="shared" ca="1" si="11"/>
        <v>0</v>
      </c>
      <c r="AQ19" s="204">
        <f t="shared" ca="1" si="12"/>
        <v>1354.4998753447885</v>
      </c>
      <c r="AR19" s="204">
        <f t="shared" si="13"/>
        <v>0</v>
      </c>
      <c r="AS19" s="204">
        <f t="shared" si="32"/>
        <v>0</v>
      </c>
      <c r="AT19" s="204">
        <f t="shared" si="33"/>
        <v>0</v>
      </c>
      <c r="AU19" s="204">
        <f t="shared" si="34"/>
        <v>0</v>
      </c>
      <c r="AV19" s="204">
        <f t="shared" si="35"/>
        <v>0</v>
      </c>
      <c r="AW19" s="204">
        <f t="shared" si="14"/>
        <v>1354.4998753447885</v>
      </c>
      <c r="AX19" s="204">
        <f t="shared" ca="1" si="15"/>
        <v>11772.466293502672</v>
      </c>
      <c r="AY19" s="204">
        <f t="shared" si="16"/>
        <v>0</v>
      </c>
      <c r="AZ19" s="204" t="str">
        <f t="shared" si="17"/>
        <v>N/A</v>
      </c>
      <c r="BA19" s="204">
        <f t="shared" si="36"/>
        <v>0</v>
      </c>
      <c r="BB19" s="204">
        <f t="shared" si="37"/>
        <v>0</v>
      </c>
      <c r="BC19" s="204" t="str">
        <f t="shared" si="18"/>
        <v xml:space="preserve"> </v>
      </c>
      <c r="BD19" s="204" t="str">
        <f t="shared" si="19"/>
        <v>,0</v>
      </c>
      <c r="BE19" s="204">
        <f t="shared" si="38"/>
        <v>1354.4998753447885</v>
      </c>
      <c r="BF19" s="204">
        <f t="shared" si="39"/>
        <v>1354.4998753447885</v>
      </c>
      <c r="BG19">
        <v>72200</v>
      </c>
      <c r="BH19">
        <v>74302</v>
      </c>
      <c r="BI19">
        <v>76000</v>
      </c>
    </row>
    <row r="20" spans="1:61" ht="12.75" customHeight="1">
      <c r="A20" s="436" t="str">
        <f>Language!C673</f>
        <v>Análise do imposto de renda</v>
      </c>
      <c r="B20" s="8"/>
      <c r="C20" s="8"/>
      <c r="D20" s="1022" t="s">
        <v>4189</v>
      </c>
      <c r="E20" s="1"/>
      <c r="F20" s="447"/>
      <c r="G20" s="1166" t="str">
        <f>'Modelo Energético '!B998</f>
        <v>Custo combustível - caso proposto</v>
      </c>
      <c r="H20" s="1166"/>
      <c r="I20" s="1166"/>
      <c r="J20" s="21" t="str">
        <f>Currency</f>
        <v>€</v>
      </c>
      <c r="K20" s="199">
        <f>IF(U58=2,IF(OR(T1=8,T1=9),'Modelo Energético '!D998,'Modelo Energético'!H1173),IF(V58=0,'Modelo Energético'!H1173,'Modelo Energético '!D998))*(1+VarTab03)</f>
        <v>0</v>
      </c>
      <c r="L20" s="1"/>
      <c r="M20" s="93">
        <v>14</v>
      </c>
      <c r="N20" s="125">
        <f t="shared" si="2"/>
        <v>1413.0854714989343</v>
      </c>
      <c r="O20" s="125">
        <f t="shared" si="3"/>
        <v>1413.0854714989343</v>
      </c>
      <c r="P20" s="199">
        <f t="shared" ca="1" si="20"/>
        <v>7103.4267650016063</v>
      </c>
      <c r="Q20" s="1"/>
      <c r="S20" s="787">
        <v>0</v>
      </c>
      <c r="T20" s="204"/>
      <c r="U20" s="204">
        <f t="shared" si="21"/>
        <v>453.77691745653328</v>
      </c>
      <c r="V20" s="204">
        <f t="shared" si="22"/>
        <v>0</v>
      </c>
      <c r="W20" s="204">
        <f t="shared" si="23"/>
        <v>0</v>
      </c>
      <c r="X20" s="204">
        <f t="shared" si="4"/>
        <v>453.77691745653328</v>
      </c>
      <c r="Y20" s="204">
        <f t="shared" si="5"/>
        <v>0</v>
      </c>
      <c r="Z20" s="204">
        <f t="shared" si="6"/>
        <v>453.77691745653328</v>
      </c>
      <c r="AA20" s="204">
        <f t="shared" si="24"/>
        <v>0</v>
      </c>
      <c r="AB20" s="204">
        <f t="shared" si="25"/>
        <v>1866.8623889554676</v>
      </c>
      <c r="AC20" s="204">
        <f t="shared" si="26"/>
        <v>0</v>
      </c>
      <c r="AD20" s="204">
        <f t="shared" si="27"/>
        <v>0</v>
      </c>
      <c r="AE20" s="204"/>
      <c r="AF20" s="204">
        <f t="shared" si="28"/>
        <v>0</v>
      </c>
      <c r="AG20" s="204">
        <f t="shared" si="7"/>
        <v>1866.8623889554676</v>
      </c>
      <c r="AH20" s="204">
        <f t="shared" si="8"/>
        <v>1413.0854714989343</v>
      </c>
      <c r="AI20" s="204">
        <f t="shared" si="9"/>
        <v>1413.0854714989343</v>
      </c>
      <c r="AJ20" s="204"/>
      <c r="AK20" s="204">
        <f t="shared" si="29"/>
        <v>0</v>
      </c>
      <c r="AL20" s="204">
        <f t="shared" ca="1" si="30"/>
        <v>0</v>
      </c>
      <c r="AM20" s="204">
        <f t="shared" si="10"/>
        <v>0</v>
      </c>
      <c r="AN20" s="204">
        <f t="shared" ca="1" si="40"/>
        <v>0</v>
      </c>
      <c r="AO20" s="204">
        <f t="shared" ca="1" si="31"/>
        <v>0</v>
      </c>
      <c r="AP20" s="204">
        <f t="shared" ca="1" si="11"/>
        <v>0</v>
      </c>
      <c r="AQ20" s="204">
        <f t="shared" ca="1" si="12"/>
        <v>1413.0854714989343</v>
      </c>
      <c r="AR20" s="204">
        <f t="shared" si="13"/>
        <v>0</v>
      </c>
      <c r="AS20" s="204">
        <f t="shared" si="32"/>
        <v>0</v>
      </c>
      <c r="AT20" s="204">
        <f t="shared" si="33"/>
        <v>0</v>
      </c>
      <c r="AU20" s="204">
        <f t="shared" si="34"/>
        <v>0</v>
      </c>
      <c r="AV20" s="204">
        <f t="shared" si="35"/>
        <v>0</v>
      </c>
      <c r="AW20" s="204">
        <f t="shared" si="14"/>
        <v>1413.0854714989343</v>
      </c>
      <c r="AX20" s="204">
        <f t="shared" ca="1" si="15"/>
        <v>13185.551765001606</v>
      </c>
      <c r="AY20" s="204">
        <f t="shared" si="16"/>
        <v>0</v>
      </c>
      <c r="AZ20" s="204" t="str">
        <f t="shared" si="17"/>
        <v>N/A</v>
      </c>
      <c r="BA20" s="204">
        <f t="shared" si="36"/>
        <v>0</v>
      </c>
      <c r="BB20" s="204">
        <f t="shared" si="37"/>
        <v>0</v>
      </c>
      <c r="BC20" s="204" t="str">
        <f t="shared" si="18"/>
        <v xml:space="preserve"> </v>
      </c>
      <c r="BD20" s="204" t="str">
        <f t="shared" si="19"/>
        <v>,0</v>
      </c>
      <c r="BE20" s="204">
        <f t="shared" si="38"/>
        <v>1413.0854714989343</v>
      </c>
      <c r="BF20" s="204">
        <f t="shared" si="39"/>
        <v>1413.0854714989343</v>
      </c>
      <c r="BG20">
        <v>72300</v>
      </c>
      <c r="BH20">
        <v>74304</v>
      </c>
      <c r="BI20">
        <v>76000</v>
      </c>
    </row>
    <row r="21" spans="1:61" ht="12.75" customHeight="1">
      <c r="A21" s="12"/>
      <c r="B21" s="8" t="str">
        <f>Language!C674</f>
        <v>Custo efetivo- imposto de renda</v>
      </c>
      <c r="C21" s="21" t="str">
        <f>C46</f>
        <v>%</v>
      </c>
      <c r="D21" s="302"/>
      <c r="E21" s="1"/>
      <c r="F21" s="447"/>
      <c r="G21" s="1290" t="str">
        <f>Language!C702&amp;" - "&amp;AA68&amp;" "&amp;Language!C1421</f>
        <v>Pagamento da dívida - 0 anos</v>
      </c>
      <c r="H21" s="1290"/>
      <c r="I21" s="1290"/>
      <c r="J21" s="21" t="str">
        <f>Currency</f>
        <v>€</v>
      </c>
      <c r="K21" s="199">
        <f>Debt_pay</f>
        <v>0</v>
      </c>
      <c r="L21" s="1"/>
      <c r="M21" s="93">
        <v>15</v>
      </c>
      <c r="N21" s="125">
        <f t="shared" si="2"/>
        <v>1474.1466595334571</v>
      </c>
      <c r="O21" s="125">
        <f t="shared" si="3"/>
        <v>1474.1466595334571</v>
      </c>
      <c r="P21" s="199">
        <f t="shared" ca="1" si="20"/>
        <v>8577.5734245350632</v>
      </c>
      <c r="Q21" s="1"/>
      <c r="S21" s="787">
        <v>0</v>
      </c>
      <c r="T21" s="204"/>
      <c r="U21" s="204">
        <f t="shared" si="21"/>
        <v>467.39022498022933</v>
      </c>
      <c r="V21" s="204">
        <f t="shared" si="22"/>
        <v>0</v>
      </c>
      <c r="W21" s="204">
        <f t="shared" si="23"/>
        <v>0</v>
      </c>
      <c r="X21" s="204">
        <f t="shared" si="4"/>
        <v>467.39022498022933</v>
      </c>
      <c r="Y21" s="204">
        <f t="shared" si="5"/>
        <v>0</v>
      </c>
      <c r="Z21" s="204">
        <f t="shared" si="6"/>
        <v>467.39022498022933</v>
      </c>
      <c r="AA21" s="204">
        <f t="shared" si="24"/>
        <v>0</v>
      </c>
      <c r="AB21" s="204">
        <f t="shared" si="25"/>
        <v>1941.5368845136863</v>
      </c>
      <c r="AC21" s="204">
        <f t="shared" si="26"/>
        <v>0</v>
      </c>
      <c r="AD21" s="204">
        <f t="shared" si="27"/>
        <v>0</v>
      </c>
      <c r="AE21" s="204"/>
      <c r="AF21" s="204">
        <f t="shared" si="28"/>
        <v>0</v>
      </c>
      <c r="AG21" s="204">
        <f t="shared" si="7"/>
        <v>1941.5368845136863</v>
      </c>
      <c r="AH21" s="204">
        <f t="shared" si="8"/>
        <v>1474.1466595334571</v>
      </c>
      <c r="AI21" s="204">
        <f t="shared" si="9"/>
        <v>1474.1466595334571</v>
      </c>
      <c r="AJ21" s="204"/>
      <c r="AK21" s="204">
        <f t="shared" si="29"/>
        <v>0</v>
      </c>
      <c r="AL21" s="204">
        <f t="shared" ca="1" si="30"/>
        <v>0</v>
      </c>
      <c r="AM21" s="204">
        <f t="shared" si="10"/>
        <v>0</v>
      </c>
      <c r="AN21" s="204">
        <f t="shared" ca="1" si="40"/>
        <v>0</v>
      </c>
      <c r="AO21" s="204">
        <f t="shared" ca="1" si="31"/>
        <v>0</v>
      </c>
      <c r="AP21" s="204">
        <f t="shared" ca="1" si="11"/>
        <v>0</v>
      </c>
      <c r="AQ21" s="204">
        <f t="shared" ca="1" si="12"/>
        <v>1474.1466595334571</v>
      </c>
      <c r="AR21" s="204">
        <f t="shared" si="13"/>
        <v>0</v>
      </c>
      <c r="AS21" s="204">
        <f t="shared" si="32"/>
        <v>0</v>
      </c>
      <c r="AT21" s="204">
        <f t="shared" si="33"/>
        <v>0</v>
      </c>
      <c r="AU21" s="204">
        <f t="shared" si="34"/>
        <v>0</v>
      </c>
      <c r="AV21" s="204">
        <f t="shared" si="35"/>
        <v>0</v>
      </c>
      <c r="AW21" s="204">
        <f t="shared" si="14"/>
        <v>1474.1466595334571</v>
      </c>
      <c r="AX21" s="204">
        <f t="shared" ca="1" si="15"/>
        <v>14659.698424535063</v>
      </c>
      <c r="AY21" s="204">
        <f t="shared" si="16"/>
        <v>0</v>
      </c>
      <c r="AZ21" s="204" t="str">
        <f t="shared" si="17"/>
        <v>N/A</v>
      </c>
      <c r="BA21" s="204">
        <f t="shared" si="36"/>
        <v>0</v>
      </c>
      <c r="BB21" s="204">
        <f t="shared" si="37"/>
        <v>0</v>
      </c>
      <c r="BC21" s="204" t="str">
        <f t="shared" si="18"/>
        <v xml:space="preserve"> </v>
      </c>
      <c r="BD21" s="204" t="str">
        <f t="shared" si="19"/>
        <v>,0</v>
      </c>
      <c r="BE21" s="204">
        <f t="shared" si="38"/>
        <v>1474.1466595334571</v>
      </c>
      <c r="BF21" s="204">
        <f t="shared" si="39"/>
        <v>1474.1466595334571</v>
      </c>
      <c r="BG21">
        <v>72302</v>
      </c>
      <c r="BH21">
        <v>74306</v>
      </c>
      <c r="BI21">
        <v>76000</v>
      </c>
    </row>
    <row r="22" spans="1:61" ht="12.75" customHeight="1">
      <c r="A22" s="12"/>
      <c r="B22" s="8" t="str">
        <f>Language!C675</f>
        <v>Postergar prejuízo?</v>
      </c>
      <c r="C22" s="1291" t="s">
        <v>6132</v>
      </c>
      <c r="D22" s="1291"/>
      <c r="E22" s="1"/>
      <c r="F22" s="727"/>
      <c r="G22" s="1188" t="str">
        <f>Language!C576</f>
        <v>Total de custos anuais</v>
      </c>
      <c r="H22" s="1188"/>
      <c r="I22" s="1188"/>
      <c r="J22" s="16" t="str">
        <f>Currency</f>
        <v>€</v>
      </c>
      <c r="K22" s="206">
        <f>SUM(K19:K21)</f>
        <v>300</v>
      </c>
      <c r="L22" s="1"/>
      <c r="M22" s="93">
        <v>16</v>
      </c>
      <c r="N22" s="125">
        <f t="shared" si="2"/>
        <v>1537.7864281645982</v>
      </c>
      <c r="O22" s="125">
        <f t="shared" si="3"/>
        <v>1537.7864281645982</v>
      </c>
      <c r="P22" s="199">
        <f t="shared" ca="1" si="20"/>
        <v>10115.359852699661</v>
      </c>
      <c r="Q22" s="1"/>
      <c r="S22" s="787">
        <v>300</v>
      </c>
      <c r="T22" s="204"/>
      <c r="U22" s="204">
        <f t="shared" si="21"/>
        <v>481.41193172963614</v>
      </c>
      <c r="V22" s="204">
        <f t="shared" si="22"/>
        <v>0</v>
      </c>
      <c r="W22" s="204">
        <f t="shared" si="23"/>
        <v>0</v>
      </c>
      <c r="X22" s="204">
        <f t="shared" si="4"/>
        <v>481.41193172963614</v>
      </c>
      <c r="Y22" s="204">
        <f t="shared" si="5"/>
        <v>0</v>
      </c>
      <c r="Z22" s="204">
        <f t="shared" si="6"/>
        <v>481.41193172963614</v>
      </c>
      <c r="AA22" s="204">
        <f t="shared" si="24"/>
        <v>0</v>
      </c>
      <c r="AB22" s="204">
        <f t="shared" si="25"/>
        <v>2019.1983598942343</v>
      </c>
      <c r="AC22" s="204">
        <f t="shared" si="26"/>
        <v>0</v>
      </c>
      <c r="AD22" s="204">
        <f t="shared" si="27"/>
        <v>0</v>
      </c>
      <c r="AE22" s="204"/>
      <c r="AF22" s="204">
        <f t="shared" si="28"/>
        <v>0</v>
      </c>
      <c r="AG22" s="204">
        <f t="shared" si="7"/>
        <v>2019.1983598942343</v>
      </c>
      <c r="AH22" s="204">
        <f t="shared" si="8"/>
        <v>1537.7864281645982</v>
      </c>
      <c r="AI22" s="204">
        <f t="shared" si="9"/>
        <v>1537.7864281645982</v>
      </c>
      <c r="AJ22" s="204"/>
      <c r="AK22" s="204">
        <f t="shared" si="29"/>
        <v>0</v>
      </c>
      <c r="AL22" s="204">
        <f t="shared" ca="1" si="30"/>
        <v>0</v>
      </c>
      <c r="AM22" s="204">
        <f t="shared" si="10"/>
        <v>0</v>
      </c>
      <c r="AN22" s="204">
        <f t="shared" ca="1" si="40"/>
        <v>0</v>
      </c>
      <c r="AO22" s="204">
        <f t="shared" si="31"/>
        <v>0</v>
      </c>
      <c r="AP22" s="204">
        <f t="shared" ca="1" si="11"/>
        <v>0</v>
      </c>
      <c r="AQ22" s="204">
        <f t="shared" ca="1" si="12"/>
        <v>1537.7864281645982</v>
      </c>
      <c r="AR22" s="204">
        <f t="shared" si="13"/>
        <v>0</v>
      </c>
      <c r="AS22" s="204">
        <f t="shared" si="32"/>
        <v>0</v>
      </c>
      <c r="AT22" s="204">
        <f t="shared" si="33"/>
        <v>0</v>
      </c>
      <c r="AU22" s="204">
        <f t="shared" si="34"/>
        <v>0</v>
      </c>
      <c r="AV22" s="204">
        <f t="shared" si="35"/>
        <v>0</v>
      </c>
      <c r="AW22" s="204">
        <f t="shared" si="14"/>
        <v>1537.7864281645982</v>
      </c>
      <c r="AX22" s="204">
        <f t="shared" ca="1" si="15"/>
        <v>16197.484852699661</v>
      </c>
      <c r="AY22" s="204">
        <f t="shared" si="16"/>
        <v>0</v>
      </c>
      <c r="AZ22" s="204" t="str">
        <f t="shared" si="17"/>
        <v>N/A</v>
      </c>
      <c r="BA22" s="204">
        <f t="shared" si="36"/>
        <v>0</v>
      </c>
      <c r="BB22" s="204">
        <f t="shared" si="37"/>
        <v>0</v>
      </c>
      <c r="BC22" s="204" t="str">
        <f t="shared" si="18"/>
        <v xml:space="preserve"> </v>
      </c>
      <c r="BD22" s="204" t="str">
        <f t="shared" si="19"/>
        <v>,0</v>
      </c>
      <c r="BE22" s="204">
        <f t="shared" si="38"/>
        <v>1537.7864281645982</v>
      </c>
      <c r="BF22" s="204">
        <f t="shared" si="39"/>
        <v>1537.7864281645982</v>
      </c>
      <c r="BG22">
        <v>72304</v>
      </c>
      <c r="BH22">
        <v>74300</v>
      </c>
      <c r="BI22">
        <v>76000</v>
      </c>
    </row>
    <row r="23" spans="1:61" ht="12.75" customHeight="1">
      <c r="A23" s="12"/>
      <c r="B23" s="8" t="str">
        <f>Language!C676</f>
        <v>Método de depreciação</v>
      </c>
      <c r="C23" s="1293" t="s">
        <v>6176</v>
      </c>
      <c r="D23" s="1294"/>
      <c r="E23" s="1"/>
      <c r="F23" s="447"/>
      <c r="G23" s="526"/>
      <c r="H23" s="526"/>
      <c r="I23" s="8"/>
      <c r="J23" s="8"/>
      <c r="K23" s="199"/>
      <c r="L23" s="1"/>
      <c r="M23" s="93">
        <v>17</v>
      </c>
      <c r="N23" s="125">
        <f t="shared" si="2"/>
        <v>1604.1120046084784</v>
      </c>
      <c r="O23" s="125">
        <f t="shared" si="3"/>
        <v>1604.1120046084784</v>
      </c>
      <c r="P23" s="199">
        <f t="shared" ca="1" si="20"/>
        <v>11719.471857308139</v>
      </c>
      <c r="Q23" s="1"/>
      <c r="S23" s="204"/>
      <c r="T23" s="204"/>
      <c r="U23" s="204">
        <f t="shared" si="21"/>
        <v>495.85428968152519</v>
      </c>
      <c r="V23" s="204">
        <f t="shared" si="22"/>
        <v>0</v>
      </c>
      <c r="W23" s="204">
        <f t="shared" si="23"/>
        <v>0</v>
      </c>
      <c r="X23" s="204">
        <f t="shared" si="4"/>
        <v>495.85428968152519</v>
      </c>
      <c r="Y23" s="204">
        <f t="shared" si="5"/>
        <v>0</v>
      </c>
      <c r="Z23" s="204">
        <f t="shared" si="6"/>
        <v>495.85428968152519</v>
      </c>
      <c r="AA23" s="204">
        <f t="shared" si="24"/>
        <v>0</v>
      </c>
      <c r="AB23" s="204">
        <f t="shared" si="25"/>
        <v>2099.9662942900036</v>
      </c>
      <c r="AC23" s="204">
        <f t="shared" si="26"/>
        <v>0</v>
      </c>
      <c r="AD23" s="204">
        <f t="shared" si="27"/>
        <v>0</v>
      </c>
      <c r="AE23" s="204"/>
      <c r="AF23" s="204">
        <f t="shared" si="28"/>
        <v>0</v>
      </c>
      <c r="AG23" s="204">
        <f t="shared" si="7"/>
        <v>2099.9662942900036</v>
      </c>
      <c r="AH23" s="204">
        <f t="shared" si="8"/>
        <v>1604.1120046084784</v>
      </c>
      <c r="AI23" s="204">
        <f t="shared" si="9"/>
        <v>1604.1120046084784</v>
      </c>
      <c r="AJ23" s="204"/>
      <c r="AK23" s="204">
        <f t="shared" si="29"/>
        <v>0</v>
      </c>
      <c r="AL23" s="204">
        <f t="shared" ca="1" si="30"/>
        <v>0</v>
      </c>
      <c r="AM23" s="204">
        <f t="shared" si="10"/>
        <v>0</v>
      </c>
      <c r="AN23" s="204">
        <f t="shared" ca="1" si="40"/>
        <v>0</v>
      </c>
      <c r="AO23" s="204">
        <f t="shared" si="31"/>
        <v>0</v>
      </c>
      <c r="AP23" s="204">
        <f t="shared" ca="1" si="11"/>
        <v>0</v>
      </c>
      <c r="AQ23" s="204">
        <f t="shared" ca="1" si="12"/>
        <v>1604.1120046084784</v>
      </c>
      <c r="AR23" s="204">
        <f t="shared" si="13"/>
        <v>0</v>
      </c>
      <c r="AS23" s="204">
        <f t="shared" si="32"/>
        <v>0</v>
      </c>
      <c r="AT23" s="204">
        <f t="shared" si="33"/>
        <v>0</v>
      </c>
      <c r="AU23" s="204">
        <f t="shared" si="34"/>
        <v>0</v>
      </c>
      <c r="AV23" s="204">
        <f t="shared" si="35"/>
        <v>0</v>
      </c>
      <c r="AW23" s="204">
        <f t="shared" si="14"/>
        <v>1604.1120046084784</v>
      </c>
      <c r="AX23" s="204">
        <f t="shared" ca="1" si="15"/>
        <v>17801.596857308141</v>
      </c>
      <c r="AY23" s="204">
        <f t="shared" si="16"/>
        <v>0</v>
      </c>
      <c r="AZ23" s="204" t="str">
        <f t="shared" si="17"/>
        <v>N/A</v>
      </c>
      <c r="BA23" s="204">
        <f t="shared" si="36"/>
        <v>0</v>
      </c>
      <c r="BB23" s="204">
        <f t="shared" si="37"/>
        <v>0</v>
      </c>
      <c r="BC23" s="204" t="str">
        <f t="shared" si="18"/>
        <v xml:space="preserve"> </v>
      </c>
      <c r="BD23" s="204" t="str">
        <f t="shared" si="19"/>
        <v>,0</v>
      </c>
      <c r="BE23" s="204">
        <f t="shared" si="38"/>
        <v>1604.1120046084784</v>
      </c>
      <c r="BF23" s="204">
        <f t="shared" si="39"/>
        <v>1604.1120046084784</v>
      </c>
      <c r="BG23">
        <v>72306</v>
      </c>
      <c r="BH23">
        <v>74000</v>
      </c>
      <c r="BI23">
        <v>76000</v>
      </c>
    </row>
    <row r="24" spans="1:61" ht="12.75" customHeight="1">
      <c r="A24" s="12"/>
      <c r="B24" s="8" t="str">
        <f>Language!C1714</f>
        <v>Regra semi-anual - ano 1</v>
      </c>
      <c r="C24" s="21" t="str">
        <f>C28</f>
        <v>sim/não</v>
      </c>
      <c r="D24" s="305" t="s">
        <v>6131</v>
      </c>
      <c r="E24" s="1"/>
      <c r="F24" s="1170" t="str">
        <f>Language!C577</f>
        <v>Custos periódicos(créditos)</v>
      </c>
      <c r="G24" s="1171"/>
      <c r="H24" s="1171"/>
      <c r="I24" s="1171"/>
      <c r="J24" s="8"/>
      <c r="K24" s="9"/>
      <c r="L24" s="1"/>
      <c r="M24" s="93">
        <v>18</v>
      </c>
      <c r="N24" s="125">
        <f t="shared" si="2"/>
        <v>1673.2350276896327</v>
      </c>
      <c r="O24" s="125">
        <f t="shared" si="3"/>
        <v>1673.2350276896327</v>
      </c>
      <c r="P24" s="199">
        <f t="shared" ca="1" si="20"/>
        <v>13392.706884997771</v>
      </c>
      <c r="Q24" s="1"/>
      <c r="S24" s="204"/>
      <c r="T24" s="204"/>
      <c r="U24" s="204">
        <f t="shared" si="21"/>
        <v>510.729918371971</v>
      </c>
      <c r="V24" s="204">
        <f t="shared" si="22"/>
        <v>0</v>
      </c>
      <c r="W24" s="204">
        <f t="shared" si="23"/>
        <v>0</v>
      </c>
      <c r="X24" s="204">
        <f t="shared" si="4"/>
        <v>510.729918371971</v>
      </c>
      <c r="Y24" s="204">
        <f t="shared" si="5"/>
        <v>0</v>
      </c>
      <c r="Z24" s="204">
        <f t="shared" si="6"/>
        <v>510.729918371971</v>
      </c>
      <c r="AA24" s="204">
        <f t="shared" si="24"/>
        <v>0</v>
      </c>
      <c r="AB24" s="204">
        <f t="shared" si="25"/>
        <v>2183.9649460616038</v>
      </c>
      <c r="AC24" s="204">
        <f t="shared" si="26"/>
        <v>0</v>
      </c>
      <c r="AD24" s="204">
        <f t="shared" si="27"/>
        <v>0</v>
      </c>
      <c r="AE24" s="204"/>
      <c r="AF24" s="204">
        <f t="shared" si="28"/>
        <v>0</v>
      </c>
      <c r="AG24" s="204">
        <f t="shared" si="7"/>
        <v>2183.9649460616038</v>
      </c>
      <c r="AH24" s="204">
        <f t="shared" si="8"/>
        <v>1673.2350276896327</v>
      </c>
      <c r="AI24" s="204">
        <f t="shared" si="9"/>
        <v>1673.2350276896327</v>
      </c>
      <c r="AJ24" s="204"/>
      <c r="AK24" s="204">
        <f t="shared" si="29"/>
        <v>0</v>
      </c>
      <c r="AL24" s="204">
        <f t="shared" ca="1" si="30"/>
        <v>0</v>
      </c>
      <c r="AM24" s="204">
        <f t="shared" si="10"/>
        <v>0</v>
      </c>
      <c r="AN24" s="204">
        <f t="shared" ca="1" si="40"/>
        <v>0</v>
      </c>
      <c r="AO24" s="204">
        <f t="shared" si="31"/>
        <v>0</v>
      </c>
      <c r="AP24" s="204">
        <f t="shared" ca="1" si="11"/>
        <v>0</v>
      </c>
      <c r="AQ24" s="204">
        <f t="shared" ca="1" si="12"/>
        <v>1673.2350276896327</v>
      </c>
      <c r="AR24" s="204">
        <f t="shared" si="13"/>
        <v>0</v>
      </c>
      <c r="AS24" s="204">
        <f t="shared" si="32"/>
        <v>0</v>
      </c>
      <c r="AT24" s="204">
        <f t="shared" si="33"/>
        <v>0</v>
      </c>
      <c r="AU24" s="204">
        <f t="shared" si="34"/>
        <v>0</v>
      </c>
      <c r="AV24" s="204">
        <f t="shared" si="35"/>
        <v>0</v>
      </c>
      <c r="AW24" s="204">
        <f t="shared" si="14"/>
        <v>1673.2350276896327</v>
      </c>
      <c r="AX24" s="204">
        <f t="shared" ca="1" si="15"/>
        <v>19474.831884997773</v>
      </c>
      <c r="AY24" s="204">
        <f t="shared" si="16"/>
        <v>0</v>
      </c>
      <c r="AZ24" s="204" t="str">
        <f t="shared" si="17"/>
        <v>N/A</v>
      </c>
      <c r="BA24" s="204">
        <f t="shared" si="36"/>
        <v>0</v>
      </c>
      <c r="BB24" s="204">
        <f t="shared" si="37"/>
        <v>0</v>
      </c>
      <c r="BC24" s="204" t="str">
        <f t="shared" si="18"/>
        <v xml:space="preserve"> </v>
      </c>
      <c r="BD24" s="204" t="str">
        <f t="shared" si="19"/>
        <v>,0</v>
      </c>
      <c r="BE24" s="204">
        <f t="shared" si="38"/>
        <v>1673.2350276896327</v>
      </c>
      <c r="BF24" s="204">
        <f t="shared" si="39"/>
        <v>1673.2350276896327</v>
      </c>
      <c r="BG24">
        <v>72308</v>
      </c>
      <c r="BH24">
        <v>74400</v>
      </c>
      <c r="BI24">
        <v>76000</v>
      </c>
    </row>
    <row r="25" spans="1:61" ht="12.75" customHeight="1">
      <c r="A25" s="12"/>
      <c r="B25" s="8" t="str">
        <f>Language!C677</f>
        <v>Base da taxa de depreciação</v>
      </c>
      <c r="C25" s="21" t="str">
        <f>C46</f>
        <v>%</v>
      </c>
      <c r="D25" s="302"/>
      <c r="E25" s="1"/>
      <c r="F25" s="447"/>
      <c r="G25" s="1166" t="str">
        <f ca="1">IF(OR('Análise de Custos'!C254="",K25=0),"",'Análise de Custos'!C254&amp;" - "&amp;'Análise de Custos'!E254&amp;" "&amp;Language!$C$1421)</f>
        <v>Definido pelo usuário - 10 anos</v>
      </c>
      <c r="H25" s="1166"/>
      <c r="I25" s="1166"/>
      <c r="J25" s="21" t="str">
        <f>Currency</f>
        <v>€</v>
      </c>
      <c r="K25" s="199">
        <f ca="1">'Análise de Custos'!G254*IF($U$58=1,0,1)</f>
        <v>1520.53125</v>
      </c>
      <c r="L25" s="1"/>
      <c r="M25" s="93">
        <v>19</v>
      </c>
      <c r="N25" s="125">
        <f t="shared" si="2"/>
        <v>1745.2717279809381</v>
      </c>
      <c r="O25" s="125">
        <f t="shared" si="3"/>
        <v>1745.2717279809381</v>
      </c>
      <c r="P25" s="199">
        <f t="shared" ca="1" si="20"/>
        <v>15137.97861297871</v>
      </c>
      <c r="Q25" s="1"/>
      <c r="S25" s="787">
        <v>1520.53125</v>
      </c>
      <c r="T25" s="204"/>
      <c r="U25" s="204">
        <f t="shared" si="21"/>
        <v>526.05181592313011</v>
      </c>
      <c r="V25" s="204">
        <f t="shared" si="22"/>
        <v>0</v>
      </c>
      <c r="W25" s="204">
        <f t="shared" si="23"/>
        <v>0</v>
      </c>
      <c r="X25" s="204">
        <f t="shared" si="4"/>
        <v>526.05181592313011</v>
      </c>
      <c r="Y25" s="204">
        <f t="shared" si="5"/>
        <v>0</v>
      </c>
      <c r="Z25" s="204">
        <f t="shared" si="6"/>
        <v>526.05181592313011</v>
      </c>
      <c r="AA25" s="204">
        <f t="shared" si="24"/>
        <v>0</v>
      </c>
      <c r="AB25" s="204">
        <f t="shared" si="25"/>
        <v>2271.3235439040682</v>
      </c>
      <c r="AC25" s="204">
        <f t="shared" si="26"/>
        <v>0</v>
      </c>
      <c r="AD25" s="204">
        <f t="shared" si="27"/>
        <v>0</v>
      </c>
      <c r="AE25" s="204"/>
      <c r="AF25" s="204">
        <f t="shared" si="28"/>
        <v>0</v>
      </c>
      <c r="AG25" s="204">
        <f t="shared" si="7"/>
        <v>2271.3235439040682</v>
      </c>
      <c r="AH25" s="204">
        <f t="shared" si="8"/>
        <v>1745.2717279809381</v>
      </c>
      <c r="AI25" s="204">
        <f t="shared" si="9"/>
        <v>1745.2717279809381</v>
      </c>
      <c r="AJ25" s="204"/>
      <c r="AK25" s="204">
        <f t="shared" si="29"/>
        <v>0</v>
      </c>
      <c r="AL25" s="204">
        <f t="shared" ca="1" si="30"/>
        <v>0</v>
      </c>
      <c r="AM25" s="204">
        <f t="shared" si="10"/>
        <v>0</v>
      </c>
      <c r="AN25" s="204">
        <f t="shared" ca="1" si="40"/>
        <v>0</v>
      </c>
      <c r="AO25" s="204">
        <f t="shared" si="31"/>
        <v>0</v>
      </c>
      <c r="AP25" s="204">
        <f t="shared" ca="1" si="11"/>
        <v>0</v>
      </c>
      <c r="AQ25" s="204">
        <f t="shared" ca="1" si="12"/>
        <v>1745.2717279809381</v>
      </c>
      <c r="AR25" s="204">
        <f t="shared" si="13"/>
        <v>0</v>
      </c>
      <c r="AS25" s="204">
        <f t="shared" si="32"/>
        <v>0</v>
      </c>
      <c r="AT25" s="204">
        <f t="shared" si="33"/>
        <v>0</v>
      </c>
      <c r="AU25" s="204">
        <f t="shared" si="34"/>
        <v>0</v>
      </c>
      <c r="AV25" s="204">
        <f t="shared" si="35"/>
        <v>0</v>
      </c>
      <c r="AW25" s="204">
        <f t="shared" si="14"/>
        <v>1745.2717279809381</v>
      </c>
      <c r="AX25" s="204">
        <f t="shared" ca="1" si="15"/>
        <v>21220.10361297871</v>
      </c>
      <c r="AY25" s="204">
        <f t="shared" si="16"/>
        <v>0</v>
      </c>
      <c r="AZ25" s="204" t="str">
        <f t="shared" si="17"/>
        <v>N/A</v>
      </c>
      <c r="BA25" s="204">
        <f t="shared" si="36"/>
        <v>0</v>
      </c>
      <c r="BB25" s="204">
        <f t="shared" si="37"/>
        <v>0</v>
      </c>
      <c r="BC25" s="204" t="str">
        <f t="shared" si="18"/>
        <v xml:space="preserve"> </v>
      </c>
      <c r="BD25" s="204" t="str">
        <f t="shared" si="19"/>
        <v>,0</v>
      </c>
      <c r="BE25" s="204">
        <f t="shared" si="38"/>
        <v>1745.2717279809381</v>
      </c>
      <c r="BF25" s="204">
        <f t="shared" si="39"/>
        <v>1745.2717279809381</v>
      </c>
      <c r="BG25">
        <v>72310</v>
      </c>
      <c r="BH25">
        <v>74400</v>
      </c>
      <c r="BI25">
        <v>76000</v>
      </c>
    </row>
    <row r="26" spans="1:61" ht="12.75" customHeight="1">
      <c r="A26" s="12"/>
      <c r="B26" s="8" t="str">
        <f>Language!C678</f>
        <v>Taxa de depreciação</v>
      </c>
      <c r="C26" s="21" t="str">
        <f>C46</f>
        <v>%</v>
      </c>
      <c r="D26" s="302"/>
      <c r="E26" s="1"/>
      <c r="F26" s="447"/>
      <c r="G26" s="1166" t="str">
        <f>IF(OR('Análise de Custos'!C255="",K26=0),"",'Análise de Custos'!C255&amp;" - "&amp;'Análise de Custos'!E255&amp;" "&amp;Language!$C$1421)</f>
        <v/>
      </c>
      <c r="H26" s="1166"/>
      <c r="I26" s="1166"/>
      <c r="J26" s="21" t="str">
        <f>Currency</f>
        <v>€</v>
      </c>
      <c r="K26" s="199">
        <f>'Análise de Custos'!G255*IF($U$58=1,0,1)</f>
        <v>0</v>
      </c>
      <c r="L26" s="1"/>
      <c r="M26" s="93">
        <v>20</v>
      </c>
      <c r="N26" s="125">
        <f t="shared" ca="1" si="2"/>
        <v>-925.90545803151917</v>
      </c>
      <c r="O26" s="125">
        <f t="shared" ca="1" si="3"/>
        <v>-925.90545803151917</v>
      </c>
      <c r="P26" s="199">
        <f t="shared" ca="1" si="20"/>
        <v>14212.073154947191</v>
      </c>
      <c r="Q26" s="1"/>
      <c r="S26" s="787">
        <v>0</v>
      </c>
      <c r="T26" s="204"/>
      <c r="U26" s="204">
        <f t="shared" si="21"/>
        <v>541.83337040082392</v>
      </c>
      <c r="V26" s="204">
        <f t="shared" si="22"/>
        <v>0</v>
      </c>
      <c r="W26" s="204">
        <f t="shared" si="23"/>
        <v>0</v>
      </c>
      <c r="X26" s="204">
        <f t="shared" ca="1" si="4"/>
        <v>3288.08194369175</v>
      </c>
      <c r="Y26" s="204">
        <f t="shared" si="5"/>
        <v>0</v>
      </c>
      <c r="Z26" s="204">
        <f t="shared" ca="1" si="6"/>
        <v>3288.08194369175</v>
      </c>
      <c r="AA26" s="204">
        <f t="shared" si="24"/>
        <v>0</v>
      </c>
      <c r="AB26" s="204">
        <f t="shared" si="25"/>
        <v>2362.1764856602308</v>
      </c>
      <c r="AC26" s="204">
        <f t="shared" si="26"/>
        <v>0</v>
      </c>
      <c r="AD26" s="204">
        <f t="shared" si="27"/>
        <v>0</v>
      </c>
      <c r="AE26" s="204"/>
      <c r="AF26" s="204">
        <f t="shared" si="28"/>
        <v>0</v>
      </c>
      <c r="AG26" s="204">
        <f t="shared" si="7"/>
        <v>2362.1764856602308</v>
      </c>
      <c r="AH26" s="204">
        <f t="shared" ca="1" si="8"/>
        <v>-925.90545803151917</v>
      </c>
      <c r="AI26" s="204">
        <f t="shared" ca="1" si="9"/>
        <v>-925.90545803151917</v>
      </c>
      <c r="AJ26" s="204"/>
      <c r="AK26" s="204">
        <f t="shared" si="29"/>
        <v>0</v>
      </c>
      <c r="AL26" s="204">
        <f t="shared" ca="1" si="30"/>
        <v>0</v>
      </c>
      <c r="AM26" s="204">
        <f t="shared" si="10"/>
        <v>0</v>
      </c>
      <c r="AN26" s="204">
        <f t="shared" ca="1" si="40"/>
        <v>0</v>
      </c>
      <c r="AO26" s="204">
        <f t="shared" si="31"/>
        <v>0</v>
      </c>
      <c r="AP26" s="204">
        <f t="shared" ca="1" si="11"/>
        <v>0</v>
      </c>
      <c r="AQ26" s="204">
        <f t="shared" ca="1" si="12"/>
        <v>-925.90545803151917</v>
      </c>
      <c r="AR26" s="204">
        <f t="shared" si="13"/>
        <v>0</v>
      </c>
      <c r="AS26" s="204">
        <f t="shared" si="32"/>
        <v>0</v>
      </c>
      <c r="AT26" s="204">
        <f t="shared" si="33"/>
        <v>0</v>
      </c>
      <c r="AU26" s="204">
        <f t="shared" si="34"/>
        <v>0</v>
      </c>
      <c r="AV26" s="204">
        <f t="shared" si="35"/>
        <v>0</v>
      </c>
      <c r="AW26" s="204">
        <f t="shared" ca="1" si="14"/>
        <v>-925.90545803151917</v>
      </c>
      <c r="AX26" s="204">
        <f t="shared" ca="1" si="15"/>
        <v>20294.198154947189</v>
      </c>
      <c r="AY26" s="204">
        <f t="shared" si="16"/>
        <v>0</v>
      </c>
      <c r="AZ26" s="204" t="str">
        <f t="shared" si="17"/>
        <v>N/A</v>
      </c>
      <c r="BA26" s="204">
        <f t="shared" ca="1" si="36"/>
        <v>2746.2485732909263</v>
      </c>
      <c r="BB26" s="204">
        <f t="shared" si="37"/>
        <v>0</v>
      </c>
      <c r="BC26" s="204" t="str">
        <f t="shared" si="18"/>
        <v xml:space="preserve"> </v>
      </c>
      <c r="BD26" s="204" t="str">
        <f t="shared" si="19"/>
        <v>,0</v>
      </c>
      <c r="BE26" s="204">
        <f t="shared" ca="1" si="38"/>
        <v>-925.90545803151917</v>
      </c>
      <c r="BF26" s="204">
        <f t="shared" ca="1" si="39"/>
        <v>-925.90545803151917</v>
      </c>
      <c r="BG26">
        <v>72312</v>
      </c>
      <c r="BH26">
        <v>74400</v>
      </c>
      <c r="BI26">
        <v>76000</v>
      </c>
    </row>
    <row r="27" spans="1:61" ht="12.75" customHeight="1">
      <c r="A27" s="12"/>
      <c r="B27" s="8" t="str">
        <f>Language!C679</f>
        <v>Período de depreciação</v>
      </c>
      <c r="C27" s="21" t="str">
        <f>C67</f>
        <v>ano</v>
      </c>
      <c r="D27" s="299">
        <v>15</v>
      </c>
      <c r="E27" s="1"/>
      <c r="F27" s="447"/>
      <c r="G27" s="1290" t="str">
        <f>'Análise de Custos'!C256&amp;" - "&amp;'Análise de Custos'!D256</f>
        <v>Valor residual do projeto - custo</v>
      </c>
      <c r="H27" s="1290"/>
      <c r="I27" s="1290"/>
      <c r="J27" s="21" t="str">
        <f>Currency</f>
        <v>€</v>
      </c>
      <c r="K27" s="199">
        <f>'Análise de Custos'!G256*IF($U$58=1,0,1)</f>
        <v>0</v>
      </c>
      <c r="L27" s="1"/>
      <c r="M27" s="93">
        <v>21</v>
      </c>
      <c r="N27" s="125">
        <f t="shared" si="2"/>
        <v>1898.575173573792</v>
      </c>
      <c r="O27" s="125">
        <f t="shared" si="3"/>
        <v>1898.575173573792</v>
      </c>
      <c r="P27" s="199">
        <f t="shared" ca="1" si="20"/>
        <v>16110.648328520983</v>
      </c>
      <c r="Q27" s="1"/>
      <c r="S27" s="787">
        <v>0</v>
      </c>
      <c r="T27" s="204"/>
      <c r="U27" s="204">
        <f t="shared" si="21"/>
        <v>558.08837151284865</v>
      </c>
      <c r="V27" s="204">
        <f t="shared" si="22"/>
        <v>0</v>
      </c>
      <c r="W27" s="204">
        <f t="shared" si="23"/>
        <v>0</v>
      </c>
      <c r="X27" s="204">
        <f t="shared" si="4"/>
        <v>558.08837151284865</v>
      </c>
      <c r="Y27" s="204">
        <f t="shared" si="5"/>
        <v>0</v>
      </c>
      <c r="Z27" s="204">
        <f t="shared" si="6"/>
        <v>558.08837151284865</v>
      </c>
      <c r="AA27" s="204">
        <f t="shared" si="24"/>
        <v>0</v>
      </c>
      <c r="AB27" s="204">
        <f t="shared" si="25"/>
        <v>2456.6635450866406</v>
      </c>
      <c r="AC27" s="204">
        <f t="shared" si="26"/>
        <v>0</v>
      </c>
      <c r="AD27" s="204">
        <f t="shared" si="27"/>
        <v>0</v>
      </c>
      <c r="AE27" s="204"/>
      <c r="AF27" s="204">
        <f t="shared" si="28"/>
        <v>0</v>
      </c>
      <c r="AG27" s="204">
        <f t="shared" si="7"/>
        <v>2456.6635450866406</v>
      </c>
      <c r="AH27" s="204">
        <f t="shared" si="8"/>
        <v>1898.575173573792</v>
      </c>
      <c r="AI27" s="204">
        <f t="shared" si="9"/>
        <v>1898.575173573792</v>
      </c>
      <c r="AJ27" s="204"/>
      <c r="AK27" s="204">
        <f t="shared" si="29"/>
        <v>0</v>
      </c>
      <c r="AL27" s="204">
        <f t="shared" ca="1" si="30"/>
        <v>0</v>
      </c>
      <c r="AM27" s="204">
        <f t="shared" si="10"/>
        <v>0</v>
      </c>
      <c r="AN27" s="204">
        <f t="shared" ca="1" si="40"/>
        <v>0</v>
      </c>
      <c r="AO27" s="204">
        <f t="shared" si="31"/>
        <v>0</v>
      </c>
      <c r="AP27" s="204">
        <f t="shared" ca="1" si="11"/>
        <v>0</v>
      </c>
      <c r="AQ27" s="204">
        <f t="shared" ca="1" si="12"/>
        <v>1898.575173573792</v>
      </c>
      <c r="AR27" s="204">
        <f t="shared" si="13"/>
        <v>0</v>
      </c>
      <c r="AS27" s="204">
        <f t="shared" si="32"/>
        <v>0</v>
      </c>
      <c r="AT27" s="204">
        <f t="shared" si="33"/>
        <v>0</v>
      </c>
      <c r="AU27" s="204">
        <f t="shared" si="34"/>
        <v>0</v>
      </c>
      <c r="AV27" s="204">
        <f t="shared" si="35"/>
        <v>0</v>
      </c>
      <c r="AW27" s="204">
        <f t="shared" si="14"/>
        <v>1898.575173573792</v>
      </c>
      <c r="AX27" s="204">
        <f t="shared" ca="1" si="15"/>
        <v>22192.773328520983</v>
      </c>
      <c r="AY27" s="204">
        <f t="shared" si="16"/>
        <v>0</v>
      </c>
      <c r="AZ27" s="204" t="str">
        <f t="shared" si="17"/>
        <v>N/A</v>
      </c>
      <c r="BA27" s="204">
        <f t="shared" si="36"/>
        <v>0</v>
      </c>
      <c r="BB27" s="204">
        <f t="shared" si="37"/>
        <v>0</v>
      </c>
      <c r="BC27" s="204" t="str">
        <f t="shared" si="18"/>
        <v xml:space="preserve"> </v>
      </c>
      <c r="BD27" s="204" t="str">
        <f t="shared" si="19"/>
        <v>,0</v>
      </c>
      <c r="BE27" s="204">
        <f t="shared" si="38"/>
        <v>1898.575173573792</v>
      </c>
      <c r="BF27" s="204">
        <f t="shared" si="39"/>
        <v>1898.575173573792</v>
      </c>
      <c r="BG27">
        <v>72314</v>
      </c>
      <c r="BH27">
        <v>74402</v>
      </c>
      <c r="BI27">
        <v>76000</v>
      </c>
    </row>
    <row r="28" spans="1:61" ht="12.75" customHeight="1">
      <c r="A28" s="12"/>
      <c r="B28" s="8" t="str">
        <f>Language!C680</f>
        <v>Isenção fiscal ?</v>
      </c>
      <c r="C28" s="21" t="str">
        <f>Language!C1418</f>
        <v>sim/não</v>
      </c>
      <c r="D28" s="305" t="s">
        <v>6132</v>
      </c>
      <c r="E28" s="1"/>
      <c r="F28" s="12"/>
      <c r="G28" s="5"/>
      <c r="H28" s="5"/>
      <c r="I28" s="5"/>
      <c r="J28" s="5"/>
      <c r="K28" s="6"/>
      <c r="L28" s="1"/>
      <c r="M28" s="93">
        <v>22</v>
      </c>
      <c r="N28" s="125">
        <f t="shared" si="2"/>
        <v>1980.0990642318718</v>
      </c>
      <c r="O28" s="125">
        <f t="shared" si="3"/>
        <v>1980.0990642318718</v>
      </c>
      <c r="P28" s="199">
        <f t="shared" ca="1" si="20"/>
        <v>18090.747392752855</v>
      </c>
      <c r="Q28" s="1"/>
      <c r="S28" s="204"/>
      <c r="T28" s="204"/>
      <c r="U28" s="204">
        <f t="shared" si="21"/>
        <v>574.83102265823413</v>
      </c>
      <c r="V28" s="204">
        <f t="shared" si="22"/>
        <v>0</v>
      </c>
      <c r="W28" s="204">
        <f t="shared" si="23"/>
        <v>0</v>
      </c>
      <c r="X28" s="204">
        <f t="shared" si="4"/>
        <v>574.83102265823413</v>
      </c>
      <c r="Y28" s="204">
        <f t="shared" si="5"/>
        <v>0</v>
      </c>
      <c r="Z28" s="204">
        <f t="shared" si="6"/>
        <v>574.83102265823413</v>
      </c>
      <c r="AA28" s="204">
        <f t="shared" si="24"/>
        <v>0</v>
      </c>
      <c r="AB28" s="204">
        <f t="shared" si="25"/>
        <v>2554.9300868901059</v>
      </c>
      <c r="AC28" s="204">
        <f t="shared" si="26"/>
        <v>0</v>
      </c>
      <c r="AD28" s="204">
        <f t="shared" si="27"/>
        <v>0</v>
      </c>
      <c r="AE28" s="204"/>
      <c r="AF28" s="204">
        <f t="shared" si="28"/>
        <v>0</v>
      </c>
      <c r="AG28" s="204">
        <f t="shared" si="7"/>
        <v>2554.9300868901059</v>
      </c>
      <c r="AH28" s="204">
        <f t="shared" si="8"/>
        <v>1980.0990642318718</v>
      </c>
      <c r="AI28" s="204">
        <f t="shared" si="9"/>
        <v>1980.0990642318718</v>
      </c>
      <c r="AJ28" s="204"/>
      <c r="AK28" s="204">
        <f t="shared" si="29"/>
        <v>0</v>
      </c>
      <c r="AL28" s="204">
        <f t="shared" ca="1" si="30"/>
        <v>0</v>
      </c>
      <c r="AM28" s="204">
        <f t="shared" si="10"/>
        <v>0</v>
      </c>
      <c r="AN28" s="204">
        <f t="shared" ca="1" si="40"/>
        <v>0</v>
      </c>
      <c r="AO28" s="204">
        <f t="shared" si="31"/>
        <v>0</v>
      </c>
      <c r="AP28" s="204">
        <f t="shared" ca="1" si="11"/>
        <v>0</v>
      </c>
      <c r="AQ28" s="204">
        <f t="shared" ca="1" si="12"/>
        <v>1980.0990642318718</v>
      </c>
      <c r="AR28" s="204">
        <f t="shared" si="13"/>
        <v>0</v>
      </c>
      <c r="AS28" s="204">
        <f t="shared" si="32"/>
        <v>0</v>
      </c>
      <c r="AT28" s="204">
        <f t="shared" si="33"/>
        <v>0</v>
      </c>
      <c r="AU28" s="204">
        <f t="shared" si="34"/>
        <v>0</v>
      </c>
      <c r="AV28" s="204">
        <f t="shared" si="35"/>
        <v>0</v>
      </c>
      <c r="AW28" s="204">
        <f t="shared" si="14"/>
        <v>1980.0990642318718</v>
      </c>
      <c r="AX28" s="204">
        <f t="shared" ca="1" si="15"/>
        <v>24172.872392752855</v>
      </c>
      <c r="AY28" s="204">
        <f t="shared" si="16"/>
        <v>0</v>
      </c>
      <c r="AZ28" s="204" t="str">
        <f t="shared" si="17"/>
        <v>N/A</v>
      </c>
      <c r="BA28" s="204">
        <f t="shared" si="36"/>
        <v>0</v>
      </c>
      <c r="BB28" s="204">
        <f t="shared" si="37"/>
        <v>0</v>
      </c>
      <c r="BC28" s="204" t="str">
        <f t="shared" si="18"/>
        <v xml:space="preserve"> </v>
      </c>
      <c r="BD28" s="204" t="str">
        <f t="shared" si="19"/>
        <v>,0</v>
      </c>
      <c r="BE28" s="204">
        <f t="shared" si="38"/>
        <v>1980.0990642318718</v>
      </c>
      <c r="BF28" s="204">
        <f t="shared" si="39"/>
        <v>1980.0990642318718</v>
      </c>
      <c r="BG28">
        <v>72316</v>
      </c>
      <c r="BH28">
        <v>74000</v>
      </c>
      <c r="BI28">
        <v>76000</v>
      </c>
    </row>
    <row r="29" spans="1:61" ht="12.75" customHeight="1">
      <c r="A29" s="14"/>
      <c r="B29" s="15" t="str">
        <f>Language!C681</f>
        <v>Duração isenção fiscal</v>
      </c>
      <c r="C29" s="33" t="str">
        <f>C67</f>
        <v>ano</v>
      </c>
      <c r="D29" s="299"/>
      <c r="E29" s="1"/>
      <c r="F29" s="1170" t="str">
        <f>Language!C687</f>
        <v>Economia anual e receita</v>
      </c>
      <c r="G29" s="1171"/>
      <c r="H29" s="1171"/>
      <c r="I29" s="1171"/>
      <c r="J29" s="8"/>
      <c r="K29" s="9"/>
      <c r="L29" s="1"/>
      <c r="M29" s="93">
        <v>23</v>
      </c>
      <c r="N29" s="125">
        <f t="shared" si="2"/>
        <v>2065.0513370277286</v>
      </c>
      <c r="O29" s="125">
        <f t="shared" si="3"/>
        <v>2065.0513370277286</v>
      </c>
      <c r="P29" s="199">
        <f t="shared" ca="1" si="20"/>
        <v>20155.798729780585</v>
      </c>
      <c r="Q29" s="1"/>
      <c r="S29" s="204"/>
      <c r="T29" s="204"/>
      <c r="U29" s="204">
        <f t="shared" si="21"/>
        <v>592.07595333798122</v>
      </c>
      <c r="V29" s="204">
        <f t="shared" si="22"/>
        <v>0</v>
      </c>
      <c r="W29" s="204">
        <f t="shared" si="23"/>
        <v>0</v>
      </c>
      <c r="X29" s="204">
        <f t="shared" si="4"/>
        <v>592.07595333798122</v>
      </c>
      <c r="Y29" s="204">
        <f t="shared" si="5"/>
        <v>0</v>
      </c>
      <c r="Z29" s="204">
        <f t="shared" si="6"/>
        <v>592.07595333798122</v>
      </c>
      <c r="AA29" s="204">
        <f t="shared" si="24"/>
        <v>0</v>
      </c>
      <c r="AB29" s="204">
        <f t="shared" si="25"/>
        <v>2657.12729036571</v>
      </c>
      <c r="AC29" s="204">
        <f t="shared" si="26"/>
        <v>0</v>
      </c>
      <c r="AD29" s="204">
        <f t="shared" si="27"/>
        <v>0</v>
      </c>
      <c r="AE29" s="204"/>
      <c r="AF29" s="204">
        <f t="shared" si="28"/>
        <v>0</v>
      </c>
      <c r="AG29" s="204">
        <f t="shared" si="7"/>
        <v>2657.12729036571</v>
      </c>
      <c r="AH29" s="204">
        <f t="shared" si="8"/>
        <v>2065.0513370277286</v>
      </c>
      <c r="AI29" s="204">
        <f t="shared" si="9"/>
        <v>2065.0513370277286</v>
      </c>
      <c r="AJ29" s="204"/>
      <c r="AK29" s="204">
        <f t="shared" si="29"/>
        <v>0</v>
      </c>
      <c r="AL29" s="204">
        <f t="shared" ca="1" si="30"/>
        <v>0</v>
      </c>
      <c r="AM29" s="204">
        <f t="shared" si="10"/>
        <v>0</v>
      </c>
      <c r="AN29" s="204">
        <f t="shared" ca="1" si="40"/>
        <v>0</v>
      </c>
      <c r="AO29" s="204">
        <f t="shared" si="31"/>
        <v>0</v>
      </c>
      <c r="AP29" s="204">
        <f t="shared" ca="1" si="11"/>
        <v>0</v>
      </c>
      <c r="AQ29" s="204">
        <f t="shared" ca="1" si="12"/>
        <v>2065.0513370277286</v>
      </c>
      <c r="AR29" s="204">
        <f t="shared" si="13"/>
        <v>0</v>
      </c>
      <c r="AS29" s="204">
        <f t="shared" si="32"/>
        <v>0</v>
      </c>
      <c r="AT29" s="204">
        <f t="shared" si="33"/>
        <v>0</v>
      </c>
      <c r="AU29" s="204">
        <f t="shared" si="34"/>
        <v>0</v>
      </c>
      <c r="AV29" s="204">
        <f t="shared" si="35"/>
        <v>0</v>
      </c>
      <c r="AW29" s="204">
        <f t="shared" si="14"/>
        <v>2065.0513370277286</v>
      </c>
      <c r="AX29" s="204">
        <f t="shared" ca="1" si="15"/>
        <v>26237.923729780585</v>
      </c>
      <c r="AY29" s="204">
        <f t="shared" si="16"/>
        <v>0</v>
      </c>
      <c r="AZ29" s="204" t="str">
        <f t="shared" si="17"/>
        <v>N/A</v>
      </c>
      <c r="BA29" s="204">
        <f t="shared" si="36"/>
        <v>0</v>
      </c>
      <c r="BB29" s="204">
        <f t="shared" si="37"/>
        <v>0</v>
      </c>
      <c r="BC29" s="204" t="str">
        <f t="shared" si="18"/>
        <v xml:space="preserve"> </v>
      </c>
      <c r="BD29" s="204" t="str">
        <f t="shared" si="19"/>
        <v>,0</v>
      </c>
      <c r="BE29" s="204">
        <f t="shared" si="38"/>
        <v>2065.0513370277286</v>
      </c>
      <c r="BF29" s="204">
        <f t="shared" si="39"/>
        <v>2065.0513370277286</v>
      </c>
      <c r="BG29">
        <v>72318</v>
      </c>
      <c r="BH29">
        <v>74500</v>
      </c>
      <c r="BI29">
        <v>76000</v>
      </c>
    </row>
    <row r="30" spans="1:61" ht="12.75" customHeight="1">
      <c r="A30" s="1"/>
      <c r="B30" s="46"/>
      <c r="C30" s="46"/>
      <c r="D30" s="46"/>
      <c r="E30" s="1"/>
      <c r="F30" s="447"/>
      <c r="G30" s="1166" t="str">
        <f>'Modelo Energético '!B1004</f>
        <v>Custo combustível - caso de referência</v>
      </c>
      <c r="H30" s="1166"/>
      <c r="I30" s="1166"/>
      <c r="J30" s="21" t="str">
        <f>Currency</f>
        <v>€</v>
      </c>
      <c r="K30" s="199">
        <f>IF(U58=2,IF(OR(T1=8,T1=9),'Modelo Energético '!D1004,Y75),IF(V58=0,Y75+'Modelo Energético'!D1020,'Modelo Energético '!D1004+'Modelo Energético '!D1007))*(1+VarTab04)</f>
        <v>0</v>
      </c>
      <c r="L30" s="1"/>
      <c r="M30" s="93">
        <v>24</v>
      </c>
      <c r="N30" s="125">
        <f t="shared" si="2"/>
        <v>2153.5741500422182</v>
      </c>
      <c r="O30" s="125">
        <f t="shared" si="3"/>
        <v>2153.5741500422182</v>
      </c>
      <c r="P30" s="199">
        <f t="shared" ca="1" si="20"/>
        <v>22309.372879822804</v>
      </c>
      <c r="Q30" s="1"/>
      <c r="S30" s="787">
        <v>0</v>
      </c>
      <c r="T30" s="204"/>
      <c r="U30" s="204">
        <f t="shared" si="21"/>
        <v>609.83823193812054</v>
      </c>
      <c r="V30" s="204">
        <f t="shared" si="22"/>
        <v>0</v>
      </c>
      <c r="W30" s="204">
        <f t="shared" si="23"/>
        <v>0</v>
      </c>
      <c r="X30" s="204">
        <f t="shared" si="4"/>
        <v>609.83823193812054</v>
      </c>
      <c r="Y30" s="204">
        <f t="shared" si="5"/>
        <v>0</v>
      </c>
      <c r="Z30" s="204">
        <f t="shared" si="6"/>
        <v>609.83823193812054</v>
      </c>
      <c r="AA30" s="204">
        <f t="shared" si="24"/>
        <v>0</v>
      </c>
      <c r="AB30" s="204">
        <f t="shared" si="25"/>
        <v>2763.412381980339</v>
      </c>
      <c r="AC30" s="204">
        <f t="shared" si="26"/>
        <v>0</v>
      </c>
      <c r="AD30" s="204">
        <f t="shared" si="27"/>
        <v>0</v>
      </c>
      <c r="AE30" s="204"/>
      <c r="AF30" s="204">
        <f t="shared" si="28"/>
        <v>0</v>
      </c>
      <c r="AG30" s="204">
        <f t="shared" si="7"/>
        <v>2763.412381980339</v>
      </c>
      <c r="AH30" s="204">
        <f t="shared" si="8"/>
        <v>2153.5741500422182</v>
      </c>
      <c r="AI30" s="204">
        <f t="shared" si="9"/>
        <v>2153.5741500422182</v>
      </c>
      <c r="AJ30" s="204"/>
      <c r="AK30" s="204">
        <f t="shared" si="29"/>
        <v>0</v>
      </c>
      <c r="AL30" s="204">
        <f t="shared" ca="1" si="30"/>
        <v>0</v>
      </c>
      <c r="AM30" s="204">
        <f t="shared" si="10"/>
        <v>0</v>
      </c>
      <c r="AN30" s="204">
        <f t="shared" ca="1" si="40"/>
        <v>0</v>
      </c>
      <c r="AO30" s="204">
        <f t="shared" si="31"/>
        <v>0</v>
      </c>
      <c r="AP30" s="204">
        <f t="shared" ca="1" si="11"/>
        <v>0</v>
      </c>
      <c r="AQ30" s="204">
        <f t="shared" ca="1" si="12"/>
        <v>2153.5741500422182</v>
      </c>
      <c r="AR30" s="204">
        <f t="shared" si="13"/>
        <v>0</v>
      </c>
      <c r="AS30" s="204">
        <f t="shared" si="32"/>
        <v>0</v>
      </c>
      <c r="AT30" s="204">
        <f t="shared" si="33"/>
        <v>0</v>
      </c>
      <c r="AU30" s="204">
        <f t="shared" si="34"/>
        <v>0</v>
      </c>
      <c r="AV30" s="204">
        <f t="shared" si="35"/>
        <v>0</v>
      </c>
      <c r="AW30" s="204">
        <f t="shared" si="14"/>
        <v>2153.5741500422182</v>
      </c>
      <c r="AX30" s="204">
        <f t="shared" ca="1" si="15"/>
        <v>28391.497879822804</v>
      </c>
      <c r="AY30" s="204">
        <f t="shared" si="16"/>
        <v>0</v>
      </c>
      <c r="AZ30" s="204" t="str">
        <f t="shared" si="17"/>
        <v>N/A</v>
      </c>
      <c r="BA30" s="204">
        <f t="shared" si="36"/>
        <v>0</v>
      </c>
      <c r="BB30" s="204">
        <f t="shared" si="37"/>
        <v>0</v>
      </c>
      <c r="BC30" s="204" t="str">
        <f t="shared" si="18"/>
        <v xml:space="preserve"> </v>
      </c>
      <c r="BD30" s="204" t="str">
        <f t="shared" si="19"/>
        <v>,0</v>
      </c>
      <c r="BE30" s="204">
        <f t="shared" si="38"/>
        <v>2153.5741500422182</v>
      </c>
      <c r="BF30" s="204">
        <f t="shared" si="39"/>
        <v>2153.5741500422182</v>
      </c>
      <c r="BG30">
        <v>70000</v>
      </c>
      <c r="BH30">
        <v>74502</v>
      </c>
      <c r="BI30">
        <v>76000</v>
      </c>
    </row>
    <row r="31" spans="1:61" ht="12.75" customHeight="1">
      <c r="A31" s="435" t="str">
        <f>Language!C688</f>
        <v>Receita anual</v>
      </c>
      <c r="B31" s="192"/>
      <c r="C31" s="192"/>
      <c r="D31" s="193"/>
      <c r="E31" s="1"/>
      <c r="F31" s="447"/>
      <c r="G31" s="1166" t="str">
        <f>Language!C207</f>
        <v>Receita com eletricidade exportada</v>
      </c>
      <c r="H31" s="1166"/>
      <c r="I31" s="1166"/>
      <c r="J31" s="21" t="str">
        <f>Currency</f>
        <v>€</v>
      </c>
      <c r="K31" s="199">
        <f>IF(OR(Iniciar!H147=0,V58=0),D33*(D34+AB1),'Modelo Energético '!J1093)*(1+VarTab05)</f>
        <v>1078.0665126789729</v>
      </c>
      <c r="L31" s="1"/>
      <c r="M31" s="93">
        <v>25</v>
      </c>
      <c r="N31" s="125">
        <f t="shared" si="2"/>
        <v>2245.8154983632885</v>
      </c>
      <c r="O31" s="125">
        <f t="shared" si="3"/>
        <v>2245.8154983632885</v>
      </c>
      <c r="P31" s="199">
        <f t="shared" ca="1" si="20"/>
        <v>24555.188378186092</v>
      </c>
      <c r="Q31" s="1"/>
      <c r="S31" s="787">
        <v>1078.0665126789729</v>
      </c>
      <c r="T31" s="204"/>
      <c r="U31" s="204">
        <f t="shared" si="21"/>
        <v>628.13337889626416</v>
      </c>
      <c r="V31" s="204">
        <f t="shared" si="22"/>
        <v>0</v>
      </c>
      <c r="W31" s="204">
        <f t="shared" si="23"/>
        <v>0</v>
      </c>
      <c r="X31" s="204">
        <f t="shared" si="4"/>
        <v>628.13337889626416</v>
      </c>
      <c r="Y31" s="204">
        <f t="shared" si="5"/>
        <v>0</v>
      </c>
      <c r="Z31" s="204">
        <f t="shared" si="6"/>
        <v>628.13337889626416</v>
      </c>
      <c r="AA31" s="204">
        <f t="shared" si="24"/>
        <v>0</v>
      </c>
      <c r="AB31" s="204">
        <f t="shared" si="25"/>
        <v>2873.9488772595528</v>
      </c>
      <c r="AC31" s="204">
        <f t="shared" si="26"/>
        <v>0</v>
      </c>
      <c r="AD31" s="204">
        <f t="shared" si="27"/>
        <v>0</v>
      </c>
      <c r="AE31" s="204"/>
      <c r="AF31" s="204">
        <f t="shared" si="28"/>
        <v>0</v>
      </c>
      <c r="AG31" s="204">
        <f t="shared" si="7"/>
        <v>2873.9488772595528</v>
      </c>
      <c r="AH31" s="204">
        <f t="shared" si="8"/>
        <v>2245.8154983632885</v>
      </c>
      <c r="AI31" s="204">
        <f t="shared" si="9"/>
        <v>2245.8154983632885</v>
      </c>
      <c r="AJ31" s="204"/>
      <c r="AK31" s="204">
        <f t="shared" si="29"/>
        <v>0</v>
      </c>
      <c r="AL31" s="204">
        <f t="shared" ca="1" si="30"/>
        <v>0</v>
      </c>
      <c r="AM31" s="204">
        <f t="shared" ca="1" si="10"/>
        <v>0</v>
      </c>
      <c r="AN31" s="204">
        <f t="shared" ca="1" si="40"/>
        <v>0</v>
      </c>
      <c r="AO31" s="204">
        <f t="shared" ca="1" si="31"/>
        <v>0</v>
      </c>
      <c r="AP31" s="204">
        <f t="shared" ca="1" si="11"/>
        <v>0</v>
      </c>
      <c r="AQ31" s="204">
        <f t="shared" ca="1" si="12"/>
        <v>2245.8154983632885</v>
      </c>
      <c r="AR31" s="204">
        <f t="shared" si="13"/>
        <v>0</v>
      </c>
      <c r="AS31" s="204">
        <f t="shared" si="32"/>
        <v>0</v>
      </c>
      <c r="AT31" s="204">
        <f t="shared" si="33"/>
        <v>0</v>
      </c>
      <c r="AU31" s="204">
        <f t="shared" si="34"/>
        <v>0</v>
      </c>
      <c r="AV31" s="204">
        <f t="shared" si="35"/>
        <v>0</v>
      </c>
      <c r="AW31" s="204">
        <f t="shared" si="14"/>
        <v>2245.8154983632885</v>
      </c>
      <c r="AX31" s="204">
        <f t="shared" ca="1" si="15"/>
        <v>30637.313378186092</v>
      </c>
      <c r="AY31" s="204">
        <f t="shared" si="16"/>
        <v>0</v>
      </c>
      <c r="AZ31" s="204" t="str">
        <f t="shared" si="17"/>
        <v>N/A</v>
      </c>
      <c r="BA31" s="204">
        <f t="shared" si="36"/>
        <v>0</v>
      </c>
      <c r="BB31" s="204">
        <f t="shared" si="37"/>
        <v>0</v>
      </c>
      <c r="BC31" s="204" t="str">
        <f t="shared" si="18"/>
        <v xml:space="preserve"> </v>
      </c>
      <c r="BD31" s="204" t="str">
        <f t="shared" si="19"/>
        <v>,0</v>
      </c>
      <c r="BE31" s="204">
        <f t="shared" si="38"/>
        <v>2245.8154983632885</v>
      </c>
      <c r="BF31" s="204">
        <f t="shared" si="39"/>
        <v>2245.8154983632885</v>
      </c>
      <c r="BG31">
        <v>73000</v>
      </c>
      <c r="BH31">
        <v>74504</v>
      </c>
      <c r="BI31">
        <v>76000</v>
      </c>
    </row>
    <row r="32" spans="1:61" ht="12.75" customHeight="1">
      <c r="A32" s="436" t="str">
        <f>G31</f>
        <v>Receita com eletricidade exportada</v>
      </c>
      <c r="B32" s="8"/>
      <c r="C32" s="8"/>
      <c r="D32" s="9"/>
      <c r="E32" s="1"/>
      <c r="F32" s="447"/>
      <c r="G32" s="1166" t="str">
        <f>Language!C690&amp;" - "&amp;U71&amp;" "&amp;Language!C1421</f>
        <v>Receita pela redução de GEE - 0 anos</v>
      </c>
      <c r="H32" s="1166"/>
      <c r="I32" s="1166"/>
      <c r="J32" s="21" t="str">
        <f>Currency</f>
        <v>€</v>
      </c>
      <c r="K32" s="199">
        <f>IF(U58=2,IF(U84=FALSE,0,1)*IF(T2=0,0,V84*'Análise de Emissões'!K189),IF(U59=1,V84*'Análise de Emissões'!K189,0))</f>
        <v>0</v>
      </c>
      <c r="L32" s="1"/>
      <c r="M32" s="93">
        <v>26</v>
      </c>
      <c r="N32" s="125">
        <f t="shared" si="2"/>
        <v>0</v>
      </c>
      <c r="O32" s="125">
        <f t="shared" si="3"/>
        <v>0</v>
      </c>
      <c r="P32" s="199">
        <f t="shared" ca="1" si="20"/>
        <v>24555.188378186092</v>
      </c>
      <c r="Q32" s="1"/>
      <c r="S32" s="787">
        <v>0</v>
      </c>
      <c r="T32" s="204"/>
      <c r="U32" s="204">
        <f t="shared" si="21"/>
        <v>0</v>
      </c>
      <c r="V32" s="204">
        <f t="shared" si="22"/>
        <v>0</v>
      </c>
      <c r="W32" s="204">
        <f t="shared" si="23"/>
        <v>0</v>
      </c>
      <c r="X32" s="204">
        <f t="shared" si="4"/>
        <v>0</v>
      </c>
      <c r="Y32" s="204">
        <f t="shared" si="5"/>
        <v>0</v>
      </c>
      <c r="Z32" s="204">
        <f t="shared" si="6"/>
        <v>0</v>
      </c>
      <c r="AA32" s="204">
        <f t="shared" si="24"/>
        <v>0</v>
      </c>
      <c r="AB32" s="204">
        <f t="shared" si="25"/>
        <v>0</v>
      </c>
      <c r="AC32" s="204">
        <f t="shared" si="26"/>
        <v>0</v>
      </c>
      <c r="AD32" s="204">
        <f t="shared" si="27"/>
        <v>0</v>
      </c>
      <c r="AE32" s="204"/>
      <c r="AF32" s="204">
        <f t="shared" si="28"/>
        <v>0</v>
      </c>
      <c r="AG32" s="204">
        <f t="shared" si="7"/>
        <v>0</v>
      </c>
      <c r="AH32" s="204">
        <f t="shared" si="8"/>
        <v>0</v>
      </c>
      <c r="AI32" s="204">
        <f t="shared" si="9"/>
        <v>0</v>
      </c>
      <c r="AJ32" s="204"/>
      <c r="AK32" s="204">
        <f t="shared" si="29"/>
        <v>0</v>
      </c>
      <c r="AL32" s="204">
        <f t="shared" ca="1" si="30"/>
        <v>0</v>
      </c>
      <c r="AM32" s="204">
        <f t="shared" ca="1" si="10"/>
        <v>0</v>
      </c>
      <c r="AN32" s="204">
        <f t="shared" ca="1" si="40"/>
        <v>0</v>
      </c>
      <c r="AO32" s="204">
        <f t="shared" ca="1" si="31"/>
        <v>0</v>
      </c>
      <c r="AP32" s="204">
        <f t="shared" ca="1" si="11"/>
        <v>0</v>
      </c>
      <c r="AQ32" s="204">
        <f t="shared" ca="1" si="12"/>
        <v>0</v>
      </c>
      <c r="AR32" s="204">
        <f t="shared" si="13"/>
        <v>0</v>
      </c>
      <c r="AS32" s="204">
        <f t="shared" si="32"/>
        <v>0</v>
      </c>
      <c r="AT32" s="204">
        <f t="shared" si="33"/>
        <v>0</v>
      </c>
      <c r="AU32" s="204">
        <f t="shared" si="34"/>
        <v>0</v>
      </c>
      <c r="AV32" s="204">
        <f t="shared" si="35"/>
        <v>0</v>
      </c>
      <c r="AW32" s="204">
        <f t="shared" si="14"/>
        <v>0</v>
      </c>
      <c r="AX32" s="204">
        <f t="shared" ca="1" si="15"/>
        <v>30637.313378186092</v>
      </c>
      <c r="AY32" s="204">
        <f t="shared" si="16"/>
        <v>0</v>
      </c>
      <c r="AZ32" s="204" t="str">
        <f t="shared" si="17"/>
        <v>N/A</v>
      </c>
      <c r="BA32" s="204">
        <f t="shared" si="36"/>
        <v>0</v>
      </c>
      <c r="BB32" s="204">
        <f t="shared" si="37"/>
        <v>0</v>
      </c>
      <c r="BC32" s="204" t="str">
        <f t="shared" si="18"/>
        <v xml:space="preserve"> </v>
      </c>
      <c r="BD32" s="204" t="str">
        <f t="shared" si="19"/>
        <v>,0</v>
      </c>
      <c r="BE32" s="204">
        <f t="shared" si="38"/>
        <v>0</v>
      </c>
      <c r="BF32" s="204">
        <f t="shared" si="39"/>
        <v>0</v>
      </c>
      <c r="BG32">
        <v>73100</v>
      </c>
      <c r="BH32">
        <v>74506</v>
      </c>
      <c r="BI32">
        <v>76000</v>
      </c>
    </row>
    <row r="33" spans="1:61" ht="12.75" customHeight="1">
      <c r="A33" s="12"/>
      <c r="B33" s="8" t="str">
        <f>Language!C206</f>
        <v>Eletricidade exportada p/ rede</v>
      </c>
      <c r="C33" s="21" t="str">
        <f>C64</f>
        <v>MWh</v>
      </c>
      <c r="D33" s="199">
        <f>'Modelo Energético'!I947</f>
        <v>5.3903325633948667</v>
      </c>
      <c r="E33" s="1"/>
      <c r="F33" s="447"/>
      <c r="G33" s="1166" t="str">
        <f>A48</f>
        <v>Receita (ou desconto) adicional do consumidor</v>
      </c>
      <c r="H33" s="1166"/>
      <c r="I33" s="1166"/>
      <c r="J33" s="21" t="str">
        <f>C11</f>
        <v>€</v>
      </c>
      <c r="K33" s="199">
        <f>D55*(1+VarTab08)</f>
        <v>0</v>
      </c>
      <c r="L33" s="1"/>
      <c r="M33" s="93">
        <v>27</v>
      </c>
      <c r="N33" s="125">
        <f t="shared" si="2"/>
        <v>0</v>
      </c>
      <c r="O33" s="125">
        <f t="shared" si="3"/>
        <v>0</v>
      </c>
      <c r="P33" s="199">
        <f t="shared" ca="1" si="20"/>
        <v>24555.188378186092</v>
      </c>
      <c r="Q33" s="1"/>
      <c r="S33" s="787">
        <v>0</v>
      </c>
      <c r="T33" s="204"/>
      <c r="U33" s="204">
        <f t="shared" si="21"/>
        <v>0</v>
      </c>
      <c r="V33" s="204">
        <f t="shared" si="22"/>
        <v>0</v>
      </c>
      <c r="W33" s="204">
        <f t="shared" si="23"/>
        <v>0</v>
      </c>
      <c r="X33" s="204">
        <f t="shared" si="4"/>
        <v>0</v>
      </c>
      <c r="Y33" s="204">
        <f t="shared" si="5"/>
        <v>0</v>
      </c>
      <c r="Z33" s="204">
        <f t="shared" si="6"/>
        <v>0</v>
      </c>
      <c r="AA33" s="204">
        <f t="shared" si="24"/>
        <v>0</v>
      </c>
      <c r="AB33" s="204">
        <f t="shared" si="25"/>
        <v>0</v>
      </c>
      <c r="AC33" s="204">
        <f t="shared" si="26"/>
        <v>0</v>
      </c>
      <c r="AD33" s="204">
        <f t="shared" si="27"/>
        <v>0</v>
      </c>
      <c r="AE33" s="204"/>
      <c r="AF33" s="204">
        <f t="shared" si="28"/>
        <v>0</v>
      </c>
      <c r="AG33" s="204">
        <f t="shared" si="7"/>
        <v>0</v>
      </c>
      <c r="AH33" s="204">
        <f t="shared" si="8"/>
        <v>0</v>
      </c>
      <c r="AI33" s="204">
        <f t="shared" si="9"/>
        <v>0</v>
      </c>
      <c r="AJ33" s="204"/>
      <c r="AK33" s="204">
        <f t="shared" si="29"/>
        <v>0</v>
      </c>
      <c r="AL33" s="204">
        <f t="shared" ca="1" si="30"/>
        <v>0</v>
      </c>
      <c r="AM33" s="204">
        <f t="shared" ca="1" si="10"/>
        <v>0</v>
      </c>
      <c r="AN33" s="204">
        <f t="shared" ca="1" si="40"/>
        <v>0</v>
      </c>
      <c r="AO33" s="204">
        <f t="shared" ca="1" si="31"/>
        <v>0</v>
      </c>
      <c r="AP33" s="204">
        <f t="shared" ca="1" si="11"/>
        <v>0</v>
      </c>
      <c r="AQ33" s="204">
        <f t="shared" ca="1" si="12"/>
        <v>0</v>
      </c>
      <c r="AR33" s="204">
        <f t="shared" si="13"/>
        <v>0</v>
      </c>
      <c r="AS33" s="204">
        <f t="shared" si="32"/>
        <v>0</v>
      </c>
      <c r="AT33" s="204">
        <f t="shared" si="33"/>
        <v>0</v>
      </c>
      <c r="AU33" s="204">
        <f t="shared" si="34"/>
        <v>0</v>
      </c>
      <c r="AV33" s="204">
        <f t="shared" si="35"/>
        <v>0</v>
      </c>
      <c r="AW33" s="204">
        <f t="shared" si="14"/>
        <v>0</v>
      </c>
      <c r="AX33" s="204">
        <f t="shared" ca="1" si="15"/>
        <v>30637.313378186092</v>
      </c>
      <c r="AY33" s="204">
        <f t="shared" si="16"/>
        <v>0</v>
      </c>
      <c r="AZ33" s="204" t="str">
        <f t="shared" si="17"/>
        <v>N/A</v>
      </c>
      <c r="BA33" s="204">
        <f t="shared" si="36"/>
        <v>0</v>
      </c>
      <c r="BB33" s="204">
        <f t="shared" si="37"/>
        <v>0</v>
      </c>
      <c r="BC33" s="204" t="str">
        <f t="shared" si="18"/>
        <v xml:space="preserve"> </v>
      </c>
      <c r="BD33" s="204" t="str">
        <f t="shared" si="19"/>
        <v>,0</v>
      </c>
      <c r="BE33" s="204">
        <f t="shared" si="38"/>
        <v>0</v>
      </c>
      <c r="BF33" s="204">
        <f t="shared" si="39"/>
        <v>0</v>
      </c>
      <c r="BG33">
        <v>73102</v>
      </c>
      <c r="BH33">
        <v>74508</v>
      </c>
      <c r="BI33">
        <v>76000</v>
      </c>
    </row>
    <row r="34" spans="1:61" ht="12.75" customHeight="1">
      <c r="A34" s="12"/>
      <c r="B34" s="8" t="str">
        <f>Language!C469</f>
        <v>Preço eletricidade exportada</v>
      </c>
      <c r="C34" s="21" t="str">
        <f>Currency&amp;Language!C1302</f>
        <v>€/MWh</v>
      </c>
      <c r="D34" s="208">
        <f>IF(D33=0,0,IF(OR(Iniciar!H147=0,V58=0),'Modelo Energético'!V814,K31/D33))</f>
        <v>199.99999999999994</v>
      </c>
      <c r="E34" s="1"/>
      <c r="F34" s="447"/>
      <c r="G34" s="1166" t="str">
        <f>A57&amp;" - "&amp;D61&amp;" "&amp;Language!C1421</f>
        <v>Outras receitas ( custo) -  anos</v>
      </c>
      <c r="H34" s="1166"/>
      <c r="I34" s="1166"/>
      <c r="J34" s="21" t="str">
        <f>Currency</f>
        <v>€</v>
      </c>
      <c r="K34" s="199">
        <f>D60*(1+VarTab09)</f>
        <v>0</v>
      </c>
      <c r="L34" s="1"/>
      <c r="M34" s="93">
        <v>28</v>
      </c>
      <c r="N34" s="125">
        <f t="shared" si="2"/>
        <v>0</v>
      </c>
      <c r="O34" s="125">
        <f t="shared" si="3"/>
        <v>0</v>
      </c>
      <c r="P34" s="199">
        <f t="shared" ca="1" si="20"/>
        <v>24555.188378186092</v>
      </c>
      <c r="Q34" s="1"/>
      <c r="S34" s="787">
        <v>0</v>
      </c>
      <c r="T34" s="204"/>
      <c r="U34" s="204">
        <f t="shared" si="21"/>
        <v>0</v>
      </c>
      <c r="V34" s="204">
        <f t="shared" si="22"/>
        <v>0</v>
      </c>
      <c r="W34" s="204">
        <f t="shared" si="23"/>
        <v>0</v>
      </c>
      <c r="X34" s="204">
        <f t="shared" si="4"/>
        <v>0</v>
      </c>
      <c r="Y34" s="204">
        <f t="shared" si="5"/>
        <v>0</v>
      </c>
      <c r="Z34" s="204">
        <f t="shared" si="6"/>
        <v>0</v>
      </c>
      <c r="AA34" s="204">
        <f t="shared" si="24"/>
        <v>0</v>
      </c>
      <c r="AB34" s="204">
        <f t="shared" si="25"/>
        <v>0</v>
      </c>
      <c r="AC34" s="204">
        <f t="shared" si="26"/>
        <v>0</v>
      </c>
      <c r="AD34" s="204">
        <f t="shared" si="27"/>
        <v>0</v>
      </c>
      <c r="AE34" s="204"/>
      <c r="AF34" s="204">
        <f t="shared" si="28"/>
        <v>0</v>
      </c>
      <c r="AG34" s="204">
        <f t="shared" si="7"/>
        <v>0</v>
      </c>
      <c r="AH34" s="204">
        <f t="shared" si="8"/>
        <v>0</v>
      </c>
      <c r="AI34" s="204">
        <f t="shared" si="9"/>
        <v>0</v>
      </c>
      <c r="AJ34" s="204"/>
      <c r="AK34" s="204">
        <f t="shared" si="29"/>
        <v>0</v>
      </c>
      <c r="AL34" s="204">
        <f t="shared" ca="1" si="30"/>
        <v>0</v>
      </c>
      <c r="AM34" s="204">
        <f t="shared" ca="1" si="10"/>
        <v>0</v>
      </c>
      <c r="AN34" s="204">
        <f t="shared" ca="1" si="40"/>
        <v>0</v>
      </c>
      <c r="AO34" s="204">
        <f t="shared" ca="1" si="31"/>
        <v>0</v>
      </c>
      <c r="AP34" s="204">
        <f t="shared" ca="1" si="11"/>
        <v>0</v>
      </c>
      <c r="AQ34" s="204">
        <f t="shared" ca="1" si="12"/>
        <v>0</v>
      </c>
      <c r="AR34" s="204">
        <f t="shared" si="13"/>
        <v>0</v>
      </c>
      <c r="AS34" s="204">
        <f t="shared" si="32"/>
        <v>0</v>
      </c>
      <c r="AT34" s="204">
        <f t="shared" si="33"/>
        <v>0</v>
      </c>
      <c r="AU34" s="204">
        <f t="shared" si="34"/>
        <v>0</v>
      </c>
      <c r="AV34" s="204">
        <f t="shared" si="35"/>
        <v>0</v>
      </c>
      <c r="AW34" s="204">
        <f t="shared" si="14"/>
        <v>0</v>
      </c>
      <c r="AX34" s="204">
        <f t="shared" ca="1" si="15"/>
        <v>30637.313378186092</v>
      </c>
      <c r="AY34" s="204">
        <f t="shared" si="16"/>
        <v>0</v>
      </c>
      <c r="AZ34" s="204" t="str">
        <f t="shared" si="17"/>
        <v>N/A</v>
      </c>
      <c r="BA34" s="204">
        <f t="shared" si="36"/>
        <v>0</v>
      </c>
      <c r="BB34" s="204">
        <f t="shared" si="37"/>
        <v>0</v>
      </c>
      <c r="BC34" s="204" t="str">
        <f t="shared" si="18"/>
        <v xml:space="preserve"> </v>
      </c>
      <c r="BD34" s="204" t="str">
        <f t="shared" si="19"/>
        <v>,0</v>
      </c>
      <c r="BE34" s="204">
        <f t="shared" si="38"/>
        <v>0</v>
      </c>
      <c r="BF34" s="204">
        <f t="shared" si="39"/>
        <v>0</v>
      </c>
      <c r="BG34">
        <v>73104</v>
      </c>
      <c r="BH34">
        <v>74510</v>
      </c>
      <c r="BI34">
        <v>76000</v>
      </c>
    </row>
    <row r="35" spans="1:61" ht="12.75" customHeight="1">
      <c r="A35" s="12"/>
      <c r="B35" s="8" t="str">
        <f>G31</f>
        <v>Receita com eletricidade exportada</v>
      </c>
      <c r="C35" s="21" t="str">
        <f>$C$11</f>
        <v>€</v>
      </c>
      <c r="D35" s="758">
        <f>D34*D33</f>
        <v>1078.0665126789729</v>
      </c>
      <c r="E35" s="1"/>
      <c r="F35" s="447"/>
      <c r="G35" s="1290" t="str">
        <f>Language!C689&amp;" - "&amp;D67&amp;" "&amp;Language!C1421</f>
        <v>Receita da produçaõ de EL -  anos</v>
      </c>
      <c r="H35" s="1290"/>
      <c r="I35" s="1290"/>
      <c r="J35" s="21" t="str">
        <f>Currency</f>
        <v>€</v>
      </c>
      <c r="K35" s="199">
        <f>D66*(1+VarTab10)</f>
        <v>0</v>
      </c>
      <c r="L35" s="1"/>
      <c r="M35" s="93">
        <v>29</v>
      </c>
      <c r="N35" s="125">
        <f t="shared" si="2"/>
        <v>0</v>
      </c>
      <c r="O35" s="125">
        <f t="shared" si="3"/>
        <v>0</v>
      </c>
      <c r="P35" s="199">
        <f t="shared" ca="1" si="20"/>
        <v>24555.188378186092</v>
      </c>
      <c r="Q35" s="1"/>
      <c r="S35" s="787">
        <v>0</v>
      </c>
      <c r="T35" s="204"/>
      <c r="U35" s="204">
        <f t="shared" si="21"/>
        <v>0</v>
      </c>
      <c r="V35" s="204">
        <f t="shared" si="22"/>
        <v>0</v>
      </c>
      <c r="W35" s="204">
        <f t="shared" si="23"/>
        <v>0</v>
      </c>
      <c r="X35" s="204">
        <f t="shared" si="4"/>
        <v>0</v>
      </c>
      <c r="Y35" s="204">
        <f t="shared" si="5"/>
        <v>0</v>
      </c>
      <c r="Z35" s="204">
        <f t="shared" si="6"/>
        <v>0</v>
      </c>
      <c r="AA35" s="204">
        <f t="shared" si="24"/>
        <v>0</v>
      </c>
      <c r="AB35" s="204">
        <f t="shared" si="25"/>
        <v>0</v>
      </c>
      <c r="AC35" s="204">
        <f t="shared" si="26"/>
        <v>0</v>
      </c>
      <c r="AD35" s="204">
        <f t="shared" si="27"/>
        <v>0</v>
      </c>
      <c r="AE35" s="204"/>
      <c r="AF35" s="204">
        <f t="shared" si="28"/>
        <v>0</v>
      </c>
      <c r="AG35" s="204">
        <f t="shared" si="7"/>
        <v>0</v>
      </c>
      <c r="AH35" s="204">
        <f t="shared" si="8"/>
        <v>0</v>
      </c>
      <c r="AI35" s="204">
        <f t="shared" si="9"/>
        <v>0</v>
      </c>
      <c r="AJ35" s="204"/>
      <c r="AK35" s="204">
        <f t="shared" si="29"/>
        <v>0</v>
      </c>
      <c r="AL35" s="204">
        <f t="shared" ca="1" si="30"/>
        <v>0</v>
      </c>
      <c r="AM35" s="204">
        <f t="shared" ca="1" si="10"/>
        <v>0</v>
      </c>
      <c r="AN35" s="204">
        <f t="shared" ca="1" si="40"/>
        <v>0</v>
      </c>
      <c r="AO35" s="204">
        <f t="shared" ca="1" si="31"/>
        <v>0</v>
      </c>
      <c r="AP35" s="204">
        <f t="shared" ca="1" si="11"/>
        <v>0</v>
      </c>
      <c r="AQ35" s="204">
        <f t="shared" ca="1" si="12"/>
        <v>0</v>
      </c>
      <c r="AR35" s="204">
        <f t="shared" si="13"/>
        <v>0</v>
      </c>
      <c r="AS35" s="204">
        <f t="shared" si="32"/>
        <v>0</v>
      </c>
      <c r="AT35" s="204">
        <f t="shared" si="33"/>
        <v>0</v>
      </c>
      <c r="AU35" s="204">
        <f t="shared" si="34"/>
        <v>0</v>
      </c>
      <c r="AV35" s="204">
        <f t="shared" si="35"/>
        <v>0</v>
      </c>
      <c r="AW35" s="204">
        <f t="shared" si="14"/>
        <v>0</v>
      </c>
      <c r="AX35" s="204">
        <f t="shared" ca="1" si="15"/>
        <v>30637.313378186092</v>
      </c>
      <c r="AY35" s="204">
        <f t="shared" si="16"/>
        <v>0</v>
      </c>
      <c r="AZ35" s="204" t="str">
        <f t="shared" si="17"/>
        <v>N/A</v>
      </c>
      <c r="BA35" s="204">
        <f t="shared" si="36"/>
        <v>0</v>
      </c>
      <c r="BB35" s="204">
        <f t="shared" si="37"/>
        <v>0</v>
      </c>
      <c r="BC35" s="204" t="str">
        <f t="shared" si="18"/>
        <v xml:space="preserve"> </v>
      </c>
      <c r="BD35" s="204" t="str">
        <f t="shared" si="19"/>
        <v>,0</v>
      </c>
      <c r="BE35" s="204">
        <f t="shared" si="38"/>
        <v>0</v>
      </c>
      <c r="BF35" s="204">
        <f t="shared" si="39"/>
        <v>0</v>
      </c>
      <c r="BG35">
        <v>73106</v>
      </c>
      <c r="BH35">
        <v>74512</v>
      </c>
      <c r="BI35">
        <v>76000</v>
      </c>
    </row>
    <row r="36" spans="1:61" ht="12.75" customHeight="1">
      <c r="A36" s="12"/>
      <c r="B36" s="795" t="str">
        <f>Language!C208</f>
        <v>Taxa de indexação sobre a eletricidade exportada</v>
      </c>
      <c r="C36" s="21" t="str">
        <f>C5</f>
        <v>%</v>
      </c>
      <c r="D36" s="302">
        <v>0.04</v>
      </c>
      <c r="E36" s="1"/>
      <c r="F36" s="447"/>
      <c r="G36" s="1188" t="str">
        <f>Language!C691</f>
        <v>Total de economia e receita anual</v>
      </c>
      <c r="H36" s="1188"/>
      <c r="I36" s="1188"/>
      <c r="J36" s="16" t="str">
        <f>Currency</f>
        <v>€</v>
      </c>
      <c r="K36" s="206">
        <f>SUM(K30:K35)</f>
        <v>1078.0665126789729</v>
      </c>
      <c r="L36" s="1"/>
      <c r="M36" s="93">
        <v>30</v>
      </c>
      <c r="N36" s="125">
        <f t="shared" si="2"/>
        <v>0</v>
      </c>
      <c r="O36" s="125">
        <f t="shared" si="3"/>
        <v>0</v>
      </c>
      <c r="P36" s="199">
        <f t="shared" ca="1" si="20"/>
        <v>24555.188378186092</v>
      </c>
      <c r="Q36" s="1"/>
      <c r="S36" s="787">
        <v>1078.0665126789729</v>
      </c>
      <c r="T36" s="204"/>
      <c r="U36" s="204">
        <f t="shared" si="21"/>
        <v>0</v>
      </c>
      <c r="V36" s="204">
        <f t="shared" si="22"/>
        <v>0</v>
      </c>
      <c r="W36" s="204">
        <f t="shared" si="23"/>
        <v>0</v>
      </c>
      <c r="X36" s="204">
        <f t="shared" si="4"/>
        <v>0</v>
      </c>
      <c r="Y36" s="204">
        <f t="shared" si="5"/>
        <v>0</v>
      </c>
      <c r="Z36" s="204">
        <f t="shared" si="6"/>
        <v>0</v>
      </c>
      <c r="AA36" s="204">
        <f t="shared" si="24"/>
        <v>0</v>
      </c>
      <c r="AB36" s="204">
        <f t="shared" si="25"/>
        <v>0</v>
      </c>
      <c r="AC36" s="204">
        <f t="shared" si="26"/>
        <v>0</v>
      </c>
      <c r="AD36" s="204">
        <f t="shared" si="27"/>
        <v>0</v>
      </c>
      <c r="AE36" s="204"/>
      <c r="AF36" s="204">
        <f t="shared" si="28"/>
        <v>0</v>
      </c>
      <c r="AG36" s="204">
        <f t="shared" si="7"/>
        <v>0</v>
      </c>
      <c r="AH36" s="204">
        <f t="shared" si="8"/>
        <v>0</v>
      </c>
      <c r="AI36" s="204">
        <f t="shared" si="9"/>
        <v>0</v>
      </c>
      <c r="AJ36" s="204"/>
      <c r="AK36" s="204">
        <f t="shared" si="29"/>
        <v>0</v>
      </c>
      <c r="AL36" s="204">
        <f t="shared" ca="1" si="30"/>
        <v>0</v>
      </c>
      <c r="AM36" s="204">
        <f t="shared" ca="1" si="10"/>
        <v>0</v>
      </c>
      <c r="AN36" s="204">
        <f t="shared" ca="1" si="40"/>
        <v>0</v>
      </c>
      <c r="AO36" s="204">
        <f t="shared" ca="1" si="31"/>
        <v>0</v>
      </c>
      <c r="AP36" s="204">
        <f t="shared" ca="1" si="11"/>
        <v>0</v>
      </c>
      <c r="AQ36" s="204">
        <f t="shared" ca="1" si="12"/>
        <v>0</v>
      </c>
      <c r="AR36" s="204">
        <f t="shared" si="13"/>
        <v>0</v>
      </c>
      <c r="AS36" s="204">
        <f t="shared" si="32"/>
        <v>0</v>
      </c>
      <c r="AT36" s="204">
        <f t="shared" si="33"/>
        <v>0</v>
      </c>
      <c r="AU36" s="204">
        <f t="shared" si="34"/>
        <v>0</v>
      </c>
      <c r="AV36" s="204">
        <f t="shared" si="35"/>
        <v>0</v>
      </c>
      <c r="AW36" s="204">
        <f t="shared" si="14"/>
        <v>0</v>
      </c>
      <c r="AX36" s="204">
        <f t="shared" ca="1" si="15"/>
        <v>30637.313378186092</v>
      </c>
      <c r="AY36" s="204">
        <f t="shared" si="16"/>
        <v>0</v>
      </c>
      <c r="AZ36" s="204" t="str">
        <f t="shared" si="17"/>
        <v>N/A</v>
      </c>
      <c r="BA36" s="204">
        <f t="shared" si="36"/>
        <v>0</v>
      </c>
      <c r="BB36" s="204">
        <f t="shared" si="37"/>
        <v>0</v>
      </c>
      <c r="BC36" s="204" t="str">
        <f t="shared" si="18"/>
        <v xml:space="preserve"> </v>
      </c>
      <c r="BD36" s="204" t="str">
        <f t="shared" si="19"/>
        <v>,0</v>
      </c>
      <c r="BE36" s="204">
        <f t="shared" si="38"/>
        <v>0</v>
      </c>
      <c r="BF36" s="204">
        <f t="shared" si="39"/>
        <v>0</v>
      </c>
      <c r="BG36">
        <v>73108</v>
      </c>
      <c r="BH36">
        <v>74500</v>
      </c>
      <c r="BI36">
        <v>76000</v>
      </c>
    </row>
    <row r="37" spans="1:61" ht="12.75" customHeight="1">
      <c r="A37" s="14"/>
      <c r="B37" s="15"/>
      <c r="C37" s="15"/>
      <c r="D37" s="11"/>
      <c r="E37" s="1"/>
      <c r="F37" s="12"/>
      <c r="G37" s="1"/>
      <c r="H37" s="1"/>
      <c r="I37" s="1"/>
      <c r="J37" s="1"/>
      <c r="K37" s="9"/>
      <c r="L37" s="1"/>
      <c r="M37" s="93">
        <v>31</v>
      </c>
      <c r="N37" s="125">
        <f t="shared" si="2"/>
        <v>0</v>
      </c>
      <c r="O37" s="125">
        <f t="shared" si="3"/>
        <v>0</v>
      </c>
      <c r="P37" s="199">
        <f t="shared" ca="1" si="20"/>
        <v>24555.188378186092</v>
      </c>
      <c r="Q37" s="1"/>
      <c r="S37" s="204"/>
      <c r="T37" s="204"/>
      <c r="U37" s="204">
        <f t="shared" si="21"/>
        <v>0</v>
      </c>
      <c r="V37" s="204">
        <f t="shared" si="22"/>
        <v>0</v>
      </c>
      <c r="W37" s="204">
        <f t="shared" si="23"/>
        <v>0</v>
      </c>
      <c r="X37" s="204">
        <f t="shared" si="4"/>
        <v>0</v>
      </c>
      <c r="Y37" s="204">
        <f t="shared" si="5"/>
        <v>0</v>
      </c>
      <c r="Z37" s="204">
        <f t="shared" si="6"/>
        <v>0</v>
      </c>
      <c r="AA37" s="204">
        <f t="shared" si="24"/>
        <v>0</v>
      </c>
      <c r="AB37" s="204">
        <f t="shared" si="25"/>
        <v>0</v>
      </c>
      <c r="AC37" s="204">
        <f t="shared" si="26"/>
        <v>0</v>
      </c>
      <c r="AD37" s="204">
        <f t="shared" si="27"/>
        <v>0</v>
      </c>
      <c r="AE37" s="204"/>
      <c r="AF37" s="204">
        <f t="shared" si="28"/>
        <v>0</v>
      </c>
      <c r="AG37" s="204">
        <f t="shared" si="7"/>
        <v>0</v>
      </c>
      <c r="AH37" s="204">
        <f t="shared" si="8"/>
        <v>0</v>
      </c>
      <c r="AI37" s="204">
        <f t="shared" si="9"/>
        <v>0</v>
      </c>
      <c r="AJ37" s="204"/>
      <c r="AK37" s="204">
        <f t="shared" si="29"/>
        <v>0</v>
      </c>
      <c r="AL37" s="204">
        <f t="shared" ca="1" si="30"/>
        <v>0</v>
      </c>
      <c r="AM37" s="204">
        <f t="shared" ca="1" si="10"/>
        <v>0</v>
      </c>
      <c r="AN37" s="204">
        <f t="shared" ca="1" si="40"/>
        <v>0</v>
      </c>
      <c r="AO37" s="204">
        <f t="shared" ca="1" si="31"/>
        <v>0</v>
      </c>
      <c r="AP37" s="204">
        <f t="shared" ca="1" si="11"/>
        <v>0</v>
      </c>
      <c r="AQ37" s="204">
        <f t="shared" ca="1" si="12"/>
        <v>0</v>
      </c>
      <c r="AR37" s="204">
        <f t="shared" si="13"/>
        <v>0</v>
      </c>
      <c r="AS37" s="204">
        <f t="shared" si="32"/>
        <v>0</v>
      </c>
      <c r="AT37" s="204">
        <f t="shared" si="33"/>
        <v>0</v>
      </c>
      <c r="AU37" s="204">
        <f t="shared" si="34"/>
        <v>0</v>
      </c>
      <c r="AV37" s="204">
        <f t="shared" si="35"/>
        <v>0</v>
      </c>
      <c r="AW37" s="204">
        <f t="shared" si="14"/>
        <v>0</v>
      </c>
      <c r="AX37" s="204">
        <f t="shared" ca="1" si="15"/>
        <v>30637.313378186092</v>
      </c>
      <c r="AY37" s="204">
        <f t="shared" si="16"/>
        <v>0</v>
      </c>
      <c r="AZ37" s="204" t="str">
        <f t="shared" si="17"/>
        <v>N/A</v>
      </c>
      <c r="BA37" s="204">
        <f t="shared" si="36"/>
        <v>0</v>
      </c>
      <c r="BB37" s="204">
        <f t="shared" si="37"/>
        <v>0</v>
      </c>
      <c r="BC37" s="204" t="str">
        <f t="shared" si="18"/>
        <v xml:space="preserve"> </v>
      </c>
      <c r="BD37" s="204" t="str">
        <f t="shared" si="19"/>
        <v>,0</v>
      </c>
      <c r="BE37" s="204">
        <f t="shared" si="38"/>
        <v>0</v>
      </c>
      <c r="BF37" s="204">
        <f t="shared" si="39"/>
        <v>0</v>
      </c>
      <c r="BG37">
        <v>73100</v>
      </c>
      <c r="BH37">
        <v>74000</v>
      </c>
      <c r="BI37">
        <v>76000</v>
      </c>
    </row>
    <row r="38" spans="1:61" ht="12.75" customHeight="1">
      <c r="A38" s="434" t="str">
        <f>Language!C690</f>
        <v>Receita pela redução de GEE</v>
      </c>
      <c r="B38" s="5"/>
      <c r="C38" s="5"/>
      <c r="D38" s="1034" t="s">
        <v>4189</v>
      </c>
      <c r="E38" s="1"/>
      <c r="F38" s="14"/>
      <c r="G38" s="15"/>
      <c r="H38" s="15"/>
      <c r="I38" s="15"/>
      <c r="J38" s="15"/>
      <c r="K38" s="11"/>
      <c r="L38" s="1"/>
      <c r="M38" s="93">
        <v>32</v>
      </c>
      <c r="N38" s="125">
        <f t="shared" ref="N38:N56" si="41">AH38</f>
        <v>0</v>
      </c>
      <c r="O38" s="125">
        <f t="shared" ref="O38:O56" si="42">AI38</f>
        <v>0</v>
      </c>
      <c r="P38" s="199">
        <f t="shared" ca="1" si="20"/>
        <v>24555.188378186092</v>
      </c>
      <c r="Q38" s="1"/>
      <c r="S38" s="204"/>
      <c r="T38" s="204"/>
      <c r="U38" s="204">
        <f t="shared" si="21"/>
        <v>0</v>
      </c>
      <c r="V38" s="204">
        <f t="shared" si="22"/>
        <v>0</v>
      </c>
      <c r="W38" s="204">
        <f t="shared" si="23"/>
        <v>0</v>
      </c>
      <c r="X38" s="204">
        <f t="shared" ref="X38:X56" si="43">SUM(T38:W38)+SUM(BA38:BB38)</f>
        <v>0</v>
      </c>
      <c r="Y38" s="204">
        <f t="shared" ref="Y38:Y56" si="44">IF(AND(W$63=1,M38&lt;=D$29,M38&gt;0),MIN(IF(W$62=1,AU38,IF(W$62=2,AS38,AR38)),0),IF(W$62=1,AU38,IF(W$62=2,AS38,AR38)))</f>
        <v>0</v>
      </c>
      <c r="Z38" s="204">
        <f t="shared" si="6"/>
        <v>0</v>
      </c>
      <c r="AA38" s="204">
        <f t="shared" si="24"/>
        <v>0</v>
      </c>
      <c r="AB38" s="204">
        <f t="shared" si="25"/>
        <v>0</v>
      </c>
      <c r="AC38" s="204">
        <f t="shared" si="26"/>
        <v>0</v>
      </c>
      <c r="AD38" s="204">
        <f t="shared" si="27"/>
        <v>0</v>
      </c>
      <c r="AE38" s="204"/>
      <c r="AF38" s="204">
        <f t="shared" si="28"/>
        <v>0</v>
      </c>
      <c r="AG38" s="204">
        <f t="shared" ref="AG38:AG56" si="45">SUM(AA38:AF38)</f>
        <v>0</v>
      </c>
      <c r="AH38" s="204">
        <f t="shared" ref="AH38:AH56" si="46">AG38-X38</f>
        <v>0</v>
      </c>
      <c r="AI38" s="204">
        <f t="shared" ref="AI38:AI56" si="47">-Z38+AG38</f>
        <v>0</v>
      </c>
      <c r="AJ38" s="204"/>
      <c r="AK38" s="204">
        <f t="shared" si="29"/>
        <v>0</v>
      </c>
      <c r="AL38" s="204">
        <f t="shared" ca="1" si="30"/>
        <v>0</v>
      </c>
      <c r="AM38" s="204">
        <f t="shared" ref="AM38:AM56" ca="1" si="48">IF(M38&lt;U$64,0,-AL38)</f>
        <v>0</v>
      </c>
      <c r="AN38" s="204">
        <f t="shared" ca="1" si="40"/>
        <v>0</v>
      </c>
      <c r="AO38" s="204">
        <f t="shared" ca="1" si="31"/>
        <v>0</v>
      </c>
      <c r="AP38" s="204">
        <f t="shared" ref="AP38:AP56" ca="1" si="49">AL38+IF(C$23=$X$81,AM38, IF(C$23=$X$82,AN38,AO38))</f>
        <v>0</v>
      </c>
      <c r="AQ38" s="204">
        <f t="shared" ref="AQ38:AQ56" ca="1" si="50">AH38+AJ38+AK38+IF(C$23=$X$81,AM38,IF(C$23=$X$82,AN38,AO38))</f>
        <v>0</v>
      </c>
      <c r="AR38" s="204">
        <f t="shared" ref="AR38:AR56" si="51">IF($W$61=1,D$21*AQ38,0)</f>
        <v>0</v>
      </c>
      <c r="AS38" s="204">
        <f t="shared" si="32"/>
        <v>0</v>
      </c>
      <c r="AT38" s="204">
        <f t="shared" si="33"/>
        <v>0</v>
      </c>
      <c r="AU38" s="204">
        <f t="shared" si="34"/>
        <v>0</v>
      </c>
      <c r="AV38" s="204">
        <f t="shared" si="35"/>
        <v>0</v>
      </c>
      <c r="AW38" s="204">
        <f t="shared" ref="AW38:AW56" si="52">AH38+W38</f>
        <v>0</v>
      </c>
      <c r="AX38" s="204">
        <f t="shared" ref="AX38:AX56" ca="1" si="53">P38-O$6</f>
        <v>30637.313378186092</v>
      </c>
      <c r="AY38" s="204">
        <f t="shared" ref="AY38:AY56" si="54">W38</f>
        <v>0</v>
      </c>
      <c r="AZ38" s="204" t="str">
        <f t="shared" si="17"/>
        <v>N/A</v>
      </c>
      <c r="BA38" s="204">
        <f t="shared" si="36"/>
        <v>0</v>
      </c>
      <c r="BB38" s="204">
        <f t="shared" si="37"/>
        <v>0</v>
      </c>
      <c r="BC38" s="204" t="str">
        <f t="shared" ref="BC38:BC56" si="55">IF(M38*$BA$2&lt;=U$64,(IF(M38&lt;=1,"",",")&amp;TEXT(M38*$BA$2,"0"))," ")</f>
        <v xml:space="preserve"> </v>
      </c>
      <c r="BD38" s="204" t="str">
        <f t="shared" ref="BD38:BD56" si="56">IF(M38*$BB$2&lt;=U$64,(IF(M38&lt;=1,"",",")&amp;TEXT(M38*$BB$2,"0"))," ")</f>
        <v>,0</v>
      </c>
      <c r="BE38" s="204">
        <f t="shared" si="38"/>
        <v>0</v>
      </c>
      <c r="BF38" s="204">
        <f t="shared" si="39"/>
        <v>0</v>
      </c>
      <c r="BG38">
        <v>73200</v>
      </c>
      <c r="BH38">
        <v>74000</v>
      </c>
      <c r="BI38">
        <v>76000</v>
      </c>
    </row>
    <row r="39" spans="1:61" ht="12.75" customHeight="1">
      <c r="A39" s="12"/>
      <c r="B39" s="8" t="str">
        <f>IF(GHG_Baseline=0,AA81&amp;'Análise de Emissões'!E46-1,"")</f>
        <v/>
      </c>
      <c r="C39" s="21" t="str">
        <f>C40</f>
        <v>tCO2/an</v>
      </c>
      <c r="D39" s="199">
        <f>IF(GHG_Baseline=0,'Análise de Emissões'!K189,0)*(1+VarTab07)</f>
        <v>0</v>
      </c>
      <c r="E39" s="1"/>
      <c r="F39" s="1"/>
      <c r="G39" s="1"/>
      <c r="H39" s="1"/>
      <c r="I39" s="1"/>
      <c r="J39" s="1"/>
      <c r="K39" s="1"/>
      <c r="L39" s="1"/>
      <c r="M39" s="93">
        <v>33</v>
      </c>
      <c r="N39" s="125">
        <f t="shared" si="41"/>
        <v>0</v>
      </c>
      <c r="O39" s="125">
        <f t="shared" si="42"/>
        <v>0</v>
      </c>
      <c r="P39" s="199">
        <f t="shared" ca="1" si="20"/>
        <v>24555.188378186092</v>
      </c>
      <c r="Q39" s="1"/>
      <c r="S39" s="204"/>
      <c r="T39" s="204"/>
      <c r="U39" s="204">
        <f t="shared" ref="U39:U56" si="57">IF(M39&lt;=ProjLife,K$19*(1+$U$62)^M39,0)</f>
        <v>0</v>
      </c>
      <c r="V39" s="204">
        <f t="shared" ref="V39:V56" si="58">IF(M39&lt;=ProjLife,K$20*(1+$U$61)^M39,0)</f>
        <v>0</v>
      </c>
      <c r="W39" s="204">
        <f t="shared" ref="W39:W56" si="59">IF(M39&lt;=Debt_term,K$21,0)</f>
        <v>0</v>
      </c>
      <c r="X39" s="204">
        <f t="shared" si="43"/>
        <v>0</v>
      </c>
      <c r="Y39" s="204">
        <f t="shared" si="44"/>
        <v>0</v>
      </c>
      <c r="Z39" s="204">
        <f t="shared" si="6"/>
        <v>0</v>
      </c>
      <c r="AA39" s="204">
        <f t="shared" ref="AA39:AA56" si="60">IF(M39&lt;=ProjLife,(K$30+$K$33)*(1+$U$61)^M39,0)</f>
        <v>0</v>
      </c>
      <c r="AB39" s="204">
        <f t="shared" ref="AB39:AB56" si="61">IF(M39&lt;=ProjLife,K$31*(1+$U$69)^M39,0)</f>
        <v>0</v>
      </c>
      <c r="AC39" s="204">
        <f t="shared" ref="AC39:AC56" si="62">IF(AND(M39&lt;=D$67,M39&lt;=U$64),K$35*(1+$D$68)^M39,0)</f>
        <v>0</v>
      </c>
      <c r="AD39" s="204">
        <f t="shared" ref="AD39:AD56" si="63">IF(AND(M39&lt;=U$71,M39&lt;=U$64,GHG&gt;0),IF(AND(GHG_Baseline=0,M39&lt;=$W$65),$D$39,$D$40),0)*$V$84*(1+$U$72)^M39*$U$59+$V$85*IF(M39&lt;=$D$61,1,0)*(1+$D$62)^M39*$K$34*$U$59</f>
        <v>0</v>
      </c>
      <c r="AE39" s="204"/>
      <c r="AF39" s="204">
        <f t="shared" ref="AF39:AF56" si="64">IF(M39=ProjLife,-K$27*(1+$U$62)^M39,0)</f>
        <v>0</v>
      </c>
      <c r="AG39" s="204">
        <f t="shared" si="45"/>
        <v>0</v>
      </c>
      <c r="AH39" s="204">
        <f t="shared" si="46"/>
        <v>0</v>
      </c>
      <c r="AI39" s="204">
        <f t="shared" si="47"/>
        <v>0</v>
      </c>
      <c r="AJ39" s="204"/>
      <c r="AK39" s="204">
        <f t="shared" ref="AK39:AK56" si="65">IF(M39&lt;=Debt_term,-PPMT(Debt_IR,M39,Debt_term,Debt_con),0)</f>
        <v>0</v>
      </c>
      <c r="AL39" s="204">
        <f t="shared" ca="1" si="30"/>
        <v>0</v>
      </c>
      <c r="AM39" s="204">
        <f t="shared" ca="1" si="48"/>
        <v>0</v>
      </c>
      <c r="AN39" s="204">
        <f t="shared" ca="1" si="40"/>
        <v>0</v>
      </c>
      <c r="AO39" s="204">
        <f t="shared" ref="AO39:AO56" ca="1" si="66">IF(M39&lt;ProjLife,IF(M39&lt;=D$27,-D$25*Init_costs/D$27,0),-AL39)</f>
        <v>0</v>
      </c>
      <c r="AP39" s="204">
        <f t="shared" ca="1" si="49"/>
        <v>0</v>
      </c>
      <c r="AQ39" s="204">
        <f t="shared" ca="1" si="50"/>
        <v>0</v>
      </c>
      <c r="AR39" s="204">
        <f t="shared" si="51"/>
        <v>0</v>
      </c>
      <c r="AS39" s="204">
        <f t="shared" si="32"/>
        <v>0</v>
      </c>
      <c r="AT39" s="204">
        <f t="shared" si="33"/>
        <v>0</v>
      </c>
      <c r="AU39" s="204">
        <f t="shared" si="34"/>
        <v>0</v>
      </c>
      <c r="AV39" s="204">
        <f t="shared" si="35"/>
        <v>0</v>
      </c>
      <c r="AW39" s="204">
        <f t="shared" si="52"/>
        <v>0</v>
      </c>
      <c r="AX39" s="204">
        <f t="shared" ca="1" si="53"/>
        <v>30637.313378186092</v>
      </c>
      <c r="AY39" s="204">
        <f t="shared" si="54"/>
        <v>0</v>
      </c>
      <c r="AZ39" s="204" t="str">
        <f t="shared" si="17"/>
        <v>N/A</v>
      </c>
      <c r="BA39" s="204">
        <f t="shared" ref="BA39:BA56" si="67">IF($BA$2=0,0,IF(AND(M39&lt;=ProjLife,MOD(M39,$BA$2)=0),K$25*(1+$U$62)^M39,0))</f>
        <v>0</v>
      </c>
      <c r="BB39" s="204">
        <f t="shared" ref="BB39:BB56" si="68">IF($BB$2=0,0,IF(AND(M39&lt;=ProjLife,MOD(M39,$BB$2)=0),K$26*(1+$U$62)^M39,0))</f>
        <v>0</v>
      </c>
      <c r="BC39" s="204" t="str">
        <f t="shared" si="55"/>
        <v xml:space="preserve"> </v>
      </c>
      <c r="BD39" s="204" t="str">
        <f t="shared" si="56"/>
        <v>,0</v>
      </c>
      <c r="BE39" s="204">
        <f t="shared" ref="BE39:BE56" si="69">AH39</f>
        <v>0</v>
      </c>
      <c r="BF39" s="204">
        <f t="shared" ref="BF39:BF56" si="70">AI39</f>
        <v>0</v>
      </c>
      <c r="BG39">
        <v>73202</v>
      </c>
      <c r="BH39">
        <v>70000</v>
      </c>
      <c r="BI39">
        <v>76000</v>
      </c>
    </row>
    <row r="40" spans="1:61" ht="12.75" customHeight="1">
      <c r="A40" s="12"/>
      <c r="B40" s="8" t="str">
        <f>IF(GHG_Baseline=0,AA82&amp;'Análise de Emissões'!E46&amp;AA83,AA80)</f>
        <v>Redução líquida de GEE</v>
      </c>
      <c r="C40" s="21" t="str">
        <f>Language!C1411</f>
        <v>tCO2/an</v>
      </c>
      <c r="D40" s="199">
        <f>IF(GHG_Baseline=0,'Análise de Emissões'!K190,'Análise de Emissões'!K189)*(1+VarTab07)</f>
        <v>2.382248782307582</v>
      </c>
      <c r="E40" s="340"/>
      <c r="F40" s="435" t="str">
        <f>Language!C694</f>
        <v>Viabil. Financeira</v>
      </c>
      <c r="G40" s="192"/>
      <c r="H40" s="192"/>
      <c r="I40" s="192"/>
      <c r="J40" s="192"/>
      <c r="K40" s="193"/>
      <c r="L40" s="1"/>
      <c r="M40" s="93">
        <v>34</v>
      </c>
      <c r="N40" s="125">
        <f t="shared" si="41"/>
        <v>0</v>
      </c>
      <c r="O40" s="125">
        <f t="shared" si="42"/>
        <v>0</v>
      </c>
      <c r="P40" s="199">
        <f t="shared" ca="1" si="20"/>
        <v>24555.188378186092</v>
      </c>
      <c r="Q40" s="1"/>
      <c r="S40" s="204"/>
      <c r="T40" s="204"/>
      <c r="U40" s="204">
        <f t="shared" si="57"/>
        <v>0</v>
      </c>
      <c r="V40" s="204">
        <f t="shared" si="58"/>
        <v>0</v>
      </c>
      <c r="W40" s="204">
        <f t="shared" si="59"/>
        <v>0</v>
      </c>
      <c r="X40" s="204">
        <f t="shared" si="43"/>
        <v>0</v>
      </c>
      <c r="Y40" s="204">
        <f t="shared" si="44"/>
        <v>0</v>
      </c>
      <c r="Z40" s="204">
        <f t="shared" si="6"/>
        <v>0</v>
      </c>
      <c r="AA40" s="204">
        <f t="shared" si="60"/>
        <v>0</v>
      </c>
      <c r="AB40" s="204">
        <f t="shared" si="61"/>
        <v>0</v>
      </c>
      <c r="AC40" s="204">
        <f t="shared" si="62"/>
        <v>0</v>
      </c>
      <c r="AD40" s="204">
        <f t="shared" si="63"/>
        <v>0</v>
      </c>
      <c r="AE40" s="204"/>
      <c r="AF40" s="204">
        <f t="shared" si="64"/>
        <v>0</v>
      </c>
      <c r="AG40" s="204">
        <f t="shared" si="45"/>
        <v>0</v>
      </c>
      <c r="AH40" s="204">
        <f t="shared" si="46"/>
        <v>0</v>
      </c>
      <c r="AI40" s="204">
        <f t="shared" si="47"/>
        <v>0</v>
      </c>
      <c r="AJ40" s="204"/>
      <c r="AK40" s="204">
        <f t="shared" si="65"/>
        <v>0</v>
      </c>
      <c r="AL40" s="204">
        <f t="shared" ca="1" si="30"/>
        <v>0</v>
      </c>
      <c r="AM40" s="204">
        <f t="shared" ca="1" si="48"/>
        <v>0</v>
      </c>
      <c r="AN40" s="204">
        <f t="shared" ref="AN40:AN56" ca="1" si="71">IF(M40&lt;ProjLife,-D$26*AL40,-AL40)</f>
        <v>0</v>
      </c>
      <c r="AO40" s="204">
        <f t="shared" ca="1" si="66"/>
        <v>0</v>
      </c>
      <c r="AP40" s="204">
        <f t="shared" ca="1" si="49"/>
        <v>0</v>
      </c>
      <c r="AQ40" s="204">
        <f t="shared" ca="1" si="50"/>
        <v>0</v>
      </c>
      <c r="AR40" s="204">
        <f t="shared" si="51"/>
        <v>0</v>
      </c>
      <c r="AS40" s="204">
        <f t="shared" si="32"/>
        <v>0</v>
      </c>
      <c r="AT40" s="204">
        <f t="shared" si="33"/>
        <v>0</v>
      </c>
      <c r="AU40" s="204">
        <f t="shared" si="34"/>
        <v>0</v>
      </c>
      <c r="AV40" s="204">
        <f t="shared" si="35"/>
        <v>0</v>
      </c>
      <c r="AW40" s="204">
        <f t="shared" si="52"/>
        <v>0</v>
      </c>
      <c r="AX40" s="204">
        <f t="shared" ca="1" si="53"/>
        <v>30637.313378186092</v>
      </c>
      <c r="AY40" s="204">
        <f t="shared" si="54"/>
        <v>0</v>
      </c>
      <c r="AZ40" s="204" t="str">
        <f t="shared" si="17"/>
        <v>N/A</v>
      </c>
      <c r="BA40" s="204">
        <f t="shared" si="67"/>
        <v>0</v>
      </c>
      <c r="BB40" s="204">
        <f t="shared" si="68"/>
        <v>0</v>
      </c>
      <c r="BC40" s="204" t="str">
        <f t="shared" si="55"/>
        <v xml:space="preserve"> </v>
      </c>
      <c r="BD40" s="204" t="str">
        <f t="shared" si="56"/>
        <v>,0</v>
      </c>
      <c r="BE40" s="204">
        <f t="shared" si="69"/>
        <v>0</v>
      </c>
      <c r="BF40" s="204">
        <f t="shared" si="70"/>
        <v>0</v>
      </c>
      <c r="BG40">
        <v>73204</v>
      </c>
      <c r="BH40">
        <v>75000</v>
      </c>
      <c r="BI40">
        <v>76000</v>
      </c>
    </row>
    <row r="41" spans="1:61" ht="12.75" customHeight="1">
      <c r="A41" s="12"/>
      <c r="B41" s="8" t="str">
        <f>AA80&amp;" - "&amp;U64&amp;" "&amp;Z61</f>
        <v>Redução líquida de GEE - 25 anos</v>
      </c>
      <c r="C41" s="21" t="str">
        <f>C45</f>
        <v>tCO2</v>
      </c>
      <c r="D41" s="199">
        <f>IF(GHG_Baseline=0,IF(ProjLife&gt;'Análise de Emissões'!E46-1,D39*('Análise de Emissões'!E46-1)+D40*(U64-'Análise de Emissões'!E46+1),D39*ProjLife),D40*U64)</f>
        <v>59.556219557689552</v>
      </c>
      <c r="E41" s="340"/>
      <c r="F41" s="12"/>
      <c r="G41" s="1166" t="str">
        <f>Language!C695</f>
        <v>TIR antes impostos-capital próprio</v>
      </c>
      <c r="H41" s="1166"/>
      <c r="I41" s="1285"/>
      <c r="J41" s="21" t="str">
        <f>C46</f>
        <v>%</v>
      </c>
      <c r="K41" s="210">
        <f ca="1">IF(ISERROR(AA62),IF(NPV&gt;0,Language!C707,Language!C706),AA62)</f>
        <v>0.15476812490800973</v>
      </c>
      <c r="L41" s="1"/>
      <c r="M41" s="93">
        <v>35</v>
      </c>
      <c r="N41" s="125">
        <f t="shared" si="41"/>
        <v>0</v>
      </c>
      <c r="O41" s="125">
        <f t="shared" si="42"/>
        <v>0</v>
      </c>
      <c r="P41" s="199">
        <f t="shared" ca="1" si="20"/>
        <v>24555.188378186092</v>
      </c>
      <c r="Q41" s="1"/>
      <c r="S41" s="787">
        <v>0.15476812490800973</v>
      </c>
      <c r="T41" s="204"/>
      <c r="U41" s="204">
        <f t="shared" si="57"/>
        <v>0</v>
      </c>
      <c r="V41" s="204">
        <f t="shared" si="58"/>
        <v>0</v>
      </c>
      <c r="W41" s="204">
        <f t="shared" si="59"/>
        <v>0</v>
      </c>
      <c r="X41" s="204">
        <f t="shared" si="43"/>
        <v>0</v>
      </c>
      <c r="Y41" s="204">
        <f t="shared" si="44"/>
        <v>0</v>
      </c>
      <c r="Z41" s="204">
        <f t="shared" si="6"/>
        <v>0</v>
      </c>
      <c r="AA41" s="204">
        <f t="shared" si="60"/>
        <v>0</v>
      </c>
      <c r="AB41" s="204">
        <f t="shared" si="61"/>
        <v>0</v>
      </c>
      <c r="AC41" s="204">
        <f t="shared" si="62"/>
        <v>0</v>
      </c>
      <c r="AD41" s="204">
        <f t="shared" si="63"/>
        <v>0</v>
      </c>
      <c r="AE41" s="204"/>
      <c r="AF41" s="204">
        <f t="shared" si="64"/>
        <v>0</v>
      </c>
      <c r="AG41" s="204">
        <f t="shared" si="45"/>
        <v>0</v>
      </c>
      <c r="AH41" s="204">
        <f t="shared" si="46"/>
        <v>0</v>
      </c>
      <c r="AI41" s="204">
        <f t="shared" si="47"/>
        <v>0</v>
      </c>
      <c r="AJ41" s="204"/>
      <c r="AK41" s="204">
        <f t="shared" si="65"/>
        <v>0</v>
      </c>
      <c r="AL41" s="204">
        <f t="shared" ca="1" si="30"/>
        <v>0</v>
      </c>
      <c r="AM41" s="204">
        <f t="shared" ca="1" si="48"/>
        <v>0</v>
      </c>
      <c r="AN41" s="204">
        <f t="shared" ca="1" si="71"/>
        <v>0</v>
      </c>
      <c r="AO41" s="204">
        <f t="shared" ca="1" si="66"/>
        <v>0</v>
      </c>
      <c r="AP41" s="204">
        <f t="shared" ca="1" si="49"/>
        <v>0</v>
      </c>
      <c r="AQ41" s="204">
        <f t="shared" ca="1" si="50"/>
        <v>0</v>
      </c>
      <c r="AR41" s="204">
        <f t="shared" si="51"/>
        <v>0</v>
      </c>
      <c r="AS41" s="204">
        <f t="shared" si="32"/>
        <v>0</v>
      </c>
      <c r="AT41" s="204">
        <f t="shared" si="33"/>
        <v>0</v>
      </c>
      <c r="AU41" s="204">
        <f t="shared" si="34"/>
        <v>0</v>
      </c>
      <c r="AV41" s="204">
        <f t="shared" si="35"/>
        <v>0</v>
      </c>
      <c r="AW41" s="204">
        <f t="shared" si="52"/>
        <v>0</v>
      </c>
      <c r="AX41" s="204">
        <f t="shared" ca="1" si="53"/>
        <v>30637.313378186092</v>
      </c>
      <c r="AY41" s="204">
        <f t="shared" si="54"/>
        <v>0</v>
      </c>
      <c r="AZ41" s="204" t="str">
        <f t="shared" si="17"/>
        <v>N/A</v>
      </c>
      <c r="BA41" s="204">
        <f t="shared" si="67"/>
        <v>0</v>
      </c>
      <c r="BB41" s="204">
        <f t="shared" si="68"/>
        <v>0</v>
      </c>
      <c r="BC41" s="204" t="str">
        <f t="shared" si="55"/>
        <v xml:space="preserve"> </v>
      </c>
      <c r="BD41" s="204" t="str">
        <f t="shared" si="56"/>
        <v>,0</v>
      </c>
      <c r="BE41" s="204">
        <f t="shared" si="69"/>
        <v>0</v>
      </c>
      <c r="BF41" s="204">
        <f t="shared" si="70"/>
        <v>0</v>
      </c>
      <c r="BG41">
        <v>73206</v>
      </c>
      <c r="BH41">
        <v>75002</v>
      </c>
      <c r="BI41">
        <v>76000</v>
      </c>
    </row>
    <row r="42" spans="1:61" ht="12.75" customHeight="1">
      <c r="A42" s="12"/>
      <c r="B42" s="8" t="str">
        <f>Language!C654</f>
        <v>Crédito para redução de GEE</v>
      </c>
      <c r="C42" s="21" t="str">
        <f>Currency&amp;Language!C1304</f>
        <v>€/tCO2</v>
      </c>
      <c r="D42" s="300"/>
      <c r="E42" s="1"/>
      <c r="F42" s="12"/>
      <c r="G42" s="1166" t="str">
        <f>Language!C168</f>
        <v>TIR antes impostos - ativos</v>
      </c>
      <c r="H42" s="1166"/>
      <c r="I42" s="1285"/>
      <c r="J42" s="21" t="str">
        <f>C46</f>
        <v>%</v>
      </c>
      <c r="K42" s="210">
        <f ca="1">IF(ISERROR(AA64),IF(NPV&gt;0,Language!C707,Language!C706),AA64)</f>
        <v>0.15476812490800973</v>
      </c>
      <c r="L42" s="1"/>
      <c r="M42" s="93">
        <v>36</v>
      </c>
      <c r="N42" s="125">
        <f t="shared" si="41"/>
        <v>0</v>
      </c>
      <c r="O42" s="125">
        <f t="shared" si="42"/>
        <v>0</v>
      </c>
      <c r="P42" s="199">
        <f t="shared" ca="1" si="20"/>
        <v>24555.188378186092</v>
      </c>
      <c r="Q42" s="1"/>
      <c r="S42" s="787">
        <v>0.15476812490800973</v>
      </c>
      <c r="T42" s="204"/>
      <c r="U42" s="204">
        <f t="shared" si="57"/>
        <v>0</v>
      </c>
      <c r="V42" s="204">
        <f t="shared" si="58"/>
        <v>0</v>
      </c>
      <c r="W42" s="204">
        <f t="shared" si="59"/>
        <v>0</v>
      </c>
      <c r="X42" s="204">
        <f t="shared" si="43"/>
        <v>0</v>
      </c>
      <c r="Y42" s="204">
        <f t="shared" si="44"/>
        <v>0</v>
      </c>
      <c r="Z42" s="204">
        <f t="shared" si="6"/>
        <v>0</v>
      </c>
      <c r="AA42" s="204">
        <f t="shared" si="60"/>
        <v>0</v>
      </c>
      <c r="AB42" s="204">
        <f t="shared" si="61"/>
        <v>0</v>
      </c>
      <c r="AC42" s="204">
        <f t="shared" si="62"/>
        <v>0</v>
      </c>
      <c r="AD42" s="204">
        <f t="shared" si="63"/>
        <v>0</v>
      </c>
      <c r="AE42" s="204"/>
      <c r="AF42" s="204">
        <f t="shared" si="64"/>
        <v>0</v>
      </c>
      <c r="AG42" s="204">
        <f t="shared" si="45"/>
        <v>0</v>
      </c>
      <c r="AH42" s="204">
        <f t="shared" si="46"/>
        <v>0</v>
      </c>
      <c r="AI42" s="204">
        <f t="shared" si="47"/>
        <v>0</v>
      </c>
      <c r="AJ42" s="204"/>
      <c r="AK42" s="204">
        <f t="shared" si="65"/>
        <v>0</v>
      </c>
      <c r="AL42" s="204">
        <f t="shared" ca="1" si="30"/>
        <v>0</v>
      </c>
      <c r="AM42" s="204">
        <f t="shared" ca="1" si="48"/>
        <v>0</v>
      </c>
      <c r="AN42" s="204">
        <f t="shared" ca="1" si="71"/>
        <v>0</v>
      </c>
      <c r="AO42" s="204">
        <f t="shared" ca="1" si="66"/>
        <v>0</v>
      </c>
      <c r="AP42" s="204">
        <f t="shared" ca="1" si="49"/>
        <v>0</v>
      </c>
      <c r="AQ42" s="204">
        <f t="shared" ca="1" si="50"/>
        <v>0</v>
      </c>
      <c r="AR42" s="204">
        <f t="shared" si="51"/>
        <v>0</v>
      </c>
      <c r="AS42" s="204">
        <f t="shared" si="32"/>
        <v>0</v>
      </c>
      <c r="AT42" s="204">
        <f t="shared" si="33"/>
        <v>0</v>
      </c>
      <c r="AU42" s="204">
        <f t="shared" si="34"/>
        <v>0</v>
      </c>
      <c r="AV42" s="204">
        <f t="shared" si="35"/>
        <v>0</v>
      </c>
      <c r="AW42" s="204">
        <f t="shared" si="52"/>
        <v>0</v>
      </c>
      <c r="AX42" s="204">
        <f t="shared" ca="1" si="53"/>
        <v>30637.313378186092</v>
      </c>
      <c r="AY42" s="204">
        <f t="shared" si="54"/>
        <v>0</v>
      </c>
      <c r="AZ42" s="204" t="str">
        <f t="shared" si="17"/>
        <v>N/A</v>
      </c>
      <c r="BA42" s="204">
        <f t="shared" si="67"/>
        <v>0</v>
      </c>
      <c r="BB42" s="204">
        <f t="shared" si="68"/>
        <v>0</v>
      </c>
      <c r="BC42" s="204" t="str">
        <f t="shared" si="55"/>
        <v xml:space="preserve"> </v>
      </c>
      <c r="BD42" s="204" t="str">
        <f t="shared" si="56"/>
        <v>,0</v>
      </c>
      <c r="BE42" s="204">
        <f t="shared" si="69"/>
        <v>0</v>
      </c>
      <c r="BF42" s="204">
        <f t="shared" si="70"/>
        <v>0</v>
      </c>
      <c r="BG42">
        <v>73208</v>
      </c>
      <c r="BH42">
        <v>75004</v>
      </c>
      <c r="BI42">
        <v>76000</v>
      </c>
    </row>
    <row r="43" spans="1:61" ht="12.75" customHeight="1">
      <c r="A43" s="12"/>
      <c r="B43" s="8" t="str">
        <f>Language!C690</f>
        <v>Receita pela redução de GEE</v>
      </c>
      <c r="C43" s="21" t="str">
        <f>$C$11</f>
        <v>€</v>
      </c>
      <c r="D43" s="758">
        <f>K32</f>
        <v>0</v>
      </c>
      <c r="E43" s="1"/>
      <c r="F43" s="12"/>
      <c r="G43" s="1166"/>
      <c r="H43" s="1166"/>
      <c r="I43" s="1166"/>
      <c r="J43" s="8"/>
      <c r="K43" s="9"/>
      <c r="L43" s="1"/>
      <c r="M43" s="93">
        <v>37</v>
      </c>
      <c r="N43" s="125">
        <f t="shared" si="41"/>
        <v>0</v>
      </c>
      <c r="O43" s="125">
        <f t="shared" si="42"/>
        <v>0</v>
      </c>
      <c r="P43" s="199">
        <f t="shared" ca="1" si="20"/>
        <v>24555.188378186092</v>
      </c>
      <c r="Q43" s="1"/>
      <c r="S43" s="787"/>
      <c r="T43" s="204"/>
      <c r="U43" s="204">
        <f t="shared" si="57"/>
        <v>0</v>
      </c>
      <c r="V43" s="204">
        <f t="shared" si="58"/>
        <v>0</v>
      </c>
      <c r="W43" s="204">
        <f t="shared" si="59"/>
        <v>0</v>
      </c>
      <c r="X43" s="204">
        <f t="shared" si="43"/>
        <v>0</v>
      </c>
      <c r="Y43" s="204">
        <f t="shared" si="44"/>
        <v>0</v>
      </c>
      <c r="Z43" s="204">
        <f t="shared" si="6"/>
        <v>0</v>
      </c>
      <c r="AA43" s="204">
        <f t="shared" si="60"/>
        <v>0</v>
      </c>
      <c r="AB43" s="204">
        <f t="shared" si="61"/>
        <v>0</v>
      </c>
      <c r="AC43" s="204">
        <f t="shared" si="62"/>
        <v>0</v>
      </c>
      <c r="AD43" s="204">
        <f t="shared" si="63"/>
        <v>0</v>
      </c>
      <c r="AE43" s="204"/>
      <c r="AF43" s="204">
        <f t="shared" si="64"/>
        <v>0</v>
      </c>
      <c r="AG43" s="204">
        <f t="shared" si="45"/>
        <v>0</v>
      </c>
      <c r="AH43" s="204">
        <f t="shared" si="46"/>
        <v>0</v>
      </c>
      <c r="AI43" s="204">
        <f t="shared" si="47"/>
        <v>0</v>
      </c>
      <c r="AJ43" s="204"/>
      <c r="AK43" s="204">
        <f t="shared" si="65"/>
        <v>0</v>
      </c>
      <c r="AL43" s="204">
        <f t="shared" ca="1" si="30"/>
        <v>0</v>
      </c>
      <c r="AM43" s="204">
        <f t="shared" ca="1" si="48"/>
        <v>0</v>
      </c>
      <c r="AN43" s="204">
        <f t="shared" ca="1" si="71"/>
        <v>0</v>
      </c>
      <c r="AO43" s="204">
        <f t="shared" ca="1" si="66"/>
        <v>0</v>
      </c>
      <c r="AP43" s="204">
        <f t="shared" ca="1" si="49"/>
        <v>0</v>
      </c>
      <c r="AQ43" s="204">
        <f t="shared" ca="1" si="50"/>
        <v>0</v>
      </c>
      <c r="AR43" s="204">
        <f t="shared" si="51"/>
        <v>0</v>
      </c>
      <c r="AS43" s="204">
        <f t="shared" si="32"/>
        <v>0</v>
      </c>
      <c r="AT43" s="204">
        <f t="shared" si="33"/>
        <v>0</v>
      </c>
      <c r="AU43" s="204">
        <f t="shared" si="34"/>
        <v>0</v>
      </c>
      <c r="AV43" s="204">
        <f t="shared" si="35"/>
        <v>0</v>
      </c>
      <c r="AW43" s="204">
        <f t="shared" si="52"/>
        <v>0</v>
      </c>
      <c r="AX43" s="204">
        <f t="shared" ca="1" si="53"/>
        <v>30637.313378186092</v>
      </c>
      <c r="AY43" s="204">
        <f t="shared" si="54"/>
        <v>0</v>
      </c>
      <c r="AZ43" s="204" t="str">
        <f t="shared" si="17"/>
        <v>N/A</v>
      </c>
      <c r="BA43" s="204">
        <f t="shared" si="67"/>
        <v>0</v>
      </c>
      <c r="BB43" s="204">
        <f t="shared" si="68"/>
        <v>0</v>
      </c>
      <c r="BC43" s="204" t="str">
        <f t="shared" si="55"/>
        <v xml:space="preserve"> </v>
      </c>
      <c r="BD43" s="204" t="str">
        <f t="shared" si="56"/>
        <v>,0</v>
      </c>
      <c r="BE43" s="204">
        <f t="shared" si="69"/>
        <v>0</v>
      </c>
      <c r="BF43" s="204">
        <f t="shared" si="70"/>
        <v>0</v>
      </c>
      <c r="BG43">
        <v>73210</v>
      </c>
      <c r="BH43">
        <v>75000</v>
      </c>
      <c r="BI43">
        <v>76000</v>
      </c>
    </row>
    <row r="44" spans="1:61" ht="12.75" customHeight="1">
      <c r="A44" s="12"/>
      <c r="B44" s="8" t="str">
        <f>Language!C655</f>
        <v>Duração do crédito para redução de GEE</v>
      </c>
      <c r="C44" s="21" t="str">
        <f>C67</f>
        <v>ano</v>
      </c>
      <c r="D44" s="301"/>
      <c r="E44" s="1"/>
      <c r="F44" s="12"/>
      <c r="G44" s="1166" t="str">
        <f>Language!C167</f>
        <v>TIR após impostos - capital</v>
      </c>
      <c r="H44" s="1166"/>
      <c r="I44" s="1285"/>
      <c r="J44" s="21" t="str">
        <f>C46</f>
        <v>%</v>
      </c>
      <c r="K44" s="210">
        <f ca="1">IF(ISERROR(AfterIRR),IF(NPV&gt;0,Language!C707,Language!C706),AfterIRR)</f>
        <v>0.15476812490800973</v>
      </c>
      <c r="L44" s="1"/>
      <c r="M44" s="93">
        <v>38</v>
      </c>
      <c r="N44" s="125">
        <f t="shared" si="41"/>
        <v>0</v>
      </c>
      <c r="O44" s="125">
        <f t="shared" si="42"/>
        <v>0</v>
      </c>
      <c r="P44" s="199">
        <f t="shared" ca="1" si="20"/>
        <v>24555.188378186092</v>
      </c>
      <c r="Q44" s="1"/>
      <c r="S44" s="787">
        <v>0.15476812490800973</v>
      </c>
      <c r="T44" s="204"/>
      <c r="U44" s="204">
        <f t="shared" si="57"/>
        <v>0</v>
      </c>
      <c r="V44" s="204">
        <f t="shared" si="58"/>
        <v>0</v>
      </c>
      <c r="W44" s="204">
        <f t="shared" si="59"/>
        <v>0</v>
      </c>
      <c r="X44" s="204">
        <f t="shared" si="43"/>
        <v>0</v>
      </c>
      <c r="Y44" s="204">
        <f t="shared" si="44"/>
        <v>0</v>
      </c>
      <c r="Z44" s="204">
        <f t="shared" si="6"/>
        <v>0</v>
      </c>
      <c r="AA44" s="204">
        <f t="shared" si="60"/>
        <v>0</v>
      </c>
      <c r="AB44" s="204">
        <f t="shared" si="61"/>
        <v>0</v>
      </c>
      <c r="AC44" s="204">
        <f t="shared" si="62"/>
        <v>0</v>
      </c>
      <c r="AD44" s="204">
        <f t="shared" si="63"/>
        <v>0</v>
      </c>
      <c r="AE44" s="204"/>
      <c r="AF44" s="204">
        <f t="shared" si="64"/>
        <v>0</v>
      </c>
      <c r="AG44" s="204">
        <f t="shared" si="45"/>
        <v>0</v>
      </c>
      <c r="AH44" s="204">
        <f t="shared" si="46"/>
        <v>0</v>
      </c>
      <c r="AI44" s="204">
        <f t="shared" si="47"/>
        <v>0</v>
      </c>
      <c r="AJ44" s="204"/>
      <c r="AK44" s="204">
        <f t="shared" si="65"/>
        <v>0</v>
      </c>
      <c r="AL44" s="204">
        <f t="shared" ca="1" si="30"/>
        <v>0</v>
      </c>
      <c r="AM44" s="204">
        <f t="shared" ca="1" si="48"/>
        <v>0</v>
      </c>
      <c r="AN44" s="204">
        <f t="shared" ca="1" si="71"/>
        <v>0</v>
      </c>
      <c r="AO44" s="204">
        <f t="shared" ca="1" si="66"/>
        <v>0</v>
      </c>
      <c r="AP44" s="204">
        <f t="shared" ca="1" si="49"/>
        <v>0</v>
      </c>
      <c r="AQ44" s="204">
        <f t="shared" ca="1" si="50"/>
        <v>0</v>
      </c>
      <c r="AR44" s="204">
        <f t="shared" si="51"/>
        <v>0</v>
      </c>
      <c r="AS44" s="204">
        <f t="shared" si="32"/>
        <v>0</v>
      </c>
      <c r="AT44" s="204">
        <f t="shared" si="33"/>
        <v>0</v>
      </c>
      <c r="AU44" s="204">
        <f t="shared" si="34"/>
        <v>0</v>
      </c>
      <c r="AV44" s="204">
        <f t="shared" si="35"/>
        <v>0</v>
      </c>
      <c r="AW44" s="204">
        <f t="shared" si="52"/>
        <v>0</v>
      </c>
      <c r="AX44" s="204">
        <f t="shared" ca="1" si="53"/>
        <v>30637.313378186092</v>
      </c>
      <c r="AY44" s="204">
        <f t="shared" si="54"/>
        <v>0</v>
      </c>
      <c r="AZ44" s="204" t="str">
        <f t="shared" si="17"/>
        <v>N/A</v>
      </c>
      <c r="BA44" s="204">
        <f t="shared" si="67"/>
        <v>0</v>
      </c>
      <c r="BB44" s="204">
        <f t="shared" si="68"/>
        <v>0</v>
      </c>
      <c r="BC44" s="204" t="str">
        <f t="shared" si="55"/>
        <v xml:space="preserve"> </v>
      </c>
      <c r="BD44" s="204" t="str">
        <f t="shared" si="56"/>
        <v>,0</v>
      </c>
      <c r="BE44" s="204">
        <f t="shared" si="69"/>
        <v>0</v>
      </c>
      <c r="BF44" s="204">
        <f t="shared" si="70"/>
        <v>0</v>
      </c>
      <c r="BG44">
        <v>73212</v>
      </c>
      <c r="BH44">
        <v>75006</v>
      </c>
      <c r="BI44">
        <v>76000</v>
      </c>
    </row>
    <row r="45" spans="1:61" ht="12.75" customHeight="1">
      <c r="A45" s="12"/>
      <c r="B45" s="8" t="str">
        <f>AA80&amp;" - "&amp;U71&amp;" "&amp;Z61</f>
        <v>Redução líquida de GEE - 0 anos</v>
      </c>
      <c r="C45" s="21" t="str">
        <f>Language!C1409</f>
        <v>tCO2</v>
      </c>
      <c r="D45" s="199">
        <f>IF(GHG_Baseline=0,IF(U71&gt;'Análise de Emissões'!E46-1,D39*('Análise de Emissões'!E46-1)+D40*(U71-'Análise de Emissões'!E46+1),D39*U71),D40*U71)</f>
        <v>0</v>
      </c>
      <c r="E45" s="1"/>
      <c r="F45" s="12"/>
      <c r="G45" s="1166" t="str">
        <f>Language!C169</f>
        <v>TIR após impostos - ativos</v>
      </c>
      <c r="H45" s="1166"/>
      <c r="I45" s="1285"/>
      <c r="J45" s="21" t="str">
        <f>C46</f>
        <v>%</v>
      </c>
      <c r="K45" s="210">
        <f ca="1">IF(ISERROR(ROA),IF(NPV&gt;0,Language!C707,Language!C706),ROA)</f>
        <v>0.15476812490800973</v>
      </c>
      <c r="L45" s="1"/>
      <c r="M45" s="93">
        <v>39</v>
      </c>
      <c r="N45" s="125">
        <f t="shared" si="41"/>
        <v>0</v>
      </c>
      <c r="O45" s="125">
        <f t="shared" si="42"/>
        <v>0</v>
      </c>
      <c r="P45" s="199">
        <f t="shared" ca="1" si="20"/>
        <v>24555.188378186092</v>
      </c>
      <c r="Q45" s="1"/>
      <c r="S45" s="787">
        <v>0.15476812490800973</v>
      </c>
      <c r="T45" s="204"/>
      <c r="U45" s="204">
        <f t="shared" si="57"/>
        <v>0</v>
      </c>
      <c r="V45" s="204">
        <f t="shared" si="58"/>
        <v>0</v>
      </c>
      <c r="W45" s="204">
        <f t="shared" si="59"/>
        <v>0</v>
      </c>
      <c r="X45" s="204">
        <f t="shared" si="43"/>
        <v>0</v>
      </c>
      <c r="Y45" s="204">
        <f t="shared" si="44"/>
        <v>0</v>
      </c>
      <c r="Z45" s="204">
        <f t="shared" si="6"/>
        <v>0</v>
      </c>
      <c r="AA45" s="204">
        <f t="shared" si="60"/>
        <v>0</v>
      </c>
      <c r="AB45" s="204">
        <f t="shared" si="61"/>
        <v>0</v>
      </c>
      <c r="AC45" s="204">
        <f t="shared" si="62"/>
        <v>0</v>
      </c>
      <c r="AD45" s="204">
        <f t="shared" si="63"/>
        <v>0</v>
      </c>
      <c r="AE45" s="204"/>
      <c r="AF45" s="204">
        <f t="shared" si="64"/>
        <v>0</v>
      </c>
      <c r="AG45" s="204">
        <f t="shared" si="45"/>
        <v>0</v>
      </c>
      <c r="AH45" s="204">
        <f t="shared" si="46"/>
        <v>0</v>
      </c>
      <c r="AI45" s="204">
        <f t="shared" si="47"/>
        <v>0</v>
      </c>
      <c r="AJ45" s="204"/>
      <c r="AK45" s="204">
        <f t="shared" si="65"/>
        <v>0</v>
      </c>
      <c r="AL45" s="204">
        <f t="shared" ca="1" si="30"/>
        <v>0</v>
      </c>
      <c r="AM45" s="204">
        <f t="shared" ca="1" si="48"/>
        <v>0</v>
      </c>
      <c r="AN45" s="204">
        <f t="shared" ca="1" si="71"/>
        <v>0</v>
      </c>
      <c r="AO45" s="204">
        <f t="shared" ca="1" si="66"/>
        <v>0</v>
      </c>
      <c r="AP45" s="204">
        <f t="shared" ca="1" si="49"/>
        <v>0</v>
      </c>
      <c r="AQ45" s="204">
        <f t="shared" ca="1" si="50"/>
        <v>0</v>
      </c>
      <c r="AR45" s="204">
        <f t="shared" si="51"/>
        <v>0</v>
      </c>
      <c r="AS45" s="204">
        <f t="shared" si="32"/>
        <v>0</v>
      </c>
      <c r="AT45" s="204">
        <f t="shared" si="33"/>
        <v>0</v>
      </c>
      <c r="AU45" s="204">
        <f t="shared" si="34"/>
        <v>0</v>
      </c>
      <c r="AV45" s="204">
        <f t="shared" si="35"/>
        <v>0</v>
      </c>
      <c r="AW45" s="204">
        <f t="shared" si="52"/>
        <v>0</v>
      </c>
      <c r="AX45" s="204">
        <f t="shared" ca="1" si="53"/>
        <v>30637.313378186092</v>
      </c>
      <c r="AY45" s="204">
        <f t="shared" si="54"/>
        <v>0</v>
      </c>
      <c r="AZ45" s="204" t="str">
        <f t="shared" si="17"/>
        <v>N/A</v>
      </c>
      <c r="BA45" s="204">
        <f t="shared" si="67"/>
        <v>0</v>
      </c>
      <c r="BB45" s="204">
        <f t="shared" si="68"/>
        <v>0</v>
      </c>
      <c r="BC45" s="204" t="str">
        <f t="shared" si="55"/>
        <v xml:space="preserve"> </v>
      </c>
      <c r="BD45" s="204" t="str">
        <f t="shared" si="56"/>
        <v>,0</v>
      </c>
      <c r="BE45" s="204">
        <f t="shared" si="69"/>
        <v>0</v>
      </c>
      <c r="BF45" s="204">
        <f t="shared" si="70"/>
        <v>0</v>
      </c>
      <c r="BG45">
        <v>73214</v>
      </c>
      <c r="BH45">
        <v>75008</v>
      </c>
      <c r="BI45">
        <v>76000</v>
      </c>
    </row>
    <row r="46" spans="1:61" ht="12.75" customHeight="1">
      <c r="A46" s="12"/>
      <c r="B46" s="8" t="str">
        <f>Language!C656</f>
        <v>Taxa de indexação do crédito para redução de GEE</v>
      </c>
      <c r="C46" s="21" t="str">
        <f>Language!C1306</f>
        <v>%</v>
      </c>
      <c r="D46" s="302"/>
      <c r="E46" s="1"/>
      <c r="F46" s="12"/>
      <c r="G46" s="1166"/>
      <c r="H46" s="1166"/>
      <c r="I46" s="1166"/>
      <c r="J46" s="8"/>
      <c r="K46" s="9"/>
      <c r="L46" s="1"/>
      <c r="M46" s="93">
        <v>40</v>
      </c>
      <c r="N46" s="125">
        <f t="shared" si="41"/>
        <v>0</v>
      </c>
      <c r="O46" s="125">
        <f t="shared" si="42"/>
        <v>0</v>
      </c>
      <c r="P46" s="199">
        <f t="shared" ca="1" si="20"/>
        <v>24555.188378186092</v>
      </c>
      <c r="Q46" s="1"/>
      <c r="S46" s="787"/>
      <c r="T46" s="204"/>
      <c r="U46" s="204">
        <f t="shared" si="57"/>
        <v>0</v>
      </c>
      <c r="V46" s="204">
        <f t="shared" si="58"/>
        <v>0</v>
      </c>
      <c r="W46" s="204">
        <f t="shared" si="59"/>
        <v>0</v>
      </c>
      <c r="X46" s="204">
        <f t="shared" si="43"/>
        <v>0</v>
      </c>
      <c r="Y46" s="204">
        <f t="shared" si="44"/>
        <v>0</v>
      </c>
      <c r="Z46" s="204">
        <f t="shared" si="6"/>
        <v>0</v>
      </c>
      <c r="AA46" s="204">
        <f t="shared" si="60"/>
        <v>0</v>
      </c>
      <c r="AB46" s="204">
        <f t="shared" si="61"/>
        <v>0</v>
      </c>
      <c r="AC46" s="204">
        <f t="shared" si="62"/>
        <v>0</v>
      </c>
      <c r="AD46" s="204">
        <f t="shared" si="63"/>
        <v>0</v>
      </c>
      <c r="AE46" s="204"/>
      <c r="AF46" s="204">
        <f t="shared" si="64"/>
        <v>0</v>
      </c>
      <c r="AG46" s="204">
        <f t="shared" si="45"/>
        <v>0</v>
      </c>
      <c r="AH46" s="204">
        <f t="shared" si="46"/>
        <v>0</v>
      </c>
      <c r="AI46" s="204">
        <f t="shared" si="47"/>
        <v>0</v>
      </c>
      <c r="AJ46" s="204"/>
      <c r="AK46" s="204">
        <f t="shared" si="65"/>
        <v>0</v>
      </c>
      <c r="AL46" s="204">
        <f t="shared" ca="1" si="30"/>
        <v>0</v>
      </c>
      <c r="AM46" s="204">
        <f t="shared" ca="1" si="48"/>
        <v>0</v>
      </c>
      <c r="AN46" s="204">
        <f t="shared" ca="1" si="71"/>
        <v>0</v>
      </c>
      <c r="AO46" s="204">
        <f t="shared" ca="1" si="66"/>
        <v>0</v>
      </c>
      <c r="AP46" s="204">
        <f t="shared" ca="1" si="49"/>
        <v>0</v>
      </c>
      <c r="AQ46" s="204">
        <f t="shared" ca="1" si="50"/>
        <v>0</v>
      </c>
      <c r="AR46" s="204">
        <f t="shared" si="51"/>
        <v>0</v>
      </c>
      <c r="AS46" s="204">
        <f t="shared" si="32"/>
        <v>0</v>
      </c>
      <c r="AT46" s="204">
        <f t="shared" si="33"/>
        <v>0</v>
      </c>
      <c r="AU46" s="204">
        <f t="shared" si="34"/>
        <v>0</v>
      </c>
      <c r="AV46" s="204">
        <f t="shared" si="35"/>
        <v>0</v>
      </c>
      <c r="AW46" s="204">
        <f t="shared" si="52"/>
        <v>0</v>
      </c>
      <c r="AX46" s="204">
        <f t="shared" ca="1" si="53"/>
        <v>30637.313378186092</v>
      </c>
      <c r="AY46" s="204">
        <f t="shared" si="54"/>
        <v>0</v>
      </c>
      <c r="AZ46" s="204" t="str">
        <f t="shared" si="17"/>
        <v>N/A</v>
      </c>
      <c r="BA46" s="204">
        <f t="shared" si="67"/>
        <v>0</v>
      </c>
      <c r="BB46" s="204">
        <f t="shared" si="68"/>
        <v>0</v>
      </c>
      <c r="BC46" s="204" t="str">
        <f t="shared" si="55"/>
        <v xml:space="preserve"> </v>
      </c>
      <c r="BD46" s="204" t="str">
        <f t="shared" si="56"/>
        <v>,0</v>
      </c>
      <c r="BE46" s="204">
        <f t="shared" si="69"/>
        <v>0</v>
      </c>
      <c r="BF46" s="204">
        <f t="shared" si="70"/>
        <v>0</v>
      </c>
      <c r="BG46">
        <v>73216</v>
      </c>
      <c r="BH46">
        <v>75000</v>
      </c>
      <c r="BI46">
        <v>76000</v>
      </c>
    </row>
    <row r="47" spans="1:61" ht="12.75" customHeight="1">
      <c r="A47" s="14"/>
      <c r="B47" s="15"/>
      <c r="C47" s="15"/>
      <c r="D47" s="11"/>
      <c r="E47" s="1"/>
      <c r="F47" s="12"/>
      <c r="G47" s="1166" t="str">
        <f>Language!C696</f>
        <v>Retorno simples</v>
      </c>
      <c r="H47" s="1166"/>
      <c r="I47" s="1285"/>
      <c r="J47" s="21" t="str">
        <f>C67</f>
        <v>ano</v>
      </c>
      <c r="K47" s="212">
        <f ca="1">IF(ISERROR((Init_costs-U65)/(Ann_sav+Debt_pay-Ann_costs)),"",((Init_costs-U65)/(Ann_sav+Debt_pay-Ann_costs)))</f>
        <v>7.8169731004853826</v>
      </c>
      <c r="L47" s="1"/>
      <c r="M47" s="93">
        <v>41</v>
      </c>
      <c r="N47" s="125">
        <f t="shared" si="41"/>
        <v>0</v>
      </c>
      <c r="O47" s="125">
        <f t="shared" si="42"/>
        <v>0</v>
      </c>
      <c r="P47" s="199">
        <f t="shared" ca="1" si="20"/>
        <v>24555.188378186092</v>
      </c>
      <c r="Q47" s="1"/>
      <c r="S47" s="787">
        <v>7.8169731004853826</v>
      </c>
      <c r="T47" s="204"/>
      <c r="U47" s="204">
        <f t="shared" si="57"/>
        <v>0</v>
      </c>
      <c r="V47" s="204">
        <f t="shared" si="58"/>
        <v>0</v>
      </c>
      <c r="W47" s="204">
        <f t="shared" si="59"/>
        <v>0</v>
      </c>
      <c r="X47" s="204">
        <f t="shared" si="43"/>
        <v>0</v>
      </c>
      <c r="Y47" s="204">
        <f t="shared" si="44"/>
        <v>0</v>
      </c>
      <c r="Z47" s="204">
        <f t="shared" si="6"/>
        <v>0</v>
      </c>
      <c r="AA47" s="204">
        <f t="shared" si="60"/>
        <v>0</v>
      </c>
      <c r="AB47" s="204">
        <f t="shared" si="61"/>
        <v>0</v>
      </c>
      <c r="AC47" s="204">
        <f t="shared" si="62"/>
        <v>0</v>
      </c>
      <c r="AD47" s="204">
        <f t="shared" si="63"/>
        <v>0</v>
      </c>
      <c r="AE47" s="204"/>
      <c r="AF47" s="204">
        <f t="shared" si="64"/>
        <v>0</v>
      </c>
      <c r="AG47" s="204">
        <f t="shared" si="45"/>
        <v>0</v>
      </c>
      <c r="AH47" s="204">
        <f t="shared" si="46"/>
        <v>0</v>
      </c>
      <c r="AI47" s="204">
        <f t="shared" si="47"/>
        <v>0</v>
      </c>
      <c r="AJ47" s="204"/>
      <c r="AK47" s="204">
        <f t="shared" si="65"/>
        <v>0</v>
      </c>
      <c r="AL47" s="204">
        <f t="shared" ca="1" si="30"/>
        <v>0</v>
      </c>
      <c r="AM47" s="204">
        <f t="shared" ca="1" si="48"/>
        <v>0</v>
      </c>
      <c r="AN47" s="204">
        <f t="shared" ca="1" si="71"/>
        <v>0</v>
      </c>
      <c r="AO47" s="204">
        <f t="shared" ca="1" si="66"/>
        <v>0</v>
      </c>
      <c r="AP47" s="204">
        <f t="shared" ca="1" si="49"/>
        <v>0</v>
      </c>
      <c r="AQ47" s="204">
        <f t="shared" ca="1" si="50"/>
        <v>0</v>
      </c>
      <c r="AR47" s="204">
        <f t="shared" si="51"/>
        <v>0</v>
      </c>
      <c r="AS47" s="204">
        <f t="shared" si="32"/>
        <v>0</v>
      </c>
      <c r="AT47" s="204">
        <f t="shared" si="33"/>
        <v>0</v>
      </c>
      <c r="AU47" s="204">
        <f t="shared" si="34"/>
        <v>0</v>
      </c>
      <c r="AV47" s="204">
        <f t="shared" si="35"/>
        <v>0</v>
      </c>
      <c r="AW47" s="204">
        <f t="shared" si="52"/>
        <v>0</v>
      </c>
      <c r="AX47" s="204">
        <f t="shared" ca="1" si="53"/>
        <v>30637.313378186092</v>
      </c>
      <c r="AY47" s="204">
        <f t="shared" si="54"/>
        <v>0</v>
      </c>
      <c r="AZ47" s="204" t="str">
        <f t="shared" si="17"/>
        <v>N/A</v>
      </c>
      <c r="BA47" s="204">
        <f t="shared" si="67"/>
        <v>0</v>
      </c>
      <c r="BB47" s="204">
        <f t="shared" si="68"/>
        <v>0</v>
      </c>
      <c r="BC47" s="204" t="str">
        <f t="shared" si="55"/>
        <v xml:space="preserve"> </v>
      </c>
      <c r="BD47" s="204" t="str">
        <f t="shared" si="56"/>
        <v>,0</v>
      </c>
      <c r="BE47" s="204">
        <f t="shared" si="69"/>
        <v>0</v>
      </c>
      <c r="BF47" s="204">
        <f t="shared" si="70"/>
        <v>0</v>
      </c>
      <c r="BG47">
        <v>73200</v>
      </c>
      <c r="BH47">
        <v>75010</v>
      </c>
      <c r="BI47">
        <v>76000</v>
      </c>
    </row>
    <row r="48" spans="1:61" ht="12.75" customHeight="1">
      <c r="A48" s="434" t="str">
        <f>Language!C666</f>
        <v>Receita (ou desconto) adicional do consumidor</v>
      </c>
      <c r="B48" s="5"/>
      <c r="C48" s="5"/>
      <c r="D48" s="1034" t="s">
        <v>4189</v>
      </c>
      <c r="E48" s="1"/>
      <c r="F48" s="12"/>
      <c r="G48" s="1166" t="str">
        <f>Language!C170</f>
        <v>Retorno do capital próprio</v>
      </c>
      <c r="H48" s="1166"/>
      <c r="I48" s="1285"/>
      <c r="J48" s="21" t="str">
        <f>C67</f>
        <v>ano</v>
      </c>
      <c r="K48" s="212">
        <f ca="1">IF(P6&gt;=0,Language!C704,IF(MAX(P7:P46)&gt;0,AF86,Language!C705))</f>
        <v>6.6135500499685849</v>
      </c>
      <c r="L48" s="1"/>
      <c r="M48" s="93">
        <v>42</v>
      </c>
      <c r="N48" s="125">
        <f t="shared" si="41"/>
        <v>0</v>
      </c>
      <c r="O48" s="125">
        <f t="shared" si="42"/>
        <v>0</v>
      </c>
      <c r="P48" s="199">
        <f t="shared" ca="1" si="20"/>
        <v>24555.188378186092</v>
      </c>
      <c r="Q48" s="1"/>
      <c r="S48" s="787">
        <v>6.6135500499685849</v>
      </c>
      <c r="T48" s="204"/>
      <c r="U48" s="204">
        <f t="shared" si="57"/>
        <v>0</v>
      </c>
      <c r="V48" s="204">
        <f t="shared" si="58"/>
        <v>0</v>
      </c>
      <c r="W48" s="204">
        <f t="shared" si="59"/>
        <v>0</v>
      </c>
      <c r="X48" s="204">
        <f t="shared" si="43"/>
        <v>0</v>
      </c>
      <c r="Y48" s="204">
        <f t="shared" si="44"/>
        <v>0</v>
      </c>
      <c r="Z48" s="204">
        <f t="shared" si="6"/>
        <v>0</v>
      </c>
      <c r="AA48" s="204">
        <f t="shared" si="60"/>
        <v>0</v>
      </c>
      <c r="AB48" s="204">
        <f t="shared" si="61"/>
        <v>0</v>
      </c>
      <c r="AC48" s="204">
        <f t="shared" si="62"/>
        <v>0</v>
      </c>
      <c r="AD48" s="204">
        <f t="shared" si="63"/>
        <v>0</v>
      </c>
      <c r="AE48" s="204"/>
      <c r="AF48" s="204">
        <f t="shared" si="64"/>
        <v>0</v>
      </c>
      <c r="AG48" s="204">
        <f t="shared" si="45"/>
        <v>0</v>
      </c>
      <c r="AH48" s="204">
        <f t="shared" si="46"/>
        <v>0</v>
      </c>
      <c r="AI48" s="204">
        <f t="shared" si="47"/>
        <v>0</v>
      </c>
      <c r="AJ48" s="204"/>
      <c r="AK48" s="204">
        <f t="shared" si="65"/>
        <v>0</v>
      </c>
      <c r="AL48" s="204">
        <f t="shared" ca="1" si="30"/>
        <v>0</v>
      </c>
      <c r="AM48" s="204">
        <f t="shared" ca="1" si="48"/>
        <v>0</v>
      </c>
      <c r="AN48" s="204">
        <f t="shared" ca="1" si="71"/>
        <v>0</v>
      </c>
      <c r="AO48" s="204">
        <f t="shared" ca="1" si="66"/>
        <v>0</v>
      </c>
      <c r="AP48" s="204">
        <f t="shared" ca="1" si="49"/>
        <v>0</v>
      </c>
      <c r="AQ48" s="204">
        <f t="shared" ca="1" si="50"/>
        <v>0</v>
      </c>
      <c r="AR48" s="204">
        <f t="shared" si="51"/>
        <v>0</v>
      </c>
      <c r="AS48" s="204">
        <f t="shared" si="32"/>
        <v>0</v>
      </c>
      <c r="AT48" s="204">
        <f t="shared" si="33"/>
        <v>0</v>
      </c>
      <c r="AU48" s="204">
        <f t="shared" si="34"/>
        <v>0</v>
      </c>
      <c r="AV48" s="204">
        <f t="shared" si="35"/>
        <v>0</v>
      </c>
      <c r="AW48" s="204">
        <f t="shared" si="52"/>
        <v>0</v>
      </c>
      <c r="AX48" s="204">
        <f t="shared" ca="1" si="53"/>
        <v>30637.313378186092</v>
      </c>
      <c r="AY48" s="204">
        <f t="shared" si="54"/>
        <v>0</v>
      </c>
      <c r="AZ48" s="204" t="str">
        <f t="shared" si="17"/>
        <v>N/A</v>
      </c>
      <c r="BA48" s="204">
        <f t="shared" si="67"/>
        <v>0</v>
      </c>
      <c r="BB48" s="204">
        <f t="shared" si="68"/>
        <v>0</v>
      </c>
      <c r="BC48" s="204" t="str">
        <f t="shared" si="55"/>
        <v xml:space="preserve"> </v>
      </c>
      <c r="BD48" s="204" t="str">
        <f t="shared" si="56"/>
        <v>,0</v>
      </c>
      <c r="BE48" s="204">
        <f t="shared" si="69"/>
        <v>0</v>
      </c>
      <c r="BF48" s="204">
        <f t="shared" si="70"/>
        <v>0</v>
      </c>
      <c r="BG48">
        <v>73300</v>
      </c>
      <c r="BH48">
        <v>75012</v>
      </c>
      <c r="BI48">
        <v>76000</v>
      </c>
    </row>
    <row r="49" spans="1:61" ht="12.75" customHeight="1">
      <c r="A49" s="12"/>
      <c r="B49" s="8" t="str">
        <f>Language!C667</f>
        <v>Desconto na eletricidade (rebate)</v>
      </c>
      <c r="C49" s="21" t="str">
        <f>$C$5</f>
        <v>%</v>
      </c>
      <c r="D49" s="302"/>
      <c r="E49" s="1"/>
      <c r="F49" s="12"/>
      <c r="G49" s="1166"/>
      <c r="H49" s="1166"/>
      <c r="I49" s="1166"/>
      <c r="J49" s="8"/>
      <c r="K49" s="9"/>
      <c r="L49" s="1"/>
      <c r="M49" s="93">
        <v>43</v>
      </c>
      <c r="N49" s="125">
        <f t="shared" si="41"/>
        <v>0</v>
      </c>
      <c r="O49" s="125">
        <f t="shared" si="42"/>
        <v>0</v>
      </c>
      <c r="P49" s="199">
        <f t="shared" ca="1" si="20"/>
        <v>24555.188378186092</v>
      </c>
      <c r="Q49" s="1"/>
      <c r="S49" s="787"/>
      <c r="T49" s="204"/>
      <c r="U49" s="204">
        <f t="shared" si="57"/>
        <v>0</v>
      </c>
      <c r="V49" s="204">
        <f t="shared" si="58"/>
        <v>0</v>
      </c>
      <c r="W49" s="204">
        <f t="shared" si="59"/>
        <v>0</v>
      </c>
      <c r="X49" s="204">
        <f t="shared" si="43"/>
        <v>0</v>
      </c>
      <c r="Y49" s="204">
        <f t="shared" si="44"/>
        <v>0</v>
      </c>
      <c r="Z49" s="204">
        <f t="shared" si="6"/>
        <v>0</v>
      </c>
      <c r="AA49" s="204">
        <f t="shared" si="60"/>
        <v>0</v>
      </c>
      <c r="AB49" s="204">
        <f t="shared" si="61"/>
        <v>0</v>
      </c>
      <c r="AC49" s="204">
        <f t="shared" si="62"/>
        <v>0</v>
      </c>
      <c r="AD49" s="204">
        <f t="shared" si="63"/>
        <v>0</v>
      </c>
      <c r="AE49" s="204"/>
      <c r="AF49" s="204">
        <f t="shared" si="64"/>
        <v>0</v>
      </c>
      <c r="AG49" s="204">
        <f t="shared" si="45"/>
        <v>0</v>
      </c>
      <c r="AH49" s="204">
        <f t="shared" si="46"/>
        <v>0</v>
      </c>
      <c r="AI49" s="204">
        <f t="shared" si="47"/>
        <v>0</v>
      </c>
      <c r="AJ49" s="204"/>
      <c r="AK49" s="204">
        <f t="shared" si="65"/>
        <v>0</v>
      </c>
      <c r="AL49" s="204">
        <f t="shared" ca="1" si="30"/>
        <v>0</v>
      </c>
      <c r="AM49" s="204">
        <f t="shared" ca="1" si="48"/>
        <v>0</v>
      </c>
      <c r="AN49" s="204">
        <f t="shared" ca="1" si="71"/>
        <v>0</v>
      </c>
      <c r="AO49" s="204">
        <f t="shared" ca="1" si="66"/>
        <v>0</v>
      </c>
      <c r="AP49" s="204">
        <f t="shared" ca="1" si="49"/>
        <v>0</v>
      </c>
      <c r="AQ49" s="204">
        <f t="shared" ca="1" si="50"/>
        <v>0</v>
      </c>
      <c r="AR49" s="204">
        <f t="shared" si="51"/>
        <v>0</v>
      </c>
      <c r="AS49" s="204">
        <f t="shared" si="32"/>
        <v>0</v>
      </c>
      <c r="AT49" s="204">
        <f t="shared" si="33"/>
        <v>0</v>
      </c>
      <c r="AU49" s="204">
        <f t="shared" si="34"/>
        <v>0</v>
      </c>
      <c r="AV49" s="204">
        <f t="shared" si="35"/>
        <v>0</v>
      </c>
      <c r="AW49" s="204">
        <f t="shared" si="52"/>
        <v>0</v>
      </c>
      <c r="AX49" s="204">
        <f t="shared" ca="1" si="53"/>
        <v>30637.313378186092</v>
      </c>
      <c r="AY49" s="204">
        <f t="shared" si="54"/>
        <v>0</v>
      </c>
      <c r="AZ49" s="204" t="str">
        <f t="shared" si="17"/>
        <v>N/A</v>
      </c>
      <c r="BA49" s="204">
        <f t="shared" si="67"/>
        <v>0</v>
      </c>
      <c r="BB49" s="204">
        <f t="shared" si="68"/>
        <v>0</v>
      </c>
      <c r="BC49" s="204" t="str">
        <f t="shared" si="55"/>
        <v xml:space="preserve"> </v>
      </c>
      <c r="BD49" s="204" t="str">
        <f t="shared" si="56"/>
        <v>,0</v>
      </c>
      <c r="BE49" s="204">
        <f t="shared" si="69"/>
        <v>0</v>
      </c>
      <c r="BF49" s="204">
        <f t="shared" si="70"/>
        <v>0</v>
      </c>
      <c r="BG49">
        <v>73302</v>
      </c>
      <c r="BH49">
        <v>75000</v>
      </c>
      <c r="BI49">
        <v>76000</v>
      </c>
    </row>
    <row r="50" spans="1:61" ht="12.75" customHeight="1">
      <c r="A50" s="12"/>
      <c r="B50" s="8" t="str">
        <f>Language!C668</f>
        <v>Receita do desconto da eletricidade (rebate)</v>
      </c>
      <c r="C50" s="21" t="str">
        <f>$C$11</f>
        <v>€</v>
      </c>
      <c r="D50" s="199">
        <f>IF('Modelo Energético'!I948=0,0,Y72*D49)</f>
        <v>0</v>
      </c>
      <c r="E50" s="1"/>
      <c r="F50" s="12"/>
      <c r="G50" s="1166" t="str">
        <f>Language!C171</f>
        <v>Valor Presente Líquido (VPL)</v>
      </c>
      <c r="H50" s="1166"/>
      <c r="I50" s="1285"/>
      <c r="J50" s="21" t="str">
        <f>Currency</f>
        <v>€</v>
      </c>
      <c r="K50" s="213">
        <f ca="1">O6+NPV(Disc_R,O7:O56)</f>
        <v>15384.13381645747</v>
      </c>
      <c r="L50" s="1"/>
      <c r="M50" s="93">
        <v>44</v>
      </c>
      <c r="N50" s="125">
        <f t="shared" si="41"/>
        <v>0</v>
      </c>
      <c r="O50" s="125">
        <f t="shared" si="42"/>
        <v>0</v>
      </c>
      <c r="P50" s="199">
        <f t="shared" ca="1" si="20"/>
        <v>24555.188378186092</v>
      </c>
      <c r="Q50" s="1"/>
      <c r="S50" s="787">
        <v>15384.13381645747</v>
      </c>
      <c r="T50" s="204"/>
      <c r="U50" s="204">
        <f t="shared" si="57"/>
        <v>0</v>
      </c>
      <c r="V50" s="204">
        <f t="shared" si="58"/>
        <v>0</v>
      </c>
      <c r="W50" s="204">
        <f t="shared" si="59"/>
        <v>0</v>
      </c>
      <c r="X50" s="204">
        <f t="shared" si="43"/>
        <v>0</v>
      </c>
      <c r="Y50" s="204">
        <f t="shared" si="44"/>
        <v>0</v>
      </c>
      <c r="Z50" s="204">
        <f t="shared" si="6"/>
        <v>0</v>
      </c>
      <c r="AA50" s="204">
        <f t="shared" si="60"/>
        <v>0</v>
      </c>
      <c r="AB50" s="204">
        <f t="shared" si="61"/>
        <v>0</v>
      </c>
      <c r="AC50" s="204">
        <f t="shared" si="62"/>
        <v>0</v>
      </c>
      <c r="AD50" s="204">
        <f t="shared" si="63"/>
        <v>0</v>
      </c>
      <c r="AE50" s="204"/>
      <c r="AF50" s="204">
        <f t="shared" si="64"/>
        <v>0</v>
      </c>
      <c r="AG50" s="204">
        <f t="shared" si="45"/>
        <v>0</v>
      </c>
      <c r="AH50" s="204">
        <f t="shared" si="46"/>
        <v>0</v>
      </c>
      <c r="AI50" s="204">
        <f t="shared" si="47"/>
        <v>0</v>
      </c>
      <c r="AJ50" s="204"/>
      <c r="AK50" s="204">
        <f t="shared" si="65"/>
        <v>0</v>
      </c>
      <c r="AL50" s="204">
        <f t="shared" ca="1" si="30"/>
        <v>0</v>
      </c>
      <c r="AM50" s="204">
        <f t="shared" ca="1" si="48"/>
        <v>0</v>
      </c>
      <c r="AN50" s="204">
        <f t="shared" ca="1" si="71"/>
        <v>0</v>
      </c>
      <c r="AO50" s="204">
        <f t="shared" ca="1" si="66"/>
        <v>0</v>
      </c>
      <c r="AP50" s="204">
        <f t="shared" ca="1" si="49"/>
        <v>0</v>
      </c>
      <c r="AQ50" s="204">
        <f t="shared" ca="1" si="50"/>
        <v>0</v>
      </c>
      <c r="AR50" s="204">
        <f t="shared" si="51"/>
        <v>0</v>
      </c>
      <c r="AS50" s="204">
        <f t="shared" si="32"/>
        <v>0</v>
      </c>
      <c r="AT50" s="204">
        <f t="shared" si="33"/>
        <v>0</v>
      </c>
      <c r="AU50" s="204">
        <f t="shared" si="34"/>
        <v>0</v>
      </c>
      <c r="AV50" s="204">
        <f t="shared" si="35"/>
        <v>0</v>
      </c>
      <c r="AW50" s="204">
        <f t="shared" si="52"/>
        <v>0</v>
      </c>
      <c r="AX50" s="204">
        <f t="shared" ca="1" si="53"/>
        <v>30637.313378186092</v>
      </c>
      <c r="AY50" s="204">
        <f t="shared" si="54"/>
        <v>0</v>
      </c>
      <c r="AZ50" s="204" t="str">
        <f t="shared" si="17"/>
        <v>N/A</v>
      </c>
      <c r="BA50" s="204">
        <f t="shared" si="67"/>
        <v>0</v>
      </c>
      <c r="BB50" s="204">
        <f t="shared" si="68"/>
        <v>0</v>
      </c>
      <c r="BC50" s="204" t="str">
        <f t="shared" si="55"/>
        <v xml:space="preserve"> </v>
      </c>
      <c r="BD50" s="204" t="str">
        <f t="shared" si="56"/>
        <v>,0</v>
      </c>
      <c r="BE50" s="204">
        <f t="shared" si="69"/>
        <v>0</v>
      </c>
      <c r="BF50" s="204">
        <f t="shared" si="70"/>
        <v>0</v>
      </c>
      <c r="BG50">
        <v>73304</v>
      </c>
      <c r="BH50">
        <v>75014</v>
      </c>
      <c r="BI50">
        <v>76000</v>
      </c>
    </row>
    <row r="51" spans="1:61" ht="12.75" customHeight="1">
      <c r="A51" s="12"/>
      <c r="B51" s="8" t="str">
        <f>Language!C669</f>
        <v>Desconto no aquecimento</v>
      </c>
      <c r="C51" s="21" t="str">
        <f>$C$5</f>
        <v>%</v>
      </c>
      <c r="D51" s="302"/>
      <c r="E51" s="1"/>
      <c r="F51" s="12"/>
      <c r="G51" s="1166" t="str">
        <f>Language!C697</f>
        <v>Economia anual no ciclo de vida</v>
      </c>
      <c r="H51" s="1166"/>
      <c r="I51" s="1285"/>
      <c r="J51" s="21" t="str">
        <f>Currency&amp;Language!C1305</f>
        <v>€/an</v>
      </c>
      <c r="K51" s="213">
        <f ca="1">-PMT(Disc_R,ProjLife,NPV)</f>
        <v>834.98803237995389</v>
      </c>
      <c r="L51" s="1"/>
      <c r="M51" s="93">
        <v>45</v>
      </c>
      <c r="N51" s="125">
        <f t="shared" si="41"/>
        <v>0</v>
      </c>
      <c r="O51" s="125">
        <f t="shared" si="42"/>
        <v>0</v>
      </c>
      <c r="P51" s="199">
        <f t="shared" ca="1" si="20"/>
        <v>24555.188378186092</v>
      </c>
      <c r="Q51" s="1"/>
      <c r="S51" s="787">
        <v>834.98803237995389</v>
      </c>
      <c r="T51" s="204"/>
      <c r="U51" s="204">
        <f t="shared" si="57"/>
        <v>0</v>
      </c>
      <c r="V51" s="204">
        <f t="shared" si="58"/>
        <v>0</v>
      </c>
      <c r="W51" s="204">
        <f t="shared" si="59"/>
        <v>0</v>
      </c>
      <c r="X51" s="204">
        <f t="shared" si="43"/>
        <v>0</v>
      </c>
      <c r="Y51" s="204">
        <f t="shared" si="44"/>
        <v>0</v>
      </c>
      <c r="Z51" s="204">
        <f t="shared" si="6"/>
        <v>0</v>
      </c>
      <c r="AA51" s="204">
        <f t="shared" si="60"/>
        <v>0</v>
      </c>
      <c r="AB51" s="204">
        <f t="shared" si="61"/>
        <v>0</v>
      </c>
      <c r="AC51" s="204">
        <f t="shared" si="62"/>
        <v>0</v>
      </c>
      <c r="AD51" s="204">
        <f t="shared" si="63"/>
        <v>0</v>
      </c>
      <c r="AE51" s="204"/>
      <c r="AF51" s="204">
        <f t="shared" si="64"/>
        <v>0</v>
      </c>
      <c r="AG51" s="204">
        <f t="shared" si="45"/>
        <v>0</v>
      </c>
      <c r="AH51" s="204">
        <f t="shared" si="46"/>
        <v>0</v>
      </c>
      <c r="AI51" s="204">
        <f t="shared" si="47"/>
        <v>0</v>
      </c>
      <c r="AJ51" s="204"/>
      <c r="AK51" s="204">
        <f t="shared" si="65"/>
        <v>0</v>
      </c>
      <c r="AL51" s="204">
        <f t="shared" ca="1" si="30"/>
        <v>0</v>
      </c>
      <c r="AM51" s="204">
        <f t="shared" ca="1" si="48"/>
        <v>0</v>
      </c>
      <c r="AN51" s="204">
        <f t="shared" ca="1" si="71"/>
        <v>0</v>
      </c>
      <c r="AO51" s="204">
        <f t="shared" ca="1" si="66"/>
        <v>0</v>
      </c>
      <c r="AP51" s="204">
        <f t="shared" ca="1" si="49"/>
        <v>0</v>
      </c>
      <c r="AQ51" s="204">
        <f t="shared" ca="1" si="50"/>
        <v>0</v>
      </c>
      <c r="AR51" s="204">
        <f t="shared" si="51"/>
        <v>0</v>
      </c>
      <c r="AS51" s="204">
        <f t="shared" si="32"/>
        <v>0</v>
      </c>
      <c r="AT51" s="204">
        <f t="shared" si="33"/>
        <v>0</v>
      </c>
      <c r="AU51" s="204">
        <f t="shared" si="34"/>
        <v>0</v>
      </c>
      <c r="AV51" s="204">
        <f t="shared" si="35"/>
        <v>0</v>
      </c>
      <c r="AW51" s="204">
        <f t="shared" si="52"/>
        <v>0</v>
      </c>
      <c r="AX51" s="204">
        <f t="shared" ca="1" si="53"/>
        <v>30637.313378186092</v>
      </c>
      <c r="AY51" s="204">
        <f t="shared" si="54"/>
        <v>0</v>
      </c>
      <c r="AZ51" s="204" t="str">
        <f t="shared" si="17"/>
        <v>N/A</v>
      </c>
      <c r="BA51" s="204">
        <f t="shared" si="67"/>
        <v>0</v>
      </c>
      <c r="BB51" s="204">
        <f t="shared" si="68"/>
        <v>0</v>
      </c>
      <c r="BC51" s="204" t="str">
        <f t="shared" si="55"/>
        <v xml:space="preserve"> </v>
      </c>
      <c r="BD51" s="204" t="str">
        <f t="shared" si="56"/>
        <v>,0</v>
      </c>
      <c r="BE51" s="204">
        <f t="shared" si="69"/>
        <v>0</v>
      </c>
      <c r="BF51" s="204">
        <f t="shared" si="70"/>
        <v>0</v>
      </c>
      <c r="BG51">
        <v>73306</v>
      </c>
      <c r="BH51">
        <v>75016</v>
      </c>
      <c r="BI51">
        <v>76000</v>
      </c>
    </row>
    <row r="52" spans="1:61" ht="12.75" customHeight="1">
      <c r="A52" s="12"/>
      <c r="B52" s="8" t="str">
        <f>Language!C670</f>
        <v>Receita devido ao desconto no aquecimento</v>
      </c>
      <c r="C52" s="21" t="str">
        <f>$C$11</f>
        <v>€</v>
      </c>
      <c r="D52" s="199">
        <f>IF('Modelo Energético'!I958=0,0,Y73*D51)</f>
        <v>0</v>
      </c>
      <c r="E52" s="1"/>
      <c r="F52" s="12"/>
      <c r="G52" s="1166"/>
      <c r="H52" s="1166"/>
      <c r="I52" s="1166"/>
      <c r="J52" s="8"/>
      <c r="K52" s="9"/>
      <c r="L52" s="1"/>
      <c r="M52" s="93">
        <v>46</v>
      </c>
      <c r="N52" s="125">
        <f t="shared" si="41"/>
        <v>0</v>
      </c>
      <c r="O52" s="125">
        <f t="shared" si="42"/>
        <v>0</v>
      </c>
      <c r="P52" s="199">
        <f t="shared" ca="1" si="20"/>
        <v>24555.188378186092</v>
      </c>
      <c r="Q52" s="1"/>
      <c r="S52" s="787"/>
      <c r="T52" s="204"/>
      <c r="U52" s="204">
        <f t="shared" si="57"/>
        <v>0</v>
      </c>
      <c r="V52" s="204">
        <f t="shared" si="58"/>
        <v>0</v>
      </c>
      <c r="W52" s="204">
        <f t="shared" si="59"/>
        <v>0</v>
      </c>
      <c r="X52" s="204">
        <f t="shared" si="43"/>
        <v>0</v>
      </c>
      <c r="Y52" s="204">
        <f t="shared" si="44"/>
        <v>0</v>
      </c>
      <c r="Z52" s="204">
        <f t="shared" si="6"/>
        <v>0</v>
      </c>
      <c r="AA52" s="204">
        <f t="shared" si="60"/>
        <v>0</v>
      </c>
      <c r="AB52" s="204">
        <f t="shared" si="61"/>
        <v>0</v>
      </c>
      <c r="AC52" s="204">
        <f t="shared" si="62"/>
        <v>0</v>
      </c>
      <c r="AD52" s="204">
        <f t="shared" si="63"/>
        <v>0</v>
      </c>
      <c r="AE52" s="204"/>
      <c r="AF52" s="204">
        <f t="shared" si="64"/>
        <v>0</v>
      </c>
      <c r="AG52" s="204">
        <f t="shared" si="45"/>
        <v>0</v>
      </c>
      <c r="AH52" s="204">
        <f t="shared" si="46"/>
        <v>0</v>
      </c>
      <c r="AI52" s="204">
        <f t="shared" si="47"/>
        <v>0</v>
      </c>
      <c r="AJ52" s="204"/>
      <c r="AK52" s="204">
        <f t="shared" si="65"/>
        <v>0</v>
      </c>
      <c r="AL52" s="204">
        <f t="shared" ca="1" si="30"/>
        <v>0</v>
      </c>
      <c r="AM52" s="204">
        <f t="shared" ca="1" si="48"/>
        <v>0</v>
      </c>
      <c r="AN52" s="204">
        <f t="shared" ca="1" si="71"/>
        <v>0</v>
      </c>
      <c r="AO52" s="204">
        <f t="shared" ca="1" si="66"/>
        <v>0</v>
      </c>
      <c r="AP52" s="204">
        <f t="shared" ca="1" si="49"/>
        <v>0</v>
      </c>
      <c r="AQ52" s="204">
        <f t="shared" ca="1" si="50"/>
        <v>0</v>
      </c>
      <c r="AR52" s="204">
        <f t="shared" si="51"/>
        <v>0</v>
      </c>
      <c r="AS52" s="204">
        <f t="shared" si="32"/>
        <v>0</v>
      </c>
      <c r="AT52" s="204">
        <f t="shared" si="33"/>
        <v>0</v>
      </c>
      <c r="AU52" s="204">
        <f t="shared" si="34"/>
        <v>0</v>
      </c>
      <c r="AV52" s="204">
        <f t="shared" si="35"/>
        <v>0</v>
      </c>
      <c r="AW52" s="204">
        <f t="shared" si="52"/>
        <v>0</v>
      </c>
      <c r="AX52" s="204">
        <f t="shared" ca="1" si="53"/>
        <v>30637.313378186092</v>
      </c>
      <c r="AY52" s="204">
        <f t="shared" si="54"/>
        <v>0</v>
      </c>
      <c r="AZ52" s="204" t="str">
        <f t="shared" si="17"/>
        <v>N/A</v>
      </c>
      <c r="BA52" s="204">
        <f t="shared" si="67"/>
        <v>0</v>
      </c>
      <c r="BB52" s="204">
        <f t="shared" si="68"/>
        <v>0</v>
      </c>
      <c r="BC52" s="204" t="str">
        <f t="shared" si="55"/>
        <v xml:space="preserve"> </v>
      </c>
      <c r="BD52" s="204" t="str">
        <f t="shared" si="56"/>
        <v>,0</v>
      </c>
      <c r="BE52" s="204">
        <f t="shared" si="69"/>
        <v>0</v>
      </c>
      <c r="BF52" s="204">
        <f t="shared" si="70"/>
        <v>0</v>
      </c>
      <c r="BG52">
        <v>73308</v>
      </c>
      <c r="BH52">
        <v>75000</v>
      </c>
      <c r="BI52">
        <v>76000</v>
      </c>
    </row>
    <row r="53" spans="1:61" ht="12.75" customHeight="1">
      <c r="A53" s="12"/>
      <c r="B53" s="8" t="str">
        <f>Language!C671</f>
        <v>Desconto na Refrigeração</v>
      </c>
      <c r="C53" s="21" t="str">
        <f>$C$5</f>
        <v>%</v>
      </c>
      <c r="D53" s="302"/>
      <c r="E53" s="1"/>
      <c r="F53" s="12"/>
      <c r="G53" s="1166" t="str">
        <f>Language!C698</f>
        <v>Razão custo benefício (C-B)</v>
      </c>
      <c r="H53" s="1166"/>
      <c r="I53" s="1285"/>
      <c r="J53" s="21"/>
      <c r="K53" s="214">
        <f ca="1">(NPV+Equi_inv)/Equi_inv</f>
        <v>3.529401124846574</v>
      </c>
      <c r="L53" s="1"/>
      <c r="M53" s="93">
        <v>47</v>
      </c>
      <c r="N53" s="125">
        <f t="shared" si="41"/>
        <v>0</v>
      </c>
      <c r="O53" s="125">
        <f t="shared" si="42"/>
        <v>0</v>
      </c>
      <c r="P53" s="199">
        <f t="shared" ca="1" si="20"/>
        <v>24555.188378186092</v>
      </c>
      <c r="Q53" s="1"/>
      <c r="S53" s="787">
        <v>3.529401124846574</v>
      </c>
      <c r="T53" s="204"/>
      <c r="U53" s="204">
        <f t="shared" si="57"/>
        <v>0</v>
      </c>
      <c r="V53" s="204">
        <f t="shared" si="58"/>
        <v>0</v>
      </c>
      <c r="W53" s="204">
        <f t="shared" si="59"/>
        <v>0</v>
      </c>
      <c r="X53" s="204">
        <f t="shared" si="43"/>
        <v>0</v>
      </c>
      <c r="Y53" s="204">
        <f t="shared" si="44"/>
        <v>0</v>
      </c>
      <c r="Z53" s="204">
        <f t="shared" si="6"/>
        <v>0</v>
      </c>
      <c r="AA53" s="204">
        <f t="shared" si="60"/>
        <v>0</v>
      </c>
      <c r="AB53" s="204">
        <f t="shared" si="61"/>
        <v>0</v>
      </c>
      <c r="AC53" s="204">
        <f t="shared" si="62"/>
        <v>0</v>
      </c>
      <c r="AD53" s="204">
        <f t="shared" si="63"/>
        <v>0</v>
      </c>
      <c r="AE53" s="204"/>
      <c r="AF53" s="204">
        <f t="shared" si="64"/>
        <v>0</v>
      </c>
      <c r="AG53" s="204">
        <f t="shared" si="45"/>
        <v>0</v>
      </c>
      <c r="AH53" s="204">
        <f t="shared" si="46"/>
        <v>0</v>
      </c>
      <c r="AI53" s="204">
        <f t="shared" si="47"/>
        <v>0</v>
      </c>
      <c r="AJ53" s="204"/>
      <c r="AK53" s="204">
        <f t="shared" si="65"/>
        <v>0</v>
      </c>
      <c r="AL53" s="204">
        <f t="shared" ca="1" si="30"/>
        <v>0</v>
      </c>
      <c r="AM53" s="204">
        <f t="shared" ca="1" si="48"/>
        <v>0</v>
      </c>
      <c r="AN53" s="204">
        <f t="shared" ca="1" si="71"/>
        <v>0</v>
      </c>
      <c r="AO53" s="204">
        <f t="shared" ca="1" si="66"/>
        <v>0</v>
      </c>
      <c r="AP53" s="204">
        <f t="shared" ca="1" si="49"/>
        <v>0</v>
      </c>
      <c r="AQ53" s="204">
        <f t="shared" ca="1" si="50"/>
        <v>0</v>
      </c>
      <c r="AR53" s="204">
        <f t="shared" si="51"/>
        <v>0</v>
      </c>
      <c r="AS53" s="204">
        <f t="shared" si="32"/>
        <v>0</v>
      </c>
      <c r="AT53" s="204">
        <f t="shared" si="33"/>
        <v>0</v>
      </c>
      <c r="AU53" s="204">
        <f t="shared" si="34"/>
        <v>0</v>
      </c>
      <c r="AV53" s="204">
        <f t="shared" si="35"/>
        <v>0</v>
      </c>
      <c r="AW53" s="204">
        <f t="shared" si="52"/>
        <v>0</v>
      </c>
      <c r="AX53" s="204">
        <f t="shared" ca="1" si="53"/>
        <v>30637.313378186092</v>
      </c>
      <c r="AY53" s="204">
        <f t="shared" si="54"/>
        <v>0</v>
      </c>
      <c r="AZ53" s="204" t="str">
        <f t="shared" si="17"/>
        <v>N/A</v>
      </c>
      <c r="BA53" s="204">
        <f t="shared" si="67"/>
        <v>0</v>
      </c>
      <c r="BB53" s="204">
        <f t="shared" si="68"/>
        <v>0</v>
      </c>
      <c r="BC53" s="204" t="str">
        <f t="shared" si="55"/>
        <v xml:space="preserve"> </v>
      </c>
      <c r="BD53" s="204" t="str">
        <f t="shared" si="56"/>
        <v>,0</v>
      </c>
      <c r="BE53" s="204">
        <f t="shared" si="69"/>
        <v>0</v>
      </c>
      <c r="BF53" s="204">
        <f t="shared" si="70"/>
        <v>0</v>
      </c>
      <c r="BG53">
        <v>73310</v>
      </c>
      <c r="BH53">
        <v>75018</v>
      </c>
      <c r="BI53">
        <v>76000</v>
      </c>
    </row>
    <row r="54" spans="1:61" ht="12.75" customHeight="1">
      <c r="A54" s="12"/>
      <c r="B54" s="8" t="str">
        <f>Language!C672</f>
        <v>Receita de desconto na refrigeração</v>
      </c>
      <c r="C54" s="21" t="str">
        <f>$C$11</f>
        <v>€</v>
      </c>
      <c r="D54" s="199">
        <f>IF('Modelo Energético'!I962=0,0,Y74*D53)</f>
        <v>0</v>
      </c>
      <c r="E54" s="1"/>
      <c r="F54" s="12"/>
      <c r="G54" s="1166" t="str">
        <f>Language!C703</f>
        <v>Juros da dívida</v>
      </c>
      <c r="H54" s="1166"/>
      <c r="I54" s="1285"/>
      <c r="J54" s="21"/>
      <c r="K54" s="214" t="str">
        <f>IF(AA66&gt;0,MIN(AZ7:AZ56),Language!C709)</f>
        <v>Sem débito</v>
      </c>
      <c r="L54" s="1"/>
      <c r="M54" s="93">
        <v>48</v>
      </c>
      <c r="N54" s="125">
        <f t="shared" si="41"/>
        <v>0</v>
      </c>
      <c r="O54" s="125">
        <f t="shared" si="42"/>
        <v>0</v>
      </c>
      <c r="P54" s="199">
        <f t="shared" ca="1" si="20"/>
        <v>24555.188378186092</v>
      </c>
      <c r="Q54" s="1"/>
      <c r="S54" s="787" t="s">
        <v>6685</v>
      </c>
      <c r="T54" s="204"/>
      <c r="U54" s="204">
        <f t="shared" si="57"/>
        <v>0</v>
      </c>
      <c r="V54" s="204">
        <f t="shared" si="58"/>
        <v>0</v>
      </c>
      <c r="W54" s="204">
        <f t="shared" si="59"/>
        <v>0</v>
      </c>
      <c r="X54" s="204">
        <f t="shared" si="43"/>
        <v>0</v>
      </c>
      <c r="Y54" s="204">
        <f t="shared" si="44"/>
        <v>0</v>
      </c>
      <c r="Z54" s="204">
        <f t="shared" si="6"/>
        <v>0</v>
      </c>
      <c r="AA54" s="204">
        <f t="shared" si="60"/>
        <v>0</v>
      </c>
      <c r="AB54" s="204">
        <f t="shared" si="61"/>
        <v>0</v>
      </c>
      <c r="AC54" s="204">
        <f t="shared" si="62"/>
        <v>0</v>
      </c>
      <c r="AD54" s="204">
        <f t="shared" si="63"/>
        <v>0</v>
      </c>
      <c r="AE54" s="204"/>
      <c r="AF54" s="204">
        <f t="shared" si="64"/>
        <v>0</v>
      </c>
      <c r="AG54" s="204">
        <f t="shared" si="45"/>
        <v>0</v>
      </c>
      <c r="AH54" s="204">
        <f t="shared" si="46"/>
        <v>0</v>
      </c>
      <c r="AI54" s="204">
        <f t="shared" si="47"/>
        <v>0</v>
      </c>
      <c r="AJ54" s="204"/>
      <c r="AK54" s="204">
        <f t="shared" si="65"/>
        <v>0</v>
      </c>
      <c r="AL54" s="204">
        <f t="shared" ca="1" si="30"/>
        <v>0</v>
      </c>
      <c r="AM54" s="204">
        <f t="shared" ca="1" si="48"/>
        <v>0</v>
      </c>
      <c r="AN54" s="204">
        <f t="shared" ca="1" si="71"/>
        <v>0</v>
      </c>
      <c r="AO54" s="204">
        <f t="shared" ca="1" si="66"/>
        <v>0</v>
      </c>
      <c r="AP54" s="204">
        <f t="shared" ca="1" si="49"/>
        <v>0</v>
      </c>
      <c r="AQ54" s="204">
        <f t="shared" ca="1" si="50"/>
        <v>0</v>
      </c>
      <c r="AR54" s="204">
        <f t="shared" si="51"/>
        <v>0</v>
      </c>
      <c r="AS54" s="204">
        <f t="shared" si="32"/>
        <v>0</v>
      </c>
      <c r="AT54" s="204">
        <f t="shared" si="33"/>
        <v>0</v>
      </c>
      <c r="AU54" s="204">
        <f t="shared" si="34"/>
        <v>0</v>
      </c>
      <c r="AV54" s="204">
        <f t="shared" si="35"/>
        <v>0</v>
      </c>
      <c r="AW54" s="204">
        <f t="shared" si="52"/>
        <v>0</v>
      </c>
      <c r="AX54" s="204">
        <f t="shared" ca="1" si="53"/>
        <v>30637.313378186092</v>
      </c>
      <c r="AY54" s="204">
        <f t="shared" si="54"/>
        <v>0</v>
      </c>
      <c r="AZ54" s="204" t="str">
        <f t="shared" si="17"/>
        <v>N/A</v>
      </c>
      <c r="BA54" s="204">
        <f t="shared" si="67"/>
        <v>0</v>
      </c>
      <c r="BB54" s="204">
        <f t="shared" si="68"/>
        <v>0</v>
      </c>
      <c r="BC54" s="204" t="str">
        <f t="shared" si="55"/>
        <v xml:space="preserve"> </v>
      </c>
      <c r="BD54" s="204" t="str">
        <f t="shared" si="56"/>
        <v>,0</v>
      </c>
      <c r="BE54" s="204">
        <f t="shared" si="69"/>
        <v>0</v>
      </c>
      <c r="BF54" s="204">
        <f t="shared" si="70"/>
        <v>0</v>
      </c>
      <c r="BG54">
        <v>73312</v>
      </c>
      <c r="BH54">
        <v>75020</v>
      </c>
      <c r="BI54">
        <v>76000</v>
      </c>
    </row>
    <row r="55" spans="1:61" ht="12.75" customHeight="1">
      <c r="A55" s="12"/>
      <c r="B55" s="5" t="str">
        <f>G33</f>
        <v>Receita (ou desconto) adicional do consumidor</v>
      </c>
      <c r="C55" s="85" t="str">
        <f>$C$11</f>
        <v>€</v>
      </c>
      <c r="D55" s="206">
        <f>IF(ISERROR(D50+D52+D54),0,IF(U58=2,IF(U82=FALSE,0,1)*(D50+D52+D54),0))</f>
        <v>0</v>
      </c>
      <c r="E55" s="1"/>
      <c r="F55" s="12"/>
      <c r="G55" s="1298" t="str">
        <f>Language!C40</f>
        <v>Custo da Geração de energia</v>
      </c>
      <c r="H55" s="1298"/>
      <c r="I55" s="1285"/>
      <c r="J55" s="696" t="str">
        <f>C34</f>
        <v>€/MWh</v>
      </c>
      <c r="K55" s="726">
        <f>IF(AND($T$1=2,$V$1=1),D34+AC1,"")</f>
        <v>106.00307286441065</v>
      </c>
      <c r="L55" s="1"/>
      <c r="M55" s="93">
        <v>49</v>
      </c>
      <c r="N55" s="125">
        <f t="shared" si="41"/>
        <v>0</v>
      </c>
      <c r="O55" s="125">
        <f t="shared" si="42"/>
        <v>0</v>
      </c>
      <c r="P55" s="199">
        <f t="shared" ca="1" si="20"/>
        <v>24555.188378186092</v>
      </c>
      <c r="Q55" s="1"/>
      <c r="S55" s="787">
        <v>106.00307286441065</v>
      </c>
      <c r="T55" s="204"/>
      <c r="U55" s="204">
        <f t="shared" si="57"/>
        <v>0</v>
      </c>
      <c r="V55" s="204">
        <f t="shared" si="58"/>
        <v>0</v>
      </c>
      <c r="W55" s="204">
        <f t="shared" si="59"/>
        <v>0</v>
      </c>
      <c r="X55" s="204">
        <f t="shared" si="43"/>
        <v>0</v>
      </c>
      <c r="Y55" s="204">
        <f t="shared" si="44"/>
        <v>0</v>
      </c>
      <c r="Z55" s="204">
        <f t="shared" si="6"/>
        <v>0</v>
      </c>
      <c r="AA55" s="204">
        <f t="shared" si="60"/>
        <v>0</v>
      </c>
      <c r="AB55" s="204">
        <f t="shared" si="61"/>
        <v>0</v>
      </c>
      <c r="AC55" s="204">
        <f t="shared" si="62"/>
        <v>0</v>
      </c>
      <c r="AD55" s="204">
        <f t="shared" si="63"/>
        <v>0</v>
      </c>
      <c r="AE55" s="204"/>
      <c r="AF55" s="204">
        <f t="shared" si="64"/>
        <v>0</v>
      </c>
      <c r="AG55" s="204">
        <f t="shared" si="45"/>
        <v>0</v>
      </c>
      <c r="AH55" s="204">
        <f t="shared" si="46"/>
        <v>0</v>
      </c>
      <c r="AI55" s="204">
        <f t="shared" si="47"/>
        <v>0</v>
      </c>
      <c r="AJ55" s="204"/>
      <c r="AK55" s="204">
        <f t="shared" si="65"/>
        <v>0</v>
      </c>
      <c r="AL55" s="204">
        <f t="shared" ca="1" si="30"/>
        <v>0</v>
      </c>
      <c r="AM55" s="204">
        <f t="shared" ca="1" si="48"/>
        <v>0</v>
      </c>
      <c r="AN55" s="204">
        <f t="shared" ca="1" si="71"/>
        <v>0</v>
      </c>
      <c r="AO55" s="204">
        <f t="shared" ca="1" si="66"/>
        <v>0</v>
      </c>
      <c r="AP55" s="204">
        <f t="shared" ca="1" si="49"/>
        <v>0</v>
      </c>
      <c r="AQ55" s="204">
        <f t="shared" ca="1" si="50"/>
        <v>0</v>
      </c>
      <c r="AR55" s="204">
        <f t="shared" si="51"/>
        <v>0</v>
      </c>
      <c r="AS55" s="204">
        <f t="shared" si="32"/>
        <v>0</v>
      </c>
      <c r="AT55" s="204">
        <f t="shared" si="33"/>
        <v>0</v>
      </c>
      <c r="AU55" s="204">
        <f t="shared" si="34"/>
        <v>0</v>
      </c>
      <c r="AV55" s="204">
        <f t="shared" si="35"/>
        <v>0</v>
      </c>
      <c r="AW55" s="204">
        <f t="shared" si="52"/>
        <v>0</v>
      </c>
      <c r="AX55" s="204">
        <f t="shared" ca="1" si="53"/>
        <v>30637.313378186092</v>
      </c>
      <c r="AY55" s="204">
        <f t="shared" si="54"/>
        <v>0</v>
      </c>
      <c r="AZ55" s="204" t="str">
        <f t="shared" si="17"/>
        <v>N/A</v>
      </c>
      <c r="BA55" s="204">
        <f t="shared" si="67"/>
        <v>0</v>
      </c>
      <c r="BB55" s="204">
        <f t="shared" si="68"/>
        <v>0</v>
      </c>
      <c r="BC55" s="204" t="str">
        <f t="shared" si="55"/>
        <v xml:space="preserve"> </v>
      </c>
      <c r="BD55" s="204" t="str">
        <f t="shared" si="56"/>
        <v>,0</v>
      </c>
      <c r="BE55" s="204">
        <f t="shared" si="69"/>
        <v>0</v>
      </c>
      <c r="BF55" s="204">
        <f t="shared" si="70"/>
        <v>0</v>
      </c>
      <c r="BG55">
        <v>73314</v>
      </c>
      <c r="BH55">
        <v>75022</v>
      </c>
      <c r="BI55">
        <v>76000</v>
      </c>
    </row>
    <row r="56" spans="1:61" ht="12.75" customHeight="1">
      <c r="A56" s="14"/>
      <c r="B56" s="15"/>
      <c r="C56" s="15"/>
      <c r="D56" s="11"/>
      <c r="E56" s="1"/>
      <c r="F56" s="14"/>
      <c r="G56" s="1290" t="str">
        <f>Language!C699</f>
        <v>Custo de Redução de GEE</v>
      </c>
      <c r="H56" s="1290"/>
      <c r="I56" s="1253"/>
      <c r="J56" s="499" t="str">
        <f>Currency&amp;Language!C1304</f>
        <v>€/tCO2</v>
      </c>
      <c r="K56" s="500">
        <f ca="1">IF(D40&lt;=0,Language!C708,-K51/(D41/D8))</f>
        <v>-350.50412810837366</v>
      </c>
      <c r="L56" s="340"/>
      <c r="M56" s="94">
        <v>50</v>
      </c>
      <c r="N56" s="41">
        <f t="shared" si="41"/>
        <v>0</v>
      </c>
      <c r="O56" s="41">
        <f t="shared" si="42"/>
        <v>0</v>
      </c>
      <c r="P56" s="215">
        <f t="shared" ca="1" si="20"/>
        <v>24555.188378186092</v>
      </c>
      <c r="Q56" s="1"/>
      <c r="S56" s="787">
        <v>-350.50412810837366</v>
      </c>
      <c r="T56" s="204"/>
      <c r="U56" s="204">
        <f t="shared" si="57"/>
        <v>0</v>
      </c>
      <c r="V56" s="204">
        <f t="shared" si="58"/>
        <v>0</v>
      </c>
      <c r="W56" s="204">
        <f t="shared" si="59"/>
        <v>0</v>
      </c>
      <c r="X56" s="204">
        <f t="shared" si="43"/>
        <v>0</v>
      </c>
      <c r="Y56" s="204">
        <f t="shared" si="44"/>
        <v>0</v>
      </c>
      <c r="Z56" s="204">
        <f t="shared" si="6"/>
        <v>0</v>
      </c>
      <c r="AA56" s="204">
        <f t="shared" si="60"/>
        <v>0</v>
      </c>
      <c r="AB56" s="204">
        <f t="shared" si="61"/>
        <v>0</v>
      </c>
      <c r="AC56" s="204">
        <f t="shared" si="62"/>
        <v>0</v>
      </c>
      <c r="AD56" s="204">
        <f t="shared" si="63"/>
        <v>0</v>
      </c>
      <c r="AE56" s="204"/>
      <c r="AF56" s="204">
        <f t="shared" si="64"/>
        <v>0</v>
      </c>
      <c r="AG56" s="204">
        <f t="shared" si="45"/>
        <v>0</v>
      </c>
      <c r="AH56" s="204">
        <f t="shared" si="46"/>
        <v>0</v>
      </c>
      <c r="AI56" s="204">
        <f t="shared" si="47"/>
        <v>0</v>
      </c>
      <c r="AJ56" s="204"/>
      <c r="AK56" s="204">
        <f t="shared" si="65"/>
        <v>0</v>
      </c>
      <c r="AL56" s="204">
        <f t="shared" ca="1" si="30"/>
        <v>0</v>
      </c>
      <c r="AM56" s="204">
        <f t="shared" ca="1" si="48"/>
        <v>0</v>
      </c>
      <c r="AN56" s="204">
        <f t="shared" ca="1" si="71"/>
        <v>0</v>
      </c>
      <c r="AO56" s="204">
        <f t="shared" ca="1" si="66"/>
        <v>0</v>
      </c>
      <c r="AP56" s="204">
        <f t="shared" ca="1" si="49"/>
        <v>0</v>
      </c>
      <c r="AQ56" s="204">
        <f t="shared" ca="1" si="50"/>
        <v>0</v>
      </c>
      <c r="AR56" s="204">
        <f t="shared" si="51"/>
        <v>0</v>
      </c>
      <c r="AS56" s="204">
        <f t="shared" si="32"/>
        <v>0</v>
      </c>
      <c r="AT56" s="204">
        <f t="shared" si="33"/>
        <v>0</v>
      </c>
      <c r="AU56" s="204">
        <f t="shared" si="34"/>
        <v>0</v>
      </c>
      <c r="AV56" s="204">
        <f t="shared" si="35"/>
        <v>0</v>
      </c>
      <c r="AW56" s="204">
        <f t="shared" si="52"/>
        <v>0</v>
      </c>
      <c r="AX56" s="204">
        <f t="shared" ca="1" si="53"/>
        <v>30637.313378186092</v>
      </c>
      <c r="AY56" s="204">
        <f t="shared" si="54"/>
        <v>0</v>
      </c>
      <c r="AZ56" s="204" t="str">
        <f t="shared" si="17"/>
        <v>N/A</v>
      </c>
      <c r="BA56" s="204">
        <f t="shared" si="67"/>
        <v>0</v>
      </c>
      <c r="BB56" s="204">
        <f t="shared" si="68"/>
        <v>0</v>
      </c>
      <c r="BC56" s="204" t="str">
        <f t="shared" si="55"/>
        <v xml:space="preserve"> </v>
      </c>
      <c r="BD56" s="204" t="str">
        <f t="shared" si="56"/>
        <v>,0</v>
      </c>
      <c r="BE56" s="204">
        <f t="shared" si="69"/>
        <v>0</v>
      </c>
      <c r="BF56" s="204">
        <f t="shared" si="70"/>
        <v>0</v>
      </c>
      <c r="BG56">
        <v>73300</v>
      </c>
      <c r="BH56">
        <v>75024</v>
      </c>
      <c r="BI56">
        <v>76000</v>
      </c>
    </row>
    <row r="57" spans="1:61" ht="12.75" customHeight="1">
      <c r="A57" s="436" t="str">
        <f>Language!C1862</f>
        <v>Outras receitas ( custo)</v>
      </c>
      <c r="B57" s="5"/>
      <c r="C57" s="5"/>
      <c r="D57" s="1022" t="s">
        <v>4189</v>
      </c>
      <c r="E57" s="1"/>
      <c r="F57" s="1"/>
      <c r="G57" s="46"/>
      <c r="H57" s="46"/>
      <c r="I57" s="46"/>
      <c r="J57" s="46"/>
      <c r="K57" s="46"/>
      <c r="L57" s="1"/>
      <c r="M57" s="1"/>
      <c r="N57" s="1"/>
      <c r="O57" s="1"/>
      <c r="P57" s="1"/>
      <c r="Q57" s="1"/>
      <c r="AH57" s="204"/>
      <c r="AJ57" s="204"/>
      <c r="BG57">
        <v>73400</v>
      </c>
      <c r="BH57">
        <v>70000</v>
      </c>
      <c r="BI57">
        <v>70000</v>
      </c>
    </row>
    <row r="58" spans="1:61" ht="12.75" customHeight="1">
      <c r="A58" s="12"/>
      <c r="B58" s="8" t="str">
        <f>IF(C58=AC80,Language!C202,Language!C847)</f>
        <v>Energia</v>
      </c>
      <c r="C58" s="303" t="s">
        <v>2745</v>
      </c>
      <c r="D58" s="301"/>
      <c r="E58" s="2"/>
      <c r="F58" s="435" t="str">
        <f>Language!C710</f>
        <v>Gráfico de fluxo de caixa cumulativo</v>
      </c>
      <c r="G58" s="192"/>
      <c r="H58" s="192"/>
      <c r="I58" s="192"/>
      <c r="J58" s="192"/>
      <c r="K58" s="192"/>
      <c r="L58" s="192"/>
      <c r="M58" s="192"/>
      <c r="N58" s="192"/>
      <c r="O58" s="192"/>
      <c r="P58" s="193"/>
      <c r="Q58" s="1"/>
      <c r="T58" t="s">
        <v>2490</v>
      </c>
      <c r="U58">
        <f>Set_Level</f>
        <v>2</v>
      </c>
      <c r="V58" s="204">
        <f>Iniciar!P4</f>
        <v>0</v>
      </c>
      <c r="W58" s="53" t="s">
        <v>5029</v>
      </c>
      <c r="AH58" s="204"/>
      <c r="AJ58" s="204"/>
      <c r="AK58">
        <f>MAX(AK59:AK88)</f>
        <v>2</v>
      </c>
      <c r="AL58" t="s">
        <v>1829</v>
      </c>
      <c r="AM58">
        <f>IF(Iniciar!P3=1,1,0)</f>
        <v>0</v>
      </c>
      <c r="AP58" s="204"/>
      <c r="AQ58" s="204"/>
      <c r="AR58" s="204"/>
      <c r="AS58" s="204"/>
      <c r="AT58" s="204"/>
      <c r="AU58" s="204"/>
      <c r="BG58">
        <v>73402</v>
      </c>
      <c r="BH58">
        <v>77000</v>
      </c>
      <c r="BI58">
        <v>77000</v>
      </c>
    </row>
    <row r="59" spans="1:61" ht="12.75" customHeight="1">
      <c r="A59" s="12"/>
      <c r="B59" s="8" t="str">
        <f>Language!C833</f>
        <v>Preço</v>
      </c>
      <c r="C59" s="21" t="str">
        <f>C60&amp;"/"&amp;C58</f>
        <v>€/MWh</v>
      </c>
      <c r="D59" s="440"/>
      <c r="E59" s="1"/>
      <c r="F59" s="1295" t="str">
        <f>Language!C711&amp;" ("&amp;Currency&amp;")"</f>
        <v>Fluxo de caixa cumulativo (€)</v>
      </c>
      <c r="G59" s="1296"/>
      <c r="H59" s="1296"/>
      <c r="I59" s="1296"/>
      <c r="J59" s="1296"/>
      <c r="K59" s="1296"/>
      <c r="L59" s="1296"/>
      <c r="M59" s="1296"/>
      <c r="N59" s="1296"/>
      <c r="O59" s="1296"/>
      <c r="P59" s="1297"/>
      <c r="Q59" s="1"/>
      <c r="T59" t="s">
        <v>318</v>
      </c>
      <c r="U59">
        <f>IF(U58=2,1,IF(V58&gt;0,IF('Modelo Energético '!EE_GHG_CB=TRUE,1,0),IF(EM_GHG_CB=TRUE,1,0)))</f>
        <v>1</v>
      </c>
      <c r="AK59">
        <f>RANK(AM59,$AM$59:$AM$88)</f>
        <v>2</v>
      </c>
      <c r="AL59" t="str">
        <f>'Modelo Energético'!D940</f>
        <v>Solar</v>
      </c>
      <c r="AM59" s="204">
        <f>'Modelo Energético'!I940*ABS(1-$AM$58)</f>
        <v>0</v>
      </c>
      <c r="BG59">
        <v>73404</v>
      </c>
      <c r="BH59">
        <v>77000</v>
      </c>
      <c r="BI59">
        <v>77000</v>
      </c>
    </row>
    <row r="60" spans="1:61" ht="12.75" customHeight="1">
      <c r="A60" s="12"/>
      <c r="B60" s="8" t="str">
        <f>A57</f>
        <v>Outras receitas ( custo)</v>
      </c>
      <c r="C60" s="21" t="str">
        <f>C43</f>
        <v>€</v>
      </c>
      <c r="D60" s="758">
        <f>D59*D58*V85</f>
        <v>0</v>
      </c>
      <c r="E60" s="1"/>
      <c r="F60" s="1295"/>
      <c r="G60" s="1296"/>
      <c r="H60" s="1296"/>
      <c r="I60" s="1296"/>
      <c r="J60" s="1296"/>
      <c r="K60" s="1296"/>
      <c r="L60" s="1296"/>
      <c r="M60" s="1296"/>
      <c r="N60" s="1296"/>
      <c r="O60" s="1296"/>
      <c r="P60" s="1297"/>
      <c r="Q60" s="1"/>
      <c r="T60" t="s">
        <v>4770</v>
      </c>
      <c r="Z60" t="s">
        <v>3462</v>
      </c>
      <c r="AK60">
        <f t="shared" ref="AK60:AK88" si="72">RANK(AM60,$AM$59:$AM$88)</f>
        <v>2</v>
      </c>
      <c r="AL60" t="str">
        <f>'Modelo Energético'!D941</f>
        <v>Solar</v>
      </c>
      <c r="AM60" s="204">
        <f>'Modelo Energético'!I941*ABS(1-$AM$58)</f>
        <v>0</v>
      </c>
      <c r="BG60">
        <v>73406</v>
      </c>
      <c r="BH60">
        <v>77000</v>
      </c>
      <c r="BI60">
        <v>77000</v>
      </c>
    </row>
    <row r="61" spans="1:61" ht="12.75" customHeight="1">
      <c r="A61" s="12"/>
      <c r="B61" s="8" t="str">
        <f>Language!C1613</f>
        <v>Duração</v>
      </c>
      <c r="C61" s="21" t="str">
        <f>C44</f>
        <v>ano</v>
      </c>
      <c r="D61" s="301"/>
      <c r="E61" s="1"/>
      <c r="F61" s="1295"/>
      <c r="G61" s="1296"/>
      <c r="H61" s="1296"/>
      <c r="I61" s="1296"/>
      <c r="J61" s="1296"/>
      <c r="K61" s="1296"/>
      <c r="L61" s="1296"/>
      <c r="M61" s="1296"/>
      <c r="N61" s="1296"/>
      <c r="O61" s="1296"/>
      <c r="P61" s="1297"/>
      <c r="Q61" s="1"/>
      <c r="T61" t="s">
        <v>5442</v>
      </c>
      <c r="U61" s="209">
        <f>IF($U$58=2,D5,IF(V58=0,'Modelo Energético'!D991,'Modelo Energético '!$D$978))</f>
        <v>0.04</v>
      </c>
      <c r="W61">
        <f>IF(U58=2,IF(U81=TRUE,1,0),0)</f>
        <v>0</v>
      </c>
      <c r="X61" t="s">
        <v>3220</v>
      </c>
      <c r="Z61" t="str">
        <f>Language!C1421</f>
        <v>anos</v>
      </c>
      <c r="AK61">
        <f t="shared" si="72"/>
        <v>2</v>
      </c>
      <c r="AL61" t="str">
        <f>'Modelo Energético'!D942</f>
        <v>Solar</v>
      </c>
      <c r="AM61" s="204">
        <f>'Modelo Energético'!I942*ABS(1-$AM$58)</f>
        <v>0</v>
      </c>
      <c r="BG61">
        <v>73408</v>
      </c>
      <c r="BH61">
        <v>77000</v>
      </c>
      <c r="BI61">
        <v>77000</v>
      </c>
    </row>
    <row r="62" spans="1:61" ht="12.75" customHeight="1">
      <c r="A62" s="14"/>
      <c r="B62" s="15" t="str">
        <f>Language!C1643</f>
        <v>Taxa de crescimento</v>
      </c>
      <c r="C62" s="33" t="str">
        <f>C46</f>
        <v>%</v>
      </c>
      <c r="D62" s="302"/>
      <c r="E62" s="1"/>
      <c r="F62" s="1295"/>
      <c r="G62" s="1296"/>
      <c r="H62" s="1296"/>
      <c r="I62" s="1296"/>
      <c r="J62" s="1296"/>
      <c r="K62" s="1296"/>
      <c r="L62" s="1296"/>
      <c r="M62" s="1296"/>
      <c r="N62" s="1296"/>
      <c r="O62" s="1296"/>
      <c r="P62" s="1297"/>
      <c r="Q62" s="1"/>
      <c r="T62" t="s">
        <v>4805</v>
      </c>
      <c r="U62" s="209">
        <f>IF($U$58=2,D6,IF(V58=0,'Modelo Energético'!D991,'Modelo Energético '!$D$978))</f>
        <v>0.03</v>
      </c>
      <c r="W62">
        <f>MATCH(C22,Z80:Z82,0)</f>
        <v>2</v>
      </c>
      <c r="X62" t="s">
        <v>5591</v>
      </c>
      <c r="Z62" t="s">
        <v>5801</v>
      </c>
      <c r="AA62" s="216">
        <f ca="1">IRR(N6:N56,-0.1)</f>
        <v>0.15476812490800973</v>
      </c>
      <c r="AK62">
        <f t="shared" si="72"/>
        <v>2</v>
      </c>
      <c r="AL62" t="e">
        <f>'Modelo Energético'!D943</f>
        <v>#N/A</v>
      </c>
      <c r="AM62" s="204">
        <f>'Modelo Energético'!I943*ABS(1-$AM$58)</f>
        <v>0</v>
      </c>
      <c r="BG62">
        <v>73410</v>
      </c>
      <c r="BH62">
        <v>77000</v>
      </c>
      <c r="BI62">
        <v>77000</v>
      </c>
    </row>
    <row r="63" spans="1:61" ht="12.75" customHeight="1">
      <c r="A63" s="434" t="str">
        <f>Language!C648</f>
        <v>Receita da produçaõ de Energia Limpa (EL)</v>
      </c>
      <c r="B63" s="5"/>
      <c r="C63" s="5"/>
      <c r="D63" s="1034" t="s">
        <v>4189</v>
      </c>
      <c r="E63" s="1"/>
      <c r="F63" s="1295"/>
      <c r="G63" s="1296"/>
      <c r="H63" s="1296"/>
      <c r="I63" s="1296"/>
      <c r="J63" s="1296"/>
      <c r="K63" s="1296"/>
      <c r="L63" s="1296"/>
      <c r="M63" s="1296"/>
      <c r="N63" s="1296"/>
      <c r="O63" s="1296"/>
      <c r="P63" s="1297"/>
      <c r="Q63" s="1"/>
      <c r="T63" t="s">
        <v>654</v>
      </c>
      <c r="U63" s="209">
        <f>D7</f>
        <v>2.5000000000000001E-2</v>
      </c>
      <c r="W63">
        <f>MATCH(D28,Z80:Z81,0)</f>
        <v>2</v>
      </c>
      <c r="X63" t="s">
        <v>2406</v>
      </c>
      <c r="Z63" t="s">
        <v>2045</v>
      </c>
      <c r="AA63" s="216">
        <f ca="1">IRR(O6:O56,-0.1)</f>
        <v>0.15476812490800973</v>
      </c>
      <c r="AK63">
        <f t="shared" si="72"/>
        <v>2</v>
      </c>
      <c r="AL63" t="e">
        <f>'Modelo Energético'!D944</f>
        <v>#N/A</v>
      </c>
      <c r="AM63" s="204">
        <f>'Modelo Energético'!I944*ABS(1-$AM$58)</f>
        <v>0</v>
      </c>
      <c r="BG63">
        <v>73500</v>
      </c>
      <c r="BH63">
        <v>77000</v>
      </c>
      <c r="BI63">
        <v>77000</v>
      </c>
    </row>
    <row r="64" spans="1:61" ht="12.75" customHeight="1">
      <c r="A64" s="12"/>
      <c r="B64" s="8" t="str">
        <f>Language!C650</f>
        <v>Produção de EL</v>
      </c>
      <c r="C64" s="21" t="str">
        <f>Language!C1396</f>
        <v>MWh</v>
      </c>
      <c r="D64" s="199">
        <f>SUMIF(D70:D87,lang_yes,C70:C87)</f>
        <v>5.3903325633948667</v>
      </c>
      <c r="E64" s="1"/>
      <c r="F64" s="1295"/>
      <c r="G64" s="1296"/>
      <c r="H64" s="1296"/>
      <c r="I64" s="1296"/>
      <c r="J64" s="1296"/>
      <c r="K64" s="1296"/>
      <c r="L64" s="1296"/>
      <c r="M64" s="1296"/>
      <c r="N64" s="1296"/>
      <c r="O64" s="1296"/>
      <c r="P64" s="1297"/>
      <c r="Q64" s="1"/>
      <c r="T64" t="s">
        <v>1718</v>
      </c>
      <c r="U64" s="467">
        <f>IF(IF($U$58=2,D8,IF(V58=0,'Modelo Energético'!D992,'Modelo Energético '!D979))&gt;50,0,IF(IF($U$58=2,D8,IF(V58=0,'Modelo Energético'!D992,'Modelo Energético '!D979))&lt;0,0,IF($U$58=2,D8,IF(V58=0,'Modelo Energético'!D992,'Modelo Energético '!D979))))</f>
        <v>25</v>
      </c>
      <c r="W64">
        <f>IF(U58=2,IF(GHG=0,0,1),U59)</f>
        <v>1</v>
      </c>
      <c r="X64" t="s">
        <v>2223</v>
      </c>
      <c r="Z64" t="str">
        <f>G42</f>
        <v>TIR antes impostos - ativos</v>
      </c>
      <c r="AA64" s="216">
        <f ca="1">IRR(BE6:BE56,-0.1)</f>
        <v>0.15476812490800973</v>
      </c>
      <c r="AK64">
        <f t="shared" si="72"/>
        <v>2</v>
      </c>
      <c r="AL64" t="e">
        <f>'Modelo Energético'!D945</f>
        <v>#N/A</v>
      </c>
      <c r="AM64" s="204">
        <f>'Modelo Energético'!I945*ABS(1-$AM$58)</f>
        <v>0</v>
      </c>
      <c r="BG64">
        <v>73502</v>
      </c>
      <c r="BH64">
        <v>77000</v>
      </c>
      <c r="BI64">
        <v>77000</v>
      </c>
    </row>
    <row r="65" spans="1:61" ht="12.75" customHeight="1">
      <c r="A65" s="12"/>
      <c r="B65" s="8" t="str">
        <f>Language!C651</f>
        <v>Crédito de produção de EL</v>
      </c>
      <c r="C65" s="21" t="str">
        <f>Currency&amp;Language!C1297</f>
        <v>€/kWh</v>
      </c>
      <c r="D65" s="304"/>
      <c r="E65" s="1"/>
      <c r="F65" s="1295"/>
      <c r="G65" s="1296"/>
      <c r="H65" s="1296"/>
      <c r="I65" s="1296"/>
      <c r="J65" s="1296"/>
      <c r="K65" s="1296"/>
      <c r="L65" s="1296"/>
      <c r="M65" s="1296"/>
      <c r="N65" s="1296"/>
      <c r="O65" s="1296"/>
      <c r="P65" s="1297"/>
      <c r="Q65" s="1"/>
      <c r="T65" s="8" t="s">
        <v>1236</v>
      </c>
      <c r="U65" s="467">
        <f>IF($U$58=2,D11,IF(V58=0,'Modelo Energético'!D1006,'Modelo Energético '!D993))</f>
        <v>0</v>
      </c>
      <c r="W65">
        <f>'Análise de Emissões'!E46-1</f>
        <v>-1</v>
      </c>
      <c r="X65" t="s">
        <v>5440</v>
      </c>
      <c r="Z65" t="str">
        <f>G45</f>
        <v>TIR após impostos - ativos</v>
      </c>
      <c r="AA65" s="216">
        <f ca="1">IRR(BF6:BF56,-0.1)</f>
        <v>0.15476812490800973</v>
      </c>
      <c r="AK65">
        <f t="shared" si="72"/>
        <v>2</v>
      </c>
      <c r="AL65" t="str">
        <f>'Modelo Energético'!D946</f>
        <v>Eletricidade</v>
      </c>
      <c r="AM65" s="204">
        <f>'Modelo Energético'!I946*ABS(1-$AM$58)</f>
        <v>0</v>
      </c>
      <c r="BG65">
        <v>73504</v>
      </c>
      <c r="BH65">
        <v>77000</v>
      </c>
      <c r="BI65">
        <v>77000</v>
      </c>
    </row>
    <row r="66" spans="1:61" ht="12.75" customHeight="1">
      <c r="A66" s="12"/>
      <c r="B66" s="8" t="str">
        <f>Language!C689</f>
        <v>Receita da produçaõ de EL</v>
      </c>
      <c r="C66" s="21" t="str">
        <f>$C$11</f>
        <v>€</v>
      </c>
      <c r="D66" s="207">
        <f>IF(U58=2,IF(U83=FALSE,0,1)*(D64*V83*1000),0)*IF(HideCode_projectType&gt;=8,0,1)</f>
        <v>0</v>
      </c>
      <c r="E66" s="1"/>
      <c r="F66" s="1295"/>
      <c r="G66" s="1296"/>
      <c r="H66" s="1296"/>
      <c r="I66" s="1296"/>
      <c r="J66" s="1296"/>
      <c r="K66" s="1296"/>
      <c r="L66" s="1296"/>
      <c r="M66" s="1296"/>
      <c r="N66" s="1296"/>
      <c r="O66" s="1296"/>
      <c r="P66" s="1297"/>
      <c r="Q66" s="1"/>
      <c r="T66" s="8" t="s">
        <v>2921</v>
      </c>
      <c r="U66" s="209">
        <f>IF(U58=2,D12,IF(V58=0,'Modelo Energético'!D993,'Modelo Energético '!D980))</f>
        <v>0</v>
      </c>
      <c r="Z66" t="s">
        <v>2921</v>
      </c>
      <c r="AA66">
        <f>U66*(1+VarTab11)</f>
        <v>0</v>
      </c>
      <c r="AK66">
        <f t="shared" si="72"/>
        <v>1</v>
      </c>
      <c r="AL66" t="str">
        <f>AL59</f>
        <v>Solar</v>
      </c>
      <c r="AM66" s="204">
        <f>'Modelo Energético'!I947*ABS(1-$AM$58)</f>
        <v>5.3903325633948667</v>
      </c>
      <c r="BG66">
        <v>73506</v>
      </c>
      <c r="BH66">
        <v>77000</v>
      </c>
      <c r="BI66">
        <v>77000</v>
      </c>
    </row>
    <row r="67" spans="1:61" ht="12.75" customHeight="1">
      <c r="A67" s="12"/>
      <c r="B67" s="8" t="str">
        <f>Language!C652</f>
        <v>Duração do crédito de produção de EL</v>
      </c>
      <c r="C67" s="21" t="str">
        <f>Language!C1420</f>
        <v>ano</v>
      </c>
      <c r="D67" s="301"/>
      <c r="E67" s="1"/>
      <c r="F67" s="1295"/>
      <c r="G67" s="1296"/>
      <c r="H67" s="1296"/>
      <c r="I67" s="1296"/>
      <c r="J67" s="1296"/>
      <c r="K67" s="1296"/>
      <c r="L67" s="1296"/>
      <c r="M67" s="1296"/>
      <c r="N67" s="1296"/>
      <c r="O67" s="1296"/>
      <c r="P67" s="1297"/>
      <c r="Q67" s="1"/>
      <c r="T67" s="8" t="s">
        <v>4204</v>
      </c>
      <c r="U67" s="209">
        <f>IF(U58=2,D15,IF(V58=0,'Modelo Energético'!D994,'Modelo Energético '!D981))</f>
        <v>0</v>
      </c>
      <c r="Z67" t="s">
        <v>4204</v>
      </c>
      <c r="AA67">
        <f>U67*(1+VarTab12)</f>
        <v>0</v>
      </c>
      <c r="AK67">
        <f t="shared" si="72"/>
        <v>2</v>
      </c>
      <c r="AL67" t="str">
        <f>'Modelo Energético'!D950</f>
        <v>Calor recuperado</v>
      </c>
      <c r="AM67" s="204">
        <f>'Modelo Energético'!I950*ABS(1-$AM$58)</f>
        <v>0</v>
      </c>
      <c r="BG67">
        <v>73508</v>
      </c>
      <c r="BH67">
        <v>77000</v>
      </c>
      <c r="BI67">
        <v>77000</v>
      </c>
    </row>
    <row r="68" spans="1:61" ht="12.75" customHeight="1">
      <c r="A68" s="12"/>
      <c r="B68" s="8" t="str">
        <f>Language!C653</f>
        <v>Taxa de indexação do crédito de produção de EL</v>
      </c>
      <c r="C68" s="21" t="str">
        <f>C46</f>
        <v>%</v>
      </c>
      <c r="D68" s="302"/>
      <c r="E68" s="1"/>
      <c r="F68" s="1295"/>
      <c r="G68" s="1296"/>
      <c r="H68" s="1296"/>
      <c r="I68" s="1296"/>
      <c r="J68" s="1296"/>
      <c r="K68" s="1296"/>
      <c r="L68" s="1296"/>
      <c r="M68" s="1296"/>
      <c r="N68" s="1296"/>
      <c r="O68" s="1296"/>
      <c r="P68" s="1297"/>
      <c r="Q68" s="1"/>
      <c r="T68" s="8" t="s">
        <v>3190</v>
      </c>
      <c r="U68" s="467">
        <f>IF(U58=2,D16,IF(V58=0,'Modelo Energético'!D995,'Modelo Energético '!D982))</f>
        <v>0</v>
      </c>
      <c r="Z68" t="s">
        <v>3190</v>
      </c>
      <c r="AA68">
        <f>U68*(1+VarTab13)</f>
        <v>0</v>
      </c>
      <c r="AK68">
        <f t="shared" si="72"/>
        <v>2</v>
      </c>
      <c r="AL68" t="e">
        <f>'Modelo Energético'!D951</f>
        <v>#N/A</v>
      </c>
      <c r="AM68" s="204">
        <f>'Modelo Energético'!I951*ABS(1-$AM$58)</f>
        <v>0</v>
      </c>
      <c r="BG68">
        <v>73510</v>
      </c>
      <c r="BH68">
        <v>77000</v>
      </c>
      <c r="BI68">
        <v>77000</v>
      </c>
    </row>
    <row r="69" spans="1:61" ht="38.25" customHeight="1">
      <c r="A69" s="12"/>
      <c r="B69" s="153" t="str">
        <f>Language!C211</f>
        <v>Tipo de Combustível</v>
      </c>
      <c r="C69" s="20" t="str">
        <f>Language!C228</f>
        <v>Energia Fornecida
(MWh)</v>
      </c>
      <c r="D69" s="20" t="str">
        <f>Language!C1535</f>
        <v>Energia Limpa</v>
      </c>
      <c r="E69" s="340"/>
      <c r="F69" s="1295"/>
      <c r="G69" s="1296"/>
      <c r="H69" s="1296"/>
      <c r="I69" s="1296"/>
      <c r="J69" s="1296"/>
      <c r="K69" s="1296"/>
      <c r="L69" s="1296"/>
      <c r="M69" s="1296"/>
      <c r="N69" s="1296"/>
      <c r="O69" s="1296"/>
      <c r="P69" s="1297"/>
      <c r="Q69" s="1"/>
      <c r="T69" s="8" t="s">
        <v>1986</v>
      </c>
      <c r="U69" s="209">
        <f>IF(U58=2,D36,IF(V58=0,'Modelo Energético'!D991,'Modelo Energético '!D978))</f>
        <v>0.04</v>
      </c>
      <c r="Z69" s="22" t="s">
        <v>3975</v>
      </c>
      <c r="AA69" s="22">
        <v>25</v>
      </c>
      <c r="AK69">
        <f t="shared" si="72"/>
        <v>2</v>
      </c>
      <c r="AL69" t="e">
        <f>'Modelo Energético'!D952</f>
        <v>#N/A</v>
      </c>
      <c r="AM69" s="204">
        <f>'Modelo Energético'!I952*ABS(1-$AM$58)</f>
        <v>0</v>
      </c>
      <c r="BG69">
        <v>73500</v>
      </c>
      <c r="BH69">
        <v>77000</v>
      </c>
      <c r="BI69">
        <v>77000</v>
      </c>
    </row>
    <row r="70" spans="1:61" ht="12.75" customHeight="1">
      <c r="A70" s="68">
        <v>1</v>
      </c>
      <c r="B70" s="8" t="str">
        <f>IF(A70&lt;$AK$58,VLOOKUP(A70,$AK$59:$AM$88,2,FALSE),"")</f>
        <v>Solar</v>
      </c>
      <c r="C70" s="88">
        <f>IF(ISERROR(B70),"",IF(A70&lt;$AK$58,VLOOKUP(A70,$AK$59:$AM$88,3,FALSE),""))</f>
        <v>5.3903325633948667</v>
      </c>
      <c r="D70" s="305" t="s">
        <v>6131</v>
      </c>
      <c r="E70" s="1"/>
      <c r="F70" s="1295"/>
      <c r="G70" s="1296"/>
      <c r="H70" s="1296"/>
      <c r="I70" s="1296"/>
      <c r="J70" s="1296"/>
      <c r="K70" s="1296"/>
      <c r="L70" s="1296"/>
      <c r="M70" s="1296"/>
      <c r="N70" s="1296"/>
      <c r="O70" s="1296"/>
      <c r="P70" s="1297"/>
      <c r="Q70" s="1"/>
      <c r="T70" t="s">
        <v>1086</v>
      </c>
      <c r="U70" s="211">
        <f>IF($U$58=2,D42,IF(V58=0,EM_GHG_CR,'Modelo Energético '!D970))</f>
        <v>0</v>
      </c>
      <c r="AK70">
        <f t="shared" si="72"/>
        <v>2</v>
      </c>
      <c r="AL70" t="str">
        <f>'Modelo Energético'!D953</f>
        <v>Calor recuperado</v>
      </c>
      <c r="AM70" s="204">
        <f>'Modelo Energético'!I953*ABS(1-$AM$58)</f>
        <v>0</v>
      </c>
      <c r="BG70">
        <v>73500</v>
      </c>
      <c r="BH70">
        <v>77000</v>
      </c>
      <c r="BI70">
        <v>77000</v>
      </c>
    </row>
    <row r="71" spans="1:61" ht="12.75" customHeight="1">
      <c r="A71" s="68">
        <v>2</v>
      </c>
      <c r="B71" s="8" t="str">
        <f t="shared" ref="B71:B86" si="73">IF(A71&lt;$AK$58,VLOOKUP(A71,$AK$59:$AM$88,2,FALSE),"")</f>
        <v/>
      </c>
      <c r="C71" s="88" t="str">
        <f t="shared" ref="C71:C87" si="74">IF(ISERROR(B71),"",IF(A71&lt;$AK$58,VLOOKUP(A71,$AK$59:$AM$88,3,FALSE),""))</f>
        <v/>
      </c>
      <c r="D71" s="305" t="s">
        <v>6132</v>
      </c>
      <c r="E71" s="1"/>
      <c r="F71" s="1295"/>
      <c r="G71" s="1296"/>
      <c r="H71" s="1296"/>
      <c r="I71" s="1296"/>
      <c r="J71" s="1296"/>
      <c r="K71" s="1296"/>
      <c r="L71" s="1296"/>
      <c r="M71" s="1296"/>
      <c r="N71" s="1296"/>
      <c r="O71" s="1296"/>
      <c r="P71" s="1297"/>
      <c r="Q71" s="1"/>
      <c r="T71" t="s">
        <v>4551</v>
      </c>
      <c r="U71" s="250">
        <f>IF($U$58=2,D44,IF(V58=0,'Modelo Energético'!D984,'Modelo Energético '!D971))</f>
        <v>0</v>
      </c>
      <c r="X71" s="76" t="s">
        <v>925</v>
      </c>
      <c r="Y71" s="281" t="s">
        <v>3201</v>
      </c>
      <c r="Z71" s="281" t="s">
        <v>4225</v>
      </c>
      <c r="AK71">
        <f t="shared" si="72"/>
        <v>2</v>
      </c>
      <c r="AL71" t="e">
        <f>'Modelo Energético'!D954</f>
        <v>#N/A</v>
      </c>
      <c r="AM71" s="204">
        <f>'Modelo Energético'!I954*ABS(1-$AM$58)</f>
        <v>0</v>
      </c>
      <c r="BG71">
        <v>73500</v>
      </c>
      <c r="BH71">
        <v>77000</v>
      </c>
      <c r="BI71">
        <v>77000</v>
      </c>
    </row>
    <row r="72" spans="1:61" ht="12.75" customHeight="1">
      <c r="A72" s="68">
        <v>3</v>
      </c>
      <c r="B72" s="8" t="str">
        <f t="shared" si="73"/>
        <v/>
      </c>
      <c r="C72" s="88" t="str">
        <f t="shared" si="74"/>
        <v/>
      </c>
      <c r="D72" s="305" t="s">
        <v>6132</v>
      </c>
      <c r="E72" s="1"/>
      <c r="F72" s="1295"/>
      <c r="G72" s="1296"/>
      <c r="H72" s="1296"/>
      <c r="I72" s="1296"/>
      <c r="J72" s="1296"/>
      <c r="K72" s="1296"/>
      <c r="L72" s="1296"/>
      <c r="M72" s="1296"/>
      <c r="N72" s="1296"/>
      <c r="O72" s="1296"/>
      <c r="P72" s="1297"/>
      <c r="Q72" s="1"/>
      <c r="T72" t="s">
        <v>4554</v>
      </c>
      <c r="U72" s="249">
        <f>IF($U$58=2,D46,IF(V58=0,'Modelo Energético'!D985,'Modelo Energético '!D972))</f>
        <v>0</v>
      </c>
      <c r="X72" t="str">
        <f>Language!C189</f>
        <v xml:space="preserve">Eletricidade </v>
      </c>
      <c r="Y72" s="204">
        <f>'Carga e Rede'!S371</f>
        <v>0</v>
      </c>
      <c r="Z72" s="204">
        <f>SUM('Modelo Energético'!S940:S946)</f>
        <v>0</v>
      </c>
      <c r="AK72">
        <f t="shared" si="72"/>
        <v>2</v>
      </c>
      <c r="AL72" t="e">
        <f>'Modelo Energético'!D955</f>
        <v>#N/A</v>
      </c>
      <c r="AM72" s="204">
        <f>'Modelo Energético'!I955*ABS(1-$AM$58)</f>
        <v>0</v>
      </c>
      <c r="BG72">
        <v>73500</v>
      </c>
      <c r="BH72">
        <v>77000</v>
      </c>
      <c r="BI72">
        <v>77000</v>
      </c>
    </row>
    <row r="73" spans="1:61" ht="12.75" customHeight="1">
      <c r="A73" s="68">
        <v>4</v>
      </c>
      <c r="B73" s="8" t="str">
        <f t="shared" si="73"/>
        <v/>
      </c>
      <c r="C73" s="88" t="str">
        <f t="shared" si="74"/>
        <v/>
      </c>
      <c r="D73" s="305" t="s">
        <v>6132</v>
      </c>
      <c r="E73" s="1"/>
      <c r="F73" s="1295"/>
      <c r="G73" s="1296"/>
      <c r="H73" s="1296"/>
      <c r="I73" s="1296"/>
      <c r="J73" s="1296"/>
      <c r="K73" s="1296"/>
      <c r="L73" s="1296"/>
      <c r="M73" s="1296"/>
      <c r="N73" s="1296"/>
      <c r="O73" s="1296"/>
      <c r="P73" s="1297"/>
      <c r="Q73" s="1"/>
      <c r="X73" t="str">
        <f>Language!C190</f>
        <v>Aquecimento</v>
      </c>
      <c r="Y73" s="204">
        <f>'Carga e Rede'!S369</f>
        <v>0</v>
      </c>
      <c r="Z73" s="204">
        <f>SUM('Modelo Energético'!S950:S957)</f>
        <v>0</v>
      </c>
      <c r="AK73">
        <f t="shared" si="72"/>
        <v>2</v>
      </c>
      <c r="AL73" t="str">
        <f>'Modelo Energético'!D956</f>
        <v xml:space="preserve">Biomassa </v>
      </c>
      <c r="AM73" s="204">
        <f>'Modelo Energético'!I956*ABS(1-$AM$58)</f>
        <v>0</v>
      </c>
      <c r="BG73">
        <v>73500</v>
      </c>
      <c r="BH73">
        <v>77000</v>
      </c>
      <c r="BI73">
        <v>77000</v>
      </c>
    </row>
    <row r="74" spans="1:61" ht="12.75" customHeight="1">
      <c r="A74" s="68">
        <v>5</v>
      </c>
      <c r="B74" s="8" t="str">
        <f t="shared" si="73"/>
        <v/>
      </c>
      <c r="C74" s="88" t="str">
        <f t="shared" si="74"/>
        <v/>
      </c>
      <c r="D74" s="305" t="s">
        <v>6132</v>
      </c>
      <c r="E74" s="1"/>
      <c r="F74" s="1295"/>
      <c r="G74" s="1296"/>
      <c r="H74" s="1296"/>
      <c r="I74" s="1296"/>
      <c r="J74" s="1296"/>
      <c r="K74" s="1296"/>
      <c r="L74" s="1296"/>
      <c r="M74" s="1296"/>
      <c r="N74" s="1296"/>
      <c r="O74" s="1296"/>
      <c r="P74" s="1297"/>
      <c r="Q74" s="1"/>
      <c r="X74" s="76" t="str">
        <f>Language!C191</f>
        <v>Refrigeração</v>
      </c>
      <c r="Y74" s="253">
        <f>'Carga e Rede'!S370</f>
        <v>0</v>
      </c>
      <c r="Z74" s="253">
        <f>SUM('Modelo Energético'!S960:S961)</f>
        <v>0</v>
      </c>
      <c r="AK74">
        <f t="shared" si="72"/>
        <v>2</v>
      </c>
      <c r="AL74" t="str">
        <f>'Modelo Energético'!D957</f>
        <v>Gás Natural</v>
      </c>
      <c r="AM74" s="204">
        <f>'Modelo Energético'!I957*ABS(1-$AM$58)</f>
        <v>0</v>
      </c>
      <c r="BG74">
        <v>73500</v>
      </c>
      <c r="BH74">
        <v>77000</v>
      </c>
      <c r="BI74">
        <v>77000</v>
      </c>
    </row>
    <row r="75" spans="1:61" ht="12.75" customHeight="1">
      <c r="A75" s="68">
        <v>6</v>
      </c>
      <c r="B75" s="8" t="str">
        <f t="shared" si="73"/>
        <v/>
      </c>
      <c r="C75" s="88" t="str">
        <f t="shared" si="74"/>
        <v/>
      </c>
      <c r="D75" s="305" t="s">
        <v>6132</v>
      </c>
      <c r="E75" s="1"/>
      <c r="F75" s="1295"/>
      <c r="G75" s="1296"/>
      <c r="H75" s="1296"/>
      <c r="I75" s="1296"/>
      <c r="J75" s="1296"/>
      <c r="K75" s="1296"/>
      <c r="L75" s="1296"/>
      <c r="M75" s="1296"/>
      <c r="N75" s="1296"/>
      <c r="O75" s="1296"/>
      <c r="P75" s="1297"/>
      <c r="Q75" s="1"/>
      <c r="T75">
        <f>IF(OR(T2=60,T2=0),0,1)</f>
        <v>1</v>
      </c>
      <c r="X75" t="s">
        <v>2746</v>
      </c>
      <c r="Y75" s="204">
        <f>'Carga e Rede'!J365</f>
        <v>0</v>
      </c>
      <c r="Z75" s="204">
        <f>SUM(Z72:Z74)</f>
        <v>0</v>
      </c>
      <c r="AK75">
        <f t="shared" si="72"/>
        <v>2</v>
      </c>
      <c r="AL75" t="e">
        <f>'Modelo Energético'!D960</f>
        <v>#N/A</v>
      </c>
      <c r="AM75" s="204">
        <f>'Modelo Energético'!I960*ABS(1-$AM$58)</f>
        <v>0</v>
      </c>
      <c r="BG75">
        <v>73500</v>
      </c>
      <c r="BH75">
        <v>77000</v>
      </c>
      <c r="BI75">
        <v>77000</v>
      </c>
    </row>
    <row r="76" spans="1:61" ht="12.75" customHeight="1">
      <c r="A76" s="68">
        <v>7</v>
      </c>
      <c r="B76" s="8" t="str">
        <f t="shared" si="73"/>
        <v/>
      </c>
      <c r="C76" s="88" t="str">
        <f t="shared" si="74"/>
        <v/>
      </c>
      <c r="D76" s="305" t="s">
        <v>6132</v>
      </c>
      <c r="E76" s="1"/>
      <c r="F76" s="1295"/>
      <c r="G76" s="1296"/>
      <c r="H76" s="1296"/>
      <c r="I76" s="1296"/>
      <c r="J76" s="1296"/>
      <c r="K76" s="1296"/>
      <c r="L76" s="1296"/>
      <c r="M76" s="1296"/>
      <c r="N76" s="1296"/>
      <c r="O76" s="1296"/>
      <c r="P76" s="1297"/>
      <c r="Q76" s="1"/>
      <c r="T76">
        <f>IF(GHG_Baseline=111,0,1)*T75</f>
        <v>0</v>
      </c>
      <c r="AK76">
        <f t="shared" si="72"/>
        <v>2</v>
      </c>
      <c r="AL76" t="e">
        <f>'Modelo Energético'!D961</f>
        <v>#N/A</v>
      </c>
      <c r="AM76" s="204">
        <f>'Modelo Energético'!I961*ABS(1-$AM$58)</f>
        <v>0</v>
      </c>
      <c r="BG76">
        <v>73500</v>
      </c>
      <c r="BH76">
        <v>77000</v>
      </c>
      <c r="BI76">
        <v>77000</v>
      </c>
    </row>
    <row r="77" spans="1:61" ht="12.75" customHeight="1">
      <c r="A77" s="68">
        <v>8</v>
      </c>
      <c r="B77" s="8" t="str">
        <f t="shared" si="73"/>
        <v/>
      </c>
      <c r="C77" s="88" t="str">
        <f t="shared" si="74"/>
        <v/>
      </c>
      <c r="D77" s="305" t="s">
        <v>6132</v>
      </c>
      <c r="E77" s="1"/>
      <c r="F77" s="1295"/>
      <c r="G77" s="1296"/>
      <c r="H77" s="1296"/>
      <c r="I77" s="1296"/>
      <c r="J77" s="1296"/>
      <c r="K77" s="1296"/>
      <c r="L77" s="1296"/>
      <c r="M77" s="1296"/>
      <c r="N77" s="1296"/>
      <c r="O77" s="1296"/>
      <c r="P77" s="1297"/>
      <c r="Q77" s="1"/>
      <c r="T77">
        <f>IF(OR(U84=FALSE,T2=60,T2=0),0,1)</f>
        <v>0</v>
      </c>
      <c r="AK77">
        <f t="shared" si="72"/>
        <v>2</v>
      </c>
      <c r="AL77" t="str">
        <f>'Análise de Emissões'!C117</f>
        <v xml:space="preserve">Biomassa </v>
      </c>
      <c r="AM77">
        <f>'Análise de Emissões'!Q117/3.6*$AM$58</f>
        <v>0</v>
      </c>
      <c r="BG77">
        <v>73500</v>
      </c>
      <c r="BH77">
        <v>77000</v>
      </c>
      <c r="BI77">
        <v>77000</v>
      </c>
    </row>
    <row r="78" spans="1:61" ht="12.75" customHeight="1">
      <c r="A78" s="68">
        <v>9</v>
      </c>
      <c r="B78" s="8" t="str">
        <f t="shared" si="73"/>
        <v/>
      </c>
      <c r="C78" s="88" t="str">
        <f t="shared" si="74"/>
        <v/>
      </c>
      <c r="D78" s="305" t="s">
        <v>6132</v>
      </c>
      <c r="E78" s="1"/>
      <c r="F78" s="1295"/>
      <c r="G78" s="1296"/>
      <c r="H78" s="1296"/>
      <c r="I78" s="1296"/>
      <c r="J78" s="1296"/>
      <c r="K78" s="1296"/>
      <c r="L78" s="1296"/>
      <c r="M78" s="1296"/>
      <c r="N78" s="1296"/>
      <c r="O78" s="1296"/>
      <c r="P78" s="1297"/>
      <c r="Q78" s="1"/>
      <c r="T78">
        <f>IF(U70=0,0,1)*T77</f>
        <v>0</v>
      </c>
      <c r="AK78">
        <f t="shared" si="72"/>
        <v>2</v>
      </c>
      <c r="AL78" t="str">
        <f>'Análise de Emissões'!C118</f>
        <v>Gás Natural</v>
      </c>
      <c r="AM78">
        <f>'Análise de Emissões'!Q118/3.6*$AM$58</f>
        <v>0</v>
      </c>
      <c r="BG78">
        <v>73500</v>
      </c>
      <c r="BH78">
        <v>77000</v>
      </c>
      <c r="BI78">
        <v>77000</v>
      </c>
    </row>
    <row r="79" spans="1:61" ht="12.75" customHeight="1">
      <c r="A79" s="68">
        <v>10</v>
      </c>
      <c r="B79" s="8" t="str">
        <f t="shared" si="73"/>
        <v/>
      </c>
      <c r="C79" s="88" t="str">
        <f t="shared" si="74"/>
        <v/>
      </c>
      <c r="D79" s="305" t="s">
        <v>6132</v>
      </c>
      <c r="E79" s="1"/>
      <c r="F79" s="1295"/>
      <c r="G79" s="1296"/>
      <c r="H79" s="1296"/>
      <c r="I79" s="1296"/>
      <c r="J79" s="1296"/>
      <c r="K79" s="1296"/>
      <c r="L79" s="1296"/>
      <c r="M79" s="1296"/>
      <c r="N79" s="1296"/>
      <c r="O79" s="1296"/>
      <c r="P79" s="1297"/>
      <c r="Q79" s="1"/>
      <c r="AE79" s="70" t="s">
        <v>2742</v>
      </c>
      <c r="AF79" s="71"/>
      <c r="AG79" s="71"/>
      <c r="AH79" s="72"/>
      <c r="AK79">
        <f t="shared" si="72"/>
        <v>2</v>
      </c>
      <c r="AL79" t="str">
        <f>'Análise de Emissões'!C119</f>
        <v>Gás Natural</v>
      </c>
      <c r="AM79">
        <f>'Análise de Emissões'!Q119/3.6*$AM$58</f>
        <v>0</v>
      </c>
      <c r="BG79">
        <v>73500</v>
      </c>
      <c r="BH79">
        <v>77000</v>
      </c>
      <c r="BI79">
        <v>77000</v>
      </c>
    </row>
    <row r="80" spans="1:61" ht="12.75" customHeight="1">
      <c r="A80" s="68">
        <v>11</v>
      </c>
      <c r="B80" s="8" t="str">
        <f t="shared" si="73"/>
        <v/>
      </c>
      <c r="C80" s="88" t="str">
        <f t="shared" si="74"/>
        <v/>
      </c>
      <c r="D80" s="305" t="s">
        <v>6132</v>
      </c>
      <c r="E80" s="1"/>
      <c r="F80" s="1295"/>
      <c r="G80" s="1296"/>
      <c r="H80" s="1296"/>
      <c r="I80" s="1296"/>
      <c r="J80" s="1296"/>
      <c r="K80" s="1296"/>
      <c r="L80" s="1296"/>
      <c r="M80" s="1296"/>
      <c r="N80" s="1296"/>
      <c r="O80" s="1296"/>
      <c r="P80" s="1297"/>
      <c r="Q80" s="1"/>
      <c r="X80" t="s">
        <v>4525</v>
      </c>
      <c r="Z80" t="str">
        <f>lang_yes</f>
        <v>Sim</v>
      </c>
      <c r="AA80" t="str">
        <f>Language!C637</f>
        <v>Redução líquida de GEE</v>
      </c>
      <c r="AC80" t="str">
        <f>Language!C1364</f>
        <v>kW</v>
      </c>
      <c r="AE80" s="73"/>
      <c r="AF80" s="22" t="str">
        <f>Language!C646</f>
        <v>Cumulativo</v>
      </c>
      <c r="AG80" s="22"/>
      <c r="AH80" s="74"/>
      <c r="AK80">
        <f t="shared" si="72"/>
        <v>2</v>
      </c>
      <c r="AL80" t="str">
        <f>'Análise de Emissões'!C120</f>
        <v>Gás Natural</v>
      </c>
      <c r="AM80">
        <f>'Análise de Emissões'!Q120/3.6*$AM$58</f>
        <v>0</v>
      </c>
      <c r="BG80">
        <v>73500</v>
      </c>
      <c r="BH80">
        <v>77000</v>
      </c>
      <c r="BI80">
        <v>77000</v>
      </c>
    </row>
    <row r="81" spans="1:61" ht="12.75" customHeight="1">
      <c r="A81" s="68">
        <v>12</v>
      </c>
      <c r="B81" s="8" t="str">
        <f t="shared" si="73"/>
        <v/>
      </c>
      <c r="C81" s="88" t="str">
        <f t="shared" si="74"/>
        <v/>
      </c>
      <c r="D81" s="305" t="s">
        <v>6132</v>
      </c>
      <c r="E81" s="1"/>
      <c r="F81" s="1295"/>
      <c r="G81" s="1296"/>
      <c r="H81" s="1296"/>
      <c r="I81" s="1296"/>
      <c r="J81" s="1296"/>
      <c r="K81" s="1296"/>
      <c r="L81" s="1296"/>
      <c r="M81" s="1296"/>
      <c r="N81" s="1296"/>
      <c r="O81" s="1296"/>
      <c r="P81" s="1297"/>
      <c r="Q81" s="1"/>
      <c r="T81" t="s">
        <v>5184</v>
      </c>
      <c r="U81" s="3" t="b">
        <v>0</v>
      </c>
      <c r="X81" t="str">
        <f>Language!C881</f>
        <v>Nenhum</v>
      </c>
      <c r="Z81" t="str">
        <f>lang_no</f>
        <v>Não</v>
      </c>
      <c r="AA81" t="str">
        <f>Language!C639</f>
        <v xml:space="preserve">Redução líquida de GEE - ano 1 à </v>
      </c>
      <c r="AC81" t="str">
        <f>Language!C1396</f>
        <v>MWh</v>
      </c>
      <c r="AE81" s="73"/>
      <c r="AF81" s="22" t="s">
        <v>2743</v>
      </c>
      <c r="AG81" s="22"/>
      <c r="AH81" s="74"/>
      <c r="AK81">
        <f t="shared" si="72"/>
        <v>2</v>
      </c>
      <c r="AL81" t="str">
        <f>'Análise de Emissões'!C121</f>
        <v>Gás Natural</v>
      </c>
      <c r="AM81">
        <f>'Análise de Emissões'!Q121/3.6*$AM$58</f>
        <v>0</v>
      </c>
      <c r="BG81">
        <v>73500</v>
      </c>
      <c r="BH81">
        <v>77000</v>
      </c>
      <c r="BI81">
        <v>77000</v>
      </c>
    </row>
    <row r="82" spans="1:61" ht="12.75" customHeight="1">
      <c r="A82" s="68">
        <v>13</v>
      </c>
      <c r="B82" s="8" t="str">
        <f t="shared" si="73"/>
        <v/>
      </c>
      <c r="C82" s="88" t="str">
        <f t="shared" si="74"/>
        <v/>
      </c>
      <c r="D82" s="305" t="s">
        <v>6132</v>
      </c>
      <c r="E82" s="1"/>
      <c r="F82" s="1295"/>
      <c r="G82" s="1296"/>
      <c r="H82" s="1296"/>
      <c r="I82" s="1296"/>
      <c r="J82" s="1296"/>
      <c r="K82" s="1296"/>
      <c r="L82" s="1296"/>
      <c r="M82" s="1296"/>
      <c r="N82" s="1296"/>
      <c r="O82" s="1296"/>
      <c r="P82" s="1297"/>
      <c r="Q82" s="1"/>
      <c r="T82" t="s">
        <v>4451</v>
      </c>
      <c r="U82" s="3" t="b">
        <v>0</v>
      </c>
      <c r="X82" t="str">
        <f>Language!C165</f>
        <v>Balanço em declínio</v>
      </c>
      <c r="Z82" t="str">
        <f>Language!C164</f>
        <v>Conceder crédito</v>
      </c>
      <c r="AA82" t="str">
        <f>Language!C640</f>
        <v xml:space="preserve">Redução líquida de GEE - ano </v>
      </c>
      <c r="AE82" s="73"/>
      <c r="AF82" s="22"/>
      <c r="AG82" s="22"/>
      <c r="AH82" s="74"/>
      <c r="AK82">
        <f t="shared" si="72"/>
        <v>2</v>
      </c>
      <c r="AL82" t="str">
        <f>'Análise de Emissões'!C122</f>
        <v>Gás Natural</v>
      </c>
      <c r="AM82">
        <f>'Análise de Emissões'!Q122/3.6*$AM$58</f>
        <v>0</v>
      </c>
      <c r="BG82">
        <v>73500</v>
      </c>
      <c r="BH82">
        <v>77000</v>
      </c>
      <c r="BI82">
        <v>77000</v>
      </c>
    </row>
    <row r="83" spans="1:61" ht="12.75" customHeight="1">
      <c r="A83" s="68">
        <v>14</v>
      </c>
      <c r="B83" s="8" t="str">
        <f t="shared" si="73"/>
        <v/>
      </c>
      <c r="C83" s="88" t="str">
        <f t="shared" si="74"/>
        <v/>
      </c>
      <c r="D83" s="305" t="s">
        <v>6132</v>
      </c>
      <c r="E83" s="1"/>
      <c r="F83" s="1295"/>
      <c r="G83" s="1296"/>
      <c r="H83" s="1296"/>
      <c r="I83" s="1296"/>
      <c r="J83" s="1296"/>
      <c r="K83" s="1296"/>
      <c r="L83" s="1296"/>
      <c r="M83" s="1296"/>
      <c r="N83" s="1296"/>
      <c r="O83" s="1296"/>
      <c r="P83" s="1297"/>
      <c r="Q83" s="1"/>
      <c r="T83" t="s">
        <v>4892</v>
      </c>
      <c r="U83" s="3" t="b">
        <v>0</v>
      </c>
      <c r="V83">
        <f>IF(U58=2,IF(OR(U83=FALSE,HideCode_projectType&gt;=8),0,1)*D65,0)*(1+VarTab10)</f>
        <v>0</v>
      </c>
      <c r="X83" t="str">
        <f>Language!C166</f>
        <v>Linear</v>
      </c>
      <c r="AA83" t="str">
        <f>Language!C641</f>
        <v xml:space="preserve"> e +</v>
      </c>
      <c r="AE83" s="73"/>
      <c r="AF83" s="22" t="s">
        <v>4953</v>
      </c>
      <c r="AG83" s="22" t="s">
        <v>3319</v>
      </c>
      <c r="AH83" s="74"/>
      <c r="AK83">
        <f t="shared" si="72"/>
        <v>2</v>
      </c>
      <c r="AL83" t="str">
        <f>'Análise de Emissões'!C123</f>
        <v>Gás Natural</v>
      </c>
      <c r="AM83">
        <f>'Análise de Emissões'!Q123/3.6*$AM$58</f>
        <v>0</v>
      </c>
      <c r="BG83">
        <v>73500</v>
      </c>
      <c r="BH83">
        <v>77000</v>
      </c>
      <c r="BI83">
        <v>77000</v>
      </c>
    </row>
    <row r="84" spans="1:61" ht="12.75" customHeight="1">
      <c r="A84" s="68">
        <v>15</v>
      </c>
      <c r="B84" s="8" t="str">
        <f t="shared" si="73"/>
        <v/>
      </c>
      <c r="C84" s="88" t="str">
        <f t="shared" si="74"/>
        <v/>
      </c>
      <c r="D84" s="305" t="s">
        <v>6132</v>
      </c>
      <c r="E84" s="1"/>
      <c r="F84" s="1295"/>
      <c r="G84" s="1296"/>
      <c r="H84" s="1296"/>
      <c r="I84" s="1296"/>
      <c r="J84" s="1296"/>
      <c r="K84" s="1296"/>
      <c r="L84" s="1296"/>
      <c r="M84" s="1296"/>
      <c r="N84" s="1296"/>
      <c r="O84" s="1296"/>
      <c r="P84" s="1297"/>
      <c r="Q84" s="1"/>
      <c r="T84" t="s">
        <v>318</v>
      </c>
      <c r="U84" s="3" t="b">
        <v>0</v>
      </c>
      <c r="V84">
        <f>IF(U58=2,IF(U84=FALSE,0,1)*U70,U70)*(1+VarTab06)</f>
        <v>0</v>
      </c>
      <c r="W84" s="204">
        <f>IF(U84=FALSE,0,1)*D45</f>
        <v>0</v>
      </c>
      <c r="AE84" s="73"/>
      <c r="AF84" s="22">
        <f ca="1">AF85-1</f>
        <v>6</v>
      </c>
      <c r="AG84" s="22">
        <f ca="1">VLOOKUP(AF84,$M$6:$P$56,4)</f>
        <v>-644.04337979654224</v>
      </c>
      <c r="AH84" s="74"/>
      <c r="AK84">
        <f t="shared" si="72"/>
        <v>2</v>
      </c>
      <c r="AL84" t="str">
        <f>'Análise de Emissões'!C124</f>
        <v>Gás Natural</v>
      </c>
      <c r="AM84">
        <f>'Análise de Emissões'!Q124/3.6*$AM$58</f>
        <v>0</v>
      </c>
      <c r="BG84">
        <v>73500</v>
      </c>
      <c r="BH84">
        <v>77000</v>
      </c>
      <c r="BI84">
        <v>77000</v>
      </c>
    </row>
    <row r="85" spans="1:61" ht="12.75" customHeight="1">
      <c r="A85" s="68">
        <v>16</v>
      </c>
      <c r="B85" s="8" t="str">
        <f t="shared" si="73"/>
        <v/>
      </c>
      <c r="C85" s="88" t="str">
        <f t="shared" si="74"/>
        <v/>
      </c>
      <c r="D85" s="305" t="s">
        <v>6132</v>
      </c>
      <c r="E85" s="1"/>
      <c r="F85" s="1295"/>
      <c r="G85" s="1296"/>
      <c r="H85" s="1296"/>
      <c r="I85" s="1296"/>
      <c r="J85" s="1296"/>
      <c r="K85" s="1296"/>
      <c r="L85" s="1296"/>
      <c r="M85" s="1296"/>
      <c r="N85" s="1296"/>
      <c r="O85" s="1296"/>
      <c r="P85" s="1297"/>
      <c r="Q85" s="1"/>
      <c r="T85" t="s">
        <v>1235</v>
      </c>
      <c r="U85" s="3" t="b">
        <v>0</v>
      </c>
      <c r="V85">
        <f>IF(AND(U58=2,U85=TRUE),1,0)</f>
        <v>0</v>
      </c>
      <c r="AE85" s="73"/>
      <c r="AF85" s="22">
        <f ca="1">DMIN(M4:P56,1,AF80:AF81)</f>
        <v>7</v>
      </c>
      <c r="AG85" s="22">
        <f ca="1">VLOOKUP(AF85,$M$6:$P$56,4)</f>
        <v>405.65644474021519</v>
      </c>
      <c r="AH85" s="74"/>
      <c r="AK85">
        <f t="shared" si="72"/>
        <v>2</v>
      </c>
      <c r="AL85" t="str">
        <f>'Análise de Emissões'!C125</f>
        <v>Gás Natural</v>
      </c>
      <c r="AM85">
        <f>'Análise de Emissões'!Q125/3.6*$AM$58</f>
        <v>0</v>
      </c>
      <c r="BG85">
        <v>73500</v>
      </c>
      <c r="BH85">
        <v>77000</v>
      </c>
      <c r="BI85">
        <v>77000</v>
      </c>
    </row>
    <row r="86" spans="1:61" ht="12.75" customHeight="1">
      <c r="A86" s="68">
        <v>17</v>
      </c>
      <c r="B86" s="8" t="str">
        <f t="shared" si="73"/>
        <v/>
      </c>
      <c r="C86" s="88" t="str">
        <f t="shared" si="74"/>
        <v/>
      </c>
      <c r="D86" s="305" t="s">
        <v>6132</v>
      </c>
      <c r="E86" s="1"/>
      <c r="F86" s="1295"/>
      <c r="G86" s="1296"/>
      <c r="H86" s="1296"/>
      <c r="I86" s="1296"/>
      <c r="J86" s="1296"/>
      <c r="K86" s="1296"/>
      <c r="L86" s="1296"/>
      <c r="M86" s="1296"/>
      <c r="N86" s="1296"/>
      <c r="O86" s="1296"/>
      <c r="P86" s="1297"/>
      <c r="Q86" s="1"/>
      <c r="X86" s="219" t="s">
        <v>1815</v>
      </c>
      <c r="Y86" s="219" t="s">
        <v>3670</v>
      </c>
      <c r="Z86" s="219" t="s">
        <v>4122</v>
      </c>
      <c r="AA86" s="219" t="s">
        <v>5405</v>
      </c>
      <c r="AE86" s="75"/>
      <c r="AF86" s="76">
        <f ca="1">FORECAST(0,AF84:AF85,AG84:AG85)</f>
        <v>6.6135500499685849</v>
      </c>
      <c r="AG86" s="76"/>
      <c r="AH86" s="77"/>
      <c r="AK86">
        <f t="shared" si="72"/>
        <v>2</v>
      </c>
      <c r="AL86" t="str">
        <f>'Análise de Emissões'!C126</f>
        <v>Gás Natural</v>
      </c>
      <c r="AM86">
        <f>'Análise de Emissões'!Q126/3.6*$AM$58</f>
        <v>0</v>
      </c>
      <c r="BG86">
        <v>73500</v>
      </c>
      <c r="BH86">
        <v>77000</v>
      </c>
      <c r="BI86">
        <v>77000</v>
      </c>
    </row>
    <row r="87" spans="1:61" ht="12.75" customHeight="1">
      <c r="A87" s="220">
        <v>18</v>
      </c>
      <c r="B87" s="15" t="str">
        <f>IF(A87&lt;$AK$58,VLOOKUP(A87,$AK$59:$AM$88,2,FALSE),"")</f>
        <v/>
      </c>
      <c r="C87" s="34" t="str">
        <f t="shared" si="74"/>
        <v/>
      </c>
      <c r="D87" s="908" t="s">
        <v>6132</v>
      </c>
      <c r="E87" s="2"/>
      <c r="F87" s="14"/>
      <c r="G87" s="15"/>
      <c r="H87" s="15"/>
      <c r="I87" s="15"/>
      <c r="J87" s="15"/>
      <c r="K87" s="49" t="str">
        <f>M4</f>
        <v>Ano</v>
      </c>
      <c r="L87" s="15"/>
      <c r="M87" s="15"/>
      <c r="N87" s="15"/>
      <c r="O87" s="15"/>
      <c r="P87" s="11"/>
      <c r="Q87" s="1"/>
      <c r="X87" s="221">
        <f ca="1">IF(ISERROR(AfterIRR),"",AfterIRR)</f>
        <v>0.15476812490800973</v>
      </c>
      <c r="Y87" s="221">
        <f ca="1">IF(ISERROR(ROA),"",ROA)</f>
        <v>0.15476812490800973</v>
      </c>
      <c r="Z87" s="203">
        <f ca="1">IF(OR(ISERROR(YearPos),ISTEXT(YearPos)),"",YearPos)</f>
        <v>6.6135500499685849</v>
      </c>
      <c r="AA87" s="204">
        <f ca="1">IF(ISERROR(NPV),"",NPV)</f>
        <v>15384.13381645747</v>
      </c>
      <c r="AK87">
        <f t="shared" si="72"/>
        <v>2</v>
      </c>
      <c r="AL87" t="str">
        <f>'Análise de Emissões'!C127</f>
        <v>Solar</v>
      </c>
      <c r="AM87">
        <f>'Análise de Emissões'!Q127/3.6*$AM$58</f>
        <v>0</v>
      </c>
      <c r="BG87">
        <v>73500</v>
      </c>
      <c r="BH87">
        <v>77000</v>
      </c>
      <c r="BI87">
        <v>77000</v>
      </c>
    </row>
    <row r="88" spans="1:61" ht="12.75" customHeight="1">
      <c r="A88" s="1"/>
      <c r="B88" s="8"/>
      <c r="C88" s="8"/>
      <c r="D88" s="8"/>
      <c r="E88" s="1"/>
      <c r="F88" s="1"/>
      <c r="G88" s="1"/>
      <c r="H88" s="1"/>
      <c r="I88" s="1"/>
      <c r="J88" s="1"/>
      <c r="K88" s="1"/>
      <c r="L88" s="1"/>
      <c r="M88" s="1"/>
      <c r="N88" s="1"/>
      <c r="O88" s="1"/>
      <c r="P88" s="1"/>
      <c r="Q88" s="1"/>
      <c r="AK88">
        <f t="shared" si="72"/>
        <v>2</v>
      </c>
      <c r="AL88" t="e">
        <f>'Análise de Emissões'!C128</f>
        <v>#N/A</v>
      </c>
      <c r="AM88">
        <f>'Análise de Emissões'!Q128/3.6*$AM$58</f>
        <v>0</v>
      </c>
      <c r="BG88">
        <v>70000</v>
      </c>
      <c r="BH88">
        <v>70000</v>
      </c>
      <c r="BI88">
        <v>70000</v>
      </c>
    </row>
  </sheetData>
  <mergeCells count="49">
    <mergeCell ref="G55:I55"/>
    <mergeCell ref="G46:I46"/>
    <mergeCell ref="G47:I47"/>
    <mergeCell ref="G48:I48"/>
    <mergeCell ref="G49:I49"/>
    <mergeCell ref="G56:I56"/>
    <mergeCell ref="G50:I50"/>
    <mergeCell ref="G51:I51"/>
    <mergeCell ref="G52:I52"/>
    <mergeCell ref="G53:I53"/>
    <mergeCell ref="G54:I54"/>
    <mergeCell ref="C23:D23"/>
    <mergeCell ref="F59:P86"/>
    <mergeCell ref="F4:H4"/>
    <mergeCell ref="G5:H5"/>
    <mergeCell ref="G6:H6"/>
    <mergeCell ref="G7:H7"/>
    <mergeCell ref="G8:H8"/>
    <mergeCell ref="G9:H9"/>
    <mergeCell ref="G41:I41"/>
    <mergeCell ref="G42:I42"/>
    <mergeCell ref="G19:I19"/>
    <mergeCell ref="G20:I20"/>
    <mergeCell ref="A1:P2"/>
    <mergeCell ref="C22:D22"/>
    <mergeCell ref="F18:I18"/>
    <mergeCell ref="G10:H10"/>
    <mergeCell ref="G12:H12"/>
    <mergeCell ref="G11:H11"/>
    <mergeCell ref="G13:H13"/>
    <mergeCell ref="F16:H16"/>
    <mergeCell ref="G31:I31"/>
    <mergeCell ref="G32:I32"/>
    <mergeCell ref="G21:I21"/>
    <mergeCell ref="G25:I25"/>
    <mergeCell ref="G26:I26"/>
    <mergeCell ref="G27:I27"/>
    <mergeCell ref="G22:I22"/>
    <mergeCell ref="F24:I24"/>
    <mergeCell ref="G43:I43"/>
    <mergeCell ref="G44:I44"/>
    <mergeCell ref="G45:I45"/>
    <mergeCell ref="G14:H14"/>
    <mergeCell ref="G33:I33"/>
    <mergeCell ref="G34:I34"/>
    <mergeCell ref="G35:I35"/>
    <mergeCell ref="G36:I36"/>
    <mergeCell ref="F29:I29"/>
    <mergeCell ref="G30:I30"/>
  </mergeCells>
  <phoneticPr fontId="0" type="noConversion"/>
  <conditionalFormatting sqref="G5:K7 K25:K27">
    <cfRule type="expression" dxfId="130" priority="1" stopIfTrue="1">
      <formula>$K5=0</formula>
    </cfRule>
  </conditionalFormatting>
  <conditionalFormatting sqref="M7:M56 P7:P56">
    <cfRule type="expression" dxfId="129" priority="2" stopIfTrue="1">
      <formula>$M7&gt;$U$64</formula>
    </cfRule>
  </conditionalFormatting>
  <conditionalFormatting sqref="N7:O55">
    <cfRule type="expression" dxfId="128" priority="3" stopIfTrue="1">
      <formula>$M7&gt;$U$64</formula>
    </cfRule>
  </conditionalFormatting>
  <conditionalFormatting sqref="N56:O56">
    <cfRule type="expression" dxfId="127" priority="4" stopIfTrue="1">
      <formula>$M56&gt;$U$64</formula>
    </cfRule>
  </conditionalFormatting>
  <conditionalFormatting sqref="J31:K31 G35 J35:K35">
    <cfRule type="expression" dxfId="126" priority="5" stopIfTrue="1">
      <formula>$K31=0</formula>
    </cfRule>
  </conditionalFormatting>
  <conditionalFormatting sqref="G12">
    <cfRule type="expression" dxfId="125" priority="6" stopIfTrue="1">
      <formula>K12=0</formula>
    </cfRule>
  </conditionalFormatting>
  <conditionalFormatting sqref="D71:D86">
    <cfRule type="expression" dxfId="124" priority="7" stopIfTrue="1">
      <formula>OR($C71="",$U$83=FALSE,HideCode_projectType&gt;=8)</formula>
    </cfRule>
  </conditionalFormatting>
  <conditionalFormatting sqref="G32:H32 J32">
    <cfRule type="expression" dxfId="123" priority="8" stopIfTrue="1">
      <formula>OR($D$39="No",$K$32=0)</formula>
    </cfRule>
  </conditionalFormatting>
  <conditionalFormatting sqref="K32">
    <cfRule type="expression" dxfId="122" priority="9" stopIfTrue="1">
      <formula>OR($D$39="No",$K$32=0)</formula>
    </cfRule>
  </conditionalFormatting>
  <conditionalFormatting sqref="J33:K33 G33">
    <cfRule type="expression" dxfId="121" priority="10" stopIfTrue="1">
      <formula>$K$33=0</formula>
    </cfRule>
  </conditionalFormatting>
  <conditionalFormatting sqref="G34:J34">
    <cfRule type="expression" dxfId="120" priority="11" stopIfTrue="1">
      <formula>OR($U$85=FALSE,$K$34=0)</formula>
    </cfRule>
  </conditionalFormatting>
  <conditionalFormatting sqref="K34">
    <cfRule type="expression" dxfId="119" priority="12" stopIfTrue="1">
      <formula>OR($U$85=FALSE,$K$34=0)</formula>
    </cfRule>
  </conditionalFormatting>
  <conditionalFormatting sqref="G31">
    <cfRule type="expression" dxfId="118" priority="13" stopIfTrue="1">
      <formula>$K$31=0</formula>
    </cfRule>
  </conditionalFormatting>
  <conditionalFormatting sqref="G27">
    <cfRule type="expression" dxfId="117" priority="14" stopIfTrue="1">
      <formula>$K$27=0</formula>
    </cfRule>
  </conditionalFormatting>
  <conditionalFormatting sqref="J27">
    <cfRule type="expression" dxfId="116" priority="15" stopIfTrue="1">
      <formula>$K$27=0</formula>
    </cfRule>
  </conditionalFormatting>
  <conditionalFormatting sqref="J21:K21 G21">
    <cfRule type="expression" dxfId="115" priority="16" stopIfTrue="1">
      <formula>$U$66=0</formula>
    </cfRule>
  </conditionalFormatting>
  <conditionalFormatting sqref="J25">
    <cfRule type="expression" dxfId="114" priority="17" stopIfTrue="1">
      <formula>$K$25=0</formula>
    </cfRule>
  </conditionalFormatting>
  <conditionalFormatting sqref="J26">
    <cfRule type="expression" dxfId="113" priority="18" stopIfTrue="1">
      <formula>$K$26=0</formula>
    </cfRule>
  </conditionalFormatting>
  <conditionalFormatting sqref="F16 J16:K16">
    <cfRule type="expression" dxfId="112" priority="19" stopIfTrue="1">
      <formula>$U$65=0</formula>
    </cfRule>
  </conditionalFormatting>
  <conditionalFormatting sqref="D42">
    <cfRule type="expression" dxfId="111" priority="20" stopIfTrue="1">
      <formula>$T$77=0</formula>
    </cfRule>
  </conditionalFormatting>
  <conditionalFormatting sqref="D36">
    <cfRule type="expression" dxfId="110" priority="21" stopIfTrue="1">
      <formula>$D$33=0</formula>
    </cfRule>
  </conditionalFormatting>
  <conditionalFormatting sqref="G56 J56:K56 B40:D41">
    <cfRule type="expression" dxfId="109" priority="22" stopIfTrue="1">
      <formula>$T$75=0</formula>
    </cfRule>
  </conditionalFormatting>
  <conditionalFormatting sqref="J54:K54 G54">
    <cfRule type="expression" dxfId="108" priority="23" stopIfTrue="1">
      <formula>$U$66=0</formula>
    </cfRule>
  </conditionalFormatting>
  <conditionalFormatting sqref="B58:C62">
    <cfRule type="expression" dxfId="107" priority="24" stopIfTrue="1">
      <formula>$U$85=FALSE</formula>
    </cfRule>
  </conditionalFormatting>
  <conditionalFormatting sqref="D58:D62">
    <cfRule type="expression" dxfId="106" priority="25" stopIfTrue="1">
      <formula>$U$85=FALSE</formula>
    </cfRule>
  </conditionalFormatting>
  <conditionalFormatting sqref="B43:C46">
    <cfRule type="expression" dxfId="105" priority="26" stopIfTrue="1">
      <formula>$T$78=0</formula>
    </cfRule>
  </conditionalFormatting>
  <conditionalFormatting sqref="B39:C39">
    <cfRule type="expression" dxfId="104" priority="27" stopIfTrue="1">
      <formula>$T$76=0</formula>
    </cfRule>
  </conditionalFormatting>
  <conditionalFormatting sqref="B42:C42">
    <cfRule type="expression" dxfId="103" priority="28" stopIfTrue="1">
      <formula>$T$77=0</formula>
    </cfRule>
  </conditionalFormatting>
  <conditionalFormatting sqref="A42">
    <cfRule type="expression" dxfId="102" priority="29" stopIfTrue="1">
      <formula>$T$77=0</formula>
    </cfRule>
  </conditionalFormatting>
  <conditionalFormatting sqref="D43:D46">
    <cfRule type="expression" dxfId="101" priority="30" stopIfTrue="1">
      <formula>$T$78=0</formula>
    </cfRule>
  </conditionalFormatting>
  <conditionalFormatting sqref="D39">
    <cfRule type="expression" dxfId="100" priority="31" stopIfTrue="1">
      <formula>$T$76=0</formula>
    </cfRule>
  </conditionalFormatting>
  <conditionalFormatting sqref="B33:D35 C36">
    <cfRule type="expression" dxfId="99" priority="32" stopIfTrue="1">
      <formula>$D$33=0</formula>
    </cfRule>
  </conditionalFormatting>
  <conditionalFormatting sqref="B36">
    <cfRule type="expression" dxfId="98" priority="33" stopIfTrue="1">
      <formula>$D$33=0</formula>
    </cfRule>
  </conditionalFormatting>
  <conditionalFormatting sqref="C21 B21:B23 B28:C28">
    <cfRule type="expression" dxfId="97" priority="34" stopIfTrue="1">
      <formula>$U$81=FALSE</formula>
    </cfRule>
  </conditionalFormatting>
  <conditionalFormatting sqref="B25:C25">
    <cfRule type="expression" dxfId="96" priority="35" stopIfTrue="1">
      <formula>$C$23=$X$81</formula>
    </cfRule>
    <cfRule type="expression" dxfId="95" priority="36" stopIfTrue="1">
      <formula>$U$81=FALSE</formula>
    </cfRule>
  </conditionalFormatting>
  <conditionalFormatting sqref="B24:C24 B26:C26">
    <cfRule type="expression" dxfId="94" priority="37" stopIfTrue="1">
      <formula>$C$23&lt;&gt;$X$82</formula>
    </cfRule>
    <cfRule type="expression" dxfId="93" priority="38" stopIfTrue="1">
      <formula>$U$81=FALSE</formula>
    </cfRule>
  </conditionalFormatting>
  <conditionalFormatting sqref="B27:C27">
    <cfRule type="expression" dxfId="92" priority="39" stopIfTrue="1">
      <formula>$U$81=FALSE</formula>
    </cfRule>
    <cfRule type="expression" dxfId="91" priority="40" stopIfTrue="1">
      <formula>$C$23&lt;&gt;$X$83</formula>
    </cfRule>
  </conditionalFormatting>
  <conditionalFormatting sqref="D28 D21">
    <cfRule type="expression" dxfId="90" priority="41" stopIfTrue="1">
      <formula>$U$81=FALSE</formula>
    </cfRule>
  </conditionalFormatting>
  <conditionalFormatting sqref="D24 D26">
    <cfRule type="expression" dxfId="89" priority="42" stopIfTrue="1">
      <formula>$C$23&lt;&gt;$X$82</formula>
    </cfRule>
    <cfRule type="expression" dxfId="88" priority="43" stopIfTrue="1">
      <formula>$U$81=FALSE</formula>
    </cfRule>
  </conditionalFormatting>
  <conditionalFormatting sqref="D25">
    <cfRule type="expression" dxfId="87" priority="44" stopIfTrue="1">
      <formula>$C$23=$X$81</formula>
    </cfRule>
    <cfRule type="expression" dxfId="86" priority="45" stopIfTrue="1">
      <formula>$U$81=FALSE</formula>
    </cfRule>
  </conditionalFormatting>
  <conditionalFormatting sqref="D27">
    <cfRule type="expression" dxfId="85" priority="46" stopIfTrue="1">
      <formula>$U$81=FALSE</formula>
    </cfRule>
    <cfRule type="expression" dxfId="84" priority="47" stopIfTrue="1">
      <formula>$C$23&lt;&gt;$X$83</formula>
    </cfRule>
  </conditionalFormatting>
  <conditionalFormatting sqref="C22:D22">
    <cfRule type="expression" dxfId="83" priority="48" stopIfTrue="1">
      <formula>$U$81=FALSE</formula>
    </cfRule>
  </conditionalFormatting>
  <conditionalFormatting sqref="C23:D23">
    <cfRule type="expression" dxfId="82" priority="49" stopIfTrue="1">
      <formula>$U$81=FALSE</formula>
    </cfRule>
  </conditionalFormatting>
  <conditionalFormatting sqref="B47:C47">
    <cfRule type="expression" dxfId="81" priority="50" stopIfTrue="1">
      <formula>OR($T$2=0,$U$84=FALSE)</formula>
    </cfRule>
    <cfRule type="expression" dxfId="80" priority="51" stopIfTrue="1">
      <formula>$V$84=0</formula>
    </cfRule>
  </conditionalFormatting>
  <conditionalFormatting sqref="B13:D17">
    <cfRule type="expression" dxfId="79" priority="52" stopIfTrue="1">
      <formula>$D$12=0</formula>
    </cfRule>
  </conditionalFormatting>
  <conditionalFormatting sqref="K12">
    <cfRule type="expression" dxfId="78" priority="53" stopIfTrue="1">
      <formula>$K$12=0</formula>
    </cfRule>
  </conditionalFormatting>
  <conditionalFormatting sqref="I11:K11">
    <cfRule type="expression" dxfId="77" priority="54" stopIfTrue="1">
      <formula>OR($T$1=1,$T$1=2,$T$1=4,$K$11=0)</formula>
    </cfRule>
  </conditionalFormatting>
  <conditionalFormatting sqref="I12:J12">
    <cfRule type="expression" dxfId="76" priority="55" stopIfTrue="1">
      <formula>$K$12=0</formula>
    </cfRule>
  </conditionalFormatting>
  <conditionalFormatting sqref="G8:K8">
    <cfRule type="expression" dxfId="75" priority="56" stopIfTrue="1">
      <formula>OR($T$1=1,$T$1=3,$T$1=6,$T$1&gt;=8)</formula>
    </cfRule>
  </conditionalFormatting>
  <conditionalFormatting sqref="G9:K9">
    <cfRule type="expression" dxfId="74" priority="57" stopIfTrue="1">
      <formula>OR($T$1=2,$T$1=3,$T$1=5,$T$1&gt;=8)</formula>
    </cfRule>
  </conditionalFormatting>
  <conditionalFormatting sqref="G10:K10">
    <cfRule type="expression" dxfId="73" priority="58" stopIfTrue="1">
      <formula>OR($T$1=1,$T$1=2,$T$1=4,$T$1&gt;=8)</formula>
    </cfRule>
  </conditionalFormatting>
  <conditionalFormatting sqref="D29">
    <cfRule type="expression" dxfId="72" priority="59" stopIfTrue="1">
      <formula>$U$81=FALSE</formula>
    </cfRule>
    <cfRule type="expression" dxfId="71" priority="60" stopIfTrue="1">
      <formula>$D$28=lang_no</formula>
    </cfRule>
  </conditionalFormatting>
  <conditionalFormatting sqref="B29:C29">
    <cfRule type="expression" dxfId="70" priority="61" stopIfTrue="1">
      <formula>$U$81=FALSE</formula>
    </cfRule>
    <cfRule type="expression" dxfId="69" priority="62" stopIfTrue="1">
      <formula>$D$28=lang_no</formula>
    </cfRule>
  </conditionalFormatting>
  <conditionalFormatting sqref="B49:C49">
    <cfRule type="expression" dxfId="68" priority="63" stopIfTrue="1">
      <formula>OR($T$1=1,$T$1=3,$T$1=6,$U$82=FALSE,HideCode_projectType&gt;=8)</formula>
    </cfRule>
  </conditionalFormatting>
  <conditionalFormatting sqref="B50:C50">
    <cfRule type="expression" dxfId="67" priority="64" stopIfTrue="1">
      <formula>OR($T$1=1,$T$1=3,$T$1=6,$D$49=0,$U$82=FALSE,HideCode_projectType&gt;=8)</formula>
    </cfRule>
  </conditionalFormatting>
  <conditionalFormatting sqref="B51:C51">
    <cfRule type="expression" dxfId="66" priority="65" stopIfTrue="1">
      <formula>OR($T$1=2,$T$1=3,$T$1=5,$U$82=FALSE,HideCode_projectType&gt;=8)</formula>
    </cfRule>
  </conditionalFormatting>
  <conditionalFormatting sqref="B52:C52">
    <cfRule type="expression" dxfId="65" priority="66" stopIfTrue="1">
      <formula>OR($T$1=2,$T$1=3,$T$1=5,$D$51=0,$U$82=FALSE,HideCode_projectType&gt;=8)</formula>
    </cfRule>
  </conditionalFormatting>
  <conditionalFormatting sqref="B53:C53">
    <cfRule type="expression" dxfId="64" priority="67" stopIfTrue="1">
      <formula>OR($T$1=1,$T$1=2,$T$1=4,$U$82=FALSE,HideCode_projectType&gt;=8)</formula>
    </cfRule>
  </conditionalFormatting>
  <conditionalFormatting sqref="B54:C54">
    <cfRule type="expression" dxfId="63" priority="68" stopIfTrue="1">
      <formula>OR($T$1=1,$T$1=2,$T$1=4,$D$53=0,$U$82=FALSE,HideCode_projectType&gt;=8)</formula>
    </cfRule>
  </conditionalFormatting>
  <conditionalFormatting sqref="B55:D55">
    <cfRule type="expression" dxfId="62" priority="69" stopIfTrue="1">
      <formula>OR($U$66=0,$U$82=FALSE,HideCode_projectType&gt;=8)</formula>
    </cfRule>
  </conditionalFormatting>
  <conditionalFormatting sqref="D49">
    <cfRule type="expression" dxfId="61" priority="70" stopIfTrue="1">
      <formula>OR($T$1=1,$T$1=3,$T$1=6,$U$82=FALSE,HideCode_projectType&gt;=8)</formula>
    </cfRule>
  </conditionalFormatting>
  <conditionalFormatting sqref="D50">
    <cfRule type="expression" dxfId="60" priority="71" stopIfTrue="1">
      <formula>OR($T$1=1,$T$1=3,$T$1=6,$D$49=0,$U$82=FALSE,HideCode_projectType&gt;=8)</formula>
    </cfRule>
  </conditionalFormatting>
  <conditionalFormatting sqref="D51">
    <cfRule type="expression" dxfId="59" priority="72" stopIfTrue="1">
      <formula>OR($T$1=2,$T$1=3,$T$1=5,$U$82=FALSE,HideCode_projectType&gt;=8)</formula>
    </cfRule>
  </conditionalFormatting>
  <conditionalFormatting sqref="D52">
    <cfRule type="expression" dxfId="58" priority="73" stopIfTrue="1">
      <formula>OR($T$1=2,$T$1=3,$T$1=5,$D$51=0,$U$82=FALSE,HideCode_projectType&gt;=8)</formula>
    </cfRule>
  </conditionalFormatting>
  <conditionalFormatting sqref="D53">
    <cfRule type="expression" dxfId="57" priority="74" stopIfTrue="1">
      <formula>OR($T$1=1,$T$1=2,$T$1=4,$U$82=FALSE,HideCode_projectType&gt;=8)</formula>
    </cfRule>
  </conditionalFormatting>
  <conditionalFormatting sqref="D54">
    <cfRule type="expression" dxfId="56" priority="75" stopIfTrue="1">
      <formula>OR($T$1=1,$T$1=2,$T$1=4,$D$53=0,$U$82=FALSE,HideCode_projectType&gt;=8)</formula>
    </cfRule>
  </conditionalFormatting>
  <conditionalFormatting sqref="A48 A63">
    <cfRule type="expression" dxfId="55" priority="76" stopIfTrue="1">
      <formula>HideCode_projectType&gt;=8</formula>
    </cfRule>
  </conditionalFormatting>
  <conditionalFormatting sqref="B69:C70 B64:D64 B72:B87 C71:C87">
    <cfRule type="expression" dxfId="54" priority="77" stopIfTrue="1">
      <formula>OR($U$83=FALSE,HideCode_projectType&gt;=8)</formula>
    </cfRule>
  </conditionalFormatting>
  <conditionalFormatting sqref="B65:C68">
    <cfRule type="expression" dxfId="53" priority="78" stopIfTrue="1">
      <formula>OR($U$83=FALSE,$D$64=0,HideCode_projectType&gt;=8)</formula>
    </cfRule>
  </conditionalFormatting>
  <conditionalFormatting sqref="D65">
    <cfRule type="expression" dxfId="52" priority="79" stopIfTrue="1">
      <formula>OR($D$64&lt;=0,$U$83=FALSE,HideCode_projectType&gt;=8)</formula>
    </cfRule>
  </conditionalFormatting>
  <conditionalFormatting sqref="D66">
    <cfRule type="expression" dxfId="51" priority="80" stopIfTrue="1">
      <formula>OR($D$64&lt;=0,$V$83=0,$U$83=FALSE,HideCode_projectType&gt;=8)</formula>
    </cfRule>
  </conditionalFormatting>
  <conditionalFormatting sqref="D67:D68">
    <cfRule type="expression" dxfId="50" priority="81" stopIfTrue="1">
      <formula>OR($V$83=0,$U$83=FALSE,HideCode_projectType&gt;=8)</formula>
    </cfRule>
    <cfRule type="expression" dxfId="49" priority="82" stopIfTrue="1">
      <formula>$D$64&lt;=0</formula>
    </cfRule>
  </conditionalFormatting>
  <conditionalFormatting sqref="D69">
    <cfRule type="expression" dxfId="48" priority="83" stopIfTrue="1">
      <formula>OR($V$83=0,$U$83=FALSE,HideCode_projectType&gt;=8)</formula>
    </cfRule>
  </conditionalFormatting>
  <conditionalFormatting sqref="B71">
    <cfRule type="expression" dxfId="47" priority="84" stopIfTrue="1">
      <formula>OR($U$83=FALSE,,HideCode_projectType&gt;=8)</formula>
    </cfRule>
  </conditionalFormatting>
  <conditionalFormatting sqref="A32">
    <cfRule type="expression" dxfId="46" priority="85" stopIfTrue="1">
      <formula>HideCode_projectType=8</formula>
    </cfRule>
  </conditionalFormatting>
  <conditionalFormatting sqref="G55 K55">
    <cfRule type="expression" dxfId="45" priority="86" stopIfTrue="1">
      <formula>AND($T$1=2,$V$1=1)</formula>
    </cfRule>
  </conditionalFormatting>
  <conditionalFormatting sqref="J55">
    <cfRule type="expression" dxfId="44" priority="87" stopIfTrue="1">
      <formula>AND($T$1=2,$V$1=1)</formula>
    </cfRule>
  </conditionalFormatting>
  <conditionalFormatting sqref="G11:H11">
    <cfRule type="expression" dxfId="43" priority="88" stopIfTrue="1">
      <formula>OR($T$1=1,$T$1=2,$T$1=4,$K$11=0)</formula>
    </cfRule>
  </conditionalFormatting>
  <conditionalFormatting sqref="D70">
    <cfRule type="expression" dxfId="42" priority="89" stopIfTrue="1">
      <formula>OR($U$83=FALSE,HideCode_projectType&gt;=8,$C70="")</formula>
    </cfRule>
  </conditionalFormatting>
  <conditionalFormatting sqref="D87">
    <cfRule type="expression" dxfId="41" priority="90" stopIfTrue="1">
      <formula>OR($C87="",$U$83=FALSE,HideCode_projectType&gt;=8)</formula>
    </cfRule>
  </conditionalFormatting>
  <conditionalFormatting sqref="D63">
    <cfRule type="expression" dxfId="40" priority="181" stopIfTrue="1">
      <formula>HideCode_projectType&gt;=8</formula>
    </cfRule>
  </conditionalFormatting>
  <conditionalFormatting sqref="D48">
    <cfRule type="expression" dxfId="39" priority="182" stopIfTrue="1">
      <formula>HideCode_projectType&gt;=8</formula>
    </cfRule>
  </conditionalFormatting>
  <dataValidations count="15">
    <dataValidation allowBlank="1" showErrorMessage="1" errorTitle="Project life" error="The project life must be entered as a whole number of years less than or equal to 50 and greater than or equal to the debt term, if any." sqref="D8" xr:uid="{3217AC8F-99D6-478D-BCB3-0090ADDF0379}"/>
    <dataValidation type="whole" operator="lessThanOrEqual" allowBlank="1" showErrorMessage="1" errorTitle="Debt term" error="The debt term must be entered as a whole number of years less than or equal to the project life." sqref="AA68" xr:uid="{D9850A95-8A16-4365-B3F9-1E53C2CA92B1}">
      <formula1>U64</formula1>
    </dataValidation>
    <dataValidation type="whole" operator="lessThanOrEqual" allowBlank="1" showErrorMessage="1" errorTitle="Debt term" error="The debt term must be entered as a whole number of years less than or equal to the project life." sqref="U68" xr:uid="{B6E39139-476E-4CF4-B54F-49107D055DA5}">
      <formula1>U64</formula1>
    </dataValidation>
    <dataValidation type="whole" operator="lessThanOrEqual" allowBlank="1" showErrorMessage="1" errorTitle="Debt term" error="The debt term must be entered as a whole number of years less than or equal to the project life." sqref="D16" xr:uid="{D7B23941-9048-41B6-A3EF-DD6E6E4F28E9}">
      <formula1>D8</formula1>
    </dataValidation>
    <dataValidation operator="greaterThanOrEqual" allowBlank="1" showErrorMessage="1" errorTitle="RE production credit duration" error="The renewable energy (RE) production credit duration must be entered as a whole number of years greater than or equal to 1." sqref="V83" xr:uid="{9E9C068A-0774-4AA8-A81B-DAC13CA0D98E}"/>
    <dataValidation operator="greaterThanOrEqual" allowBlank="1" showInputMessage="1" showErrorMessage="1" errorTitle="GHG reduction credit duration" error="The GHG emission reduction credit duration must be entered as a whole number of years greater than or equal to 1." sqref="D61" xr:uid="{0B5CD193-ED32-44EA-9F52-2C8E4E3D2595}"/>
    <dataValidation type="list" allowBlank="1" showErrorMessage="1" sqref="D24 D28 D70:D87" xr:uid="{1A40931A-8F42-4D6C-8EAD-71793A7DC523}">
      <formula1>$Z$80:$Z$81</formula1>
    </dataValidation>
    <dataValidation type="list" allowBlank="1" showErrorMessage="1" sqref="C22:D22" xr:uid="{6D6BF0A1-6DAB-4EA7-ACE2-E59492CF4163}">
      <formula1>$Z$80:$Z$82</formula1>
    </dataValidation>
    <dataValidation type="list" allowBlank="1" showErrorMessage="1" sqref="C23:D23" xr:uid="{EB395E5F-A6C7-4429-A09E-3E6182FE8865}">
      <formula1>$X$81:$X$83</formula1>
    </dataValidation>
    <dataValidation type="whole" operator="greaterThanOrEqual" allowBlank="1" showErrorMessage="1" errorTitle="Depreciation period" error="The depreciation period must be entered as a whole number of years greater than or equal to 1." sqref="D27" xr:uid="{79D7264C-4006-4BAA-97BC-443D3C469D93}">
      <formula1>1</formula1>
    </dataValidation>
    <dataValidation type="whole" operator="greaterThanOrEqual" allowBlank="1" showErrorMessage="1" errorTitle="Tax holiday duration" error="The tax holiday duration must be entered as a whole number of years." sqref="D29" xr:uid="{F2DD0DCE-A77E-4996-85B5-5100A36F9E5F}">
      <formula1>0</formula1>
    </dataValidation>
    <dataValidation allowBlank="1" showErrorMessage="1" sqref="D39" xr:uid="{3CC64443-1C3E-4F74-AC19-97B8BBB32808}"/>
    <dataValidation type="list" allowBlank="1" showInputMessage="1" showErrorMessage="1" sqref="C58" xr:uid="{F29E01BA-934E-44B9-91DC-40C8700F4709}">
      <formula1>$AC$80:$AC$81</formula1>
    </dataValidation>
    <dataValidation type="whole" operator="greaterThanOrEqual" allowBlank="1" showErrorMessage="1" errorTitle="RE production credit duration" error="The renewable energy (RE) production credit duration must be entered as a whole number of years greater than or equal to 1." sqref="D67" xr:uid="{66E1CF09-8569-49D6-8156-3415C06481F3}">
      <formula1>1</formula1>
    </dataValidation>
    <dataValidation operator="greaterThanOrEqual" allowBlank="1" showInputMessage="1" showErrorMessage="1" errorTitle="GHG reduction credit duration" error="The GHG emission reduction credit duration must be entered as a whole number of years greater than or equal to 1." sqref="D44" xr:uid="{C11E67F5-5DE3-45D7-BD66-0FE478831239}"/>
  </dataValidations>
  <printOptions horizontalCentered="1"/>
  <pageMargins left="0.51181102362204722" right="0.51181102362204722" top="0.51181102362204722" bottom="0.51181102362204722" header="0.51181102362204722" footer="0.31496062992125984"/>
  <pageSetup scale="54" orientation="portrait" r:id="rId1"/>
  <headerFooter alignWithMargins="0">
    <oddFooter>&amp;L_x000D_&amp;R2007-09-27_x000D_RETScreen4-v182-45.xls</oddFooter>
  </headerFooter>
  <drawing r:id="rId2"/>
  <legacyDrawing r:id="rId3"/>
  <controls>
    <mc:AlternateContent xmlns:mc="http://schemas.openxmlformats.org/markup-compatibility/2006">
      <mc:Choice Requires="x14">
        <control shapeId="11270" r:id="rId4" name="CheckBox5">
          <controlPr defaultSize="0" autoLine="0" linkedCell="$U$85" r:id="rId5">
            <anchor moveWithCells="1" sizeWithCells="1">
              <from>
                <xdr:col>17</xdr:col>
                <xdr:colOff>152400</xdr:colOff>
                <xdr:row>57</xdr:row>
                <xdr:rowOff>0</xdr:rowOff>
              </from>
              <to>
                <xdr:col>18</xdr:col>
                <xdr:colOff>167640</xdr:colOff>
                <xdr:row>57</xdr:row>
                <xdr:rowOff>144780</xdr:rowOff>
              </to>
            </anchor>
          </controlPr>
        </control>
      </mc:Choice>
      <mc:Fallback>
        <control shapeId="11270" r:id="rId4" name="CheckBox5"/>
      </mc:Fallback>
    </mc:AlternateContent>
    <mc:AlternateContent xmlns:mc="http://schemas.openxmlformats.org/markup-compatibility/2006">
      <mc:Choice Requires="x14">
        <control shapeId="11269" r:id="rId6" name="CheckBox4">
          <controlPr defaultSize="0" autoLine="0" linkedCell="$U$84" r:id="rId5">
            <anchor moveWithCells="1" sizeWithCells="1">
              <from>
                <xdr:col>18</xdr:col>
                <xdr:colOff>7620</xdr:colOff>
                <xdr:row>38</xdr:row>
                <xdr:rowOff>45720</xdr:rowOff>
              </from>
              <to>
                <xdr:col>18</xdr:col>
                <xdr:colOff>205740</xdr:colOff>
                <xdr:row>39</xdr:row>
                <xdr:rowOff>30480</xdr:rowOff>
              </to>
            </anchor>
          </controlPr>
        </control>
      </mc:Choice>
      <mc:Fallback>
        <control shapeId="11269" r:id="rId6" name="CheckBox4"/>
      </mc:Fallback>
    </mc:AlternateContent>
    <mc:AlternateContent xmlns:mc="http://schemas.openxmlformats.org/markup-compatibility/2006">
      <mc:Choice Requires="x14">
        <control shapeId="11268" r:id="rId7" name="CheckBox3">
          <controlPr defaultSize="0" autoLine="0" linkedCell="$U$83" r:id="rId8">
            <anchor moveWithCells="1" sizeWithCells="1">
              <from>
                <xdr:col>18</xdr:col>
                <xdr:colOff>0</xdr:colOff>
                <xdr:row>62</xdr:row>
                <xdr:rowOff>121920</xdr:rowOff>
              </from>
              <to>
                <xdr:col>18</xdr:col>
                <xdr:colOff>160020</xdr:colOff>
                <xdr:row>63</xdr:row>
                <xdr:rowOff>106680</xdr:rowOff>
              </to>
            </anchor>
          </controlPr>
        </control>
      </mc:Choice>
      <mc:Fallback>
        <control shapeId="11268" r:id="rId7" name="CheckBox3"/>
      </mc:Fallback>
    </mc:AlternateContent>
    <mc:AlternateContent xmlns:mc="http://schemas.openxmlformats.org/markup-compatibility/2006">
      <mc:Choice Requires="x14">
        <control shapeId="11267" r:id="rId9" name="CheckBox2">
          <controlPr defaultSize="0" autoLine="0" linkedCell="$U$82" r:id="rId5">
            <anchor moveWithCells="1" sizeWithCells="1">
              <from>
                <xdr:col>17</xdr:col>
                <xdr:colOff>83820</xdr:colOff>
                <xdr:row>47</xdr:row>
                <xdr:rowOff>137160</xdr:rowOff>
              </from>
              <to>
                <xdr:col>18</xdr:col>
                <xdr:colOff>99060</xdr:colOff>
                <xdr:row>48</xdr:row>
                <xdr:rowOff>114300</xdr:rowOff>
              </to>
            </anchor>
          </controlPr>
        </control>
      </mc:Choice>
      <mc:Fallback>
        <control shapeId="11267" r:id="rId9" name="CheckBox2"/>
      </mc:Fallback>
    </mc:AlternateContent>
    <mc:AlternateContent xmlns:mc="http://schemas.openxmlformats.org/markup-compatibility/2006">
      <mc:Choice Requires="x14">
        <control shapeId="11266" r:id="rId10" name="CheckBox1">
          <controlPr defaultSize="0" autoLine="0" linkedCell="$U$81" r:id="rId5">
            <anchor moveWithCells="1" sizeWithCells="1">
              <from>
                <xdr:col>17</xdr:col>
                <xdr:colOff>60960</xdr:colOff>
                <xdr:row>19</xdr:row>
                <xdr:rowOff>30480</xdr:rowOff>
              </from>
              <to>
                <xdr:col>18</xdr:col>
                <xdr:colOff>68580</xdr:colOff>
                <xdr:row>20</xdr:row>
                <xdr:rowOff>7620</xdr:rowOff>
              </to>
            </anchor>
          </controlPr>
        </control>
      </mc:Choice>
      <mc:Fallback>
        <control shapeId="11266" r:id="rId10" name="CheckBox1"/>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8DFFF-BA9D-46BF-B952-16CAFD0FCD82}">
  <sheetPr codeName="CHP_Sensitivity">
    <pageSetUpPr fitToPage="1"/>
  </sheetPr>
  <dimension ref="A1:AI761"/>
  <sheetViews>
    <sheetView showRowColHeaders="0" zoomScaleNormal="100" workbookViewId="0">
      <selection sqref="A1:I2"/>
    </sheetView>
  </sheetViews>
  <sheetFormatPr defaultColWidth="0" defaultRowHeight="13.35" customHeight="1" zeroHeight="1"/>
  <cols>
    <col min="1" max="1" width="2.33203125" customWidth="1"/>
    <col min="2" max="2" width="24.77734375" customWidth="1"/>
    <col min="3" max="3" width="16.77734375" customWidth="1"/>
    <col min="4" max="8" width="17.77734375" customWidth="1"/>
    <col min="9" max="9" width="8.21875" customWidth="1"/>
    <col min="10" max="10" width="2.33203125" customWidth="1"/>
    <col min="11" max="12" width="9.33203125" hidden="1" customWidth="1"/>
    <col min="13" max="13" width="10.88671875" hidden="1" customWidth="1"/>
    <col min="14" max="17" width="9.33203125" hidden="1" customWidth="1"/>
    <col min="18" max="18" width="10.88671875" hidden="1" customWidth="1"/>
    <col min="19" max="19" width="8.5546875" hidden="1" customWidth="1"/>
    <col min="20" max="20" width="8.44140625" hidden="1" customWidth="1"/>
    <col min="21" max="21" width="10.88671875" hidden="1" customWidth="1"/>
    <col min="22" max="26" width="9.88671875" hidden="1" customWidth="1"/>
    <col min="27" max="27" width="9.33203125" hidden="1" customWidth="1"/>
    <col min="28" max="29" width="13.6640625" hidden="1" customWidth="1"/>
    <col min="30" max="31" width="13.5546875" hidden="1" customWidth="1"/>
    <col min="32" max="32" width="9.6640625" hidden="1" customWidth="1"/>
    <col min="33" max="33" width="10.109375" hidden="1" customWidth="1"/>
    <col min="34" max="34" width="9.44140625" hidden="1" customWidth="1"/>
  </cols>
  <sheetData>
    <row r="1" spans="1:28" ht="12.75" customHeight="1">
      <c r="A1" s="1194" t="str">
        <f>Language!C872&amp;'Análise de Emissões'!B188</f>
        <v>Análise de Sensibilidade e Risco RETScreen - Projeto produção de Eletricidade</v>
      </c>
      <c r="B1" s="1194"/>
      <c r="C1" s="1194"/>
      <c r="D1" s="1194"/>
      <c r="E1" s="1194"/>
      <c r="F1" s="1194"/>
      <c r="G1" s="1194"/>
      <c r="H1" s="1194"/>
      <c r="I1" s="1194"/>
      <c r="J1" s="1"/>
      <c r="K1" s="3" t="b">
        <v>0</v>
      </c>
      <c r="L1" t="s">
        <v>4821</v>
      </c>
      <c r="M1" t="b">
        <v>0</v>
      </c>
      <c r="T1">
        <v>100000</v>
      </c>
      <c r="W1" s="1013" t="s">
        <v>2452</v>
      </c>
      <c r="X1" s="1013" t="s">
        <v>2453</v>
      </c>
      <c r="Y1" s="1013" t="s">
        <v>2455</v>
      </c>
      <c r="Z1" s="1013" t="s">
        <v>2454</v>
      </c>
      <c r="AA1" s="1013" t="s">
        <v>4185</v>
      </c>
      <c r="AB1" s="1013" t="s">
        <v>4186</v>
      </c>
    </row>
    <row r="2" spans="1:28" ht="13.2">
      <c r="A2" s="1219"/>
      <c r="B2" s="1219"/>
      <c r="C2" s="1219"/>
      <c r="D2" s="1219"/>
      <c r="E2" s="1219"/>
      <c r="F2" s="1219"/>
      <c r="G2" s="1219"/>
      <c r="H2" s="1219"/>
      <c r="I2" s="1219"/>
      <c r="J2" s="1"/>
      <c r="K2" s="3" t="b">
        <v>0</v>
      </c>
      <c r="L2" t="s">
        <v>4822</v>
      </c>
      <c r="M2" t="b">
        <v>0</v>
      </c>
      <c r="T2">
        <v>100000</v>
      </c>
      <c r="W2" s="1023">
        <v>3</v>
      </c>
      <c r="X2" s="1023">
        <v>1</v>
      </c>
      <c r="Y2" s="1023">
        <v>1</v>
      </c>
      <c r="Z2" s="1023">
        <v>11</v>
      </c>
      <c r="AA2" s="1023">
        <v>3</v>
      </c>
      <c r="AB2" s="1023">
        <v>2</v>
      </c>
    </row>
    <row r="3" spans="1:28" ht="13.2">
      <c r="A3" s="1024" t="s">
        <v>4189</v>
      </c>
      <c r="B3" s="147" t="str">
        <f>Language!C723</f>
        <v>Análise de Sensibilidade</v>
      </c>
      <c r="C3" s="192"/>
      <c r="D3" s="192"/>
      <c r="E3" s="192"/>
      <c r="F3" s="192"/>
      <c r="G3" s="192"/>
      <c r="H3" s="192"/>
      <c r="I3" s="193"/>
      <c r="J3" s="1"/>
      <c r="K3" s="319">
        <f>SUM(K5:K6)+LangIndex</f>
        <v>24</v>
      </c>
      <c r="L3" s="319">
        <v>10</v>
      </c>
      <c r="M3" s="289" t="s">
        <v>929</v>
      </c>
      <c r="T3">
        <v>102000</v>
      </c>
      <c r="W3" s="1023">
        <v>37</v>
      </c>
      <c r="X3" s="1023">
        <v>1</v>
      </c>
      <c r="Y3" s="1023">
        <v>2</v>
      </c>
      <c r="Z3" s="1023">
        <v>11</v>
      </c>
      <c r="AA3" s="1023">
        <v>37</v>
      </c>
      <c r="AB3" s="1023">
        <v>2</v>
      </c>
    </row>
    <row r="4" spans="1:28" ht="13.2" hidden="1">
      <c r="A4" s="12"/>
      <c r="B4" s="8"/>
      <c r="C4" s="8"/>
      <c r="D4" s="8"/>
      <c r="E4" s="8"/>
      <c r="F4" s="8"/>
      <c r="G4" s="8"/>
      <c r="H4" s="8"/>
      <c r="I4" s="9"/>
      <c r="J4" s="1"/>
      <c r="K4" s="3" t="b">
        <f ca="1">IF(SUM(TCFin)=SUM(FS_all),FALSE,TRUE)</f>
        <v>1</v>
      </c>
      <c r="L4" t="b">
        <f t="array" ref="L4" ca="1">TCFin&lt;&gt;FS_all</f>
        <v>1</v>
      </c>
      <c r="M4" s="289" t="s">
        <v>4275</v>
      </c>
      <c r="T4">
        <v>102000</v>
      </c>
    </row>
    <row r="5" spans="1:28" ht="13.2" hidden="1">
      <c r="A5" s="12"/>
      <c r="B5" s="8" t="str">
        <f>Language!C725</f>
        <v>Análise de performance</v>
      </c>
      <c r="C5" s="1226" t="s">
        <v>6178</v>
      </c>
      <c r="D5" s="1226"/>
      <c r="E5" s="8"/>
      <c r="F5" s="8"/>
      <c r="G5" s="8"/>
      <c r="H5" s="8"/>
      <c r="I5" s="9"/>
      <c r="J5" s="1"/>
      <c r="K5">
        <f>IF(C5="",1,VLOOKUP(C5,B109:C112,2,FALSE))</f>
        <v>1</v>
      </c>
      <c r="M5" s="289" t="s">
        <v>5072</v>
      </c>
      <c r="T5">
        <v>102002</v>
      </c>
    </row>
    <row r="6" spans="1:28" ht="13.2" hidden="1">
      <c r="A6" s="12"/>
      <c r="B6" s="8" t="str">
        <f>Language!C726</f>
        <v>Fx. de sensibilidade</v>
      </c>
      <c r="C6" s="1301"/>
      <c r="D6" s="1301"/>
      <c r="E6" s="8"/>
      <c r="F6" s="8"/>
      <c r="G6" s="8"/>
      <c r="H6" s="8"/>
      <c r="I6" s="9"/>
      <c r="J6" s="1"/>
      <c r="K6">
        <f>C6</f>
        <v>0</v>
      </c>
      <c r="M6" s="289" t="s">
        <v>1153</v>
      </c>
      <c r="T6">
        <v>102004</v>
      </c>
    </row>
    <row r="7" spans="1:28" ht="13.2" hidden="1">
      <c r="A7" s="12"/>
      <c r="B7" s="8" t="str">
        <f>Language!C727</f>
        <v>Limite</v>
      </c>
      <c r="C7" s="303"/>
      <c r="D7" s="21" t="str">
        <f>VLOOKUP(C5,B109:D112,3,FALSE)</f>
        <v>%</v>
      </c>
      <c r="E7" s="8"/>
      <c r="F7" s="8"/>
      <c r="G7" s="8"/>
      <c r="H7" s="8"/>
      <c r="I7" s="9"/>
      <c r="J7" s="1"/>
      <c r="T7">
        <v>102006</v>
      </c>
    </row>
    <row r="8" spans="1:28" ht="13.2" hidden="1">
      <c r="A8" s="12"/>
      <c r="B8" s="8"/>
      <c r="C8" s="8"/>
      <c r="D8" s="8"/>
      <c r="E8" s="8"/>
      <c r="F8" s="8"/>
      <c r="G8" s="8"/>
      <c r="H8" s="8"/>
      <c r="I8" s="9"/>
      <c r="J8" s="1"/>
      <c r="T8">
        <v>102000</v>
      </c>
    </row>
    <row r="9" spans="1:28" ht="13.2" hidden="1">
      <c r="A9" s="12"/>
      <c r="B9" s="8"/>
      <c r="C9" s="8"/>
      <c r="D9" s="135"/>
      <c r="E9" s="1226" t="s">
        <v>6660</v>
      </c>
      <c r="F9" s="1226"/>
      <c r="G9" s="1226"/>
      <c r="H9" s="222" t="str">
        <f>VLOOKUP(E9,$P$42:$S$54,4,FALSE)</f>
        <v>€</v>
      </c>
      <c r="I9" s="9"/>
      <c r="J9" s="1"/>
      <c r="K9">
        <f>IF(ISERROR(VLOOKUP(E9,$P$42:$Q$54,2,FALSE)),1,VLOOKUP(E9,$P$42:$Q$54,2,FALSE))</f>
        <v>1</v>
      </c>
      <c r="T9">
        <v>102000</v>
      </c>
    </row>
    <row r="10" spans="1:28" ht="13.2" hidden="1">
      <c r="A10" s="12"/>
      <c r="B10" s="1299" t="s">
        <v>6669</v>
      </c>
      <c r="C10" s="1300"/>
      <c r="D10" s="88">
        <f ca="1">F10*(1-C6)</f>
        <v>6082.125</v>
      </c>
      <c r="E10" s="88">
        <f ca="1">F10*(1-C6/2)</f>
        <v>6082.125</v>
      </c>
      <c r="F10" s="88">
        <f ca="1">VLOOKUP($E9,$P$42:$R$54,3,FALSE)</f>
        <v>6082.125</v>
      </c>
      <c r="G10" s="88">
        <f ca="1">F10*(1+C6/2)</f>
        <v>6082.125</v>
      </c>
      <c r="H10" s="37">
        <f ca="1">F10*(1+C6)</f>
        <v>6082.125</v>
      </c>
      <c r="I10" s="9"/>
      <c r="J10" s="1"/>
      <c r="K10">
        <f>IF(ISERROR(VLOOKUP(B10,$P$42:$Q$54,2,FALSE)),2,VLOOKUP(B10,$P$42:$Q$54,2,FALSE))</f>
        <v>4</v>
      </c>
      <c r="T10">
        <v>102000</v>
      </c>
    </row>
    <row r="11" spans="1:28" ht="13.8" hidden="1" thickBot="1">
      <c r="A11" s="12"/>
      <c r="B11" s="91" t="str">
        <f>VLOOKUP(B10,$P$42:$S$54,4,FALSE)</f>
        <v>€</v>
      </c>
      <c r="C11" s="6"/>
      <c r="D11" s="223">
        <f>-$C$6</f>
        <v>0</v>
      </c>
      <c r="E11" s="223">
        <f>-$C$6/2</f>
        <v>0</v>
      </c>
      <c r="F11" s="223">
        <v>0</v>
      </c>
      <c r="G11" s="223">
        <f>$C$6/2</f>
        <v>0</v>
      </c>
      <c r="H11" s="224">
        <f>$C$6</f>
        <v>0</v>
      </c>
      <c r="I11" s="9"/>
      <c r="J11" s="1"/>
      <c r="K11">
        <f>S_Table1X+S_Table1Y</f>
        <v>5</v>
      </c>
      <c r="L11">
        <v>5</v>
      </c>
      <c r="T11">
        <v>102000</v>
      </c>
    </row>
    <row r="12" spans="1:28" ht="13.2" hidden="1">
      <c r="A12" s="12"/>
      <c r="B12" s="290">
        <f>B14*(1-$C$6)</f>
        <v>0</v>
      </c>
      <c r="C12" s="223">
        <f>-$C$6</f>
        <v>0</v>
      </c>
      <c r="D12" s="939">
        <f t="shared" ref="D12:H16" si="0">VLOOKUP(N12,$AA$687:$AH$711,9-SensParam,FALSE)</f>
        <v>0</v>
      </c>
      <c r="E12" s="940">
        <f t="shared" si="0"/>
        <v>0</v>
      </c>
      <c r="F12" s="940">
        <f t="shared" si="0"/>
        <v>0</v>
      </c>
      <c r="G12" s="940">
        <f t="shared" si="0"/>
        <v>0</v>
      </c>
      <c r="H12" s="941">
        <f t="shared" si="0"/>
        <v>0</v>
      </c>
      <c r="I12" s="9"/>
      <c r="J12" s="1"/>
      <c r="N12">
        <v>1</v>
      </c>
      <c r="O12">
        <v>6</v>
      </c>
      <c r="P12">
        <v>11</v>
      </c>
      <c r="Q12">
        <v>16</v>
      </c>
      <c r="R12">
        <v>21</v>
      </c>
      <c r="T12">
        <v>102000</v>
      </c>
    </row>
    <row r="13" spans="1:28" ht="13.2" hidden="1">
      <c r="A13" s="12"/>
      <c r="B13" s="290">
        <f>B14*(1-$C$6/2)</f>
        <v>0</v>
      </c>
      <c r="C13" s="223">
        <f>-$C$6/2</f>
        <v>0</v>
      </c>
      <c r="D13" s="942">
        <f t="shared" si="0"/>
        <v>0</v>
      </c>
      <c r="E13" s="227">
        <f t="shared" si="0"/>
        <v>0</v>
      </c>
      <c r="F13" s="227">
        <f t="shared" si="0"/>
        <v>0</v>
      </c>
      <c r="G13" s="227">
        <f t="shared" si="0"/>
        <v>0</v>
      </c>
      <c r="H13" s="943">
        <f t="shared" si="0"/>
        <v>0</v>
      </c>
      <c r="I13" s="9"/>
      <c r="J13" s="1"/>
      <c r="N13">
        <v>2</v>
      </c>
      <c r="O13">
        <v>7</v>
      </c>
      <c r="P13">
        <v>12</v>
      </c>
      <c r="Q13">
        <v>17</v>
      </c>
      <c r="R13">
        <v>22</v>
      </c>
      <c r="T13">
        <v>102000</v>
      </c>
    </row>
    <row r="14" spans="1:28" ht="13.2" hidden="1">
      <c r="A14" s="12"/>
      <c r="B14" s="290">
        <f>VLOOKUP($B10,$P$42:$R$54,3,FALSE)</f>
        <v>0</v>
      </c>
      <c r="C14" s="223">
        <v>0</v>
      </c>
      <c r="D14" s="942">
        <f t="shared" si="0"/>
        <v>0</v>
      </c>
      <c r="E14" s="227">
        <f t="shared" si="0"/>
        <v>0</v>
      </c>
      <c r="F14" s="944">
        <f t="shared" si="0"/>
        <v>0</v>
      </c>
      <c r="G14" s="227">
        <f t="shared" si="0"/>
        <v>0</v>
      </c>
      <c r="H14" s="943">
        <f t="shared" si="0"/>
        <v>0</v>
      </c>
      <c r="I14" s="9"/>
      <c r="J14" s="1"/>
      <c r="N14">
        <v>3</v>
      </c>
      <c r="O14">
        <v>8</v>
      </c>
      <c r="P14">
        <v>13</v>
      </c>
      <c r="Q14">
        <v>18</v>
      </c>
      <c r="R14">
        <v>23</v>
      </c>
      <c r="T14">
        <v>102000</v>
      </c>
    </row>
    <row r="15" spans="1:28" ht="13.2" hidden="1">
      <c r="A15" s="12"/>
      <c r="B15" s="290">
        <f>B14*(1+$C$6/2)</f>
        <v>0</v>
      </c>
      <c r="C15" s="223">
        <f>$C$6/2</f>
        <v>0</v>
      </c>
      <c r="D15" s="942">
        <f t="shared" si="0"/>
        <v>0</v>
      </c>
      <c r="E15" s="227">
        <f t="shared" si="0"/>
        <v>0</v>
      </c>
      <c r="F15" s="227">
        <f t="shared" si="0"/>
        <v>0</v>
      </c>
      <c r="G15" s="227">
        <f t="shared" si="0"/>
        <v>0</v>
      </c>
      <c r="H15" s="943">
        <f t="shared" si="0"/>
        <v>0</v>
      </c>
      <c r="I15" s="9"/>
      <c r="J15" s="1"/>
      <c r="N15">
        <v>4</v>
      </c>
      <c r="O15">
        <v>9</v>
      </c>
      <c r="P15">
        <v>14</v>
      </c>
      <c r="Q15">
        <v>19</v>
      </c>
      <c r="R15">
        <v>24</v>
      </c>
      <c r="T15">
        <v>102000</v>
      </c>
    </row>
    <row r="16" spans="1:28" ht="13.8" hidden="1" thickBot="1">
      <c r="A16" s="12"/>
      <c r="B16" s="291">
        <f>B14*(1+$C$6)</f>
        <v>0</v>
      </c>
      <c r="C16" s="225">
        <f>$C$6</f>
        <v>0</v>
      </c>
      <c r="D16" s="945">
        <f t="shared" si="0"/>
        <v>0</v>
      </c>
      <c r="E16" s="946">
        <f t="shared" si="0"/>
        <v>0</v>
      </c>
      <c r="F16" s="946">
        <f t="shared" si="0"/>
        <v>0</v>
      </c>
      <c r="G16" s="946">
        <f t="shared" si="0"/>
        <v>0</v>
      </c>
      <c r="H16" s="947">
        <f t="shared" si="0"/>
        <v>0</v>
      </c>
      <c r="I16" s="9"/>
      <c r="J16" s="1"/>
      <c r="N16">
        <v>5</v>
      </c>
      <c r="O16">
        <v>10</v>
      </c>
      <c r="P16">
        <v>15</v>
      </c>
      <c r="Q16">
        <v>20</v>
      </c>
      <c r="R16">
        <v>25</v>
      </c>
      <c r="T16">
        <v>102000</v>
      </c>
    </row>
    <row r="17" spans="1:20" ht="13.2" hidden="1">
      <c r="A17" s="12"/>
      <c r="B17" s="8"/>
      <c r="C17" s="8"/>
      <c r="D17" s="8"/>
      <c r="E17" s="8"/>
      <c r="F17" s="8"/>
      <c r="G17" s="8"/>
      <c r="H17" s="8"/>
      <c r="I17" s="9"/>
      <c r="J17" s="1"/>
      <c r="T17">
        <v>102000</v>
      </c>
    </row>
    <row r="18" spans="1:20" ht="13.2" hidden="1">
      <c r="A18" s="12"/>
      <c r="B18" s="8"/>
      <c r="C18" s="8"/>
      <c r="D18" s="135"/>
      <c r="E18" s="1226" t="s">
        <v>6660</v>
      </c>
      <c r="F18" s="1226"/>
      <c r="G18" s="1226"/>
      <c r="H18" s="222" t="str">
        <f>VLOOKUP(E18,$P$42:$S$54,4,FALSE)</f>
        <v>€</v>
      </c>
      <c r="I18" s="9"/>
      <c r="J18" s="1"/>
      <c r="K18">
        <f>IF(ISERROR(VLOOKUP(E18,$P$42:$Q$54,2,FALSE)),1,VLOOKUP(E18,$P$42:$Q$54,2,FALSE))</f>
        <v>1</v>
      </c>
      <c r="T18">
        <v>102000</v>
      </c>
    </row>
    <row r="19" spans="1:20" ht="13.2" hidden="1">
      <c r="A19" s="12"/>
      <c r="B19" s="1299" t="s">
        <v>6668</v>
      </c>
      <c r="C19" s="1300"/>
      <c r="D19" s="88">
        <f ca="1">F19*(1-$C$6)</f>
        <v>6082.125</v>
      </c>
      <c r="E19" s="88">
        <f ca="1">F19*(1-$C$6/2)</f>
        <v>6082.125</v>
      </c>
      <c r="F19" s="88">
        <f ca="1">VLOOKUP($E18,$P$42:$R$54,3,FALSE)</f>
        <v>6082.125</v>
      </c>
      <c r="G19" s="88">
        <f ca="1">F19*(1+$C$6/2)</f>
        <v>6082.125</v>
      </c>
      <c r="H19" s="37">
        <f ca="1">F19*(1+$C$6)</f>
        <v>6082.125</v>
      </c>
      <c r="I19" s="9"/>
      <c r="J19" s="1"/>
      <c r="K19">
        <f>IF(ISERROR(VLOOKUP(B19,$P$42:$Q$54,2,FALSE)),2,VLOOKUP(B19,$P$42:$Q$54,2,FALSE))</f>
        <v>3</v>
      </c>
      <c r="T19">
        <v>102000</v>
      </c>
    </row>
    <row r="20" spans="1:20" ht="13.8" hidden="1" thickBot="1">
      <c r="A20" s="12"/>
      <c r="B20" s="91" t="str">
        <f>VLOOKUP(B19,$P$42:$S$54,4,FALSE)</f>
        <v>€</v>
      </c>
      <c r="C20" s="6"/>
      <c r="D20" s="223">
        <f>-$C$6</f>
        <v>0</v>
      </c>
      <c r="E20" s="223">
        <f>-$C$6/2</f>
        <v>0</v>
      </c>
      <c r="F20" s="223">
        <v>0</v>
      </c>
      <c r="G20" s="223">
        <f>$C$6/2</f>
        <v>0</v>
      </c>
      <c r="H20" s="224">
        <f>$C$6</f>
        <v>0</v>
      </c>
      <c r="I20" s="9"/>
      <c r="J20" s="1"/>
      <c r="K20">
        <f>S_Table2X+S_Table2Y</f>
        <v>4</v>
      </c>
      <c r="L20">
        <v>4</v>
      </c>
      <c r="T20">
        <v>102000</v>
      </c>
    </row>
    <row r="21" spans="1:20" ht="13.2" hidden="1">
      <c r="A21" s="12"/>
      <c r="B21" s="290">
        <f>B23*(1-$C$6)</f>
        <v>0</v>
      </c>
      <c r="C21" s="223">
        <f>-$C$6</f>
        <v>0</v>
      </c>
      <c r="D21" s="939">
        <f t="shared" ref="D21:H25" si="1">VLOOKUP(N12,$AA$712:$AH$736,9-SensParam,FALSE)</f>
        <v>0</v>
      </c>
      <c r="E21" s="940">
        <f t="shared" si="1"/>
        <v>0</v>
      </c>
      <c r="F21" s="940">
        <f t="shared" si="1"/>
        <v>0</v>
      </c>
      <c r="G21" s="940">
        <f t="shared" si="1"/>
        <v>0</v>
      </c>
      <c r="H21" s="941">
        <f t="shared" si="1"/>
        <v>0</v>
      </c>
      <c r="I21" s="9"/>
      <c r="J21" s="1"/>
      <c r="T21">
        <v>102000</v>
      </c>
    </row>
    <row r="22" spans="1:20" ht="13.2" hidden="1">
      <c r="A22" s="12"/>
      <c r="B22" s="290">
        <f>B23*(1-$C$6/2)</f>
        <v>0</v>
      </c>
      <c r="C22" s="223">
        <f>-$C$6/2</f>
        <v>0</v>
      </c>
      <c r="D22" s="942">
        <f t="shared" si="1"/>
        <v>0</v>
      </c>
      <c r="E22" s="227">
        <f t="shared" si="1"/>
        <v>0</v>
      </c>
      <c r="F22" s="227">
        <f t="shared" si="1"/>
        <v>0</v>
      </c>
      <c r="G22" s="227">
        <f t="shared" si="1"/>
        <v>0</v>
      </c>
      <c r="H22" s="943">
        <f t="shared" si="1"/>
        <v>0</v>
      </c>
      <c r="I22" s="9"/>
      <c r="J22" s="1"/>
      <c r="T22">
        <v>102000</v>
      </c>
    </row>
    <row r="23" spans="1:20" ht="13.2" hidden="1">
      <c r="A23" s="12"/>
      <c r="B23" s="290">
        <f>VLOOKUP($B19,$P$42:$R$54,3,FALSE)</f>
        <v>0</v>
      </c>
      <c r="C23" s="223">
        <v>0</v>
      </c>
      <c r="D23" s="942">
        <f t="shared" si="1"/>
        <v>0</v>
      </c>
      <c r="E23" s="227">
        <f t="shared" si="1"/>
        <v>0</v>
      </c>
      <c r="F23" s="944">
        <f t="shared" si="1"/>
        <v>0</v>
      </c>
      <c r="G23" s="227">
        <f t="shared" si="1"/>
        <v>0</v>
      </c>
      <c r="H23" s="943">
        <f t="shared" si="1"/>
        <v>0</v>
      </c>
      <c r="I23" s="9"/>
      <c r="J23" s="1"/>
      <c r="T23">
        <v>102000</v>
      </c>
    </row>
    <row r="24" spans="1:20" ht="13.2" hidden="1">
      <c r="A24" s="12"/>
      <c r="B24" s="290">
        <f>B23*(1+$C$6/2)</f>
        <v>0</v>
      </c>
      <c r="C24" s="223">
        <f>$C$6/2</f>
        <v>0</v>
      </c>
      <c r="D24" s="942">
        <f t="shared" si="1"/>
        <v>0</v>
      </c>
      <c r="E24" s="227">
        <f t="shared" si="1"/>
        <v>0</v>
      </c>
      <c r="F24" s="227">
        <f t="shared" si="1"/>
        <v>0</v>
      </c>
      <c r="G24" s="227">
        <f t="shared" si="1"/>
        <v>0</v>
      </c>
      <c r="H24" s="943">
        <f t="shared" si="1"/>
        <v>0</v>
      </c>
      <c r="I24" s="9"/>
      <c r="J24" s="1"/>
      <c r="T24">
        <v>102000</v>
      </c>
    </row>
    <row r="25" spans="1:20" ht="13.8" hidden="1" thickBot="1">
      <c r="A25" s="12"/>
      <c r="B25" s="291">
        <f>B23*(1+$C$6)</f>
        <v>0</v>
      </c>
      <c r="C25" s="225">
        <f>$C$6</f>
        <v>0</v>
      </c>
      <c r="D25" s="945">
        <f t="shared" si="1"/>
        <v>0</v>
      </c>
      <c r="E25" s="946">
        <f t="shared" si="1"/>
        <v>0</v>
      </c>
      <c r="F25" s="946">
        <f t="shared" si="1"/>
        <v>0</v>
      </c>
      <c r="G25" s="946">
        <f t="shared" si="1"/>
        <v>0</v>
      </c>
      <c r="H25" s="947">
        <f t="shared" si="1"/>
        <v>0</v>
      </c>
      <c r="I25" s="9"/>
      <c r="J25" s="1"/>
      <c r="T25">
        <v>102000</v>
      </c>
    </row>
    <row r="26" spans="1:20" ht="13.2" hidden="1">
      <c r="A26" s="12"/>
      <c r="B26" s="8"/>
      <c r="C26" s="8"/>
      <c r="D26" s="8"/>
      <c r="E26" s="8"/>
      <c r="F26" s="8"/>
      <c r="G26" s="8"/>
      <c r="H26" s="8"/>
      <c r="I26" s="9"/>
      <c r="J26" s="1"/>
      <c r="T26">
        <v>102000</v>
      </c>
    </row>
    <row r="27" spans="1:20" ht="13.2" hidden="1">
      <c r="A27" s="12"/>
      <c r="B27" s="8"/>
      <c r="C27" s="8"/>
      <c r="D27" s="135"/>
      <c r="E27" s="1226" t="s">
        <v>6660</v>
      </c>
      <c r="F27" s="1226"/>
      <c r="G27" s="1226"/>
      <c r="H27" s="222" t="str">
        <f>VLOOKUP(E27,$P$42:$S$54,4,FALSE)</f>
        <v>€</v>
      </c>
      <c r="I27" s="9"/>
      <c r="J27" s="1"/>
      <c r="K27">
        <f>IF(ISERROR(VLOOKUP(E27,$P$42:$Q$54,2,FALSE)),1,VLOOKUP(E27,$P$42:$Q$54,2,FALSE))</f>
        <v>1</v>
      </c>
      <c r="T27">
        <v>102000</v>
      </c>
    </row>
    <row r="28" spans="1:20" ht="13.2" hidden="1">
      <c r="A28" s="12"/>
      <c r="B28" s="1299" t="s">
        <v>6638</v>
      </c>
      <c r="C28" s="1300"/>
      <c r="D28" s="88">
        <f ca="1">F28*(1-$C$6)</f>
        <v>6082.125</v>
      </c>
      <c r="E28" s="88">
        <f ca="1">F28*(1-$C$6/2)</f>
        <v>6082.125</v>
      </c>
      <c r="F28" s="88">
        <f ca="1">VLOOKUP($E27,$P$42:$R$54,3,FALSE)</f>
        <v>6082.125</v>
      </c>
      <c r="G28" s="88">
        <f ca="1">F28*(1+$C$6/2)</f>
        <v>6082.125</v>
      </c>
      <c r="H28" s="37">
        <f ca="1">F28*(1+$C$6)</f>
        <v>6082.125</v>
      </c>
      <c r="I28" s="9"/>
      <c r="J28" s="1"/>
      <c r="K28">
        <f>IF(ISERROR(VLOOKUP(B28,$P$42:$Q$54,2,FALSE)),2,VLOOKUP(B28,$P$42:$Q$54,2,FALSE))</f>
        <v>12</v>
      </c>
      <c r="T28">
        <v>102000</v>
      </c>
    </row>
    <row r="29" spans="1:20" ht="13.8" hidden="1" thickBot="1">
      <c r="A29" s="12"/>
      <c r="B29" s="91" t="str">
        <f>VLOOKUP(B28,$P$42:$S$54,4,FALSE)</f>
        <v>%</v>
      </c>
      <c r="C29" s="6"/>
      <c r="D29" s="223">
        <f>-$C$6</f>
        <v>0</v>
      </c>
      <c r="E29" s="223">
        <f>-$C$6/2</f>
        <v>0</v>
      </c>
      <c r="F29" s="223">
        <v>0</v>
      </c>
      <c r="G29" s="223">
        <f>$C$6/2</f>
        <v>0</v>
      </c>
      <c r="H29" s="224">
        <f>$C$6</f>
        <v>0</v>
      </c>
      <c r="I29" s="9"/>
      <c r="J29" s="1"/>
      <c r="K29">
        <f>S_Table3X+S_Table3Y</f>
        <v>13</v>
      </c>
      <c r="L29">
        <v>13</v>
      </c>
      <c r="T29">
        <v>102000</v>
      </c>
    </row>
    <row r="30" spans="1:20" ht="13.2" hidden="1">
      <c r="A30" s="12"/>
      <c r="B30" s="913">
        <f>B32*(1-$C$6)</f>
        <v>0</v>
      </c>
      <c r="C30" s="223">
        <f>-$C$6</f>
        <v>0</v>
      </c>
      <c r="D30" s="939">
        <f t="shared" ref="D30:H34" si="2">VLOOKUP(N12,$AA$737:$AH$761,9-SensParam,FALSE)</f>
        <v>0</v>
      </c>
      <c r="E30" s="940">
        <f t="shared" si="2"/>
        <v>0</v>
      </c>
      <c r="F30" s="940">
        <f t="shared" si="2"/>
        <v>0</v>
      </c>
      <c r="G30" s="940">
        <f t="shared" si="2"/>
        <v>0</v>
      </c>
      <c r="H30" s="941">
        <f t="shared" si="2"/>
        <v>0</v>
      </c>
      <c r="I30" s="9"/>
      <c r="J30" s="1"/>
      <c r="T30">
        <v>102000</v>
      </c>
    </row>
    <row r="31" spans="1:20" ht="13.2" hidden="1">
      <c r="A31" s="12"/>
      <c r="B31" s="913">
        <f>B32*(1-$C$6/2)</f>
        <v>0</v>
      </c>
      <c r="C31" s="223">
        <f>-$C$6/2</f>
        <v>0</v>
      </c>
      <c r="D31" s="942">
        <f t="shared" si="2"/>
        <v>0</v>
      </c>
      <c r="E31" s="227">
        <f t="shared" si="2"/>
        <v>0</v>
      </c>
      <c r="F31" s="227">
        <f t="shared" si="2"/>
        <v>0</v>
      </c>
      <c r="G31" s="227">
        <f t="shared" si="2"/>
        <v>0</v>
      </c>
      <c r="H31" s="943">
        <f t="shared" si="2"/>
        <v>0</v>
      </c>
      <c r="I31" s="9"/>
      <c r="J31" s="1"/>
      <c r="T31">
        <v>102000</v>
      </c>
    </row>
    <row r="32" spans="1:20" ht="13.2" hidden="1">
      <c r="A32" s="12"/>
      <c r="B32" s="913">
        <f>VLOOKUP($B28,$P$42:$R$54,3,FALSE)</f>
        <v>0</v>
      </c>
      <c r="C32" s="223">
        <v>0</v>
      </c>
      <c r="D32" s="942">
        <f t="shared" si="2"/>
        <v>0</v>
      </c>
      <c r="E32" s="227">
        <f t="shared" si="2"/>
        <v>0</v>
      </c>
      <c r="F32" s="944">
        <f t="shared" si="2"/>
        <v>0</v>
      </c>
      <c r="G32" s="227">
        <f t="shared" si="2"/>
        <v>0</v>
      </c>
      <c r="H32" s="943">
        <f t="shared" si="2"/>
        <v>0</v>
      </c>
      <c r="I32" s="9"/>
      <c r="J32" s="1"/>
      <c r="T32">
        <v>102000</v>
      </c>
    </row>
    <row r="33" spans="1:20" ht="13.2" hidden="1">
      <c r="A33" s="12"/>
      <c r="B33" s="913">
        <f>B32*(1+$C$6/2)</f>
        <v>0</v>
      </c>
      <c r="C33" s="223">
        <f>$C$6/2</f>
        <v>0</v>
      </c>
      <c r="D33" s="942">
        <f t="shared" si="2"/>
        <v>0</v>
      </c>
      <c r="E33" s="227">
        <f t="shared" si="2"/>
        <v>0</v>
      </c>
      <c r="F33" s="227">
        <f t="shared" si="2"/>
        <v>0</v>
      </c>
      <c r="G33" s="227">
        <f t="shared" si="2"/>
        <v>0</v>
      </c>
      <c r="H33" s="943">
        <f t="shared" si="2"/>
        <v>0</v>
      </c>
      <c r="I33" s="9"/>
      <c r="J33" s="1"/>
      <c r="T33">
        <v>102000</v>
      </c>
    </row>
    <row r="34" spans="1:20" ht="13.8" hidden="1" thickBot="1">
      <c r="A34" s="12"/>
      <c r="B34" s="914">
        <f>B32*(1+$C$6)</f>
        <v>0</v>
      </c>
      <c r="C34" s="225">
        <f>$C$6</f>
        <v>0</v>
      </c>
      <c r="D34" s="945">
        <f t="shared" si="2"/>
        <v>0</v>
      </c>
      <c r="E34" s="946">
        <f t="shared" si="2"/>
        <v>0</v>
      </c>
      <c r="F34" s="946">
        <f t="shared" si="2"/>
        <v>0</v>
      </c>
      <c r="G34" s="946">
        <f t="shared" si="2"/>
        <v>0</v>
      </c>
      <c r="H34" s="947">
        <f t="shared" si="2"/>
        <v>0</v>
      </c>
      <c r="I34" s="9"/>
      <c r="J34" s="1"/>
      <c r="T34">
        <v>102000</v>
      </c>
    </row>
    <row r="35" spans="1:20" ht="13.2" hidden="1">
      <c r="A35" s="14"/>
      <c r="B35" s="15"/>
      <c r="C35" s="15"/>
      <c r="D35" s="15"/>
      <c r="E35" s="15"/>
      <c r="F35" s="15"/>
      <c r="G35" s="15"/>
      <c r="H35" s="15"/>
      <c r="I35" s="11"/>
      <c r="J35" s="1"/>
      <c r="T35">
        <v>102000</v>
      </c>
    </row>
    <row r="36" spans="1:20" ht="13.2">
      <c r="A36" s="1"/>
      <c r="B36" s="1"/>
      <c r="C36" s="1"/>
      <c r="D36" s="1"/>
      <c r="E36" s="1"/>
      <c r="F36" s="1"/>
      <c r="G36" s="1"/>
      <c r="H36" s="1"/>
      <c r="I36" s="1"/>
      <c r="J36" s="1"/>
      <c r="T36">
        <v>100000</v>
      </c>
    </row>
    <row r="37" spans="1:20" ht="12.75" customHeight="1">
      <c r="A37" s="1024" t="s">
        <v>4189</v>
      </c>
      <c r="B37" s="147" t="str">
        <f>Language!C724</f>
        <v>Análise de Risco</v>
      </c>
      <c r="C37" s="192"/>
      <c r="D37" s="192"/>
      <c r="E37" s="192"/>
      <c r="F37" s="192"/>
      <c r="G37" s="192"/>
      <c r="H37" s="192"/>
      <c r="I37" s="193"/>
      <c r="J37" s="1"/>
      <c r="K37" s="3" t="b">
        <f ca="1">IF(SUM(E42:F54)&lt;&gt;SUM(M42:N54), TRUE)</f>
        <v>1</v>
      </c>
      <c r="L37" t="b">
        <f t="array" ref="L37" ca="1">OR(E42:E54&lt;&gt;M42:M54,F42:F54&lt;&gt;N42:N54,SCFin&lt;&gt;FS_all)</f>
        <v>1</v>
      </c>
      <c r="M37" t="s">
        <v>5488</v>
      </c>
      <c r="T37">
        <v>103000</v>
      </c>
    </row>
    <row r="38" spans="1:20" ht="12.75" hidden="1" customHeight="1">
      <c r="A38" s="12"/>
      <c r="B38" s="8"/>
      <c r="C38" s="8"/>
      <c r="D38" s="8"/>
      <c r="E38" s="8"/>
      <c r="F38" s="8"/>
      <c r="G38" s="8"/>
      <c r="H38" s="8"/>
      <c r="I38" s="9"/>
      <c r="J38" s="1"/>
      <c r="K38" s="3" t="b">
        <f ca="1">IF(SUM(SCFin)&lt;&gt;SUM(FS_all),TRUE)</f>
        <v>1</v>
      </c>
      <c r="L38" s="406" t="b">
        <f t="array" ref="L38" ca="1">OR(SCFin&lt;&gt;FS_all,TCFin&lt;&gt;FS_all)</f>
        <v>1</v>
      </c>
      <c r="M38" t="s">
        <v>4276</v>
      </c>
      <c r="T38">
        <v>103000</v>
      </c>
    </row>
    <row r="39" spans="1:20" ht="12.75" hidden="1" customHeight="1">
      <c r="A39" s="12"/>
      <c r="B39" s="8" t="str">
        <f>B5</f>
        <v>Análise de performance</v>
      </c>
      <c r="C39" s="1226" t="s">
        <v>6178</v>
      </c>
      <c r="D39" s="1226"/>
      <c r="E39" s="8"/>
      <c r="F39" s="8"/>
      <c r="G39" s="8"/>
      <c r="H39" s="8"/>
      <c r="I39" s="9"/>
      <c r="J39" s="1"/>
      <c r="K39" s="319">
        <f>IF(C39="",1,VLOOKUP(C39,B109:C112,2,FALSE))</f>
        <v>1</v>
      </c>
      <c r="M39" t="s">
        <v>1170</v>
      </c>
      <c r="T39">
        <v>103002</v>
      </c>
    </row>
    <row r="40" spans="1:20" ht="12.75" hidden="1" customHeight="1">
      <c r="A40" s="12"/>
      <c r="B40" s="8"/>
      <c r="C40" s="8"/>
      <c r="D40" s="8"/>
      <c r="E40" s="8"/>
      <c r="F40" s="8"/>
      <c r="G40" s="8"/>
      <c r="H40" s="8"/>
      <c r="I40" s="9"/>
      <c r="J40" s="1"/>
      <c r="T40">
        <v>103000</v>
      </c>
    </row>
    <row r="41" spans="1:20" ht="12.75" hidden="1" customHeight="1">
      <c r="A41" s="12"/>
      <c r="B41" s="153" t="str">
        <f>Language!C730</f>
        <v>Parâmetro</v>
      </c>
      <c r="C41" s="8"/>
      <c r="D41" s="196" t="str">
        <f>Language!C180</f>
        <v>Unidade</v>
      </c>
      <c r="E41" s="196" t="str">
        <f>Language!C731</f>
        <v>Valor</v>
      </c>
      <c r="F41" s="196" t="str">
        <f>Language!C732</f>
        <v>Faixa (+/-)</v>
      </c>
      <c r="G41" s="196" t="str">
        <f>Language!C733</f>
        <v>Mínimo</v>
      </c>
      <c r="H41" s="196" t="str">
        <f>Language!C734</f>
        <v>Máximo</v>
      </c>
      <c r="I41" s="9"/>
      <c r="J41" s="1"/>
      <c r="L41" s="319"/>
      <c r="M41" t="s">
        <v>2344</v>
      </c>
      <c r="O41" t="s">
        <v>2343</v>
      </c>
      <c r="P41" s="289" t="s">
        <v>1171</v>
      </c>
      <c r="T41">
        <v>103000</v>
      </c>
    </row>
    <row r="42" spans="1:20" ht="12.75" hidden="1" customHeight="1">
      <c r="A42" s="12"/>
      <c r="B42" s="8" t="str">
        <f>Language!C683</f>
        <v>Custos iniciais</v>
      </c>
      <c r="C42" s="8"/>
      <c r="D42" s="21" t="str">
        <f>Currency</f>
        <v>€</v>
      </c>
      <c r="E42" s="88">
        <f ca="1">IF(ISERROR('Análise Financeira'!Init_costs),0,'Análise Financeira'!Init_costs)</f>
        <v>6082.125</v>
      </c>
      <c r="F42" s="159"/>
      <c r="G42" s="88">
        <f t="shared" ref="G42:G54" ca="1" si="3">$E42*(1-F42)</f>
        <v>6082.125</v>
      </c>
      <c r="H42" s="88">
        <f t="shared" ref="H42:H54" ca="1" si="4">E42*(1+F42)</f>
        <v>6082.125</v>
      </c>
      <c r="I42" s="9"/>
      <c r="J42" s="1"/>
      <c r="K42">
        <f ca="1">IF(ISERROR(E42),0,IF(E42=0,0,1))</f>
        <v>1</v>
      </c>
      <c r="M42">
        <v>962161.2</v>
      </c>
      <c r="N42">
        <v>0.1</v>
      </c>
      <c r="O42" t="s">
        <v>2238</v>
      </c>
      <c r="P42" t="str">
        <f t="shared" ref="P42:P54" si="5">B42</f>
        <v>Custos iniciais</v>
      </c>
      <c r="Q42">
        <v>1</v>
      </c>
      <c r="R42">
        <f t="shared" ref="R42:R54" ca="1" si="6">E42</f>
        <v>6082.125</v>
      </c>
      <c r="S42" t="str">
        <f t="shared" ref="S42:S54" si="7">D42</f>
        <v>€</v>
      </c>
      <c r="T42">
        <v>103004</v>
      </c>
    </row>
    <row r="43" spans="1:20" ht="12.75" hidden="1" customHeight="1">
      <c r="A43" s="12"/>
      <c r="B43" s="8" t="str">
        <f>Language!C564</f>
        <v>O&amp;M</v>
      </c>
      <c r="C43" s="8"/>
      <c r="D43" s="21" t="str">
        <f>D42</f>
        <v>€</v>
      </c>
      <c r="E43" s="88">
        <f>IF(ISERROR('Análise Financeira'!K19),0,'Análise Financeira'!K19)</f>
        <v>300</v>
      </c>
      <c r="F43" s="159"/>
      <c r="G43" s="88">
        <f t="shared" si="3"/>
        <v>300</v>
      </c>
      <c r="H43" s="88">
        <f t="shared" si="4"/>
        <v>300</v>
      </c>
      <c r="I43" s="9"/>
      <c r="J43" s="1"/>
      <c r="K43">
        <f t="shared" ref="K43:K54" si="8">IF(ISERROR(E43),0,IF(E43=0,0,1))</f>
        <v>1</v>
      </c>
      <c r="M43">
        <v>-12800</v>
      </c>
      <c r="N43">
        <v>0.1</v>
      </c>
      <c r="O43" t="s">
        <v>3288</v>
      </c>
      <c r="P43" t="str">
        <f t="shared" si="5"/>
        <v>O&amp;M</v>
      </c>
      <c r="Q43">
        <v>2</v>
      </c>
      <c r="R43">
        <f t="shared" si="6"/>
        <v>300</v>
      </c>
      <c r="S43" t="str">
        <f t="shared" si="7"/>
        <v>€</v>
      </c>
      <c r="T43">
        <v>103006</v>
      </c>
    </row>
    <row r="44" spans="1:20" ht="12.75" hidden="1" customHeight="1">
      <c r="A44" s="12"/>
      <c r="B44" s="8" t="str">
        <f>'Análise Financeira'!G20</f>
        <v>Custo combustível - caso proposto</v>
      </c>
      <c r="C44" s="8"/>
      <c r="D44" s="21" t="str">
        <f>D42</f>
        <v>€</v>
      </c>
      <c r="E44" s="88">
        <f>IF(ISERROR('Análise Financeira'!K20),0,'Análise Financeira'!K20)</f>
        <v>0</v>
      </c>
      <c r="F44" s="159"/>
      <c r="G44" s="88">
        <f t="shared" si="3"/>
        <v>0</v>
      </c>
      <c r="H44" s="88">
        <f t="shared" si="4"/>
        <v>0</v>
      </c>
      <c r="I44" s="9"/>
      <c r="J44" s="1"/>
      <c r="K44">
        <f t="shared" si="8"/>
        <v>0</v>
      </c>
      <c r="M44">
        <v>354434.45975087071</v>
      </c>
      <c r="N44">
        <v>0.1</v>
      </c>
      <c r="O44" t="s">
        <v>4436</v>
      </c>
      <c r="P44" t="str">
        <f t="shared" si="5"/>
        <v>Custo combustível - caso proposto</v>
      </c>
      <c r="Q44">
        <v>3</v>
      </c>
      <c r="R44">
        <f t="shared" si="6"/>
        <v>0</v>
      </c>
      <c r="S44" t="str">
        <f t="shared" si="7"/>
        <v>€</v>
      </c>
      <c r="T44">
        <v>103008</v>
      </c>
    </row>
    <row r="45" spans="1:20" ht="12.75" hidden="1" customHeight="1">
      <c r="A45" s="12"/>
      <c r="B45" s="8" t="str">
        <f>'Análise Financeira'!G30</f>
        <v>Custo combustível - caso de referência</v>
      </c>
      <c r="C45" s="8"/>
      <c r="D45" s="21" t="str">
        <f>D42</f>
        <v>€</v>
      </c>
      <c r="E45" s="88">
        <f>IF(ISERROR('Análise Financeira'!K30),0,'Análise Financeira'!K30)</f>
        <v>0</v>
      </c>
      <c r="F45" s="159"/>
      <c r="G45" s="88">
        <f t="shared" si="3"/>
        <v>0</v>
      </c>
      <c r="H45" s="88">
        <f t="shared" si="4"/>
        <v>0</v>
      </c>
      <c r="I45" s="9"/>
      <c r="J45" s="1"/>
      <c r="K45">
        <f t="shared" si="8"/>
        <v>0</v>
      </c>
      <c r="M45">
        <v>723830.40450103709</v>
      </c>
      <c r="N45">
        <v>0.1</v>
      </c>
      <c r="O45" t="s">
        <v>3020</v>
      </c>
      <c r="P45" t="str">
        <f t="shared" si="5"/>
        <v>Custo combustível - caso de referência</v>
      </c>
      <c r="Q45">
        <v>4</v>
      </c>
      <c r="R45">
        <f t="shared" si="6"/>
        <v>0</v>
      </c>
      <c r="S45" t="str">
        <f t="shared" si="7"/>
        <v>€</v>
      </c>
      <c r="T45">
        <v>103010</v>
      </c>
    </row>
    <row r="46" spans="1:20" ht="12.75" hidden="1" customHeight="1">
      <c r="A46" s="12"/>
      <c r="B46" s="8" t="str">
        <f>Language!C469</f>
        <v>Preço eletricidade exportada</v>
      </c>
      <c r="C46" s="8"/>
      <c r="D46" s="21" t="str">
        <f>Currency&amp;Language!C1302</f>
        <v>€/MWh</v>
      </c>
      <c r="E46" s="217">
        <f>IF(ISERROR('Análise Financeira'!D34),0,'Análise Financeira'!D34)</f>
        <v>199.99999999999994</v>
      </c>
      <c r="F46" s="159"/>
      <c r="G46" s="217">
        <f>$E46*(1-F46)</f>
        <v>199.99999999999994</v>
      </c>
      <c r="H46" s="217">
        <f t="shared" si="4"/>
        <v>199.99999999999994</v>
      </c>
      <c r="I46" s="9"/>
      <c r="J46" s="1"/>
      <c r="K46">
        <f>IF(ISERROR(E46),0,IF(E46=0,0,1))</f>
        <v>1</v>
      </c>
      <c r="M46">
        <v>0</v>
      </c>
      <c r="N46">
        <v>0.1</v>
      </c>
      <c r="O46" t="s">
        <v>1224</v>
      </c>
      <c r="P46" t="str">
        <f>B46</f>
        <v>Preço eletricidade exportada</v>
      </c>
      <c r="Q46">
        <v>5</v>
      </c>
      <c r="R46">
        <f>E46</f>
        <v>199.99999999999994</v>
      </c>
      <c r="S46" t="str">
        <f>D46</f>
        <v>€/MWh</v>
      </c>
      <c r="T46">
        <v>103012</v>
      </c>
    </row>
    <row r="47" spans="1:20" ht="12.75" hidden="1" customHeight="1">
      <c r="A47" s="12"/>
      <c r="B47" s="8" t="str">
        <f>Language!C654</f>
        <v>Crédito para redução de GEE</v>
      </c>
      <c r="C47" s="8"/>
      <c r="D47" s="21" t="str">
        <f>Currency&amp;Language!C1304</f>
        <v>€/tCO2</v>
      </c>
      <c r="E47" s="217">
        <f>IF(ISERROR('Análise Financeira'!V84),0,'Análise Financeira'!V84)</f>
        <v>0</v>
      </c>
      <c r="F47" s="159"/>
      <c r="G47" s="217">
        <f>$E47*(1-F47)</f>
        <v>0</v>
      </c>
      <c r="H47" s="217">
        <f t="shared" si="4"/>
        <v>0</v>
      </c>
      <c r="I47" s="9"/>
      <c r="J47" s="1"/>
      <c r="K47">
        <f>IF(ISERROR(E47),0,IF(E47=0,0,1))</f>
        <v>0</v>
      </c>
      <c r="M47">
        <v>0</v>
      </c>
      <c r="N47">
        <v>0.1</v>
      </c>
      <c r="O47" t="s">
        <v>1086</v>
      </c>
      <c r="P47" t="str">
        <f>B47</f>
        <v>Crédito para redução de GEE</v>
      </c>
      <c r="Q47">
        <v>6</v>
      </c>
      <c r="R47">
        <f>E47</f>
        <v>0</v>
      </c>
      <c r="S47" t="str">
        <f>D47</f>
        <v>€/tCO2</v>
      </c>
      <c r="T47">
        <v>103014</v>
      </c>
    </row>
    <row r="48" spans="1:20" ht="12.75" hidden="1" customHeight="1">
      <c r="A48" s="12"/>
      <c r="B48" s="8" t="str">
        <f>Language!C638</f>
        <v>Redução líq. de GEE-duração do crédito</v>
      </c>
      <c r="C48" s="8"/>
      <c r="D48" s="21" t="str">
        <f>Language!C1409</f>
        <v>tCO2</v>
      </c>
      <c r="E48" s="88">
        <f>IF(ISERROR('Análise Financeira'!D45),0,'Análise Financeira'!D45)*K48</f>
        <v>0</v>
      </c>
      <c r="F48" s="159"/>
      <c r="G48" s="88">
        <f>$E48*(1-F48)</f>
        <v>0</v>
      </c>
      <c r="H48" s="88">
        <f t="shared" si="4"/>
        <v>0</v>
      </c>
      <c r="I48" s="9"/>
      <c r="J48" s="1"/>
      <c r="K48">
        <f>K47</f>
        <v>0</v>
      </c>
      <c r="M48">
        <v>0</v>
      </c>
      <c r="N48">
        <v>0.1</v>
      </c>
      <c r="O48" t="s">
        <v>1853</v>
      </c>
      <c r="P48" t="str">
        <f>B48</f>
        <v>Redução líq. de GEE-duração do crédito</v>
      </c>
      <c r="Q48">
        <v>7</v>
      </c>
      <c r="R48">
        <f>E48</f>
        <v>0</v>
      </c>
      <c r="S48" t="str">
        <f>D48</f>
        <v>tCO2</v>
      </c>
      <c r="T48">
        <v>103016</v>
      </c>
    </row>
    <row r="49" spans="1:20" ht="12.75" hidden="1" customHeight="1">
      <c r="A49" s="12"/>
      <c r="B49" s="8" t="str">
        <f>Language!C666</f>
        <v>Receita (ou desconto) adicional do consumidor</v>
      </c>
      <c r="C49" s="8"/>
      <c r="D49" s="21" t="str">
        <f>D42</f>
        <v>€</v>
      </c>
      <c r="E49" s="88">
        <f>IF(ISERROR('Análise Financeira'!K33),0,'Análise Financeira'!K33)</f>
        <v>0</v>
      </c>
      <c r="F49" s="159"/>
      <c r="G49" s="88">
        <f t="shared" si="3"/>
        <v>0</v>
      </c>
      <c r="H49" s="88">
        <f t="shared" si="4"/>
        <v>0</v>
      </c>
      <c r="I49" s="9"/>
      <c r="J49" s="1"/>
      <c r="K49">
        <f t="shared" si="8"/>
        <v>0</v>
      </c>
      <c r="M49">
        <v>0</v>
      </c>
      <c r="N49">
        <v>0.1</v>
      </c>
      <c r="O49" t="s">
        <v>595</v>
      </c>
      <c r="P49" t="str">
        <f t="shared" si="5"/>
        <v>Receita (ou desconto) adicional do consumidor</v>
      </c>
      <c r="Q49">
        <v>8</v>
      </c>
      <c r="R49">
        <f t="shared" si="6"/>
        <v>0</v>
      </c>
      <c r="S49" t="str">
        <f t="shared" si="7"/>
        <v>€</v>
      </c>
      <c r="T49">
        <v>103018</v>
      </c>
    </row>
    <row r="50" spans="1:20" ht="12.75" hidden="1" customHeight="1">
      <c r="A50" s="12"/>
      <c r="B50" s="8" t="str">
        <f>Language!C1862</f>
        <v>Outras receitas ( custo)</v>
      </c>
      <c r="C50" s="8"/>
      <c r="D50" s="21" t="str">
        <f>D42</f>
        <v>€</v>
      </c>
      <c r="E50" s="88">
        <f>IF(ISERROR('Análise Financeira'!K34),0,'Análise Financeira'!K34)</f>
        <v>0</v>
      </c>
      <c r="F50" s="159"/>
      <c r="G50" s="88">
        <f t="shared" si="3"/>
        <v>0</v>
      </c>
      <c r="H50" s="88">
        <f t="shared" si="4"/>
        <v>0</v>
      </c>
      <c r="I50" s="9"/>
      <c r="J50" s="1"/>
      <c r="K50">
        <f>IF(ISERROR(E50),0,IF(E50=0,0,1))</f>
        <v>0</v>
      </c>
      <c r="M50">
        <v>0</v>
      </c>
      <c r="N50">
        <v>0.1</v>
      </c>
      <c r="O50" t="s">
        <v>1224</v>
      </c>
      <c r="P50" t="str">
        <f>B50</f>
        <v>Outras receitas ( custo)</v>
      </c>
      <c r="Q50">
        <v>9</v>
      </c>
      <c r="R50">
        <f>E50</f>
        <v>0</v>
      </c>
      <c r="S50" t="str">
        <f>D50</f>
        <v>€</v>
      </c>
      <c r="T50">
        <v>103020</v>
      </c>
    </row>
    <row r="51" spans="1:20" ht="12.75" hidden="1" customHeight="1">
      <c r="A51" s="12"/>
      <c r="B51" s="8" t="str">
        <f>Language!C651</f>
        <v>Crédito de produção de EL</v>
      </c>
      <c r="C51" s="8"/>
      <c r="D51" s="21" t="str">
        <f>Currency&amp;Language!C1297</f>
        <v>€/kWh</v>
      </c>
      <c r="E51" s="217">
        <f>IF(ISERROR('Análise Financeira'!V83),0,'Análise Financeira'!V83)</f>
        <v>0</v>
      </c>
      <c r="F51" s="159"/>
      <c r="G51" s="217">
        <f t="shared" si="3"/>
        <v>0</v>
      </c>
      <c r="H51" s="217">
        <f t="shared" si="4"/>
        <v>0</v>
      </c>
      <c r="I51" s="9"/>
      <c r="J51" s="1"/>
      <c r="K51">
        <f t="shared" si="8"/>
        <v>0</v>
      </c>
      <c r="M51">
        <v>0</v>
      </c>
      <c r="N51">
        <v>0.1</v>
      </c>
      <c r="O51" t="s">
        <v>3370</v>
      </c>
      <c r="P51" t="str">
        <f t="shared" si="5"/>
        <v>Crédito de produção de EL</v>
      </c>
      <c r="Q51">
        <v>10</v>
      </c>
      <c r="R51">
        <f t="shared" si="6"/>
        <v>0</v>
      </c>
      <c r="S51" t="str">
        <f t="shared" si="7"/>
        <v>€/kWh</v>
      </c>
      <c r="T51">
        <v>103022</v>
      </c>
    </row>
    <row r="52" spans="1:20" ht="12.75" hidden="1" customHeight="1">
      <c r="A52" s="12"/>
      <c r="B52" s="8" t="str">
        <f>Language!C663</f>
        <v>Razão da dívida</v>
      </c>
      <c r="C52" s="8" t="str">
        <f>IF(OR(G52&lt;0,H52&gt;1),Language!$C$742,"")</f>
        <v/>
      </c>
      <c r="D52" s="21" t="str">
        <f>Language!C1306</f>
        <v>%</v>
      </c>
      <c r="E52" s="126">
        <f>IF(ISERROR('Análise Financeira'!Debt_ratio),0,'Análise Financeira'!Debt_ratio)</f>
        <v>0</v>
      </c>
      <c r="F52" s="159"/>
      <c r="G52" s="126">
        <f t="shared" si="3"/>
        <v>0</v>
      </c>
      <c r="H52" s="126">
        <f t="shared" si="4"/>
        <v>0</v>
      </c>
      <c r="I52" s="9"/>
      <c r="J52" s="1"/>
      <c r="K52">
        <f t="shared" si="8"/>
        <v>0</v>
      </c>
      <c r="M52">
        <v>0.7</v>
      </c>
      <c r="N52">
        <v>0.1</v>
      </c>
      <c r="O52" t="s">
        <v>2921</v>
      </c>
      <c r="P52" t="str">
        <f t="shared" si="5"/>
        <v>Razão da dívida</v>
      </c>
      <c r="Q52">
        <v>11</v>
      </c>
      <c r="R52">
        <f t="shared" si="6"/>
        <v>0</v>
      </c>
      <c r="S52" t="str">
        <f t="shared" si="7"/>
        <v>%</v>
      </c>
      <c r="T52">
        <v>103024</v>
      </c>
    </row>
    <row r="53" spans="1:20" ht="12.75" hidden="1" customHeight="1">
      <c r="A53" s="12"/>
      <c r="B53" s="8" t="str">
        <f>Language!C664</f>
        <v>Taxa de juros da dívida</v>
      </c>
      <c r="C53" s="8" t="str">
        <f>IF(OR(G53&lt;0,H53&gt;1),Language!$C$742,"")</f>
        <v/>
      </c>
      <c r="D53" s="21" t="str">
        <f>D52</f>
        <v>%</v>
      </c>
      <c r="E53" s="226">
        <f>IF(ISERROR('Análise Financeira'!Debt_IR),0,IF(E52=0,0,1)*'Análise Financeira'!Debt_IR)</f>
        <v>0</v>
      </c>
      <c r="F53" s="159"/>
      <c r="G53" s="226">
        <f t="shared" si="3"/>
        <v>0</v>
      </c>
      <c r="H53" s="226">
        <f t="shared" si="4"/>
        <v>0</v>
      </c>
      <c r="I53" s="9"/>
      <c r="J53" s="1"/>
      <c r="K53">
        <f t="shared" si="8"/>
        <v>0</v>
      </c>
      <c r="M53">
        <v>7.0000000000000007E-2</v>
      </c>
      <c r="N53">
        <v>0.1</v>
      </c>
      <c r="O53" t="s">
        <v>4204</v>
      </c>
      <c r="P53" t="str">
        <f t="shared" si="5"/>
        <v>Taxa de juros da dívida</v>
      </c>
      <c r="Q53">
        <v>12</v>
      </c>
      <c r="R53">
        <f t="shared" si="6"/>
        <v>0</v>
      </c>
      <c r="S53" t="str">
        <f t="shared" si="7"/>
        <v>%</v>
      </c>
      <c r="T53">
        <v>103026</v>
      </c>
    </row>
    <row r="54" spans="1:20" ht="12.75" hidden="1" customHeight="1">
      <c r="A54" s="12"/>
      <c r="B54" s="8" t="str">
        <f>Language!C665</f>
        <v>Duração da dívida</v>
      </c>
      <c r="C54" s="8" t="str">
        <f>IF(OR(G54&lt;0,H54&gt;ProjLife),Language!$C$742,"")</f>
        <v/>
      </c>
      <c r="D54" s="21" t="str">
        <f>Language!C1420</f>
        <v>ano</v>
      </c>
      <c r="E54" s="21">
        <f>IF(ISERROR('Análise Financeira'!Debt_term),0,IF(E52=0,0,1)*'Análise Financeira'!Debt_term)</f>
        <v>0</v>
      </c>
      <c r="F54" s="159"/>
      <c r="G54" s="21">
        <f t="shared" si="3"/>
        <v>0</v>
      </c>
      <c r="H54" s="21">
        <f t="shared" si="4"/>
        <v>0</v>
      </c>
      <c r="I54" s="9"/>
      <c r="J54" s="1"/>
      <c r="K54">
        <f t="shared" si="8"/>
        <v>0</v>
      </c>
      <c r="M54">
        <v>10</v>
      </c>
      <c r="N54">
        <v>0.1</v>
      </c>
      <c r="O54" t="s">
        <v>3190</v>
      </c>
      <c r="P54" t="str">
        <f t="shared" si="5"/>
        <v>Duração da dívida</v>
      </c>
      <c r="Q54">
        <v>13</v>
      </c>
      <c r="R54">
        <f t="shared" si="6"/>
        <v>0</v>
      </c>
      <c r="S54" t="str">
        <f t="shared" si="7"/>
        <v>ano</v>
      </c>
      <c r="T54">
        <v>103028</v>
      </c>
    </row>
    <row r="55" spans="1:20" ht="12.75" hidden="1" customHeight="1" thickBot="1">
      <c r="A55" s="12"/>
      <c r="B55" s="8"/>
      <c r="C55" s="8"/>
      <c r="D55" s="8"/>
      <c r="E55" s="149"/>
      <c r="F55" s="8"/>
      <c r="G55" s="8"/>
      <c r="H55" s="8"/>
      <c r="I55" s="9"/>
      <c r="J55" s="1"/>
      <c r="T55">
        <v>103000</v>
      </c>
    </row>
    <row r="56" spans="1:20" ht="15" hidden="1" customHeight="1">
      <c r="A56" s="12"/>
      <c r="B56" s="8"/>
      <c r="C56" s="8"/>
      <c r="D56" s="8"/>
      <c r="E56" s="8"/>
      <c r="F56" s="1315" t="str">
        <f>Language!C735</f>
        <v>Clique aqui para calcular análise de risco</v>
      </c>
      <c r="G56" s="1316"/>
      <c r="H56" s="8"/>
      <c r="I56" s="9"/>
      <c r="J56" s="1"/>
      <c r="T56">
        <v>103030</v>
      </c>
    </row>
    <row r="57" spans="1:20" ht="15" hidden="1" customHeight="1" thickBot="1">
      <c r="A57" s="12"/>
      <c r="B57" s="8"/>
      <c r="C57" s="8"/>
      <c r="D57" s="8"/>
      <c r="E57" s="8"/>
      <c r="F57" s="1317"/>
      <c r="G57" s="1318"/>
      <c r="H57" s="8"/>
      <c r="I57" s="9"/>
      <c r="J57" s="1"/>
      <c r="T57">
        <v>103030</v>
      </c>
    </row>
    <row r="58" spans="1:20" ht="12.75" hidden="1" customHeight="1">
      <c r="A58" s="12"/>
      <c r="B58" s="8"/>
      <c r="C58" s="8"/>
      <c r="D58" s="8"/>
      <c r="E58" s="8"/>
      <c r="F58" s="8"/>
      <c r="G58" s="8"/>
      <c r="H58" s="8"/>
      <c r="I58" s="9"/>
      <c r="J58" s="1"/>
      <c r="T58">
        <v>103000</v>
      </c>
    </row>
    <row r="59" spans="1:20" ht="12.75" hidden="1" customHeight="1">
      <c r="A59" s="12"/>
      <c r="B59" s="1306" t="str">
        <f>E111&amp;C39</f>
        <v>Impacto - TIR após impostos - capital</v>
      </c>
      <c r="C59" s="1319"/>
      <c r="D59" s="1319"/>
      <c r="E59" s="1319"/>
      <c r="F59" s="1319"/>
      <c r="G59" s="1319"/>
      <c r="H59" s="1320"/>
      <c r="I59" s="1305" t="str">
        <f>Language!C737</f>
        <v>Classe por impacto</v>
      </c>
      <c r="J59" s="1"/>
      <c r="T59">
        <v>103032</v>
      </c>
    </row>
    <row r="60" spans="1:20" ht="12.75" hidden="1" customHeight="1">
      <c r="A60" s="12"/>
      <c r="B60" s="1321"/>
      <c r="C60" s="1322"/>
      <c r="D60" s="1322"/>
      <c r="E60" s="1322"/>
      <c r="F60" s="1322"/>
      <c r="G60" s="1322"/>
      <c r="H60" s="1323"/>
      <c r="I60" s="1305"/>
      <c r="J60" s="1"/>
      <c r="T60">
        <v>103032</v>
      </c>
    </row>
    <row r="61" spans="1:20" ht="12.75" hidden="1" customHeight="1">
      <c r="A61" s="12"/>
      <c r="B61" s="1321"/>
      <c r="C61" s="1322"/>
      <c r="D61" s="1322"/>
      <c r="E61" s="1322"/>
      <c r="F61" s="1322"/>
      <c r="G61" s="1322"/>
      <c r="H61" s="1323"/>
      <c r="I61" s="1305"/>
      <c r="J61" s="1"/>
      <c r="T61">
        <v>103032</v>
      </c>
    </row>
    <row r="62" spans="1:20" ht="12.75" hidden="1" customHeight="1">
      <c r="A62" s="12"/>
      <c r="B62" s="1321"/>
      <c r="C62" s="1322"/>
      <c r="D62" s="1322"/>
      <c r="E62" s="1322"/>
      <c r="F62" s="1322"/>
      <c r="G62" s="1322"/>
      <c r="H62" s="1323"/>
      <c r="I62" s="1305"/>
      <c r="J62" s="1"/>
      <c r="T62">
        <v>103032</v>
      </c>
    </row>
    <row r="63" spans="1:20" ht="12.75" hidden="1" customHeight="1">
      <c r="A63" s="12"/>
      <c r="B63" s="1321"/>
      <c r="C63" s="1322"/>
      <c r="D63" s="1322"/>
      <c r="E63" s="1322"/>
      <c r="F63" s="1322"/>
      <c r="G63" s="1322"/>
      <c r="H63" s="1323"/>
      <c r="I63" s="1305"/>
      <c r="J63" s="1"/>
      <c r="T63">
        <v>103032</v>
      </c>
    </row>
    <row r="64" spans="1:20" ht="12.75" hidden="1" customHeight="1">
      <c r="A64" s="12"/>
      <c r="B64" s="1321"/>
      <c r="C64" s="1322"/>
      <c r="D64" s="1322"/>
      <c r="E64" s="1322"/>
      <c r="F64" s="1322"/>
      <c r="G64" s="1322"/>
      <c r="H64" s="1323"/>
      <c r="I64" s="1305"/>
      <c r="J64" s="1"/>
      <c r="T64">
        <v>103032</v>
      </c>
    </row>
    <row r="65" spans="1:20" ht="12.75" hidden="1" customHeight="1">
      <c r="A65" s="12"/>
      <c r="B65" s="1321"/>
      <c r="C65" s="1322"/>
      <c r="D65" s="1322"/>
      <c r="E65" s="1322"/>
      <c r="F65" s="1322"/>
      <c r="G65" s="1322"/>
      <c r="H65" s="1323"/>
      <c r="I65" s="1305"/>
      <c r="J65" s="1"/>
      <c r="T65">
        <v>103032</v>
      </c>
    </row>
    <row r="66" spans="1:20" ht="12.75" hidden="1" customHeight="1">
      <c r="A66" s="12"/>
      <c r="B66" s="1321"/>
      <c r="C66" s="1322"/>
      <c r="D66" s="1322"/>
      <c r="E66" s="1322"/>
      <c r="F66" s="1322"/>
      <c r="G66" s="1322"/>
      <c r="H66" s="1323"/>
      <c r="I66" s="1305"/>
      <c r="J66" s="1"/>
      <c r="T66">
        <v>103032</v>
      </c>
    </row>
    <row r="67" spans="1:20" ht="12.75" hidden="1" customHeight="1">
      <c r="A67" s="12"/>
      <c r="B67" s="1321"/>
      <c r="C67" s="1322"/>
      <c r="D67" s="1322"/>
      <c r="E67" s="1322"/>
      <c r="F67" s="1322"/>
      <c r="G67" s="1322"/>
      <c r="H67" s="1323"/>
      <c r="I67" s="1305"/>
      <c r="J67" s="1"/>
      <c r="T67">
        <v>103032</v>
      </c>
    </row>
    <row r="68" spans="1:20" ht="12.75" hidden="1" customHeight="1">
      <c r="A68" s="12"/>
      <c r="B68" s="1321"/>
      <c r="C68" s="1322"/>
      <c r="D68" s="1322"/>
      <c r="E68" s="1322"/>
      <c r="F68" s="1322"/>
      <c r="G68" s="1322"/>
      <c r="H68" s="1323"/>
      <c r="I68" s="1305"/>
      <c r="J68" s="1"/>
      <c r="T68">
        <v>103032</v>
      </c>
    </row>
    <row r="69" spans="1:20" ht="12.75" hidden="1" customHeight="1">
      <c r="A69" s="12"/>
      <c r="B69" s="1321"/>
      <c r="C69" s="1322"/>
      <c r="D69" s="1322"/>
      <c r="E69" s="1322"/>
      <c r="F69" s="1322"/>
      <c r="G69" s="1322"/>
      <c r="H69" s="1323"/>
      <c r="I69" s="1305"/>
      <c r="J69" s="1"/>
      <c r="T69">
        <v>103032</v>
      </c>
    </row>
    <row r="70" spans="1:20" ht="12.75" hidden="1" customHeight="1">
      <c r="A70" s="12"/>
      <c r="B70" s="1321"/>
      <c r="C70" s="1322"/>
      <c r="D70" s="1322"/>
      <c r="E70" s="1322"/>
      <c r="F70" s="1322"/>
      <c r="G70" s="1322"/>
      <c r="H70" s="1323"/>
      <c r="I70" s="1305"/>
      <c r="J70" s="1"/>
      <c r="T70">
        <v>103032</v>
      </c>
    </row>
    <row r="71" spans="1:20" ht="12.75" hidden="1" customHeight="1">
      <c r="A71" s="12"/>
      <c r="B71" s="1321"/>
      <c r="C71" s="1322"/>
      <c r="D71" s="1322"/>
      <c r="E71" s="1322"/>
      <c r="F71" s="1322"/>
      <c r="G71" s="1322"/>
      <c r="H71" s="1323"/>
      <c r="I71" s="1305"/>
      <c r="J71" s="1"/>
      <c r="T71">
        <v>103032</v>
      </c>
    </row>
    <row r="72" spans="1:20" ht="12.75" hidden="1" customHeight="1">
      <c r="A72" s="12"/>
      <c r="B72" s="1321"/>
      <c r="C72" s="1322"/>
      <c r="D72" s="1322"/>
      <c r="E72" s="1322"/>
      <c r="F72" s="1322"/>
      <c r="G72" s="1322"/>
      <c r="H72" s="1323"/>
      <c r="I72" s="1305"/>
      <c r="J72" s="1"/>
      <c r="T72">
        <v>103032</v>
      </c>
    </row>
    <row r="73" spans="1:20" ht="12.75" hidden="1" customHeight="1">
      <c r="A73" s="12"/>
      <c r="B73" s="1321"/>
      <c r="C73" s="1322"/>
      <c r="D73" s="1322"/>
      <c r="E73" s="1322"/>
      <c r="F73" s="1322"/>
      <c r="G73" s="1322"/>
      <c r="H73" s="1323"/>
      <c r="I73" s="1305"/>
      <c r="J73" s="1"/>
      <c r="T73">
        <v>103032</v>
      </c>
    </row>
    <row r="74" spans="1:20" ht="12.75" hidden="1" customHeight="1">
      <c r="A74" s="12"/>
      <c r="B74" s="1321"/>
      <c r="C74" s="1322"/>
      <c r="D74" s="1322"/>
      <c r="E74" s="1322"/>
      <c r="F74" s="1322"/>
      <c r="G74" s="1322"/>
      <c r="H74" s="1323"/>
      <c r="I74" s="1305"/>
      <c r="J74" s="1"/>
      <c r="T74">
        <v>103032</v>
      </c>
    </row>
    <row r="75" spans="1:20" ht="12.75" hidden="1" customHeight="1">
      <c r="A75" s="12"/>
      <c r="B75" s="1312" t="str">
        <f>Language!C738</f>
        <v>Impacto relativo (desvio padrão) do parâmetro</v>
      </c>
      <c r="C75" s="1313"/>
      <c r="D75" s="1313"/>
      <c r="E75" s="1313"/>
      <c r="F75" s="1313"/>
      <c r="G75" s="1313"/>
      <c r="H75" s="1314"/>
      <c r="I75" s="1305"/>
      <c r="J75" s="1"/>
      <c r="T75">
        <v>103032</v>
      </c>
    </row>
    <row r="76" spans="1:20" ht="12.75" hidden="1" customHeight="1">
      <c r="A76" s="12"/>
      <c r="B76" s="8"/>
      <c r="C76" s="8"/>
      <c r="D76" s="8"/>
      <c r="E76" s="8"/>
      <c r="F76" s="8"/>
      <c r="G76" s="8"/>
      <c r="H76" s="8"/>
      <c r="I76" s="9"/>
      <c r="J76" s="1"/>
      <c r="T76">
        <v>103000</v>
      </c>
    </row>
    <row r="77" spans="1:20" ht="12.75" hidden="1" customHeight="1">
      <c r="A77" s="12"/>
      <c r="B77" s="1" t="str">
        <f>Language!C739</f>
        <v>Mediana</v>
      </c>
      <c r="C77" s="1"/>
      <c r="D77" s="1"/>
      <c r="E77" s="29" t="str">
        <f>IF($K$39=1,D52,IF($K$39=2,D52,IF($K$39=3,D54,D42)))</f>
        <v>%</v>
      </c>
      <c r="F77" s="935">
        <f>IF(ISERROR(K77),"",K77)</f>
        <v>1.0447365331504983</v>
      </c>
      <c r="G77" s="1"/>
      <c r="H77" s="1"/>
      <c r="I77" s="9"/>
      <c r="J77" s="1"/>
      <c r="K77">
        <f>IF($K$39=1,MEDIAN(AD139:AD638),IF($K$39=2,MEDIAN(AE139:AE638),IF($K$39=3,MEDIAN(AF139:AF638),MEDIAN(AG139:AG638))))</f>
        <v>1.0447365331504983</v>
      </c>
      <c r="T77">
        <v>103034</v>
      </c>
    </row>
    <row r="78" spans="1:20" ht="12.75" hidden="1" customHeight="1">
      <c r="A78" s="12"/>
      <c r="B78" s="1" t="str">
        <f>Language!C740</f>
        <v>Nível de risco</v>
      </c>
      <c r="C78" s="1"/>
      <c r="D78" s="1"/>
      <c r="E78" s="29" t="str">
        <f>D52</f>
        <v>%</v>
      </c>
      <c r="F78" s="688"/>
      <c r="G78" s="1"/>
      <c r="H78" s="1"/>
      <c r="I78" s="9"/>
      <c r="J78" s="1"/>
      <c r="T78">
        <v>103036</v>
      </c>
    </row>
    <row r="79" spans="1:20" ht="12.75" hidden="1" customHeight="1">
      <c r="A79" s="12"/>
      <c r="B79" s="1" t="str">
        <f>Language!C743</f>
        <v>Mínimo do intervalo de confiança</v>
      </c>
      <c r="C79" s="1"/>
      <c r="D79" s="1"/>
      <c r="E79" s="29" t="str">
        <f>E77</f>
        <v>%</v>
      </c>
      <c r="F79" s="935">
        <f>IF(ISERROR(K79),"",K79)</f>
        <v>0.74459610445232693</v>
      </c>
      <c r="G79" s="1"/>
      <c r="H79" s="1"/>
      <c r="I79" s="9"/>
      <c r="J79" s="1"/>
      <c r="K79">
        <f>IF($K$39=1,PERCENTILE(AD139:AD638,F78/2),IF($K$39=2,PERCENTILE(AE139:AE638,F78/2),IF($K$39=3,PERCENTILE(AE139:AE638,F78/2),PERCENTILE(AG139:AG638,F78/2))))</f>
        <v>0.74459610445232693</v>
      </c>
      <c r="T79">
        <v>103038</v>
      </c>
    </row>
    <row r="80" spans="1:20" ht="12.75" hidden="1" customHeight="1">
      <c r="A80" s="12"/>
      <c r="B80" s="1" t="str">
        <f>Language!C744</f>
        <v>Máximo do intervalo de confiança</v>
      </c>
      <c r="C80" s="1"/>
      <c r="D80" s="1"/>
      <c r="E80" s="29" t="str">
        <f>E77</f>
        <v>%</v>
      </c>
      <c r="F80" s="935">
        <f>IF(ISERROR(K80),"",K80)</f>
        <v>1.5621612803884974</v>
      </c>
      <c r="G80" s="1"/>
      <c r="H80" s="1"/>
      <c r="I80" s="9"/>
      <c r="J80" s="1"/>
      <c r="K80">
        <f>IF($K$39=1,PERCENTILE(AD139:AD638,1-F78/2),IF($K$39=2,PERCENTILE(AE139:AE638,1-F78/2),IF($K$39=3,PERCENTILE(AF139:AF638,1-F78/2),PERCENTILE(AG139:AG638,1-F78/2))))</f>
        <v>1.5621612803884974</v>
      </c>
      <c r="T80">
        <v>103040</v>
      </c>
    </row>
    <row r="81" spans="1:20" ht="12.75" hidden="1" customHeight="1">
      <c r="A81" s="12"/>
      <c r="B81" s="1"/>
      <c r="C81" s="1"/>
      <c r="D81" s="1"/>
      <c r="E81" s="1"/>
      <c r="F81" s="1"/>
      <c r="G81" s="1"/>
      <c r="H81" s="1"/>
      <c r="I81" s="9"/>
      <c r="J81" s="1"/>
      <c r="T81">
        <v>103000</v>
      </c>
    </row>
    <row r="82" spans="1:20" ht="12.75" hidden="1" customHeight="1">
      <c r="A82" s="12"/>
      <c r="B82" s="1306" t="str">
        <f>Language!C745&amp;C39</f>
        <v>Distribuição - TIR após impostos - capital</v>
      </c>
      <c r="C82" s="1307"/>
      <c r="D82" s="1307"/>
      <c r="E82" s="1307"/>
      <c r="F82" s="1307"/>
      <c r="G82" s="1307"/>
      <c r="H82" s="1308"/>
      <c r="I82" s="1305" t="str">
        <f>'Análise de Risco'!$B$115</f>
        <v>Frequência</v>
      </c>
      <c r="J82" s="1"/>
      <c r="T82">
        <v>103042</v>
      </c>
    </row>
    <row r="83" spans="1:20" ht="12.75" hidden="1" customHeight="1">
      <c r="A83" s="12"/>
      <c r="B83" s="1309"/>
      <c r="C83" s="1310"/>
      <c r="D83" s="1310"/>
      <c r="E83" s="1310"/>
      <c r="F83" s="1310"/>
      <c r="G83" s="1310"/>
      <c r="H83" s="1311"/>
      <c r="I83" s="1305"/>
      <c r="J83" s="1"/>
      <c r="T83">
        <v>103042</v>
      </c>
    </row>
    <row r="84" spans="1:20" ht="12.75" hidden="1" customHeight="1">
      <c r="A84" s="12"/>
      <c r="B84" s="1309"/>
      <c r="C84" s="1310"/>
      <c r="D84" s="1310"/>
      <c r="E84" s="1310"/>
      <c r="F84" s="1310"/>
      <c r="G84" s="1310"/>
      <c r="H84" s="1311"/>
      <c r="I84" s="1305"/>
      <c r="J84" s="1"/>
      <c r="T84">
        <v>103042</v>
      </c>
    </row>
    <row r="85" spans="1:20" ht="12.75" hidden="1" customHeight="1">
      <c r="A85" s="12"/>
      <c r="B85" s="1309"/>
      <c r="C85" s="1310"/>
      <c r="D85" s="1310"/>
      <c r="E85" s="1310"/>
      <c r="F85" s="1310"/>
      <c r="G85" s="1310"/>
      <c r="H85" s="1311"/>
      <c r="I85" s="1305"/>
      <c r="J85" s="1"/>
      <c r="T85">
        <v>103042</v>
      </c>
    </row>
    <row r="86" spans="1:20" ht="12.75" hidden="1" customHeight="1">
      <c r="A86" s="12"/>
      <c r="B86" s="1309"/>
      <c r="C86" s="1310"/>
      <c r="D86" s="1310"/>
      <c r="E86" s="1310"/>
      <c r="F86" s="1310"/>
      <c r="G86" s="1310"/>
      <c r="H86" s="1311"/>
      <c r="I86" s="1305"/>
      <c r="J86" s="1"/>
      <c r="T86">
        <v>103042</v>
      </c>
    </row>
    <row r="87" spans="1:20" ht="12.75" hidden="1" customHeight="1">
      <c r="A87" s="12"/>
      <c r="B87" s="1309"/>
      <c r="C87" s="1310"/>
      <c r="D87" s="1310"/>
      <c r="E87" s="1310"/>
      <c r="F87" s="1310"/>
      <c r="G87" s="1310"/>
      <c r="H87" s="1311"/>
      <c r="I87" s="1305"/>
      <c r="J87" s="1"/>
      <c r="T87">
        <v>103042</v>
      </c>
    </row>
    <row r="88" spans="1:20" ht="12.75" hidden="1" customHeight="1">
      <c r="A88" s="12"/>
      <c r="B88" s="1309"/>
      <c r="C88" s="1310"/>
      <c r="D88" s="1310"/>
      <c r="E88" s="1310"/>
      <c r="F88" s="1310"/>
      <c r="G88" s="1310"/>
      <c r="H88" s="1311"/>
      <c r="I88" s="1305"/>
      <c r="J88" s="1"/>
      <c r="T88">
        <v>103042</v>
      </c>
    </row>
    <row r="89" spans="1:20" ht="12.75" hidden="1" customHeight="1">
      <c r="A89" s="12"/>
      <c r="B89" s="1309"/>
      <c r="C89" s="1310"/>
      <c r="D89" s="1310"/>
      <c r="E89" s="1310"/>
      <c r="F89" s="1310"/>
      <c r="G89" s="1310"/>
      <c r="H89" s="1311"/>
      <c r="I89" s="1305"/>
      <c r="J89" s="1"/>
      <c r="T89">
        <v>103042</v>
      </c>
    </row>
    <row r="90" spans="1:20" ht="12.75" hidden="1" customHeight="1">
      <c r="A90" s="12"/>
      <c r="B90" s="1309"/>
      <c r="C90" s="1310"/>
      <c r="D90" s="1310"/>
      <c r="E90" s="1310"/>
      <c r="F90" s="1310"/>
      <c r="G90" s="1310"/>
      <c r="H90" s="1311"/>
      <c r="I90" s="1305"/>
      <c r="J90" s="1"/>
      <c r="T90">
        <v>103042</v>
      </c>
    </row>
    <row r="91" spans="1:20" ht="12.75" hidden="1" customHeight="1">
      <c r="A91" s="12"/>
      <c r="B91" s="1309"/>
      <c r="C91" s="1310"/>
      <c r="D91" s="1310"/>
      <c r="E91" s="1310"/>
      <c r="F91" s="1310"/>
      <c r="G91" s="1310"/>
      <c r="H91" s="1311"/>
      <c r="I91" s="1305"/>
      <c r="J91" s="1"/>
      <c r="T91">
        <v>103042</v>
      </c>
    </row>
    <row r="92" spans="1:20" ht="12.75" hidden="1" customHeight="1">
      <c r="A92" s="12"/>
      <c r="B92" s="1309"/>
      <c r="C92" s="1310"/>
      <c r="D92" s="1310"/>
      <c r="E92" s="1310"/>
      <c r="F92" s="1310"/>
      <c r="G92" s="1310"/>
      <c r="H92" s="1311"/>
      <c r="I92" s="1305"/>
      <c r="J92" s="1"/>
      <c r="T92">
        <v>103042</v>
      </c>
    </row>
    <row r="93" spans="1:20" ht="12.75" hidden="1" customHeight="1">
      <c r="A93" s="12"/>
      <c r="B93" s="1309"/>
      <c r="C93" s="1310"/>
      <c r="D93" s="1310"/>
      <c r="E93" s="1310"/>
      <c r="F93" s="1310"/>
      <c r="G93" s="1310"/>
      <c r="H93" s="1311"/>
      <c r="I93" s="1305"/>
      <c r="J93" s="1"/>
      <c r="T93">
        <v>103042</v>
      </c>
    </row>
    <row r="94" spans="1:20" ht="12.75" hidden="1" customHeight="1">
      <c r="A94" s="12"/>
      <c r="B94" s="1309"/>
      <c r="C94" s="1310"/>
      <c r="D94" s="1310"/>
      <c r="E94" s="1310"/>
      <c r="F94" s="1310"/>
      <c r="G94" s="1310"/>
      <c r="H94" s="1311"/>
      <c r="I94" s="1305"/>
      <c r="J94" s="1"/>
      <c r="T94">
        <v>103042</v>
      </c>
    </row>
    <row r="95" spans="1:20" ht="12.75" hidden="1" customHeight="1">
      <c r="A95" s="12"/>
      <c r="B95" s="1309"/>
      <c r="C95" s="1310"/>
      <c r="D95" s="1310"/>
      <c r="E95" s="1310"/>
      <c r="F95" s="1310"/>
      <c r="G95" s="1310"/>
      <c r="H95" s="1311"/>
      <c r="I95" s="1305"/>
      <c r="J95" s="1"/>
      <c r="T95">
        <v>103042</v>
      </c>
    </row>
    <row r="96" spans="1:20" ht="12.75" hidden="1" customHeight="1">
      <c r="A96" s="12"/>
      <c r="B96" s="1309"/>
      <c r="C96" s="1310"/>
      <c r="D96" s="1310"/>
      <c r="E96" s="1310"/>
      <c r="F96" s="1310"/>
      <c r="G96" s="1310"/>
      <c r="H96" s="1311"/>
      <c r="I96" s="1305"/>
      <c r="J96" s="1"/>
      <c r="T96">
        <v>103042</v>
      </c>
    </row>
    <row r="97" spans="1:28" ht="12.75" hidden="1" customHeight="1">
      <c r="A97" s="12"/>
      <c r="B97" s="1309"/>
      <c r="C97" s="1310"/>
      <c r="D97" s="1310"/>
      <c r="E97" s="1310"/>
      <c r="F97" s="1310"/>
      <c r="G97" s="1310"/>
      <c r="H97" s="1311"/>
      <c r="I97" s="1305"/>
      <c r="J97" s="1"/>
      <c r="T97">
        <v>103042</v>
      </c>
    </row>
    <row r="98" spans="1:28" ht="12.75" hidden="1" customHeight="1">
      <c r="A98" s="12"/>
      <c r="B98" s="1309"/>
      <c r="C98" s="1310"/>
      <c r="D98" s="1310"/>
      <c r="E98" s="1310"/>
      <c r="F98" s="1310"/>
      <c r="G98" s="1310"/>
      <c r="H98" s="1311"/>
      <c r="I98" s="1305"/>
      <c r="J98" s="1"/>
      <c r="T98">
        <v>103042</v>
      </c>
    </row>
    <row r="99" spans="1:28" ht="12.75" hidden="1" customHeight="1">
      <c r="A99" s="12"/>
      <c r="B99" s="1302" t="str">
        <f>IF(AH136&gt;0,FIXED(AH136,1)&amp;AI136,"")</f>
        <v/>
      </c>
      <c r="C99" s="1303"/>
      <c r="D99" s="1303"/>
      <c r="E99" s="1303"/>
      <c r="F99" s="1303"/>
      <c r="G99" s="1303"/>
      <c r="H99" s="1304"/>
      <c r="I99" s="9"/>
      <c r="J99" s="1"/>
      <c r="T99">
        <v>103042</v>
      </c>
    </row>
    <row r="100" spans="1:28" ht="12.75" hidden="1" customHeight="1">
      <c r="A100" s="14"/>
      <c r="B100" s="15"/>
      <c r="C100" s="15"/>
      <c r="D100" s="15"/>
      <c r="E100" s="15"/>
      <c r="F100" s="15"/>
      <c r="G100" s="15"/>
      <c r="H100" s="15"/>
      <c r="I100" s="11"/>
      <c r="J100" s="1"/>
      <c r="T100">
        <v>103000</v>
      </c>
    </row>
    <row r="101" spans="1:28" ht="12.75" customHeight="1">
      <c r="A101" s="1"/>
      <c r="B101" s="1"/>
      <c r="C101" s="1"/>
      <c r="D101" s="1"/>
      <c r="E101" s="1"/>
      <c r="F101" s="1"/>
      <c r="G101" s="1"/>
      <c r="H101" s="1"/>
      <c r="I101" s="1"/>
      <c r="J101" s="1"/>
      <c r="T101">
        <v>100000</v>
      </c>
    </row>
    <row r="102" spans="1:28" ht="12.75" hidden="1" customHeight="1">
      <c r="K102" t="s">
        <v>4307</v>
      </c>
    </row>
    <row r="103" spans="1:28" ht="12.75" hidden="1" customHeight="1"/>
    <row r="104" spans="1:28" ht="12.75" hidden="1" customHeight="1"/>
    <row r="105" spans="1:28" ht="12.75" hidden="1" customHeight="1"/>
    <row r="106" spans="1:28" ht="12.75" hidden="1" customHeight="1">
      <c r="P106" s="53"/>
    </row>
    <row r="107" spans="1:28" ht="12.75" hidden="1" customHeight="1">
      <c r="P107" s="53"/>
    </row>
    <row r="108" spans="1:28" ht="12.75" hidden="1" customHeight="1">
      <c r="B108" t="s">
        <v>1362</v>
      </c>
      <c r="E108" t="s">
        <v>5970</v>
      </c>
      <c r="P108" s="53"/>
    </row>
    <row r="109" spans="1:28" ht="12.75" hidden="1" customHeight="1">
      <c r="B109" t="str">
        <f>Language!C167</f>
        <v>TIR após impostos - capital</v>
      </c>
      <c r="C109">
        <v>1</v>
      </c>
      <c r="D109" t="str">
        <f>Language!C1306</f>
        <v>%</v>
      </c>
      <c r="E109" t="str">
        <f>Language!C728</f>
        <v xml:space="preserve">Análise de sensibilidade p/ </v>
      </c>
      <c r="F109" s="231">
        <v>0.05</v>
      </c>
      <c r="H109" t="s">
        <v>2837</v>
      </c>
      <c r="I109" s="229">
        <v>0</v>
      </c>
      <c r="J109" t="str">
        <f>B42</f>
        <v>Custos iniciais</v>
      </c>
      <c r="AA109" t="s">
        <v>4223</v>
      </c>
    </row>
    <row r="110" spans="1:28" ht="12.75" hidden="1" customHeight="1">
      <c r="B110" t="str">
        <f>Language!C169</f>
        <v>TIR após impostos - ativos</v>
      </c>
      <c r="C110">
        <v>2</v>
      </c>
      <c r="D110" t="str">
        <f>D109</f>
        <v>%</v>
      </c>
      <c r="E110" t="str">
        <f>Language!C729</f>
        <v xml:space="preserve">Análise de risco para </v>
      </c>
      <c r="F110" s="231">
        <v>0.1</v>
      </c>
      <c r="H110" t="s">
        <v>2897</v>
      </c>
      <c r="I110" s="229">
        <v>0</v>
      </c>
      <c r="J110" t="str">
        <f t="shared" ref="J110:J119" si="9">B43</f>
        <v>O&amp;M</v>
      </c>
      <c r="AA110" t="s">
        <v>3519</v>
      </c>
      <c r="AB110">
        <v>0</v>
      </c>
    </row>
    <row r="111" spans="1:28" ht="12.75" hidden="1" customHeight="1">
      <c r="B111" t="str">
        <f>Language!C170</f>
        <v>Retorno do capital próprio</v>
      </c>
      <c r="C111">
        <v>3</v>
      </c>
      <c r="D111" t="str">
        <f>Language!C1420</f>
        <v>ano</v>
      </c>
      <c r="E111" t="str">
        <f>Language!C736</f>
        <v xml:space="preserve">Impacto - </v>
      </c>
      <c r="F111" s="231">
        <v>0.15</v>
      </c>
      <c r="H111" t="s">
        <v>4538</v>
      </c>
      <c r="I111" s="229">
        <v>0</v>
      </c>
      <c r="J111" t="str">
        <f t="shared" si="9"/>
        <v>Custo combustível - caso proposto</v>
      </c>
      <c r="AA111" t="s">
        <v>5864</v>
      </c>
      <c r="AB111">
        <v>0</v>
      </c>
    </row>
    <row r="112" spans="1:28" ht="12.75" hidden="1" customHeight="1">
      <c r="B112" t="str">
        <f>Language!C171</f>
        <v>Valor Presente Líquido (VPL)</v>
      </c>
      <c r="C112">
        <v>4</v>
      </c>
      <c r="D112" t="str">
        <f>Currency</f>
        <v>€</v>
      </c>
      <c r="E112" t="str">
        <f>Language!C749</f>
        <v xml:space="preserve">Intervalo de confiança = </v>
      </c>
      <c r="F112" s="231">
        <v>0.2</v>
      </c>
      <c r="H112" t="s">
        <v>4539</v>
      </c>
      <c r="I112" s="229">
        <v>0</v>
      </c>
      <c r="J112" t="str">
        <f t="shared" si="9"/>
        <v>Custo combustível - caso de referência</v>
      </c>
    </row>
    <row r="113" spans="2:29" ht="12.75" hidden="1" customHeight="1">
      <c r="B113" t="str">
        <f>lang_yes</f>
        <v>Sim</v>
      </c>
      <c r="F113" s="231">
        <v>0.25</v>
      </c>
      <c r="H113" t="s">
        <v>5778</v>
      </c>
      <c r="I113" s="229">
        <v>0</v>
      </c>
      <c r="J113" t="str">
        <f t="shared" si="9"/>
        <v>Preço eletricidade exportada</v>
      </c>
    </row>
    <row r="114" spans="2:29" ht="12.75" hidden="1" customHeight="1">
      <c r="B114" t="str">
        <f>lang_no</f>
        <v>Não</v>
      </c>
      <c r="H114" t="s">
        <v>1032</v>
      </c>
      <c r="I114" s="229">
        <v>0</v>
      </c>
      <c r="J114" t="str">
        <f t="shared" si="9"/>
        <v>Crédito para redução de GEE</v>
      </c>
    </row>
    <row r="115" spans="2:29" ht="12.75" hidden="1" customHeight="1">
      <c r="B115" t="str">
        <f>Language!C741</f>
        <v>Frequência</v>
      </c>
      <c r="C115">
        <f>ProjLife</f>
        <v>25</v>
      </c>
      <c r="H115" t="s">
        <v>1033</v>
      </c>
      <c r="I115" s="229">
        <v>0</v>
      </c>
      <c r="J115" t="str">
        <f t="shared" si="9"/>
        <v>Redução líq. de GEE-duração do crédito</v>
      </c>
      <c r="K115" s="321"/>
    </row>
    <row r="116" spans="2:29" ht="12.75" hidden="1" customHeight="1">
      <c r="H116" t="s">
        <v>437</v>
      </c>
      <c r="I116" s="229">
        <v>0</v>
      </c>
      <c r="J116" t="str">
        <f t="shared" si="9"/>
        <v>Receita (ou desconto) adicional do consumidor</v>
      </c>
    </row>
    <row r="117" spans="2:29" ht="12.75" hidden="1" customHeight="1">
      <c r="H117" t="s">
        <v>4410</v>
      </c>
      <c r="I117" s="229">
        <v>0</v>
      </c>
      <c r="J117" t="str">
        <f t="shared" si="9"/>
        <v>Outras receitas ( custo)</v>
      </c>
    </row>
    <row r="118" spans="2:29" ht="12.75" hidden="1" customHeight="1">
      <c r="H118" t="s">
        <v>551</v>
      </c>
      <c r="I118" s="229">
        <v>0</v>
      </c>
      <c r="J118" t="str">
        <f t="shared" si="9"/>
        <v>Crédito de produção de EL</v>
      </c>
    </row>
    <row r="119" spans="2:29" ht="12.75" hidden="1" customHeight="1">
      <c r="H119" t="s">
        <v>5395</v>
      </c>
      <c r="I119" s="229">
        <v>0</v>
      </c>
      <c r="J119" t="str">
        <f t="shared" si="9"/>
        <v>Razão da dívida</v>
      </c>
    </row>
    <row r="120" spans="2:29" ht="12.75" hidden="1" customHeight="1">
      <c r="H120" t="s">
        <v>5396</v>
      </c>
      <c r="I120" s="229">
        <v>0</v>
      </c>
      <c r="J120" t="str">
        <f>B53</f>
        <v>Taxa de juros da dívida</v>
      </c>
    </row>
    <row r="121" spans="2:29" ht="12.75" hidden="1" customHeight="1">
      <c r="H121" t="s">
        <v>3922</v>
      </c>
      <c r="I121" s="229">
        <v>0</v>
      </c>
      <c r="J121" t="str">
        <f>B54</f>
        <v>Duração da dívida</v>
      </c>
    </row>
    <row r="122" spans="2:29" ht="12.75" hidden="1" customHeight="1">
      <c r="H122" s="321"/>
      <c r="I122" s="321"/>
      <c r="J122" s="321"/>
      <c r="P122" s="53"/>
    </row>
    <row r="123" spans="2:29" ht="12.75" hidden="1" customHeight="1"/>
    <row r="124" spans="2:29" ht="12.75" hidden="1" customHeight="1">
      <c r="K124" s="321"/>
      <c r="P124" t="s">
        <v>5077</v>
      </c>
    </row>
    <row r="125" spans="2:29" ht="12.75" hidden="1" customHeight="1">
      <c r="K125" s="321"/>
      <c r="P125" t="str">
        <f>AB131</f>
        <v>Duração da dívida</v>
      </c>
      <c r="Q125" t="str">
        <f>AA131</f>
        <v>Taxa de juros da dívida</v>
      </c>
      <c r="R125" t="str">
        <f>Z131</f>
        <v>Razão da dívida</v>
      </c>
      <c r="S125" t="str">
        <f>Y131</f>
        <v>Crédito de produção de EL</v>
      </c>
      <c r="T125" t="str">
        <f>X131</f>
        <v>Outras receitas ( custo)</v>
      </c>
      <c r="U125" t="str">
        <f>W131</f>
        <v>Receita (ou desconto) adicional do consumidor</v>
      </c>
      <c r="V125" t="str">
        <f>V131</f>
        <v>Redução líq. de GEE-duração do crédito</v>
      </c>
      <c r="W125" t="str">
        <f>U131</f>
        <v>Crédito para redução de GEE</v>
      </c>
      <c r="X125" t="str">
        <f>T131</f>
        <v>Preço eletricidade exportada</v>
      </c>
      <c r="Y125" t="str">
        <f>S131</f>
        <v>Custo combustível - caso de referência</v>
      </c>
      <c r="Z125" t="str">
        <f>R131</f>
        <v>Custo combustível - caso proposto</v>
      </c>
      <c r="AA125" t="str">
        <f>Q131</f>
        <v>O&amp;M</v>
      </c>
      <c r="AB125" t="str">
        <f>P131</f>
        <v>Custos iniciais</v>
      </c>
      <c r="AC125" t="s">
        <v>297</v>
      </c>
    </row>
    <row r="126" spans="2:29" ht="12.75" hidden="1" customHeight="1">
      <c r="K126" s="321"/>
      <c r="O126" t="s">
        <v>1815</v>
      </c>
      <c r="P126">
        <f t="array" ref="P126:AC126">LINEST($AD$139:$AD$638,Sens_area,TRUE,FALSE)</f>
        <v>2.1770996351384873E-2</v>
      </c>
      <c r="Q126">
        <v>-1.3802117435759724</v>
      </c>
      <c r="R126">
        <v>3.0302528292220616</v>
      </c>
      <c r="S126">
        <v>46522.860768375183</v>
      </c>
      <c r="T126">
        <v>3416.6307080192523</v>
      </c>
      <c r="U126">
        <v>253443.83773241122</v>
      </c>
      <c r="V126">
        <v>2964806.9868279644</v>
      </c>
      <c r="W126">
        <v>366274411.61780107</v>
      </c>
      <c r="X126">
        <v>-12739.371164191432</v>
      </c>
      <c r="Y126">
        <v>3.5204715486868236E-6</v>
      </c>
      <c r="Z126">
        <v>-3.5713812973243785E-6</v>
      </c>
      <c r="AA126">
        <v>-5.5839407632900628E-6</v>
      </c>
      <c r="AB126">
        <v>-1.4302048287293665E-6</v>
      </c>
      <c r="AC126">
        <v>-1.2842971883530927</v>
      </c>
    </row>
    <row r="127" spans="2:29" ht="12.75" hidden="1" customHeight="1">
      <c r="B127" s="53" t="s">
        <v>4065</v>
      </c>
      <c r="K127" s="321"/>
      <c r="O127" t="s">
        <v>4953</v>
      </c>
      <c r="P127">
        <f t="array" ref="P127:AC127">LINEST($AF$139:$AF$638,Sens_area,TRUE,FALSE)</f>
        <v>-2.0161575458838097E-2</v>
      </c>
      <c r="Q127">
        <v>1.1779641608864106</v>
      </c>
      <c r="R127">
        <v>-2.8166355539513139</v>
      </c>
      <c r="S127">
        <v>38704.155248751813</v>
      </c>
      <c r="T127">
        <v>178.50388809908233</v>
      </c>
      <c r="U127">
        <v>61424.930054571669</v>
      </c>
      <c r="V127">
        <v>-1397520.3241497849</v>
      </c>
      <c r="W127">
        <v>136778725.92930838</v>
      </c>
      <c r="X127">
        <v>4251.1234679100917</v>
      </c>
      <c r="Y127">
        <v>-3.4577380121009106E-6</v>
      </c>
      <c r="Z127">
        <v>3.3921025496358629E-6</v>
      </c>
      <c r="AA127">
        <v>4.9026815270279395E-6</v>
      </c>
      <c r="AB127">
        <v>1.3333971119015376E-6</v>
      </c>
      <c r="AC127">
        <v>3.0995793027524683</v>
      </c>
    </row>
    <row r="128" spans="2:29" ht="12.75" hidden="1" customHeight="1">
      <c r="K128" s="321"/>
      <c r="O128" t="s">
        <v>5405</v>
      </c>
      <c r="P128" s="53">
        <f t="array" ref="P128:AC128">LINEST($AG$139:$AG$638,Sens_area,TRUE,FALSE)</f>
        <v>-2029.0163930741721</v>
      </c>
      <c r="Q128" s="53">
        <v>-2635659.38432698</v>
      </c>
      <c r="R128" s="53">
        <v>273893.85168274213</v>
      </c>
      <c r="S128" s="53">
        <v>-3986955054.5916781</v>
      </c>
      <c r="T128" s="53">
        <v>1604971899.5709724</v>
      </c>
      <c r="U128" s="53">
        <v>33183869265.134174</v>
      </c>
      <c r="V128" s="53">
        <v>3151583805553.4331</v>
      </c>
      <c r="W128" s="53">
        <v>524999283047791.5</v>
      </c>
      <c r="X128" s="53">
        <v>-11458932750.35309</v>
      </c>
      <c r="Y128" s="53">
        <v>8.6221131522395353</v>
      </c>
      <c r="Z128" s="53">
        <v>-8.6506219738096348</v>
      </c>
      <c r="AA128" s="53">
        <v>-9.1313006591987147</v>
      </c>
      <c r="AB128" s="53">
        <v>-0.84037901361999234</v>
      </c>
      <c r="AC128" s="53">
        <v>-10158.59968689087</v>
      </c>
    </row>
    <row r="129" spans="2:35" ht="12.75" hidden="1" customHeight="1">
      <c r="B129" t="s">
        <v>1967</v>
      </c>
      <c r="K129" s="321"/>
      <c r="O129" t="s">
        <v>3670</v>
      </c>
      <c r="P129">
        <f t="array" ref="P129:AC129">LINEST($AE$139:$AE$638,Sens_area,TRUE,FALSE)</f>
        <v>3.8667849795566899E-3</v>
      </c>
      <c r="Q129">
        <v>-0.39936998886243208</v>
      </c>
      <c r="R129">
        <v>-0.11793406129647331</v>
      </c>
      <c r="S129">
        <v>623.42991672123389</v>
      </c>
      <c r="T129">
        <v>112.56396294600043</v>
      </c>
      <c r="U129">
        <v>11550.005322567926</v>
      </c>
      <c r="V129">
        <v>396877.69756598893</v>
      </c>
      <c r="W129">
        <v>26613342.627088025</v>
      </c>
      <c r="X129">
        <v>-6030.6837697876099</v>
      </c>
      <c r="Y129">
        <v>1.0259219464515501E-6</v>
      </c>
      <c r="Z129">
        <v>-1.0265255318728207E-6</v>
      </c>
      <c r="AA129">
        <v>-9.5759140780795763E-7</v>
      </c>
      <c r="AB129">
        <v>-4.092472565531872E-7</v>
      </c>
      <c r="AC129">
        <v>0.41033922177531856</v>
      </c>
    </row>
    <row r="130" spans="2:35" ht="12.75" hidden="1" customHeight="1">
      <c r="B130" t="s">
        <v>1589</v>
      </c>
      <c r="K130" s="321"/>
    </row>
    <row r="131" spans="2:35" ht="12.75" hidden="1" customHeight="1">
      <c r="B131" t="str">
        <f>B42</f>
        <v>Custos iniciais</v>
      </c>
      <c r="C131" t="str">
        <f>B43</f>
        <v>O&amp;M</v>
      </c>
      <c r="D131" t="str">
        <f>B44</f>
        <v>Custo combustível - caso proposto</v>
      </c>
      <c r="E131" t="str">
        <f>B45</f>
        <v>Custo combustível - caso de referência</v>
      </c>
      <c r="F131" t="str">
        <f>B46</f>
        <v>Preço eletricidade exportada</v>
      </c>
      <c r="G131" t="str">
        <f>B47</f>
        <v>Crédito para redução de GEE</v>
      </c>
      <c r="H131" t="str">
        <f>B48</f>
        <v>Redução líq. de GEE-duração do crédito</v>
      </c>
      <c r="I131" t="str">
        <f>B49</f>
        <v>Receita (ou desconto) adicional do consumidor</v>
      </c>
      <c r="J131" t="str">
        <f>B50</f>
        <v>Outras receitas ( custo)</v>
      </c>
      <c r="K131" t="str">
        <f>B51</f>
        <v>Crédito de produção de EL</v>
      </c>
      <c r="L131" t="str">
        <f>B52</f>
        <v>Razão da dívida</v>
      </c>
      <c r="M131" t="str">
        <f>B53</f>
        <v>Taxa de juros da dívida</v>
      </c>
      <c r="N131" t="str">
        <f>B54</f>
        <v>Duração da dívida</v>
      </c>
      <c r="P131" t="str">
        <f t="shared" ref="P131:AB131" si="10">B131</f>
        <v>Custos iniciais</v>
      </c>
      <c r="Q131" t="str">
        <f t="shared" si="10"/>
        <v>O&amp;M</v>
      </c>
      <c r="R131" t="str">
        <f t="shared" si="10"/>
        <v>Custo combustível - caso proposto</v>
      </c>
      <c r="S131" t="str">
        <f t="shared" si="10"/>
        <v>Custo combustível - caso de referência</v>
      </c>
      <c r="T131" t="str">
        <f t="shared" si="10"/>
        <v>Preço eletricidade exportada</v>
      </c>
      <c r="U131" t="str">
        <f t="shared" si="10"/>
        <v>Crédito para redução de GEE</v>
      </c>
      <c r="V131" t="str">
        <f t="shared" si="10"/>
        <v>Redução líq. de GEE-duração do crédito</v>
      </c>
      <c r="W131" t="str">
        <f t="shared" si="10"/>
        <v>Receita (ou desconto) adicional do consumidor</v>
      </c>
      <c r="X131" t="str">
        <f t="shared" si="10"/>
        <v>Outras receitas ( custo)</v>
      </c>
      <c r="Y131" t="str">
        <f t="shared" si="10"/>
        <v>Crédito de produção de EL</v>
      </c>
      <c r="Z131" t="str">
        <f t="shared" si="10"/>
        <v>Razão da dívida</v>
      </c>
      <c r="AA131" t="str">
        <f t="shared" si="10"/>
        <v>Taxa de juros da dívida</v>
      </c>
      <c r="AB131" t="str">
        <f t="shared" si="10"/>
        <v>Duração da dívida</v>
      </c>
      <c r="AD131" t="s">
        <v>1815</v>
      </c>
      <c r="AE131" t="s">
        <v>3670</v>
      </c>
      <c r="AF131" t="s">
        <v>4953</v>
      </c>
      <c r="AG131" t="s">
        <v>5405</v>
      </c>
      <c r="AH131" t="s">
        <v>2103</v>
      </c>
    </row>
    <row r="132" spans="2:35" ht="12.75" hidden="1" customHeight="1">
      <c r="K132" s="321"/>
      <c r="Y132" s="321"/>
      <c r="AD132">
        <v>1</v>
      </c>
      <c r="AE132">
        <v>2</v>
      </c>
      <c r="AF132">
        <v>3</v>
      </c>
      <c r="AG132">
        <v>4</v>
      </c>
      <c r="AH132">
        <v>1</v>
      </c>
      <c r="AI132" t="str">
        <f>Language!C746</f>
        <v>% de casos c/ TIR após impostos - capital não definido</v>
      </c>
    </row>
    <row r="133" spans="2:35" ht="12.75" hidden="1" customHeight="1">
      <c r="K133" s="321"/>
      <c r="O133" t="s">
        <v>2767</v>
      </c>
      <c r="P133">
        <f t="shared" ref="P133:Y133" si="11">IF(MAX(P139:P638)=MIN(P139:P638),0,STDEV(P139:P638))</f>
        <v>32947.803262215624</v>
      </c>
      <c r="Q133">
        <f t="shared" si="11"/>
        <v>421.83109221998569</v>
      </c>
      <c r="R133">
        <f t="shared" si="11"/>
        <v>12027.274278822659</v>
      </c>
      <c r="S133">
        <f t="shared" si="11"/>
        <v>23433.638428912149</v>
      </c>
      <c r="T133">
        <f t="shared" si="11"/>
        <v>2.2813906024846787E-8</v>
      </c>
      <c r="U133">
        <f t="shared" si="11"/>
        <v>1.0169213193623389E-12</v>
      </c>
      <c r="V133">
        <f t="shared" si="11"/>
        <v>7.920107148086886E-11</v>
      </c>
      <c r="W133">
        <f t="shared" si="11"/>
        <v>4.3911120102477358E-9</v>
      </c>
      <c r="X133">
        <f t="shared" si="11"/>
        <v>1.6911088461202518E-7</v>
      </c>
      <c r="Y133">
        <f t="shared" si="11"/>
        <v>4.1611234134009615E-8</v>
      </c>
      <c r="Z133">
        <f>IF(MAX(Z139:Z638)=MIN(Z139:Z638),0,STDEV(Z139:Z638))</f>
        <v>2.3882229349756624E-2</v>
      </c>
      <c r="AA133">
        <f>IF(MAX(AA139:AA638)=MIN(AA139:AA638),0,STDEV(AA139:AA638))</f>
        <v>2.3292524269890574E-3</v>
      </c>
      <c r="AB133">
        <f>IF(MAX(AB139:AB638)=MIN(AB139:AB638),0,STDEV(AB139:AB638))</f>
        <v>0.33439758343364023</v>
      </c>
      <c r="AC133" t="s">
        <v>2139</v>
      </c>
      <c r="AD133">
        <f>STDEV(AD139:AD638)</f>
        <v>0.12780884040041599</v>
      </c>
      <c r="AE133">
        <f>STDEV(AE139:AE638)</f>
        <v>2.9745878014217599E-2</v>
      </c>
      <c r="AF133">
        <f>STDEV(AF139:AF638)</f>
        <v>0.12209888391036919</v>
      </c>
      <c r="AG133">
        <f>STDEV(AG139:AG638)</f>
        <v>227980.48931570988</v>
      </c>
      <c r="AH133">
        <v>2</v>
      </c>
      <c r="AI133" t="str">
        <f>Language!C747</f>
        <v>% de casos c/ TIR após impostos - ativos não definidos</v>
      </c>
    </row>
    <row r="134" spans="2:35" ht="12.75" hidden="1" customHeight="1">
      <c r="K134" s="321"/>
      <c r="L134" s="247"/>
      <c r="Y134" s="321"/>
      <c r="AC134" t="s">
        <v>2404</v>
      </c>
      <c r="AD134">
        <f>MIN(AD139:AD638)-0.000001</f>
        <v>0.74459510445232691</v>
      </c>
      <c r="AE134">
        <f>MIN(AE139:AE638)-0.000001</f>
        <v>0.25995974736196065</v>
      </c>
      <c r="AF134">
        <f>IF(MIN(AF139:AF638)&lt;ProjLife,MIN(AF139:AF638)-0.000001,ProjLife)*0</f>
        <v>0</v>
      </c>
      <c r="AG134">
        <f>MIN(AG139:AG638)-0.000001</f>
        <v>1889732.7305447648</v>
      </c>
      <c r="AH134">
        <v>3</v>
      </c>
      <c r="AI134" t="str">
        <f>Language!C748</f>
        <v>% de casos c/ retorno de capital maior ou igual à vida do projeto</v>
      </c>
    </row>
    <row r="135" spans="2:35" ht="12.75" hidden="1" customHeight="1">
      <c r="K135" s="321"/>
      <c r="Y135" s="321"/>
      <c r="AC135" t="s">
        <v>1829</v>
      </c>
      <c r="AD135">
        <f>MAX(AD139:AD638)</f>
        <v>1.5621612803884974</v>
      </c>
      <c r="AE135">
        <f>MAX(AE139:AE638)</f>
        <v>0.41785029602723722</v>
      </c>
      <c r="AF135">
        <f>MAX(AF139:AF638)</f>
        <v>1.3869632661931919</v>
      </c>
      <c r="AG135">
        <f>MAX(AG139:AG638)</f>
        <v>3100898.1643854836</v>
      </c>
      <c r="AH135">
        <v>4</v>
      </c>
    </row>
    <row r="136" spans="2:35" ht="12.75" hidden="1" customHeight="1">
      <c r="K136" s="321"/>
      <c r="O136" t="s">
        <v>5071</v>
      </c>
      <c r="P136">
        <f ca="1">IF(OR($E$42=0,$F$42=0),0.00003,$E$42)*(1+B136)</f>
        <v>3.0000000000000001E-5</v>
      </c>
      <c r="Q136">
        <f>IF(OR($E$43=0,$F$43=0),0.00003,$E$43)*(1+C136)</f>
        <v>3.0000000000000001E-5</v>
      </c>
      <c r="R136">
        <f>IF(OR($E$44=0,$F$44=0),0.00071,$E$44)*(1+D136)</f>
        <v>7.1000000000000002E-4</v>
      </c>
      <c r="S136">
        <f>IF(OR($E$45=0,$F$45=0),0.000131,$E$45)*(1+E136)</f>
        <v>1.3100000000000001E-4</v>
      </c>
      <c r="T136">
        <f>IF(OR($E$46=0,$F$46=0),0.0000007,$E$46)*(1+F136)</f>
        <v>6.9999999999999997E-7</v>
      </c>
      <c r="U136">
        <f>IF(OR($E$47=0,$F$47=0),0.000000000031,$E$47)*(1+G136)</f>
        <v>3.1000000000000003E-11</v>
      </c>
      <c r="V136">
        <f>IF(OR($E$48=0,$F$48=0),0.0000000023,$E$48)*(1+H136)</f>
        <v>2.2999999999999999E-9</v>
      </c>
      <c r="W136">
        <f>IF(OR($E$49=0,$F$49=0),0.00000013,$E$49)*(1+I136)</f>
        <v>1.3E-7</v>
      </c>
      <c r="X136">
        <f>IF(OR($E$50=0,$F$50=0),0.000005,$E$50)*(1+J136)</f>
        <v>5.0000000000000004E-6</v>
      </c>
      <c r="Y136">
        <f>IF(OR($E$51=0,$F$51=0),0.000001235,$E$51)*(1+K136)</f>
        <v>1.235E-6</v>
      </c>
      <c r="Z136">
        <f>IF(OR($E$52=0,$F$52=0),0.00000001,$E$52)*(1+L136)</f>
        <v>1E-8</v>
      </c>
      <c r="AA136">
        <f>IF(OR($E$53=0,$F$53=0),0.000007,$E$53)*(1+M136)</f>
        <v>6.9999999999999999E-6</v>
      </c>
      <c r="AB136">
        <f>IF(OR($E$54=0,$F$54=0),0.0003,$E$54)*(1+N136)</f>
        <v>2.9999999999999997E-4</v>
      </c>
      <c r="AC136" t="s">
        <v>478</v>
      </c>
      <c r="AD136">
        <f>(AD135-AD134)/20</f>
        <v>4.0878308796808524E-2</v>
      </c>
      <c r="AE136">
        <f>(AE135-AE134)/20</f>
        <v>7.8945274332638295E-3</v>
      </c>
      <c r="AF136">
        <f>IF(MIN(AF139:AF638)&lt;ProjLife,(AF135-AF134)/20,0)</f>
        <v>6.9348163309659594E-2</v>
      </c>
      <c r="AG136">
        <f>(AG135-AG134)/20</f>
        <v>60558.271692035938</v>
      </c>
      <c r="AH136">
        <f>HLOOKUP(RiskParam,AD132:AG137,6,FALSE)</f>
        <v>0</v>
      </c>
      <c r="AI136" t="str">
        <f>VLOOKUP(RiskParam,AH132:AI135,2,FALSE)</f>
        <v>% de casos c/ TIR após impostos - capital não definido</v>
      </c>
    </row>
    <row r="137" spans="2:35" ht="12.75" hidden="1" customHeight="1">
      <c r="B137" s="247"/>
      <c r="C137" s="247"/>
      <c r="D137" s="247"/>
      <c r="E137" s="247"/>
      <c r="F137" s="247"/>
      <c r="G137" s="247"/>
      <c r="H137" s="247"/>
      <c r="I137" s="247"/>
      <c r="J137" s="247"/>
      <c r="K137" s="321"/>
      <c r="L137" s="247"/>
      <c r="M137" s="247"/>
      <c r="N137" s="247"/>
      <c r="Y137" s="321"/>
      <c r="AD137">
        <f>(500-COUNT(AD139:AD638))/5</f>
        <v>0</v>
      </c>
      <c r="AE137">
        <f>(500-COUNT(AE139:AE638))/5</f>
        <v>0</v>
      </c>
      <c r="AF137">
        <f>(500-COUNT(AF139:AF638))/5</f>
        <v>0</v>
      </c>
      <c r="AG137">
        <f>(500-COUNT(AG139:AG638))/5</f>
        <v>0</v>
      </c>
    </row>
    <row r="138" spans="2:35" ht="12.75" hidden="1" customHeight="1">
      <c r="B138">
        <v>0</v>
      </c>
      <c r="C138">
        <v>0</v>
      </c>
      <c r="D138">
        <v>0</v>
      </c>
      <c r="E138">
        <v>0</v>
      </c>
      <c r="F138">
        <v>0</v>
      </c>
      <c r="G138">
        <v>0</v>
      </c>
      <c r="H138">
        <v>0</v>
      </c>
      <c r="I138">
        <v>0</v>
      </c>
      <c r="J138">
        <v>0</v>
      </c>
      <c r="K138" s="321">
        <v>0</v>
      </c>
      <c r="L138">
        <v>0</v>
      </c>
      <c r="M138">
        <v>0</v>
      </c>
      <c r="N138">
        <v>0</v>
      </c>
      <c r="Y138" s="321"/>
      <c r="AC138" t="s">
        <v>5027</v>
      </c>
      <c r="AD138">
        <v>1.0449679051342942</v>
      </c>
      <c r="AE138">
        <v>0.33481185355861209</v>
      </c>
      <c r="AF138">
        <v>0.98197487552948526</v>
      </c>
      <c r="AG138">
        <v>2467410.5858605835</v>
      </c>
    </row>
    <row r="139" spans="2:35" ht="12.75" hidden="1" customHeight="1">
      <c r="B139">
        <f>-0.315103046244775*$F$42</f>
        <v>0</v>
      </c>
      <c r="C139">
        <f>0.268409342476952*$F$43</f>
        <v>0</v>
      </c>
      <c r="D139">
        <f>0.212171327383032*$F$44</f>
        <v>0</v>
      </c>
      <c r="E139">
        <f>-0.192420045947999*$F$45</f>
        <v>0</v>
      </c>
      <c r="F139">
        <f>0.0334954615166131*$F$46</f>
        <v>0</v>
      </c>
      <c r="G139">
        <f>-0.13506090404595*$F$47</f>
        <v>0</v>
      </c>
      <c r="H139">
        <f>0.507870734634136*$F$48</f>
        <v>0</v>
      </c>
      <c r="I139">
        <f>-0.451777527868073*$F$49</f>
        <v>0</v>
      </c>
      <c r="J139">
        <f>-0.212449635605924*$F$50</f>
        <v>0</v>
      </c>
      <c r="K139">
        <f>0.0112474190867571*$F$51</f>
        <v>0</v>
      </c>
      <c r="L139">
        <f>0.465841711499467*$F$52</f>
        <v>0</v>
      </c>
      <c r="M139">
        <f>0.189387285356453*$F$53</f>
        <v>0</v>
      </c>
      <c r="N139">
        <f>0.610890329179144*$F$54</f>
        <v>0</v>
      </c>
      <c r="P139">
        <v>931843.20749014721</v>
      </c>
      <c r="Q139">
        <v>-13143.563958370498</v>
      </c>
      <c r="R139">
        <v>361954.54273043375</v>
      </c>
      <c r="S139">
        <v>709902.45653177227</v>
      </c>
      <c r="T139">
        <v>7.0234468230616283E-7</v>
      </c>
      <c r="U139">
        <v>3.0581311197457557E-11</v>
      </c>
      <c r="V139">
        <v>2.4168102689658516E-9</v>
      </c>
      <c r="W139">
        <v>1.2412689213771505E-7</v>
      </c>
      <c r="X139">
        <v>4.8937751821970389E-6</v>
      </c>
      <c r="Y139">
        <v>1.2363890562572145E-6</v>
      </c>
      <c r="Z139">
        <v>0.73260891980496257</v>
      </c>
      <c r="AA139">
        <v>7.132571099749517E-2</v>
      </c>
      <c r="AB139">
        <v>10.610890329179144</v>
      </c>
      <c r="AD139">
        <v>1.1282304258320475</v>
      </c>
      <c r="AE139">
        <v>0.32427270372652234</v>
      </c>
      <c r="AF139">
        <v>0.90797084941324824</v>
      </c>
      <c r="AG139">
        <v>2336093.6673558489</v>
      </c>
    </row>
    <row r="140" spans="2:35" ht="12.75" hidden="1" customHeight="1">
      <c r="B140">
        <f>-0.719839766499018*$F$42</f>
        <v>0</v>
      </c>
      <c r="C140">
        <f>0.568353698553724*$F$43</f>
        <v>0</v>
      </c>
      <c r="D140">
        <f>-0.0853150646314431*$F$44</f>
        <v>0</v>
      </c>
      <c r="E140">
        <f>-0.0111143415465819*$F$45</f>
        <v>0</v>
      </c>
      <c r="F140">
        <f>-0.231759438974603*$F$46</f>
        <v>0</v>
      </c>
      <c r="G140">
        <f>0.240555663043686*$F$47</f>
        <v>0</v>
      </c>
      <c r="H140">
        <f>-0.606928529078338*$F$48</f>
        <v>0</v>
      </c>
      <c r="I140">
        <f>-0.390277238934616*$F$49</f>
        <v>0</v>
      </c>
      <c r="J140">
        <f>0.666759525536363*$F$50</f>
        <v>0</v>
      </c>
      <c r="K140">
        <f>0.288434790953326*$F$51</f>
        <v>0</v>
      </c>
      <c r="L140">
        <f>0.732002877171605*$F$52</f>
        <v>0</v>
      </c>
      <c r="M140">
        <f>0.446985299441073*$F$53</f>
        <v>0</v>
      </c>
      <c r="N140">
        <f>0.510804189068703*$F$54</f>
        <v>0</v>
      </c>
      <c r="P140">
        <v>892901.01064575848</v>
      </c>
      <c r="Q140">
        <v>-13527.492734148766</v>
      </c>
      <c r="R140">
        <v>351410.59986674512</v>
      </c>
      <c r="S140">
        <v>723025.91466729459</v>
      </c>
      <c r="T140">
        <v>6.8377683927177779E-7</v>
      </c>
      <c r="U140">
        <v>3.1745722555435431E-11</v>
      </c>
      <c r="V140">
        <v>2.1604064383119823E-9</v>
      </c>
      <c r="W140">
        <v>1.2492639589384999E-7</v>
      </c>
      <c r="X140">
        <v>5.3333797627681815E-6</v>
      </c>
      <c r="Y140">
        <v>1.270621696682736E-6</v>
      </c>
      <c r="Z140">
        <v>0.75124020140201231</v>
      </c>
      <c r="AA140">
        <v>7.3128897096087525E-2</v>
      </c>
      <c r="AB140">
        <v>10.510804189068704</v>
      </c>
      <c r="AD140">
        <v>1.3731989028429279</v>
      </c>
      <c r="AE140">
        <v>0.36397077123078087</v>
      </c>
      <c r="AF140">
        <v>0.74239903733543078</v>
      </c>
      <c r="AG140">
        <v>2572006.9675427866</v>
      </c>
    </row>
    <row r="141" spans="2:35" ht="12.75" hidden="1" customHeight="1">
      <c r="B141">
        <f>-0.302109929706105*$F$42</f>
        <v>0</v>
      </c>
      <c r="C141">
        <f>0.0976616963242718*$F$43</f>
        <v>0</v>
      </c>
      <c r="D141">
        <f>-0.101879420816994*$F$44</f>
        <v>0</v>
      </c>
      <c r="E141">
        <f>-0.249222769248778*$F$45</f>
        <v>0</v>
      </c>
      <c r="F141">
        <f>-0.123251749883723*$F$46</f>
        <v>0</v>
      </c>
      <c r="G141">
        <f>0.0538466276569857*$F$47</f>
        <v>0</v>
      </c>
      <c r="H141">
        <f>-0.160598752447115*$F$48</f>
        <v>0</v>
      </c>
      <c r="I141">
        <f>0.30953066644714*$F$49</f>
        <v>0</v>
      </c>
      <c r="J141">
        <f>0.171599760384373*$F$50</f>
        <v>0</v>
      </c>
      <c r="K141">
        <f>0.300530377232847*$F$51</f>
        <v>0</v>
      </c>
      <c r="L141">
        <f>-0.0492222959810169*$F$52</f>
        <v>0</v>
      </c>
      <c r="M141">
        <f>-0.549193658390147*$F$53</f>
        <v>0</v>
      </c>
      <c r="N141">
        <f>-0.0801874897353519*$F$54</f>
        <v>0</v>
      </c>
      <c r="P141">
        <v>933093.35475020576</v>
      </c>
      <c r="Q141">
        <v>-12925.006971295068</v>
      </c>
      <c r="R141">
        <v>350823.50200317043</v>
      </c>
      <c r="S141">
        <v>705790.90271341591</v>
      </c>
      <c r="T141">
        <v>6.9137237750813943E-7</v>
      </c>
      <c r="U141">
        <v>3.1166924545736657E-11</v>
      </c>
      <c r="V141">
        <v>2.2630622869371635E-9</v>
      </c>
      <c r="W141">
        <v>1.3402389866381282E-7</v>
      </c>
      <c r="X141">
        <v>5.0857998801921868E-6</v>
      </c>
      <c r="Y141">
        <v>1.2721155015882566E-6</v>
      </c>
      <c r="Z141">
        <v>0.69655443928132876</v>
      </c>
      <c r="AA141">
        <v>6.6155644391268975E-2</v>
      </c>
      <c r="AB141">
        <v>9.9198125102646486</v>
      </c>
      <c r="AD141">
        <v>1.0292243466592657</v>
      </c>
      <c r="AE141">
        <v>0.33501741509507132</v>
      </c>
      <c r="AF141">
        <v>0.99759726139346028</v>
      </c>
      <c r="AG141">
        <v>2404174.7860603714</v>
      </c>
    </row>
    <row r="142" spans="2:35" ht="12.75" hidden="1" customHeight="1">
      <c r="B142">
        <f>-0.409777384152573*$F$42</f>
        <v>0</v>
      </c>
      <c r="C142">
        <f>0.380829914638728*$F$43</f>
        <v>0</v>
      </c>
      <c r="D142">
        <f>-0.524430438017358*$F$44</f>
        <v>0</v>
      </c>
      <c r="E142">
        <f>-0.498840566602564*$F$45</f>
        <v>0</v>
      </c>
      <c r="F142">
        <f>-0.431691284468008*$F$46</f>
        <v>0</v>
      </c>
      <c r="G142">
        <f>-0.428917982884877*$F$47</f>
        <v>0</v>
      </c>
      <c r="H142">
        <f>-0.00378681059654395*$F$48</f>
        <v>0</v>
      </c>
      <c r="I142">
        <f>0.118605964966309*$F$49</f>
        <v>0</v>
      </c>
      <c r="J142">
        <f>-0.0666912258915365*$F$50</f>
        <v>0</v>
      </c>
      <c r="K142">
        <f>0.304835104528535*$F$51</f>
        <v>0</v>
      </c>
      <c r="L142">
        <f>-0.290488847117997*$F$52</f>
        <v>0</v>
      </c>
      <c r="M142">
        <f>0.157498935953618*$F$53</f>
        <v>0</v>
      </c>
      <c r="N142">
        <f>-0.096490500154962*$F$54</f>
        <v>0</v>
      </c>
      <c r="P142">
        <v>922734.0100330899</v>
      </c>
      <c r="Q142">
        <v>-13287.462290737571</v>
      </c>
      <c r="R142">
        <v>335846.83785331121</v>
      </c>
      <c r="S142">
        <v>687722.80759049102</v>
      </c>
      <c r="T142">
        <v>6.6978161008723944E-7</v>
      </c>
      <c r="U142">
        <v>2.9670354253056887E-11</v>
      </c>
      <c r="V142">
        <v>2.2991290335627948E-9</v>
      </c>
      <c r="W142">
        <v>1.3154187754456201E-7</v>
      </c>
      <c r="X142">
        <v>4.9666543870542322E-6</v>
      </c>
      <c r="Y142">
        <v>1.2726471354092741E-6</v>
      </c>
      <c r="Z142">
        <v>0.67966578070174022</v>
      </c>
      <c r="AA142">
        <v>7.1102492551675334E-2</v>
      </c>
      <c r="AB142">
        <v>9.9035094998450379</v>
      </c>
      <c r="AD142">
        <v>0.98128441127986954</v>
      </c>
      <c r="AE142">
        <v>0.33650843589140572</v>
      </c>
      <c r="AF142">
        <v>1.0465284820024108</v>
      </c>
      <c r="AG142">
        <v>2373883.0972983362</v>
      </c>
    </row>
    <row r="143" spans="2:35" ht="12.75" hidden="1" customHeight="1">
      <c r="B143">
        <f>-0.364842896358349*$F$42</f>
        <v>0</v>
      </c>
      <c r="C143">
        <f>-0.310245255543199*$F$43</f>
        <v>0</v>
      </c>
      <c r="D143">
        <f>0.19575766947326*$F$44</f>
        <v>0</v>
      </c>
      <c r="E143">
        <f>-0.301879701350112*$F$45</f>
        <v>0</v>
      </c>
      <c r="F143">
        <f>0.268997415837173*$F$46</f>
        <v>0</v>
      </c>
      <c r="G143">
        <f>-0.295658104472045*$F$47</f>
        <v>0</v>
      </c>
      <c r="H143">
        <f>1.02019279014886*$F$48</f>
        <v>0</v>
      </c>
      <c r="I143">
        <f>0.145089668553306*$F$49</f>
        <v>0</v>
      </c>
      <c r="J143">
        <f>-0.028364171680215*$F$50</f>
        <v>0</v>
      </c>
      <c r="K143">
        <f>0.318366212947716*$F$51</f>
        <v>0</v>
      </c>
      <c r="L143">
        <f>0.337262368294925*$F$52</f>
        <v>0</v>
      </c>
      <c r="M143">
        <f>0.312613816155678*$F$53</f>
        <v>0</v>
      </c>
      <c r="N143">
        <f>0.14079901243265*$F$54</f>
        <v>0</v>
      </c>
      <c r="P143">
        <v>927057.43210283748</v>
      </c>
      <c r="Q143">
        <v>-12402.886072904705</v>
      </c>
      <c r="R143">
        <v>361372.78613305517</v>
      </c>
      <c r="S143">
        <v>701979.43386714673</v>
      </c>
      <c r="T143">
        <v>7.1882981910860208E-7</v>
      </c>
      <c r="U143">
        <v>3.0083459876136665E-11</v>
      </c>
      <c r="V143">
        <v>2.5346443417342377E-9</v>
      </c>
      <c r="W143">
        <v>1.3188616569119298E-7</v>
      </c>
      <c r="X143">
        <v>4.9858179141598929E-6</v>
      </c>
      <c r="Y143">
        <v>1.274318227299043E-6</v>
      </c>
      <c r="Z143">
        <v>0.7236083657806448</v>
      </c>
      <c r="AA143">
        <v>7.2188296713089753E-2</v>
      </c>
      <c r="AB143">
        <v>10.140799012432652</v>
      </c>
      <c r="AD143">
        <v>1.0596409302445122</v>
      </c>
      <c r="AE143">
        <v>0.31568176248916524</v>
      </c>
      <c r="AF143">
        <v>0.96867579616537225</v>
      </c>
      <c r="AG143">
        <v>2249906.889483369</v>
      </c>
    </row>
    <row r="144" spans="2:35" ht="12.75" hidden="1" customHeight="1">
      <c r="B144">
        <f>0.0746392520578049*$F$42</f>
        <v>0</v>
      </c>
      <c r="C144">
        <f>-0.103443830453607*$F$43</f>
        <v>0</v>
      </c>
      <c r="D144">
        <f>-0.128410493953124*$F$44</f>
        <v>0</v>
      </c>
      <c r="E144">
        <f>-0.60428020883967*$F$45</f>
        <v>0</v>
      </c>
      <c r="F144">
        <f>0.393080606282554*$F$46</f>
        <v>0</v>
      </c>
      <c r="G144">
        <f>0.132747434213667*$F$47</f>
        <v>0</v>
      </c>
      <c r="H144">
        <f>0.10719253965268*$F$48</f>
        <v>0</v>
      </c>
      <c r="I144">
        <f>-0.321751685761823*$F$49</f>
        <v>0</v>
      </c>
      <c r="J144">
        <f>0.25589932732936*$F$50</f>
        <v>0</v>
      </c>
      <c r="K144">
        <f>0.391575198460919*$F$51</f>
        <v>0</v>
      </c>
      <c r="L144">
        <f>-0.342694493105588*$F$52</f>
        <v>0</v>
      </c>
      <c r="M144">
        <f>-0.299170494694852*$F$53</f>
        <v>0</v>
      </c>
      <c r="N144">
        <f>0.39239519421543*$F$54</f>
        <v>0</v>
      </c>
      <c r="P144">
        <v>969342.69923270389</v>
      </c>
      <c r="Q144">
        <v>-12667.591897019383</v>
      </c>
      <c r="R144">
        <v>349883.1493458089</v>
      </c>
      <c r="S144">
        <v>680090.76570139814</v>
      </c>
      <c r="T144">
        <v>7.2751564243977878E-7</v>
      </c>
      <c r="U144">
        <v>3.1411517046062368E-11</v>
      </c>
      <c r="V144">
        <v>2.3246542841201166E-9</v>
      </c>
      <c r="W144">
        <v>1.2581722808509629E-7</v>
      </c>
      <c r="X144">
        <v>5.1279496636646811E-6</v>
      </c>
      <c r="Y144">
        <v>1.2833595370099236E-6</v>
      </c>
      <c r="Z144">
        <v>0.67601138548260886</v>
      </c>
      <c r="AA144">
        <v>6.7905806537136043E-2</v>
      </c>
      <c r="AB144">
        <v>10.392395194215428</v>
      </c>
      <c r="AD144">
        <v>0.85451594776540452</v>
      </c>
      <c r="AE144">
        <v>0.29771607778738085</v>
      </c>
      <c r="AF144">
        <v>1.2033643512349592</v>
      </c>
      <c r="AG144">
        <v>2136388.7646909659</v>
      </c>
    </row>
    <row r="145" spans="2:33" ht="12.75" hidden="1" customHeight="1">
      <c r="B145">
        <f>0.339722954313379*$F$42</f>
        <v>0</v>
      </c>
      <c r="C145">
        <f>-0.129471667692112*$F$43</f>
        <v>0</v>
      </c>
      <c r="D145">
        <f>-0.978328254699638*$F$44</f>
        <v>0</v>
      </c>
      <c r="E145">
        <f>0.234873381101482*$F$45</f>
        <v>0</v>
      </c>
      <c r="F145">
        <f>0.0543949084646659*$F$46</f>
        <v>0</v>
      </c>
      <c r="G145">
        <f>0.161351628711918*$F$47</f>
        <v>0</v>
      </c>
      <c r="H145">
        <f>-0.434802010669817*$F$48</f>
        <v>0</v>
      </c>
      <c r="I145">
        <f>-0.177652652219098*$F$49</f>
        <v>0</v>
      </c>
      <c r="J145">
        <f>-0.638476165875466*$F$50</f>
        <v>0</v>
      </c>
      <c r="K145">
        <f>0.247124055296822*$F$51</f>
        <v>0</v>
      </c>
      <c r="L145">
        <f>-0.181146987745396*$F$52</f>
        <v>0</v>
      </c>
      <c r="M145">
        <f>0.0621118644597505*$F$53</f>
        <v>0</v>
      </c>
      <c r="N145">
        <f>0.210786545994729*$F$54</f>
        <v>0</v>
      </c>
      <c r="P145">
        <v>994848.02453897055</v>
      </c>
      <c r="Q145">
        <v>-12634.276265354098</v>
      </c>
      <c r="R145">
        <v>319759.13510952285</v>
      </c>
      <c r="S145">
        <v>740831.25394595822</v>
      </c>
      <c r="T145">
        <v>7.0380764359252657E-7</v>
      </c>
      <c r="U145">
        <v>3.150019004900695E-11</v>
      </c>
      <c r="V145">
        <v>2.1999955375459419E-9</v>
      </c>
      <c r="W145">
        <v>1.2769051552115173E-7</v>
      </c>
      <c r="X145">
        <v>4.6807619170622679E-6</v>
      </c>
      <c r="Y145">
        <v>1.2655198208291575E-6</v>
      </c>
      <c r="Z145">
        <v>0.68731971085782217</v>
      </c>
      <c r="AA145">
        <v>7.0434783051218267E-2</v>
      </c>
      <c r="AB145">
        <v>10.210786545994729</v>
      </c>
      <c r="AD145">
        <v>1.1386262812026335</v>
      </c>
      <c r="AE145">
        <v>0.37581715699506679</v>
      </c>
      <c r="AF145">
        <v>0.89843541790910708</v>
      </c>
      <c r="AG145">
        <v>2888031.7591866003</v>
      </c>
    </row>
    <row r="146" spans="2:33" ht="12.75" hidden="1" customHeight="1">
      <c r="B146">
        <f>0.234228535503867*$F$42</f>
        <v>0</v>
      </c>
      <c r="C146">
        <f>-0.410803282585055*$F$43</f>
        <v>0</v>
      </c>
      <c r="D146">
        <f>0.358182660485218*$F$44</f>
        <v>0</v>
      </c>
      <c r="E146">
        <f>-0.286444622945852*$F$45</f>
        <v>0</v>
      </c>
      <c r="F146">
        <f>-0.14205572020661*$F$46</f>
        <v>0</v>
      </c>
      <c r="G146">
        <f>-0.178378557501778*$F$47</f>
        <v>0</v>
      </c>
      <c r="H146">
        <f>-0.248184251057754*$F$48</f>
        <v>0</v>
      </c>
      <c r="I146">
        <f>0.265727733595383*$F$49</f>
        <v>0</v>
      </c>
      <c r="J146">
        <f>-0.211441196903344*$F$50</f>
        <v>0</v>
      </c>
      <c r="K146">
        <f>0.16492968914286*$F$51</f>
        <v>0</v>
      </c>
      <c r="L146">
        <f>-0.25327072648978*$F$52</f>
        <v>0</v>
      </c>
      <c r="M146">
        <f>0.234184119276824*$F$53</f>
        <v>0</v>
      </c>
      <c r="N146">
        <f>-0.541013225733487*$F$54</f>
        <v>0</v>
      </c>
      <c r="P146">
        <v>984697.76087946421</v>
      </c>
      <c r="Q146">
        <v>-12274.17179829113</v>
      </c>
      <c r="R146">
        <v>367129.68752699147</v>
      </c>
      <c r="S146">
        <v>703096.67177163286</v>
      </c>
      <c r="T146">
        <v>6.9005609958553732E-7</v>
      </c>
      <c r="U146">
        <v>3.0447026471744487E-11</v>
      </c>
      <c r="V146">
        <v>2.2429176222567167E-9</v>
      </c>
      <c r="W146">
        <v>1.3345446053673998E-7</v>
      </c>
      <c r="X146">
        <v>4.8942794015483285E-6</v>
      </c>
      <c r="Y146">
        <v>1.2553688166091434E-6</v>
      </c>
      <c r="Z146">
        <v>0.68227104914571535</v>
      </c>
      <c r="AA146">
        <v>7.1639288834937767E-2</v>
      </c>
      <c r="AB146">
        <v>9.4589867742665135</v>
      </c>
      <c r="AD146">
        <v>0.84387733379635255</v>
      </c>
      <c r="AE146">
        <v>0.29217981920981434</v>
      </c>
      <c r="AF146">
        <v>1.2208045272295978</v>
      </c>
      <c r="AG146">
        <v>2158069.4595921258</v>
      </c>
    </row>
    <row r="147" spans="2:33" ht="12.75" hidden="1" customHeight="1">
      <c r="B147">
        <f>0.144756326187647*$F$42</f>
        <v>0</v>
      </c>
      <c r="C147">
        <f>-0.175014612140041*$F$43</f>
        <v>0</v>
      </c>
      <c r="D147">
        <f>0.260550431707075*$F$44</f>
        <v>0</v>
      </c>
      <c r="E147">
        <f>0.202785841481099*$F$45</f>
        <v>0</v>
      </c>
      <c r="F147">
        <f>-0.242486714943221*$F$46</f>
        <v>0</v>
      </c>
      <c r="G147">
        <f>-0.154367622235579*$F$47</f>
        <v>0</v>
      </c>
      <c r="H147">
        <f>0.339606050889804*$F$48</f>
        <v>0</v>
      </c>
      <c r="I147">
        <f>0.100887702300081*$F$49</f>
        <v>0</v>
      </c>
      <c r="J147">
        <f>-0.409558984716728*$F$50</f>
        <v>0</v>
      </c>
      <c r="K147">
        <f>0.0794856866062121*$F$51</f>
        <v>0</v>
      </c>
      <c r="L147">
        <f>0.0888376878616786*$F$52</f>
        <v>0</v>
      </c>
      <c r="M147">
        <f>0.00909903391467259*$F$53</f>
        <v>0</v>
      </c>
      <c r="N147">
        <f>0.449548419756993*$F$54</f>
        <v>0</v>
      </c>
      <c r="P147">
        <v>976089.09205122979</v>
      </c>
      <c r="Q147">
        <v>-12575.981296460748</v>
      </c>
      <c r="R147">
        <v>363669.26490086602</v>
      </c>
      <c r="S147">
        <v>738508.6602676718</v>
      </c>
      <c r="T147">
        <v>6.8302592995397456E-7</v>
      </c>
      <c r="U147">
        <v>3.0521460371069705E-11</v>
      </c>
      <c r="V147">
        <v>2.3781093917046548E-9</v>
      </c>
      <c r="W147">
        <v>1.3131154012990106E-7</v>
      </c>
      <c r="X147">
        <v>4.7952205076416362E-6</v>
      </c>
      <c r="Y147">
        <v>1.2448164822958671E-6</v>
      </c>
      <c r="Z147">
        <v>0.70621863815031738</v>
      </c>
      <c r="AA147">
        <v>7.0063693237402719E-2</v>
      </c>
      <c r="AB147">
        <v>10.449548419756994</v>
      </c>
      <c r="AD147">
        <v>1.0723819445408416</v>
      </c>
      <c r="AE147">
        <v>0.33631570728343763</v>
      </c>
      <c r="AF147">
        <v>0.95605348126075684</v>
      </c>
      <c r="AG147">
        <v>2518110.3712230725</v>
      </c>
    </row>
    <row r="148" spans="2:33" ht="12.75" hidden="1" customHeight="1">
      <c r="B148">
        <f>0.254774276496629*$F$42</f>
        <v>0</v>
      </c>
      <c r="C148">
        <f>-0.0440961748242932*$F$43</f>
        <v>0</v>
      </c>
      <c r="D148">
        <f>0.200875983200993*$F$44</f>
        <v>0</v>
      </c>
      <c r="E148">
        <f>-0.446315204129834*$F$45</f>
        <v>0</v>
      </c>
      <c r="F148">
        <f>-0.236903009527802*$F$46</f>
        <v>0</v>
      </c>
      <c r="G148">
        <f>-0.123350575966164*$F$47</f>
        <v>0</v>
      </c>
      <c r="H148">
        <f>-0.644681541860357*$F$48</f>
        <v>0</v>
      </c>
      <c r="I148">
        <f>-0.14917179486995*$F$49</f>
        <v>0</v>
      </c>
      <c r="J148">
        <f>-0.195222413547911*$F$50</f>
        <v>0</v>
      </c>
      <c r="K148">
        <f>0.194655539989301*$F$51</f>
        <v>0</v>
      </c>
      <c r="L148">
        <f>-0.267432935922905*$F$52</f>
        <v>0</v>
      </c>
      <c r="M148">
        <f>-0.0226520595446004*$F$53</f>
        <v>0</v>
      </c>
      <c r="N148">
        <f>0.124934278851312*$F$54</f>
        <v>0</v>
      </c>
      <c r="P148">
        <v>986674.59236031282</v>
      </c>
      <c r="Q148">
        <v>-12743.556896224905</v>
      </c>
      <c r="R148">
        <v>361554.19680914754</v>
      </c>
      <c r="S148">
        <v>691524.75302701094</v>
      </c>
      <c r="T148">
        <v>6.8341678933305379E-7</v>
      </c>
      <c r="U148">
        <v>3.0617613214504895E-11</v>
      </c>
      <c r="V148">
        <v>2.1517232453721179E-9</v>
      </c>
      <c r="W148">
        <v>1.2806076666669066E-7</v>
      </c>
      <c r="X148">
        <v>4.9023887932260453E-6</v>
      </c>
      <c r="Y148">
        <v>1.2590399591886786E-6</v>
      </c>
      <c r="Z148">
        <v>0.6812796944853966</v>
      </c>
      <c r="AA148">
        <v>6.9841435583187811E-2</v>
      </c>
      <c r="AB148">
        <v>10.124934278851311</v>
      </c>
      <c r="AD148">
        <v>0.83796652621058132</v>
      </c>
      <c r="AE148">
        <v>0.28863761148607781</v>
      </c>
      <c r="AF148">
        <v>1.2281388752921711</v>
      </c>
      <c r="AG148">
        <v>2107024.0436982932</v>
      </c>
    </row>
    <row r="149" spans="2:33" ht="12.75" hidden="1" customHeight="1">
      <c r="B149">
        <f>-0.168181015606772*$F$42</f>
        <v>0</v>
      </c>
      <c r="C149">
        <f>0.552181882808682*$F$43</f>
        <v>0</v>
      </c>
      <c r="D149">
        <f>0.684784922351759*$F$44</f>
        <v>0</v>
      </c>
      <c r="E149">
        <f>0.51339040063133*$F$45</f>
        <v>0</v>
      </c>
      <c r="F149">
        <f>0.56772854858344*$F$46</f>
        <v>0</v>
      </c>
      <c r="G149">
        <f>-0.312437956186151*$F$47</f>
        <v>0</v>
      </c>
      <c r="H149">
        <f>-0.293515143041819*$F$48</f>
        <v>0</v>
      </c>
      <c r="I149">
        <f>-0.0549393132292862*$F$49</f>
        <v>0</v>
      </c>
      <c r="J149">
        <f>-0.194251981515371*$F$50</f>
        <v>0</v>
      </c>
      <c r="K149">
        <f>-0.00304699951838494*$F$51</f>
        <v>0</v>
      </c>
      <c r="L149">
        <f>0.0169370267325583*$F$52</f>
        <v>0</v>
      </c>
      <c r="M149">
        <f>-0.553662512923288*$F$53</f>
        <v>0</v>
      </c>
      <c r="N149">
        <f>0.215503988499605*$F$54</f>
        <v>0</v>
      </c>
      <c r="P149">
        <v>945979.47522065695</v>
      </c>
      <c r="Q149">
        <v>-13506.792809995113</v>
      </c>
      <c r="R149">
        <v>378705.59715079953</v>
      </c>
      <c r="S149">
        <v>760991.16263662966</v>
      </c>
      <c r="T149">
        <v>7.3974099840084071E-7</v>
      </c>
      <c r="U149">
        <v>3.0031442335822931E-11</v>
      </c>
      <c r="V149">
        <v>2.2324915171003814E-9</v>
      </c>
      <c r="W149">
        <v>1.2928578892801929E-7</v>
      </c>
      <c r="X149">
        <v>4.9028740092423151E-6</v>
      </c>
      <c r="Y149">
        <v>1.2346236955594795E-6</v>
      </c>
      <c r="Z149">
        <v>0.70118559187127893</v>
      </c>
      <c r="AA149">
        <v>6.6124362409536994E-2</v>
      </c>
      <c r="AB149">
        <v>10.215503988499606</v>
      </c>
      <c r="AD149">
        <v>1.1308648773472356</v>
      </c>
      <c r="AE149">
        <v>0.35845032518980113</v>
      </c>
      <c r="AF149">
        <v>0.90498967928303031</v>
      </c>
      <c r="AG149">
        <v>2616322.1632951112</v>
      </c>
    </row>
    <row r="150" spans="2:33" ht="12.75" hidden="1" customHeight="1">
      <c r="B150">
        <f>0.62135459122658*$F$42</f>
        <v>0</v>
      </c>
      <c r="C150">
        <f>-0.111480352735432*$F$43</f>
        <v>0</v>
      </c>
      <c r="D150">
        <f>-0.463211555310127*$F$44</f>
        <v>0</v>
      </c>
      <c r="E150">
        <f>-0.0273342237503549*$F$45</f>
        <v>0</v>
      </c>
      <c r="F150">
        <f>0.0200644028996794*$F$46</f>
        <v>0</v>
      </c>
      <c r="G150">
        <f>0.0804815841243457*$F$47</f>
        <v>0</v>
      </c>
      <c r="H150">
        <f>-0.162123459477354*$F$48</f>
        <v>0</v>
      </c>
      <c r="I150">
        <f>0.225103522219735*$F$49</f>
        <v>0</v>
      </c>
      <c r="J150">
        <f>0.0560921286438263*$F$50</f>
        <v>0</v>
      </c>
      <c r="K150">
        <f>0.00313981602510468*$F$51</f>
        <v>0</v>
      </c>
      <c r="L150">
        <f>0.023274470105102*$F$52</f>
        <v>0</v>
      </c>
      <c r="M150">
        <f>0.335464385495894*$F$53</f>
        <v>0</v>
      </c>
      <c r="N150">
        <f>-0.518702157659342*$F$54</f>
        <v>0</v>
      </c>
      <c r="P150">
        <v>1021945.5279120074</v>
      </c>
      <c r="Q150">
        <v>-12657.305148498646</v>
      </c>
      <c r="R150">
        <v>338016.64601520018</v>
      </c>
      <c r="S150">
        <v>721851.87027764297</v>
      </c>
      <c r="T150">
        <v>7.0140450820297759E-7</v>
      </c>
      <c r="U150">
        <v>3.1249492910785476E-11</v>
      </c>
      <c r="V150">
        <v>2.2627116043202084E-9</v>
      </c>
      <c r="W150">
        <v>1.3292634578885654E-7</v>
      </c>
      <c r="X150">
        <v>5.0280460643219134E-6</v>
      </c>
      <c r="Y150">
        <v>1.2353877672791004E-6</v>
      </c>
      <c r="Z150">
        <v>0.70162921290735702</v>
      </c>
      <c r="AA150">
        <v>7.234825069847127E-2</v>
      </c>
      <c r="AB150">
        <v>9.4812978423406573</v>
      </c>
      <c r="AD150">
        <v>1.0027255201434344</v>
      </c>
      <c r="AE150">
        <v>0.32315119985085922</v>
      </c>
      <c r="AF150">
        <v>1.0249037611523346</v>
      </c>
      <c r="AG150">
        <v>2545613.9989885502</v>
      </c>
    </row>
    <row r="151" spans="2:33" ht="12.75" hidden="1" customHeight="1">
      <c r="B151">
        <f>-0.0566724819531149*$F$42</f>
        <v>0</v>
      </c>
      <c r="C151">
        <f>0.519128915989331*$F$43</f>
        <v>0</v>
      </c>
      <c r="D151">
        <f>-0.0106574723071353*$F$44</f>
        <v>0</v>
      </c>
      <c r="E151">
        <f>0.347910249175282*$F$45</f>
        <v>0</v>
      </c>
      <c r="F151">
        <f>-0.463196760550098*$F$46</f>
        <v>0</v>
      </c>
      <c r="G151">
        <f>0.057441649557679*$F$47</f>
        <v>0</v>
      </c>
      <c r="H151">
        <f>0.29361005774466*$F$48</f>
        <v>0</v>
      </c>
      <c r="I151">
        <f>-0.284699711018704*$F$49</f>
        <v>0</v>
      </c>
      <c r="J151">
        <f>-0.256534670898898*$F$50</f>
        <v>0</v>
      </c>
      <c r="K151">
        <f>0.424272740867071*$F$51</f>
        <v>0</v>
      </c>
      <c r="L151">
        <f>0.0566336739400059*$F$52</f>
        <v>0</v>
      </c>
      <c r="M151">
        <f>0.135342342950613*$F$53</f>
        <v>0</v>
      </c>
      <c r="N151">
        <f>-0.143565632161921*$F$54</f>
        <v>0</v>
      </c>
      <c r="P151">
        <v>956708.39367570123</v>
      </c>
      <c r="Q151">
        <v>-13464.485012466343</v>
      </c>
      <c r="R151">
        <v>354056.72220692178</v>
      </c>
      <c r="S151">
        <v>749013.20614009723</v>
      </c>
      <c r="T151">
        <v>6.6757622676149312E-7</v>
      </c>
      <c r="U151">
        <v>3.1178069113628805E-11</v>
      </c>
      <c r="V151">
        <v>2.3675303132812716E-9</v>
      </c>
      <c r="W151">
        <v>1.2629890375675684E-7</v>
      </c>
      <c r="X151">
        <v>4.8717326645505513E-6</v>
      </c>
      <c r="Y151">
        <v>1.2873976834970833E-6</v>
      </c>
      <c r="Z151">
        <v>0.7039643571758003</v>
      </c>
      <c r="AA151">
        <v>7.0947396400654297E-2</v>
      </c>
      <c r="AB151">
        <v>9.8564343678380801</v>
      </c>
      <c r="AD151">
        <v>1.1536941138294041</v>
      </c>
      <c r="AE151">
        <v>0.36391925606281483</v>
      </c>
      <c r="AF151">
        <v>0.88699573100211193</v>
      </c>
      <c r="AG151">
        <v>2722575.9451754163</v>
      </c>
    </row>
    <row r="152" spans="2:33" ht="12.75" hidden="1" customHeight="1">
      <c r="B152">
        <f>0.0824639231699321*$F$42</f>
        <v>0</v>
      </c>
      <c r="C152">
        <f>0.0596985671230273*$F$43</f>
        <v>0</v>
      </c>
      <c r="D152">
        <f>-0.00701272006199489*$F$44</f>
        <v>0</v>
      </c>
      <c r="E152">
        <f>0.172512477361965*$F$45</f>
        <v>0</v>
      </c>
      <c r="F152">
        <f>-0.0495912632016803*$F$46</f>
        <v>0</v>
      </c>
      <c r="G152">
        <f>0.339744384775152*$F$47</f>
        <v>0</v>
      </c>
      <c r="H152">
        <f>0.344622515308578*$F$48</f>
        <v>0</v>
      </c>
      <c r="I152">
        <f>-0.208123566985046*$F$49</f>
        <v>0</v>
      </c>
      <c r="J152">
        <f>0.0911877210840046*$F$50</f>
        <v>0</v>
      </c>
      <c r="K152">
        <f>-0.380979599004171*$F$51</f>
        <v>0</v>
      </c>
      <c r="L152">
        <f>-0.161449313958695*$F$52</f>
        <v>0</v>
      </c>
      <c r="M152">
        <f>0.16383332634023*$F$53</f>
        <v>0</v>
      </c>
      <c r="N152">
        <f>0.370557217161809*$F$54</f>
        <v>0</v>
      </c>
      <c r="P152">
        <v>970095.55872738897</v>
      </c>
      <c r="Q152">
        <v>-12876.414165917475</v>
      </c>
      <c r="R152">
        <v>354185.90478621499</v>
      </c>
      <c r="S152">
        <v>736317.38212807581</v>
      </c>
      <c r="T152">
        <v>6.9652861157588229E-7</v>
      </c>
      <c r="U152">
        <v>3.2053207592802972E-11</v>
      </c>
      <c r="V152">
        <v>2.379263178520973E-9</v>
      </c>
      <c r="W152">
        <v>1.2729439362919441E-7</v>
      </c>
      <c r="X152">
        <v>5.0455938605420026E-6</v>
      </c>
      <c r="Y152">
        <v>1.187949019522985E-6</v>
      </c>
      <c r="Z152">
        <v>0.68869854802289132</v>
      </c>
      <c r="AA152">
        <v>7.1146833284381622E-2</v>
      </c>
      <c r="AB152">
        <v>10.370557217161808</v>
      </c>
      <c r="AD152">
        <v>1.0514696694240826</v>
      </c>
      <c r="AE152">
        <v>0.34773107837892486</v>
      </c>
      <c r="AF152">
        <v>0.9752599159267985</v>
      </c>
      <c r="AG152">
        <v>2579523.3987427726</v>
      </c>
    </row>
    <row r="153" spans="2:33" ht="12.75" hidden="1" customHeight="1">
      <c r="B153">
        <f>0.245547544330363*$F$42</f>
        <v>0</v>
      </c>
      <c r="C153">
        <f>-0.116496004774216*$F$43</f>
        <v>0</v>
      </c>
      <c r="D153">
        <f>-0.312014881779699*$F$44</f>
        <v>0</v>
      </c>
      <c r="E153">
        <f>-0.484434291214543*$F$45</f>
        <v>0</v>
      </c>
      <c r="F153">
        <f>0.238884521820974*$F$46</f>
        <v>0</v>
      </c>
      <c r="G153">
        <f>-0.375257094234832*$F$47</f>
        <v>0</v>
      </c>
      <c r="H153">
        <f>-0.0281412915514505*$F$48</f>
        <v>0</v>
      </c>
      <c r="I153">
        <f>0.623168104972983*$F$49</f>
        <v>0</v>
      </c>
      <c r="J153">
        <f>0.00913313565773092*$F$50</f>
        <v>0</v>
      </c>
      <c r="K153">
        <f>0.741093537738569*$F$51</f>
        <v>0</v>
      </c>
      <c r="L153">
        <f>-0.467745224795354*$F$52</f>
        <v>0</v>
      </c>
      <c r="M153">
        <f>0.462969112558962*$F$53</f>
        <v>0</v>
      </c>
      <c r="N153">
        <f>0.266122241928622*$F$54</f>
        <v>0</v>
      </c>
      <c r="P153">
        <v>985786.83199099544</v>
      </c>
      <c r="Q153">
        <v>-12650.885113889004</v>
      </c>
      <c r="R153">
        <v>343375.57714508876</v>
      </c>
      <c r="S153">
        <v>688765.57760463748</v>
      </c>
      <c r="T153">
        <v>7.1672191652746821E-7</v>
      </c>
      <c r="U153">
        <v>2.9836703007872026E-11</v>
      </c>
      <c r="V153">
        <v>2.2935275029431666E-9</v>
      </c>
      <c r="W153">
        <v>1.3810118536464878E-7</v>
      </c>
      <c r="X153">
        <v>5.0045665678288656E-6</v>
      </c>
      <c r="Y153">
        <v>1.3265250519107132E-6</v>
      </c>
      <c r="Z153">
        <v>0.66725783426432517</v>
      </c>
      <c r="AA153">
        <v>7.3240783787912739E-2</v>
      </c>
      <c r="AB153">
        <v>10.26612224192862</v>
      </c>
      <c r="AD153">
        <v>0.85594943000516843</v>
      </c>
      <c r="AE153">
        <v>0.30544903548733321</v>
      </c>
      <c r="AF153">
        <v>1.2012547893919163</v>
      </c>
      <c r="AG153">
        <v>2233891.4727147403</v>
      </c>
    </row>
    <row r="154" spans="2:33" ht="12.75" hidden="1" customHeight="1">
      <c r="B154">
        <f>0.640547078043073*$F$42</f>
        <v>0</v>
      </c>
      <c r="C154">
        <f>-0.00201297254099316*$F$43</f>
        <v>0</v>
      </c>
      <c r="D154">
        <f>-0.53577181412176*$F$44</f>
        <v>0</v>
      </c>
      <c r="E154">
        <f>0.145266600845488*$F$45</f>
        <v>0</v>
      </c>
      <c r="F154">
        <f>-0.247128698689103*$F$46</f>
        <v>0</v>
      </c>
      <c r="G154">
        <f>-0.250272784211927*$F$47</f>
        <v>0</v>
      </c>
      <c r="H154">
        <f>-0.417324449551795*$F$48</f>
        <v>0</v>
      </c>
      <c r="I154">
        <f>0.257554679418707*$F$49</f>
        <v>0</v>
      </c>
      <c r="J154">
        <f>-0.00994022644360767*$F$50</f>
        <v>0</v>
      </c>
      <c r="K154">
        <f>0.0301901910450105*$F$51</f>
        <v>0</v>
      </c>
      <c r="L154">
        <f>0.331884184959183*$F$52</f>
        <v>0</v>
      </c>
      <c r="M154">
        <f>0.40036444459147*$F$53</f>
        <v>0</v>
      </c>
      <c r="N154">
        <f>0.848067186762423*$F$54</f>
        <v>0</v>
      </c>
      <c r="P154">
        <v>1023792.1545266416</v>
      </c>
      <c r="Q154">
        <v>-12797.423395147529</v>
      </c>
      <c r="R154">
        <v>335444.86040207167</v>
      </c>
      <c r="S154">
        <v>734345.24274608516</v>
      </c>
      <c r="T154">
        <v>6.8270099109176272E-7</v>
      </c>
      <c r="U154">
        <v>3.0224154368943033E-11</v>
      </c>
      <c r="V154">
        <v>2.204015376603087E-9</v>
      </c>
      <c r="W154">
        <v>1.3334821083244321E-7</v>
      </c>
      <c r="X154">
        <v>4.9950298867781969E-6</v>
      </c>
      <c r="Y154">
        <v>1.2387284885940588E-6</v>
      </c>
      <c r="Z154">
        <v>0.72323189294714285</v>
      </c>
      <c r="AA154">
        <v>7.280255111214029E-2</v>
      </c>
      <c r="AB154">
        <v>10.848067186762423</v>
      </c>
      <c r="AD154">
        <v>1.1517243423411359</v>
      </c>
      <c r="AE154">
        <v>0.34048645309727915</v>
      </c>
      <c r="AF154">
        <v>0.88859907371172708</v>
      </c>
      <c r="AG154">
        <v>2698100.6407105997</v>
      </c>
    </row>
    <row r="155" spans="2:33" ht="12.75" hidden="1" customHeight="1">
      <c r="B155">
        <f>0.37170834593225*$F$42</f>
        <v>0</v>
      </c>
      <c r="C155">
        <f>-0.185146226000928*$F$43</f>
        <v>0</v>
      </c>
      <c r="D155">
        <f>0.564256799921156*$F$44</f>
        <v>0</v>
      </c>
      <c r="E155">
        <f>-0.228577427987897*$F$45</f>
        <v>0</v>
      </c>
      <c r="F155">
        <f>0.367668019679281*$F$46</f>
        <v>0</v>
      </c>
      <c r="G155">
        <f>0.432470850014235*$F$47</f>
        <v>0</v>
      </c>
      <c r="H155">
        <f>-0.216861725611407*$F$48</f>
        <v>0</v>
      </c>
      <c r="I155">
        <f>0.159435292165333*$F$49</f>
        <v>0</v>
      </c>
      <c r="J155">
        <f>0.237716307406664*$F$50</f>
        <v>0</v>
      </c>
      <c r="K155">
        <f>0.20860038338297*$F$51</f>
        <v>0</v>
      </c>
      <c r="L155">
        <f>-0.579956040289699*$F$52</f>
        <v>0</v>
      </c>
      <c r="M155">
        <f>-0.416560972993815*$F$53</f>
        <v>0</v>
      </c>
      <c r="N155">
        <f>-0.645823279520844*$F$54</f>
        <v>0</v>
      </c>
      <c r="P155">
        <v>997925.53481721878</v>
      </c>
      <c r="Q155">
        <v>-12563.012830718812</v>
      </c>
      <c r="R155">
        <v>374433.66515495174</v>
      </c>
      <c r="S155">
        <v>707285.27528500848</v>
      </c>
      <c r="T155">
        <v>7.2573676137754963E-7</v>
      </c>
      <c r="U155">
        <v>3.2340659635044128E-11</v>
      </c>
      <c r="V155">
        <v>2.2501218031093763E-9</v>
      </c>
      <c r="W155">
        <v>1.3207265879814932E-7</v>
      </c>
      <c r="X155">
        <v>5.1188581537033325E-6</v>
      </c>
      <c r="Y155">
        <v>1.2607621473477969E-6</v>
      </c>
      <c r="Z155">
        <v>0.65940307717972102</v>
      </c>
      <c r="AA155">
        <v>6.7084073189043303E-2</v>
      </c>
      <c r="AB155">
        <v>9.3541767204791562</v>
      </c>
      <c r="AD155">
        <v>0.78011896923754998</v>
      </c>
      <c r="AE155">
        <v>0.28855616308041326</v>
      </c>
      <c r="AF155">
        <v>1.3221870776078601</v>
      </c>
      <c r="AG155">
        <v>2123911.2775483956</v>
      </c>
    </row>
    <row r="156" spans="2:33" ht="12.75" hidden="1" customHeight="1">
      <c r="B156">
        <f>-0.19455262751126*$F$42</f>
        <v>0</v>
      </c>
      <c r="C156">
        <f>0.165393678975684*$F$43</f>
        <v>0</v>
      </c>
      <c r="D156">
        <f>0.250110097064582*$F$44</f>
        <v>0</v>
      </c>
      <c r="E156">
        <f>0.426328186604951*$F$45</f>
        <v>0</v>
      </c>
      <c r="F156">
        <f>0.33492158567582*$F$46</f>
        <v>0</v>
      </c>
      <c r="G156">
        <f>-0.193266133209478*$F$47</f>
        <v>0</v>
      </c>
      <c r="H156">
        <f>0.222350786329474*$F$48</f>
        <v>0</v>
      </c>
      <c r="I156">
        <f>-0.178361498982251*$F$49</f>
        <v>0</v>
      </c>
      <c r="J156">
        <f>-0.607080364352793*$F$50</f>
        <v>0</v>
      </c>
      <c r="K156">
        <f>-0.48281812521672*$F$51</f>
        <v>0</v>
      </c>
      <c r="L156">
        <f>0.0199457393093211*$F$52</f>
        <v>0</v>
      </c>
      <c r="M156">
        <f>0.283682848631128*$F$53</f>
        <v>0</v>
      </c>
      <c r="N156">
        <f>-0.347939499715983*$F$54</f>
        <v>0</v>
      </c>
      <c r="P156">
        <v>943442.10104506125</v>
      </c>
      <c r="Q156">
        <v>-13011.703909088877</v>
      </c>
      <c r="R156">
        <v>363299.22346400301</v>
      </c>
      <c r="S156">
        <v>754689.33487708273</v>
      </c>
      <c r="T156">
        <v>7.2344451099730742E-7</v>
      </c>
      <c r="U156">
        <v>3.0400874987050624E-11</v>
      </c>
      <c r="V156">
        <v>2.3511406808557791E-9</v>
      </c>
      <c r="W156">
        <v>1.2768130051323073E-7</v>
      </c>
      <c r="X156">
        <v>4.6964598178236041E-6</v>
      </c>
      <c r="Y156">
        <v>1.1753719615357353E-6</v>
      </c>
      <c r="Z156">
        <v>0.70139620175165251</v>
      </c>
      <c r="AA156">
        <v>7.198577994041791E-2</v>
      </c>
      <c r="AB156">
        <v>9.6520605002840156</v>
      </c>
      <c r="AD156">
        <v>1.1446604348077491</v>
      </c>
      <c r="AE156">
        <v>0.36425060651783953</v>
      </c>
      <c r="AF156">
        <v>0.89424454548238752</v>
      </c>
      <c r="AG156">
        <v>2688488.6116960198</v>
      </c>
    </row>
    <row r="157" spans="2:33" ht="12.75" hidden="1" customHeight="1">
      <c r="B157">
        <f>0.303770054752171*$F$42</f>
        <v>0</v>
      </c>
      <c r="C157">
        <f>-0.225792011936438*$F$43</f>
        <v>0</v>
      </c>
      <c r="D157">
        <f>-0.361675648862071*$F$44</f>
        <v>0</v>
      </c>
      <c r="E157">
        <f>0.416307686987401*$F$45</f>
        <v>0</v>
      </c>
      <c r="F157">
        <f>-0.574598682482786*$F$46</f>
        <v>0</v>
      </c>
      <c r="G157">
        <f>-0.24841283469054*$F$47</f>
        <v>0</v>
      </c>
      <c r="H157">
        <f>0.0228585937489525*$F$48</f>
        <v>0</v>
      </c>
      <c r="I157">
        <f>0.572469407205234*$F$49</f>
        <v>0</v>
      </c>
      <c r="J157">
        <f>-0.195593967366916*$F$50</f>
        <v>0</v>
      </c>
      <c r="K157">
        <f>0.0373890158550686*$F$51</f>
        <v>0</v>
      </c>
      <c r="L157">
        <f>0.310058051449253*$F$52</f>
        <v>0</v>
      </c>
      <c r="M157">
        <f>0.0990059245210812*$F$53</f>
        <v>0</v>
      </c>
      <c r="N157">
        <f>-0.286331060642018*$F$54</f>
        <v>0</v>
      </c>
      <c r="P157">
        <v>991388.77604044136</v>
      </c>
      <c r="Q157">
        <v>-12510.98622472136</v>
      </c>
      <c r="R157">
        <v>341615.42842992331</v>
      </c>
      <c r="S157">
        <v>753964.02064793522</v>
      </c>
      <c r="T157">
        <v>6.5977809222620487E-7</v>
      </c>
      <c r="U157">
        <v>3.0229920212459331E-11</v>
      </c>
      <c r="V157">
        <v>2.3052574765622592E-9</v>
      </c>
      <c r="W157">
        <v>1.3744210229366804E-7</v>
      </c>
      <c r="X157">
        <v>4.9022030163165423E-6</v>
      </c>
      <c r="Y157">
        <v>1.239617543458101E-6</v>
      </c>
      <c r="Z157">
        <v>0.72170406360144768</v>
      </c>
      <c r="AA157">
        <v>7.0693041471647566E-2</v>
      </c>
      <c r="AB157">
        <v>9.7136689393579818</v>
      </c>
      <c r="AD157">
        <v>1.2191612337459268</v>
      </c>
      <c r="AE157">
        <v>0.36252653174757199</v>
      </c>
      <c r="AF157">
        <v>0.83845126467351694</v>
      </c>
      <c r="AG157">
        <v>2834383.3659923035</v>
      </c>
    </row>
    <row r="158" spans="2:33" ht="12.75" hidden="1" customHeight="1">
      <c r="B158">
        <f>0.440557089279933*$F$42</f>
        <v>0</v>
      </c>
      <c r="C158">
        <f>0.177835692170395*$F$43</f>
        <v>0</v>
      </c>
      <c r="D158">
        <f>-0.373231164997699*$F$44</f>
        <v>0</v>
      </c>
      <c r="E158">
        <f>-0.130711251716397*$F$45</f>
        <v>0</v>
      </c>
      <c r="F158">
        <f>-0.0141590541880907*$F$46</f>
        <v>0</v>
      </c>
      <c r="G158">
        <f>0.101316016453953*$F$47</f>
        <v>0</v>
      </c>
      <c r="H158">
        <f>0.511750161015119*$F$48</f>
        <v>0</v>
      </c>
      <c r="I158">
        <f>0.0379673604413776*$F$49</f>
        <v>0</v>
      </c>
      <c r="J158">
        <f>-0.0275622993339201*$F$50</f>
        <v>0</v>
      </c>
      <c r="K158">
        <f>0.16685521648958*$F$51</f>
        <v>0</v>
      </c>
      <c r="L158">
        <f>0.031262877421051*$F$52</f>
        <v>0</v>
      </c>
      <c r="M158">
        <f>0.213431652513891*$F$53</f>
        <v>0</v>
      </c>
      <c r="N158">
        <f>0.371068859980427*$F$54</f>
        <v>0</v>
      </c>
      <c r="P158">
        <v>1004549.8937690088</v>
      </c>
      <c r="Q158">
        <v>-13027.629685978107</v>
      </c>
      <c r="R158">
        <v>341205.86111805594</v>
      </c>
      <c r="S158">
        <v>714369.12668076542</v>
      </c>
      <c r="T158">
        <v>6.9900886620683356E-7</v>
      </c>
      <c r="U158">
        <v>3.1314079651007261E-11</v>
      </c>
      <c r="V158">
        <v>2.4177025370334774E-9</v>
      </c>
      <c r="W158">
        <v>1.3049357568573791E-7</v>
      </c>
      <c r="X158">
        <v>4.9862188503330408E-6</v>
      </c>
      <c r="Y158">
        <v>1.2556066192364633E-6</v>
      </c>
      <c r="Z158">
        <v>0.70218840141947347</v>
      </c>
      <c r="AA158">
        <v>7.1494021567597252E-2</v>
      </c>
      <c r="AB158">
        <v>10.371068859980427</v>
      </c>
      <c r="AD158">
        <v>1.0138616332260562</v>
      </c>
      <c r="AE158">
        <v>0.32347216943934598</v>
      </c>
      <c r="AF158">
        <v>1.0127628974725849</v>
      </c>
      <c r="AG158">
        <v>2475970.1865784186</v>
      </c>
    </row>
    <row r="159" spans="2:33" ht="12.75" hidden="1" customHeight="1">
      <c r="B159">
        <f>0.34439205598105*$F$42</f>
        <v>0</v>
      </c>
      <c r="C159">
        <f>0.0927343998080932*$F$43</f>
        <v>0</v>
      </c>
      <c r="D159">
        <f>-0.0989882587644912*$F$44</f>
        <v>0</v>
      </c>
      <c r="E159">
        <f>-0.391332827458004*$F$45</f>
        <v>0</v>
      </c>
      <c r="F159">
        <f>-0.182505056967348*$F$46</f>
        <v>0</v>
      </c>
      <c r="G159">
        <f>-0.106479461378733*$F$47</f>
        <v>0</v>
      </c>
      <c r="H159">
        <f>-0.101037049979139*$F$48</f>
        <v>0</v>
      </c>
      <c r="I159">
        <f>0.0880247508402712*$F$49</f>
        <v>0</v>
      </c>
      <c r="J159">
        <f>0.145625127148777*$F$50</f>
        <v>0</v>
      </c>
      <c r="K159">
        <f>-0.208200826184723*$F$51</f>
        <v>0</v>
      </c>
      <c r="L159">
        <f>-0.438026749686502*$F$52</f>
        <v>0</v>
      </c>
      <c r="M159">
        <f>0.130343162989219*$F$53</f>
        <v>0</v>
      </c>
      <c r="N159">
        <f>-0.46055764874707*$F$54</f>
        <v>0</v>
      </c>
      <c r="P159">
        <v>995297.26738531946</v>
      </c>
      <c r="Q159">
        <v>-12918.700031754361</v>
      </c>
      <c r="R159">
        <v>350925.97474918352</v>
      </c>
      <c r="S159">
        <v>695504.54462169087</v>
      </c>
      <c r="T159">
        <v>6.8722464601228558E-7</v>
      </c>
      <c r="U159">
        <v>3.0669913669725927E-11</v>
      </c>
      <c r="V159">
        <v>2.2767614785047981E-9</v>
      </c>
      <c r="W159">
        <v>1.3114432176092352E-7</v>
      </c>
      <c r="X159">
        <v>5.0728125635743882E-6</v>
      </c>
      <c r="Y159">
        <v>1.2092871979661866E-6</v>
      </c>
      <c r="Z159">
        <v>0.66933812752194477</v>
      </c>
      <c r="AA159">
        <v>7.0912402140924535E-2</v>
      </c>
      <c r="AB159">
        <v>9.5394423512529301</v>
      </c>
      <c r="AD159">
        <v>0.83718460571475006</v>
      </c>
      <c r="AE159">
        <v>0.29988741211945025</v>
      </c>
      <c r="AF159">
        <v>1.2300636382307162</v>
      </c>
      <c r="AG159">
        <v>2231038.806197077</v>
      </c>
    </row>
    <row r="160" spans="2:33" ht="12.75" hidden="1" customHeight="1">
      <c r="B160">
        <f>-0.596092317464582*$F$42</f>
        <v>0</v>
      </c>
      <c r="C160">
        <f>-0.418109933976856*$F$43</f>
        <v>0</v>
      </c>
      <c r="D160">
        <f>0.751257446903659*$F$44</f>
        <v>0</v>
      </c>
      <c r="E160">
        <f>0.46735156168054*$F$45</f>
        <v>0</v>
      </c>
      <c r="F160">
        <f>-0.0365231818430786*$F$46</f>
        <v>0</v>
      </c>
      <c r="G160">
        <f>0.137988028276754*$F$47</f>
        <v>0</v>
      </c>
      <c r="H160">
        <f>0.448867209744475*$F$48</f>
        <v>0</v>
      </c>
      <c r="I160">
        <f>0.435823672227794*$F$49</f>
        <v>0</v>
      </c>
      <c r="J160">
        <f>-0.312340150140638*$F$50</f>
        <v>0</v>
      </c>
      <c r="K160">
        <f>-0.198920752283068*$F$51</f>
        <v>0</v>
      </c>
      <c r="L160">
        <f>0.0617549240026774*$F$52</f>
        <v>0</v>
      </c>
      <c r="M160">
        <f>0.438771666170646*$F$53</f>
        <v>0</v>
      </c>
      <c r="N160">
        <f>0.0600514432976903*$F$54</f>
        <v>0</v>
      </c>
      <c r="P160">
        <v>904807.51005174965</v>
      </c>
      <c r="Q160">
        <v>-12264.819284509626</v>
      </c>
      <c r="R160">
        <v>381061.6124835824</v>
      </c>
      <c r="S160">
        <v>757658.73149457877</v>
      </c>
      <c r="T160">
        <v>6.9744337727098447E-7</v>
      </c>
      <c r="U160">
        <v>3.1427762887657941E-11</v>
      </c>
      <c r="V160">
        <v>2.4032394582412289E-9</v>
      </c>
      <c r="W160">
        <v>1.356657077389613E-7</v>
      </c>
      <c r="X160">
        <v>4.843829924929682E-6</v>
      </c>
      <c r="Y160">
        <v>1.2104332870930411E-6</v>
      </c>
      <c r="Z160">
        <v>0.70432284468018735</v>
      </c>
      <c r="AA160">
        <v>7.3071401663194521E-2</v>
      </c>
      <c r="AB160">
        <v>10.060051443297692</v>
      </c>
      <c r="AD160">
        <v>1.1660448753132617</v>
      </c>
      <c r="AE160">
        <v>0.36558449369512397</v>
      </c>
      <c r="AF160">
        <v>0.87717649304870837</v>
      </c>
      <c r="AG160">
        <v>2570031.7437410466</v>
      </c>
    </row>
    <row r="161" spans="2:33" ht="12.75" hidden="1" customHeight="1">
      <c r="B161">
        <f>-0.113185091914085*$F$42</f>
        <v>0</v>
      </c>
      <c r="C161">
        <f>0.687146363722983*$F$43</f>
        <v>0</v>
      </c>
      <c r="D161">
        <f>0.0766598074625343*$F$44</f>
        <v>0</v>
      </c>
      <c r="E161">
        <f>-0.17713421815064*$F$45</f>
        <v>0</v>
      </c>
      <c r="F161">
        <f>0.431398783591422*$F$46</f>
        <v>0</v>
      </c>
      <c r="G161">
        <f>-0.0290819280476694*$F$47</f>
        <v>0</v>
      </c>
      <c r="H161">
        <f>0.04581422878001*$F$48</f>
        <v>0</v>
      </c>
      <c r="I161">
        <f>0.130872813982963*$F$49</f>
        <v>0</v>
      </c>
      <c r="J161">
        <f>-0.54584676743791*$F$50</f>
        <v>0</v>
      </c>
      <c r="K161">
        <f>-0.246031921131702*$F$51</f>
        <v>0</v>
      </c>
      <c r="L161">
        <f>0.654089164796023*$F$52</f>
        <v>0</v>
      </c>
      <c r="M161">
        <f>0.0260602971787526*$F$53</f>
        <v>0</v>
      </c>
      <c r="N161">
        <f>-0.0761598560749141*$F$54</f>
        <v>0</v>
      </c>
      <c r="P161">
        <v>951270.9696141833</v>
      </c>
      <c r="Q161">
        <v>-13679.547345565419</v>
      </c>
      <c r="R161">
        <v>357151.54749512958</v>
      </c>
      <c r="S161">
        <v>711008.89122354181</v>
      </c>
      <c r="T161">
        <v>7.3019791485139947E-7</v>
      </c>
      <c r="U161">
        <v>3.0909846023052226E-11</v>
      </c>
      <c r="V161">
        <v>2.310537272619402E-9</v>
      </c>
      <c r="W161">
        <v>1.3170134658177853E-7</v>
      </c>
      <c r="X161">
        <v>4.7270766162810454E-6</v>
      </c>
      <c r="Y161">
        <v>1.2046150577402348E-6</v>
      </c>
      <c r="Z161">
        <v>0.74578624153572159</v>
      </c>
      <c r="AA161">
        <v>7.0182422080251272E-2</v>
      </c>
      <c r="AB161">
        <v>9.9238401439250854</v>
      </c>
      <c r="AD161">
        <v>1.1576166322521864</v>
      </c>
      <c r="AE161">
        <v>0.31989283845153638</v>
      </c>
      <c r="AF161">
        <v>0.88499625962984318</v>
      </c>
      <c r="AG161">
        <v>2388015.6098708343</v>
      </c>
    </row>
    <row r="162" spans="2:33" ht="12.75" hidden="1" customHeight="1">
      <c r="B162">
        <f>-0.0246258169095519*$F$42</f>
        <v>0</v>
      </c>
      <c r="C162">
        <f>0.715909360997692*$F$43</f>
        <v>0</v>
      </c>
      <c r="D162">
        <f>0.530802942243657*$F$44</f>
        <v>0</v>
      </c>
      <c r="E162">
        <f>0.21718790346685*$F$45</f>
        <v>0</v>
      </c>
      <c r="F162">
        <f>-0.145168715138525*$F$46</f>
        <v>0</v>
      </c>
      <c r="G162">
        <f>-0.0612283076568481*$F$47</f>
        <v>0</v>
      </c>
      <c r="H162">
        <f>0.143205148875858*$F$48</f>
        <v>0</v>
      </c>
      <c r="I162">
        <f>0.666469642528882*$F$49</f>
        <v>0</v>
      </c>
      <c r="J162">
        <f>-0.0457122239447453*$F$50</f>
        <v>0</v>
      </c>
      <c r="K162">
        <f>0.247846359943595*$F$51</f>
        <v>0</v>
      </c>
      <c r="L162">
        <f>-0.00582867026080489*$F$52</f>
        <v>0</v>
      </c>
      <c r="M162">
        <f>-0.146257195409274*$F$53</f>
        <v>0</v>
      </c>
      <c r="N162">
        <f>0.218066633111809*$F$54</f>
        <v>0</v>
      </c>
      <c r="P162">
        <v>959791.79944513249</v>
      </c>
      <c r="Q162">
        <v>-13716.363982077048</v>
      </c>
      <c r="R162">
        <v>373247.94515770103</v>
      </c>
      <c r="S162">
        <v>739551.1253029512</v>
      </c>
      <c r="T162">
        <v>6.8983818994030322E-7</v>
      </c>
      <c r="U162">
        <v>3.0810192246263775E-11</v>
      </c>
      <c r="V162">
        <v>2.332937184241447E-9</v>
      </c>
      <c r="W162">
        <v>1.3866410535287547E-7</v>
      </c>
      <c r="X162">
        <v>4.9771438880276278E-6</v>
      </c>
      <c r="Y162">
        <v>1.2656090254530341E-6</v>
      </c>
      <c r="Z162">
        <v>0.69959199308174358</v>
      </c>
      <c r="AA162">
        <v>6.8976199632135082E-2</v>
      </c>
      <c r="AB162">
        <v>10.218066633111809</v>
      </c>
      <c r="AD162">
        <v>1.045776661559594</v>
      </c>
      <c r="AE162">
        <v>0.33528230670662218</v>
      </c>
      <c r="AF162">
        <v>0.98105285091530892</v>
      </c>
      <c r="AG162">
        <v>2461215.7063927278</v>
      </c>
    </row>
    <row r="163" spans="2:33" ht="12.75" hidden="1" customHeight="1">
      <c r="B163">
        <f>0.347189630541989*$F$42</f>
        <v>0</v>
      </c>
      <c r="C163">
        <f>0.0572725009207694*$F$43</f>
        <v>0</v>
      </c>
      <c r="D163">
        <f>-0.306902061057417*$F$44</f>
        <v>0</v>
      </c>
      <c r="E163">
        <f>0.301787793626594*$F$45</f>
        <v>0</v>
      </c>
      <c r="F163">
        <f>0.251651628846502*$F$46</f>
        <v>0</v>
      </c>
      <c r="G163">
        <f>-0.619131253478699*$F$47</f>
        <v>0</v>
      </c>
      <c r="H163">
        <f>-0.103089739693374*$F$48</f>
        <v>0</v>
      </c>
      <c r="I163">
        <f>0.357464364353936*$F$49</f>
        <v>0</v>
      </c>
      <c r="J163">
        <f>-0.589843437257583*$F$50</f>
        <v>0</v>
      </c>
      <c r="K163">
        <f>-0.397460869564187*$F$51</f>
        <v>0</v>
      </c>
      <c r="L163">
        <f>-0.128693478378762*$F$52</f>
        <v>0</v>
      </c>
      <c r="M163">
        <f>-0.859334851398125*$F$53</f>
        <v>0</v>
      </c>
      <c r="N163">
        <f>-0.414062869696345*$F$54</f>
        <v>0</v>
      </c>
      <c r="P163">
        <v>995566.43915498361</v>
      </c>
      <c r="Q163">
        <v>-12873.308801178584</v>
      </c>
      <c r="R163">
        <v>343556.7931301393</v>
      </c>
      <c r="S163">
        <v>745674.72257445834</v>
      </c>
      <c r="T163">
        <v>7.1761561401925508E-7</v>
      </c>
      <c r="U163">
        <v>2.9080693114216037E-11</v>
      </c>
      <c r="V163">
        <v>2.2762893598705237E-9</v>
      </c>
      <c r="W163">
        <v>1.3464703673660119E-7</v>
      </c>
      <c r="X163">
        <v>4.7050782813712083E-6</v>
      </c>
      <c r="Y163">
        <v>1.185913582608823E-6</v>
      </c>
      <c r="Z163">
        <v>0.69099145651348659</v>
      </c>
      <c r="AA163">
        <v>6.3984656040213139E-2</v>
      </c>
      <c r="AB163">
        <v>9.5859371303036554</v>
      </c>
      <c r="AD163">
        <v>1.0830078218612469</v>
      </c>
      <c r="AE163">
        <v>0.35662394368604444</v>
      </c>
      <c r="AF163">
        <v>0.94635253159352084</v>
      </c>
      <c r="AG163">
        <v>2749917.4157108287</v>
      </c>
    </row>
    <row r="164" spans="2:33" ht="12.75" hidden="1" customHeight="1">
      <c r="B164">
        <f>-0.141064977640475*$F$42</f>
        <v>0</v>
      </c>
      <c r="C164">
        <f>-0.639391625277418*$F$43</f>
        <v>0</v>
      </c>
      <c r="D164">
        <f>-0.10875890641942*$F$44</f>
        <v>0</v>
      </c>
      <c r="E164">
        <f>-0.516454239975993*$F$45</f>
        <v>0</v>
      </c>
      <c r="F164">
        <f>0.454580155831278*$F$46</f>
        <v>0</v>
      </c>
      <c r="G164">
        <f>0.244260586178063*$F$47</f>
        <v>0</v>
      </c>
      <c r="H164">
        <f>0.215356288848547*$F$48</f>
        <v>0</v>
      </c>
      <c r="I164">
        <f>-0.118980830700065*$F$49</f>
        <v>0</v>
      </c>
      <c r="J164">
        <f>-0.271833991430997*$F$50</f>
        <v>0</v>
      </c>
      <c r="K164">
        <f>0.0798408426173774*$F$51</f>
        <v>0</v>
      </c>
      <c r="L164">
        <f>-0.186077970792345*$F$52</f>
        <v>0</v>
      </c>
      <c r="M164">
        <f>-0.262291582260065*$F$53</f>
        <v>0</v>
      </c>
      <c r="N164">
        <f>0.0219310841426408*$F$54</f>
        <v>0</v>
      </c>
      <c r="P164">
        <v>948588.47518354666</v>
      </c>
      <c r="Q164">
        <v>-11981.578719644906</v>
      </c>
      <c r="R164">
        <v>350579.66932688444</v>
      </c>
      <c r="S164">
        <v>686447.87635822722</v>
      </c>
      <c r="T164">
        <v>7.3182061090818951E-7</v>
      </c>
      <c r="U164">
        <v>3.1757207817151996E-11</v>
      </c>
      <c r="V164">
        <v>2.3495319464351659E-9</v>
      </c>
      <c r="W164">
        <v>1.2845324920089916E-7</v>
      </c>
      <c r="X164">
        <v>4.8640830042845018E-6</v>
      </c>
      <c r="Y164">
        <v>1.2448603440632461E-6</v>
      </c>
      <c r="Z164">
        <v>0.68697454204453579</v>
      </c>
      <c r="AA164">
        <v>6.8163958924179549E-2</v>
      </c>
      <c r="AB164">
        <v>10.021931084142642</v>
      </c>
      <c r="AD164">
        <v>0.91280269746125731</v>
      </c>
      <c r="AE164">
        <v>0.30710697302334006</v>
      </c>
      <c r="AF164">
        <v>1.1258237868375174</v>
      </c>
      <c r="AG164">
        <v>2185588.5338923442</v>
      </c>
    </row>
    <row r="165" spans="2:33" ht="12.75" hidden="1" customHeight="1">
      <c r="B165">
        <f>0.252972226066689*$F$42</f>
        <v>0</v>
      </c>
      <c r="C165">
        <f>-0.0828435726000157*$F$43</f>
        <v>0</v>
      </c>
      <c r="D165">
        <f>-0.0578588663448591*$F$44</f>
        <v>0</v>
      </c>
      <c r="E165">
        <f>0.0173477565241608*$F$45</f>
        <v>0</v>
      </c>
      <c r="F165">
        <f>-0.444350222166316*$F$46</f>
        <v>0</v>
      </c>
      <c r="G165">
        <f>-0.0783410479764679*$F$47</f>
        <v>0</v>
      </c>
      <c r="H165">
        <f>0.40694649643415*$F$48</f>
        <v>0</v>
      </c>
      <c r="I165">
        <f>1.02877438781578*$F$49</f>
        <v>0</v>
      </c>
      <c r="J165">
        <f>0.506845833178373*$F$50</f>
        <v>0</v>
      </c>
      <c r="K165">
        <f>0.0882402050128968*$F$51</f>
        <v>0</v>
      </c>
      <c r="L165">
        <f>-0.309808999783494*$F$52</f>
        <v>0</v>
      </c>
      <c r="M165">
        <f>-0.126901608195559*$F$53</f>
        <v>0</v>
      </c>
      <c r="N165">
        <f>0.131059147004137*$F$54</f>
        <v>0</v>
      </c>
      <c r="P165">
        <v>986501.20605989976</v>
      </c>
      <c r="Q165">
        <v>-12693.960227071981</v>
      </c>
      <c r="R165">
        <v>352383.7421473969</v>
      </c>
      <c r="S165">
        <v>725086.08786324388</v>
      </c>
      <c r="T165">
        <v>6.6889548444835782E-7</v>
      </c>
      <c r="U165">
        <v>3.0757142751272953E-11</v>
      </c>
      <c r="V165">
        <v>2.3935976941798544E-9</v>
      </c>
      <c r="W165">
        <v>1.4337406704160515E-7</v>
      </c>
      <c r="X165">
        <v>5.2534229165891869E-6</v>
      </c>
      <c r="Y165">
        <v>1.2458976653190929E-6</v>
      </c>
      <c r="Z165">
        <v>0.67831337001515535</v>
      </c>
      <c r="AA165">
        <v>6.91116887426311E-2</v>
      </c>
      <c r="AB165">
        <v>10.131059147004137</v>
      </c>
      <c r="AD165">
        <v>0.96890501850608013</v>
      </c>
      <c r="AE165">
        <v>0.33209455307740582</v>
      </c>
      <c r="AF165">
        <v>1.0594887289724613</v>
      </c>
      <c r="AG165">
        <v>2476914.0445476528</v>
      </c>
    </row>
    <row r="166" spans="2:33" ht="12.75" hidden="1" customHeight="1">
      <c r="B166">
        <f>0.573700897501387*$F$42</f>
        <v>0</v>
      </c>
      <c r="C166">
        <f>0.405553465455594*$F$43</f>
        <v>0</v>
      </c>
      <c r="D166">
        <f>0.802681636955283*$F$44</f>
        <v>0</v>
      </c>
      <c r="E166">
        <f>0.0365138891532105*$F$45</f>
        <v>0</v>
      </c>
      <c r="F166">
        <f>0.0461643916279335*$F$46</f>
        <v>0</v>
      </c>
      <c r="G166">
        <f>-0.702547260307735*$F$47</f>
        <v>0</v>
      </c>
      <c r="H166">
        <f>-0.0438481630482888*$F$48</f>
        <v>0</v>
      </c>
      <c r="I166">
        <f>0.364274505524206*$F$49</f>
        <v>0</v>
      </c>
      <c r="J166">
        <f>-0.18555771709861*$F$50</f>
        <v>0</v>
      </c>
      <c r="K166">
        <f>0.419618227557755*$F$51</f>
        <v>0</v>
      </c>
      <c r="L166">
        <f>0.302871461661265*$F$52</f>
        <v>0</v>
      </c>
      <c r="M166">
        <f>0.0341382150743725*$F$53</f>
        <v>0</v>
      </c>
      <c r="N166">
        <f>-0.138589955270121*$F$54</f>
        <v>0</v>
      </c>
      <c r="P166">
        <v>1017360.4743981012</v>
      </c>
      <c r="Q166">
        <v>-13319.108435783161</v>
      </c>
      <c r="R166">
        <v>382884.26298548974</v>
      </c>
      <c r="S166">
        <v>726473.3908166046</v>
      </c>
      <c r="T166">
        <v>7.0323150741395532E-7</v>
      </c>
      <c r="U166">
        <v>2.8822103493046022E-11</v>
      </c>
      <c r="V166">
        <v>2.2899149224988936E-9</v>
      </c>
      <c r="W166">
        <v>1.347355685718147E-7</v>
      </c>
      <c r="X166">
        <v>4.9072211414506958E-6</v>
      </c>
      <c r="Y166">
        <v>1.2868228511033826E-6</v>
      </c>
      <c r="Z166">
        <v>0.72120100231628848</v>
      </c>
      <c r="AA166">
        <v>7.0238967505520611E-2</v>
      </c>
      <c r="AB166">
        <v>9.8614100447298796</v>
      </c>
      <c r="AD166">
        <v>0.94000601782342164</v>
      </c>
      <c r="AE166">
        <v>0.28777951365331067</v>
      </c>
      <c r="AF166">
        <v>1.0948407131066491</v>
      </c>
      <c r="AG166">
        <v>2233328.2073492231</v>
      </c>
    </row>
    <row r="167" spans="2:33" ht="12.75" hidden="1" customHeight="1">
      <c r="B167">
        <f>-0.52798043765645*$F$42</f>
        <v>0</v>
      </c>
      <c r="C167">
        <f>0.312253006643595*$F$43</f>
        <v>0</v>
      </c>
      <c r="D167">
        <f>-0.0477851114769625*$F$44</f>
        <v>0</v>
      </c>
      <c r="E167">
        <f>-0.435664616263058*$F$45</f>
        <v>0</v>
      </c>
      <c r="F167">
        <f>-0.122222726689958*$F$46</f>
        <v>0</v>
      </c>
      <c r="G167">
        <f>-0.194326744131728*$F$47</f>
        <v>0</v>
      </c>
      <c r="H167">
        <f>-0.210825616308728*$F$48</f>
        <v>0</v>
      </c>
      <c r="I167">
        <f>0.215529458573847*$F$49</f>
        <v>0</v>
      </c>
      <c r="J167">
        <f>-0.539221479460151*$F$50</f>
        <v>0</v>
      </c>
      <c r="K167">
        <f>-0.171716469754841*$F$51</f>
        <v>0</v>
      </c>
      <c r="L167">
        <f>-0.18872043434762*$F$52</f>
        <v>0</v>
      </c>
      <c r="M167">
        <f>-0.14307551753213*$F$53</f>
        <v>0</v>
      </c>
      <c r="N167">
        <f>0.453377777933282*$F$54</f>
        <v>0</v>
      </c>
      <c r="P167">
        <v>911360.97085279447</v>
      </c>
      <c r="Q167">
        <v>-13199.683848503801</v>
      </c>
      <c r="R167">
        <v>352740.79073382349</v>
      </c>
      <c r="S167">
        <v>692295.67495938926</v>
      </c>
      <c r="T167">
        <v>6.9144440913170294E-7</v>
      </c>
      <c r="U167">
        <v>3.039758709319165E-11</v>
      </c>
      <c r="V167">
        <v>2.2515101082489923E-9</v>
      </c>
      <c r="W167">
        <v>1.3280188296146E-7</v>
      </c>
      <c r="X167">
        <v>4.7303892602699249E-6</v>
      </c>
      <c r="Y167">
        <v>1.2137930159852771E-6</v>
      </c>
      <c r="Z167">
        <v>0.6867895695956665</v>
      </c>
      <c r="AA167">
        <v>6.8998471377275106E-2</v>
      </c>
      <c r="AB167">
        <v>10.453377777933282</v>
      </c>
      <c r="AD167">
        <v>0.98563969061782675</v>
      </c>
      <c r="AE167">
        <v>0.3293359961106348</v>
      </c>
      <c r="AF167">
        <v>1.0414267396388714</v>
      </c>
      <c r="AG167">
        <v>2272450.1960892621</v>
      </c>
    </row>
    <row r="168" spans="2:33" ht="12.75" hidden="1" customHeight="1">
      <c r="B168">
        <f>0.0622434672151834*$F$42</f>
        <v>0</v>
      </c>
      <c r="C168">
        <f>-0.0556754474474169*$F$43</f>
        <v>0</v>
      </c>
      <c r="D168">
        <f>-0.11650865447236*$F$44</f>
        <v>0</v>
      </c>
      <c r="E168">
        <f>0.229047406221251*$F$45</f>
        <v>0</v>
      </c>
      <c r="F168">
        <f>0.517957949542465*$F$46</f>
        <v>0</v>
      </c>
      <c r="G168">
        <f>-0.378092058512735*$F$47</f>
        <v>0</v>
      </c>
      <c r="H168">
        <f>0.209494807875898*$F$48</f>
        <v>0</v>
      </c>
      <c r="I168">
        <f>-0.62419181296205*$F$49</f>
        <v>0</v>
      </c>
      <c r="J168">
        <f>0.537126449584975*$F$50</f>
        <v>0</v>
      </c>
      <c r="K168">
        <f>-0.120389689065751*$F$51</f>
        <v>0</v>
      </c>
      <c r="L168">
        <f>-0.00586988812109158*$F$52</f>
        <v>0</v>
      </c>
      <c r="M168">
        <f>0.0539106534280162*$F$53</f>
        <v>0</v>
      </c>
      <c r="N168">
        <f>0.293773604864949*$F$54</f>
        <v>0</v>
      </c>
      <c r="P168">
        <v>968150.02491079213</v>
      </c>
      <c r="Q168">
        <v>-12728.735427267307</v>
      </c>
      <c r="R168">
        <v>350304.99155044951</v>
      </c>
      <c r="S168">
        <v>740409.55217054114</v>
      </c>
      <c r="T168">
        <v>7.3625705646797249E-7</v>
      </c>
      <c r="U168">
        <v>2.9827914618610523E-11</v>
      </c>
      <c r="V168">
        <v>2.3481838058114567E-9</v>
      </c>
      <c r="W168">
        <v>1.2188550643149335E-7</v>
      </c>
      <c r="X168">
        <v>5.2685632247924877E-6</v>
      </c>
      <c r="Y168">
        <v>1.2201318734003798E-6</v>
      </c>
      <c r="Z168">
        <v>0.6995891078315235</v>
      </c>
      <c r="AA168">
        <v>7.0377374573996121E-2</v>
      </c>
      <c r="AB168">
        <v>10.293773604864949</v>
      </c>
      <c r="AD168">
        <v>1.1132508801921268</v>
      </c>
      <c r="AE168">
        <v>0.35509512805363769</v>
      </c>
      <c r="AF168">
        <v>0.91977430337446009</v>
      </c>
      <c r="AG168">
        <v>2650151.2255711472</v>
      </c>
    </row>
    <row r="169" spans="2:33" ht="12.75" hidden="1" customHeight="1">
      <c r="B169">
        <f>-0.0411757694858278*$F$42</f>
        <v>0</v>
      </c>
      <c r="C169">
        <f>0.211857374940685*$F$43</f>
        <v>0</v>
      </c>
      <c r="D169">
        <f>0.422270871079085*$F$44</f>
        <v>0</v>
      </c>
      <c r="E169">
        <f>0.334890268763324*$F$45</f>
        <v>0</v>
      </c>
      <c r="F169">
        <f>0.0591152854259488*$F$46</f>
        <v>0</v>
      </c>
      <c r="G169">
        <f>-0.064822440983316*$F$47</f>
        <v>0</v>
      </c>
      <c r="H169">
        <f>-0.263572620757013*$F$48</f>
        <v>0</v>
      </c>
      <c r="I169">
        <f>-0.00896854071063048*$F$49</f>
        <v>0</v>
      </c>
      <c r="J169">
        <f>-0.12654118116527*$F$50</f>
        <v>0</v>
      </c>
      <c r="K169">
        <f>0.389989455724803*$F$51</f>
        <v>0</v>
      </c>
      <c r="L169">
        <f>0.352369687470741*$F$52</f>
        <v>0</v>
      </c>
      <c r="M169">
        <f>-0.0525764430975963*$F$53</f>
        <v>0</v>
      </c>
      <c r="N169">
        <f>-0.32440299345048*$F$54</f>
        <v>0</v>
      </c>
      <c r="P169">
        <v>958199.42722205911</v>
      </c>
      <c r="Q169">
        <v>-13071.177439924077</v>
      </c>
      <c r="R169">
        <v>369401.1945568152</v>
      </c>
      <c r="S169">
        <v>748070.78037127887</v>
      </c>
      <c r="T169">
        <v>7.0413806997981636E-7</v>
      </c>
      <c r="U169">
        <v>3.0799050432951723E-11</v>
      </c>
      <c r="V169">
        <v>2.2393782972258869E-9</v>
      </c>
      <c r="W169">
        <v>1.298834089707618E-7</v>
      </c>
      <c r="X169">
        <v>4.9367294094173653E-6</v>
      </c>
      <c r="Y169">
        <v>1.2831636977820134E-6</v>
      </c>
      <c r="Z169">
        <v>0.72466587812295191</v>
      </c>
      <c r="AA169">
        <v>6.9631964898316828E-2</v>
      </c>
      <c r="AB169">
        <v>9.6755970065495198</v>
      </c>
      <c r="AD169">
        <v>1.1586313585820309</v>
      </c>
      <c r="AE169">
        <v>0.34301351792789447</v>
      </c>
      <c r="AF169">
        <v>0.88366338859770921</v>
      </c>
      <c r="AG169">
        <v>2578165.6003059954</v>
      </c>
    </row>
    <row r="170" spans="2:33" ht="12.75" hidden="1" customHeight="1">
      <c r="B170">
        <f>0.744693646056882*$F$42</f>
        <v>0</v>
      </c>
      <c r="C170">
        <f>-0.293204514718355*$F$43</f>
        <v>0</v>
      </c>
      <c r="D170">
        <f>0.000944296825548075*$F$44</f>
        <v>0</v>
      </c>
      <c r="E170">
        <f>-0.182273323712695*$F$45</f>
        <v>0</v>
      </c>
      <c r="F170">
        <f>-0.43197033797239*$F$46</f>
        <v>0</v>
      </c>
      <c r="G170">
        <f>-0.128700978449468*$F$47</f>
        <v>0</v>
      </c>
      <c r="H170">
        <f>0.197459802795923*$F$48</f>
        <v>0</v>
      </c>
      <c r="I170">
        <f>-0.243524416920202*$F$49</f>
        <v>0</v>
      </c>
      <c r="J170">
        <f>-0.104771549006316*$F$50</f>
        <v>0</v>
      </c>
      <c r="K170">
        <f>-0.0243365503482923*$F$51</f>
        <v>0</v>
      </c>
      <c r="L170">
        <f>0.743721243504574*$F$52</f>
        <v>0</v>
      </c>
      <c r="M170">
        <f>0.107430912276243*$F$53</f>
        <v>0</v>
      </c>
      <c r="N170">
        <f>-0.130472295479957*$F$54</f>
        <v>0</v>
      </c>
      <c r="P170">
        <v>1033812.7332122464</v>
      </c>
      <c r="Q170">
        <v>-12424.698221160506</v>
      </c>
      <c r="R170">
        <v>354467.9288843915</v>
      </c>
      <c r="S170">
        <v>710636.90713776625</v>
      </c>
      <c r="T170">
        <v>6.6976207634193259E-7</v>
      </c>
      <c r="U170">
        <v>3.0601026966806652E-11</v>
      </c>
      <c r="V170">
        <v>2.3454157546430622E-9</v>
      </c>
      <c r="W170">
        <v>1.2683418258003737E-7</v>
      </c>
      <c r="X170">
        <v>4.9476142254968425E-6</v>
      </c>
      <c r="Y170">
        <v>1.2319944360319858E-6</v>
      </c>
      <c r="Z170">
        <v>0.75206048704532014</v>
      </c>
      <c r="AA170">
        <v>7.0752016385933703E-2</v>
      </c>
      <c r="AB170">
        <v>9.869527704520042</v>
      </c>
      <c r="AD170">
        <v>1.0583137494271881</v>
      </c>
      <c r="AE170">
        <v>0.2896122465073917</v>
      </c>
      <c r="AF170">
        <v>0.97143723230103296</v>
      </c>
      <c r="AG170">
        <v>2326853.92878123</v>
      </c>
    </row>
    <row r="171" spans="2:33" ht="12.75" hidden="1" customHeight="1">
      <c r="B171">
        <f>0.330477788285663*$F$42</f>
        <v>0</v>
      </c>
      <c r="C171">
        <f>0.077422358171124*$F$43</f>
        <v>0</v>
      </c>
      <c r="D171">
        <f>-0.199634754378263*$F$44</f>
        <v>0</v>
      </c>
      <c r="E171">
        <f>0.0343612712186986*$F$45</f>
        <v>0</v>
      </c>
      <c r="F171">
        <f>-0.417127537445455*$F$46</f>
        <v>0</v>
      </c>
      <c r="G171">
        <f>-0.350238582863515*$F$47</f>
        <v>0</v>
      </c>
      <c r="H171">
        <f>0.355185418728287*$F$48</f>
        <v>0</v>
      </c>
      <c r="I171">
        <f>0.755489297202621*$F$49</f>
        <v>0</v>
      </c>
      <c r="J171">
        <f>0.120061576995604*$F$50</f>
        <v>0</v>
      </c>
      <c r="K171">
        <f>-0.767803376542483*$F$51</f>
        <v>0</v>
      </c>
      <c r="L171">
        <f>0.436272452055239*$F$52</f>
        <v>0</v>
      </c>
      <c r="M171">
        <f>-0.341208647545573*$F$53</f>
        <v>0</v>
      </c>
      <c r="N171">
        <f>-0.13917436614316*$F$54</f>
        <v>0</v>
      </c>
      <c r="P171">
        <v>993958.49053502793</v>
      </c>
      <c r="Q171">
        <v>-12899.100618459039</v>
      </c>
      <c r="R171">
        <v>347358.71611931495</v>
      </c>
      <c r="S171">
        <v>726317.57778557716</v>
      </c>
      <c r="T171">
        <v>6.7080107237881809E-7</v>
      </c>
      <c r="U171">
        <v>2.9914260393123105E-11</v>
      </c>
      <c r="V171">
        <v>2.3816926463075062E-9</v>
      </c>
      <c r="W171">
        <v>1.3982136086363408E-7</v>
      </c>
      <c r="X171">
        <v>5.0600307884978031E-6</v>
      </c>
      <c r="Y171">
        <v>1.1401762829970034E-6</v>
      </c>
      <c r="Z171">
        <v>0.73053907164386678</v>
      </c>
      <c r="AA171">
        <v>6.7611539467180987E-2</v>
      </c>
      <c r="AB171">
        <v>9.860825633856841</v>
      </c>
      <c r="AD171">
        <v>1.1339732038039587</v>
      </c>
      <c r="AE171">
        <v>0.33002740346761306</v>
      </c>
      <c r="AF171">
        <v>0.90353766388622503</v>
      </c>
      <c r="AG171">
        <v>2563176.2063839487</v>
      </c>
    </row>
    <row r="172" spans="2:33" ht="12.75" hidden="1" customHeight="1">
      <c r="B172">
        <f>0.24348524449263*$F$42</f>
        <v>0</v>
      </c>
      <c r="C172">
        <f>0.316155713596922*$F$43</f>
        <v>0</v>
      </c>
      <c r="D172">
        <f>-0.285828410917741*$F$44</f>
        <v>0</v>
      </c>
      <c r="E172">
        <f>-0.399618419160895*$F$45</f>
        <v>0</v>
      </c>
      <c r="F172">
        <f>0.509847296384662*$F$46</f>
        <v>0</v>
      </c>
      <c r="G172">
        <f>-0.00876483800402761*$F$47</f>
        <v>0</v>
      </c>
      <c r="H172">
        <f>-0.0329942332165412*$F$48</f>
        <v>0</v>
      </c>
      <c r="I172">
        <f>-0.355374002228238*$F$49</f>
        <v>0</v>
      </c>
      <c r="J172">
        <f>0.105258475084807*$F$50</f>
        <v>0</v>
      </c>
      <c r="K172">
        <f>-0.474152358852545*$F$51</f>
        <v>0</v>
      </c>
      <c r="L172">
        <f>0.148961382782102*$F$52</f>
        <v>0</v>
      </c>
      <c r="M172">
        <f>0.446353932703957*$F$53</f>
        <v>0</v>
      </c>
      <c r="N172">
        <f>0.388574272846953*$F$54</f>
        <v>0</v>
      </c>
      <c r="P172">
        <v>985588.40550233214</v>
      </c>
      <c r="Q172">
        <v>-13204.67931340406</v>
      </c>
      <c r="R172">
        <v>344303.71591036278</v>
      </c>
      <c r="S172">
        <v>694904.8083023075</v>
      </c>
      <c r="T172">
        <v>7.3568931074692634E-7</v>
      </c>
      <c r="U172">
        <v>3.097282900218752E-11</v>
      </c>
      <c r="V172">
        <v>2.2924113263601955E-9</v>
      </c>
      <c r="W172">
        <v>1.253801379710329E-7</v>
      </c>
      <c r="X172">
        <v>5.0526292375424033E-6</v>
      </c>
      <c r="Y172">
        <v>1.1764421836817106E-6</v>
      </c>
      <c r="Z172">
        <v>0.71042729679474714</v>
      </c>
      <c r="AA172">
        <v>7.3124477528927714E-2</v>
      </c>
      <c r="AB172">
        <v>10.388574272846952</v>
      </c>
      <c r="AD172">
        <v>0.98234977316782257</v>
      </c>
      <c r="AE172">
        <v>0.30683007626684478</v>
      </c>
      <c r="AF172">
        <v>1.0459120355808473</v>
      </c>
      <c r="AG172">
        <v>2297040.5464745392</v>
      </c>
    </row>
    <row r="173" spans="2:33" ht="12.75" hidden="1" customHeight="1">
      <c r="B173">
        <f>0.0529843161476159*$F$42</f>
        <v>0</v>
      </c>
      <c r="C173">
        <f>-0.0364711922783237*$F$43</f>
        <v>0</v>
      </c>
      <c r="D173">
        <f>0.0000980788675547042*$F$44</f>
        <v>0</v>
      </c>
      <c r="E173">
        <f>-0.174366241403692*$F$45</f>
        <v>0</v>
      </c>
      <c r="F173">
        <f>0.102562456445817*$F$46</f>
        <v>0</v>
      </c>
      <c r="G173">
        <f>-0.22236113533734*$F$47</f>
        <v>0</v>
      </c>
      <c r="H173">
        <f>0.131456595432089*$F$48</f>
        <v>0</v>
      </c>
      <c r="I173">
        <f>-0.0834630877289023*$F$49</f>
        <v>0</v>
      </c>
      <c r="J173">
        <f>-0.0206110427098277*$F$50</f>
        <v>0</v>
      </c>
      <c r="K173">
        <f>-0.0388907760532828*$F$51</f>
        <v>0</v>
      </c>
      <c r="L173">
        <f>0.479625642338289*$F$52</f>
        <v>0</v>
      </c>
      <c r="M173">
        <f>-0.330393029551813*$F$53</f>
        <v>0</v>
      </c>
      <c r="N173">
        <f>0.51491141307928*$F$54</f>
        <v>0</v>
      </c>
      <c r="P173">
        <v>967259.14532057685</v>
      </c>
      <c r="Q173">
        <v>-12753.316873883747</v>
      </c>
      <c r="R173">
        <v>354437.93600391416</v>
      </c>
      <c r="S173">
        <v>711209.24579638115</v>
      </c>
      <c r="T173">
        <v>7.071793719512071E-7</v>
      </c>
      <c r="U173">
        <v>3.0310680480454251E-11</v>
      </c>
      <c r="V173">
        <v>2.3302350169493804E-9</v>
      </c>
      <c r="W173">
        <v>1.2891497985952426E-7</v>
      </c>
      <c r="X173">
        <v>4.9896944786450871E-6</v>
      </c>
      <c r="Y173">
        <v>1.2301969891574197E-6</v>
      </c>
      <c r="Z173">
        <v>0.73357379496368014</v>
      </c>
      <c r="AA173">
        <v>6.7687248793137311E-2</v>
      </c>
      <c r="AB173">
        <v>10.514911413079279</v>
      </c>
      <c r="AD173">
        <v>1.115096763522782</v>
      </c>
      <c r="AE173">
        <v>0.31973906906226418</v>
      </c>
      <c r="AF173">
        <v>0.91896830366553517</v>
      </c>
      <c r="AG173">
        <v>2385653.80567548</v>
      </c>
    </row>
    <row r="174" spans="2:33" ht="12.75" hidden="1" customHeight="1">
      <c r="B174">
        <f>-0.400266696906782*$F$42</f>
        <v>0</v>
      </c>
      <c r="C174">
        <f>-0.442704493697017*$F$43</f>
        <v>0</v>
      </c>
      <c r="D174">
        <f>-0.760143984606876*$F$44</f>
        <v>0</v>
      </c>
      <c r="E174">
        <f>0.108375703225479*$F$45</f>
        <v>0</v>
      </c>
      <c r="F174">
        <f>-0.0582228805261676*$F$46</f>
        <v>0</v>
      </c>
      <c r="G174">
        <f>0.427304341894443*$F$47</f>
        <v>0</v>
      </c>
      <c r="H174">
        <f>0.0818598744544258*$F$48</f>
        <v>0</v>
      </c>
      <c r="I174">
        <f>0.219903511482327*$F$49</f>
        <v>0</v>
      </c>
      <c r="J174">
        <f>-0.0431981243125964*$F$50</f>
        <v>0</v>
      </c>
      <c r="K174">
        <f>0.252998076224953*$F$51</f>
        <v>0</v>
      </c>
      <c r="L174">
        <f>0.0664675183168247*$F$52</f>
        <v>0</v>
      </c>
      <c r="M174">
        <f>-0.16614593787705*$F$53</f>
        <v>0</v>
      </c>
      <c r="N174">
        <f>-0.0697043714203606*$F$54</f>
        <v>0</v>
      </c>
      <c r="P174">
        <v>923649.09145841328</v>
      </c>
      <c r="Q174">
        <v>-12233.338248067817</v>
      </c>
      <c r="R174">
        <v>327492.33749916946</v>
      </c>
      <c r="S174">
        <v>731674.9674114153</v>
      </c>
      <c r="T174">
        <v>6.959243983631682E-7</v>
      </c>
      <c r="U174">
        <v>3.2324643459872777E-11</v>
      </c>
      <c r="V174">
        <v>2.3188277711245179E-9</v>
      </c>
      <c r="W174">
        <v>1.3285874564927025E-7</v>
      </c>
      <c r="X174">
        <v>4.9784009378437024E-6</v>
      </c>
      <c r="Y174">
        <v>1.2662452624137816E-6</v>
      </c>
      <c r="Z174">
        <v>0.70465272628217768</v>
      </c>
      <c r="AA174">
        <v>6.8836978434860654E-2</v>
      </c>
      <c r="AB174">
        <v>9.9302956285796391</v>
      </c>
      <c r="AD174">
        <v>1.2431545868934342</v>
      </c>
      <c r="AE174">
        <v>0.38872438996505337</v>
      </c>
      <c r="AF174">
        <v>0.82138223421135903</v>
      </c>
      <c r="AG174">
        <v>2826828.4532989487</v>
      </c>
    </row>
    <row r="175" spans="2:33" ht="12.75" hidden="1" customHeight="1">
      <c r="B175">
        <f>-0.347642811600517*$F$42</f>
        <v>0</v>
      </c>
      <c r="C175">
        <f>-0.243052801593702*$F$43</f>
        <v>0</v>
      </c>
      <c r="D175">
        <f>-0.170944585239961*$F$44</f>
        <v>0</v>
      </c>
      <c r="E175">
        <f>0.114983703891364*$F$45</f>
        <v>0</v>
      </c>
      <c r="F175">
        <f>-0.107990699178018*$F$46</f>
        <v>0</v>
      </c>
      <c r="G175">
        <f>0.603770840771892*$F$47</f>
        <v>0</v>
      </c>
      <c r="H175">
        <f>-0.0700492486226404*$F$48</f>
        <v>0</v>
      </c>
      <c r="I175">
        <f>0.123451980653512*$F$49</f>
        <v>0</v>
      </c>
      <c r="J175">
        <f>-0.0565352967284757*$F$50</f>
        <v>0</v>
      </c>
      <c r="K175">
        <f>0.0666392101139758*$F$51</f>
        <v>0</v>
      </c>
      <c r="L175">
        <f>-0.454419775426057*$F$52</f>
        <v>0</v>
      </c>
      <c r="M175">
        <f>-0.451599221930751*$F$53</f>
        <v>0</v>
      </c>
      <c r="N175">
        <f>0.267431652491596*$F$54</f>
        <v>0</v>
      </c>
      <c r="P175">
        <v>928712.35752190719</v>
      </c>
      <c r="Q175">
        <v>-12488.892413960062</v>
      </c>
      <c r="R175">
        <v>348375.59457918449</v>
      </c>
      <c r="S175">
        <v>732153.27459090855</v>
      </c>
      <c r="T175">
        <v>6.9244065105753874E-7</v>
      </c>
      <c r="U175">
        <v>3.2871689606392864E-11</v>
      </c>
      <c r="V175">
        <v>2.2838886728167929E-9</v>
      </c>
      <c r="W175">
        <v>1.3160487574849566E-7</v>
      </c>
      <c r="X175">
        <v>4.9717323516357621E-6</v>
      </c>
      <c r="Y175">
        <v>1.2432299424490761E-6</v>
      </c>
      <c r="Z175">
        <v>0.66819061572017602</v>
      </c>
      <c r="AA175">
        <v>6.6838805446484753E-2</v>
      </c>
      <c r="AB175">
        <v>10.267431652491597</v>
      </c>
      <c r="AD175">
        <v>1.0597668179822253</v>
      </c>
      <c r="AE175">
        <v>0.37070519694801768</v>
      </c>
      <c r="AF175">
        <v>0.96680340392563657</v>
      </c>
      <c r="AG175">
        <v>2628290.3474826994</v>
      </c>
    </row>
    <row r="176" spans="2:33" ht="12.75" hidden="1" customHeight="1">
      <c r="B176">
        <f>-0.0288901448285005*$F$42</f>
        <v>0</v>
      </c>
      <c r="C176">
        <f>0.378632535625554*$F$43</f>
        <v>0</v>
      </c>
      <c r="D176">
        <f>0.0312811789440785*$F$44</f>
        <v>0</v>
      </c>
      <c r="E176">
        <f>-0.735024832867926*$F$45</f>
        <v>0</v>
      </c>
      <c r="F176">
        <f>-0.193340542439704*$F$46</f>
        <v>0</v>
      </c>
      <c r="G176">
        <f>-0.172675046658548*$F$47</f>
        <v>0</v>
      </c>
      <c r="H176">
        <f>0.403442258891884*$F$48</f>
        <v>0</v>
      </c>
      <c r="I176">
        <f>-0.377449417334663*$F$49</f>
        <v>0</v>
      </c>
      <c r="J176">
        <f>-0.318606495478587*$F$50</f>
        <v>0</v>
      </c>
      <c r="K176">
        <f>0.0153212675124242*$F$51</f>
        <v>0</v>
      </c>
      <c r="L176">
        <f>0.388841288010534*$F$52</f>
        <v>0</v>
      </c>
      <c r="M176">
        <f>-0.0136971462541533*$F$53</f>
        <v>0</v>
      </c>
      <c r="N176">
        <f>0.166541661516728*$F$54</f>
        <v>0</v>
      </c>
      <c r="P176">
        <v>959381.50235836359</v>
      </c>
      <c r="Q176">
        <v>-13284.649645600708</v>
      </c>
      <c r="R176">
        <v>355543.17252681218</v>
      </c>
      <c r="S176">
        <v>670627.07229172729</v>
      </c>
      <c r="T176">
        <v>6.8646616202922071E-7</v>
      </c>
      <c r="U176">
        <v>3.0464707355358504E-11</v>
      </c>
      <c r="V176">
        <v>2.3927917195451331E-9</v>
      </c>
      <c r="W176">
        <v>1.2509315757464937E-7</v>
      </c>
      <c r="X176">
        <v>4.8406967522607067E-6</v>
      </c>
      <c r="Y176">
        <v>1.2368921765377846E-6</v>
      </c>
      <c r="Z176">
        <v>0.72721889016073726</v>
      </c>
      <c r="AA176">
        <v>6.9904119976220938E-2</v>
      </c>
      <c r="AB176">
        <v>10.166541661516728</v>
      </c>
      <c r="AD176">
        <v>0.93332293421203549</v>
      </c>
      <c r="AE176">
        <v>0.27848422022100588</v>
      </c>
      <c r="AF176">
        <v>1.1023379938745252</v>
      </c>
      <c r="AG176">
        <v>2017129.3098695171</v>
      </c>
    </row>
    <row r="177" spans="2:33" ht="12.75" hidden="1" customHeight="1">
      <c r="B177">
        <f>0.560489712300058*$F$42</f>
        <v>0</v>
      </c>
      <c r="C177">
        <f>0.243315099950832*$F$43</f>
        <v>0</v>
      </c>
      <c r="D177">
        <f>0.242328127998681*$F$44</f>
        <v>0</v>
      </c>
      <c r="E177">
        <f>0.0986775159689279*$F$45</f>
        <v>0</v>
      </c>
      <c r="F177">
        <f>0.0853157830362155*$F$46</f>
        <v>0</v>
      </c>
      <c r="G177">
        <f>0.0855828804666773*$F$47</f>
        <v>0</v>
      </c>
      <c r="H177">
        <f>-0.0103913566207578*$F$48</f>
        <v>0</v>
      </c>
      <c r="I177">
        <f>0.515531672617657*$F$49</f>
        <v>0</v>
      </c>
      <c r="J177">
        <f>-0.224075547969197*$F$50</f>
        <v>0</v>
      </c>
      <c r="K177">
        <f>-0.0608131462862561*$F$51</f>
        <v>0</v>
      </c>
      <c r="L177">
        <f>0.245454651323053*$F$52</f>
        <v>0</v>
      </c>
      <c r="M177">
        <f>0.266572826240052*$F$53</f>
        <v>0</v>
      </c>
      <c r="N177">
        <f>0.479079377665643*$F$54</f>
        <v>0</v>
      </c>
      <c r="P177">
        <v>1016089.3454174278</v>
      </c>
      <c r="Q177">
        <v>-13111.443327937064</v>
      </c>
      <c r="R177">
        <v>363023.40366383595</v>
      </c>
      <c r="S177">
        <v>730972.98313093174</v>
      </c>
      <c r="T177">
        <v>7.0597210481253501E-7</v>
      </c>
      <c r="U177">
        <v>3.12653069294467E-11</v>
      </c>
      <c r="V177">
        <v>2.2976099879772254E-9</v>
      </c>
      <c r="W177">
        <v>1.3670191174402956E-7</v>
      </c>
      <c r="X177">
        <v>4.887962226015402E-6</v>
      </c>
      <c r="Y177">
        <v>1.2274895764336474E-6</v>
      </c>
      <c r="Z177">
        <v>0.71718182559261368</v>
      </c>
      <c r="AA177">
        <v>7.1866009783680379E-2</v>
      </c>
      <c r="AB177">
        <v>10.479079377665643</v>
      </c>
      <c r="AD177">
        <v>1.0270631321389991</v>
      </c>
      <c r="AE177">
        <v>0.31284766144788506</v>
      </c>
      <c r="AF177">
        <v>1.0000952907521716</v>
      </c>
      <c r="AG177">
        <v>2428110.764742556</v>
      </c>
    </row>
    <row r="178" spans="2:33" ht="12.75" hidden="1" customHeight="1">
      <c r="B178">
        <f>0.316972936930107*$F$42</f>
        <v>0</v>
      </c>
      <c r="C178">
        <f>-0.455472066186294*$F$43</f>
        <v>0</v>
      </c>
      <c r="D178">
        <f>-0.317261974699879*$F$44</f>
        <v>0</v>
      </c>
      <c r="E178">
        <f>-0.409777081040432*$F$45</f>
        <v>0</v>
      </c>
      <c r="F178">
        <f>0.267018767973617*$F$46</f>
        <v>0</v>
      </c>
      <c r="G178">
        <f>-0.241268075518049*$F$47</f>
        <v>0</v>
      </c>
      <c r="H178">
        <f>-0.536586924975313*$F$48</f>
        <v>0</v>
      </c>
      <c r="I178">
        <f>0.0372850554190173*$F$49</f>
        <v>0</v>
      </c>
      <c r="J178">
        <f>-0.108537876150151*$F$50</f>
        <v>0</v>
      </c>
      <c r="K178">
        <f>0.343759482693543*$F$51</f>
        <v>0</v>
      </c>
      <c r="L178">
        <f>0.367578303537454*$F$52</f>
        <v>0</v>
      </c>
      <c r="M178">
        <f>-0.066940619200774*$F$53</f>
        <v>0</v>
      </c>
      <c r="N178">
        <f>-0.0887428006261965*$F$54</f>
        <v>0</v>
      </c>
      <c r="P178">
        <v>992659.10613641958</v>
      </c>
      <c r="Q178">
        <v>-12216.995755281543</v>
      </c>
      <c r="R178">
        <v>343189.60209064611</v>
      </c>
      <c r="S178">
        <v>694169.49346856202</v>
      </c>
      <c r="T178">
        <v>7.1869131375815318E-7</v>
      </c>
      <c r="U178">
        <v>3.0252068965894055E-11</v>
      </c>
      <c r="V178">
        <v>2.1765850072556779E-9</v>
      </c>
      <c r="W178">
        <v>1.3048470572044722E-7</v>
      </c>
      <c r="X178">
        <v>4.9457310619249251E-6</v>
      </c>
      <c r="Y178">
        <v>1.2774542961126525E-6</v>
      </c>
      <c r="Z178">
        <v>0.72573048124762174</v>
      </c>
      <c r="AA178">
        <v>6.9531415665594593E-2</v>
      </c>
      <c r="AB178">
        <v>9.9112571993738037</v>
      </c>
      <c r="AD178">
        <v>1.0105987592647498</v>
      </c>
      <c r="AE178">
        <v>0.30248147741813008</v>
      </c>
      <c r="AF178">
        <v>1.0174086178543904</v>
      </c>
      <c r="AG178">
        <v>2312925.5177617338</v>
      </c>
    </row>
    <row r="179" spans="2:33" ht="12.75" hidden="1" customHeight="1">
      <c r="B179">
        <f>-0.229266009803173*$F$42</f>
        <v>0</v>
      </c>
      <c r="C179">
        <f>0.508842474238173*$F$43</f>
        <v>0</v>
      </c>
      <c r="D179">
        <f>-0.0371709241681905*$F$44</f>
        <v>0</v>
      </c>
      <c r="E179">
        <f>-0.161503824511426*$F$45</f>
        <v>0</v>
      </c>
      <c r="F179">
        <f>-0.0943840154118589*$F$46</f>
        <v>0</v>
      </c>
      <c r="G179">
        <f>-0.357600673757264*$F$47</f>
        <v>0</v>
      </c>
      <c r="H179">
        <f>0.190777281384295*$F$48</f>
        <v>0</v>
      </c>
      <c r="I179">
        <f>-0.438345007632114*$F$49</f>
        <v>0</v>
      </c>
      <c r="J179">
        <f>0.302035859649614*$F$50</f>
        <v>0</v>
      </c>
      <c r="K179">
        <f>-0.37781357975593*$F$51</f>
        <v>0</v>
      </c>
      <c r="L179">
        <f>-0.0128357859989566*$F$52</f>
        <v>0</v>
      </c>
      <c r="M179">
        <f>0.0648852505288293*$F$53</f>
        <v>0</v>
      </c>
      <c r="N179">
        <f>-0.361577511046895*$F$54</f>
        <v>0</v>
      </c>
      <c r="P179">
        <v>940102.11408885673</v>
      </c>
      <c r="Q179">
        <v>-13451.318367024862</v>
      </c>
      <c r="R179">
        <v>353116.99410827138</v>
      </c>
      <c r="S179">
        <v>712140.26663858001</v>
      </c>
      <c r="T179">
        <v>6.9339311892116985E-7</v>
      </c>
      <c r="U179">
        <v>2.9891437911352485E-11</v>
      </c>
      <c r="V179">
        <v>2.343878774718388E-9</v>
      </c>
      <c r="W179">
        <v>1.2430151490078252E-7</v>
      </c>
      <c r="X179">
        <v>5.1510179298248073E-6</v>
      </c>
      <c r="Y179">
        <v>1.1883400229001426E-6</v>
      </c>
      <c r="Z179">
        <v>0.69910149498007301</v>
      </c>
      <c r="AA179">
        <v>7.045419675370182E-2</v>
      </c>
      <c r="AB179">
        <v>9.6384224889531041</v>
      </c>
      <c r="AD179">
        <v>1.03006994954481</v>
      </c>
      <c r="AE179">
        <v>0.33323558465915226</v>
      </c>
      <c r="AF179">
        <v>0.99711168764603975</v>
      </c>
      <c r="AG179">
        <v>2418383.6017610827</v>
      </c>
    </row>
    <row r="180" spans="2:33" ht="12.75" hidden="1" customHeight="1">
      <c r="B180">
        <f>0.448263496246467*$F$42</f>
        <v>0</v>
      </c>
      <c r="C180">
        <f>0.297681849285721*$F$43</f>
        <v>0</v>
      </c>
      <c r="D180">
        <f>0.0720949730190928*$F$44</f>
        <v>0</v>
      </c>
      <c r="E180">
        <f>-0.441373187095703*$F$45</f>
        <v>0</v>
      </c>
      <c r="F180">
        <f>-0.232159295470701*$F$46</f>
        <v>0</v>
      </c>
      <c r="G180">
        <f>0.060698800587955*$F$47</f>
        <v>0</v>
      </c>
      <c r="H180">
        <f>-0.185583434905781*$F$48</f>
        <v>0</v>
      </c>
      <c r="I180">
        <f>-0.477066286622551*$F$49</f>
        <v>0</v>
      </c>
      <c r="J180">
        <f>0.33738727772052*$F$50</f>
        <v>0</v>
      </c>
      <c r="K180">
        <f>0.294309628784382*$F$51</f>
        <v>0</v>
      </c>
      <c r="L180">
        <f>-0.129009380741407*$F$52</f>
        <v>0</v>
      </c>
      <c r="M180">
        <f>0.28778846520557*$F$53</f>
        <v>0</v>
      </c>
      <c r="N180">
        <f>0.152040131026652*$F$54</f>
        <v>0</v>
      </c>
      <c r="P180">
        <v>1005291.3743464695</v>
      </c>
      <c r="Q180">
        <v>-13181.032767085722</v>
      </c>
      <c r="R180">
        <v>356989.75403214828</v>
      </c>
      <c r="S180">
        <v>691882.4712458977</v>
      </c>
      <c r="T180">
        <v>6.8374884931705086E-7</v>
      </c>
      <c r="U180">
        <v>3.1188166281822663E-11</v>
      </c>
      <c r="V180">
        <v>2.2573158099716703E-9</v>
      </c>
      <c r="W180">
        <v>1.2379813827390685E-7</v>
      </c>
      <c r="X180">
        <v>5.1686936388602604E-6</v>
      </c>
      <c r="Y180">
        <v>1.2713472391548712E-6</v>
      </c>
      <c r="Z180">
        <v>0.69096934334810145</v>
      </c>
      <c r="AA180">
        <v>7.2014519256438994E-2</v>
      </c>
      <c r="AB180">
        <v>10.152040131026652</v>
      </c>
      <c r="AD180">
        <v>0.85293297803164181</v>
      </c>
      <c r="AE180">
        <v>0.28573638416319025</v>
      </c>
      <c r="AF180">
        <v>1.2066402163896819</v>
      </c>
      <c r="AG180">
        <v>2134605.6396590052</v>
      </c>
    </row>
    <row r="181" spans="2:33" ht="12.75" hidden="1" customHeight="1">
      <c r="B181">
        <f>-0.0387236568677701*$F$42</f>
        <v>0</v>
      </c>
      <c r="C181">
        <f>0.28075146788172*$F$43</f>
        <v>0</v>
      </c>
      <c r="D181">
        <f>-0.0998853741167941*$F$44</f>
        <v>0</v>
      </c>
      <c r="E181">
        <f>-0.0282514650554057*$F$45</f>
        <v>0</v>
      </c>
      <c r="F181">
        <f>-0.182420532997532*$F$46</f>
        <v>0</v>
      </c>
      <c r="G181">
        <f>-0.070517620100202*$F$47</f>
        <v>0</v>
      </c>
      <c r="H181">
        <f>0.395050375390387*$F$48</f>
        <v>0</v>
      </c>
      <c r="I181">
        <f>0.111297353398865*$F$49</f>
        <v>0</v>
      </c>
      <c r="J181">
        <f>-0.0759979248096584*$F$50</f>
        <v>0</v>
      </c>
      <c r="K181">
        <f>0.177419419410442*$F$51</f>
        <v>0</v>
      </c>
      <c r="L181">
        <f>-0.49065763806431*$F$52</f>
        <v>0</v>
      </c>
      <c r="M181">
        <f>0.165293395619948*$F$53</f>
        <v>0</v>
      </c>
      <c r="N181">
        <f>-0.0608754392840916*$F$54</f>
        <v>0</v>
      </c>
      <c r="P181">
        <v>958435.35998397181</v>
      </c>
      <c r="Q181">
        <v>-13159.3618788886</v>
      </c>
      <c r="R181">
        <v>350894.17788966076</v>
      </c>
      <c r="S181">
        <v>721785.47756315698</v>
      </c>
      <c r="T181">
        <v>6.8723056269017279E-7</v>
      </c>
      <c r="U181">
        <v>3.0781395377689375E-11</v>
      </c>
      <c r="V181">
        <v>2.3908615863397887E-9</v>
      </c>
      <c r="W181">
        <v>1.3144686559418523E-7</v>
      </c>
      <c r="X181">
        <v>4.9620010375951715E-6</v>
      </c>
      <c r="Y181">
        <v>1.2569112982971897E-6</v>
      </c>
      <c r="Z181">
        <v>0.66565396533549825</v>
      </c>
      <c r="AA181">
        <v>7.1157053769339645E-2</v>
      </c>
      <c r="AB181">
        <v>9.9391245607159089</v>
      </c>
      <c r="AD181">
        <v>0.96284296271593794</v>
      </c>
      <c r="AE181">
        <v>0.34327576341719673</v>
      </c>
      <c r="AF181">
        <v>1.0663549072666978</v>
      </c>
      <c r="AG181">
        <v>2504775.3186950288</v>
      </c>
    </row>
    <row r="182" spans="2:33" ht="12.75" hidden="1" customHeight="1">
      <c r="B182">
        <f>0.164887360518185*$F$42</f>
        <v>0</v>
      </c>
      <c r="C182">
        <f>-0.37650603399542*$F$43</f>
        <v>0</v>
      </c>
      <c r="D182">
        <f>0.419442997706212*$F$44</f>
        <v>0</v>
      </c>
      <c r="E182">
        <f>-0.301122012629269*$F$45</f>
        <v>0</v>
      </c>
      <c r="F182">
        <f>-0.203324591665795*$F$46</f>
        <v>0</v>
      </c>
      <c r="G182">
        <f>-0.431571138630098*$F$47</f>
        <v>0</v>
      </c>
      <c r="H182">
        <f>0.00379694949340866*$F$48</f>
        <v>0</v>
      </c>
      <c r="I182">
        <f>0.0383391607284648*$F$49</f>
        <v>0</v>
      </c>
      <c r="J182">
        <f>-0.0533682472176855*$F$50</f>
        <v>0</v>
      </c>
      <c r="K182">
        <f>0.0212522895962288*$F$51</f>
        <v>0</v>
      </c>
      <c r="L182">
        <f>-0.167820976274026*$F$52</f>
        <v>0</v>
      </c>
      <c r="M182">
        <f>-0.367984444528927*$F$53</f>
        <v>0</v>
      </c>
      <c r="N182">
        <f>-0.469127310158474*$F$54</f>
        <v>0</v>
      </c>
      <c r="P182">
        <v>978026.02206610085</v>
      </c>
      <c r="Q182">
        <v>-12318.072276485864</v>
      </c>
      <c r="R182">
        <v>369300.96497969941</v>
      </c>
      <c r="S182">
        <v>702034.27768047608</v>
      </c>
      <c r="T182">
        <v>6.8576727858339432E-7</v>
      </c>
      <c r="U182">
        <v>2.9662129470246697E-11</v>
      </c>
      <c r="V182">
        <v>2.3008732983834839E-9</v>
      </c>
      <c r="W182">
        <v>1.3049840908947004E-7</v>
      </c>
      <c r="X182">
        <v>4.973315876391158E-6</v>
      </c>
      <c r="Y182">
        <v>1.2376246577651344E-6</v>
      </c>
      <c r="Z182">
        <v>0.68825253166081812</v>
      </c>
      <c r="AA182">
        <v>6.7424108888297515E-2</v>
      </c>
      <c r="AB182">
        <v>9.5308726898415266</v>
      </c>
      <c r="AD182">
        <v>0.86150223705959572</v>
      </c>
      <c r="AE182">
        <v>0.2926108709114244</v>
      </c>
      <c r="AF182">
        <v>1.1952460744146212</v>
      </c>
      <c r="AG182">
        <v>2150241.9754179637</v>
      </c>
    </row>
    <row r="183" spans="2:33" ht="12.75" hidden="1" customHeight="1">
      <c r="B183">
        <f>-0.756358948143133*$F$42</f>
        <v>0</v>
      </c>
      <c r="C183">
        <f>-0.203146964047818*$F$43</f>
        <v>0</v>
      </c>
      <c r="D183">
        <f>0.136673763405808*$F$44</f>
        <v>0</v>
      </c>
      <c r="E183">
        <f>-0.134221126463763*$F$45</f>
        <v>0</v>
      </c>
      <c r="F183">
        <f>0.164712769423364*$F$46</f>
        <v>0</v>
      </c>
      <c r="G183">
        <f>-0.148502443738708*$F$47</f>
        <v>0</v>
      </c>
      <c r="H183">
        <f>0.00719854617453839*$F$48</f>
        <v>0</v>
      </c>
      <c r="I183">
        <f>-0.0294770216059823*$F$49</f>
        <v>0</v>
      </c>
      <c r="J183">
        <f>-0.381841100955883*$F$50</f>
        <v>0</v>
      </c>
      <c r="K183">
        <f>-0.158925535078322*$F$51</f>
        <v>0</v>
      </c>
      <c r="L183">
        <f>-0.0615795656527919*$F$52</f>
        <v>0</v>
      </c>
      <c r="M183">
        <f>0.16267810593755*$F$53</f>
        <v>0</v>
      </c>
      <c r="N183">
        <f>0.169868536590483*$F$54</f>
        <v>0</v>
      </c>
      <c r="P183">
        <v>889387.27668238652</v>
      </c>
      <c r="Q183">
        <v>-12539.971886018793</v>
      </c>
      <c r="R183">
        <v>359278.64890035632</v>
      </c>
      <c r="S183">
        <v>714115.07127495203</v>
      </c>
      <c r="T183">
        <v>7.1152989385963542E-7</v>
      </c>
      <c r="U183">
        <v>3.0539642424410008E-11</v>
      </c>
      <c r="V183">
        <v>2.3016556656201436E-9</v>
      </c>
      <c r="W183">
        <v>1.2961679871912223E-7</v>
      </c>
      <c r="X183">
        <v>4.8090794495220592E-6</v>
      </c>
      <c r="Y183">
        <v>1.2153726964178273E-6</v>
      </c>
      <c r="Z183">
        <v>0.69568943040430453</v>
      </c>
      <c r="AA183">
        <v>7.1138746741562855E-2</v>
      </c>
      <c r="AB183">
        <v>10.169868536590483</v>
      </c>
      <c r="AD183">
        <v>1.0872751959451614</v>
      </c>
      <c r="AE183">
        <v>0.35156035691685522</v>
      </c>
      <c r="AF183">
        <v>0.94239621633874715</v>
      </c>
      <c r="AG183">
        <v>2404784.8333598063</v>
      </c>
    </row>
    <row r="184" spans="2:33" ht="12.75" hidden="1" customHeight="1">
      <c r="B184">
        <f>-0.128314738475674*$F$42</f>
        <v>0</v>
      </c>
      <c r="C184">
        <f>0.200534567237405*$F$43</f>
        <v>0</v>
      </c>
      <c r="D184">
        <f>0.099685103348621*$F$44</f>
        <v>0</v>
      </c>
      <c r="E184">
        <f>-0.204835195311928*$F$45</f>
        <v>0</v>
      </c>
      <c r="F184">
        <f>0.297380258363568*$F$46</f>
        <v>0</v>
      </c>
      <c r="G184">
        <f>-0.0238018976327545*$F$47</f>
        <v>0</v>
      </c>
      <c r="H184">
        <f>0.0908749753515334*$F$48</f>
        <v>0</v>
      </c>
      <c r="I184">
        <f>-0.0956571412557735*$F$49</f>
        <v>0</v>
      </c>
      <c r="J184">
        <f>-0.0209330929429869*$F$50</f>
        <v>0</v>
      </c>
      <c r="K184">
        <f>-0.461936067643788*$F$51</f>
        <v>0</v>
      </c>
      <c r="L184">
        <f>0.343876898374973*$F$52</f>
        <v>0</v>
      </c>
      <c r="M184">
        <f>0.24145277209617*$F$53</f>
        <v>0</v>
      </c>
      <c r="N184">
        <f>-0.0505061505309236*$F$54</f>
        <v>0</v>
      </c>
      <c r="P184">
        <v>949815.25372505584</v>
      </c>
      <c r="Q184">
        <v>-13056.684246063878</v>
      </c>
      <c r="R184">
        <v>357967.64332592854</v>
      </c>
      <c r="S184">
        <v>709003.81027316896</v>
      </c>
      <c r="T184">
        <v>7.2081661808544983E-7</v>
      </c>
      <c r="U184">
        <v>3.0926214117338461E-11</v>
      </c>
      <c r="V184">
        <v>2.3209012443308528E-9</v>
      </c>
      <c r="W184">
        <v>1.2875645716367494E-7</v>
      </c>
      <c r="X184">
        <v>4.9895334535285066E-6</v>
      </c>
      <c r="Y184">
        <v>1.1779508956459923E-6</v>
      </c>
      <c r="Z184">
        <v>0.72407138288624806</v>
      </c>
      <c r="AA184">
        <v>7.1690169404673196E-2</v>
      </c>
      <c r="AB184">
        <v>9.9494938494690768</v>
      </c>
      <c r="AD184">
        <v>1.0667770593673296</v>
      </c>
      <c r="AE184">
        <v>0.3190672809704086</v>
      </c>
      <c r="AF184">
        <v>0.96232036905107099</v>
      </c>
      <c r="AG184">
        <v>2351922.0790643776</v>
      </c>
    </row>
    <row r="185" spans="2:33" ht="12.75" hidden="1" customHeight="1">
      <c r="B185">
        <f>0.0590755175514492*$F$42</f>
        <v>0</v>
      </c>
      <c r="C185">
        <f>0.0446796810815634*$F$43</f>
        <v>0</v>
      </c>
      <c r="D185">
        <f>0.109023772039931*$F$44</f>
        <v>0</v>
      </c>
      <c r="E185">
        <f>-0.467049470135047*$F$45</f>
        <v>0</v>
      </c>
      <c r="F185">
        <f>-0.0420216487934034*$F$46</f>
        <v>0</v>
      </c>
      <c r="G185">
        <f>-0.577754907443268*$F$47</f>
        <v>0</v>
      </c>
      <c r="H185">
        <f>0.123556751179265*$F$48</f>
        <v>0</v>
      </c>
      <c r="I185">
        <f>-0.66297352164532*$F$49</f>
        <v>0</v>
      </c>
      <c r="J185">
        <f>-0.19027917539944*$F$50</f>
        <v>0</v>
      </c>
      <c r="K185">
        <f>-0.167592731350394*$F$51</f>
        <v>0</v>
      </c>
      <c r="L185">
        <f>0.437767814123707*$F$52</f>
        <v>0</v>
      </c>
      <c r="M185">
        <f>-0.624788160347965*$F$53</f>
        <v>0</v>
      </c>
      <c r="N185">
        <f>-0.139274227386243*$F$54</f>
        <v>0</v>
      </c>
      <c r="P185">
        <v>967845.21708579233</v>
      </c>
      <c r="Q185">
        <v>-12857.1899917844</v>
      </c>
      <c r="R185">
        <v>358298.63792516821</v>
      </c>
      <c r="S185">
        <v>690023.94381205249</v>
      </c>
      <c r="T185">
        <v>6.9705848458446176E-7</v>
      </c>
      <c r="U185">
        <v>2.9208959786925876E-11</v>
      </c>
      <c r="V185">
        <v>2.3284180527712311E-9</v>
      </c>
      <c r="W185">
        <v>1.2138134421861084E-7</v>
      </c>
      <c r="X185">
        <v>4.9048604123002802E-6</v>
      </c>
      <c r="Y185">
        <v>1.2143022976782264E-6</v>
      </c>
      <c r="Z185">
        <v>0.73064374698865941</v>
      </c>
      <c r="AA185">
        <v>6.5626482877564243E-2</v>
      </c>
      <c r="AB185">
        <v>9.8607257726137565</v>
      </c>
      <c r="AD185">
        <v>0.99439251344160007</v>
      </c>
      <c r="AE185">
        <v>0.29352815204345539</v>
      </c>
      <c r="AF185">
        <v>1.0342868962243057</v>
      </c>
      <c r="AG185">
        <v>2181641.6142669194</v>
      </c>
    </row>
    <row r="186" spans="2:33" ht="12.75" hidden="1" customHeight="1">
      <c r="B186">
        <f>-0.054630152223976*$F$42</f>
        <v>0</v>
      </c>
      <c r="C186">
        <f>0.137209292615041*$F$43</f>
        <v>0</v>
      </c>
      <c r="D186">
        <f>0.104127604261035*$F$44</f>
        <v>0</v>
      </c>
      <c r="E186">
        <f>0.505184148986756*$F$45</f>
        <v>0</v>
      </c>
      <c r="F186">
        <f>0.493890739702608*$F$46</f>
        <v>0</v>
      </c>
      <c r="G186">
        <f>0.724136033587548*$F$47</f>
        <v>0</v>
      </c>
      <c r="H186">
        <f>-0.00420018299967452*$F$48</f>
        <v>0</v>
      </c>
      <c r="I186">
        <f>0.363292613154437*$F$49</f>
        <v>0</v>
      </c>
      <c r="J186">
        <f>-0.330613795708031*$F$50</f>
        <v>0</v>
      </c>
      <c r="K186">
        <f>-0.631509835932049*$F$51</f>
        <v>0</v>
      </c>
      <c r="L186">
        <f>0.271969023464582*$F$52</f>
        <v>0</v>
      </c>
      <c r="M186">
        <f>0.21104090158257*$F$53</f>
        <v>0</v>
      </c>
      <c r="N186">
        <f>0.357088434458545*$F$54</f>
        <v>0</v>
      </c>
      <c r="P186">
        <v>956904.89871799969</v>
      </c>
      <c r="Q186">
        <v>-12975.627894547253</v>
      </c>
      <c r="R186">
        <v>358125.10086701193</v>
      </c>
      <c r="S186">
        <v>760397.1691918968</v>
      </c>
      <c r="T186">
        <v>7.3457235177918243E-7</v>
      </c>
      <c r="U186">
        <v>3.3244821704121403E-11</v>
      </c>
      <c r="V186">
        <v>2.2990339579100748E-9</v>
      </c>
      <c r="W186">
        <v>1.3472280397100769E-7</v>
      </c>
      <c r="X186">
        <v>4.8346931021459847E-6</v>
      </c>
      <c r="Y186">
        <v>1.157008535262392E-6</v>
      </c>
      <c r="Z186">
        <v>0.71903783164252066</v>
      </c>
      <c r="AA186">
        <v>7.1477286311077998E-2</v>
      </c>
      <c r="AB186">
        <v>10.357088434458547</v>
      </c>
      <c r="AD186">
        <v>1.2431739011985423</v>
      </c>
      <c r="AE186">
        <v>0.37032014579021832</v>
      </c>
      <c r="AF186">
        <v>0.82148754717841366</v>
      </c>
      <c r="AG186">
        <v>2770239.4539430453</v>
      </c>
    </row>
    <row r="187" spans="2:33" ht="12.75" hidden="1" customHeight="1">
      <c r="B187">
        <f>-0.365365705144259*$F$42</f>
        <v>0</v>
      </c>
      <c r="C187">
        <f>-0.524742556500053*$F$43</f>
        <v>0</v>
      </c>
      <c r="D187">
        <f>0.370750460611917*$F$44</f>
        <v>0</v>
      </c>
      <c r="E187">
        <f>0.278520277837904*$F$45</f>
        <v>0</v>
      </c>
      <c r="F187">
        <f>-0.157943464436098*$F$46</f>
        <v>0</v>
      </c>
      <c r="G187">
        <f>-0.0610566973437777*$F$47</f>
        <v>0</v>
      </c>
      <c r="H187">
        <f>0.222181394989429*$F$48</f>
        <v>0</v>
      </c>
      <c r="I187">
        <f>0.0160040410272999*$F$49</f>
        <v>0</v>
      </c>
      <c r="J187">
        <f>0.00206457777196317*$F$50</f>
        <v>0</v>
      </c>
      <c r="K187">
        <f>-0.21949290045045*$F$51</f>
        <v>0</v>
      </c>
      <c r="L187">
        <f>-0.352836000959141*$F$52</f>
        <v>0</v>
      </c>
      <c r="M187">
        <f>0.252916647650638*$F$53</f>
        <v>0</v>
      </c>
      <c r="N187">
        <f>0.316951651835219*$F$54</f>
        <v>0</v>
      </c>
      <c r="P187">
        <v>927007.12946995522</v>
      </c>
      <c r="Q187">
        <v>-12128.329527679933</v>
      </c>
      <c r="R187">
        <v>367575.13367180782</v>
      </c>
      <c r="S187">
        <v>743990.54903795221</v>
      </c>
      <c r="T187">
        <v>6.8894395748947311E-7</v>
      </c>
      <c r="U187">
        <v>3.0810724238234291E-11</v>
      </c>
      <c r="V187">
        <v>2.3511017208475686E-9</v>
      </c>
      <c r="W187">
        <v>1.3020805253335489E-7</v>
      </c>
      <c r="X187">
        <v>5.0010322888859815E-6</v>
      </c>
      <c r="Y187">
        <v>1.2078926267943696E-6</v>
      </c>
      <c r="Z187">
        <v>0.67530147993286005</v>
      </c>
      <c r="AA187">
        <v>7.1770416533554482E-2</v>
      </c>
      <c r="AB187">
        <v>10.31695165183522</v>
      </c>
      <c r="AD187">
        <v>1.0502583219675798</v>
      </c>
      <c r="AE187">
        <v>0.36068383172257812</v>
      </c>
      <c r="AF187">
        <v>0.9761079365400831</v>
      </c>
      <c r="AG187">
        <v>2554718.8803796824</v>
      </c>
    </row>
    <row r="188" spans="2:33" ht="12.75" hidden="1" customHeight="1">
      <c r="B188">
        <f>0.0294805181691968*$F$42</f>
        <v>0</v>
      </c>
      <c r="C188">
        <f>0.0570326295184927*$F$43</f>
        <v>0</v>
      </c>
      <c r="D188">
        <f>-0.108683163676607*$F$44</f>
        <v>0</v>
      </c>
      <c r="E188">
        <f>-0.256849114516085*$F$45</f>
        <v>0</v>
      </c>
      <c r="F188">
        <f>0.285340682148977*$F$46</f>
        <v>0</v>
      </c>
      <c r="G188">
        <f>-0.136464803142789*$F$47</f>
        <v>0</v>
      </c>
      <c r="H188">
        <f>0.16196199631462*$F$48</f>
        <v>0</v>
      </c>
      <c r="I188">
        <f>0.0765217521845088*$F$49</f>
        <v>0</v>
      </c>
      <c r="J188">
        <f>-0.696177201334841*$F$50</f>
        <v>0</v>
      </c>
      <c r="K188">
        <f>-0.480487126661036*$F$51</f>
        <v>0</v>
      </c>
      <c r="L188">
        <f>-0.504610270329454*$F$52</f>
        <v>0</v>
      </c>
      <c r="M188">
        <f>0.374955365369555*$F$53</f>
        <v>0</v>
      </c>
      <c r="N188">
        <f>0.363188039122791*$F$54</f>
        <v>0</v>
      </c>
      <c r="P188">
        <v>964997.70107382943</v>
      </c>
      <c r="Q188">
        <v>-12873.001765783669</v>
      </c>
      <c r="R188">
        <v>350582.35391069733</v>
      </c>
      <c r="S188">
        <v>705238.88465544605</v>
      </c>
      <c r="T188">
        <v>7.199738477504284E-7</v>
      </c>
      <c r="U188">
        <v>3.0576959110257355E-11</v>
      </c>
      <c r="V188">
        <v>2.3372512591523622E-9</v>
      </c>
      <c r="W188">
        <v>1.309947827783986E-7</v>
      </c>
      <c r="X188">
        <v>4.6519113993325797E-6</v>
      </c>
      <c r="Y188">
        <v>1.1756598398573622E-6</v>
      </c>
      <c r="Z188">
        <v>0.66467728107693813</v>
      </c>
      <c r="AA188">
        <v>7.2624687557586901E-2</v>
      </c>
      <c r="AB188">
        <v>10.36318803912279</v>
      </c>
      <c r="AD188">
        <v>0.90633960467724672</v>
      </c>
      <c r="AE188">
        <v>0.32396673205577931</v>
      </c>
      <c r="AF188">
        <v>1.1331631887271405</v>
      </c>
      <c r="AG188">
        <v>2338078.6103934697</v>
      </c>
    </row>
    <row r="189" spans="2:33" ht="12.75" hidden="1" customHeight="1">
      <c r="B189">
        <f>-0.262156702225656*$F$42</f>
        <v>0</v>
      </c>
      <c r="C189">
        <f>-0.15189234812219*$F$43</f>
        <v>0</v>
      </c>
      <c r="D189">
        <f>0.0683227630252491*$F$44</f>
        <v>0</v>
      </c>
      <c r="E189">
        <f>-0.274881060547963*$F$45</f>
        <v>0</v>
      </c>
      <c r="F189">
        <f>-0.26542841295196*$F$46</f>
        <v>0</v>
      </c>
      <c r="G189">
        <f>0.0512874687063703*$F$47</f>
        <v>0</v>
      </c>
      <c r="H189">
        <f>-0.358990243843027*$F$48</f>
        <v>0</v>
      </c>
      <c r="I189">
        <f>-0.0850192024308775*$F$49</f>
        <v>0</v>
      </c>
      <c r="J189">
        <f>-0.450783337944607*$F$50</f>
        <v>0</v>
      </c>
      <c r="K189">
        <f>0.107651317882023*$F$51</f>
        <v>0</v>
      </c>
      <c r="L189">
        <f>0.229252178186558*$F$52</f>
        <v>0</v>
      </c>
      <c r="M189">
        <f>-0.467892725759308*$F$53</f>
        <v>0</v>
      </c>
      <c r="N189">
        <f>-0.360258210081464*$F$54</f>
        <v>0</v>
      </c>
      <c r="P189">
        <v>936937.49927985203</v>
      </c>
      <c r="Q189">
        <v>-12605.577794403596</v>
      </c>
      <c r="R189">
        <v>356856.05391102476</v>
      </c>
      <c r="S189">
        <v>703933.67757642642</v>
      </c>
      <c r="T189">
        <v>6.8142001109336273E-7</v>
      </c>
      <c r="U189">
        <v>3.1158991152989754E-11</v>
      </c>
      <c r="V189">
        <v>2.2174322439161037E-9</v>
      </c>
      <c r="W189">
        <v>1.2889475036839859E-7</v>
      </c>
      <c r="X189">
        <v>4.774608331027697E-6</v>
      </c>
      <c r="Y189">
        <v>1.2482949377584298E-6</v>
      </c>
      <c r="Z189">
        <v>0.71604765247305902</v>
      </c>
      <c r="AA189">
        <v>6.6724750919684855E-2</v>
      </c>
      <c r="AB189">
        <v>9.6397417899185349</v>
      </c>
      <c r="AD189">
        <v>1.0434948872134093</v>
      </c>
      <c r="AE189">
        <v>0.32059294390568072</v>
      </c>
      <c r="AF189">
        <v>0.98428581291377126</v>
      </c>
      <c r="AG189">
        <v>2322950.8432753487</v>
      </c>
    </row>
    <row r="190" spans="2:33" ht="12.75" hidden="1" customHeight="1">
      <c r="B190">
        <f>0.111517142551123*$F$42</f>
        <v>0</v>
      </c>
      <c r="C190">
        <f>0.648345957733427*$F$43</f>
        <v>0</v>
      </c>
      <c r="D190">
        <f>-0.188437151059791*$F$44</f>
        <v>0</v>
      </c>
      <c r="E190">
        <f>0.14609183980909*$F$45</f>
        <v>0</v>
      </c>
      <c r="F190">
        <f>-0.210778517324397*$F$46</f>
        <v>0</v>
      </c>
      <c r="G190">
        <f>-0.274301199877046*$F$47</f>
        <v>0</v>
      </c>
      <c r="H190">
        <f>0.204226797841162*$F$48</f>
        <v>0</v>
      </c>
      <c r="I190">
        <f>0.398148793026574*$F$49</f>
        <v>0</v>
      </c>
      <c r="J190">
        <f>-0.0456212801561657*$F$50</f>
        <v>0</v>
      </c>
      <c r="K190">
        <f>-0.108973726299171*$F$51</f>
        <v>0</v>
      </c>
      <c r="L190">
        <f>0.368977129457014*$F$52</f>
        <v>0</v>
      </c>
      <c r="M190">
        <f>-0.290026843832695*$F$53</f>
        <v>0</v>
      </c>
      <c r="N190">
        <f>0.383653387899708*$F$54</f>
        <v>0</v>
      </c>
      <c r="P190">
        <v>972890.94676975592</v>
      </c>
      <c r="Q190">
        <v>-13629.882825898787</v>
      </c>
      <c r="R190">
        <v>347755.59776758368</v>
      </c>
      <c r="S190">
        <v>734404.97605136852</v>
      </c>
      <c r="T190">
        <v>6.8524550378729215E-7</v>
      </c>
      <c r="U190">
        <v>3.0149666280381161E-11</v>
      </c>
      <c r="V190">
        <v>2.3469721635034672E-9</v>
      </c>
      <c r="W190">
        <v>1.3517593430934545E-7</v>
      </c>
      <c r="X190">
        <v>4.977189359921917E-6</v>
      </c>
      <c r="Y190">
        <v>1.2215417448020524E-6</v>
      </c>
      <c r="Z190">
        <v>0.72582839906199093</v>
      </c>
      <c r="AA190">
        <v>6.7969812093171142E-2</v>
      </c>
      <c r="AB190">
        <v>10.383653387899708</v>
      </c>
      <c r="AD190">
        <v>1.1932328240180756</v>
      </c>
      <c r="AE190">
        <v>0.34882037832495388</v>
      </c>
      <c r="AF190">
        <v>0.85689871451714139</v>
      </c>
      <c r="AG190">
        <v>2639098.6629406489</v>
      </c>
    </row>
    <row r="191" spans="2:33" ht="12.75" hidden="1" customHeight="1">
      <c r="B191">
        <f>0.253055470068298*$F$42</f>
        <v>0</v>
      </c>
      <c r="C191">
        <f>-0.225256292762278*$F$43</f>
        <v>0</v>
      </c>
      <c r="D191">
        <f>-0.112969734328793*$F$44</f>
        <v>0</v>
      </c>
      <c r="E191">
        <f>0.534433964409585*$F$45</f>
        <v>0</v>
      </c>
      <c r="F191">
        <f>-0.00445694446571344*$F$46</f>
        <v>0</v>
      </c>
      <c r="G191">
        <f>-0.149882319741192*$F$47</f>
        <v>0</v>
      </c>
      <c r="H191">
        <f>0.574159650415902*$F$48</f>
        <v>0</v>
      </c>
      <c r="I191">
        <f>-0.491279931932453*$F$49</f>
        <v>0</v>
      </c>
      <c r="J191">
        <f>0.405176680170225*$F$50</f>
        <v>0</v>
      </c>
      <c r="K191">
        <f>0.0143268831193471*$F$51</f>
        <v>0</v>
      </c>
      <c r="L191">
        <f>0.318643241211197*$F$52</f>
        <v>0</v>
      </c>
      <c r="M191">
        <f>-0.0484187887026002*$F$53</f>
        <v>0</v>
      </c>
      <c r="N191">
        <f>-0.306641466129875*$F$54</f>
        <v>0</v>
      </c>
      <c r="P191">
        <v>986509.2154747477</v>
      </c>
      <c r="Q191">
        <v>-12511.671945264285</v>
      </c>
      <c r="R191">
        <v>350430.42307536822</v>
      </c>
      <c r="S191">
        <v>762514.3597648053</v>
      </c>
      <c r="T191">
        <v>6.9968801388739998E-7</v>
      </c>
      <c r="U191">
        <v>3.0535364808802305E-11</v>
      </c>
      <c r="V191">
        <v>2.4320567195956574E-9</v>
      </c>
      <c r="W191">
        <v>1.2361336088487811E-7</v>
      </c>
      <c r="X191">
        <v>5.2025883400851129E-6</v>
      </c>
      <c r="Y191">
        <v>1.2367693700652393E-6</v>
      </c>
      <c r="Z191">
        <v>0.72230502688478371</v>
      </c>
      <c r="AA191">
        <v>6.9661068479081809E-2</v>
      </c>
      <c r="AB191">
        <v>9.6933585338701249</v>
      </c>
      <c r="AD191">
        <v>1.2293686519266107</v>
      </c>
      <c r="AE191">
        <v>0.36455593117791973</v>
      </c>
      <c r="AF191">
        <v>0.83129201598285518</v>
      </c>
      <c r="AG191">
        <v>2838086.9259719066</v>
      </c>
    </row>
    <row r="192" spans="2:33" ht="12.75" hidden="1" customHeight="1">
      <c r="B192">
        <f>-0.545151793578266*$F$42</f>
        <v>0</v>
      </c>
      <c r="C192">
        <f>0.188690272091534*$F$43</f>
        <v>0</v>
      </c>
      <c r="D192">
        <f>0.306422527637587*$F$44</f>
        <v>0</v>
      </c>
      <c r="E192">
        <f>0.49866392189453*$F$45</f>
        <v>0</v>
      </c>
      <c r="F192">
        <f>-0.215567468230718*$F$46</f>
        <v>0</v>
      </c>
      <c r="G192">
        <f>0.022593969775412*$F$47</f>
        <v>0</v>
      </c>
      <c r="H192">
        <f>-0.232636519724089*$F$48</f>
        <v>0</v>
      </c>
      <c r="I192">
        <f>-0.2889896801663*$F$49</f>
        <v>0</v>
      </c>
      <c r="J192">
        <f>0.128798426246244*$F$50</f>
        <v>0</v>
      </c>
      <c r="K192">
        <f>0.475130661305466*$F$51</f>
        <v>0</v>
      </c>
      <c r="L192">
        <f>0.677117034951251*$F$52</f>
        <v>0</v>
      </c>
      <c r="M192">
        <f>-0.255402492810713*$F$53</f>
        <v>0</v>
      </c>
      <c r="N192">
        <f>0.35003547712088*$F$54</f>
        <v>0</v>
      </c>
      <c r="P192">
        <v>909708.80961085833</v>
      </c>
      <c r="Q192">
        <v>-13041.523548277164</v>
      </c>
      <c r="R192">
        <v>365295.13005474315</v>
      </c>
      <c r="S192">
        <v>759925.21533053624</v>
      </c>
      <c r="T192">
        <v>6.8491027722384964E-7</v>
      </c>
      <c r="U192">
        <v>3.1070041306303785E-11</v>
      </c>
      <c r="V192">
        <v>2.2464936004634594E-9</v>
      </c>
      <c r="W192">
        <v>1.2624313415783809E-7</v>
      </c>
      <c r="X192">
        <v>5.0643992131231219E-6</v>
      </c>
      <c r="Y192">
        <v>1.2936786366712249E-6</v>
      </c>
      <c r="Z192">
        <v>0.74739819244658756</v>
      </c>
      <c r="AA192">
        <v>6.8212182550325018E-2</v>
      </c>
      <c r="AB192">
        <v>10.35003547712088</v>
      </c>
      <c r="AD192">
        <v>1.4274977921198326</v>
      </c>
      <c r="AE192">
        <v>0.38225549906754908</v>
      </c>
      <c r="AF192">
        <v>0.71340548819172656</v>
      </c>
      <c r="AG192">
        <v>2758387.0332086249</v>
      </c>
    </row>
    <row r="193" spans="2:33" ht="12.75" hidden="1" customHeight="1">
      <c r="B193">
        <f>0.389817271948169*$F$42</f>
        <v>0</v>
      </c>
      <c r="C193">
        <f>0.284950839905615*$F$43</f>
        <v>0</v>
      </c>
      <c r="D193">
        <f>0.141323613814351*$F$44</f>
        <v>0</v>
      </c>
      <c r="E193">
        <f>0.0863417174181283*$F$45</f>
        <v>0</v>
      </c>
      <c r="F193">
        <f>0.332054356065531*$F$46</f>
        <v>0</v>
      </c>
      <c r="G193">
        <f>-0.338275685598968*$F$47</f>
        <v>0</v>
      </c>
      <c r="H193">
        <f>-0.339526151605698*$F$48</f>
        <v>0</v>
      </c>
      <c r="I193">
        <f>0.161074530322554*$F$49</f>
        <v>0</v>
      </c>
      <c r="J193">
        <f>0.351247565238865*$F$50</f>
        <v>0</v>
      </c>
      <c r="K193">
        <f>-0.188218303348657*$F$51</f>
        <v>0</v>
      </c>
      <c r="L193">
        <f>0.397260129948779*$F$52</f>
        <v>0</v>
      </c>
      <c r="M193">
        <f>0.393933660718867*$F$53</f>
        <v>0</v>
      </c>
      <c r="N193">
        <f>-0.477305350466221*$F$54</f>
        <v>0</v>
      </c>
      <c r="P193">
        <v>999667.90541583765</v>
      </c>
      <c r="Q193">
        <v>-13164.737075079189</v>
      </c>
      <c r="R193">
        <v>359443.45562210371</v>
      </c>
      <c r="S193">
        <v>730080.08052544482</v>
      </c>
      <c r="T193">
        <v>7.2324380492458717E-7</v>
      </c>
      <c r="U193">
        <v>2.9951345374643203E-11</v>
      </c>
      <c r="V193">
        <v>2.2219089851306893E-9</v>
      </c>
      <c r="W193">
        <v>1.3209396889419321E-7</v>
      </c>
      <c r="X193">
        <v>5.1756237826194336E-6</v>
      </c>
      <c r="Y193">
        <v>1.2117550395364408E-6</v>
      </c>
      <c r="Z193">
        <v>0.72780820909641453</v>
      </c>
      <c r="AA193">
        <v>7.2757535625032066E-2</v>
      </c>
      <c r="AB193">
        <v>9.5226946495337792</v>
      </c>
      <c r="AD193">
        <v>1.0678349074449274</v>
      </c>
      <c r="AE193">
        <v>0.31608716817075655</v>
      </c>
      <c r="AF193">
        <v>0.96172517279483904</v>
      </c>
      <c r="AG193">
        <v>2461262.7070062719</v>
      </c>
    </row>
    <row r="194" spans="2:33" ht="12.75" hidden="1" customHeight="1">
      <c r="B194">
        <f>-0.59740360194142*$F$42</f>
        <v>0</v>
      </c>
      <c r="C194">
        <f>-0.0951647760686501*$F$43</f>
        <v>0</v>
      </c>
      <c r="D194">
        <f>-0.0567037419415753*$F$44</f>
        <v>0</v>
      </c>
      <c r="E194">
        <f>-0.119028366971833*$F$45</f>
        <v>0</v>
      </c>
      <c r="F194">
        <f>0.354251272401395*$F$46</f>
        <v>0</v>
      </c>
      <c r="G194">
        <f>-0.076591404860775*$F$47</f>
        <v>0</v>
      </c>
      <c r="H194">
        <f>0.443935975558105*$F$48</f>
        <v>0</v>
      </c>
      <c r="I194">
        <f>0.225676679708915*$F$49</f>
        <v>0</v>
      </c>
      <c r="J194">
        <f>0.270545881291943*$F$50</f>
        <v>0</v>
      </c>
      <c r="K194">
        <f>-0.345454778757216*$F$51</f>
        <v>0</v>
      </c>
      <c r="L194">
        <f>-0.699526709875027*$F$52</f>
        <v>0</v>
      </c>
      <c r="M194">
        <f>-0.0629612313007881*$F$53</f>
        <v>0</v>
      </c>
      <c r="N194">
        <f>-0.613668779375789*$F$54</f>
        <v>0</v>
      </c>
      <c r="P194">
        <v>904681.34334717214</v>
      </c>
      <c r="Q194">
        <v>-12678.189086632128</v>
      </c>
      <c r="R194">
        <v>352424.6837367792</v>
      </c>
      <c r="S194">
        <v>715214.76939980511</v>
      </c>
      <c r="T194">
        <v>7.2479758906809771E-7</v>
      </c>
      <c r="U194">
        <v>3.0762566644931599E-11</v>
      </c>
      <c r="V194">
        <v>2.4021052743783641E-9</v>
      </c>
      <c r="W194">
        <v>1.3293379683621591E-7</v>
      </c>
      <c r="X194">
        <v>5.1352729406459722E-6</v>
      </c>
      <c r="Y194">
        <v>1.1923363348234838E-6</v>
      </c>
      <c r="Z194">
        <v>0.6510331303087481</v>
      </c>
      <c r="AA194">
        <v>6.9559271380894488E-2</v>
      </c>
      <c r="AB194">
        <v>9.3863312206242107</v>
      </c>
      <c r="AD194">
        <v>0.96222304200144326</v>
      </c>
      <c r="AE194">
        <v>0.35646290108154272</v>
      </c>
      <c r="AF194">
        <v>1.0668338663989521</v>
      </c>
      <c r="AG194">
        <v>2457731.0200663717</v>
      </c>
    </row>
    <row r="195" spans="2:33" ht="12.75" hidden="1" customHeight="1">
      <c r="B195">
        <f>-0.117238325640281*$F$42</f>
        <v>0</v>
      </c>
      <c r="C195">
        <f>-0.322545061962549*$F$43</f>
        <v>0</v>
      </c>
      <c r="D195">
        <f>-0.286006834042377*$F$44</f>
        <v>0</v>
      </c>
      <c r="E195">
        <f>-0.0971487507757333*$F$45</f>
        <v>0</v>
      </c>
      <c r="F195">
        <f>0.102142510240219*$F$46</f>
        <v>0</v>
      </c>
      <c r="G195">
        <f>0.1414142501047*$F$47</f>
        <v>0</v>
      </c>
      <c r="H195">
        <f>-0.093917920689788*$F$48</f>
        <v>0</v>
      </c>
      <c r="I195">
        <f>-0.445644809491954*$F$49</f>
        <v>0</v>
      </c>
      <c r="J195">
        <f>0.315877588095862*$F$50</f>
        <v>0</v>
      </c>
      <c r="K195">
        <f>-0.0661600580428789*$F$51</f>
        <v>0</v>
      </c>
      <c r="L195">
        <f>-0.318955830917728*$F$52</f>
        <v>0</v>
      </c>
      <c r="M195">
        <f>-0.14037318981744*$F$53</f>
        <v>0</v>
      </c>
      <c r="N195">
        <f>0.339398601082431*$F$54</f>
        <v>0</v>
      </c>
      <c r="P195">
        <v>950880.98319159565</v>
      </c>
      <c r="Q195">
        <v>-12387.142320687937</v>
      </c>
      <c r="R195">
        <v>344297.39197998401</v>
      </c>
      <c r="S195">
        <v>716798.48254396021</v>
      </c>
      <c r="T195">
        <v>7.0714997571681539E-7</v>
      </c>
      <c r="U195">
        <v>3.143838417532457E-11</v>
      </c>
      <c r="V195">
        <v>2.2783988782413486E-9</v>
      </c>
      <c r="W195">
        <v>1.2420661747660459E-7</v>
      </c>
      <c r="X195">
        <v>5.157938794047932E-6</v>
      </c>
      <c r="Y195">
        <v>1.2268292328317044E-6</v>
      </c>
      <c r="Z195">
        <v>0.67767309183575908</v>
      </c>
      <c r="AA195">
        <v>6.9017387671277922E-2</v>
      </c>
      <c r="AB195">
        <v>10.339398601082429</v>
      </c>
      <c r="AD195">
        <v>1.0157659193814494</v>
      </c>
      <c r="AE195">
        <v>0.34734210005369942</v>
      </c>
      <c r="AF195">
        <v>1.010067072708456</v>
      </c>
      <c r="AG195">
        <v>2510474.5961162192</v>
      </c>
    </row>
    <row r="196" spans="2:33" ht="12.75" hidden="1" customHeight="1">
      <c r="B196">
        <f>0.0717522030465159*$F$42</f>
        <v>0</v>
      </c>
      <c r="C196">
        <f>-0.134954471319062*$F$43</f>
        <v>0</v>
      </c>
      <c r="D196">
        <f>0.210712308940307*$F$44</f>
        <v>0</v>
      </c>
      <c r="E196">
        <f>-0.274575675229422*$F$45</f>
        <v>0</v>
      </c>
      <c r="F196">
        <f>-0.114168769531114*$F$46</f>
        <v>0</v>
      </c>
      <c r="G196">
        <f>0.213102718135772*$F$47</f>
        <v>0</v>
      </c>
      <c r="H196">
        <f>0.202244051282782*$F$48</f>
        <v>0</v>
      </c>
      <c r="I196">
        <f>0.748855869214825*$F$49</f>
        <v>0</v>
      </c>
      <c r="J196">
        <f>-0.614509039591474*$F$50</f>
        <v>0</v>
      </c>
      <c r="K196">
        <f>-0.247949899644878*$F$51</f>
        <v>0</v>
      </c>
      <c r="L196">
        <f>-0.478209145854794*$F$52</f>
        <v>0</v>
      </c>
      <c r="M196">
        <f>-0.322821951166728*$F$53</f>
        <v>0</v>
      </c>
      <c r="N196">
        <f>-0.0821232668362225*$F$54</f>
        <v>0</v>
      </c>
      <c r="P196">
        <v>969064.91857858782</v>
      </c>
      <c r="Q196">
        <v>-12627.2582767116</v>
      </c>
      <c r="R196">
        <v>361902.8300890823</v>
      </c>
      <c r="S196">
        <v>703955.7822942913</v>
      </c>
      <c r="T196">
        <v>6.9200818613282191E-7</v>
      </c>
      <c r="U196">
        <v>3.1660618426220894E-11</v>
      </c>
      <c r="V196">
        <v>2.34651613179504E-9</v>
      </c>
      <c r="W196">
        <v>1.3973512629979273E-7</v>
      </c>
      <c r="X196">
        <v>4.6927454802042635E-6</v>
      </c>
      <c r="Y196">
        <v>1.2043781873938576E-6</v>
      </c>
      <c r="Z196">
        <v>0.66652535979016436</v>
      </c>
      <c r="AA196">
        <v>6.7740246341832913E-2</v>
      </c>
      <c r="AB196">
        <v>9.9178767331637765</v>
      </c>
      <c r="AD196">
        <v>0.86380490875203275</v>
      </c>
      <c r="AE196">
        <v>0.31022283295738851</v>
      </c>
      <c r="AF196">
        <v>1.1907315509344589</v>
      </c>
      <c r="AG196">
        <v>2249554.7363668084</v>
      </c>
    </row>
    <row r="197" spans="2:33" ht="12.75" hidden="1" customHeight="1">
      <c r="B197">
        <f>-0.722492728972152*$F$42</f>
        <v>0</v>
      </c>
      <c r="C197">
        <f>0.0218837984075317*$F$43</f>
        <v>0</v>
      </c>
      <c r="D197">
        <f>0.252456074974991*$F$44</f>
        <v>0</v>
      </c>
      <c r="E197">
        <f>0.0465110901738753*$F$45</f>
        <v>0</v>
      </c>
      <c r="F197">
        <f>0.23940403489413*$F$46</f>
        <v>0</v>
      </c>
      <c r="G197">
        <f>0.318455898163238*$F$47</f>
        <v>0</v>
      </c>
      <c r="H197">
        <f>-0.443179260829117*$F$48</f>
        <v>0</v>
      </c>
      <c r="I197">
        <f>-0.046810101086467*$F$49</f>
        <v>0</v>
      </c>
      <c r="J197">
        <f>0.17407944163772*$F$50</f>
        <v>0</v>
      </c>
      <c r="K197">
        <f>-0.350135595881156*$F$51</f>
        <v>0</v>
      </c>
      <c r="L197">
        <f>0.0124849895761044*$F$52</f>
        <v>0</v>
      </c>
      <c r="M197">
        <f>0.506675319111728*$F$53</f>
        <v>0</v>
      </c>
      <c r="N197">
        <f>0.0530242780727051*$F$54</f>
        <v>0</v>
      </c>
      <c r="P197">
        <v>892645.7528900879</v>
      </c>
      <c r="Q197">
        <v>-12828.011261961641</v>
      </c>
      <c r="R197">
        <v>363382.37300532934</v>
      </c>
      <c r="S197">
        <v>727197.01862247114</v>
      </c>
      <c r="T197">
        <v>7.1675828244258915E-7</v>
      </c>
      <c r="U197">
        <v>3.1987213284306046E-11</v>
      </c>
      <c r="V197">
        <v>2.198068770009303E-9</v>
      </c>
      <c r="W197">
        <v>1.2939146868587593E-7</v>
      </c>
      <c r="X197">
        <v>5.0870397208188605E-6</v>
      </c>
      <c r="Y197">
        <v>1.1917582539086773E-6</v>
      </c>
      <c r="Z197">
        <v>0.70087394927032731</v>
      </c>
      <c r="AA197">
        <v>7.3546727233782111E-2</v>
      </c>
      <c r="AB197">
        <v>10.053024278072705</v>
      </c>
      <c r="AD197">
        <v>1.1270930929162708</v>
      </c>
      <c r="AE197">
        <v>0.35802784898480777</v>
      </c>
      <c r="AF197">
        <v>0.90832843778693773</v>
      </c>
      <c r="AG197">
        <v>2473215.4161576191</v>
      </c>
    </row>
    <row r="198" spans="2:33" ht="12.75" hidden="1" customHeight="1">
      <c r="B198">
        <f>0.454852745883689*$F$42</f>
        <v>0</v>
      </c>
      <c r="C198">
        <f>0.72057502544218*$F$43</f>
        <v>0</v>
      </c>
      <c r="D198">
        <f>-0.0486146198883355*$F$44</f>
        <v>0</v>
      </c>
      <c r="E198">
        <f>0.407403223463903*$F$45</f>
        <v>0</v>
      </c>
      <c r="F198">
        <f>0.400200413533119*$F$46</f>
        <v>0</v>
      </c>
      <c r="G198">
        <f>-0.696459188624042*$F$47</f>
        <v>0</v>
      </c>
      <c r="H198">
        <f>0.335265076018625*$F$48</f>
        <v>0</v>
      </c>
      <c r="I198">
        <f>0.210666212670627*$F$49</f>
        <v>0</v>
      </c>
      <c r="J198">
        <f>-0.00813968139118943*$F$50</f>
        <v>0</v>
      </c>
      <c r="K198">
        <f>-0.342227617106811*$F$51</f>
        <v>0</v>
      </c>
      <c r="L198">
        <f>-0.275313106311518*$F$52</f>
        <v>0</v>
      </c>
      <c r="M198">
        <f>-0.0459175878130798*$F$53</f>
        <v>0</v>
      </c>
      <c r="N198">
        <f>0.00110740616511615*$F$54</f>
        <v>0</v>
      </c>
      <c r="P198">
        <v>1005925.3663802745</v>
      </c>
      <c r="Q198">
        <v>-13722.336032565991</v>
      </c>
      <c r="R198">
        <v>352711.39009725908</v>
      </c>
      <c r="S198">
        <v>753319.48850452737</v>
      </c>
      <c r="T198">
        <v>7.2801402894731828E-7</v>
      </c>
      <c r="U198">
        <v>2.8840976515265472E-11</v>
      </c>
      <c r="V198">
        <v>2.3771109674842835E-9</v>
      </c>
      <c r="W198">
        <v>1.3273866076471815E-7</v>
      </c>
      <c r="X198">
        <v>4.9959301593044056E-6</v>
      </c>
      <c r="Y198">
        <v>1.192734889287309E-6</v>
      </c>
      <c r="Z198">
        <v>0.68072808255819373</v>
      </c>
      <c r="AA198">
        <v>6.9678576885308444E-2</v>
      </c>
      <c r="AB198">
        <v>10.001107406165115</v>
      </c>
      <c r="AD198">
        <v>1.0388736215027705</v>
      </c>
      <c r="AE198">
        <v>0.35183469475619905</v>
      </c>
      <c r="AF198">
        <v>0.98736136784024175</v>
      </c>
      <c r="AG198">
        <v>2703987.5440120469</v>
      </c>
    </row>
    <row r="199" spans="2:33" ht="12.75" hidden="1" customHeight="1">
      <c r="B199">
        <f>0.375064605948352*$F$42</f>
        <v>0</v>
      </c>
      <c r="C199">
        <f>-0.24876158395556*$F$43</f>
        <v>0</v>
      </c>
      <c r="D199">
        <f>-0.0941252924354592*$F$44</f>
        <v>0</v>
      </c>
      <c r="E199">
        <f>0.0841611116675219*$F$45</f>
        <v>0</v>
      </c>
      <c r="F199">
        <f>-0.461107017849542*$F$46</f>
        <v>0</v>
      </c>
      <c r="G199">
        <f>0.455904031522088*$F$47</f>
        <v>0</v>
      </c>
      <c r="H199">
        <f>-0.0459771111930401*$F$48</f>
        <v>0</v>
      </c>
      <c r="I199">
        <f>0.0493917092792125*$F$49</f>
        <v>0</v>
      </c>
      <c r="J199">
        <f>-0.68301072755461*$F$50</f>
        <v>0</v>
      </c>
      <c r="K199">
        <f>-0.113268764165953*$F$51</f>
        <v>0</v>
      </c>
      <c r="L199">
        <f>0.2388159184929*$F$52</f>
        <v>0</v>
      </c>
      <c r="M199">
        <f>-0.0224573425554961*$F$53</f>
        <v>0</v>
      </c>
      <c r="N199">
        <f>-0.0986780217834238*$F$54</f>
        <v>0</v>
      </c>
      <c r="P199">
        <v>998248.46113367926</v>
      </c>
      <c r="Q199">
        <v>-12481.585172536883</v>
      </c>
      <c r="R199">
        <v>351098.33503354521</v>
      </c>
      <c r="S199">
        <v>729922.24165119301</v>
      </c>
      <c r="T199">
        <v>6.6772250875053196E-7</v>
      </c>
      <c r="U199">
        <v>3.2413302497718472E-11</v>
      </c>
      <c r="V199">
        <v>2.2894252644256007E-9</v>
      </c>
      <c r="W199">
        <v>1.3064209222062974E-7</v>
      </c>
      <c r="X199">
        <v>4.6584946362226951E-6</v>
      </c>
      <c r="Y199">
        <v>1.2210113076255049E-6</v>
      </c>
      <c r="Z199">
        <v>0.71671711429450302</v>
      </c>
      <c r="AA199">
        <v>6.9842798602111539E-2</v>
      </c>
      <c r="AB199">
        <v>9.9013219782165756</v>
      </c>
      <c r="AD199">
        <v>1.0761826737706481</v>
      </c>
      <c r="AE199">
        <v>0.32884345988517399</v>
      </c>
      <c r="AF199">
        <v>0.95333330503986269</v>
      </c>
      <c r="AG199">
        <v>2547536.351711506</v>
      </c>
    </row>
    <row r="200" spans="2:33" ht="12.75" hidden="1" customHeight="1">
      <c r="B200">
        <f>-0.274244158810297*$F$42</f>
        <v>0</v>
      </c>
      <c r="C200">
        <f>-0.0230738140692545*$F$43</f>
        <v>0</v>
      </c>
      <c r="D200">
        <f>-0.398920594060198*$F$44</f>
        <v>0</v>
      </c>
      <c r="E200">
        <f>-0.547265068146108*$F$45</f>
        <v>0</v>
      </c>
      <c r="F200">
        <f>0.222350814483926*$F$46</f>
        <v>0</v>
      </c>
      <c r="G200">
        <f>-0.125667075672216*$F$47</f>
        <v>0</v>
      </c>
      <c r="H200">
        <f>0.297658002783654*$F$48</f>
        <v>0</v>
      </c>
      <c r="I200">
        <f>-0.449353636623536*$F$49</f>
        <v>0</v>
      </c>
      <c r="J200">
        <f>0.580819458708745*$F$50</f>
        <v>0</v>
      </c>
      <c r="K200">
        <f>-0.142559266021257*$F$51</f>
        <v>0</v>
      </c>
      <c r="L200">
        <f>0.126947827441874*$F$52</f>
        <v>0</v>
      </c>
      <c r="M200">
        <f>-0.177291934262986*$F$53</f>
        <v>0</v>
      </c>
      <c r="N200">
        <f>-0.172784036867585*$F$54</f>
        <v>0</v>
      </c>
      <c r="P200">
        <v>935774.49110660935</v>
      </c>
      <c r="Q200">
        <v>-12770.465517991355</v>
      </c>
      <c r="R200">
        <v>340295.33922694845</v>
      </c>
      <c r="S200">
        <v>684217.69493648864</v>
      </c>
      <c r="T200">
        <v>7.1556455701387487E-7</v>
      </c>
      <c r="U200">
        <v>3.0610432065416133E-11</v>
      </c>
      <c r="V200">
        <v>2.3684613406402404E-9</v>
      </c>
      <c r="W200">
        <v>1.2415840272389402E-7</v>
      </c>
      <c r="X200">
        <v>5.2904097293543734E-6</v>
      </c>
      <c r="Y200">
        <v>1.2173939306463749E-6</v>
      </c>
      <c r="Z200">
        <v>0.70888634792093119</v>
      </c>
      <c r="AA200">
        <v>6.8758956460159101E-2</v>
      </c>
      <c r="AB200">
        <v>9.8272159631324154</v>
      </c>
      <c r="AD200">
        <v>1.0140752828824946</v>
      </c>
      <c r="AE200">
        <v>0.31917229774503891</v>
      </c>
      <c r="AF200">
        <v>1.0132571686265868</v>
      </c>
      <c r="AG200">
        <v>2298845.831167371</v>
      </c>
    </row>
    <row r="201" spans="2:33" ht="12.75" hidden="1" customHeight="1">
      <c r="B201">
        <f>0.160506830075834*$F$42</f>
        <v>0</v>
      </c>
      <c r="C201">
        <f>-0.0666244008384715*$F$43</f>
        <v>0</v>
      </c>
      <c r="D201">
        <f>0.207320755832768*$F$44</f>
        <v>0</v>
      </c>
      <c r="E201">
        <f>0.19020841094543*$F$45</f>
        <v>0</v>
      </c>
      <c r="F201">
        <f>-0.208417869400293*$F$46</f>
        <v>0</v>
      </c>
      <c r="G201">
        <f>-0.0893888641723112*$F$47</f>
        <v>0</v>
      </c>
      <c r="H201">
        <f>0.244555123651223*$F$48</f>
        <v>0</v>
      </c>
      <c r="I201">
        <f>0.0629171871330637*$F$49</f>
        <v>0</v>
      </c>
      <c r="J201">
        <f>0.172151611170688*$F$50</f>
        <v>0</v>
      </c>
      <c r="K201">
        <f>0.50976270180292*$F$51</f>
        <v>0</v>
      </c>
      <c r="L201">
        <f>-0.432107585103613*$F$52</f>
        <v>0</v>
      </c>
      <c r="M201">
        <f>0.385802314476839*$F$53</f>
        <v>0</v>
      </c>
      <c r="N201">
        <f>0.23595903396545*$F$54</f>
        <v>0</v>
      </c>
      <c r="P201">
        <v>977604.54442339612</v>
      </c>
      <c r="Q201">
        <v>-12714.720766926755</v>
      </c>
      <c r="R201">
        <v>361782.6217597436</v>
      </c>
      <c r="S201">
        <v>737598.26760445011</v>
      </c>
      <c r="T201">
        <v>6.8541074914197952E-7</v>
      </c>
      <c r="U201">
        <v>3.0722894521065833E-11</v>
      </c>
      <c r="V201">
        <v>2.356247678439781E-9</v>
      </c>
      <c r="W201">
        <v>1.3081792343272985E-7</v>
      </c>
      <c r="X201">
        <v>5.0860758055853443E-6</v>
      </c>
      <c r="Y201">
        <v>1.2979556936726606E-6</v>
      </c>
      <c r="Z201">
        <v>0.6697524690427471</v>
      </c>
      <c r="AA201">
        <v>7.2700616201337886E-2</v>
      </c>
      <c r="AB201">
        <v>10.23595903396545</v>
      </c>
      <c r="AD201">
        <v>0.96606625943394842</v>
      </c>
      <c r="AE201">
        <v>0.33903784275264148</v>
      </c>
      <c r="AF201">
        <v>1.0624411757889676</v>
      </c>
      <c r="AG201">
        <v>2504835.1110136248</v>
      </c>
    </row>
    <row r="202" spans="2:33" ht="12.75" hidden="1" customHeight="1">
      <c r="B202">
        <f>-0.270980050422401*$F$42</f>
        <v>0</v>
      </c>
      <c r="C202">
        <f>-0.279850551538569*$F$43</f>
        <v>0</v>
      </c>
      <c r="D202">
        <f>-0.3005989027571*$F$44</f>
        <v>0</v>
      </c>
      <c r="E202">
        <f>-0.384041054841429*$F$45</f>
        <v>0</v>
      </c>
      <c r="F202">
        <f>-0.509799538812027*$F$46</f>
        <v>0</v>
      </c>
      <c r="G202">
        <f>0.417237231639597*$F$47</f>
        <v>0</v>
      </c>
      <c r="H202">
        <f>0.113131992334655*$F$48</f>
        <v>0</v>
      </c>
      <c r="I202">
        <f>-0.0798836541694306*$F$49</f>
        <v>0</v>
      </c>
      <c r="J202">
        <f>0.202246889495661*$F$50</f>
        <v>0</v>
      </c>
      <c r="K202">
        <f>-0.774945176597792*$F$51</f>
        <v>0</v>
      </c>
      <c r="L202">
        <f>0.533485348449614*$F$52</f>
        <v>0</v>
      </c>
      <c r="M202">
        <f>-0.218595313222101*$F$53</f>
        <v>0</v>
      </c>
      <c r="N202">
        <f>0.305464669618438*$F$54</f>
        <v>0</v>
      </c>
      <c r="P202">
        <v>936088.55095095211</v>
      </c>
      <c r="Q202">
        <v>-12441.791294030632</v>
      </c>
      <c r="R202">
        <v>343780.19878082897</v>
      </c>
      <c r="S202">
        <v>696032.34529394947</v>
      </c>
      <c r="T202">
        <v>6.6431403228315804E-7</v>
      </c>
      <c r="U202">
        <v>3.2293435418082755E-11</v>
      </c>
      <c r="V202">
        <v>2.3260203582369706E-9</v>
      </c>
      <c r="W202">
        <v>1.2896151249579741E-7</v>
      </c>
      <c r="X202">
        <v>5.1011234447478311E-6</v>
      </c>
      <c r="Y202">
        <v>1.1392942706901726E-6</v>
      </c>
      <c r="Z202">
        <v>0.73734397439147292</v>
      </c>
      <c r="AA202">
        <v>6.8469832807445299E-2</v>
      </c>
      <c r="AB202">
        <v>10.305464669618438</v>
      </c>
      <c r="AD202">
        <v>1.1512966232521014</v>
      </c>
      <c r="AE202">
        <v>0.32521632631549535</v>
      </c>
      <c r="AF202">
        <v>0.88938936332843666</v>
      </c>
      <c r="AG202">
        <v>2361161.1756165829</v>
      </c>
    </row>
    <row r="203" spans="2:33" ht="12.75" hidden="1" customHeight="1">
      <c r="B203">
        <f>-0.193273478311687*$F$42</f>
        <v>0</v>
      </c>
      <c r="C203">
        <f>0.239114207865522*$F$43</f>
        <v>0</v>
      </c>
      <c r="D203">
        <f>-0.179383614064188*$F$44</f>
        <v>0</v>
      </c>
      <c r="E203">
        <f>0.252103833069499*$F$45</f>
        <v>0</v>
      </c>
      <c r="F203">
        <f>-0.312233915947689*$F$46</f>
        <v>0</v>
      </c>
      <c r="G203">
        <f>-0.325367144162531*$F$47</f>
        <v>0</v>
      </c>
      <c r="H203">
        <f>0.521820889495784*$F$48</f>
        <v>0</v>
      </c>
      <c r="I203">
        <f>0.158348789580734*$F$49</f>
        <v>0</v>
      </c>
      <c r="J203">
        <f>0.219755828485921*$F$50</f>
        <v>0</v>
      </c>
      <c r="K203">
        <f>-1.33196425871515*$F$51</f>
        <v>0</v>
      </c>
      <c r="L203">
        <f>-0.344025402050248*$F$52</f>
        <v>0</v>
      </c>
      <c r="M203">
        <f>-0.14449373375146*$F$53</f>
        <v>0</v>
      </c>
      <c r="N203">
        <f>0.362166668436544*$F$54</f>
        <v>0</v>
      </c>
      <c r="P203">
        <v>943565.17581794527</v>
      </c>
      <c r="Q203">
        <v>-13106.06618606787</v>
      </c>
      <c r="R203">
        <v>348076.48631697078</v>
      </c>
      <c r="S203">
        <v>742078.44644773286</v>
      </c>
      <c r="T203">
        <v>6.781436258836617E-7</v>
      </c>
      <c r="U203">
        <v>2.9991361853096157E-11</v>
      </c>
      <c r="V203">
        <v>2.4200188045840299E-9</v>
      </c>
      <c r="W203">
        <v>1.3205853426454952E-7</v>
      </c>
      <c r="X203">
        <v>5.1098779142429614E-6</v>
      </c>
      <c r="Y203">
        <v>1.070502414048679E-6</v>
      </c>
      <c r="Z203">
        <v>0.67591822185648265</v>
      </c>
      <c r="AA203">
        <v>6.8988543863739787E-2</v>
      </c>
      <c r="AB203">
        <v>10.362166668436544</v>
      </c>
      <c r="AD203">
        <v>1.0950805074567884</v>
      </c>
      <c r="AE203">
        <v>0.37419426502558722</v>
      </c>
      <c r="AF203">
        <v>0.93489217758290377</v>
      </c>
      <c r="AG203">
        <v>2708909.8475178895</v>
      </c>
    </row>
    <row r="204" spans="2:33" ht="12.75" hidden="1" customHeight="1">
      <c r="B204">
        <f>-0.60341933778866*$F$42</f>
        <v>0</v>
      </c>
      <c r="C204">
        <f>-0.391175927238169*$F$43</f>
        <v>0</v>
      </c>
      <c r="D204">
        <f>0.0490318503358597*$F$44</f>
        <v>0</v>
      </c>
      <c r="E204">
        <f>-0.551739490153466*$F$45</f>
        <v>0</v>
      </c>
      <c r="F204">
        <f>-0.0619406384075408*$F$46</f>
        <v>0</v>
      </c>
      <c r="G204">
        <f>-0.411565520287286*$F$47</f>
        <v>0</v>
      </c>
      <c r="H204">
        <f>0.339764419089909*$F$48</f>
        <v>0</v>
      </c>
      <c r="I204">
        <f>-0.403617089872763*$F$49</f>
        <v>0</v>
      </c>
      <c r="J204">
        <f>0.297576680680684*$F$50</f>
        <v>0</v>
      </c>
      <c r="K204">
        <f>0.32234864616606*$F$51</f>
        <v>0</v>
      </c>
      <c r="L204">
        <f>0.107445881212075*$F$52</f>
        <v>0</v>
      </c>
      <c r="M204">
        <f>-0.0313509098700524*$F$53</f>
        <v>0</v>
      </c>
      <c r="N204">
        <f>-0.278528837993121*$F$54</f>
        <v>0</v>
      </c>
      <c r="P204">
        <v>904102.53258500574</v>
      </c>
      <c r="Q204">
        <v>-12299.294813135144</v>
      </c>
      <c r="R204">
        <v>356172.31748930831</v>
      </c>
      <c r="S204">
        <v>683893.82266733923</v>
      </c>
      <c r="T204">
        <v>6.9566415531147218E-7</v>
      </c>
      <c r="U204">
        <v>2.9724146887109419E-11</v>
      </c>
      <c r="V204">
        <v>2.378145816390679E-9</v>
      </c>
      <c r="W204">
        <v>1.2475297783165409E-7</v>
      </c>
      <c r="X204">
        <v>5.1487883403403423E-6</v>
      </c>
      <c r="Y204">
        <v>1.2748100578015083E-6</v>
      </c>
      <c r="Z204">
        <v>0.70752121168484527</v>
      </c>
      <c r="AA204">
        <v>6.9780543630909644E-2</v>
      </c>
      <c r="AB204">
        <v>9.7214711620068801</v>
      </c>
      <c r="AD204">
        <v>0.98840347122218453</v>
      </c>
      <c r="AE204">
        <v>0.31332806890127429</v>
      </c>
      <c r="AF204">
        <v>1.0399301186137677</v>
      </c>
      <c r="AG204">
        <v>2175011.0565847144</v>
      </c>
    </row>
    <row r="205" spans="2:33" ht="12.75" hidden="1" customHeight="1">
      <c r="B205">
        <f>-0.44483951397439*$F$42</f>
        <v>0</v>
      </c>
      <c r="C205">
        <f>-0.115500257555041*$F$43</f>
        <v>0</v>
      </c>
      <c r="D205">
        <f>-0.0127086184588892*$F$44</f>
        <v>0</v>
      </c>
      <c r="E205">
        <f>-0.132480849416098*$F$45</f>
        <v>0</v>
      </c>
      <c r="F205">
        <f>0.00039068176509106*$F$46</f>
        <v>0</v>
      </c>
      <c r="G205">
        <f>-0.157585092229413*$F$47</f>
        <v>0</v>
      </c>
      <c r="H205">
        <f>0.0803781318443462*$F$48</f>
        <v>0</v>
      </c>
      <c r="I205">
        <f>0.235799698059879*$F$49</f>
        <v>0</v>
      </c>
      <c r="J205">
        <f>-0.553865850048194*$F$50</f>
        <v>0</v>
      </c>
      <c r="K205">
        <f>0.00926400106845583*$F$51</f>
        <v>0</v>
      </c>
      <c r="L205">
        <f>0.266733767874264*$F$52</f>
        <v>0</v>
      </c>
      <c r="M205">
        <f>0.0109483047800871*$F$53</f>
        <v>0</v>
      </c>
      <c r="N205">
        <f>0.185812367156821*$F$54</f>
        <v>0</v>
      </c>
      <c r="P205">
        <v>919360.46794269839</v>
      </c>
      <c r="Q205">
        <v>-12652.159670329547</v>
      </c>
      <c r="R205">
        <v>353984.02251910511</v>
      </c>
      <c r="S205">
        <v>714241.03781888762</v>
      </c>
      <c r="T205">
        <v>7.0002734772355626E-7</v>
      </c>
      <c r="U205">
        <v>3.0511486214088823E-11</v>
      </c>
      <c r="V205">
        <v>2.3184869703241992E-9</v>
      </c>
      <c r="W205">
        <v>1.3306539607477844E-7</v>
      </c>
      <c r="X205">
        <v>4.7230670749759034E-6</v>
      </c>
      <c r="Y205">
        <v>1.2361441041319544E-6</v>
      </c>
      <c r="Z205">
        <v>0.71867136375119833</v>
      </c>
      <c r="AA205">
        <v>7.0076638133460614E-2</v>
      </c>
      <c r="AB205">
        <v>10.185812367156821</v>
      </c>
      <c r="AD205">
        <v>1.1379169985465909</v>
      </c>
      <c r="AE205">
        <v>0.34189793696668003</v>
      </c>
      <c r="AF205">
        <v>0.89974395487632708</v>
      </c>
      <c r="AG205">
        <v>2434165.9480480268</v>
      </c>
    </row>
    <row r="206" spans="2:33" ht="12.75" hidden="1" customHeight="1">
      <c r="B206">
        <f>0.0237560857679935*$F$42</f>
        <v>0</v>
      </c>
      <c r="C206">
        <f>-0.0529840251684672*$F$43</f>
        <v>0</v>
      </c>
      <c r="D206">
        <f>0.333270863988804*$F$44</f>
        <v>0</v>
      </c>
      <c r="E206">
        <f>-0.368911371337201*$F$45</f>
        <v>0</v>
      </c>
      <c r="F206">
        <f>-0.0847307961962276*$F$46</f>
        <v>0</v>
      </c>
      <c r="G206">
        <f>0.0839082842198983*$F$47</f>
        <v>0</v>
      </c>
      <c r="H206">
        <f>0.184857517274411*$F$48</f>
        <v>0</v>
      </c>
      <c r="I206">
        <f>0.25192704826093*$F$49</f>
        <v>0</v>
      </c>
      <c r="J206">
        <f>0.371866236931319*$F$50</f>
        <v>0</v>
      </c>
      <c r="K206">
        <f>-0.345029300610854*$F$51</f>
        <v>0</v>
      </c>
      <c r="L206">
        <f>-0.3384724722569*$F$52</f>
        <v>0</v>
      </c>
      <c r="M206">
        <f>-0.0326145877092784*$F$53</f>
        <v>0</v>
      </c>
      <c r="N206">
        <f>-0.0868104989157022*$F$54</f>
        <v>0</v>
      </c>
      <c r="P206">
        <v>964446.91839898354</v>
      </c>
      <c r="Q206">
        <v>-12732.180447784362</v>
      </c>
      <c r="R206">
        <v>366246.72761372849</v>
      </c>
      <c r="S206">
        <v>697127.47778703331</v>
      </c>
      <c r="T206">
        <v>6.9406884426626408E-7</v>
      </c>
      <c r="U206">
        <v>3.1260115681081684E-11</v>
      </c>
      <c r="V206">
        <v>2.3425172289731142E-9</v>
      </c>
      <c r="W206">
        <v>1.3327505162739207E-7</v>
      </c>
      <c r="X206">
        <v>5.1859331184656604E-6</v>
      </c>
      <c r="Y206">
        <v>1.1923888813745595E-6</v>
      </c>
      <c r="Z206">
        <v>0.67630692694201699</v>
      </c>
      <c r="AA206">
        <v>6.9771697886035058E-2</v>
      </c>
      <c r="AB206">
        <v>9.9131895010842968</v>
      </c>
      <c r="AD206">
        <v>0.85185192968595191</v>
      </c>
      <c r="AE206">
        <v>0.2987960575870946</v>
      </c>
      <c r="AF206">
        <v>1.2083549111851579</v>
      </c>
      <c r="AG206">
        <v>2155436.2895256169</v>
      </c>
    </row>
    <row r="207" spans="2:33" ht="12.75" hidden="1" customHeight="1">
      <c r="B207">
        <f>-0.655970408204344*$F$42</f>
        <v>0</v>
      </c>
      <c r="C207">
        <f>-0.33820543166723*$F$43</f>
        <v>0</v>
      </c>
      <c r="D207">
        <f>0.429327053549807*$F$44</f>
        <v>0</v>
      </c>
      <c r="E207">
        <f>0.103682171249009*$F$45</f>
        <v>0</v>
      </c>
      <c r="F207">
        <f>0.135235149705859*$F$46</f>
        <v>0</v>
      </c>
      <c r="G207">
        <f>0.226686198612137*$F$47</f>
        <v>0</v>
      </c>
      <c r="H207">
        <f>-0.15168287654532*$F$48</f>
        <v>0</v>
      </c>
      <c r="I207">
        <f>-0.0257628099171206*$F$49</f>
        <v>0</v>
      </c>
      <c r="J207">
        <f>0.0677127589461848*$F$50</f>
        <v>0</v>
      </c>
      <c r="K207">
        <f>-0.00760287025591413*$F$51</f>
        <v>0</v>
      </c>
      <c r="L207">
        <f>0.49610153307357*$F$52</f>
        <v>0</v>
      </c>
      <c r="M207">
        <f>-0.298674154213542*$F$53</f>
        <v>0</v>
      </c>
      <c r="N207">
        <f>-0.270775523240711*$F$54</f>
        <v>0</v>
      </c>
      <c r="P207">
        <v>899046.2724877618</v>
      </c>
      <c r="Q207">
        <v>-12367.097047465946</v>
      </c>
      <c r="R207">
        <v>369651.28997900657</v>
      </c>
      <c r="S207">
        <v>731335.23529650865</v>
      </c>
      <c r="T207">
        <v>7.094664604794101E-7</v>
      </c>
      <c r="U207">
        <v>3.1702727215697622E-11</v>
      </c>
      <c r="V207">
        <v>2.2651129383945761E-9</v>
      </c>
      <c r="W207">
        <v>1.2966508347107743E-7</v>
      </c>
      <c r="X207">
        <v>5.0338563794730929E-6</v>
      </c>
      <c r="Y207">
        <v>1.2340610455233946E-6</v>
      </c>
      <c r="Z207">
        <v>0.73472710731514979</v>
      </c>
      <c r="AA207">
        <v>6.7909280920505216E-2</v>
      </c>
      <c r="AB207">
        <v>9.7292244767592901</v>
      </c>
      <c r="AD207">
        <v>1.2283028960526721</v>
      </c>
      <c r="AE207">
        <v>0.34990140248595403</v>
      </c>
      <c r="AF207">
        <v>0.83227245429278196</v>
      </c>
      <c r="AG207">
        <v>2483046.6450639297</v>
      </c>
    </row>
    <row r="208" spans="2:33" ht="12.75" hidden="1" customHeight="1">
      <c r="B208">
        <f>-0.0446879473797274*$F$42</f>
        <v>0</v>
      </c>
      <c r="C208">
        <f>0.146266609008608*$F$43</f>
        <v>0</v>
      </c>
      <c r="D208">
        <f>0.436630426020492*$F$44</f>
        <v>0</v>
      </c>
      <c r="E208">
        <f>0.133073584956418*$F$45</f>
        <v>0</v>
      </c>
      <c r="F208">
        <f>-0.0229763658918311*$F$46</f>
        <v>0</v>
      </c>
      <c r="G208">
        <f>-0.275976723396211*$F$47</f>
        <v>0</v>
      </c>
      <c r="H208">
        <f>0.0482290968608199*$F$48</f>
        <v>0</v>
      </c>
      <c r="I208">
        <f>0.146228644397394*$F$49</f>
        <v>0</v>
      </c>
      <c r="J208">
        <f>-0.0623247286962686*$F$50</f>
        <v>0</v>
      </c>
      <c r="K208">
        <f>-0.316730296408397*$F$51</f>
        <v>0</v>
      </c>
      <c r="L208">
        <f>0.707350054919021*$F$52</f>
        <v>0</v>
      </c>
      <c r="M208">
        <f>-0.273916004336611*$F$53</f>
        <v>0</v>
      </c>
      <c r="N208">
        <f>0.260017305657643*$F$54</f>
        <v>0</v>
      </c>
      <c r="P208">
        <v>957861.4990923584</v>
      </c>
      <c r="Q208">
        <v>-12987.221259531017</v>
      </c>
      <c r="R208">
        <v>369910.1466666073</v>
      </c>
      <c r="S208">
        <v>733462.67518377781</v>
      </c>
      <c r="T208">
        <v>6.9839165438757174E-7</v>
      </c>
      <c r="U208">
        <v>3.0144472157471752E-11</v>
      </c>
      <c r="V208">
        <v>2.3110926922779883E-9</v>
      </c>
      <c r="W208">
        <v>1.3190097237716613E-7</v>
      </c>
      <c r="X208">
        <v>4.9688376356518656E-6</v>
      </c>
      <c r="Y208">
        <v>1.195883808393563E-6</v>
      </c>
      <c r="Z208">
        <v>0.74951450384433138</v>
      </c>
      <c r="AA208">
        <v>6.8082587969643726E-2</v>
      </c>
      <c r="AB208">
        <v>10.260017305657643</v>
      </c>
      <c r="AD208">
        <v>1.2130336151790311</v>
      </c>
      <c r="AE208">
        <v>0.32712001845590227</v>
      </c>
      <c r="AF208">
        <v>0.84313360333227982</v>
      </c>
      <c r="AG208">
        <v>2446938.8132435726</v>
      </c>
    </row>
    <row r="209" spans="2:33" ht="12.75" hidden="1" customHeight="1">
      <c r="B209">
        <f>-0.156838075907972*$F$42</f>
        <v>0</v>
      </c>
      <c r="C209">
        <f>-0.233117989859332*$F$43</f>
        <v>0</v>
      </c>
      <c r="D209">
        <f>0.0124378494493589*$F$44</f>
        <v>0</v>
      </c>
      <c r="E209">
        <f>-0.0495935206995681*$F$45</f>
        <v>0</v>
      </c>
      <c r="F209">
        <f>-0.0292225552385101*$F$46</f>
        <v>0</v>
      </c>
      <c r="G209">
        <f>-0.00248601037197267*$F$47</f>
        <v>0</v>
      </c>
      <c r="H209">
        <f>-0.272346882940872*$F$48</f>
        <v>0</v>
      </c>
      <c r="I209">
        <f>-0.0215324984404875*$F$49</f>
        <v>0</v>
      </c>
      <c r="J209">
        <f>-0.51780694598546*$F$50</f>
        <v>0</v>
      </c>
      <c r="K209">
        <f>-0.373036645004805*$F$51</f>
        <v>0</v>
      </c>
      <c r="L209">
        <f>0.302458436054221*$F$52</f>
        <v>0</v>
      </c>
      <c r="M209">
        <f>-0.192708947918981*$F$53</f>
        <v>0</v>
      </c>
      <c r="N209">
        <f>0.305263236140378*$F$54</f>
        <v>0</v>
      </c>
      <c r="P209">
        <v>947070.84886786935</v>
      </c>
      <c r="Q209">
        <v>-12501.608972980055</v>
      </c>
      <c r="R209">
        <v>354875.29999587528</v>
      </c>
      <c r="S209">
        <v>720240.67468617717</v>
      </c>
      <c r="T209">
        <v>6.9795442113330421E-7</v>
      </c>
      <c r="U209">
        <v>3.0992293367846889E-11</v>
      </c>
      <c r="V209">
        <v>2.2373602169235995E-9</v>
      </c>
      <c r="W209">
        <v>1.2972007752027367E-7</v>
      </c>
      <c r="X209">
        <v>4.7410965270072709E-6</v>
      </c>
      <c r="Y209">
        <v>1.1889299743419066E-6</v>
      </c>
      <c r="Z209">
        <v>0.72117209052379538</v>
      </c>
      <c r="AA209">
        <v>6.8651037364567138E-2</v>
      </c>
      <c r="AB209">
        <v>10.305263236140378</v>
      </c>
      <c r="AD209">
        <v>1.1277641906193199</v>
      </c>
      <c r="AE209">
        <v>0.33633432627295107</v>
      </c>
      <c r="AF209">
        <v>0.90807959537986971</v>
      </c>
      <c r="AG209">
        <v>2461805.8257009001</v>
      </c>
    </row>
    <row r="210" spans="2:33" ht="12.75" hidden="1" customHeight="1">
      <c r="B210">
        <f>0.434893551466694*$F$42</f>
        <v>0</v>
      </c>
      <c r="C210">
        <f>0.0930468404182961*$F$43</f>
        <v>0</v>
      </c>
      <c r="D210">
        <f>-0.252149815436022*$F$44</f>
        <v>0</v>
      </c>
      <c r="E210">
        <f>0.00457522395772533*$F$45</f>
        <v>0</v>
      </c>
      <c r="F210">
        <f>-0.11293620077547*$F$46</f>
        <v>0</v>
      </c>
      <c r="G210">
        <f>0.303802021896141*$F$47</f>
        <v>0</v>
      </c>
      <c r="H210">
        <f>-0.221872809189892*$F$48</f>
        <v>0</v>
      </c>
      <c r="I210">
        <f>0.242217596665323*$F$49</f>
        <v>0</v>
      </c>
      <c r="J210">
        <f>-0.102460882730703*$F$50</f>
        <v>0</v>
      </c>
      <c r="K210">
        <f>-0.446127691470015*$F$51</f>
        <v>0</v>
      </c>
      <c r="L210">
        <f>-0.0141382796616605*$F$52</f>
        <v>0</v>
      </c>
      <c r="M210">
        <f>-0.323415567404366*$F$53</f>
        <v>0</v>
      </c>
      <c r="N210">
        <f>0.109539616629854*$F$54</f>
        <v>0</v>
      </c>
      <c r="P210">
        <v>1004004.9701351457</v>
      </c>
      <c r="Q210">
        <v>-12919.099955735419</v>
      </c>
      <c r="R210">
        <v>345497.40138983587</v>
      </c>
      <c r="S210">
        <v>724161.57312183746</v>
      </c>
      <c r="T210">
        <v>6.920944659457171E-7</v>
      </c>
      <c r="U210">
        <v>3.1941786267878039E-11</v>
      </c>
      <c r="V210">
        <v>2.2489692538863246E-9</v>
      </c>
      <c r="W210">
        <v>1.3314882875664922E-7</v>
      </c>
      <c r="X210">
        <v>4.9487695586346494E-6</v>
      </c>
      <c r="Y210">
        <v>1.1799032301034532E-6</v>
      </c>
      <c r="Z210">
        <v>0.69901032042368372</v>
      </c>
      <c r="AA210">
        <v>6.7736091028169451E-2</v>
      </c>
      <c r="AB210">
        <v>10.109539616629855</v>
      </c>
      <c r="AD210">
        <v>1.0236374971474667</v>
      </c>
      <c r="AE210">
        <v>0.32936270011935143</v>
      </c>
      <c r="AF210">
        <v>1.0029130407363391</v>
      </c>
      <c r="AG210">
        <v>2522277.897646579</v>
      </c>
    </row>
    <row r="211" spans="2:33" ht="12.75" hidden="1" customHeight="1">
      <c r="B211">
        <f>0.626022856988259*$F$42</f>
        <v>0</v>
      </c>
      <c r="C211">
        <f>0.191409829350144*$F$43</f>
        <v>0</v>
      </c>
      <c r="D211">
        <f>-0.0472582796556202*$F$44</f>
        <v>0</v>
      </c>
      <c r="E211">
        <f>-0.148736611523111*$F$45</f>
        <v>0</v>
      </c>
      <c r="F211">
        <f>-0.0549192678661973*$F$46</f>
        <v>0</v>
      </c>
      <c r="G211">
        <f>-0.61201336495649*$F$47</f>
        <v>0</v>
      </c>
      <c r="H211">
        <f>0.198817429852802*$F$48</f>
        <v>0</v>
      </c>
      <c r="I211">
        <f>-0.114636154590436*$F$49</f>
        <v>0</v>
      </c>
      <c r="J211">
        <f>-0.349412348024474*$F$50</f>
        <v>0</v>
      </c>
      <c r="K211">
        <f>-0.139604768403009*$F$51</f>
        <v>0</v>
      </c>
      <c r="L211">
        <f>0.0156834105159966*$F$52</f>
        <v>0</v>
      </c>
      <c r="M211">
        <f>-0.340051708755282*$F$53</f>
        <v>0</v>
      </c>
      <c r="N211">
        <f>0.295360746065025*$F$54</f>
        <v>0</v>
      </c>
      <c r="P211">
        <v>1022394.6903307252</v>
      </c>
      <c r="Q211">
        <v>-13045.004581568184</v>
      </c>
      <c r="R211">
        <v>352759.4634690212</v>
      </c>
      <c r="S211">
        <v>713064.39633274835</v>
      </c>
      <c r="T211">
        <v>6.9615565124936614E-7</v>
      </c>
      <c r="U211">
        <v>2.9102758568634886E-11</v>
      </c>
      <c r="V211">
        <v>2.3457280088661446E-9</v>
      </c>
      <c r="W211">
        <v>1.2850972999032432E-7</v>
      </c>
      <c r="X211">
        <v>4.8252938259877634E-6</v>
      </c>
      <c r="Y211">
        <v>1.2177588111022284E-6</v>
      </c>
      <c r="Z211">
        <v>0.70109783873611975</v>
      </c>
      <c r="AA211">
        <v>6.7619638038713029E-2</v>
      </c>
      <c r="AB211">
        <v>10.295360746065025</v>
      </c>
      <c r="AD211">
        <v>0.94976726521380894</v>
      </c>
      <c r="AE211">
        <v>0.30569042771588545</v>
      </c>
      <c r="AF211">
        <v>1.0817355385242238</v>
      </c>
      <c r="AG211">
        <v>2357215.6617986923</v>
      </c>
    </row>
    <row r="212" spans="2:33" ht="12.75" hidden="1" customHeight="1">
      <c r="B212">
        <f>-0.550756703451088*$F$42</f>
        <v>0</v>
      </c>
      <c r="C212">
        <f>-0.542138721073561*$F$43</f>
        <v>0</v>
      </c>
      <c r="D212">
        <f>-0.0698435706869134*$F$44</f>
        <v>0</v>
      </c>
      <c r="E212">
        <f>0.062271054627853*$F$45</f>
        <v>0</v>
      </c>
      <c r="F212">
        <f>-0.0868264098219298*$F$46</f>
        <v>0</v>
      </c>
      <c r="G212">
        <f>-0.692107235708349*$F$47</f>
        <v>0</v>
      </c>
      <c r="H212">
        <f>-0.299681098368962*$F$48</f>
        <v>0</v>
      </c>
      <c r="I212">
        <f>-1.02749481974365*$F$49</f>
        <v>0</v>
      </c>
      <c r="J212">
        <f>-0.63536009269784*$F$50</f>
        <v>0</v>
      </c>
      <c r="K212">
        <f>0.269255839652331*$F$51</f>
        <v>0</v>
      </c>
      <c r="L212">
        <f>0.127352249306014*$F$52</f>
        <v>0</v>
      </c>
      <c r="M212">
        <f>-0.326577118799021*$F$53</f>
        <v>0</v>
      </c>
      <c r="N212">
        <f>-0.441071587442535*$F$54</f>
        <v>0</v>
      </c>
      <c r="P212">
        <v>909169.52692994568</v>
      </c>
      <c r="Q212">
        <v>-12106.062437025843</v>
      </c>
      <c r="R212">
        <v>351958.9629265219</v>
      </c>
      <c r="S212">
        <v>728337.77276703564</v>
      </c>
      <c r="T212">
        <v>6.9392215131246487E-7</v>
      </c>
      <c r="U212">
        <v>2.8854467569304119E-11</v>
      </c>
      <c r="V212">
        <v>2.2310733473751384E-9</v>
      </c>
      <c r="W212">
        <v>1.1664256734333254E-7</v>
      </c>
      <c r="X212">
        <v>4.6823199536510802E-6</v>
      </c>
      <c r="Y212">
        <v>1.268253096197063E-6</v>
      </c>
      <c r="Z212">
        <v>0.7089146574514209</v>
      </c>
      <c r="AA212">
        <v>6.7713960168406861E-2</v>
      </c>
      <c r="AB212">
        <v>9.5589284125574654</v>
      </c>
      <c r="AD212">
        <v>1.1693691842301823</v>
      </c>
      <c r="AE212">
        <v>0.36306562368953926</v>
      </c>
      <c r="AF212">
        <v>0.87490415508152708</v>
      </c>
      <c r="AG212">
        <v>2587871.519463982</v>
      </c>
    </row>
    <row r="213" spans="2:33" ht="12.75" hidden="1" customHeight="1">
      <c r="B213">
        <f>0.165095236259373*$F$42</f>
        <v>0</v>
      </c>
      <c r="C213">
        <f>0.554495994089992*$F$43</f>
        <v>0</v>
      </c>
      <c r="D213">
        <f>0.0815423942755813*$F$44</f>
        <v>0</v>
      </c>
      <c r="E213">
        <f>0.568147515245344*$F$45</f>
        <v>0</v>
      </c>
      <c r="F213">
        <f>0.25011495102048*$F$46</f>
        <v>0</v>
      </c>
      <c r="G213">
        <f>-0.557359253688756*$F$47</f>
        <v>0</v>
      </c>
      <c r="H213">
        <f>0.185496926899458*$F$48</f>
        <v>0</v>
      </c>
      <c r="I213">
        <f>-0.0995029695761773*$F$49</f>
        <v>0</v>
      </c>
      <c r="J213">
        <f>-0.27762543302918*$F$50</f>
        <v>0</v>
      </c>
      <c r="K213">
        <f>-0.120445863033761*$F$51</f>
        <v>0</v>
      </c>
      <c r="L213">
        <f>-0.486913624057209*$F$52</f>
        <v>0</v>
      </c>
      <c r="M213">
        <f>0.115472777279013*$F$53</f>
        <v>0</v>
      </c>
      <c r="N213">
        <f>-0.910917036786792*$F$54</f>
        <v>0</v>
      </c>
      <c r="P213">
        <v>978046.02306336025</v>
      </c>
      <c r="Q213">
        <v>-13509.754872435189</v>
      </c>
      <c r="R213">
        <v>357324.60319705657</v>
      </c>
      <c r="S213">
        <v>764954.6490786667</v>
      </c>
      <c r="T213">
        <v>7.175080465714335E-7</v>
      </c>
      <c r="U213">
        <v>2.9272186313564855E-11</v>
      </c>
      <c r="V213">
        <v>2.3426642931868752E-9</v>
      </c>
      <c r="W213">
        <v>1.2870646139550969E-7</v>
      </c>
      <c r="X213">
        <v>4.8611872834854099E-6</v>
      </c>
      <c r="Y213">
        <v>1.2201249359153306E-6</v>
      </c>
      <c r="Z213">
        <v>0.66591604631599532</v>
      </c>
      <c r="AA213">
        <v>7.0808309440953093E-2</v>
      </c>
      <c r="AB213">
        <v>9.0890829632132082</v>
      </c>
      <c r="AD213">
        <v>1.0362180714049667</v>
      </c>
      <c r="AE213">
        <v>0.36742551092852205</v>
      </c>
      <c r="AF213">
        <v>0.99025648383252829</v>
      </c>
      <c r="AG213">
        <v>2776480.2736060885</v>
      </c>
    </row>
    <row r="214" spans="2:33" ht="12.75" hidden="1" customHeight="1">
      <c r="B214">
        <f>-0.640642157245792*$F$42</f>
        <v>0</v>
      </c>
      <c r="C214">
        <f>-0.213801081556984*$F$43</f>
        <v>0</v>
      </c>
      <c r="D214">
        <f>-0.0326610579976066*$F$44</f>
        <v>0</v>
      </c>
      <c r="E214">
        <f>-0.0814840037553678*$F$45</f>
        <v>0</v>
      </c>
      <c r="F214">
        <f>0.0475309332146976*$F$46</f>
        <v>0</v>
      </c>
      <c r="G214">
        <f>-0.882407036491749*$F$47</f>
        <v>0</v>
      </c>
      <c r="H214">
        <f>0.0757950939449693*$F$48</f>
        <v>0</v>
      </c>
      <c r="I214">
        <f>0.234054593084759*$F$49</f>
        <v>0</v>
      </c>
      <c r="J214">
        <f>-0.255161448222719*$F$50</f>
        <v>0</v>
      </c>
      <c r="K214">
        <f>-0.365032345376853*$F$51</f>
        <v>0</v>
      </c>
      <c r="L214">
        <f>0.268143493151406*$F$52</f>
        <v>0</v>
      </c>
      <c r="M214">
        <f>0.222031343284642*$F$53</f>
        <v>0</v>
      </c>
      <c r="N214">
        <f>0.333876629496944*$F$54</f>
        <v>0</v>
      </c>
      <c r="P214">
        <v>900521.09732137993</v>
      </c>
      <c r="Q214">
        <v>-12526.334615607062</v>
      </c>
      <c r="R214">
        <v>353276.83930624335</v>
      </c>
      <c r="S214">
        <v>717932.34456117591</v>
      </c>
      <c r="T214">
        <v>7.0332716532502875E-7</v>
      </c>
      <c r="U214">
        <v>2.8264538186875581E-11</v>
      </c>
      <c r="V214">
        <v>2.3174328716073431E-9</v>
      </c>
      <c r="W214">
        <v>1.3304270971010185E-7</v>
      </c>
      <c r="X214">
        <v>4.8724192758886408E-6</v>
      </c>
      <c r="Y214">
        <v>1.1899185053459587E-6</v>
      </c>
      <c r="Z214">
        <v>0.71877004452059845</v>
      </c>
      <c r="AA214">
        <v>7.1554219402992489E-2</v>
      </c>
      <c r="AB214">
        <v>10.333876629496944</v>
      </c>
      <c r="AD214">
        <v>1.1870073340785661</v>
      </c>
      <c r="AE214">
        <v>0.35522995958327863</v>
      </c>
      <c r="AF214">
        <v>0.86145265065624976</v>
      </c>
      <c r="AG214">
        <v>2488649.0187661038</v>
      </c>
    </row>
    <row r="215" spans="2:33" ht="12.75" hidden="1" customHeight="1">
      <c r="B215">
        <f>-0.0592450082241709*$F$42</f>
        <v>0</v>
      </c>
      <c r="C215">
        <f>0.669709940954289*$F$43</f>
        <v>0</v>
      </c>
      <c r="D215">
        <f>0.190969035030702*$F$44</f>
        <v>0</v>
      </c>
      <c r="E215">
        <f>0.580576233557291*$F$45</f>
        <v>0</v>
      </c>
      <c r="F215">
        <f>-0.0398193705244171*$F$46</f>
        <v>0</v>
      </c>
      <c r="G215">
        <f>-0.543733531222848*$F$47</f>
        <v>0</v>
      </c>
      <c r="H215">
        <f>-0.296522843205711*$F$48</f>
        <v>0</v>
      </c>
      <c r="I215">
        <f>-0.453607748621349*$F$49</f>
        <v>0</v>
      </c>
      <c r="J215">
        <f>-0.70208835525217*$F$50</f>
        <v>0</v>
      </c>
      <c r="K215">
        <f>-0.152921746049235*$F$51</f>
        <v>0</v>
      </c>
      <c r="L215">
        <f>-1.10000721784249*$F$52</f>
        <v>0</v>
      </c>
      <c r="M215">
        <f>-0.195052162126214*$F$53</f>
        <v>0</v>
      </c>
      <c r="N215">
        <f>0.08775314063683*$F$54</f>
        <v>0</v>
      </c>
      <c r="P215">
        <v>956460.87517930206</v>
      </c>
      <c r="Q215">
        <v>-13657.228724421489</v>
      </c>
      <c r="R215">
        <v>361203.06042689586</v>
      </c>
      <c r="S215">
        <v>765854.27749898331</v>
      </c>
      <c r="T215">
        <v>6.9721264406329072E-7</v>
      </c>
      <c r="U215">
        <v>2.9314426053209177E-11</v>
      </c>
      <c r="V215">
        <v>2.2317997460626865E-9</v>
      </c>
      <c r="W215">
        <v>1.2410309926792248E-7</v>
      </c>
      <c r="X215">
        <v>4.6489558223739158E-6</v>
      </c>
      <c r="Y215">
        <v>1.2161141643629195E-6</v>
      </c>
      <c r="Z215">
        <v>0.62299949475102567</v>
      </c>
      <c r="AA215">
        <v>6.8634634865116506E-2</v>
      </c>
      <c r="AB215">
        <v>10.087753140636831</v>
      </c>
      <c r="AD215">
        <v>0.97592514719146917</v>
      </c>
      <c r="AE215">
        <v>0.38525584090925652</v>
      </c>
      <c r="AF215">
        <v>1.0503658619934273</v>
      </c>
      <c r="AG215">
        <v>2775475.3409027122</v>
      </c>
    </row>
    <row r="216" spans="2:33" ht="12.75" hidden="1" customHeight="1">
      <c r="B216">
        <f>0.123135126711841*$F$42</f>
        <v>0</v>
      </c>
      <c r="C216">
        <f>0.0710030508345028*$F$43</f>
        <v>0</v>
      </c>
      <c r="D216">
        <f>0.183085122974584*$F$44</f>
        <v>0</v>
      </c>
      <c r="E216">
        <f>0.116173539604802*$F$45</f>
        <v>0</v>
      </c>
      <c r="F216">
        <f>0.187929055916591*$F$46</f>
        <v>0</v>
      </c>
      <c r="G216">
        <f>0.00610883657237767*$F$47</f>
        <v>0</v>
      </c>
      <c r="H216">
        <f>0.0583921820332004*$F$48</f>
        <v>0</v>
      </c>
      <c r="I216">
        <f>0.243358370324721*$F$49</f>
        <v>0</v>
      </c>
      <c r="J216">
        <f>0.0869484409828447*$F$50</f>
        <v>0</v>
      </c>
      <c r="K216">
        <f>-0.0885229706390656*$F$51</f>
        <v>0</v>
      </c>
      <c r="L216">
        <f>0.777922774267303*$F$52</f>
        <v>0</v>
      </c>
      <c r="M216">
        <f>-0.558672085042771*$F$53</f>
        <v>0</v>
      </c>
      <c r="N216">
        <f>0.445780635302303*$F$54</f>
        <v>0</v>
      </c>
      <c r="P216">
        <v>974008.78412792168</v>
      </c>
      <c r="Q216">
        <v>-12890.883905068165</v>
      </c>
      <c r="R216">
        <v>360923.62741586257</v>
      </c>
      <c r="S216">
        <v>732239.39851748326</v>
      </c>
      <c r="T216">
        <v>7.1315503391416142E-7</v>
      </c>
      <c r="U216">
        <v>3.1018937393374374E-11</v>
      </c>
      <c r="V216">
        <v>2.3134302018676361E-9</v>
      </c>
      <c r="W216">
        <v>1.3316365881422137E-7</v>
      </c>
      <c r="X216">
        <v>5.0434742204914224E-6</v>
      </c>
      <c r="Y216">
        <v>1.2240674131260755E-6</v>
      </c>
      <c r="Z216">
        <v>0.75445459419871119</v>
      </c>
      <c r="AA216">
        <v>6.6089295404700613E-2</v>
      </c>
      <c r="AB216">
        <v>10.445780635302304</v>
      </c>
      <c r="AD216">
        <v>1.2488629816052517</v>
      </c>
      <c r="AE216">
        <v>0.32983109713052922</v>
      </c>
      <c r="AF216">
        <v>0.8182844571548693</v>
      </c>
      <c r="AG216">
        <v>2513206.4572252426</v>
      </c>
    </row>
    <row r="217" spans="2:33" ht="12.75" hidden="1" customHeight="1">
      <c r="B217">
        <f>0.0117706181257782*$F$42</f>
        <v>0</v>
      </c>
      <c r="C217">
        <f>-0.284760580829418*$F$43</f>
        <v>0</v>
      </c>
      <c r="D217">
        <f>0.2504828961939*$F$44</f>
        <v>0</v>
      </c>
      <c r="E217">
        <f>-0.401382497818154*$F$45</f>
        <v>0</v>
      </c>
      <c r="F217">
        <f>0.332257166827018*$F$46</f>
        <v>0</v>
      </c>
      <c r="G217">
        <f>0.276471709395593*$F$47</f>
        <v>0</v>
      </c>
      <c r="H217">
        <f>-0.0461876466981413*$F$48</f>
        <v>0</v>
      </c>
      <c r="I217">
        <f>-0.117103724129852*$F$49</f>
        <v>0</v>
      </c>
      <c r="J217">
        <f>-0.134125599873809*$F$50</f>
        <v>0</v>
      </c>
      <c r="K217">
        <f>0.386857710375394*$F$51</f>
        <v>0</v>
      </c>
      <c r="L217">
        <f>-0.30758573098849*$F$52</f>
        <v>0</v>
      </c>
      <c r="M217">
        <f>-0.356322758468061*$F$53</f>
        <v>0</v>
      </c>
      <c r="N217">
        <f>0.207436765526963*$F$54</f>
        <v>0</v>
      </c>
      <c r="P217">
        <v>963293.72320606408</v>
      </c>
      <c r="Q217">
        <v>-12435.506456538344</v>
      </c>
      <c r="R217">
        <v>363312.43674980255</v>
      </c>
      <c r="S217">
        <v>694777.11892550194</v>
      </c>
      <c r="T217">
        <v>7.232580016778913E-7</v>
      </c>
      <c r="U217">
        <v>3.1857062299126343E-11</v>
      </c>
      <c r="V217">
        <v>2.2893768412594274E-9</v>
      </c>
      <c r="W217">
        <v>1.2847765158631192E-7</v>
      </c>
      <c r="X217">
        <v>4.9329372000630956E-6</v>
      </c>
      <c r="Y217">
        <v>1.2827769272313612E-6</v>
      </c>
      <c r="Z217">
        <v>0.67846899883080569</v>
      </c>
      <c r="AA217">
        <v>6.7505740690723584E-2</v>
      </c>
      <c r="AB217">
        <v>10.207436765526962</v>
      </c>
      <c r="AD217">
        <v>0.86712836980189878</v>
      </c>
      <c r="AE217">
        <v>0.29983372375654921</v>
      </c>
      <c r="AF217">
        <v>1.1857109218999988</v>
      </c>
      <c r="AG217">
        <v>2145457.9078928903</v>
      </c>
    </row>
    <row r="218" spans="2:33" ht="12.75" hidden="1" customHeight="1">
      <c r="B218">
        <f>0.227220880629807*$F$42</f>
        <v>0</v>
      </c>
      <c r="C218">
        <f>0.322115574816124*$F$43</f>
        <v>0</v>
      </c>
      <c r="D218">
        <f>-0.356808585099397*$F$44</f>
        <v>0</v>
      </c>
      <c r="E218">
        <f>-0.325720592350035*$F$45</f>
        <v>0</v>
      </c>
      <c r="F218">
        <f>0.138066461639546*$F$46</f>
        <v>0</v>
      </c>
      <c r="G218">
        <f>-0.0297045160614281*$F$47</f>
        <v>0</v>
      </c>
      <c r="H218">
        <f>0.339427336275666*$F$48</f>
        <v>0</v>
      </c>
      <c r="I218">
        <f>-0.217328543817016*$F$49</f>
        <v>0</v>
      </c>
      <c r="J218">
        <f>0.192624128001596*$F$50</f>
        <v>0</v>
      </c>
      <c r="K218">
        <f>-0.227523846681846*$F$51</f>
        <v>0</v>
      </c>
      <c r="L218">
        <f>-0.0792969585137279*$F$52</f>
        <v>0</v>
      </c>
      <c r="M218">
        <f>-0.0504010828045698*$F$53</f>
        <v>0</v>
      </c>
      <c r="N218">
        <f>-0.587479136592893*$F$54</f>
        <v>0</v>
      </c>
      <c r="P218">
        <v>984023.51151718304</v>
      </c>
      <c r="Q218">
        <v>-13212.307935764638</v>
      </c>
      <c r="R218">
        <v>341787.93394145294</v>
      </c>
      <c r="S218">
        <v>700253.75768953271</v>
      </c>
      <c r="T218">
        <v>7.0966465231476819E-7</v>
      </c>
      <c r="U218">
        <v>3.0907916000209573E-11</v>
      </c>
      <c r="V218">
        <v>2.378068287343403E-9</v>
      </c>
      <c r="W218">
        <v>1.2717472893037878E-7</v>
      </c>
      <c r="X218">
        <v>5.0963120640007983E-6</v>
      </c>
      <c r="Y218">
        <v>1.2069008049347919E-6</v>
      </c>
      <c r="Z218">
        <v>0.69444921290403894</v>
      </c>
      <c r="AA218">
        <v>6.9647192420368015E-2</v>
      </c>
      <c r="AB218">
        <v>9.4125208634071065</v>
      </c>
      <c r="AD218">
        <v>0.95155416366642454</v>
      </c>
      <c r="AE218">
        <v>0.31459681243512189</v>
      </c>
      <c r="AF218">
        <v>1.0804471097296355</v>
      </c>
      <c r="AG218">
        <v>2366198.3884580522</v>
      </c>
    </row>
    <row r="219" spans="2:33" ht="12.75" hidden="1" customHeight="1">
      <c r="B219">
        <f>0.189647298616382*$F$42</f>
        <v>0</v>
      </c>
      <c r="C219">
        <f>-0.223865482784841*$F$43</f>
        <v>0</v>
      </c>
      <c r="D219">
        <f>-0.365741349277678*$F$44</f>
        <v>0</v>
      </c>
      <c r="E219">
        <f>-0.31830576829727*$F$45</f>
        <v>0</v>
      </c>
      <c r="F219">
        <f>0.160403239904366*$F$46</f>
        <v>0</v>
      </c>
      <c r="G219">
        <f>0.189598203637609*$F$47</f>
        <v>0</v>
      </c>
      <c r="H219">
        <f>-1.00142817597394*$F$48</f>
        <v>0</v>
      </c>
      <c r="I219">
        <f>-0.0937404835583498*$F$49</f>
        <v>0</v>
      </c>
      <c r="J219">
        <f>0.408432845466125*$F$50</f>
        <v>0</v>
      </c>
      <c r="K219">
        <f>0.110714786426587*$F$51</f>
        <v>0</v>
      </c>
      <c r="L219">
        <f>0.319354384389184*$F$52</f>
        <v>0</v>
      </c>
      <c r="M219">
        <f>0.218194234694933*$F$53</f>
        <v>0</v>
      </c>
      <c r="N219">
        <f>-0.43791228278203*$F$54</f>
        <v>0</v>
      </c>
      <c r="P219">
        <v>980408.32724134962</v>
      </c>
      <c r="Q219">
        <v>-12513.452182035404</v>
      </c>
      <c r="R219">
        <v>341471.32599689189</v>
      </c>
      <c r="S219">
        <v>700790.46519887447</v>
      </c>
      <c r="T219">
        <v>7.1122822679330551E-7</v>
      </c>
      <c r="U219">
        <v>3.1587754431276591E-11</v>
      </c>
      <c r="V219">
        <v>2.0696715195259938E-9</v>
      </c>
      <c r="W219">
        <v>1.2878137371374146E-7</v>
      </c>
      <c r="X219">
        <v>5.2042164227330627E-6</v>
      </c>
      <c r="Y219">
        <v>1.2486732761236836E-6</v>
      </c>
      <c r="Z219">
        <v>0.72235480690724274</v>
      </c>
      <c r="AA219">
        <v>7.1527359642864538E-2</v>
      </c>
      <c r="AB219">
        <v>9.5620877172179704</v>
      </c>
      <c r="AD219">
        <v>1.03644830561915</v>
      </c>
      <c r="AE219">
        <v>0.31295395935998377</v>
      </c>
      <c r="AF219">
        <v>0.99167464115748616</v>
      </c>
      <c r="AG219">
        <v>2377962.4739472196</v>
      </c>
    </row>
    <row r="220" spans="2:33" ht="12.75" hidden="1" customHeight="1">
      <c r="B220">
        <f>-0.167354999737839*$F$42</f>
        <v>0</v>
      </c>
      <c r="C220">
        <f>0.00172143376846678*$F$43</f>
        <v>0</v>
      </c>
      <c r="D220">
        <f>-0.186583598426687*$F$44</f>
        <v>0</v>
      </c>
      <c r="E220">
        <f>-0.120082051997499*$F$45</f>
        <v>0</v>
      </c>
      <c r="F220">
        <f>0.662992246474344*$F$46</f>
        <v>0</v>
      </c>
      <c r="G220">
        <f>0.30238583034943*$F$47</f>
        <v>0</v>
      </c>
      <c r="H220">
        <f>-0.0647301756192716*$F$48</f>
        <v>0</v>
      </c>
      <c r="I220">
        <f>-0.150618164325056*$F$49</f>
        <v>0</v>
      </c>
      <c r="J220">
        <f>0.364470093600005*$F$50</f>
        <v>0</v>
      </c>
      <c r="K220">
        <f>-0.17108125405634*$F$51</f>
        <v>0</v>
      </c>
      <c r="L220">
        <f>0.0715194351052829*$F$52</f>
        <v>0</v>
      </c>
      <c r="M220">
        <f>-0.132213216437683*$F$53</f>
        <v>0</v>
      </c>
      <c r="N220">
        <f>-0.195597005428893*$F$54</f>
        <v>0</v>
      </c>
      <c r="P220">
        <v>946058.95126262412</v>
      </c>
      <c r="Q220">
        <v>-12802.203435223637</v>
      </c>
      <c r="R220">
        <v>347821.29406019708</v>
      </c>
      <c r="S220">
        <v>715138.50047397066</v>
      </c>
      <c r="T220">
        <v>7.4640945725320394E-7</v>
      </c>
      <c r="U220">
        <v>3.1937396074083237E-11</v>
      </c>
      <c r="V220">
        <v>2.2851120596075672E-9</v>
      </c>
      <c r="W220">
        <v>1.2804196386377426E-7</v>
      </c>
      <c r="X220">
        <v>5.1822350468000027E-6</v>
      </c>
      <c r="Y220">
        <v>1.2138714651240421E-6</v>
      </c>
      <c r="Z220">
        <v>0.70500636045736975</v>
      </c>
      <c r="AA220">
        <v>6.9074507484936223E-2</v>
      </c>
      <c r="AB220">
        <v>9.804402994571106</v>
      </c>
      <c r="AD220">
        <v>1.0725927174613414</v>
      </c>
      <c r="AE220">
        <v>0.33955554934554583</v>
      </c>
      <c r="AF220">
        <v>0.95628844788984391</v>
      </c>
      <c r="AG220">
        <v>2489984.4598130542</v>
      </c>
    </row>
    <row r="221" spans="2:33" ht="12.75" hidden="1" customHeight="1">
      <c r="B221">
        <f>0.642925349520699*$F$42</f>
        <v>0</v>
      </c>
      <c r="C221">
        <f>-0.0974490641069858*$F$43</f>
        <v>0</v>
      </c>
      <c r="D221">
        <f>-0.0942671352257843*$F$44</f>
        <v>0</v>
      </c>
      <c r="E221">
        <f>-0.127584186127895*$F$45</f>
        <v>0</v>
      </c>
      <c r="F221">
        <f>-0.637240593256326*$F$46</f>
        <v>0</v>
      </c>
      <c r="G221">
        <f>0.368014564615948*$F$47</f>
        <v>0</v>
      </c>
      <c r="H221">
        <f>0.147714935923654*$F$48</f>
        <v>0</v>
      </c>
      <c r="I221">
        <f>-0.558395696862471*$F$49</f>
        <v>0</v>
      </c>
      <c r="J221">
        <f>-0.283087806632409*$F$50</f>
        <v>0</v>
      </c>
      <c r="K221">
        <f>-0.157899155620837*$F$51</f>
        <v>0</v>
      </c>
      <c r="L221">
        <f>-0.118306330996225*$F$52</f>
        <v>0</v>
      </c>
      <c r="M221">
        <f>-0.325881572580965*$F$53</f>
        <v>0</v>
      </c>
      <c r="N221">
        <f>0.347896569970931*$F$54</f>
        <v>0</v>
      </c>
      <c r="P221">
        <v>1024020.9825805256</v>
      </c>
      <c r="Q221">
        <v>-12675.265197943058</v>
      </c>
      <c r="R221">
        <v>351093.30763626943</v>
      </c>
      <c r="S221">
        <v>714595.47319574817</v>
      </c>
      <c r="T221">
        <v>6.5539315847205714E-7</v>
      </c>
      <c r="U221">
        <v>3.214084515030944E-11</v>
      </c>
      <c r="V221">
        <v>2.33397443526244E-9</v>
      </c>
      <c r="W221">
        <v>1.2274085594078788E-7</v>
      </c>
      <c r="X221">
        <v>4.8584560966837954E-6</v>
      </c>
      <c r="Y221">
        <v>1.2154994542808266E-6</v>
      </c>
      <c r="Z221">
        <v>0.69171855683026418</v>
      </c>
      <c r="AA221">
        <v>6.7718828991933253E-2</v>
      </c>
      <c r="AB221">
        <v>10.347896569970931</v>
      </c>
      <c r="AD221">
        <v>0.93387615249185429</v>
      </c>
      <c r="AE221">
        <v>0.30919178698265543</v>
      </c>
      <c r="AF221">
        <v>1.100027229217357</v>
      </c>
      <c r="AG221">
        <v>2379823.7328265365</v>
      </c>
    </row>
    <row r="222" spans="2:33" ht="12.75" hidden="1" customHeight="1">
      <c r="B222">
        <f>-0.16042679127335*$F$42</f>
        <v>0</v>
      </c>
      <c r="C222">
        <f>0.383961536758737*$F$43</f>
        <v>0</v>
      </c>
      <c r="D222">
        <f>0.674657148444208*$F$44</f>
        <v>0</v>
      </c>
      <c r="E222">
        <f>-0.133143490606091*$F$45</f>
        <v>0</v>
      </c>
      <c r="F222">
        <f>-0.313577122292438*$F$46</f>
        <v>0</v>
      </c>
      <c r="G222">
        <f>0.0873949079767484*$F$47</f>
        <v>0</v>
      </c>
      <c r="H222">
        <f>-0.0843876410491438*$F$48</f>
        <v>0</v>
      </c>
      <c r="I222">
        <f>-0.0838849522321841*$F$49</f>
        <v>0</v>
      </c>
      <c r="J222">
        <f>0.324332957620864*$F$50</f>
        <v>0</v>
      </c>
      <c r="K222">
        <f>-0.337100521095266*$F$51</f>
        <v>0</v>
      </c>
      <c r="L222">
        <f>0.198075678837025*$F$52</f>
        <v>0</v>
      </c>
      <c r="M222">
        <f>-0.00398667347653264*$F$53</f>
        <v>0</v>
      </c>
      <c r="N222">
        <f>-0.0348082685165426*$F$54</f>
        <v>0</v>
      </c>
      <c r="P222">
        <v>946725.5565996283</v>
      </c>
      <c r="Q222">
        <v>-13291.470767051183</v>
      </c>
      <c r="R222">
        <v>378346.63394345931</v>
      </c>
      <c r="S222">
        <v>714193.07383482833</v>
      </c>
      <c r="T222">
        <v>6.7804960143952936E-7</v>
      </c>
      <c r="U222">
        <v>3.1270924214727921E-11</v>
      </c>
      <c r="V222">
        <v>2.280590842558697E-9</v>
      </c>
      <c r="W222">
        <v>1.2890949562098161E-7</v>
      </c>
      <c r="X222">
        <v>5.1621664788104319E-6</v>
      </c>
      <c r="Y222">
        <v>1.1933680856447346E-6</v>
      </c>
      <c r="Z222">
        <v>0.71386529751859162</v>
      </c>
      <c r="AA222">
        <v>6.9972093285664283E-2</v>
      </c>
      <c r="AB222">
        <v>9.9651917314834577</v>
      </c>
      <c r="AD222">
        <v>0.98653287197767303</v>
      </c>
      <c r="AE222">
        <v>0.30684488408564786</v>
      </c>
      <c r="AF222">
        <v>1.042042311768463</v>
      </c>
      <c r="AG222">
        <v>2227844.9883683217</v>
      </c>
    </row>
    <row r="223" spans="2:33" ht="12.75" hidden="1" customHeight="1">
      <c r="B223">
        <f>-0.767781653933739*$F$42</f>
        <v>0</v>
      </c>
      <c r="C223">
        <f>0.106006090716391*$F$43</f>
        <v>0</v>
      </c>
      <c r="D223">
        <f>-0.172901359127115*$F$44</f>
        <v>0</v>
      </c>
      <c r="E223">
        <f>-0.336775692084284*$F$45</f>
        <v>0</v>
      </c>
      <c r="F223">
        <f>-0.0307223237235606*$F$46</f>
        <v>0</v>
      </c>
      <c r="G223">
        <f>-0.057891147177471*$F$47</f>
        <v>0</v>
      </c>
      <c r="H223">
        <f>0.12557493811052*$F$48</f>
        <v>0</v>
      </c>
      <c r="I223">
        <f>0.258775721894832*$F$49</f>
        <v>0</v>
      </c>
      <c r="J223">
        <f>-0.129791095155089*$F$50</f>
        <v>0</v>
      </c>
      <c r="K223">
        <f>0.194939777812257*$F$51</f>
        <v>0</v>
      </c>
      <c r="L223">
        <f>0.885832676078093*$F$52</f>
        <v>0</v>
      </c>
      <c r="M223">
        <f>0.0656841906139838*$F$53</f>
        <v>0</v>
      </c>
      <c r="N223">
        <f>-0.0625704358040958*$F$54</f>
        <v>0</v>
      </c>
      <c r="P223">
        <v>888288.22825131286</v>
      </c>
      <c r="Q223">
        <v>-12935.687796116979</v>
      </c>
      <c r="R223">
        <v>348306.23976962973</v>
      </c>
      <c r="S223">
        <v>699453.55595828872</v>
      </c>
      <c r="T223">
        <v>6.9784943733935072E-7</v>
      </c>
      <c r="U223">
        <v>3.0820537443749844E-11</v>
      </c>
      <c r="V223">
        <v>2.3288822357654196E-9</v>
      </c>
      <c r="W223">
        <v>1.3336408438463283E-7</v>
      </c>
      <c r="X223">
        <v>4.935104452422456E-6</v>
      </c>
      <c r="Y223">
        <v>1.2590750625598139E-6</v>
      </c>
      <c r="Z223">
        <v>0.76200828732546644</v>
      </c>
      <c r="AA223">
        <v>7.045978933429789E-2</v>
      </c>
      <c r="AB223">
        <v>9.9374295641959041</v>
      </c>
      <c r="AD223">
        <v>1.3249566718950558</v>
      </c>
      <c r="AE223">
        <v>0.34085081029429648</v>
      </c>
      <c r="AF223">
        <v>0.77053301876614322</v>
      </c>
      <c r="AG223">
        <v>2413326.1493299515</v>
      </c>
    </row>
    <row r="224" spans="2:33" ht="12.75" hidden="1" customHeight="1">
      <c r="B224">
        <f>-0.0439355324302503*$F$42</f>
        <v>0</v>
      </c>
      <c r="C224">
        <f>-0.196150507118379*$F$43</f>
        <v>0</v>
      </c>
      <c r="D224">
        <f>-0.215232489378205*$F$44</f>
        <v>0</v>
      </c>
      <c r="E224">
        <f>0.148676764277956*$F$45</f>
        <v>0</v>
      </c>
      <c r="F224">
        <f>0.216832905029217*$F$46</f>
        <v>0</v>
      </c>
      <c r="G224">
        <f>0.15390955249811*$F$47</f>
        <v>0</v>
      </c>
      <c r="H224">
        <f>0.499480574371042*$F$48</f>
        <v>0</v>
      </c>
      <c r="I224">
        <f>-0.222119418196685*$F$49</f>
        <v>0</v>
      </c>
      <c r="J224">
        <f>-0.0950702400226723*$F$50</f>
        <v>0</v>
      </c>
      <c r="K224">
        <f>0.137355982695028*$F$51</f>
        <v>0</v>
      </c>
      <c r="L224">
        <f>0.534440869553325*$F$52</f>
        <v>0</v>
      </c>
      <c r="M224">
        <f>-0.120967194749042*$F$53</f>
        <v>0</v>
      </c>
      <c r="N224">
        <f>-0.320684602219415*$F$54</f>
        <v>0</v>
      </c>
      <c r="P224">
        <v>957933.89353942708</v>
      </c>
      <c r="Q224">
        <v>-12548.927350888474</v>
      </c>
      <c r="R224">
        <v>346805.87864151079</v>
      </c>
      <c r="S224">
        <v>734592.08074375882</v>
      </c>
      <c r="T224">
        <v>7.1517830335204512E-7</v>
      </c>
      <c r="U224">
        <v>3.1477119612744148E-11</v>
      </c>
      <c r="V224">
        <v>2.4148805321053396E-9</v>
      </c>
      <c r="W224">
        <v>1.271124475634431E-7</v>
      </c>
      <c r="X224">
        <v>4.9524648799886643E-6</v>
      </c>
      <c r="Y224">
        <v>1.251963463862836E-6</v>
      </c>
      <c r="Z224">
        <v>0.73741086086873275</v>
      </c>
      <c r="AA224">
        <v>6.9153229636756713E-2</v>
      </c>
      <c r="AB224">
        <v>9.6793153977805844</v>
      </c>
      <c r="AD224">
        <v>1.2426386985750324</v>
      </c>
      <c r="AE224">
        <v>0.35055786047450488</v>
      </c>
      <c r="AF224">
        <v>0.82250363777005919</v>
      </c>
      <c r="AG224">
        <v>2656622.0985757159</v>
      </c>
    </row>
    <row r="225" spans="2:33" ht="12.75" hidden="1" customHeight="1">
      <c r="B225">
        <f>-0.548016713938324*$F$42</f>
        <v>0</v>
      </c>
      <c r="C225">
        <f>0.0434026019132747*$F$43</f>
        <v>0</v>
      </c>
      <c r="D225">
        <f>0.196629288162828*$F$44</f>
        <v>0</v>
      </c>
      <c r="E225">
        <f>0.234857445262825*$F$45</f>
        <v>0</v>
      </c>
      <c r="F225">
        <f>-0.29243038289223*$F$46</f>
        <v>0</v>
      </c>
      <c r="G225">
        <f>0.68858900048184*$F$47</f>
        <v>0</v>
      </c>
      <c r="H225">
        <f>-0.229047670242139*$F$48</f>
        <v>0</v>
      </c>
      <c r="I225">
        <f>-0.162935157983169*$F$49</f>
        <v>0</v>
      </c>
      <c r="J225">
        <f>0.35688684491297*$F$50</f>
        <v>0</v>
      </c>
      <c r="K225">
        <f>0.33593289682417*$F$51</f>
        <v>0</v>
      </c>
      <c r="L225">
        <f>0.264472963693846*$F$52</f>
        <v>0</v>
      </c>
      <c r="M225">
        <f>0.0782632905888487*$F$53</f>
        <v>0</v>
      </c>
      <c r="N225">
        <f>0.016930460361932*$F$54</f>
        <v>0</v>
      </c>
      <c r="P225">
        <v>909433.15808970446</v>
      </c>
      <c r="Q225">
        <v>-12855.555330448991</v>
      </c>
      <c r="R225">
        <v>361403.67930298974</v>
      </c>
      <c r="S225">
        <v>740830.10046150419</v>
      </c>
      <c r="T225">
        <v>6.7952987319754382E-7</v>
      </c>
      <c r="U225">
        <v>3.3134625901493711E-11</v>
      </c>
      <c r="V225">
        <v>2.2473190358443078E-9</v>
      </c>
      <c r="W225">
        <v>1.278818429462188E-7</v>
      </c>
      <c r="X225">
        <v>5.1784434224564851E-6</v>
      </c>
      <c r="Y225">
        <v>1.276487712757785E-6</v>
      </c>
      <c r="Z225">
        <v>0.71851310745856922</v>
      </c>
      <c r="AA225">
        <v>7.0547843034121954E-2</v>
      </c>
      <c r="AB225">
        <v>10.016930460361932</v>
      </c>
      <c r="AD225">
        <v>1.2251798606530317</v>
      </c>
      <c r="AE225">
        <v>0.36613380218247499</v>
      </c>
      <c r="AF225">
        <v>0.83394546437595207</v>
      </c>
      <c r="AG225">
        <v>2602532.8503288729</v>
      </c>
    </row>
    <row r="226" spans="2:33" ht="12.75" hidden="1" customHeight="1">
      <c r="B226">
        <f>0.310257429441508*$F$42</f>
        <v>0</v>
      </c>
      <c r="C226">
        <f>-0.277603775833876*$F$43</f>
        <v>0</v>
      </c>
      <c r="D226">
        <f>-0.456352211220765*$F$44</f>
        <v>0</v>
      </c>
      <c r="E226">
        <f>-0.222183735063954*$F$45</f>
        <v>0</v>
      </c>
      <c r="F226">
        <f>-0.393017477634856*$F$46</f>
        <v>0</v>
      </c>
      <c r="G226">
        <f>-0.305639175585365*$F$47</f>
        <v>0</v>
      </c>
      <c r="H226">
        <f>0.289428107205141*$F$48</f>
        <v>0</v>
      </c>
      <c r="I226">
        <f>-0.374006015475002*$F$49</f>
        <v>0</v>
      </c>
      <c r="J226">
        <f>0.317363773869101*$F$50</f>
        <v>0</v>
      </c>
      <c r="K226">
        <f>0.348463466948188*$F$51</f>
        <v>0</v>
      </c>
      <c r="L226">
        <f>0.313566140747071*$F$52</f>
        <v>0</v>
      </c>
      <c r="M226">
        <f>0.0814726740249559*$F$53</f>
        <v>0</v>
      </c>
      <c r="N226">
        <f>-0.370146669502139*$F$54</f>
        <v>0</v>
      </c>
      <c r="P226">
        <v>992012.96606203553</v>
      </c>
      <c r="Q226">
        <v>-12444.667166932639</v>
      </c>
      <c r="R226">
        <v>338259.76480685599</v>
      </c>
      <c r="S226">
        <v>707748.07021854771</v>
      </c>
      <c r="T226">
        <v>6.7248877656556005E-7</v>
      </c>
      <c r="U226">
        <v>3.0052518555685371E-11</v>
      </c>
      <c r="V226">
        <v>2.3665684646571821E-9</v>
      </c>
      <c r="W226">
        <v>1.2513792179882496E-7</v>
      </c>
      <c r="X226">
        <v>5.1586818869345509E-6</v>
      </c>
      <c r="Y226">
        <v>1.2780352381681013E-6</v>
      </c>
      <c r="Z226">
        <v>0.72194962985229483</v>
      </c>
      <c r="AA226">
        <v>7.0570308718174699E-2</v>
      </c>
      <c r="AB226">
        <v>9.6298533304978609</v>
      </c>
      <c r="AD226">
        <v>1.0595016825896197</v>
      </c>
      <c r="AE226">
        <v>0.31941074748900028</v>
      </c>
      <c r="AF226">
        <v>0.96921953891280377</v>
      </c>
      <c r="AG226">
        <v>2460405.7713806732</v>
      </c>
    </row>
    <row r="227" spans="2:33" ht="12.75" hidden="1" customHeight="1">
      <c r="B227">
        <f>0.190619979568386*$F$42</f>
        <v>0</v>
      </c>
      <c r="C227">
        <f>0.644976761630665*$F$43</f>
        <v>0</v>
      </c>
      <c r="D227">
        <f>0.215609345575578*$F$44</f>
        <v>0</v>
      </c>
      <c r="E227">
        <f>0.140655420107346*$F$45</f>
        <v>0</v>
      </c>
      <c r="F227">
        <f>0.0603535871330717*$F$46</f>
        <v>0</v>
      </c>
      <c r="G227">
        <f>-0.301624405168936*$F$47</f>
        <v>0</v>
      </c>
      <c r="H227">
        <f>-0.196863212901657*$F$48</f>
        <v>0</v>
      </c>
      <c r="I227">
        <f>-0.0308590759194349*$F$49</f>
        <v>0</v>
      </c>
      <c r="J227">
        <f>0.663736464690977*$F$50</f>
        <v>0</v>
      </c>
      <c r="K227">
        <f>0.447494737097818*$F$51</f>
        <v>0</v>
      </c>
      <c r="L227">
        <f>-0.288384771944396*$F$52</f>
        <v>0</v>
      </c>
      <c r="M227">
        <f>0.53483646882606*$F$53</f>
        <v>0</v>
      </c>
      <c r="N227">
        <f>-0.395350126910773*$F$54</f>
        <v>0</v>
      </c>
      <c r="P227">
        <v>980501.91482854926</v>
      </c>
      <c r="Q227">
        <v>-13625.57025488725</v>
      </c>
      <c r="R227">
        <v>362076.39794250258</v>
      </c>
      <c r="S227">
        <v>734011.47146419343</v>
      </c>
      <c r="T227">
        <v>7.042247510993149E-7</v>
      </c>
      <c r="U227">
        <v>3.0064964343976298E-11</v>
      </c>
      <c r="V227">
        <v>2.2547214610326189E-9</v>
      </c>
      <c r="W227">
        <v>1.2959883201304735E-7</v>
      </c>
      <c r="X227">
        <v>5.3318682323454883E-6</v>
      </c>
      <c r="Y227">
        <v>1.2902656000315805E-6</v>
      </c>
      <c r="Z227">
        <v>0.67981306596389224</v>
      </c>
      <c r="AA227">
        <v>7.3743855281782428E-2</v>
      </c>
      <c r="AB227">
        <v>9.6046498730892278</v>
      </c>
      <c r="AD227">
        <v>0.96371098777517583</v>
      </c>
      <c r="AE227">
        <v>0.33124385657444766</v>
      </c>
      <c r="AF227">
        <v>1.0661084996191614</v>
      </c>
      <c r="AG227">
        <v>2483960.4143129517</v>
      </c>
    </row>
    <row r="228" spans="2:33" ht="12.75" hidden="1" customHeight="1">
      <c r="B228">
        <f>0.11200851193467*$F$42</f>
        <v>0</v>
      </c>
      <c r="C228">
        <f>0.257470039105415*$F$43</f>
        <v>0</v>
      </c>
      <c r="D228">
        <f>0.439173372525127*$F$44</f>
        <v>0</v>
      </c>
      <c r="E228">
        <f>-0.192141657594513*$F$45</f>
        <v>0</v>
      </c>
      <c r="F228">
        <f>0.0800406388753563*$F$46</f>
        <v>0</v>
      </c>
      <c r="G228">
        <f>-0.122295702479203*$F$47</f>
        <v>0</v>
      </c>
      <c r="H228">
        <f>0.212427826874822*$F$48</f>
        <v>0</v>
      </c>
      <c r="I228">
        <f>-0.190249241958457*$F$49</f>
        <v>0</v>
      </c>
      <c r="J228">
        <f>0.404684083900286*$F$50</f>
        <v>0</v>
      </c>
      <c r="K228">
        <f>0.133056676972615*$F$51</f>
        <v>0</v>
      </c>
      <c r="L228">
        <f>0.0315593029631378*$F$52</f>
        <v>0</v>
      </c>
      <c r="M228">
        <f>-0.177812040786498*$F$53</f>
        <v>0</v>
      </c>
      <c r="N228">
        <f>-0.234218625978225*$F$54</f>
        <v>0</v>
      </c>
      <c r="P228">
        <v>972938.2244253275</v>
      </c>
      <c r="Q228">
        <v>-13129.561650054929</v>
      </c>
      <c r="R228">
        <v>370000.2774536619</v>
      </c>
      <c r="S228">
        <v>709922.6071272234</v>
      </c>
      <c r="T228">
        <v>7.0560284472127493E-7</v>
      </c>
      <c r="U228">
        <v>3.0620883322314473E-11</v>
      </c>
      <c r="V228">
        <v>2.3488584001812088E-9</v>
      </c>
      <c r="W228">
        <v>1.2752675985454007E-7</v>
      </c>
      <c r="X228">
        <v>5.2023420419501436E-6</v>
      </c>
      <c r="Y228">
        <v>1.2514324996061182E-6</v>
      </c>
      <c r="Z228">
        <v>0.70220915120741956</v>
      </c>
      <c r="AA228">
        <v>6.8755315714494517E-2</v>
      </c>
      <c r="AB228">
        <v>9.765781374021774</v>
      </c>
      <c r="AD228">
        <v>0.93164002142333113</v>
      </c>
      <c r="AE228">
        <v>0.30172200696437101</v>
      </c>
      <c r="AF228">
        <v>1.1039834711918539</v>
      </c>
      <c r="AG228">
        <v>2232639.7389736143</v>
      </c>
    </row>
    <row r="229" spans="2:33" ht="12.75" hidden="1" customHeight="1">
      <c r="B229">
        <f>0.169242306552047*$F$42</f>
        <v>0</v>
      </c>
      <c r="C229">
        <f>-0.0612519010661621*$F$43</f>
        <v>0</v>
      </c>
      <c r="D229">
        <f>-0.324795654979035*$F$44</f>
        <v>0</v>
      </c>
      <c r="E229">
        <f>-0.287108858817774*$F$45</f>
        <v>0</v>
      </c>
      <c r="F229">
        <f>-0.295433243706911*$F$46</f>
        <v>0</v>
      </c>
      <c r="G229">
        <f>-0.150521756586404*$F$47</f>
        <v>0</v>
      </c>
      <c r="H229">
        <f>-0.436183611544789*$F$48</f>
        <v>0</v>
      </c>
      <c r="I229">
        <f>0.377641116845122*$F$49</f>
        <v>0</v>
      </c>
      <c r="J229">
        <f>0.391510200082091*$F$50</f>
        <v>0</v>
      </c>
      <c r="K229">
        <f>-0.290368387654*$F$51</f>
        <v>0</v>
      </c>
      <c r="L229">
        <f>-0.28892642536592*$F$52</f>
        <v>0</v>
      </c>
      <c r="M229">
        <f>0.492901667948199*$F$53</f>
        <v>0</v>
      </c>
      <c r="N229">
        <f>-0.364136308746153*$F$54</f>
        <v>0</v>
      </c>
      <c r="P229">
        <v>978445.03807628842</v>
      </c>
      <c r="Q229">
        <v>-12721.597566635313</v>
      </c>
      <c r="R229">
        <v>342922.58250067825</v>
      </c>
      <c r="S229">
        <v>703048.59235964704</v>
      </c>
      <c r="T229">
        <v>6.7931967294051627E-7</v>
      </c>
      <c r="U229">
        <v>3.0533382554582154E-11</v>
      </c>
      <c r="V229">
        <v>2.1996777693446982E-9</v>
      </c>
      <c r="W229">
        <v>1.3490933451898659E-7</v>
      </c>
      <c r="X229">
        <v>5.1957551000410452E-6</v>
      </c>
      <c r="Y229">
        <v>1.1991395041247311E-6</v>
      </c>
      <c r="Z229">
        <v>0.67977515022438562</v>
      </c>
      <c r="AA229">
        <v>7.3450311675637397E-2</v>
      </c>
      <c r="AB229">
        <v>9.6358636912538476</v>
      </c>
      <c r="AD229">
        <v>0.92635876956601892</v>
      </c>
      <c r="AE229">
        <v>0.31964512127984002</v>
      </c>
      <c r="AF229">
        <v>1.1097340879506845</v>
      </c>
      <c r="AG229">
        <v>2377902.6063731019</v>
      </c>
    </row>
    <row r="230" spans="2:33" ht="12.75" hidden="1" customHeight="1">
      <c r="B230">
        <f>0.339697904969011*$F$42</f>
        <v>0</v>
      </c>
      <c r="C230">
        <f>-0.108356096687183*$F$43</f>
        <v>0</v>
      </c>
      <c r="D230">
        <f>-0.26928662112556*$F$44</f>
        <v>0</v>
      </c>
      <c r="E230">
        <f>-0.128830884211758*$F$45</f>
        <v>0</v>
      </c>
      <c r="F230">
        <f>0.442781722100949*$F$46</f>
        <v>0</v>
      </c>
      <c r="G230">
        <f>0.123165802690394*$F$47</f>
        <v>0</v>
      </c>
      <c r="H230">
        <f>0.388945246144701*$F$48</f>
        <v>0</v>
      </c>
      <c r="I230">
        <f>0.335283900404213*$F$49</f>
        <v>0</v>
      </c>
      <c r="J230">
        <f>0.00741045277785353*$F$50</f>
        <v>0</v>
      </c>
      <c r="K230">
        <f>0.0504983768882824*$F$51</f>
        <v>0</v>
      </c>
      <c r="L230">
        <f>-0.0173593671387928*$F$52</f>
        <v>0</v>
      </c>
      <c r="M230">
        <f>-0.365308929516792*$F$53</f>
        <v>0</v>
      </c>
      <c r="N230">
        <f>0.381786332461537*$F$54</f>
        <v>0</v>
      </c>
      <c r="P230">
        <v>994845.61438824702</v>
      </c>
      <c r="Q230">
        <v>-12661.304196240406</v>
      </c>
      <c r="R230">
        <v>344890.01394319319</v>
      </c>
      <c r="S230">
        <v>714505.2333979148</v>
      </c>
      <c r="T230">
        <v>7.3099472054706637E-7</v>
      </c>
      <c r="U230">
        <v>3.138181398834023E-11</v>
      </c>
      <c r="V230">
        <v>2.389457406613281E-9</v>
      </c>
      <c r="W230">
        <v>1.3435869070525478E-7</v>
      </c>
      <c r="X230">
        <v>5.0037052263889272E-6</v>
      </c>
      <c r="Y230">
        <v>1.2412365495457029E-6</v>
      </c>
      <c r="Z230">
        <v>0.69878484430028442</v>
      </c>
      <c r="AA230">
        <v>6.7442837493382465E-2</v>
      </c>
      <c r="AB230">
        <v>10.381786332461537</v>
      </c>
      <c r="AD230">
        <v>1.0098795834021193</v>
      </c>
      <c r="AE230">
        <v>0.32536138465716957</v>
      </c>
      <c r="AF230">
        <v>1.0165501407106119</v>
      </c>
      <c r="AG230">
        <v>2460639.5547844679</v>
      </c>
    </row>
    <row r="231" spans="2:33" ht="12.75" hidden="1" customHeight="1">
      <c r="B231">
        <f>0.118624862228543*$F$42</f>
        <v>0</v>
      </c>
      <c r="C231">
        <f>-0.00772830274272316*$F$43</f>
        <v>0</v>
      </c>
      <c r="D231">
        <f>0.00487555387382149*$F$44</f>
        <v>0</v>
      </c>
      <c r="E231">
        <f>-0.0981074443896402*$F$45</f>
        <v>0</v>
      </c>
      <c r="F231">
        <f>-0.269547277626781*$F$46</f>
        <v>0</v>
      </c>
      <c r="G231">
        <f>-0.343275655094111*$F$47</f>
        <v>0</v>
      </c>
      <c r="H231">
        <f>-0.0576628925012121*$F$48</f>
        <v>0</v>
      </c>
      <c r="I231">
        <f>0.68857260808348*$F$49</f>
        <v>0</v>
      </c>
      <c r="J231">
        <f>-0.118552835526101*$F$50</f>
        <v>0</v>
      </c>
      <c r="K231">
        <f>-0.22368946047576*$F$51</f>
        <v>0</v>
      </c>
      <c r="L231">
        <f>0.472560799181284*$F$52</f>
        <v>0</v>
      </c>
      <c r="M231">
        <f>-0.160070745780241*$F$53</f>
        <v>0</v>
      </c>
      <c r="N231">
        <f>-0.193382075409005*$F$54</f>
        <v>0</v>
      </c>
      <c r="P231">
        <v>973574.82397916482</v>
      </c>
      <c r="Q231">
        <v>-12790.107772489315</v>
      </c>
      <c r="R231">
        <v>354607.26618119614</v>
      </c>
      <c r="S231">
        <v>716729.08938532544</v>
      </c>
      <c r="T231">
        <v>6.8113169056612538E-7</v>
      </c>
      <c r="U231">
        <v>2.9935845469208258E-11</v>
      </c>
      <c r="V231">
        <v>2.2867375347247211E-9</v>
      </c>
      <c r="W231">
        <v>1.3895144390508523E-7</v>
      </c>
      <c r="X231">
        <v>4.94072358223695E-6</v>
      </c>
      <c r="Y231">
        <v>1.2073743516312436E-6</v>
      </c>
      <c r="Z231">
        <v>0.73307925594268974</v>
      </c>
      <c r="AA231">
        <v>6.8879504779538317E-2</v>
      </c>
      <c r="AB231">
        <v>9.806617924590995</v>
      </c>
      <c r="AD231">
        <v>1.1047678056136063</v>
      </c>
      <c r="AE231">
        <v>0.3199449301430925</v>
      </c>
      <c r="AF231">
        <v>0.92837518755708293</v>
      </c>
      <c r="AG231">
        <v>2429043.7889344431</v>
      </c>
    </row>
    <row r="232" spans="2:33" ht="12.75" hidden="1" customHeight="1">
      <c r="B232">
        <f>0.0933712832122742*$F$42</f>
        <v>0</v>
      </c>
      <c r="C232">
        <f>0.375433169866415*$F$43</f>
        <v>0</v>
      </c>
      <c r="D232">
        <f>-0.278089588764573*$F$44</f>
        <v>0</v>
      </c>
      <c r="E232">
        <f>0.202732245012612*$F$45</f>
        <v>0</v>
      </c>
      <c r="F232">
        <f>0.311120329259818*$F$46</f>
        <v>0</v>
      </c>
      <c r="G232">
        <f>-0.41678347411437*$F$47</f>
        <v>0</v>
      </c>
      <c r="H232">
        <f>0.118731661142497*$F$48</f>
        <v>0</v>
      </c>
      <c r="I232">
        <f>-0.242041474276168*$F$49</f>
        <v>0</v>
      </c>
      <c r="J232">
        <f>0.0373460420944701*$F$50</f>
        <v>0</v>
      </c>
      <c r="K232">
        <f>0.290421176661288*$F$51</f>
        <v>0</v>
      </c>
      <c r="L232">
        <f>0.0595242416572297*$F$52</f>
        <v>0</v>
      </c>
      <c r="M232">
        <f>-0.585016072260697*$F$53</f>
        <v>0</v>
      </c>
      <c r="N232">
        <f>-0.159823857846892*$F$54</f>
        <v>0</v>
      </c>
      <c r="P232">
        <v>971145.022590106</v>
      </c>
      <c r="Q232">
        <v>-13280.554457429011</v>
      </c>
      <c r="R232">
        <v>344578.00643525936</v>
      </c>
      <c r="S232">
        <v>738504.78079232527</v>
      </c>
      <c r="T232">
        <v>7.2177842304818717E-7</v>
      </c>
      <c r="U232">
        <v>2.9707971230245457E-11</v>
      </c>
      <c r="V232">
        <v>2.3273082820627743E-9</v>
      </c>
      <c r="W232">
        <v>1.2685346083440981E-7</v>
      </c>
      <c r="X232">
        <v>5.0186730210472358E-6</v>
      </c>
      <c r="Y232">
        <v>1.2708670153176692E-6</v>
      </c>
      <c r="Z232">
        <v>0.70416669691600597</v>
      </c>
      <c r="AA232">
        <v>6.5904887494175127E-2</v>
      </c>
      <c r="AB232">
        <v>9.8401761421531084</v>
      </c>
      <c r="AD232">
        <v>1.1356291298140664</v>
      </c>
      <c r="AE232">
        <v>0.35831536043345352</v>
      </c>
      <c r="AF232">
        <v>0.90143030587494288</v>
      </c>
      <c r="AG232">
        <v>2711479.353268363</v>
      </c>
    </row>
    <row r="233" spans="2:33" ht="12.75" hidden="1" customHeight="1">
      <c r="B233">
        <f>-0.21217946810898*$F$42</f>
        <v>0</v>
      </c>
      <c r="C233">
        <f>0.0368514223258856*$F$43</f>
        <v>0</v>
      </c>
      <c r="D233">
        <f>-0.0327851408796919*$F$44</f>
        <v>0</v>
      </c>
      <c r="E233">
        <f>-0.701063583732606*$F$45</f>
        <v>0</v>
      </c>
      <c r="F233">
        <f>-0.220931862946745*$F$46</f>
        <v>0</v>
      </c>
      <c r="G233">
        <f>0.391610517351041*$F$47</f>
        <v>0</v>
      </c>
      <c r="H233">
        <f>0.359897229951292*$F$48</f>
        <v>0</v>
      </c>
      <c r="I233">
        <f>-0.0859725107325706*$F$49</f>
        <v>0</v>
      </c>
      <c r="J233">
        <f>-0.469311352824585*$F$50</f>
        <v>0</v>
      </c>
      <c r="K233">
        <f>-0.19078777292797*$F$51</f>
        <v>0</v>
      </c>
      <c r="L233">
        <f>-0.2610093079405*$F$52</f>
        <v>0</v>
      </c>
      <c r="M233">
        <f>-0.39309479913978*$F$53</f>
        <v>0</v>
      </c>
      <c r="N233">
        <f>-0.388293620071954*$F$54</f>
        <v>0</v>
      </c>
      <c r="P233">
        <v>941746.11483489024</v>
      </c>
      <c r="Q233">
        <v>-12847.169820577134</v>
      </c>
      <c r="R233">
        <v>353272.4413813157</v>
      </c>
      <c r="S233">
        <v>673085.29076162516</v>
      </c>
      <c r="T233">
        <v>6.8453476959372784E-7</v>
      </c>
      <c r="U233">
        <v>3.2213992603788231E-11</v>
      </c>
      <c r="V233">
        <v>2.382776362888797E-9</v>
      </c>
      <c r="W233">
        <v>1.2888235736047658E-7</v>
      </c>
      <c r="X233">
        <v>4.7653443235877078E-6</v>
      </c>
      <c r="Y233">
        <v>1.2114377100433958E-6</v>
      </c>
      <c r="Z233">
        <v>0.681729348444165</v>
      </c>
      <c r="AA233">
        <v>6.7248336406021542E-2</v>
      </c>
      <c r="AB233">
        <v>9.6117063799280462</v>
      </c>
      <c r="AD233">
        <v>0.85077742170422033</v>
      </c>
      <c r="AE233">
        <v>0.29435493543329355</v>
      </c>
      <c r="AF233">
        <v>1.2102869782147598</v>
      </c>
      <c r="AG233">
        <v>2076036.7888582593</v>
      </c>
    </row>
    <row r="234" spans="2:33" ht="12.75" hidden="1" customHeight="1">
      <c r="B234">
        <f>0.390937641792599*$F$42</f>
        <v>0</v>
      </c>
      <c r="C234">
        <f>0.168989134941884*$F$43</f>
        <v>0</v>
      </c>
      <c r="D234">
        <f>-0.528605480212125*$F$44</f>
        <v>0</v>
      </c>
      <c r="E234">
        <f>0.309028891024056*$F$45</f>
        <v>0</v>
      </c>
      <c r="F234">
        <f>0.493113485749837*$F$46</f>
        <v>0</v>
      </c>
      <c r="G234">
        <f>-0.328979575644904*$F$47</f>
        <v>0</v>
      </c>
      <c r="H234">
        <f>-0.0373665099638994*$F$48</f>
        <v>0</v>
      </c>
      <c r="I234">
        <f>-0.0505785521966866*$F$49</f>
        <v>0</v>
      </c>
      <c r="J234">
        <f>0.0116745150290244*$F$50</f>
        <v>0</v>
      </c>
      <c r="K234">
        <f>0.242598542559651*$F$51</f>
        <v>0</v>
      </c>
      <c r="L234">
        <f>-0.903250331788691*$F$52</f>
        <v>0</v>
      </c>
      <c r="M234">
        <f>-0.376424108663818*$F$53</f>
        <v>0</v>
      </c>
      <c r="N234">
        <f>0.116249191470145*$F$54</f>
        <v>0</v>
      </c>
      <c r="P234">
        <v>999775.70305523369</v>
      </c>
      <c r="Q234">
        <v>-13016.306092725612</v>
      </c>
      <c r="R234">
        <v>335698.85997083731</v>
      </c>
      <c r="S234">
        <v>746198.8552202821</v>
      </c>
      <c r="T234">
        <v>7.3451794400248847E-7</v>
      </c>
      <c r="U234">
        <v>2.9980163315500799E-11</v>
      </c>
      <c r="V234">
        <v>2.291405702708303E-9</v>
      </c>
      <c r="W234">
        <v>1.2934247882144308E-7</v>
      </c>
      <c r="X234">
        <v>5.0058372575145127E-6</v>
      </c>
      <c r="Y234">
        <v>1.2649609200061169E-6</v>
      </c>
      <c r="Z234">
        <v>0.63677247677479165</v>
      </c>
      <c r="AA234">
        <v>6.7365031239353279E-2</v>
      </c>
      <c r="AB234">
        <v>10.116249191470146</v>
      </c>
      <c r="AD234">
        <v>0.97031620255096585</v>
      </c>
      <c r="AE234">
        <v>0.37046802238725174</v>
      </c>
      <c r="AF234">
        <v>1.0567652401567411</v>
      </c>
      <c r="AG234">
        <v>2789469.0992572214</v>
      </c>
    </row>
    <row r="235" spans="2:33" ht="12.75" hidden="1" customHeight="1">
      <c r="B235">
        <f>-0.48320251119473*$F$42</f>
        <v>0</v>
      </c>
      <c r="C235">
        <f>0.0350707686666485*$F$43</f>
        <v>0</v>
      </c>
      <c r="D235">
        <f>0.792609814038229*$F$44</f>
        <v>0</v>
      </c>
      <c r="E235">
        <f>0.273437155797672*$F$45</f>
        <v>0</v>
      </c>
      <c r="F235">
        <f>0.441051521714994*$F$46</f>
        <v>0</v>
      </c>
      <c r="G235">
        <f>-0.0654342998521207*$F$47</f>
        <v>0</v>
      </c>
      <c r="H235">
        <f>-0.4201538567529*$F$48</f>
        <v>0</v>
      </c>
      <c r="I235">
        <f>-0.182810061518218*$F$49</f>
        <v>0</v>
      </c>
      <c r="J235">
        <f>-0.232642685836357*$F$50</f>
        <v>0</v>
      </c>
      <c r="K235">
        <f>-0.144620843016785*$F$51</f>
        <v>0</v>
      </c>
      <c r="L235">
        <f>0.148693677117442*$F$52</f>
        <v>0</v>
      </c>
      <c r="M235">
        <f>0.208385236775269*$F$53</f>
        <v>0</v>
      </c>
      <c r="N235">
        <f>-0.158530000059192*$F$54</f>
        <v>0</v>
      </c>
      <c r="P235">
        <v>915669.32919858641</v>
      </c>
      <c r="Q235">
        <v>-12844.890583893311</v>
      </c>
      <c r="R235">
        <v>382527.28287405852</v>
      </c>
      <c r="S235">
        <v>743622.61720970122</v>
      </c>
      <c r="T235">
        <v>7.3087360652004957E-7</v>
      </c>
      <c r="U235">
        <v>3.0797153670458428E-11</v>
      </c>
      <c r="V235">
        <v>2.2033646129468328E-9</v>
      </c>
      <c r="W235">
        <v>1.2762346920026316E-7</v>
      </c>
      <c r="X235">
        <v>4.883678657081822E-6</v>
      </c>
      <c r="Y235">
        <v>1.2171393258874271E-6</v>
      </c>
      <c r="Z235">
        <v>0.71040855739822084</v>
      </c>
      <c r="AA235">
        <v>7.1458696657426879E-2</v>
      </c>
      <c r="AB235">
        <v>9.8414699999408093</v>
      </c>
      <c r="AD235">
        <v>1.1096581576139475</v>
      </c>
      <c r="AE235">
        <v>0.34464502016616794</v>
      </c>
      <c r="AF235">
        <v>0.92350728821158889</v>
      </c>
      <c r="AG235">
        <v>2459093.4567202101</v>
      </c>
    </row>
    <row r="236" spans="2:33" ht="12.75" hidden="1" customHeight="1">
      <c r="B236">
        <f>-0.094820358768702*$F$42</f>
        <v>0</v>
      </c>
      <c r="C236">
        <f>-0.139648431409132*$F$43</f>
        <v>0</v>
      </c>
      <c r="D236">
        <f>0.101758645963505*$F$44</f>
        <v>0</v>
      </c>
      <c r="E236">
        <f>0.252759811544067*$F$45</f>
        <v>0</v>
      </c>
      <c r="F236">
        <f>0.333640166661949*$F$46</f>
        <v>0</v>
      </c>
      <c r="G236">
        <f>-0.0545935749297886*$F$47</f>
        <v>0</v>
      </c>
      <c r="H236">
        <f>0.268993799330252*$F$48</f>
        <v>0</v>
      </c>
      <c r="I236">
        <f>-0.139882765004389*$F$49</f>
        <v>0</v>
      </c>
      <c r="J236">
        <f>0.0460251070503261*$F$50</f>
        <v>0</v>
      </c>
      <c r="K236">
        <f>-0.245842882217361*$F$51</f>
        <v>0</v>
      </c>
      <c r="L236">
        <f>0.301713835453663*$F$52</f>
        <v>0</v>
      </c>
      <c r="M236">
        <f>0.371263993254814*$F$53</f>
        <v>0</v>
      </c>
      <c r="N236">
        <f>0.0974350674118875*$F$54</f>
        <v>0</v>
      </c>
      <c r="P236">
        <v>953037.95298226748</v>
      </c>
      <c r="Q236">
        <v>-12621.250007796312</v>
      </c>
      <c r="R236">
        <v>358041.13682157622</v>
      </c>
      <c r="S236">
        <v>742125.92816419189</v>
      </c>
      <c r="T236">
        <v>7.2335481166633637E-7</v>
      </c>
      <c r="U236">
        <v>3.083075991771766E-11</v>
      </c>
      <c r="V236">
        <v>2.3618685738459579E-9</v>
      </c>
      <c r="W236">
        <v>1.2818152405494295E-7</v>
      </c>
      <c r="X236">
        <v>5.0230125535251639E-6</v>
      </c>
      <c r="Y236">
        <v>1.2046384040461559E-6</v>
      </c>
      <c r="Z236">
        <v>0.72111996848175641</v>
      </c>
      <c r="AA236">
        <v>7.2598847952783707E-2</v>
      </c>
      <c r="AB236">
        <v>10.097435067411888</v>
      </c>
      <c r="AD236">
        <v>1.1787639824824545</v>
      </c>
      <c r="AE236">
        <v>0.3505254088683793</v>
      </c>
      <c r="AF236">
        <v>0.86780410359586635</v>
      </c>
      <c r="AG236">
        <v>2601489.5164503376</v>
      </c>
    </row>
    <row r="237" spans="2:33" ht="12.75" hidden="1" customHeight="1">
      <c r="B237">
        <f>-0.434218226723733*$F$42</f>
        <v>0</v>
      </c>
      <c r="C237">
        <f>0.118379157111977*$F$43</f>
        <v>0</v>
      </c>
      <c r="D237">
        <f>-0.588220146620174*$F$44</f>
        <v>0</v>
      </c>
      <c r="E237">
        <f>-0.530355142102942*$F$45</f>
        <v>0</v>
      </c>
      <c r="F237">
        <f>0.227077536652939*$F$46</f>
        <v>0</v>
      </c>
      <c r="G237">
        <f>-0.0525945164369015*$F$47</f>
        <v>0</v>
      </c>
      <c r="H237">
        <f>-0.0535433283812362*$F$48</f>
        <v>0</v>
      </c>
      <c r="I237">
        <f>-0.192828835486669*$F$49</f>
        <v>0</v>
      </c>
      <c r="J237">
        <f>0.40536486661299*$F$50</f>
        <v>0</v>
      </c>
      <c r="K237">
        <f>0.195853482088945*$F$51</f>
        <v>0</v>
      </c>
      <c r="L237">
        <f>-0.159141187916067*$F$52</f>
        <v>0</v>
      </c>
      <c r="M237">
        <f>-0.501294340204604*$F$53</f>
        <v>0</v>
      </c>
      <c r="N237">
        <f>-0.165156895453802*$F$54</f>
        <v>0</v>
      </c>
      <c r="P237">
        <v>920382.40699136211</v>
      </c>
      <c r="Q237">
        <v>-12951.52532110333</v>
      </c>
      <c r="R237">
        <v>333585.91076268075</v>
      </c>
      <c r="S237">
        <v>685441.6867972794</v>
      </c>
      <c r="T237">
        <v>7.158954275657057E-7</v>
      </c>
      <c r="U237">
        <v>3.0836956999045609E-11</v>
      </c>
      <c r="V237">
        <v>2.2876850344723157E-9</v>
      </c>
      <c r="W237">
        <v>1.2749322513867331E-7</v>
      </c>
      <c r="X237">
        <v>5.2026824333064949E-6</v>
      </c>
      <c r="Y237">
        <v>1.2591879050379848E-6</v>
      </c>
      <c r="Z237">
        <v>0.68886011684587534</v>
      </c>
      <c r="AA237">
        <v>6.6490939618567779E-2</v>
      </c>
      <c r="AB237">
        <v>9.8348431045461986</v>
      </c>
      <c r="AD237">
        <v>1.0123169611105971</v>
      </c>
      <c r="AE237">
        <v>0.33735197637601516</v>
      </c>
      <c r="AF237">
        <v>1.014285599854412</v>
      </c>
      <c r="AG237">
        <v>2382595.529186022</v>
      </c>
    </row>
    <row r="238" spans="2:33" ht="12.75" hidden="1" customHeight="1">
      <c r="B238">
        <f>0.449147337356251*$F$42</f>
        <v>0</v>
      </c>
      <c r="C238">
        <f>-0.601326999094409*$F$43</f>
        <v>0</v>
      </c>
      <c r="D238">
        <f>0.498885185476653*$F$44</f>
        <v>0</v>
      </c>
      <c r="E238">
        <f>-0.38820957312562*$F$45</f>
        <v>0</v>
      </c>
      <c r="F238">
        <f>0.0663273525906076*$F$46</f>
        <v>0</v>
      </c>
      <c r="G238">
        <f>0.260917735629565*$F$47</f>
        <v>0</v>
      </c>
      <c r="H238">
        <f>0.467554980163214*$F$48</f>
        <v>0</v>
      </c>
      <c r="I238">
        <f>0.351010857992188*$F$49</f>
        <v>0</v>
      </c>
      <c r="J238">
        <f>0.175663042737584*$F$50</f>
        <v>0</v>
      </c>
      <c r="K238">
        <f>0.287434092615514*$F$51</f>
        <v>0</v>
      </c>
      <c r="L238">
        <f>-0.458917723543946*$F$52</f>
        <v>0</v>
      </c>
      <c r="M238">
        <f>-0.432587393423834*$F$53</f>
        <v>0</v>
      </c>
      <c r="N238">
        <f>0.392054200557062*$F$54</f>
        <v>0</v>
      </c>
      <c r="P238">
        <v>1005376.4141087495</v>
      </c>
      <c r="Q238">
        <v>-12030.301441159156</v>
      </c>
      <c r="R238">
        <v>372116.6698700838</v>
      </c>
      <c r="S238">
        <v>695730.61526636791</v>
      </c>
      <c r="T238">
        <v>7.0464291468134242E-7</v>
      </c>
      <c r="U238">
        <v>3.1808844980451651E-11</v>
      </c>
      <c r="V238">
        <v>2.4075376454375391E-9</v>
      </c>
      <c r="W238">
        <v>1.3456314115389844E-7</v>
      </c>
      <c r="X238">
        <v>5.0878315213687923E-6</v>
      </c>
      <c r="Y238">
        <v>1.2704981104380161E-6</v>
      </c>
      <c r="Z238">
        <v>0.66787575935192378</v>
      </c>
      <c r="AA238">
        <v>6.6971888246033159E-2</v>
      </c>
      <c r="AB238">
        <v>10.392054200557062</v>
      </c>
      <c r="AD238">
        <v>0.77843098252954257</v>
      </c>
      <c r="AE238">
        <v>0.27935129268650477</v>
      </c>
      <c r="AF238">
        <v>1.3235325989094604</v>
      </c>
      <c r="AG238">
        <v>2043908.7567540209</v>
      </c>
    </row>
    <row r="239" spans="2:33" ht="12.75" hidden="1" customHeight="1">
      <c r="B239">
        <f>-0.0630013014636713*$F$42</f>
        <v>0</v>
      </c>
      <c r="C239">
        <f>-0.293756730985688*$F$43</f>
        <v>0</v>
      </c>
      <c r="D239">
        <f>0.156221706057495*$F$44</f>
        <v>0</v>
      </c>
      <c r="E239">
        <f>0.113367784115166*$F$45</f>
        <v>0</v>
      </c>
      <c r="F239">
        <f>-0.189483765299449*$F$46</f>
        <v>0</v>
      </c>
      <c r="G239">
        <f>-0.411105855411796*$F$47</f>
        <v>0</v>
      </c>
      <c r="H239">
        <f>1.02060086621066*$F$48</f>
        <v>0</v>
      </c>
      <c r="I239">
        <f>-0.201702583646949*$F$49</f>
        <v>0</v>
      </c>
      <c r="J239">
        <f>0.003248101352627*$F$50</f>
        <v>0</v>
      </c>
      <c r="K239">
        <f>0.0863833215027564*$F$51</f>
        <v>0</v>
      </c>
      <c r="L239">
        <f>-0.336977953061462*$F$52</f>
        <v>0</v>
      </c>
      <c r="M239">
        <f>-0.302739753327049*$F$53</f>
        <v>0</v>
      </c>
      <c r="N239">
        <f>-0.597344833191247*$F$54</f>
        <v>0</v>
      </c>
      <c r="P239">
        <v>956099.4592182152</v>
      </c>
      <c r="Q239">
        <v>-12423.991384338318</v>
      </c>
      <c r="R239">
        <v>359971.49534965551</v>
      </c>
      <c r="S239">
        <v>732036.30940438376</v>
      </c>
      <c r="T239">
        <v>6.8673613642903853E-7</v>
      </c>
      <c r="U239">
        <v>2.9725571848223434E-11</v>
      </c>
      <c r="V239">
        <v>2.5347381992284515E-9</v>
      </c>
      <c r="W239">
        <v>1.2737786641258968E-7</v>
      </c>
      <c r="X239">
        <v>5.0016240506763138E-6</v>
      </c>
      <c r="Y239">
        <v>1.2456683402055905E-6</v>
      </c>
      <c r="Z239">
        <v>0.67641154328569764</v>
      </c>
      <c r="AA239">
        <v>6.7880821726710658E-2</v>
      </c>
      <c r="AB239">
        <v>9.4026551668087528</v>
      </c>
      <c r="AD239">
        <v>0.98650399132376121</v>
      </c>
      <c r="AE239">
        <v>0.34132691769130113</v>
      </c>
      <c r="AF239">
        <v>1.0409793616090282</v>
      </c>
      <c r="AG239">
        <v>2500582.0336094699</v>
      </c>
    </row>
    <row r="240" spans="2:33" ht="12.75" hidden="1" customHeight="1">
      <c r="B240">
        <f>0.590002125653728*$F$42</f>
        <v>0</v>
      </c>
      <c r="C240">
        <f>-0.171098373513109*$F$43</f>
        <v>0</v>
      </c>
      <c r="D240">
        <f>-0.261334102694011*$F$44</f>
        <v>0</v>
      </c>
      <c r="E240">
        <f>-0.102966635730419*$F$45</f>
        <v>0</v>
      </c>
      <c r="F240">
        <f>0.911493644024177*$F$46</f>
        <v>0</v>
      </c>
      <c r="G240">
        <f>-0.387827993972096*$F$47</f>
        <v>0</v>
      </c>
      <c r="H240">
        <f>0.0827975907818946*$F$48</f>
        <v>0</v>
      </c>
      <c r="I240">
        <f>0.0117682604885344*$F$49</f>
        <v>0</v>
      </c>
      <c r="J240">
        <f>-0.446846721649972*$F$50</f>
        <v>0</v>
      </c>
      <c r="K240">
        <f>-0.159286746030742*$F$51</f>
        <v>0</v>
      </c>
      <c r="L240">
        <f>-0.0903888922665847*$F$52</f>
        <v>0</v>
      </c>
      <c r="M240">
        <f>0.149142386851078*$F$53</f>
        <v>0</v>
      </c>
      <c r="N240">
        <f>0.247603295987811*$F$54</f>
        <v>0</v>
      </c>
      <c r="P240">
        <v>1018928.9153221542</v>
      </c>
      <c r="Q240">
        <v>-12580.99408190322</v>
      </c>
      <c r="R240">
        <v>345171.87860058766</v>
      </c>
      <c r="S240">
        <v>716377.36634195107</v>
      </c>
      <c r="T240">
        <v>7.6380455508169241E-7</v>
      </c>
      <c r="U240">
        <v>2.9797733218686501E-11</v>
      </c>
      <c r="V240">
        <v>2.3190434458798359E-9</v>
      </c>
      <c r="W240">
        <v>1.3015298738635094E-7</v>
      </c>
      <c r="X240">
        <v>4.7765766391750146E-6</v>
      </c>
      <c r="Y240">
        <v>1.2153280868652033E-6</v>
      </c>
      <c r="Z240">
        <v>0.69367277754133905</v>
      </c>
      <c r="AA240">
        <v>7.1043996707957552E-2</v>
      </c>
      <c r="AB240">
        <v>10.24760329598781</v>
      </c>
      <c r="AD240">
        <v>0.96263653376939362</v>
      </c>
      <c r="AE240">
        <v>0.31629812676228553</v>
      </c>
      <c r="AF240">
        <v>1.0669761929736483</v>
      </c>
      <c r="AG240">
        <v>2437725.5221832627</v>
      </c>
    </row>
    <row r="241" spans="2:33" ht="12.75" hidden="1" customHeight="1">
      <c r="B241">
        <f>0.263149093781897*$F$42</f>
        <v>0</v>
      </c>
      <c r="C241">
        <f>-0.0769883010273411*$F$43</f>
        <v>0</v>
      </c>
      <c r="D241">
        <f>0.298143228789991*$F$44</f>
        <v>0</v>
      </c>
      <c r="E241">
        <f>-0.00483706345815438*$F$45</f>
        <v>0</v>
      </c>
      <c r="F241">
        <f>-0.304504482477876*$F$46</f>
        <v>0</v>
      </c>
      <c r="G241">
        <f>-0.525822317873119*$F$47</f>
        <v>0</v>
      </c>
      <c r="H241">
        <f>0.391351069172656*$F$48</f>
        <v>0</v>
      </c>
      <c r="I241">
        <f>-0.25065629426414*$F$49</f>
        <v>0</v>
      </c>
      <c r="J241">
        <f>0.442017617148856*$F$50</f>
        <v>0</v>
      </c>
      <c r="K241">
        <f>0.181217725134353*$F$51</f>
        <v>0</v>
      </c>
      <c r="L241">
        <f>-0.231823842793823*$F$52</f>
        <v>0</v>
      </c>
      <c r="M241">
        <f>-0.310229634308615*$F$53</f>
        <v>0</v>
      </c>
      <c r="N241">
        <f>-0.170047637635389*$F$54</f>
        <v>0</v>
      </c>
      <c r="P241">
        <v>987480.38478521036</v>
      </c>
      <c r="Q241">
        <v>-12701.454974685004</v>
      </c>
      <c r="R241">
        <v>365001.68317332678</v>
      </c>
      <c r="S241">
        <v>723480.28314108576</v>
      </c>
      <c r="T241">
        <v>6.7868468622654859E-7</v>
      </c>
      <c r="U241">
        <v>2.9369950814593335E-11</v>
      </c>
      <c r="V241">
        <v>2.3900107459097109E-9</v>
      </c>
      <c r="W241">
        <v>1.2674146817456617E-7</v>
      </c>
      <c r="X241">
        <v>5.2210088085744284E-6</v>
      </c>
      <c r="Y241">
        <v>1.2573803890540925E-6</v>
      </c>
      <c r="Z241">
        <v>0.68377233100443235</v>
      </c>
      <c r="AA241">
        <v>6.7828392559839704E-2</v>
      </c>
      <c r="AB241">
        <v>9.8299523623646117</v>
      </c>
      <c r="AD241">
        <v>0.93134918798105892</v>
      </c>
      <c r="AE241">
        <v>0.31734409152099058</v>
      </c>
      <c r="AF241">
        <v>1.1035153914929634</v>
      </c>
      <c r="AG241">
        <v>2377242.6602033721</v>
      </c>
    </row>
    <row r="242" spans="2:33" ht="12.75" hidden="1" customHeight="1">
      <c r="B242">
        <f>-0.0814324080893611*$F$42</f>
        <v>0</v>
      </c>
      <c r="C242">
        <f>0.0722788233188244*$F$43</f>
        <v>0</v>
      </c>
      <c r="D242">
        <f>0.803916989047691*$F$44</f>
        <v>0</v>
      </c>
      <c r="E242">
        <f>-0.138429023433787*$F$45</f>
        <v>0</v>
      </c>
      <c r="F242">
        <f>0.280668164711897*$F$46</f>
        <v>0</v>
      </c>
      <c r="G242">
        <f>-0.0431847034786651*$F$47</f>
        <v>0</v>
      </c>
      <c r="H242">
        <f>-0.330877998528021*$F$48</f>
        <v>0</v>
      </c>
      <c r="I242">
        <f>0.128873349804501*$F$49</f>
        <v>0</v>
      </c>
      <c r="J242">
        <f>0.333783348825974*$F$50</f>
        <v>0</v>
      </c>
      <c r="K242">
        <f>0.213173135732201*$F$51</f>
        <v>0</v>
      </c>
      <c r="L242">
        <f>-0.281118665859584*$F$52</f>
        <v>0</v>
      </c>
      <c r="M242">
        <f>-0.0830424070849791*$F$53</f>
        <v>0</v>
      </c>
      <c r="N242">
        <f>0.0347833005624351*$F$54</f>
        <v>0</v>
      </c>
      <c r="P242">
        <v>954326.08965138497</v>
      </c>
      <c r="Q242">
        <v>-12892.516893848097</v>
      </c>
      <c r="R242">
        <v>382928.04812063719</v>
      </c>
      <c r="S242">
        <v>713810.49089836096</v>
      </c>
      <c r="T242">
        <v>7.1964677152983277E-7</v>
      </c>
      <c r="U242">
        <v>3.0866127419216142E-11</v>
      </c>
      <c r="V242">
        <v>2.2238980603385553E-9</v>
      </c>
      <c r="W242">
        <v>1.3167535354745852E-7</v>
      </c>
      <c r="X242">
        <v>5.1668916744129867E-6</v>
      </c>
      <c r="Y242">
        <v>1.2613268822629269E-6</v>
      </c>
      <c r="Z242">
        <v>0.68032169338982906</v>
      </c>
      <c r="AA242">
        <v>6.9418703150405159E-2</v>
      </c>
      <c r="AB242">
        <v>10.034783300562435</v>
      </c>
      <c r="AD242">
        <v>0.87535979600626046</v>
      </c>
      <c r="AE242">
        <v>0.30111215116042489</v>
      </c>
      <c r="AF242">
        <v>1.1746078890819729</v>
      </c>
      <c r="AG242">
        <v>2141645.1560385693</v>
      </c>
    </row>
    <row r="243" spans="2:33" ht="12.75" hidden="1" customHeight="1">
      <c r="B243">
        <f>0.150870538940604*$F$42</f>
        <v>0</v>
      </c>
      <c r="C243">
        <f>-0.285409428402156*$F$43</f>
        <v>0</v>
      </c>
      <c r="D243">
        <f>-0.252800696578625*$F$44</f>
        <v>0</v>
      </c>
      <c r="E243">
        <f>-0.0306019829415719*$F$45</f>
        <v>0</v>
      </c>
      <c r="F243">
        <f>0.262344509847299*$F$46</f>
        <v>0</v>
      </c>
      <c r="G243">
        <f>0.277202355796971*$F$47</f>
        <v>0</v>
      </c>
      <c r="H243">
        <f>-0.100344850618322*$F$48</f>
        <v>0</v>
      </c>
      <c r="I243">
        <f>0.0715252678473389*$F$49</f>
        <v>0</v>
      </c>
      <c r="J243">
        <f>0.76880513353739*$F$50</f>
        <v>0</v>
      </c>
      <c r="K243">
        <f>0.00237241671590526*$F$51</f>
        <v>0</v>
      </c>
      <c r="L243">
        <f>-0.233433929449707*$F$52</f>
        <v>0</v>
      </c>
      <c r="M243">
        <f>0.770324229123442*$F$53</f>
        <v>0</v>
      </c>
      <c r="N243">
        <f>-0.05072094201258*$F$54</f>
        <v>0</v>
      </c>
      <c r="P243">
        <v>976677.37787917373</v>
      </c>
      <c r="Q243">
        <v>-12434.675931645241</v>
      </c>
      <c r="R243">
        <v>345474.33191922185</v>
      </c>
      <c r="S243">
        <v>721615.3399319239</v>
      </c>
      <c r="T243">
        <v>7.1836411568931089E-7</v>
      </c>
      <c r="U243">
        <v>3.1859327302970609E-11</v>
      </c>
      <c r="V243">
        <v>2.2769206843577857E-9</v>
      </c>
      <c r="W243">
        <v>1.3092982848201541E-7</v>
      </c>
      <c r="X243">
        <v>5.384402566768695E-6</v>
      </c>
      <c r="Y243">
        <v>1.2352929934644143E-6</v>
      </c>
      <c r="Z243">
        <v>0.6836596249385205</v>
      </c>
      <c r="AA243">
        <v>7.5392269603864109E-2</v>
      </c>
      <c r="AB243">
        <v>9.94927905798742</v>
      </c>
      <c r="AD243">
        <v>0.99332016725752226</v>
      </c>
      <c r="AE243">
        <v>0.33672834267999718</v>
      </c>
      <c r="AF243">
        <v>1.0339470520808538</v>
      </c>
      <c r="AG243">
        <v>2522918.8506339965</v>
      </c>
    </row>
    <row r="244" spans="2:33" ht="12.75" hidden="1" customHeight="1">
      <c r="B244">
        <f>-0.22643226542379*$F$42</f>
        <v>0</v>
      </c>
      <c r="C244">
        <f>-0.183485074157264*$F$43</f>
        <v>0</v>
      </c>
      <c r="D244">
        <f>-0.35661258228914*$F$44</f>
        <v>0</v>
      </c>
      <c r="E244">
        <f>-0.166001118414288*$F$45</f>
        <v>0</v>
      </c>
      <c r="F244">
        <f>0.707396259276413*$F$46</f>
        <v>0</v>
      </c>
      <c r="G244">
        <f>0.552494782532696*$F$47</f>
        <v>0</v>
      </c>
      <c r="H244">
        <f>0.539668225863711*$F$48</f>
        <v>0</v>
      </c>
      <c r="I244">
        <f>-0.0126402178965759*$F$49</f>
        <v>0</v>
      </c>
      <c r="J244">
        <f>0.0624506731116445*$F$50</f>
        <v>0</v>
      </c>
      <c r="K244">
        <f>0.304535513165031*$F$51</f>
        <v>0</v>
      </c>
      <c r="L244">
        <f>-0.383755328718587*$F$52</f>
        <v>0</v>
      </c>
      <c r="M244">
        <f>-0.0252501487101254*$F$53</f>
        <v>0</v>
      </c>
      <c r="N244">
        <f>-0.336701297171528*$F$54</f>
        <v>0</v>
      </c>
      <c r="P244">
        <v>940374.7659781127</v>
      </c>
      <c r="Q244">
        <v>-12565.139105078702</v>
      </c>
      <c r="R244">
        <v>341794.88095646928</v>
      </c>
      <c r="S244">
        <v>711814.73883209319</v>
      </c>
      <c r="T244">
        <v>7.4951773814934891E-7</v>
      </c>
      <c r="U244">
        <v>3.2712733825851356E-11</v>
      </c>
      <c r="V244">
        <v>2.4241236919486537E-9</v>
      </c>
      <c r="W244">
        <v>1.2983567716734451E-7</v>
      </c>
      <c r="X244">
        <v>5.0312253365558228E-6</v>
      </c>
      <c r="Y244">
        <v>1.2726101358758815E-6</v>
      </c>
      <c r="Z244">
        <v>0.67313712698969885</v>
      </c>
      <c r="AA244">
        <v>6.9823248959029124E-2</v>
      </c>
      <c r="AB244">
        <v>9.663298702828472</v>
      </c>
      <c r="AD244">
        <v>0.99606567608961571</v>
      </c>
      <c r="AE244">
        <v>0.3472625984138657</v>
      </c>
      <c r="AF244">
        <v>1.0307015692310282</v>
      </c>
      <c r="AG244">
        <v>2502321.4965464165</v>
      </c>
    </row>
    <row r="245" spans="2:33" ht="12.75" hidden="1" customHeight="1">
      <c r="B245">
        <f>-0.185463420770796*$F$42</f>
        <v>0</v>
      </c>
      <c r="C245">
        <f>-0.319157282270931*$F$43</f>
        <v>0</v>
      </c>
      <c r="D245">
        <f>-0.564832270431832*$F$44</f>
        <v>0</v>
      </c>
      <c r="E245">
        <f>0.382306321429488*$F$45</f>
        <v>0</v>
      </c>
      <c r="F245">
        <f>0.0842777328914142*$F$46</f>
        <v>0</v>
      </c>
      <c r="G245">
        <f>0.407225660354065*$F$47</f>
        <v>0</v>
      </c>
      <c r="H245">
        <f>-0.314453737577471*$F$48</f>
        <v>0</v>
      </c>
      <c r="I245">
        <f>-0.000489447524484645*$F$49</f>
        <v>0</v>
      </c>
      <c r="J245">
        <f>-0.632698836927763*$F$50</f>
        <v>0</v>
      </c>
      <c r="K245">
        <f>-0.0237158461087498*$F$51</f>
        <v>0</v>
      </c>
      <c r="L245">
        <f>0.289411061211918*$F$52</f>
        <v>0</v>
      </c>
      <c r="M245">
        <f>-0.429185353615651*$F$53</f>
        <v>0</v>
      </c>
      <c r="N245">
        <f>-0.176745354607784*$F$54</f>
        <v>0</v>
      </c>
      <c r="P245">
        <v>944316.62925150653</v>
      </c>
      <c r="Q245">
        <v>-12391.478678693209</v>
      </c>
      <c r="R245">
        <v>334414.85768883431</v>
      </c>
      <c r="S245">
        <v>751502.89842939808</v>
      </c>
      <c r="T245">
        <v>7.0589944130239889E-7</v>
      </c>
      <c r="U245">
        <v>3.2262399547097602E-11</v>
      </c>
      <c r="V245">
        <v>2.2276756403571815E-9</v>
      </c>
      <c r="W245">
        <v>1.299936371821817E-7</v>
      </c>
      <c r="X245">
        <v>4.6836505815361193E-6</v>
      </c>
      <c r="Y245">
        <v>1.2320710930055695E-6</v>
      </c>
      <c r="Z245">
        <v>0.7202587742848342</v>
      </c>
      <c r="AA245">
        <v>6.6995702524690448E-2</v>
      </c>
      <c r="AB245">
        <v>9.8232546453922165</v>
      </c>
      <c r="AD245">
        <v>1.3179290839138706</v>
      </c>
      <c r="AE245">
        <v>0.39077151324745313</v>
      </c>
      <c r="AF245">
        <v>0.77388220654161755</v>
      </c>
      <c r="AG245">
        <v>2926364.102676786</v>
      </c>
    </row>
    <row r="246" spans="2:33" ht="12.75" hidden="1" customHeight="1">
      <c r="B246">
        <f>0.368503463262478*$F$42</f>
        <v>0</v>
      </c>
      <c r="C246">
        <f>-0.0557165465064448*$F$43</f>
        <v>0</v>
      </c>
      <c r="D246">
        <f>0.129186832017425*$F$44</f>
        <v>0</v>
      </c>
      <c r="E246">
        <f>0.169191553360225*$F$45</f>
        <v>0</v>
      </c>
      <c r="F246">
        <f>0.206618218481738*$F$46</f>
        <v>0</v>
      </c>
      <c r="G246">
        <f>0.269956033008849*$F$47</f>
        <v>0</v>
      </c>
      <c r="H246">
        <f>-1.16992233583245*$F$48</f>
        <v>0</v>
      </c>
      <c r="I246">
        <f>-0.114596642878633*$F$49</f>
        <v>0</v>
      </c>
      <c r="J246">
        <f>0.226934478360714*$F$50</f>
        <v>0</v>
      </c>
      <c r="K246">
        <f>-0.53107738363331*$F$51</f>
        <v>0</v>
      </c>
      <c r="L246">
        <f>0.221419706703169*$F$52</f>
        <v>0</v>
      </c>
      <c r="M246">
        <f>0.20074955283944*$F$53</f>
        <v>0</v>
      </c>
      <c r="N246">
        <f>0.662996279985849*$F$54</f>
        <v>0</v>
      </c>
      <c r="P246">
        <v>997617.17344167805</v>
      </c>
      <c r="Q246">
        <v>-12728.682820471751</v>
      </c>
      <c r="R246">
        <v>359013.28625217295</v>
      </c>
      <c r="S246">
        <v>736077.00355172611</v>
      </c>
      <c r="T246">
        <v>7.1446327529372157E-7</v>
      </c>
      <c r="U246">
        <v>3.1836863702327433E-11</v>
      </c>
      <c r="V246">
        <v>2.0309178627585363E-9</v>
      </c>
      <c r="W246">
        <v>1.2851024364257779E-7</v>
      </c>
      <c r="X246">
        <v>5.1134672391803576E-6</v>
      </c>
      <c r="Y246">
        <v>1.1694119431212862E-6</v>
      </c>
      <c r="Z246">
        <v>0.71549937946922182</v>
      </c>
      <c r="AA246">
        <v>7.1405246869876093E-2</v>
      </c>
      <c r="AB246">
        <v>10.662996279985848</v>
      </c>
      <c r="AD246">
        <v>1.0825471631854717</v>
      </c>
      <c r="AE246">
        <v>0.32972185039771784</v>
      </c>
      <c r="AF246">
        <v>0.9470092882328669</v>
      </c>
      <c r="AG246">
        <v>2526535.039817967</v>
      </c>
    </row>
    <row r="247" spans="2:33" ht="12.75" hidden="1" customHeight="1">
      <c r="B247">
        <f>0.288548081313129*$F$42</f>
        <v>0</v>
      </c>
      <c r="C247">
        <f>-0.00833977811872895*$F$43</f>
        <v>0</v>
      </c>
      <c r="D247">
        <f>0.303466337816178*$F$44</f>
        <v>0</v>
      </c>
      <c r="E247">
        <f>-0.280581554689279*$F$45</f>
        <v>0</v>
      </c>
      <c r="F247">
        <f>-0.134243142934662*$F$46</f>
        <v>0</v>
      </c>
      <c r="G247">
        <f>-0.36809952541113*$F$47</f>
        <v>0</v>
      </c>
      <c r="H247">
        <f>-0.176635881634749*$F$48</f>
        <v>0</v>
      </c>
      <c r="I247">
        <f>-0.453585928236931*$F$49</f>
        <v>0</v>
      </c>
      <c r="J247">
        <f>0.22291484325993*$F$50</f>
        <v>0</v>
      </c>
      <c r="K247">
        <f>0.321060889100666*$F$51</f>
        <v>0</v>
      </c>
      <c r="L247">
        <f>-0.0835268541615565*$F$52</f>
        <v>0</v>
      </c>
      <c r="M247">
        <f>0.457423208321576*$F$53</f>
        <v>0</v>
      </c>
      <c r="N247">
        <f>0.112918781648437*$F$54</f>
        <v>0</v>
      </c>
      <c r="P247">
        <v>989924.17681739375</v>
      </c>
      <c r="Q247">
        <v>-12789.325084008027</v>
      </c>
      <c r="R247">
        <v>365190.35250051593</v>
      </c>
      <c r="S247">
        <v>703521.05847841001</v>
      </c>
      <c r="T247">
        <v>6.906029799945736E-7</v>
      </c>
      <c r="U247">
        <v>2.9858891471225499E-11</v>
      </c>
      <c r="V247">
        <v>2.2593737472240077E-9</v>
      </c>
      <c r="W247">
        <v>1.2410338293291988E-7</v>
      </c>
      <c r="X247">
        <v>5.1114574216299652E-6</v>
      </c>
      <c r="Y247">
        <v>1.2746510198039322E-6</v>
      </c>
      <c r="Z247">
        <v>0.69415312020869102</v>
      </c>
      <c r="AA247">
        <v>7.3201962458251044E-2</v>
      </c>
      <c r="AB247">
        <v>10.112918781648437</v>
      </c>
      <c r="AD247">
        <v>0.88538811432040598</v>
      </c>
      <c r="AE247">
        <v>0.29300082434180058</v>
      </c>
      <c r="AF247">
        <v>1.1617424784033794</v>
      </c>
      <c r="AG247">
        <v>2170266.9259591838</v>
      </c>
    </row>
    <row r="248" spans="2:33" ht="12.75" hidden="1" customHeight="1">
      <c r="B248">
        <f>0.444932349183828*$F$42</f>
        <v>0</v>
      </c>
      <c r="C248">
        <f>-0.065812645596349*$F$43</f>
        <v>0</v>
      </c>
      <c r="D248">
        <f>-0.323235613901263*$F$44</f>
        <v>0</v>
      </c>
      <c r="E248">
        <f>-0.494958890200224*$F$45</f>
        <v>0</v>
      </c>
      <c r="F248">
        <f>0.131543392083395*$F$46</f>
        <v>0</v>
      </c>
      <c r="G248">
        <f>0.073775752302819*$F$47</f>
        <v>0</v>
      </c>
      <c r="H248">
        <f>0.623963796737224*$F$48</f>
        <v>0</v>
      </c>
      <c r="I248">
        <f>0.251988102335535*$F$49</f>
        <v>0</v>
      </c>
      <c r="J248">
        <f>-0.62465165687048*$F$50</f>
        <v>0</v>
      </c>
      <c r="K248">
        <f>-0.337464260225617*$F$51</f>
        <v>0</v>
      </c>
      <c r="L248">
        <f>0.139199334307336*$F$52</f>
        <v>0</v>
      </c>
      <c r="M248">
        <f>-0.390274707221869*$F$53</f>
        <v>0</v>
      </c>
      <c r="N248">
        <f>0.108063125512442*$F$54</f>
        <v>0</v>
      </c>
      <c r="P248">
        <v>1004970.8643009531</v>
      </c>
      <c r="Q248">
        <v>-12715.759813636672</v>
      </c>
      <c r="R248">
        <v>342977.87573233718</v>
      </c>
      <c r="S248">
        <v>688003.77513053583</v>
      </c>
      <c r="T248">
        <v>7.0920803744583765E-7</v>
      </c>
      <c r="U248">
        <v>3.122870483213874E-11</v>
      </c>
      <c r="V248">
        <v>2.4435116732495614E-9</v>
      </c>
      <c r="W248">
        <v>1.3327584533036194E-7</v>
      </c>
      <c r="X248">
        <v>4.6876741715647605E-6</v>
      </c>
      <c r="Y248">
        <v>1.1933231638621363E-6</v>
      </c>
      <c r="Z248">
        <v>0.70974395340151353</v>
      </c>
      <c r="AA248">
        <v>6.7268077049446928E-2</v>
      </c>
      <c r="AB248">
        <v>10.108063125512441</v>
      </c>
      <c r="AD248">
        <v>0.93750196635317795</v>
      </c>
      <c r="AE248">
        <v>0.29468368908855275</v>
      </c>
      <c r="AF248">
        <v>1.0965134078931031</v>
      </c>
      <c r="AG248">
        <v>2232886.1038946151</v>
      </c>
    </row>
    <row r="249" spans="2:33" ht="12.75" hidden="1" customHeight="1">
      <c r="B249">
        <f>0.713624514773939*$F$42</f>
        <v>0</v>
      </c>
      <c r="C249">
        <f>0.104826008184363*$F$43</f>
        <v>0</v>
      </c>
      <c r="D249">
        <f>0.0468078284795825*$F$44</f>
        <v>0</v>
      </c>
      <c r="E249">
        <f>-0.11197848850113*$F$45</f>
        <v>0</v>
      </c>
      <c r="F249">
        <f>-0.482501709389371*$F$46</f>
        <v>0</v>
      </c>
      <c r="G249">
        <f>0.757071008997292*$F$47</f>
        <v>0</v>
      </c>
      <c r="H249">
        <f>-0.174927328327704*$F$48</f>
        <v>0</v>
      </c>
      <c r="I249">
        <f>-0.123938475790136*$F$49</f>
        <v>0</v>
      </c>
      <c r="J249">
        <f>-0.0329024014106335*$F$50</f>
        <v>0</v>
      </c>
      <c r="K249">
        <f>0.23519994208775*$F$51</f>
        <v>0</v>
      </c>
      <c r="L249">
        <f>0.538801262774015*$F$52</f>
        <v>0</v>
      </c>
      <c r="M249">
        <f>-0.0812979152184622*$F$53</f>
        <v>0</v>
      </c>
      <c r="N249">
        <f>-0.240194382465759*$F$54</f>
        <v>0</v>
      </c>
      <c r="P249">
        <v>1030823.381948431</v>
      </c>
      <c r="Q249">
        <v>-12934.177290475984</v>
      </c>
      <c r="R249">
        <v>356093.49049079791</v>
      </c>
      <c r="S249">
        <v>715725.06103831832</v>
      </c>
      <c r="T249">
        <v>6.6622488034274395E-7</v>
      </c>
      <c r="U249">
        <v>3.3346920127891608E-11</v>
      </c>
      <c r="V249">
        <v>2.2597667144846279E-9</v>
      </c>
      <c r="W249">
        <v>1.2838879981472823E-7</v>
      </c>
      <c r="X249">
        <v>4.9835487992946831E-6</v>
      </c>
      <c r="Y249">
        <v>1.2640471928478372E-6</v>
      </c>
      <c r="Z249">
        <v>0.73771608839418101</v>
      </c>
      <c r="AA249">
        <v>6.9430914593470769E-2</v>
      </c>
      <c r="AB249">
        <v>9.7598056175342407</v>
      </c>
      <c r="AD249">
        <v>1.0278345405894906</v>
      </c>
      <c r="AE249">
        <v>0.2958599494287309</v>
      </c>
      <c r="AF249">
        <v>1.0007370427215809</v>
      </c>
      <c r="AG249">
        <v>2359084.8437796524</v>
      </c>
    </row>
    <row r="250" spans="2:33" ht="12.75" hidden="1" customHeight="1">
      <c r="B250">
        <f>0.263933500403308*$F$42</f>
        <v>0</v>
      </c>
      <c r="C250">
        <f>0.268168778295437*$F$43</f>
        <v>0</v>
      </c>
      <c r="D250">
        <f>-0.0622886808673699*$F$44</f>
        <v>0</v>
      </c>
      <c r="E250">
        <f>-0.228940552240491*$F$45</f>
        <v>0</v>
      </c>
      <c r="F250">
        <f>0.0486069495863704*$F$46</f>
        <v>0</v>
      </c>
      <c r="G250">
        <f>-0.0411347444756796*$F$47</f>
        <v>0</v>
      </c>
      <c r="H250">
        <f>0.129390331779029*$F$48</f>
        <v>0</v>
      </c>
      <c r="I250">
        <f>-0.324234667098177*$F$49</f>
        <v>0</v>
      </c>
      <c r="J250">
        <f>0.435118865411048*$F$50</f>
        <v>0</v>
      </c>
      <c r="K250">
        <f>0.516250932150772*$F$51</f>
        <v>0</v>
      </c>
      <c r="L250">
        <f>0.219636670023916*$F$52</f>
        <v>0</v>
      </c>
      <c r="M250">
        <f>-0.73344368934129*$F$53</f>
        <v>0</v>
      </c>
      <c r="N250">
        <f>1.0249261651677*$F$54</f>
        <v>0</v>
      </c>
      <c r="P250">
        <v>987555.85734682472</v>
      </c>
      <c r="Q250">
        <v>-13143.256036218159</v>
      </c>
      <c r="R250">
        <v>352226.73425568867</v>
      </c>
      <c r="S250">
        <v>707258.99124754453</v>
      </c>
      <c r="T250">
        <v>7.0340248647104585E-7</v>
      </c>
      <c r="U250">
        <v>3.0872482292125396E-11</v>
      </c>
      <c r="V250">
        <v>2.3297597763091766E-9</v>
      </c>
      <c r="W250">
        <v>1.257849493277237E-7</v>
      </c>
      <c r="X250">
        <v>5.2175594327055243E-6</v>
      </c>
      <c r="Y250">
        <v>1.2987569901206205E-6</v>
      </c>
      <c r="Z250">
        <v>0.715374566901674</v>
      </c>
      <c r="AA250">
        <v>6.4865894174610972E-2</v>
      </c>
      <c r="AB250">
        <v>11.024926165167699</v>
      </c>
      <c r="AD250">
        <v>1.0363160887264793</v>
      </c>
      <c r="AE250">
        <v>0.3152435444772364</v>
      </c>
      <c r="AF250">
        <v>0.99020200123687085</v>
      </c>
      <c r="AG250">
        <v>2351479.9583431184</v>
      </c>
    </row>
    <row r="251" spans="2:33" ht="12.75" hidden="1" customHeight="1">
      <c r="B251">
        <f>-0.483943092681846*$F$42</f>
        <v>0</v>
      </c>
      <c r="C251">
        <f>-0.209856090476848*$F$43</f>
        <v>0</v>
      </c>
      <c r="D251">
        <f>-0.159123846664798*$F$44</f>
        <v>0</v>
      </c>
      <c r="E251">
        <f>0.179229522064303*$F$45</f>
        <v>0</v>
      </c>
      <c r="F251">
        <f>-0.760775241675491*$F$46</f>
        <v>0</v>
      </c>
      <c r="G251">
        <f>-0.115516746065375*$F$47</f>
        <v>0</v>
      </c>
      <c r="H251">
        <f>-0.375557960087711*$F$48</f>
        <v>0</v>
      </c>
      <c r="I251">
        <f>0.271800233721226*$F$49</f>
        <v>0</v>
      </c>
      <c r="J251">
        <f>0.534864892354898*$F$50</f>
        <v>0</v>
      </c>
      <c r="K251">
        <f>-0.384017619146263*$F$51</f>
        <v>0</v>
      </c>
      <c r="L251">
        <f>0.151841466806162*$F$52</f>
        <v>0</v>
      </c>
      <c r="M251">
        <f>-0.0503554487829192*$F$53</f>
        <v>0</v>
      </c>
      <c r="N251">
        <f>0.105280234771475*$F$54</f>
        <v>0</v>
      </c>
      <c r="P251">
        <v>915598.07332135236</v>
      </c>
      <c r="Q251">
        <v>-12531.384204189635</v>
      </c>
      <c r="R251">
        <v>348794.56228825892</v>
      </c>
      <c r="S251">
        <v>736803.58224647038</v>
      </c>
      <c r="T251">
        <v>6.467457330827156E-7</v>
      </c>
      <c r="U251">
        <v>3.0641898087197342E-11</v>
      </c>
      <c r="V251">
        <v>2.2136216691798263E-9</v>
      </c>
      <c r="W251">
        <v>1.3353340303837595E-7</v>
      </c>
      <c r="X251">
        <v>5.2674324461774499E-6</v>
      </c>
      <c r="Y251">
        <v>1.1875738240354365E-6</v>
      </c>
      <c r="Z251">
        <v>0.71062890267643131</v>
      </c>
      <c r="AA251">
        <v>6.964751185851957E-2</v>
      </c>
      <c r="AB251">
        <v>10.105280234771474</v>
      </c>
      <c r="AD251">
        <v>1.2212695876397155</v>
      </c>
      <c r="AE251">
        <v>0.37410150523907387</v>
      </c>
      <c r="AF251">
        <v>0.83648521334057979</v>
      </c>
      <c r="AG251">
        <v>2672459.886919477</v>
      </c>
    </row>
    <row r="252" spans="2:33" ht="12.75" hidden="1" customHeight="1">
      <c r="B252">
        <f>-0.65537826594587*$F$42</f>
        <v>0</v>
      </c>
      <c r="C252">
        <f>0.311885789828221*$F$43</f>
        <v>0</v>
      </c>
      <c r="D252">
        <f>-0.243706042302951*$F$44</f>
        <v>0</v>
      </c>
      <c r="E252">
        <f>-0.0296285801118274*$F$45</f>
        <v>0</v>
      </c>
      <c r="F252">
        <f>-0.781914277839052*$F$46</f>
        <v>0</v>
      </c>
      <c r="G252">
        <f>0.0122412555774291*$F$47</f>
        <v>0</v>
      </c>
      <c r="H252">
        <f>-0.239033698174688*$F$48</f>
        <v>0</v>
      </c>
      <c r="I252">
        <f>0.288232581264869*$F$49</f>
        <v>0</v>
      </c>
      <c r="J252">
        <f>0.10242879385753*$F$50</f>
        <v>0</v>
      </c>
      <c r="K252">
        <f>-0.275929392234516*$F$51</f>
        <v>0</v>
      </c>
      <c r="L252">
        <f>-0.0155174286354171*$F$52</f>
        <v>0</v>
      </c>
      <c r="M252">
        <f>-0.104939254700533*$F$53</f>
        <v>0</v>
      </c>
      <c r="N252">
        <f>-0.186484343418566*$F$54</f>
        <v>0</v>
      </c>
      <c r="P252">
        <v>899103.2461183602</v>
      </c>
      <c r="Q252">
        <v>-13199.213810980124</v>
      </c>
      <c r="R252">
        <v>345796.67780670378</v>
      </c>
      <c r="S252">
        <v>721685.79778832349</v>
      </c>
      <c r="T252">
        <v>6.452660005512663E-7</v>
      </c>
      <c r="U252">
        <v>3.1037947892290035E-11</v>
      </c>
      <c r="V252">
        <v>2.2450222494198218E-9</v>
      </c>
      <c r="W252">
        <v>1.337470235564433E-7</v>
      </c>
      <c r="X252">
        <v>5.051214396928765E-6</v>
      </c>
      <c r="Y252">
        <v>1.2009227200590372E-6</v>
      </c>
      <c r="Z252">
        <v>0.69891377999552073</v>
      </c>
      <c r="AA252">
        <v>6.9265425217096277E-2</v>
      </c>
      <c r="AB252">
        <v>9.8135156565814334</v>
      </c>
      <c r="AD252">
        <v>1.1583532478103524</v>
      </c>
      <c r="AE252">
        <v>0.37070197245432501</v>
      </c>
      <c r="AF252">
        <v>0.88318312446151503</v>
      </c>
      <c r="AG252">
        <v>2605199.1176315416</v>
      </c>
    </row>
    <row r="253" spans="2:33" ht="12.75" hidden="1" customHeight="1">
      <c r="B253">
        <f>0.466313735049046*$F$42</f>
        <v>0</v>
      </c>
      <c r="C253">
        <f>-0.0725513012014689*$F$43</f>
        <v>0</v>
      </c>
      <c r="D253">
        <f>-0.251741264916317*$F$44</f>
        <v>0</v>
      </c>
      <c r="E253">
        <f>-0.304908346970704*$F$45</f>
        <v>0</v>
      </c>
      <c r="F253">
        <f>0.418902719134872*$F$46</f>
        <v>0</v>
      </c>
      <c r="G253">
        <f>-0.500726246633757*$F$47</f>
        <v>0</v>
      </c>
      <c r="H253">
        <f>0.0744465615460765*$F$48</f>
        <v>0</v>
      </c>
      <c r="I253">
        <f>-0.759150876588759*$F$49</f>
        <v>0</v>
      </c>
      <c r="J253">
        <f>-0.416715831220623*$F$50</f>
        <v>0</v>
      </c>
      <c r="K253">
        <f>0.0696258013429116*$F$51</f>
        <v>0</v>
      </c>
      <c r="L253">
        <f>1.01973634854623*$F$52</f>
        <v>0</v>
      </c>
      <c r="M253">
        <f>-0.00156945666655197*$F$53</f>
        <v>0</v>
      </c>
      <c r="N253">
        <f>-0.568885597255476*$F$54</f>
        <v>0</v>
      </c>
      <c r="P253">
        <v>1007028.0982891272</v>
      </c>
      <c r="Q253">
        <v>-12707.13433446212</v>
      </c>
      <c r="R253">
        <v>345511.88182810915</v>
      </c>
      <c r="S253">
        <v>701760.21128868242</v>
      </c>
      <c r="T253">
        <v>7.2932319033944104E-7</v>
      </c>
      <c r="U253">
        <v>2.9447748635435356E-11</v>
      </c>
      <c r="V253">
        <v>2.3171227091555973E-9</v>
      </c>
      <c r="W253">
        <v>1.2013103860434613E-7</v>
      </c>
      <c r="X253">
        <v>4.7916420843896891E-6</v>
      </c>
      <c r="Y253">
        <v>1.2435987864658496E-6</v>
      </c>
      <c r="Z253">
        <v>0.77138154439823603</v>
      </c>
      <c r="AA253">
        <v>6.9989013803334138E-2</v>
      </c>
      <c r="AB253">
        <v>9.4311144027445231</v>
      </c>
      <c r="AD253">
        <v>1.1630338810192584</v>
      </c>
      <c r="AE253">
        <v>0.29429692990055295</v>
      </c>
      <c r="AF253">
        <v>0.88187341043125866</v>
      </c>
      <c r="AG253">
        <v>2339210.5386998183</v>
      </c>
    </row>
    <row r="254" spans="2:33" ht="12.75" hidden="1" customHeight="1">
      <c r="B254">
        <f>-0.00982938099201569*$F$42</f>
        <v>0</v>
      </c>
      <c r="C254">
        <f>-0.0743068953760048*$F$43</f>
        <v>0</v>
      </c>
      <c r="D254">
        <f>0.189892478425815*$F$44</f>
        <v>0</v>
      </c>
      <c r="E254">
        <f>-0.111124645836293*$F$45</f>
        <v>0</v>
      </c>
      <c r="F254">
        <f>0.105087376631621*$F$46</f>
        <v>0</v>
      </c>
      <c r="G254">
        <f>-0.0802303671814251*$F$47</f>
        <v>0</v>
      </c>
      <c r="H254">
        <f>-0.00731786975564905*$F$48</f>
        <v>0</v>
      </c>
      <c r="I254">
        <f>-0.0742299535427122*$F$49</f>
        <v>0</v>
      </c>
      <c r="J254">
        <f>-0.155944005804391*$F$50</f>
        <v>0</v>
      </c>
      <c r="K254">
        <f>0.529498636635984*$F$51</f>
        <v>0</v>
      </c>
      <c r="L254">
        <f>-0.245707256951252*$F$52</f>
        <v>0</v>
      </c>
      <c r="M254">
        <f>0.188835160288724*$F$53</f>
        <v>0</v>
      </c>
      <c r="N254">
        <f>-0.289971318794894*$F$54</f>
        <v>0</v>
      </c>
      <c r="P254">
        <v>961215.45509894646</v>
      </c>
      <c r="Q254">
        <v>-12704.887173918714</v>
      </c>
      <c r="R254">
        <v>361164.90355103149</v>
      </c>
      <c r="S254">
        <v>715786.86476646515</v>
      </c>
      <c r="T254">
        <v>7.0735611636421342E-7</v>
      </c>
      <c r="U254">
        <v>3.0751285861737584E-11</v>
      </c>
      <c r="V254">
        <v>2.2983168899562008E-9</v>
      </c>
      <c r="W254">
        <v>1.2903501060394474E-7</v>
      </c>
      <c r="X254">
        <v>4.9220279970978046E-6</v>
      </c>
      <c r="Y254">
        <v>1.3003930816245439E-6</v>
      </c>
      <c r="Z254">
        <v>0.68280049201341231</v>
      </c>
      <c r="AA254">
        <v>7.1321846122021082E-2</v>
      </c>
      <c r="AB254">
        <v>9.710028681205106</v>
      </c>
      <c r="AD254">
        <v>0.94155977487480025</v>
      </c>
      <c r="AE254">
        <v>0.32157964413847728</v>
      </c>
      <c r="AF254">
        <v>1.091522000759068</v>
      </c>
      <c r="AG254">
        <v>2353327.0140454555</v>
      </c>
    </row>
    <row r="255" spans="2:33" ht="12.75" hidden="1" customHeight="1">
      <c r="B255">
        <f>0.388335772688305*$F$42</f>
        <v>0</v>
      </c>
      <c r="C255">
        <f>0.00892366650273208*$F$43</f>
        <v>0</v>
      </c>
      <c r="D255">
        <f>-0.600789952505228*$F$44</f>
        <v>0</v>
      </c>
      <c r="E255">
        <f>-0.348910449817606*$F$45</f>
        <v>0</v>
      </c>
      <c r="F255">
        <f>0.225416904703031*$F$46</f>
        <v>0</v>
      </c>
      <c r="G255">
        <f>0.161469468192394*$F$47</f>
        <v>0</v>
      </c>
      <c r="H255">
        <f>-0.35933315797564*$F$48</f>
        <v>0</v>
      </c>
      <c r="I255">
        <f>-0.916572560948712*$F$49</f>
        <v>0</v>
      </c>
      <c r="J255">
        <f>0.18605019150654*$F$50</f>
        <v>0</v>
      </c>
      <c r="K255">
        <f>-0.0638239218811896*$F$51</f>
        <v>0</v>
      </c>
      <c r="L255">
        <f>-0.356266053692445*$F$52</f>
        <v>0</v>
      </c>
      <c r="M255">
        <f>-0.138497025121451*$F$53</f>
        <v>0</v>
      </c>
      <c r="N255">
        <f>-0.54483063752762*$F$54</f>
        <v>0</v>
      </c>
      <c r="P255">
        <v>999525.36130527058</v>
      </c>
      <c r="Q255">
        <v>-12811.422293123496</v>
      </c>
      <c r="R255">
        <v>333140.39352687652</v>
      </c>
      <c r="S255">
        <v>698575.20529842551</v>
      </c>
      <c r="T255">
        <v>7.1577918332921214E-7</v>
      </c>
      <c r="U255">
        <v>3.1500555351396423E-11</v>
      </c>
      <c r="V255">
        <v>2.2173533736656028E-9</v>
      </c>
      <c r="W255">
        <v>1.1808455670766674E-7</v>
      </c>
      <c r="X255">
        <v>5.0930250957532701E-6</v>
      </c>
      <c r="Y255">
        <v>1.2271177456476731E-6</v>
      </c>
      <c r="Z255">
        <v>0.67506137624152884</v>
      </c>
      <c r="AA255">
        <v>6.9030520824149844E-2</v>
      </c>
      <c r="AB255">
        <v>9.4551693624723789</v>
      </c>
      <c r="AD255">
        <v>0.90910597519893532</v>
      </c>
      <c r="AE255">
        <v>0.31816496954764917</v>
      </c>
      <c r="AF255">
        <v>1.1309274727698295</v>
      </c>
      <c r="AG255">
        <v>2408741.3849647958</v>
      </c>
    </row>
    <row r="256" spans="2:33" ht="12.75" hidden="1" customHeight="1">
      <c r="B256">
        <f>0.405786370166257*$F$42</f>
        <v>0</v>
      </c>
      <c r="C256">
        <f>-0.262351682532772*$F$43</f>
        <v>0</v>
      </c>
      <c r="D256">
        <f>0.0628425079789652*$F$44</f>
        <v>0</v>
      </c>
      <c r="E256">
        <f>-0.110280034674674*$F$45</f>
        <v>0</v>
      </c>
      <c r="F256">
        <f>0.348031645747777*$F$46</f>
        <v>0</v>
      </c>
      <c r="G256">
        <f>0.513183771915862*$F$47</f>
        <v>0</v>
      </c>
      <c r="H256">
        <f>0.274941942809223*$F$48</f>
        <v>0</v>
      </c>
      <c r="I256">
        <f>-0.51265690316697*$F$49</f>
        <v>0</v>
      </c>
      <c r="J256">
        <f>0.658074630590682*$F$50</f>
        <v>0</v>
      </c>
      <c r="K256">
        <f>-0.238645873706588*$F$51</f>
        <v>0</v>
      </c>
      <c r="L256">
        <f>0.383164773960931*$F$52</f>
        <v>0</v>
      </c>
      <c r="M256">
        <f>-0.163247080281812*$F$53</f>
        <v>0</v>
      </c>
      <c r="N256">
        <f>0.502849561730006*$F$54</f>
        <v>0</v>
      </c>
      <c r="P256">
        <v>1001204.3900862809</v>
      </c>
      <c r="Q256">
        <v>-12464.189846358051</v>
      </c>
      <c r="R256">
        <v>356661.81478736218</v>
      </c>
      <c r="S256">
        <v>715848.00029034133</v>
      </c>
      <c r="T256">
        <v>7.2436221520234436E-7</v>
      </c>
      <c r="U256">
        <v>3.2590869692939175E-11</v>
      </c>
      <c r="V256">
        <v>2.3632366468461212E-9</v>
      </c>
      <c r="W256">
        <v>1.2333546025882938E-7</v>
      </c>
      <c r="X256">
        <v>5.329037315295341E-6</v>
      </c>
      <c r="Y256">
        <v>1.2055272345972364E-6</v>
      </c>
      <c r="Z256">
        <v>0.72682153417726514</v>
      </c>
      <c r="AA256">
        <v>6.8857270438027321E-2</v>
      </c>
      <c r="AB256">
        <v>10.502849561730006</v>
      </c>
      <c r="AD256">
        <v>1.0490818726038409</v>
      </c>
      <c r="AE256">
        <v>0.30930212643260574</v>
      </c>
      <c r="AF256">
        <v>0.97860066119550537</v>
      </c>
      <c r="AG256">
        <v>2370639.3944375082</v>
      </c>
    </row>
    <row r="257" spans="2:33" ht="12.75" hidden="1" customHeight="1">
      <c r="B257">
        <f>0.0798639715701533*$F$42</f>
        <v>0</v>
      </c>
      <c r="C257">
        <f>0.058152614465442*$F$43</f>
        <v>0</v>
      </c>
      <c r="D257">
        <f>-0.228800500374255*$F$44</f>
        <v>0</v>
      </c>
      <c r="E257">
        <f>0.236702914770423*$F$45</f>
        <v>0</v>
      </c>
      <c r="F257">
        <f>0.757913254612381*$F$46</f>
        <v>0</v>
      </c>
      <c r="G257">
        <f>-0.203273475214763*$F$47</f>
        <v>0</v>
      </c>
      <c r="H257">
        <f>0.342919642938085*$F$48</f>
        <v>0</v>
      </c>
      <c r="I257">
        <f>-0.117255508450691*$F$49</f>
        <v>0</v>
      </c>
      <c r="J257">
        <f>0.316910117490275*$F$50</f>
        <v>0</v>
      </c>
      <c r="K257">
        <f>0.0122100356174513*$F$51</f>
        <v>0</v>
      </c>
      <c r="L257">
        <f>-0.128201361673976*$F$52</f>
        <v>0</v>
      </c>
      <c r="M257">
        <f>0.274305483422921*$F$53</f>
        <v>0</v>
      </c>
      <c r="N257">
        <f>-0.448517064011797*$F$54</f>
        <v>0</v>
      </c>
      <c r="P257">
        <v>969845.40147227037</v>
      </c>
      <c r="Q257">
        <v>-12874.435346515764</v>
      </c>
      <c r="R257">
        <v>346324.98157678288</v>
      </c>
      <c r="S257">
        <v>740963.68115552212</v>
      </c>
      <c r="T257">
        <v>7.5305392782286666E-7</v>
      </c>
      <c r="U257">
        <v>3.0369852226834236E-11</v>
      </c>
      <c r="V257">
        <v>2.3788715178757595E-9</v>
      </c>
      <c r="W257">
        <v>1.2847567839014101E-7</v>
      </c>
      <c r="X257">
        <v>5.1584550587451375E-6</v>
      </c>
      <c r="Y257">
        <v>1.2365079393987552E-6</v>
      </c>
      <c r="Z257">
        <v>0.69102590468282166</v>
      </c>
      <c r="AA257">
        <v>7.1920138383960455E-2</v>
      </c>
      <c r="AB257">
        <v>9.5514829359882025</v>
      </c>
      <c r="AD257">
        <v>1.0819748261717703</v>
      </c>
      <c r="AE257">
        <v>0.35662701487329268</v>
      </c>
      <c r="AF257">
        <v>0.94750734896425426</v>
      </c>
      <c r="AG257">
        <v>2687020.0543124401</v>
      </c>
    </row>
    <row r="258" spans="2:33" ht="12.75" hidden="1" customHeight="1">
      <c r="B258">
        <f>-0.177185785808206*$F$42</f>
        <v>0</v>
      </c>
      <c r="C258">
        <f>0.221091559579938*$F$43</f>
        <v>0</v>
      </c>
      <c r="D258">
        <f>0.298125231649608*$F$44</f>
        <v>0</v>
      </c>
      <c r="E258">
        <f>-0.0531736570964909*$F$45</f>
        <v>0</v>
      </c>
      <c r="F258">
        <f>-0.161520272856486*$F$46</f>
        <v>0</v>
      </c>
      <c r="G258">
        <f>-0.11761252124931*$F$47</f>
        <v>0</v>
      </c>
      <c r="H258">
        <f>0.599645234959288*$F$48</f>
        <v>0</v>
      </c>
      <c r="I258">
        <f>0.167190599026752*$F$49</f>
        <v>0</v>
      </c>
      <c r="J258">
        <f>0.392958135976007*$F$50</f>
        <v>0</v>
      </c>
      <c r="K258">
        <f>0.562715550156909*$F$51</f>
        <v>0</v>
      </c>
      <c r="L258">
        <f>0.12047592740157*$F$52</f>
        <v>0</v>
      </c>
      <c r="M258">
        <f>-0.250022702440923*$F$53</f>
        <v>0</v>
      </c>
      <c r="N258">
        <f>-0.134010330569579*$F$54</f>
        <v>0</v>
      </c>
      <c r="P258">
        <v>945113.07117038337</v>
      </c>
      <c r="Q258">
        <v>-13082.99719626232</v>
      </c>
      <c r="R258">
        <v>365001.0452926539</v>
      </c>
      <c r="S258">
        <v>719981.5335285418</v>
      </c>
      <c r="T258">
        <v>6.8869358090004596E-7</v>
      </c>
      <c r="U258">
        <v>3.0635401184127146E-11</v>
      </c>
      <c r="V258">
        <v>2.4379184040406359E-9</v>
      </c>
      <c r="W258">
        <v>1.3217347778734776E-7</v>
      </c>
      <c r="X258">
        <v>5.1964790679880043E-6</v>
      </c>
      <c r="Y258">
        <v>1.3044953704443784E-6</v>
      </c>
      <c r="Z258">
        <v>0.7084333149181099</v>
      </c>
      <c r="AA258">
        <v>6.8249841082913543E-2</v>
      </c>
      <c r="AB258">
        <v>9.8659896694304212</v>
      </c>
      <c r="AD258">
        <v>1.043138064903113</v>
      </c>
      <c r="AE258">
        <v>0.32774108772967248</v>
      </c>
      <c r="AF258">
        <v>0.98430102671783626</v>
      </c>
      <c r="AG258">
        <v>2391699.3565641763</v>
      </c>
    </row>
    <row r="259" spans="2:33" ht="12.75" hidden="1" customHeight="1">
      <c r="B259">
        <f>-0.165269197051837*$F$42</f>
        <v>0</v>
      </c>
      <c r="C259">
        <f>-0.118188631737896*$F$43</f>
        <v>0</v>
      </c>
      <c r="D259">
        <f>0.212771231394876*$F$44</f>
        <v>0</v>
      </c>
      <c r="E259">
        <f>0.537532460819612*$F$45</f>
        <v>0</v>
      </c>
      <c r="F259">
        <f>0.0820723979093144*$F$46</f>
        <v>0</v>
      </c>
      <c r="G259">
        <f>0.909462091684717*$F$47</f>
        <v>0</v>
      </c>
      <c r="H259">
        <f>0.121091970541212*$F$48</f>
        <v>0</v>
      </c>
      <c r="I259">
        <f>-0.514221865306432*$F$49</f>
        <v>0</v>
      </c>
      <c r="J259">
        <f>-0.030279421298687*$F$50</f>
        <v>0</v>
      </c>
      <c r="K259">
        <f>-0.346017529431653*$F$51</f>
        <v>0</v>
      </c>
      <c r="L259">
        <f>-0.43994311772244*$F$52</f>
        <v>0</v>
      </c>
      <c r="M259">
        <f>-0.270682646466564*$F$53</f>
        <v>0</v>
      </c>
      <c r="N259">
        <f>0.107318401221201*$F$54</f>
        <v>0</v>
      </c>
      <c r="P259">
        <v>946259.63910415675</v>
      </c>
      <c r="Q259">
        <v>-12648.718551375494</v>
      </c>
      <c r="R259">
        <v>361975.80539586779</v>
      </c>
      <c r="S259">
        <v>762738.6383557868</v>
      </c>
      <c r="T259">
        <v>7.0574506785365196E-7</v>
      </c>
      <c r="U259">
        <v>3.381933248422262E-11</v>
      </c>
      <c r="V259">
        <v>2.3278511532244786E-9</v>
      </c>
      <c r="W259">
        <v>1.2331511575101637E-7</v>
      </c>
      <c r="X259">
        <v>4.984860289350657E-6</v>
      </c>
      <c r="Y259">
        <v>1.1922668351151908E-6</v>
      </c>
      <c r="Z259">
        <v>0.66920398175942919</v>
      </c>
      <c r="AA259">
        <v>6.8105221474734065E-2</v>
      </c>
      <c r="AB259">
        <v>10.107318401221201</v>
      </c>
      <c r="AD259">
        <v>1.0891439853421736</v>
      </c>
      <c r="AE259">
        <v>0.37932828410285852</v>
      </c>
      <c r="AF259">
        <v>0.94005675823443446</v>
      </c>
      <c r="AG259">
        <v>2753028.5632702638</v>
      </c>
    </row>
    <row r="260" spans="2:33" ht="12.75" hidden="1" customHeight="1">
      <c r="B260">
        <f>-0.199695076427029*$F$42</f>
        <v>0</v>
      </c>
      <c r="C260">
        <f>-0.221593465109251*$F$43</f>
        <v>0</v>
      </c>
      <c r="D260">
        <f>-0.0779920171312033*$F$44</f>
        <v>0</v>
      </c>
      <c r="E260">
        <f>-0.411195199836413*$F$45</f>
        <v>0</v>
      </c>
      <c r="F260">
        <f>0.347761750610873*$F$46</f>
        <v>0</v>
      </c>
      <c r="G260">
        <f>-0.517755856652824*$F$47</f>
        <v>0</v>
      </c>
      <c r="H260">
        <f>0.32843530720421*$F$48</f>
        <v>0</v>
      </c>
      <c r="I260">
        <f>0.0608350840996841*$F$49</f>
        <v>0</v>
      </c>
      <c r="J260">
        <f>-0.0388453516222464*$F$50</f>
        <v>0</v>
      </c>
      <c r="K260">
        <f>-0.217208551364838*$F$51</f>
        <v>0</v>
      </c>
      <c r="L260">
        <f>0.194584875384888*$F$52</f>
        <v>0</v>
      </c>
      <c r="M260">
        <f>-0.0788371127388649*$F$53</f>
        <v>0</v>
      </c>
      <c r="N260">
        <f>-0.216173508388022*$F$54</f>
        <v>0</v>
      </c>
      <c r="P260">
        <v>942947.31456308777</v>
      </c>
      <c r="Q260">
        <v>-12516.360364660159</v>
      </c>
      <c r="R260">
        <v>351670.15390519286</v>
      </c>
      <c r="S260">
        <v>694066.84571838949</v>
      </c>
      <c r="T260">
        <v>7.2434332254276105E-7</v>
      </c>
      <c r="U260">
        <v>2.9394956844376249E-11</v>
      </c>
      <c r="V260">
        <v>2.3755401206569679E-9</v>
      </c>
      <c r="W260">
        <v>1.3079085609329589E-7</v>
      </c>
      <c r="X260">
        <v>4.980577324188877E-6</v>
      </c>
      <c r="Y260">
        <v>1.2081747439064425E-6</v>
      </c>
      <c r="Z260">
        <v>0.7136209412769422</v>
      </c>
      <c r="AA260">
        <v>6.9448140210827944E-2</v>
      </c>
      <c r="AB260">
        <v>9.7838264916119773</v>
      </c>
      <c r="AD260">
        <v>1.0089921010499341</v>
      </c>
      <c r="AE260">
        <v>0.31340501116458219</v>
      </c>
      <c r="AF260">
        <v>1.0186407983329613</v>
      </c>
      <c r="AG260">
        <v>2275337.875242617</v>
      </c>
    </row>
    <row r="261" spans="2:33" ht="12.75" hidden="1" customHeight="1">
      <c r="B261">
        <f>0.706380467579988*$F$42</f>
        <v>0</v>
      </c>
      <c r="C261">
        <f>-0.0163705807663181*$F$43</f>
        <v>0</v>
      </c>
      <c r="D261">
        <f>0.0344697068134071*$F$44</f>
        <v>0</v>
      </c>
      <c r="E261">
        <f>0.0509136570522108*$F$45</f>
        <v>0</v>
      </c>
      <c r="F261">
        <f>0.152138784519171*$F$46</f>
        <v>0</v>
      </c>
      <c r="G261">
        <f>-0.095508302337294*$F$47</f>
        <v>0</v>
      </c>
      <c r="H261">
        <f>0.49922724500093*$F$48</f>
        <v>0</v>
      </c>
      <c r="I261">
        <f>0.336655272183639*$F$49</f>
        <v>0</v>
      </c>
      <c r="J261">
        <f>-0.371762306164497*$F$50</f>
        <v>0</v>
      </c>
      <c r="K261">
        <f>-0.273627395312653*$F$51</f>
        <v>0</v>
      </c>
      <c r="L261">
        <f>0.322266537037064*$F$52</f>
        <v>0</v>
      </c>
      <c r="M261">
        <f>-0.645993996316873*$F$53</f>
        <v>0</v>
      </c>
      <c r="N261">
        <f>-0.698842584569752*$F$54</f>
        <v>0</v>
      </c>
      <c r="P261">
        <v>1030126.3878343322</v>
      </c>
      <c r="Q261">
        <v>-12779.045656619113</v>
      </c>
      <c r="R261">
        <v>355656.18494208879</v>
      </c>
      <c r="S261">
        <v>727515.68979891005</v>
      </c>
      <c r="T261">
        <v>7.10649714916342E-7</v>
      </c>
      <c r="U261">
        <v>3.0703924262754391E-11</v>
      </c>
      <c r="V261">
        <v>2.4148222663502137E-9</v>
      </c>
      <c r="W261">
        <v>1.3437651853838731E-7</v>
      </c>
      <c r="X261">
        <v>4.8141188469177519E-6</v>
      </c>
      <c r="Y261">
        <v>1.2012070166788872E-6</v>
      </c>
      <c r="Z261">
        <v>0.72255865759259441</v>
      </c>
      <c r="AA261">
        <v>6.5478042025781905E-2</v>
      </c>
      <c r="AB261">
        <v>9.3011574154302483</v>
      </c>
      <c r="AD261">
        <v>1.0182653547540248</v>
      </c>
      <c r="AE261">
        <v>0.30781442655145669</v>
      </c>
      <c r="AF261">
        <v>1.0097533961326133</v>
      </c>
      <c r="AG261">
        <v>2450412.8881931612</v>
      </c>
    </row>
    <row r="262" spans="2:33" ht="12.75" hidden="1" customHeight="1">
      <c r="B262">
        <f>-0.335193334687345*$F$42</f>
        <v>0</v>
      </c>
      <c r="C262">
        <f>-0.0963610903972453*$F$43</f>
        <v>0</v>
      </c>
      <c r="D262">
        <f>0.809374188637378*$F$44</f>
        <v>0</v>
      </c>
      <c r="E262">
        <f>-0.19153995549181*$F$45</f>
        <v>0</v>
      </c>
      <c r="F262">
        <f>-0.056576346367412*$F$46</f>
        <v>0</v>
      </c>
      <c r="G262">
        <f>-0.0946695912641055*$F$47</f>
        <v>0</v>
      </c>
      <c r="H262">
        <f>-0.348816514948959*$F$48</f>
        <v>0</v>
      </c>
      <c r="I262">
        <f>-0.200416592248064*$F$49</f>
        <v>0</v>
      </c>
      <c r="J262">
        <f>0.197575200963256*$F$50</f>
        <v>0</v>
      </c>
      <c r="K262">
        <f>-0.27240064813872*$F$51</f>
        <v>0</v>
      </c>
      <c r="L262">
        <f>-0.140373315026997*$F$52</f>
        <v>0</v>
      </c>
      <c r="M262">
        <f>-0.0517674189451146*$F$53</f>
        <v>0</v>
      </c>
      <c r="N262">
        <f>0.279295377487534*$F$54</f>
        <v>0</v>
      </c>
      <c r="P262">
        <v>929910.19788652228</v>
      </c>
      <c r="Q262">
        <v>-12676.657804291526</v>
      </c>
      <c r="R262">
        <v>383121.47007946949</v>
      </c>
      <c r="S262">
        <v>709966.16015486233</v>
      </c>
      <c r="T262">
        <v>6.9603965575428109E-7</v>
      </c>
      <c r="U262">
        <v>3.0706524267081272E-11</v>
      </c>
      <c r="V262">
        <v>2.2197722015617393E-9</v>
      </c>
      <c r="W262">
        <v>1.2739458430077516E-7</v>
      </c>
      <c r="X262">
        <v>5.0987876004816281E-6</v>
      </c>
      <c r="Y262">
        <v>1.2013585199548681E-6</v>
      </c>
      <c r="Z262">
        <v>0.6901738679481102</v>
      </c>
      <c r="AA262">
        <v>6.9637628067384202E-2</v>
      </c>
      <c r="AB262">
        <v>10.279295377487534</v>
      </c>
      <c r="AD262">
        <v>0.91861056460917778</v>
      </c>
      <c r="AE262">
        <v>0.30604361161796378</v>
      </c>
      <c r="AF262">
        <v>1.1186285703048471</v>
      </c>
      <c r="AG262">
        <v>2135901.8282350521</v>
      </c>
    </row>
    <row r="263" spans="2:33" ht="12.75" hidden="1" customHeight="1">
      <c r="B263">
        <f>0.0459137119485579*$F$42</f>
        <v>0</v>
      </c>
      <c r="C263">
        <f>-0.0893164706541198*$F$43</f>
        <v>0</v>
      </c>
      <c r="D263">
        <f>0.370906157962601*$F$44</f>
        <v>0</v>
      </c>
      <c r="E263">
        <f>-0.0991931418574584*$F$45</f>
        <v>0</v>
      </c>
      <c r="F263">
        <f>-0.329197916132262*$F$46</f>
        <v>0</v>
      </c>
      <c r="G263">
        <f>0.435203633262639*$F$47</f>
        <v>0</v>
      </c>
      <c r="H263">
        <f>-0.0294698751352139*$F$48</f>
        <v>0</v>
      </c>
      <c r="I263">
        <f>-0.185735182460991*$F$49</f>
        <v>0</v>
      </c>
      <c r="J263">
        <f>-0.265270394569799*$F$50</f>
        <v>0</v>
      </c>
      <c r="K263">
        <f>0.462173773353423*$F$51</f>
        <v>0</v>
      </c>
      <c r="L263">
        <f>0.396371958696796*$F$52</f>
        <v>0</v>
      </c>
      <c r="M263">
        <f>-0.450582911069996*$F$53</f>
        <v>0</v>
      </c>
      <c r="N263">
        <f>-0.115371395870961*$F$54</f>
        <v>0</v>
      </c>
      <c r="P263">
        <v>966578.83921848785</v>
      </c>
      <c r="Q263">
        <v>-12685.674917562726</v>
      </c>
      <c r="R263">
        <v>367580.65212244523</v>
      </c>
      <c r="S263">
        <v>716650.5033015958</v>
      </c>
      <c r="T263">
        <v>6.769561458707416E-7</v>
      </c>
      <c r="U263">
        <v>3.2349131263114184E-11</v>
      </c>
      <c r="V263">
        <v>2.2932219287189005E-9</v>
      </c>
      <c r="W263">
        <v>1.2758544262800712E-7</v>
      </c>
      <c r="X263">
        <v>4.867364802715101E-6</v>
      </c>
      <c r="Y263">
        <v>1.2920784610091477E-6</v>
      </c>
      <c r="Z263">
        <v>0.72774603710877561</v>
      </c>
      <c r="AA263">
        <v>6.6845919622510033E-2</v>
      </c>
      <c r="AB263">
        <v>9.8846286041290394</v>
      </c>
      <c r="AD263">
        <v>1.0517803739372762</v>
      </c>
      <c r="AE263">
        <v>0.31130061377335766</v>
      </c>
      <c r="AF263">
        <v>0.97654824313193034</v>
      </c>
      <c r="AG263">
        <v>2328099.4204872991</v>
      </c>
    </row>
    <row r="264" spans="2:33" ht="12.75" hidden="1" customHeight="1">
      <c r="B264">
        <f>0.0914141646548094*$F$42</f>
        <v>0</v>
      </c>
      <c r="C264">
        <f>0.414041486569405*$F$43</f>
        <v>0</v>
      </c>
      <c r="D264">
        <f>0.725898269752424*$F$44</f>
        <v>0</v>
      </c>
      <c r="E264">
        <f>0.268028840137467*$F$45</f>
        <v>0</v>
      </c>
      <c r="F264">
        <f>0.600420627029407*$F$46</f>
        <v>0</v>
      </c>
      <c r="G264">
        <f>0.178821487812104*$F$47</f>
        <v>0</v>
      </c>
      <c r="H264">
        <f>-0.670356890890959*$F$48</f>
        <v>0</v>
      </c>
      <c r="I264">
        <f>-0.529501090243051*$F$49</f>
        <v>0</v>
      </c>
      <c r="J264">
        <f>0.108097525063703*$F$50</f>
        <v>0</v>
      </c>
      <c r="K264">
        <f>0.214913982742173*$F$51</f>
        <v>0</v>
      </c>
      <c r="L264">
        <f>0.108672965067862*$F$52</f>
        <v>0</v>
      </c>
      <c r="M264">
        <f>0.691841219076999*$F$53</f>
        <v>0</v>
      </c>
      <c r="N264">
        <f>0.145809111215654*$F$54</f>
        <v>0</v>
      </c>
      <c r="P264">
        <v>970956.71623612673</v>
      </c>
      <c r="Q264">
        <v>-13329.973102808839</v>
      </c>
      <c r="R264">
        <v>380162.79585824988</v>
      </c>
      <c r="S264">
        <v>743231.14687850175</v>
      </c>
      <c r="T264">
        <v>7.4202944389205849E-7</v>
      </c>
      <c r="U264">
        <v>3.1554346612217528E-11</v>
      </c>
      <c r="V264">
        <v>2.1458179150950793E-9</v>
      </c>
      <c r="W264">
        <v>1.2311648582684033E-7</v>
      </c>
      <c r="X264">
        <v>5.0540487625318527E-6</v>
      </c>
      <c r="Y264">
        <v>1.2615418768686583E-6</v>
      </c>
      <c r="Z264">
        <v>0.70760710755475031</v>
      </c>
      <c r="AA264">
        <v>7.4842888533539001E-2</v>
      </c>
      <c r="AB264">
        <v>10.145809111215653</v>
      </c>
      <c r="AD264">
        <v>1.0305182652919394</v>
      </c>
      <c r="AE264">
        <v>0.32335826515641647</v>
      </c>
      <c r="AF264">
        <v>0.99655002956475469</v>
      </c>
      <c r="AG264">
        <v>2404336.2844566796</v>
      </c>
    </row>
    <row r="265" spans="2:33" ht="12.75" hidden="1" customHeight="1">
      <c r="B265">
        <f>-0.375965961624519*$F$42</f>
        <v>0</v>
      </c>
      <c r="C265">
        <f>-0.423713910648443*$F$43</f>
        <v>0</v>
      </c>
      <c r="D265">
        <f>0.404515497124429*$F$44</f>
        <v>0</v>
      </c>
      <c r="E265">
        <f>0.401543014527058*$F$45</f>
        <v>0</v>
      </c>
      <c r="F265">
        <f>-0.0207028106833362*$F$46</f>
        <v>0</v>
      </c>
      <c r="G265">
        <f>0.103307400542265*$F$47</f>
        <v>0</v>
      </c>
      <c r="H265">
        <f>0.801525930341029*$F$48</f>
        <v>0</v>
      </c>
      <c r="I265">
        <f>0.00811236844679747*$F$49</f>
        <v>0</v>
      </c>
      <c r="J265">
        <f>0.255103654238537*$F$50</f>
        <v>0</v>
      </c>
      <c r="K265">
        <f>0.0435427545054154*$F$51</f>
        <v>0</v>
      </c>
      <c r="L265">
        <f>-0.0000406893087806708*$F$52</f>
        <v>0</v>
      </c>
      <c r="M265">
        <f>-0.293469754097888*$F$53</f>
        <v>0</v>
      </c>
      <c r="N265">
        <f>-0.181392877007745*$F$54</f>
        <v>0</v>
      </c>
      <c r="P265">
        <v>925987.2139204198</v>
      </c>
      <c r="Q265">
        <v>-12257.646194369992</v>
      </c>
      <c r="R265">
        <v>368771.88291928591</v>
      </c>
      <c r="S265">
        <v>752895.30876400566</v>
      </c>
      <c r="T265">
        <v>6.9855080325216639E-7</v>
      </c>
      <c r="U265">
        <v>3.1320252941681026E-11</v>
      </c>
      <c r="V265">
        <v>2.4843509639784366E-9</v>
      </c>
      <c r="W265">
        <v>1.3010546078980837E-7</v>
      </c>
      <c r="X265">
        <v>5.1275518271192695E-6</v>
      </c>
      <c r="Y265">
        <v>1.2403775301814188E-6</v>
      </c>
      <c r="Z265">
        <v>0.69999715174838528</v>
      </c>
      <c r="AA265">
        <v>6.7945711721314792E-2</v>
      </c>
      <c r="AB265">
        <v>9.8186071229922547</v>
      </c>
      <c r="AD265">
        <v>1.1481804235253683</v>
      </c>
      <c r="AE265">
        <v>0.36650425505480005</v>
      </c>
      <c r="AF265">
        <v>0.89123551804283285</v>
      </c>
      <c r="AG265">
        <v>2649039.3157766294</v>
      </c>
    </row>
    <row r="266" spans="2:33" ht="12.75" hidden="1" customHeight="1">
      <c r="B266">
        <f>0.160356680152889*$F$42</f>
        <v>0</v>
      </c>
      <c r="C266">
        <f>-0.721893941121973*$F$43</f>
        <v>0</v>
      </c>
      <c r="D266">
        <f>-0.159325748367528*$F$44</f>
        <v>0</v>
      </c>
      <c r="E266">
        <f>-0.517997365518799*$F$45</f>
        <v>0</v>
      </c>
      <c r="F266">
        <f>-0.0854871332597092*$F$46</f>
        <v>0</v>
      </c>
      <c r="G266">
        <f>-0.186322120112197*$F$47</f>
        <v>0</v>
      </c>
      <c r="H266">
        <f>0.440972582931007*$F$48</f>
        <v>0</v>
      </c>
      <c r="I266">
        <f>-0.0234426012340761*$F$49</f>
        <v>0</v>
      </c>
      <c r="J266">
        <f>-0.120115327178733*$F$50</f>
        <v>0</v>
      </c>
      <c r="K266">
        <f>0.504055993633902*$F$51</f>
        <v>0</v>
      </c>
      <c r="L266">
        <f>-0.236057369460224*$F$52</f>
        <v>0</v>
      </c>
      <c r="M266">
        <f>0.0790735168857124*$F$53</f>
        <v>0</v>
      </c>
      <c r="N266">
        <f>0.0127983076924265*$F$54</f>
        <v>0</v>
      </c>
      <c r="P266">
        <v>977590.09758039191</v>
      </c>
      <c r="Q266">
        <v>-11875.975755363876</v>
      </c>
      <c r="R266">
        <v>348787.40619616589</v>
      </c>
      <c r="S266">
        <v>686336.18023964274</v>
      </c>
      <c r="T266">
        <v>6.9401590067182028E-7</v>
      </c>
      <c r="U266">
        <v>3.0422401427652196E-11</v>
      </c>
      <c r="V266">
        <v>2.4014236940741316E-9</v>
      </c>
      <c r="W266">
        <v>1.2969524618395702E-7</v>
      </c>
      <c r="X266">
        <v>4.9399423364106341E-6</v>
      </c>
      <c r="Y266">
        <v>1.2972509152137871E-6</v>
      </c>
      <c r="Z266">
        <v>0.68347598413778432</v>
      </c>
      <c r="AA266">
        <v>7.0553514618199989E-2</v>
      </c>
      <c r="AB266">
        <v>10.012798307692425</v>
      </c>
      <c r="AD266">
        <v>0.87151631231716242</v>
      </c>
      <c r="AE266">
        <v>0.29742555799971132</v>
      </c>
      <c r="AF266">
        <v>1.1800801167781609</v>
      </c>
      <c r="AG266">
        <v>2167264.5374974906</v>
      </c>
    </row>
    <row r="267" spans="2:33" ht="12.75" hidden="1" customHeight="1">
      <c r="B267">
        <f>-0.031637789234352*$F$42</f>
        <v>0</v>
      </c>
      <c r="C267">
        <f>-0.766057475369639*$F$43</f>
        <v>0</v>
      </c>
      <c r="D267">
        <f>-0.251620638480684*$F$44</f>
        <v>0</v>
      </c>
      <c r="E267">
        <f>0.220511183935624*$F$45</f>
        <v>0</v>
      </c>
      <c r="F267">
        <f>-0.275008820937314*$F$46</f>
        <v>0</v>
      </c>
      <c r="G267">
        <f>-0.235219762297005*$F$47</f>
        <v>0</v>
      </c>
      <c r="H267">
        <f>0.0590585439997681*$F$48</f>
        <v>0</v>
      </c>
      <c r="I267">
        <f>0.181877855249743*$F$49</f>
        <v>0</v>
      </c>
      <c r="J267">
        <f>0.04425692524103*$F$50</f>
        <v>0</v>
      </c>
      <c r="K267">
        <f>-0.398384964597127*$F$51</f>
        <v>0</v>
      </c>
      <c r="L267">
        <f>0.184175837319855*$F$52</f>
        <v>0</v>
      </c>
      <c r="M267">
        <f>0.137314594473641*$F$53</f>
        <v>0</v>
      </c>
      <c r="N267">
        <f>0.511657125059407*$F$54</f>
        <v>0</v>
      </c>
      <c r="P267">
        <v>959117.13467449276</v>
      </c>
      <c r="Q267">
        <v>-11819.446431526861</v>
      </c>
      <c r="R267">
        <v>345516.15724466369</v>
      </c>
      <c r="S267">
        <v>739791.67444754962</v>
      </c>
      <c r="T267">
        <v>6.8074938253438799E-7</v>
      </c>
      <c r="U267">
        <v>3.0270818736879285E-11</v>
      </c>
      <c r="V267">
        <v>2.3135834651199468E-9</v>
      </c>
      <c r="W267">
        <v>1.3236441211824667E-7</v>
      </c>
      <c r="X267">
        <v>5.0221284626205159E-6</v>
      </c>
      <c r="Y267">
        <v>1.1857994568722549E-6</v>
      </c>
      <c r="Z267">
        <v>0.71289230861238984</v>
      </c>
      <c r="AA267">
        <v>7.096120216131549E-2</v>
      </c>
      <c r="AB267">
        <v>10.511657125059406</v>
      </c>
      <c r="AD267">
        <v>1.1870445458230265</v>
      </c>
      <c r="AE267">
        <v>0.36172509711691503</v>
      </c>
      <c r="AF267">
        <v>0.86123030697293679</v>
      </c>
      <c r="AG267">
        <v>2694910.6440431061</v>
      </c>
    </row>
    <row r="268" spans="2:33" ht="12.75" hidden="1" customHeight="1">
      <c r="B268">
        <f>-0.0224849513771399*$F$42</f>
        <v>0</v>
      </c>
      <c r="C268">
        <f>-0.334911038477577*$F$43</f>
        <v>0</v>
      </c>
      <c r="D268">
        <f>0.0354620890560375*$F$44</f>
        <v>0</v>
      </c>
      <c r="E268">
        <f>0.03690037725085*$F$45</f>
        <v>0</v>
      </c>
      <c r="F268">
        <f>0.163056762356285*$F$46</f>
        <v>0</v>
      </c>
      <c r="G268">
        <f>-0.126096321988598*$F$47</f>
        <v>0</v>
      </c>
      <c r="H268">
        <f>-0.0589917949219268*$F$48</f>
        <v>0</v>
      </c>
      <c r="I268">
        <f>0.364193955226536*$F$49</f>
        <v>0</v>
      </c>
      <c r="J268">
        <f>0.824826143255873*$F$50</f>
        <v>0</v>
      </c>
      <c r="K268">
        <f>-0.980094083323571*$F$51</f>
        <v>0</v>
      </c>
      <c r="L268">
        <f>-0.22463384189545*$F$52</f>
        <v>0</v>
      </c>
      <c r="M268">
        <f>0.0234163402036144*$F$53</f>
        <v>0</v>
      </c>
      <c r="N268">
        <f>-0.160877431069636*$F$54</f>
        <v>0</v>
      </c>
      <c r="P268">
        <v>959997.78522010287</v>
      </c>
      <c r="Q268">
        <v>-12371.313870748701</v>
      </c>
      <c r="R268">
        <v>355691.35838849208</v>
      </c>
      <c r="S268">
        <v>726501.36600020947</v>
      </c>
      <c r="T268">
        <v>7.1141397336493986E-7</v>
      </c>
      <c r="U268">
        <v>3.0609101401835349E-11</v>
      </c>
      <c r="V268">
        <v>2.2864318871679568E-9</v>
      </c>
      <c r="W268">
        <v>1.3473452141794496E-7</v>
      </c>
      <c r="X268">
        <v>5.4124130716279366E-6</v>
      </c>
      <c r="Y268">
        <v>1.113958380709539E-6</v>
      </c>
      <c r="Z268">
        <v>0.68427563106731848</v>
      </c>
      <c r="AA268">
        <v>7.0163914381425316E-2</v>
      </c>
      <c r="AB268">
        <v>9.8391225689303639</v>
      </c>
      <c r="AD268">
        <v>1.0039790609986723</v>
      </c>
      <c r="AE268">
        <v>0.33926959423320091</v>
      </c>
      <c r="AF268">
        <v>1.0227611626845849</v>
      </c>
      <c r="AG268">
        <v>2498861.4963886952</v>
      </c>
    </row>
    <row r="269" spans="2:33" ht="12.75" hidden="1" customHeight="1">
      <c r="B269">
        <f>0.0952842805715549*$F$42</f>
        <v>0</v>
      </c>
      <c r="C269">
        <f>0.406497763848941*$F$43</f>
        <v>0</v>
      </c>
      <c r="D269">
        <f>-0.0933097984363543*$F$44</f>
        <v>0</v>
      </c>
      <c r="E269">
        <f>0.0948646049209613*$F$45</f>
        <v>0</v>
      </c>
      <c r="F269">
        <f>-0.135138937813135*$F$46</f>
        <v>0</v>
      </c>
      <c r="G269">
        <f>0.505211069185032*$F$47</f>
        <v>0</v>
      </c>
      <c r="H269">
        <f>0.881616905210241*$F$48</f>
        <v>0</v>
      </c>
      <c r="I269">
        <f>-0.124683172613204*$F$49</f>
        <v>0</v>
      </c>
      <c r="J269">
        <f>-0.231448181840253*$F$50</f>
        <v>0</v>
      </c>
      <c r="K269">
        <f>-0.00388329294765721*$F$51</f>
        <v>0</v>
      </c>
      <c r="L269">
        <f>-0.787755916195566*$F$52</f>
        <v>0</v>
      </c>
      <c r="M269">
        <f>0.00236196068541901*$F$53</f>
        <v>0</v>
      </c>
      <c r="N269">
        <f>-0.0401574131323465*$F$54</f>
        <v>0</v>
      </c>
      <c r="P269">
        <v>971329.08377358632</v>
      </c>
      <c r="Q269">
        <v>-13320.317137726644</v>
      </c>
      <c r="R269">
        <v>351127.23895104555</v>
      </c>
      <c r="S269">
        <v>730696.99303631415</v>
      </c>
      <c r="T269">
        <v>6.9054027435308047E-7</v>
      </c>
      <c r="U269">
        <v>3.2566154314473603E-11</v>
      </c>
      <c r="V269">
        <v>2.5027718881983551E-9</v>
      </c>
      <c r="W269">
        <v>1.2837911875602835E-7</v>
      </c>
      <c r="X269">
        <v>4.8842759090798741E-6</v>
      </c>
      <c r="Y269">
        <v>1.2345204133209643E-6</v>
      </c>
      <c r="Z269">
        <v>0.6448570858663103</v>
      </c>
      <c r="AA269">
        <v>7.001653372479795E-2</v>
      </c>
      <c r="AB269">
        <v>9.9598425868676532</v>
      </c>
      <c r="AD269">
        <v>0.92871401212907079</v>
      </c>
      <c r="AE269">
        <v>0.35006986355642244</v>
      </c>
      <c r="AF269">
        <v>1.105385046765599</v>
      </c>
      <c r="AG269">
        <v>2568638.3589983117</v>
      </c>
    </row>
    <row r="270" spans="2:33" ht="12.75" hidden="1" customHeight="1">
      <c r="B270">
        <f>0.336239110778517*$F$42</f>
        <v>0</v>
      </c>
      <c r="C270">
        <f>-0.294099571336074*$F$43</f>
        <v>0</v>
      </c>
      <c r="D270">
        <f>0.103227968158995*$F$44</f>
        <v>0</v>
      </c>
      <c r="E270">
        <f>-0.352688863633349*$F$45</f>
        <v>0</v>
      </c>
      <c r="F270">
        <f>0.0753499281136442*$F$46</f>
        <v>0</v>
      </c>
      <c r="G270">
        <f>-0.343592040932659*$F$47</f>
        <v>0</v>
      </c>
      <c r="H270">
        <f>0.193908452783451*$F$48</f>
        <v>0</v>
      </c>
      <c r="I270">
        <f>0.266480443625142*$F$49</f>
        <v>0</v>
      </c>
      <c r="J270">
        <f>0.0883046779337988*$F$50</f>
        <v>0</v>
      </c>
      <c r="K270">
        <f>-0.313002426938205*$F$51</f>
        <v>0</v>
      </c>
      <c r="L270">
        <f>-0.469505536179619*$F$52</f>
        <v>0</v>
      </c>
      <c r="M270">
        <f>-0.0702921626353801*$F$53</f>
        <v>0</v>
      </c>
      <c r="N270">
        <f>0.224060060045388*$F$54</f>
        <v>0</v>
      </c>
      <c r="P270">
        <v>994512.8226313591</v>
      </c>
      <c r="Q270">
        <v>-12423.552548689826</v>
      </c>
      <c r="R270">
        <v>358093.21466343204</v>
      </c>
      <c r="S270">
        <v>698301.7122183633</v>
      </c>
      <c r="T270">
        <v>7.0527449496795501E-7</v>
      </c>
      <c r="U270">
        <v>2.993486467310876E-11</v>
      </c>
      <c r="V270">
        <v>2.3445989441401938E-9</v>
      </c>
      <c r="W270">
        <v>1.3346424576712682E-7</v>
      </c>
      <c r="X270">
        <v>5.0441523389669004E-6</v>
      </c>
      <c r="Y270">
        <v>1.1963442002731318E-6</v>
      </c>
      <c r="Z270">
        <v>0.66713461246742667</v>
      </c>
      <c r="AA270">
        <v>6.950795486155234E-2</v>
      </c>
      <c r="AB270">
        <v>10.224060060045389</v>
      </c>
      <c r="AD270">
        <v>0.83355315986780787</v>
      </c>
      <c r="AE270">
        <v>0.29811184852956718</v>
      </c>
      <c r="AF270">
        <v>1.2340796885944449</v>
      </c>
      <c r="AG270">
        <v>2187387.8794827466</v>
      </c>
    </row>
    <row r="271" spans="2:33" ht="12.75" hidden="1" customHeight="1">
      <c r="B271">
        <f>0.145298109526649*$F$42</f>
        <v>0</v>
      </c>
      <c r="C271">
        <f>0.0415344765528771*$F$43</f>
        <v>0</v>
      </c>
      <c r="D271">
        <f>0.111322473420631*$F$44</f>
        <v>0</v>
      </c>
      <c r="E271">
        <f>-0.174160570523249*$F$45</f>
        <v>0</v>
      </c>
      <c r="F271">
        <f>0.282153584664171*$F$46</f>
        <v>0</v>
      </c>
      <c r="G271">
        <f>0.548126034244876*$F$47</f>
        <v>0</v>
      </c>
      <c r="H271">
        <f>-0.735516449122176*$F$48</f>
        <v>0</v>
      </c>
      <c r="I271">
        <f>-0.234959185498051*$F$49</f>
        <v>0</v>
      </c>
      <c r="J271">
        <f>-0.162299031808027*$F$50</f>
        <v>0</v>
      </c>
      <c r="K271">
        <f>0.266993488763917*$F$51</f>
        <v>0</v>
      </c>
      <c r="L271">
        <f>-0.0521644537886247*$F$52</f>
        <v>0</v>
      </c>
      <c r="M271">
        <f>0.0954409579475982*$F$53</f>
        <v>0</v>
      </c>
      <c r="N271">
        <f>0.61661528573698*$F$54</f>
        <v>0</v>
      </c>
      <c r="P271">
        <v>976141.22034198907</v>
      </c>
      <c r="Q271">
        <v>-12853.164129987685</v>
      </c>
      <c r="R271">
        <v>358380.11182336794</v>
      </c>
      <c r="S271">
        <v>711224.13288003963</v>
      </c>
      <c r="T271">
        <v>7.1975075092649199E-7</v>
      </c>
      <c r="U271">
        <v>3.2699190706159118E-11</v>
      </c>
      <c r="V271">
        <v>2.1308312167018996E-9</v>
      </c>
      <c r="W271">
        <v>1.2694553058852534E-7</v>
      </c>
      <c r="X271">
        <v>4.9188504840959866E-6</v>
      </c>
      <c r="Y271">
        <v>1.2679736958623439E-6</v>
      </c>
      <c r="Z271">
        <v>0.69634848823479623</v>
      </c>
      <c r="AA271">
        <v>7.0668086705633196E-2</v>
      </c>
      <c r="AB271">
        <v>10.61661528573698</v>
      </c>
      <c r="AD271">
        <v>0.97097615014854011</v>
      </c>
      <c r="AE271">
        <v>0.31612990030729005</v>
      </c>
      <c r="AF271">
        <v>1.0576101334134005</v>
      </c>
      <c r="AG271">
        <v>2332750.0219904599</v>
      </c>
    </row>
    <row r="272" spans="2:33" ht="12.75" hidden="1" customHeight="1">
      <c r="B272">
        <f>-0.0120085475981246*$F$42</f>
        <v>0</v>
      </c>
      <c r="C272">
        <f>0.125258727286691*$F$43</f>
        <v>0</v>
      </c>
      <c r="D272">
        <f>-0.541352263376664*$F$44</f>
        <v>0</v>
      </c>
      <c r="E272">
        <f>-0.0670779407739127*$F$45</f>
        <v>0</v>
      </c>
      <c r="F272">
        <f>-0.228583862050092*$F$46</f>
        <v>0</v>
      </c>
      <c r="G272">
        <f>-0.692831526911432*$F$47</f>
        <v>0</v>
      </c>
      <c r="H272">
        <f>0.0658067127991105*$F$48</f>
        <v>0</v>
      </c>
      <c r="I272">
        <f>-0.285013332843512*$F$49</f>
        <v>0</v>
      </c>
      <c r="J272">
        <f>-0.0772769538912889*$F$50</f>
        <v>0</v>
      </c>
      <c r="K272">
        <f>-0.279439129209844*$F$51</f>
        <v>0</v>
      </c>
      <c r="L272">
        <f>-0.108216172805699*$F$52</f>
        <v>0</v>
      </c>
      <c r="M272">
        <f>0.494178795953305*$F$53</f>
        <v>0</v>
      </c>
      <c r="N272">
        <f>-0.0639696682778437*$F$54</f>
        <v>0</v>
      </c>
      <c r="P272">
        <v>961005.78414327314</v>
      </c>
      <c r="Q272">
        <v>-12960.331170926964</v>
      </c>
      <c r="R272">
        <v>335247.07005038881</v>
      </c>
      <c r="S272">
        <v>718975.09920068923</v>
      </c>
      <c r="T272">
        <v>6.8399912965649347E-7</v>
      </c>
      <c r="U272">
        <v>2.8852222266574565E-11</v>
      </c>
      <c r="V272">
        <v>2.3151355439437952E-9</v>
      </c>
      <c r="W272">
        <v>1.2629482667303434E-7</v>
      </c>
      <c r="X272">
        <v>4.9613615230543557E-6</v>
      </c>
      <c r="Y272">
        <v>1.2004892675425842E-6</v>
      </c>
      <c r="Z272">
        <v>0.69242486790360103</v>
      </c>
      <c r="AA272">
        <v>7.3459251571673129E-2</v>
      </c>
      <c r="AB272">
        <v>9.9360303317221561</v>
      </c>
      <c r="AD272">
        <v>1.0683767968499178</v>
      </c>
      <c r="AE272">
        <v>0.35096623561690837</v>
      </c>
      <c r="AF272">
        <v>0.95988541482118939</v>
      </c>
      <c r="AG272">
        <v>2612168.4775046166</v>
      </c>
    </row>
    <row r="273" spans="2:33" ht="12.75" hidden="1" customHeight="1">
      <c r="B273">
        <f>0.218622653585367*$F$42</f>
        <v>0</v>
      </c>
      <c r="C273">
        <f>-0.356152480861026*$F$43</f>
        <v>0</v>
      </c>
      <c r="D273">
        <f>0.0399319620944412*$F$44</f>
        <v>0</v>
      </c>
      <c r="E273">
        <f>0.246180137337942*$F$45</f>
        <v>0</v>
      </c>
      <c r="F273">
        <f>-0.512062522511623*$F$46</f>
        <v>0</v>
      </c>
      <c r="G273">
        <f>0.230919817083038*$F$47</f>
        <v>0</v>
      </c>
      <c r="H273">
        <f>-0.26731622399359*$F$48</f>
        <v>0</v>
      </c>
      <c r="I273">
        <f>-0.620287709128413*$F$49</f>
        <v>0</v>
      </c>
      <c r="J273">
        <f>-0.0493142001619173*$F$50</f>
        <v>0</v>
      </c>
      <c r="K273">
        <f>0.341161525088074*$F$51</f>
        <v>0</v>
      </c>
      <c r="L273">
        <f>0.328503699778349*$F$52</f>
        <v>0</v>
      </c>
      <c r="M273">
        <f>-0.0849660269479305*$F$53</f>
        <v>0</v>
      </c>
      <c r="N273">
        <f>-0.393912746549572*$F$54</f>
        <v>0</v>
      </c>
      <c r="P273">
        <v>983196.22347208811</v>
      </c>
      <c r="Q273">
        <v>-12344.124824497887</v>
      </c>
      <c r="R273">
        <v>355849.78609204426</v>
      </c>
      <c r="S273">
        <v>741649.67133998137</v>
      </c>
      <c r="T273">
        <v>6.6415562342418636E-7</v>
      </c>
      <c r="U273">
        <v>3.1715851432957419E-11</v>
      </c>
      <c r="V273">
        <v>2.2385172684814741E-9</v>
      </c>
      <c r="W273">
        <v>1.2193625978133064E-7</v>
      </c>
      <c r="X273">
        <v>4.9753428999190421E-6</v>
      </c>
      <c r="Y273">
        <v>1.2771334483483773E-6</v>
      </c>
      <c r="Z273">
        <v>0.72299525898448436</v>
      </c>
      <c r="AA273">
        <v>6.9405237811364498E-2</v>
      </c>
      <c r="AB273">
        <v>9.6060872534504291</v>
      </c>
      <c r="AD273">
        <v>1.1369600287599757</v>
      </c>
      <c r="AE273">
        <v>0.33905717136943048</v>
      </c>
      <c r="AF273">
        <v>0.90102209250942389</v>
      </c>
      <c r="AG273">
        <v>2609857.8722126293</v>
      </c>
    </row>
    <row r="274" spans="2:33" ht="12.75" hidden="1" customHeight="1">
      <c r="B274">
        <f>-0.0649775000404056*$F$42</f>
        <v>0</v>
      </c>
      <c r="C274">
        <f>-0.0739908680991185*$F$43</f>
        <v>0</v>
      </c>
      <c r="D274">
        <f>0.0508808472748212*$F$44</f>
        <v>0</v>
      </c>
      <c r="E274">
        <f>0.421809185900446*$F$45</f>
        <v>0</v>
      </c>
      <c r="F274">
        <f>-0.0208659293512707*$F$46</f>
        <v>0</v>
      </c>
      <c r="G274">
        <f>-0.700778458539543*$F$47</f>
        <v>0</v>
      </c>
      <c r="H274">
        <f>-0.0841641360697035*$F$48</f>
        <v>0</v>
      </c>
      <c r="I274">
        <f>-0.484486579473222*$F$49</f>
        <v>0</v>
      </c>
      <c r="J274">
        <f>0.772570653313687*$F$50</f>
        <v>0</v>
      </c>
      <c r="K274">
        <f>-0.230606173969979*$F$51</f>
        <v>0</v>
      </c>
      <c r="L274">
        <f>-0.0440106855903681*$F$52</f>
        <v>0</v>
      </c>
      <c r="M274">
        <f>-0.326305313840451*$F$53</f>
        <v>0</v>
      </c>
      <c r="N274">
        <f>0.550751720091375*$F$54</f>
        <v>0</v>
      </c>
      <c r="P274">
        <v>955909.31705881236</v>
      </c>
      <c r="Q274">
        <v>-12705.291688833127</v>
      </c>
      <c r="R274">
        <v>356237.85231242247</v>
      </c>
      <c r="S274">
        <v>754362.23586629436</v>
      </c>
      <c r="T274">
        <v>6.9853938494541106E-7</v>
      </c>
      <c r="U274">
        <v>2.8827586778527421E-11</v>
      </c>
      <c r="V274">
        <v>2.280642248703968E-9</v>
      </c>
      <c r="W274">
        <v>1.237016744668481E-7</v>
      </c>
      <c r="X274">
        <v>5.3862853266568435E-6</v>
      </c>
      <c r="Y274">
        <v>1.2065201375147075E-6</v>
      </c>
      <c r="Z274">
        <v>0.69691925200867422</v>
      </c>
      <c r="AA274">
        <v>6.7715862803116852E-2</v>
      </c>
      <c r="AB274">
        <v>10.550751720091377</v>
      </c>
      <c r="AD274">
        <v>1.1599184076093871</v>
      </c>
      <c r="AE274">
        <v>0.37152961549766955</v>
      </c>
      <c r="AF274">
        <v>0.88152287832549225</v>
      </c>
      <c r="AG274">
        <v>2744506.3846406089</v>
      </c>
    </row>
    <row r="275" spans="2:33" ht="12.75" hidden="1" customHeight="1">
      <c r="B275">
        <f>-0.361324784594305*$F$42</f>
        <v>0</v>
      </c>
      <c r="C275">
        <f>0.288301812813133*$F$43</f>
        <v>0</v>
      </c>
      <c r="D275">
        <f>0.0626080529356054*$F$44</f>
        <v>0</v>
      </c>
      <c r="E275">
        <f>0.185410477381609*$F$45</f>
        <v>0</v>
      </c>
      <c r="F275">
        <f>0.0385983054701335*$F$46</f>
        <v>0</v>
      </c>
      <c r="G275">
        <f>-0.0208012842951763*$F$47</f>
        <v>0</v>
      </c>
      <c r="H275">
        <f>0.274334487108925*$F$48</f>
        <v>0</v>
      </c>
      <c r="I275">
        <f>-0.163547497381596*$F$49</f>
        <v>0</v>
      </c>
      <c r="J275">
        <f>-0.0992977825032445*$F$50</f>
        <v>0</v>
      </c>
      <c r="K275">
        <f>-0.201861162192652*$F$51</f>
        <v>0</v>
      </c>
      <c r="L275">
        <f>0.0729534761970905*$F$52</f>
        <v>0</v>
      </c>
      <c r="M275">
        <f>0.249138454230679*$F$53</f>
        <v>0</v>
      </c>
      <c r="N275">
        <f>-0.188600679110226*$F$54</f>
        <v>0</v>
      </c>
      <c r="P275">
        <v>927395.9311665002</v>
      </c>
      <c r="Q275">
        <v>-13169.02632040081</v>
      </c>
      <c r="R275">
        <v>356653.50489269919</v>
      </c>
      <c r="S275">
        <v>737250.97858522309</v>
      </c>
      <c r="T275">
        <v>7.027018813829094E-7</v>
      </c>
      <c r="U275">
        <v>3.0935516018684958E-11</v>
      </c>
      <c r="V275">
        <v>2.3630969320350525E-9</v>
      </c>
      <c r="W275">
        <v>1.2787388253403926E-7</v>
      </c>
      <c r="X275">
        <v>4.9503511087483783E-6</v>
      </c>
      <c r="Y275">
        <v>1.2100701464692075E-6</v>
      </c>
      <c r="Z275">
        <v>0.7051067433337963</v>
      </c>
      <c r="AA275">
        <v>7.1743969179614758E-2</v>
      </c>
      <c r="AB275">
        <v>9.811399320889775</v>
      </c>
      <c r="AD275">
        <v>1.1472730700936271</v>
      </c>
      <c r="AE275">
        <v>0.36091106228312669</v>
      </c>
      <c r="AF275">
        <v>0.89217278117291166</v>
      </c>
      <c r="AG275">
        <v>2617483.697954243</v>
      </c>
    </row>
    <row r="276" spans="2:33" ht="12.75" hidden="1" customHeight="1">
      <c r="B276">
        <f>0.417563520216765*$F$42</f>
        <v>0</v>
      </c>
      <c r="C276">
        <f>0.185906646415799*$F$43</f>
        <v>0</v>
      </c>
      <c r="D276">
        <f>0.0777380080318252*$F$44</f>
        <v>0</v>
      </c>
      <c r="E276">
        <f>0.587581206308499*$F$45</f>
        <v>0</v>
      </c>
      <c r="F276">
        <f>0.667148954624967*$F$46</f>
        <v>0</v>
      </c>
      <c r="G276">
        <f>0.0166175848330636*$F$47</f>
        <v>0</v>
      </c>
      <c r="H276">
        <f>-0.48812816414236*$F$48</f>
        <v>0</v>
      </c>
      <c r="I276">
        <f>-0.485805563936932*$F$49</f>
        <v>0</v>
      </c>
      <c r="J276">
        <f>-0.57670052372723*$F$50</f>
        <v>0</v>
      </c>
      <c r="K276">
        <f>-0.0412122383349773*$F$51</f>
        <v>0</v>
      </c>
      <c r="L276">
        <f>-0.0404158589943594*$F$52</f>
        <v>0</v>
      </c>
      <c r="M276">
        <f>0.0813573981262426*$F$53</f>
        <v>0</v>
      </c>
      <c r="N276">
        <f>0.44012657264176*$F$54</f>
        <v>0</v>
      </c>
      <c r="P276">
        <v>1002337.5417687987</v>
      </c>
      <c r="Q276">
        <v>-13037.960507412223</v>
      </c>
      <c r="R276">
        <v>357189.76263875759</v>
      </c>
      <c r="S276">
        <v>766361.31872498582</v>
      </c>
      <c r="T276">
        <v>7.4670042682374774E-7</v>
      </c>
      <c r="U276">
        <v>3.10515145129825E-11</v>
      </c>
      <c r="V276">
        <v>2.1877305222472571E-9</v>
      </c>
      <c r="W276">
        <v>1.2368452766881988E-7</v>
      </c>
      <c r="X276">
        <v>4.7116497381363856E-6</v>
      </c>
      <c r="Y276">
        <v>1.2299102885656303E-6</v>
      </c>
      <c r="Z276">
        <v>0.69717088987039477</v>
      </c>
      <c r="AA276">
        <v>7.0569501786883704E-2</v>
      </c>
      <c r="AB276">
        <v>10.440126572641759</v>
      </c>
      <c r="AD276">
        <v>1.125622144041025</v>
      </c>
      <c r="AE276">
        <v>0.36123582858820436</v>
      </c>
      <c r="AF276">
        <v>0.9092657946645103</v>
      </c>
      <c r="AG276">
        <v>2792511.1318829372</v>
      </c>
    </row>
    <row r="277" spans="2:33" ht="12.75" hidden="1" customHeight="1">
      <c r="B277">
        <f>0.288157512500389*$F$42</f>
        <v>0</v>
      </c>
      <c r="C277">
        <f>-0.562039405126206*$F$43</f>
        <v>0</v>
      </c>
      <c r="D277">
        <f>-0.0118440190580527*$F$44</f>
        <v>0</v>
      </c>
      <c r="E277">
        <f>-0.197976581326903*$F$45</f>
        <v>0</v>
      </c>
      <c r="F277">
        <f>-0.160907079997639*$F$46</f>
        <v>0</v>
      </c>
      <c r="G277">
        <f>0.0354514533788772*$F$47</f>
        <v>0</v>
      </c>
      <c r="H277">
        <f>-0.352065720470205*$F$48</f>
        <v>0</v>
      </c>
      <c r="I277">
        <f>0.390997336257994*$F$49</f>
        <v>0</v>
      </c>
      <c r="J277">
        <f>-0.0931727950987155*$F$50</f>
        <v>0</v>
      </c>
      <c r="K277">
        <f>0.406157032403439*$F$51</f>
        <v>0</v>
      </c>
      <c r="L277">
        <f>-0.653000013214911*$F$52</f>
        <v>0</v>
      </c>
      <c r="M277">
        <f>-0.0139161619524572*$F$53</f>
        <v>0</v>
      </c>
      <c r="N277">
        <f>0.172325969995563*$F$54</f>
        <v>0</v>
      </c>
      <c r="P277">
        <v>989886.59780163888</v>
      </c>
      <c r="Q277">
        <v>-12080.589561438457</v>
      </c>
      <c r="R277">
        <v>354014.66690125869</v>
      </c>
      <c r="S277">
        <v>709500.25760667864</v>
      </c>
      <c r="T277">
        <v>6.8873650440016529E-7</v>
      </c>
      <c r="U277">
        <v>3.110989950547452E-11</v>
      </c>
      <c r="V277">
        <v>2.219024884291853E-9</v>
      </c>
      <c r="W277">
        <v>1.3508296537135393E-7</v>
      </c>
      <c r="X277">
        <v>4.9534136024506426E-6</v>
      </c>
      <c r="Y277">
        <v>1.2851603935018247E-6</v>
      </c>
      <c r="Z277">
        <v>0.65428999907495622</v>
      </c>
      <c r="AA277">
        <v>6.99025868663328E-2</v>
      </c>
      <c r="AB277">
        <v>10.172325969995564</v>
      </c>
      <c r="AD277">
        <v>0.85616079574282233</v>
      </c>
      <c r="AE277">
        <v>0.3157792104398135</v>
      </c>
      <c r="AF277">
        <v>1.2003756213694514</v>
      </c>
      <c r="AG277">
        <v>2314801.5800249409</v>
      </c>
    </row>
    <row r="278" spans="2:33" ht="12.75" hidden="1" customHeight="1">
      <c r="B278">
        <f>-0.213627795233946*$F$42</f>
        <v>0</v>
      </c>
      <c r="C278">
        <f>0.2494901272287*$F$43</f>
        <v>0</v>
      </c>
      <c r="D278">
        <f>1.02326513246437*$F$44</f>
        <v>0</v>
      </c>
      <c r="E278">
        <f>-0.180681388944943*$F$45</f>
        <v>0</v>
      </c>
      <c r="F278">
        <f>-0.189643489626043*$F$46</f>
        <v>0</v>
      </c>
      <c r="G278">
        <f>0.719111388754164*$F$47</f>
        <v>0</v>
      </c>
      <c r="H278">
        <f>-0.023902537674745*$F$48</f>
        <v>0</v>
      </c>
      <c r="I278">
        <f>-0.666520156100824*$F$49</f>
        <v>0</v>
      </c>
      <c r="J278">
        <f>-0.208805995367143*$F$50</f>
        <v>0</v>
      </c>
      <c r="K278">
        <f>-0.121407865172635*$F$51</f>
        <v>0</v>
      </c>
      <c r="L278">
        <f>0.616231806586563*$F$52</f>
        <v>0</v>
      </c>
      <c r="M278">
        <f>-0.136732664208944*$F$53</f>
        <v>0</v>
      </c>
      <c r="N278">
        <f>-0.205232659470962*$F$54</f>
        <v>0</v>
      </c>
      <c r="P278">
        <v>941606.76241843519</v>
      </c>
      <c r="Q278">
        <v>-13119.347362852735</v>
      </c>
      <c r="R278">
        <v>390702.50219156191</v>
      </c>
      <c r="S278">
        <v>710752.13621645432</v>
      </c>
      <c r="T278">
        <v>6.8672495572617694E-7</v>
      </c>
      <c r="U278">
        <v>3.3229245305137908E-11</v>
      </c>
      <c r="V278">
        <v>2.2945024163348085E-9</v>
      </c>
      <c r="W278">
        <v>1.2133523797068928E-7</v>
      </c>
      <c r="X278">
        <v>4.8955970023164288E-6</v>
      </c>
      <c r="Y278">
        <v>1.2200061286511796E-6</v>
      </c>
      <c r="Z278">
        <v>0.74313622646105937</v>
      </c>
      <c r="AA278">
        <v>6.9042871350537396E-2</v>
      </c>
      <c r="AB278">
        <v>9.7947673405290381</v>
      </c>
      <c r="AD278">
        <v>1.0178231368538497</v>
      </c>
      <c r="AE278">
        <v>0.28822855680425097</v>
      </c>
      <c r="AF278">
        <v>1.0109024148444263</v>
      </c>
      <c r="AG278">
        <v>2096684.2625452389</v>
      </c>
    </row>
    <row r="279" spans="2:33" ht="12.75" hidden="1" customHeight="1">
      <c r="B279">
        <f>-0.573326940401484*$F$42</f>
        <v>0</v>
      </c>
      <c r="C279">
        <f>-0.169705672039603*$F$43</f>
        <v>0</v>
      </c>
      <c r="D279">
        <f>-0.203059451944699*$F$44</f>
        <v>0</v>
      </c>
      <c r="E279">
        <f>-0.241063612129731*$F$45</f>
        <v>0</v>
      </c>
      <c r="F279">
        <f>-0.448045225993745*$F$46</f>
        <v>0</v>
      </c>
      <c r="G279">
        <f>-0.493029264723073*$F$47</f>
        <v>0</v>
      </c>
      <c r="H279">
        <f>-0.538721411684888*$F$48</f>
        <v>0</v>
      </c>
      <c r="I279">
        <f>-0.450690414929578*$F$49</f>
        <v>0</v>
      </c>
      <c r="J279">
        <f>-0.144656581554049*$F$50</f>
        <v>0</v>
      </c>
      <c r="K279">
        <f>-0.306785964337682*$F$51</f>
        <v>0</v>
      </c>
      <c r="L279">
        <f>0.135214131027341*$F$52</f>
        <v>0</v>
      </c>
      <c r="M279">
        <f>-0.116153001176362*$F$53</f>
        <v>0</v>
      </c>
      <c r="N279">
        <f>-0.0262440117614655*$F$54</f>
        <v>0</v>
      </c>
      <c r="P279">
        <v>906997.90630309796</v>
      </c>
      <c r="Q279">
        <v>-12582.776739789308</v>
      </c>
      <c r="R279">
        <v>347237.33303613798</v>
      </c>
      <c r="S279">
        <v>706381.4873132027</v>
      </c>
      <c r="T279">
        <v>6.6863683418043786E-7</v>
      </c>
      <c r="U279">
        <v>2.9471609279358475E-11</v>
      </c>
      <c r="V279">
        <v>2.1760940753124755E-9</v>
      </c>
      <c r="W279">
        <v>1.241410246059155E-7</v>
      </c>
      <c r="X279">
        <v>4.9276717092229755E-6</v>
      </c>
      <c r="Y279">
        <v>1.1971119334042962E-6</v>
      </c>
      <c r="Z279">
        <v>0.70946498917191381</v>
      </c>
      <c r="AA279">
        <v>6.918692899176547E-2</v>
      </c>
      <c r="AB279">
        <v>9.9737559882385334</v>
      </c>
      <c r="AD279">
        <v>1.118453980389958</v>
      </c>
      <c r="AE279">
        <v>0.34790216790108508</v>
      </c>
      <c r="AF279">
        <v>0.91587431769254646</v>
      </c>
      <c r="AG279">
        <v>2456799.848972281</v>
      </c>
    </row>
    <row r="280" spans="2:33" ht="12.75" hidden="1" customHeight="1">
      <c r="B280">
        <f>-0.249276328835813*$F$42</f>
        <v>0</v>
      </c>
      <c r="C280">
        <f>0.376510504803615*$F$43</f>
        <v>0</v>
      </c>
      <c r="D280">
        <f>0.388103228761943*$F$44</f>
        <v>0</v>
      </c>
      <c r="E280">
        <f>-0.343595919575225*$F$45</f>
        <v>0</v>
      </c>
      <c r="F280">
        <f>0.259857301795207*$F$46</f>
        <v>0</v>
      </c>
      <c r="G280">
        <f>0.166186090021841*$F$47</f>
        <v>0</v>
      </c>
      <c r="H280">
        <f>0.49480064134711*$F$48</f>
        <v>0</v>
      </c>
      <c r="I280">
        <f>0.0409643876728238*$F$49</f>
        <v>0</v>
      </c>
      <c r="J280">
        <f>-0.049187307786846*$F$50</f>
        <v>0</v>
      </c>
      <c r="K280">
        <f>-0.430601630896636*$F$51</f>
        <v>0</v>
      </c>
      <c r="L280">
        <f>0.331996539635334*$F$52</f>
        <v>0</v>
      </c>
      <c r="M280">
        <f>0.45654586434924*$F$53</f>
        <v>0</v>
      </c>
      <c r="N280">
        <f>-0.104320543993145*$F$54</f>
        <v>0</v>
      </c>
      <c r="P280">
        <v>938176.7988315738</v>
      </c>
      <c r="Q280">
        <v>-13281.933446148629</v>
      </c>
      <c r="R280">
        <v>368190.17557225149</v>
      </c>
      <c r="S280">
        <v>698959.88715593307</v>
      </c>
      <c r="T280">
        <v>7.1819001112566447E-7</v>
      </c>
      <c r="U280">
        <v>3.1515176879067706E-11</v>
      </c>
      <c r="V280">
        <v>2.4138041475098354E-9</v>
      </c>
      <c r="W280">
        <v>1.3053253703974671E-7</v>
      </c>
      <c r="X280">
        <v>4.9754063461065768E-6</v>
      </c>
      <c r="Y280">
        <v>1.1818206985842655E-6</v>
      </c>
      <c r="Z280">
        <v>0.72323975777447325</v>
      </c>
      <c r="AA280">
        <v>7.3195821050444684E-2</v>
      </c>
      <c r="AB280">
        <v>9.8956794560068548</v>
      </c>
      <c r="AD280">
        <v>0.99957610887980863</v>
      </c>
      <c r="AE280">
        <v>0.30207307590000809</v>
      </c>
      <c r="AF280">
        <v>1.0288107961147799</v>
      </c>
      <c r="AG280">
        <v>2182921.3262675302</v>
      </c>
    </row>
    <row r="281" spans="2:33" ht="12.75" hidden="1" customHeight="1">
      <c r="B281">
        <f>0.361875794261663*$F$42</f>
        <v>0</v>
      </c>
      <c r="C281">
        <f>0.0659824833035801*$F$43</f>
        <v>0</v>
      </c>
      <c r="D281">
        <f>-0.387176676198096*$F$44</f>
        <v>0</v>
      </c>
      <c r="E281">
        <f>-0.0873460615964471*$F$45</f>
        <v>0</v>
      </c>
      <c r="F281">
        <f>-0.225903219520462*$F$46</f>
        <v>0</v>
      </c>
      <c r="G281">
        <f>-0.0944702914972465*$F$47</f>
        <v>0</v>
      </c>
      <c r="H281">
        <f>-0.230823863768281*$F$48</f>
        <v>0</v>
      </c>
      <c r="I281">
        <f>-0.0500122606868823*$F$49</f>
        <v>0</v>
      </c>
      <c r="J281">
        <f>-0.366842715089292*$F$50</f>
        <v>0</v>
      </c>
      <c r="K281">
        <f>-0.563228622304124*$F$51</f>
        <v>0</v>
      </c>
      <c r="L281">
        <f>0.492947887518518*$F$52</f>
        <v>0</v>
      </c>
      <c r="M281">
        <f>0.0422332481774482*$F$53</f>
        <v>0</v>
      </c>
      <c r="N281">
        <f>-0.136470785041731*$F$54</f>
        <v>0</v>
      </c>
      <c r="P281">
        <v>996979.48484577553</v>
      </c>
      <c r="Q281">
        <v>-12884.457578628582</v>
      </c>
      <c r="R281">
        <v>340711.58414522972</v>
      </c>
      <c r="S281">
        <v>717508.03099134425</v>
      </c>
      <c r="T281">
        <v>6.8418677463356755E-7</v>
      </c>
      <c r="U281">
        <v>3.0707142096358542E-11</v>
      </c>
      <c r="V281">
        <v>2.2469105113332953E-9</v>
      </c>
      <c r="W281">
        <v>1.2934984061107054E-7</v>
      </c>
      <c r="X281">
        <v>4.8165786424553547E-6</v>
      </c>
      <c r="Y281">
        <v>1.1654412651454408E-6</v>
      </c>
      <c r="Z281">
        <v>0.73450635212629622</v>
      </c>
      <c r="AA281">
        <v>7.0295632737242139E-2</v>
      </c>
      <c r="AB281">
        <v>9.8635292149582696</v>
      </c>
      <c r="AD281">
        <v>1.1308757803151355</v>
      </c>
      <c r="AE281">
        <v>0.32519796350886659</v>
      </c>
      <c r="AF281">
        <v>0.90628860283422141</v>
      </c>
      <c r="AG281">
        <v>2536101.7853785711</v>
      </c>
    </row>
    <row r="282" spans="2:33" ht="12.75" hidden="1" customHeight="1">
      <c r="B282">
        <f>-1.20719921619922*$F$42</f>
        <v>0</v>
      </c>
      <c r="C282">
        <f>-0.228080774470298*$F$43</f>
        <v>0</v>
      </c>
      <c r="D282">
        <f>-0.395382418759518*$F$44</f>
        <v>0</v>
      </c>
      <c r="E282">
        <f>-0.55151199949687*$F$45</f>
        <v>0</v>
      </c>
      <c r="F282">
        <f>0.307421988853955*$F$46</f>
        <v>0</v>
      </c>
      <c r="G282">
        <f>0.184854590988195*$F$47</f>
        <v>0</v>
      </c>
      <c r="H282">
        <f>-0.170684652022586*$F$48</f>
        <v>0</v>
      </c>
      <c r="I282">
        <f>0.11695791076224*$F$49</f>
        <v>0</v>
      </c>
      <c r="J282">
        <f>0.133994293997527*$F$50</f>
        <v>0</v>
      </c>
      <c r="K282">
        <f>-0.145548971107062*$F$51</f>
        <v>0</v>
      </c>
      <c r="L282">
        <f>-0.300341257589479*$F$52</f>
        <v>0</v>
      </c>
      <c r="M282">
        <f>-0.122160654672657*$F$53</f>
        <v>0</v>
      </c>
      <c r="N282">
        <f>-0.949748873220208*$F$54</f>
        <v>0</v>
      </c>
      <c r="P282">
        <v>846009.17535026988</v>
      </c>
      <c r="Q282">
        <v>-12508.056608678018</v>
      </c>
      <c r="R282">
        <v>340420.74435206846</v>
      </c>
      <c r="S282">
        <v>683910.28913273755</v>
      </c>
      <c r="T282">
        <v>7.2151953921977682E-7</v>
      </c>
      <c r="U282">
        <v>3.1573049232063404E-11</v>
      </c>
      <c r="V282">
        <v>2.2607425300348054E-9</v>
      </c>
      <c r="W282">
        <v>1.3152045283990914E-7</v>
      </c>
      <c r="X282">
        <v>5.066997146998764E-6</v>
      </c>
      <c r="Y282">
        <v>1.2170247020682778E-6</v>
      </c>
      <c r="Z282">
        <v>0.67897611196873642</v>
      </c>
      <c r="AA282">
        <v>6.9144875417291404E-2</v>
      </c>
      <c r="AB282">
        <v>9.0502511267797914</v>
      </c>
      <c r="AD282">
        <v>1.0415679167606646</v>
      </c>
      <c r="AE282">
        <v>0.35644492238752518</v>
      </c>
      <c r="AF282">
        <v>0.9853471975441892</v>
      </c>
      <c r="AG282">
        <v>2334061.0430819532</v>
      </c>
    </row>
    <row r="283" spans="2:33" ht="12.75" hidden="1" customHeight="1">
      <c r="B283">
        <f>-0.105389453640391*$F$42</f>
        <v>0</v>
      </c>
      <c r="C283">
        <f>-0.350194976376394*$F$43</f>
        <v>0</v>
      </c>
      <c r="D283">
        <f>0.161235176168742*$F$44</f>
        <v>0</v>
      </c>
      <c r="E283">
        <f>-0.00646481777919638*$F$45</f>
        <v>0</v>
      </c>
      <c r="F283">
        <f>0.781961579251033*$F$46</f>
        <v>0</v>
      </c>
      <c r="G283">
        <f>0.506687376964616*$F$47</f>
        <v>0</v>
      </c>
      <c r="H283">
        <f>-0.0948296000262462*$F$48</f>
        <v>0</v>
      </c>
      <c r="I283">
        <f>0.0287402048205402*$F$49</f>
        <v>0</v>
      </c>
      <c r="J283">
        <f>0.603699441619039*$F$50</f>
        <v>0</v>
      </c>
      <c r="K283">
        <f>0.231250850787982*$F$51</f>
        <v>0</v>
      </c>
      <c r="L283">
        <f>0.216007768941301*$F$52</f>
        <v>0</v>
      </c>
      <c r="M283">
        <f>0.232592900994106*$F$53</f>
        <v>0</v>
      </c>
      <c r="N283">
        <f>-0.446472643676674*$F$54</f>
        <v>0</v>
      </c>
      <c r="P283">
        <v>952021.03568180162</v>
      </c>
      <c r="Q283">
        <v>-12351.750430238215</v>
      </c>
      <c r="R283">
        <v>360149.19000669115</v>
      </c>
      <c r="S283">
        <v>723362.46133422304</v>
      </c>
      <c r="T283">
        <v>7.5473731054757237E-7</v>
      </c>
      <c r="U283">
        <v>3.2570730868590313E-11</v>
      </c>
      <c r="V283">
        <v>2.2781891919939634E-9</v>
      </c>
      <c r="W283">
        <v>1.3037362266266702E-7</v>
      </c>
      <c r="X283">
        <v>5.3018497208095201E-6</v>
      </c>
      <c r="Y283">
        <v>1.2635594800723159E-6</v>
      </c>
      <c r="Z283">
        <v>0.71512054382589108</v>
      </c>
      <c r="AA283">
        <v>7.1628150306958752E-2</v>
      </c>
      <c r="AB283">
        <v>9.5535273563233254</v>
      </c>
      <c r="AD283">
        <v>1.0681592255385122</v>
      </c>
      <c r="AE283">
        <v>0.32858864899858514</v>
      </c>
      <c r="AF283">
        <v>0.96091770792697884</v>
      </c>
      <c r="AG283">
        <v>2432177.3351820605</v>
      </c>
    </row>
    <row r="284" spans="2:33" ht="12.75" hidden="1" customHeight="1">
      <c r="B284">
        <f>-0.0554833075679878*$F$42</f>
        <v>0</v>
      </c>
      <c r="C284">
        <f>-0.301866826312098*$F$43</f>
        <v>0</v>
      </c>
      <c r="D284">
        <f>-0.0298331622334307*$F$44</f>
        <v>0</v>
      </c>
      <c r="E284">
        <f>-0.856255907721387*$F$45</f>
        <v>0</v>
      </c>
      <c r="F284">
        <f>0.289908824479983*$F$46</f>
        <v>0</v>
      </c>
      <c r="G284">
        <f>0.589562669474026*$F$47</f>
        <v>0</v>
      </c>
      <c r="H284">
        <f>0.222941492058229*$F$48</f>
        <v>0</v>
      </c>
      <c r="I284">
        <f>0.159484971586672*$F$49</f>
        <v>0</v>
      </c>
      <c r="J284">
        <f>-0.430539577641836*$F$50</f>
        <v>0</v>
      </c>
      <c r="K284">
        <f>-0.524607174509093*$F$51</f>
        <v>0</v>
      </c>
      <c r="L284">
        <f>0.348876547439799*$F$52</f>
        <v>0</v>
      </c>
      <c r="M284">
        <f>-0.312905877633628*$F$53</f>
        <v>0</v>
      </c>
      <c r="N284">
        <f>-0.329975782469046*$F$54</f>
        <v>0</v>
      </c>
      <c r="P284">
        <v>956822.81142104161</v>
      </c>
      <c r="Q284">
        <v>-12413.610462320514</v>
      </c>
      <c r="R284">
        <v>353377.0696769841</v>
      </c>
      <c r="S284">
        <v>661851.99849679961</v>
      </c>
      <c r="T284">
        <v>7.2029361771359873E-7</v>
      </c>
      <c r="U284">
        <v>3.2827644275369487E-11</v>
      </c>
      <c r="V284">
        <v>2.3512765431733925E-9</v>
      </c>
      <c r="W284">
        <v>1.3207330463062673E-7</v>
      </c>
      <c r="X284">
        <v>4.7847302111790819E-6</v>
      </c>
      <c r="Y284">
        <v>1.170211013948127E-6</v>
      </c>
      <c r="Z284">
        <v>0.7244213583207858</v>
      </c>
      <c r="AA284">
        <v>6.7809658856564606E-2</v>
      </c>
      <c r="AB284">
        <v>9.670024217530953</v>
      </c>
      <c r="AD284">
        <v>0.8915574541214869</v>
      </c>
      <c r="AE284">
        <v>0.27217005733706257</v>
      </c>
      <c r="AF284">
        <v>1.1558010433113588</v>
      </c>
      <c r="AG284">
        <v>1972084.1143861073</v>
      </c>
    </row>
    <row r="285" spans="2:33" ht="12.75" hidden="1" customHeight="1">
      <c r="B285">
        <f>-0.484073567010783*$F$42</f>
        <v>0</v>
      </c>
      <c r="C285">
        <f>-0.269834165230236*$F$43</f>
        <v>0</v>
      </c>
      <c r="D285">
        <f>0.205227400970862*$F$44</f>
        <v>0</v>
      </c>
      <c r="E285">
        <f>-0.0428552048227779*$F$45</f>
        <v>0</v>
      </c>
      <c r="F285">
        <f>0.0895275838902556*$F$46</f>
        <v>0</v>
      </c>
      <c r="G285">
        <f>-0.0606706282683296*$F$47</f>
        <v>0</v>
      </c>
      <c r="H285">
        <f>-0.122120782448456*$F$48</f>
        <v>0</v>
      </c>
      <c r="I285">
        <f>0.228320466291226*$F$49</f>
        <v>0</v>
      </c>
      <c r="J285">
        <f>-0.409352170648909*$F$50</f>
        <v>0</v>
      </c>
      <c r="K285">
        <f>0.480494720707387*$F$51</f>
        <v>0</v>
      </c>
      <c r="L285">
        <f>0.213339035013622*$F$52</f>
        <v>0</v>
      </c>
      <c r="M285">
        <f>-0.0822693387416785*$F$53</f>
        <v>0</v>
      </c>
      <c r="N285">
        <f>-0.455926477664786*$F$54</f>
        <v>0</v>
      </c>
      <c r="P285">
        <v>915585.51958766242</v>
      </c>
      <c r="Q285">
        <v>-12454.612268505298</v>
      </c>
      <c r="R285">
        <v>361708.42604978901</v>
      </c>
      <c r="S285">
        <v>720728.41447685251</v>
      </c>
      <c r="T285">
        <v>7.0626693087231796E-7</v>
      </c>
      <c r="U285">
        <v>3.0811921052368177E-11</v>
      </c>
      <c r="V285">
        <v>2.2719122200368549E-9</v>
      </c>
      <c r="W285">
        <v>1.3296816606178591E-7</v>
      </c>
      <c r="X285">
        <v>4.7953239146755458E-6</v>
      </c>
      <c r="Y285">
        <v>1.2943410980073625E-6</v>
      </c>
      <c r="Z285">
        <v>0.71493373245095349</v>
      </c>
      <c r="AA285">
        <v>6.9424114628808264E-2</v>
      </c>
      <c r="AB285">
        <v>9.5440735223352142</v>
      </c>
      <c r="AD285">
        <v>1.1107037521483836</v>
      </c>
      <c r="AE285">
        <v>0.34039165169503216</v>
      </c>
      <c r="AF285">
        <v>0.92281416843019404</v>
      </c>
      <c r="AG285">
        <v>2432472.432628992</v>
      </c>
    </row>
    <row r="286" spans="2:33" ht="12.75" hidden="1" customHeight="1">
      <c r="B286">
        <f>0.161290591513712*$F$42</f>
        <v>0</v>
      </c>
      <c r="C286">
        <f>0.251615158259424*$F$43</f>
        <v>0</v>
      </c>
      <c r="D286">
        <f>0.278518617082577*$F$44</f>
        <v>0</v>
      </c>
      <c r="E286">
        <f>-0.415339188673237*$F$45</f>
        <v>0</v>
      </c>
      <c r="F286">
        <f>0.0679635511431622*$F$46</f>
        <v>0</v>
      </c>
      <c r="G286">
        <f>-0.536732022668547*$F$47</f>
        <v>0</v>
      </c>
      <c r="H286">
        <f>-0.114504893559874*$F$48</f>
        <v>0</v>
      </c>
      <c r="I286">
        <f>-0.283021713205143*$F$49</f>
        <v>0</v>
      </c>
      <c r="J286">
        <f>0.230730499577368*$F$50</f>
        <v>0</v>
      </c>
      <c r="K286">
        <f>-0.10605385820469*$F$51</f>
        <v>0</v>
      </c>
      <c r="L286">
        <f>0.0587008852335871*$F$52</f>
        <v>0</v>
      </c>
      <c r="M286">
        <f>0.0803992133724449*$F$53</f>
        <v>0</v>
      </c>
      <c r="N286">
        <f>0.20294263034549*$F$54</f>
        <v>0</v>
      </c>
      <c r="P286">
        <v>977679.9549079542</v>
      </c>
      <c r="Q286">
        <v>-13122.067402572062</v>
      </c>
      <c r="R286">
        <v>364306.11930849298</v>
      </c>
      <c r="S286">
        <v>693766.89120678895</v>
      </c>
      <c r="T286">
        <v>7.0475744858002129E-7</v>
      </c>
      <c r="U286">
        <v>2.9336130729727506E-11</v>
      </c>
      <c r="V286">
        <v>2.2736638744812289E-9</v>
      </c>
      <c r="W286">
        <v>1.2632071772833315E-7</v>
      </c>
      <c r="X286">
        <v>5.115365249788684E-6</v>
      </c>
      <c r="Y286">
        <v>1.2219023485117209E-6</v>
      </c>
      <c r="Z286">
        <v>0.70410906196635104</v>
      </c>
      <c r="AA286">
        <v>7.0562794493607112E-2</v>
      </c>
      <c r="AB286">
        <v>10.20294263034549</v>
      </c>
      <c r="AD286">
        <v>0.90090368545715649</v>
      </c>
      <c r="AE286">
        <v>0.28912458063691621</v>
      </c>
      <c r="AF286">
        <v>1.1416341116664916</v>
      </c>
      <c r="AG286">
        <v>2119245.3714060634</v>
      </c>
    </row>
    <row r="287" spans="2:33" ht="12.75" hidden="1" customHeight="1">
      <c r="B287">
        <f>0.328872426384092*$F$42</f>
        <v>0</v>
      </c>
      <c r="C287">
        <f>0.139331825237328*$F$43</f>
        <v>0</v>
      </c>
      <c r="D287">
        <f>0.0190708537321135*$F$44</f>
        <v>0</v>
      </c>
      <c r="E287">
        <f>-0.272095077611733*$F$45</f>
        <v>0</v>
      </c>
      <c r="F287">
        <f>-0.279859228360975*$F$46</f>
        <v>0</v>
      </c>
      <c r="G287">
        <f>-0.179319289736918*$F$47</f>
        <v>0</v>
      </c>
      <c r="H287">
        <f>0.0840665378330631*$F$48</f>
        <v>0</v>
      </c>
      <c r="I287">
        <f>-0.255509969641894*$F$49</f>
        <v>0</v>
      </c>
      <c r="J287">
        <f>-0.0726225887320511*$F$50</f>
        <v>0</v>
      </c>
      <c r="K287">
        <f>0.41623553898877*$F$51</f>
        <v>0</v>
      </c>
      <c r="L287">
        <f>0.113806440854329*$F$52</f>
        <v>0</v>
      </c>
      <c r="M287">
        <f>-0.536024853140414*$F$53</f>
        <v>0</v>
      </c>
      <c r="N287">
        <f>-0.0178483136132146*$F$54</f>
        <v>0</v>
      </c>
      <c r="P287">
        <v>993804.02884166292</v>
      </c>
      <c r="Q287">
        <v>-12978.344736303779</v>
      </c>
      <c r="R287">
        <v>355110.39652482362</v>
      </c>
      <c r="S287">
        <v>704135.335491993</v>
      </c>
      <c r="T287">
        <v>6.8040985401473175E-7</v>
      </c>
      <c r="U287">
        <v>3.0444110201815559E-11</v>
      </c>
      <c r="V287">
        <v>2.3193353037016044E-9</v>
      </c>
      <c r="W287">
        <v>1.2667837039465537E-7</v>
      </c>
      <c r="X287">
        <v>4.963688705633975E-6</v>
      </c>
      <c r="Y287">
        <v>1.2864050890651131E-6</v>
      </c>
      <c r="Z287">
        <v>0.70796645085980303</v>
      </c>
      <c r="AA287">
        <v>6.6247826028017112E-2</v>
      </c>
      <c r="AB287">
        <v>9.9821516863867856</v>
      </c>
      <c r="AD287">
        <v>0.96048528710689318</v>
      </c>
      <c r="AE287">
        <v>0.30463155226976524</v>
      </c>
      <c r="AF287">
        <v>1.0703084635216513</v>
      </c>
      <c r="AG287">
        <v>2308213.5252353535</v>
      </c>
    </row>
    <row r="288" spans="2:33" ht="12.75" hidden="1" customHeight="1">
      <c r="B288">
        <f>-0.430137659212817*$F$42</f>
        <v>0</v>
      </c>
      <c r="C288">
        <f>-0.0439527547501542*$F$43</f>
        <v>0</v>
      </c>
      <c r="D288">
        <f>-0.204617804273783*$F$44</f>
        <v>0</v>
      </c>
      <c r="E288">
        <f>0.216749858744941*$F$45</f>
        <v>0</v>
      </c>
      <c r="F288">
        <f>0.105504090821758*$F$46</f>
        <v>0</v>
      </c>
      <c r="G288">
        <f>-0.243947599965842*$F$47</f>
        <v>0</v>
      </c>
      <c r="H288">
        <f>0.775977061447072*$F$48</f>
        <v>0</v>
      </c>
      <c r="I288">
        <f>0.268259240043992*$F$49</f>
        <v>0</v>
      </c>
      <c r="J288">
        <f>0.0552717810367897*$F$50</f>
        <v>0</v>
      </c>
      <c r="K288">
        <f>0.380327441458724*$F$51</f>
        <v>0</v>
      </c>
      <c r="L288">
        <f>-0.0928635310812828*$F$52</f>
        <v>0</v>
      </c>
      <c r="M288">
        <f>-0.3002437142551*$F$53</f>
        <v>0</v>
      </c>
      <c r="N288">
        <f>0.619554587991352*$F$54</f>
        <v>0</v>
      </c>
      <c r="P288">
        <v>920775.02336466045</v>
      </c>
      <c r="Q288">
        <v>-12743.740473919803</v>
      </c>
      <c r="R288">
        <v>347182.09965955192</v>
      </c>
      <c r="S288">
        <v>739519.4182941264</v>
      </c>
      <c r="T288">
        <v>7.0738528635752296E-7</v>
      </c>
      <c r="U288">
        <v>3.0243762440105888E-11</v>
      </c>
      <c r="V288">
        <v>2.4784747241328267E-9</v>
      </c>
      <c r="W288">
        <v>1.3348737012057189E-7</v>
      </c>
      <c r="X288">
        <v>5.0276358905183955E-6</v>
      </c>
      <c r="Y288">
        <v>1.2819704390201524E-6</v>
      </c>
      <c r="Z288">
        <v>0.69349955282431019</v>
      </c>
      <c r="AA288">
        <v>6.7898294000214313E-2</v>
      </c>
      <c r="AB288">
        <v>10.619554587991351</v>
      </c>
      <c r="AD288">
        <v>1.1834546586319217</v>
      </c>
      <c r="AE288">
        <v>0.38234211664860596</v>
      </c>
      <c r="AF288">
        <v>0.86343599114438474</v>
      </c>
      <c r="AG288">
        <v>2725355.0049550273</v>
      </c>
    </row>
    <row r="289" spans="2:33" ht="12.75" hidden="1" customHeight="1">
      <c r="B289">
        <f>-0.310466341365554*$F$42</f>
        <v>0</v>
      </c>
      <c r="C289">
        <f>0.147871206153808*$F$43</f>
        <v>0</v>
      </c>
      <c r="D289">
        <f>0.705518202277308*$F$44</f>
        <v>0</v>
      </c>
      <c r="E289">
        <f>-0.270740478799397*$F$45</f>
        <v>0</v>
      </c>
      <c r="F289">
        <f>-0.62193179805897*$F$46</f>
        <v>0</v>
      </c>
      <c r="G289">
        <f>-0.249221045059184*$F$47</f>
        <v>0</v>
      </c>
      <c r="H289">
        <f>0.107013702658264*$F$48</f>
        <v>0</v>
      </c>
      <c r="I289">
        <f>-0.12713460260175*$F$49</f>
        <v>0</v>
      </c>
      <c r="J289">
        <f>0.185725901276415*$F$50</f>
        <v>0</v>
      </c>
      <c r="K289">
        <f>-0.199980876790285*$F$51</f>
        <v>0</v>
      </c>
      <c r="L289">
        <f>-0.093092460656393*$F$52</f>
        <v>0</v>
      </c>
      <c r="M289">
        <f>-0.0247448906453496*$F$53</f>
        <v>0</v>
      </c>
      <c r="N289">
        <f>-0.480225704314239*$F$54</f>
        <v>0</v>
      </c>
      <c r="P289">
        <v>932289.3332432108</v>
      </c>
      <c r="Q289">
        <v>-12989.275143876876</v>
      </c>
      <c r="R289">
        <v>379440.45603772707</v>
      </c>
      <c r="S289">
        <v>704233.38547261991</v>
      </c>
      <c r="T289">
        <v>6.5646477413587202E-7</v>
      </c>
      <c r="U289">
        <v>3.0227414760316536E-11</v>
      </c>
      <c r="V289">
        <v>2.3246131516114004E-9</v>
      </c>
      <c r="W289">
        <v>1.2834725016617726E-7</v>
      </c>
      <c r="X289">
        <v>5.0928629506382076E-6</v>
      </c>
      <c r="Y289">
        <v>1.2103023617163998E-6</v>
      </c>
      <c r="Z289">
        <v>0.69348352775405242</v>
      </c>
      <c r="AA289">
        <v>6.9826785765482555E-2</v>
      </c>
      <c r="AB289">
        <v>9.5197742956857603</v>
      </c>
      <c r="AD289">
        <v>0.90082504537451302</v>
      </c>
      <c r="AE289">
        <v>0.3003114615316938</v>
      </c>
      <c r="AF289">
        <v>1.1422972969778902</v>
      </c>
      <c r="AG289">
        <v>2121459.3746593036</v>
      </c>
    </row>
    <row r="290" spans="2:33" ht="12.75" hidden="1" customHeight="1">
      <c r="B290">
        <f>0.0582877590341484*$F$42</f>
        <v>0</v>
      </c>
      <c r="C290">
        <f>-0.0133903892409489*$F$43</f>
        <v>0</v>
      </c>
      <c r="D290">
        <f>0.226073963889752*$F$44</f>
        <v>0</v>
      </c>
      <c r="E290">
        <f>0.154658959532184*$F$45</f>
        <v>0</v>
      </c>
      <c r="F290">
        <f>0.552602467397582*$F$46</f>
        <v>0</v>
      </c>
      <c r="G290">
        <f>0.390465085527782*$F$47</f>
        <v>0</v>
      </c>
      <c r="H290">
        <f>0.36860310886755*$F$48</f>
        <v>0</v>
      </c>
      <c r="I290">
        <f>-0.298076322590457*$F$49</f>
        <v>0</v>
      </c>
      <c r="J290">
        <f>-0.551803721450644*$F$50</f>
        <v>0</v>
      </c>
      <c r="K290">
        <f>-0.0307303967529055*$F$51</f>
        <v>0</v>
      </c>
      <c r="L290">
        <f>0.152308097277556*$F$52</f>
        <v>0</v>
      </c>
      <c r="M290">
        <f>-0.0196586066422592*$F$53</f>
        <v>0</v>
      </c>
      <c r="N290">
        <f>0.111465576197357*$F$54</f>
        <v>0</v>
      </c>
      <c r="P290">
        <v>967769.42201776057</v>
      </c>
      <c r="Q290">
        <v>-12782.860301771585</v>
      </c>
      <c r="R290">
        <v>362447.30007637094</v>
      </c>
      <c r="S290">
        <v>735025.09022482613</v>
      </c>
      <c r="T290">
        <v>7.3868217271783071E-7</v>
      </c>
      <c r="U290">
        <v>3.2210441765136128E-11</v>
      </c>
      <c r="V290">
        <v>2.3847787150395362E-9</v>
      </c>
      <c r="W290">
        <v>1.2612500780632407E-7</v>
      </c>
      <c r="X290">
        <v>4.7240981392746779E-6</v>
      </c>
      <c r="Y290">
        <v>1.2312047960010162E-6</v>
      </c>
      <c r="Z290">
        <v>0.71066156680942882</v>
      </c>
      <c r="AA290">
        <v>6.98623897535042E-2</v>
      </c>
      <c r="AB290">
        <v>10.111465576197356</v>
      </c>
      <c r="AD290">
        <v>1.0835860550959793</v>
      </c>
      <c r="AE290">
        <v>0.33518620060665449</v>
      </c>
      <c r="AF290">
        <v>0.94610463852432636</v>
      </c>
      <c r="AG290">
        <v>2496512.1692253244</v>
      </c>
    </row>
    <row r="291" spans="2:33" ht="12.75" hidden="1" customHeight="1">
      <c r="B291">
        <f>-0.127201618432436*$F$42</f>
        <v>0</v>
      </c>
      <c r="C291">
        <f>-0.000969093501247344*$F$43</f>
        <v>0</v>
      </c>
      <c r="D291">
        <f>-0.819593640533931*$F$44</f>
        <v>0</v>
      </c>
      <c r="E291">
        <f>-0.206109727323451*$F$45</f>
        <v>0</v>
      </c>
      <c r="F291">
        <f>-0.849632572482229*$F$46</f>
        <v>0</v>
      </c>
      <c r="G291">
        <f>-0.384960063565446*$F$47</f>
        <v>0</v>
      </c>
      <c r="H291">
        <f>-0.120164677733458*$F$48</f>
        <v>0</v>
      </c>
      <c r="I291">
        <f>-0.134624769594449*$F$49</f>
        <v>0</v>
      </c>
      <c r="J291">
        <f>-0.1982786502751*$F$50</f>
        <v>0</v>
      </c>
      <c r="K291">
        <f>0.426786716190255*$F$51</f>
        <v>0</v>
      </c>
      <c r="L291">
        <f>0.237419320360912*$F$52</f>
        <v>0</v>
      </c>
      <c r="M291">
        <f>-0.17760492995328*$F$53</f>
        <v>0</v>
      </c>
      <c r="N291">
        <f>0.327220171486548*$F$54</f>
        <v>0</v>
      </c>
      <c r="P291">
        <v>949922.35381671041</v>
      </c>
      <c r="Q291">
        <v>-12798.759560318404</v>
      </c>
      <c r="R291">
        <v>325385.23683108139</v>
      </c>
      <c r="S291">
        <v>708911.55577102385</v>
      </c>
      <c r="T291">
        <v>6.4052571992624394E-7</v>
      </c>
      <c r="U291">
        <v>2.9806623802947123E-11</v>
      </c>
      <c r="V291">
        <v>2.2723621241213047E-9</v>
      </c>
      <c r="W291">
        <v>1.2824987799527216E-7</v>
      </c>
      <c r="X291">
        <v>4.90086067486245E-6</v>
      </c>
      <c r="Y291">
        <v>1.2877081594494965E-6</v>
      </c>
      <c r="Z291">
        <v>0.71661935242526376</v>
      </c>
      <c r="AA291">
        <v>6.875676549032704E-2</v>
      </c>
      <c r="AB291">
        <v>10.327220171486548</v>
      </c>
      <c r="AD291">
        <v>1.1778174335849736</v>
      </c>
      <c r="AE291">
        <v>0.35499956124088716</v>
      </c>
      <c r="AF291">
        <v>0.86825815274548024</v>
      </c>
      <c r="AG291">
        <v>2618253.5472291564</v>
      </c>
    </row>
    <row r="292" spans="2:33" ht="12.75" hidden="1" customHeight="1">
      <c r="B292">
        <f>0.317543225375883*$F$42</f>
        <v>0</v>
      </c>
      <c r="C292">
        <f>0.590554886005182*$F$43</f>
        <v>0</v>
      </c>
      <c r="D292">
        <f>-0.0695826753341175*$F$44</f>
        <v>0</v>
      </c>
      <c r="E292">
        <f>0.0656641382647105*$F$45</f>
        <v>0</v>
      </c>
      <c r="F292">
        <f>-0.224762977092923*$F$46</f>
        <v>0</v>
      </c>
      <c r="G292">
        <f>-0.0536166955215617*$F$47</f>
        <v>0</v>
      </c>
      <c r="H292">
        <f>-0.89433974303376*$F$48</f>
        <v>0</v>
      </c>
      <c r="I292">
        <f>0.0499358839169911*$F$49</f>
        <v>0</v>
      </c>
      <c r="J292">
        <f>-0.0861562562862452*$F$50</f>
        <v>0</v>
      </c>
      <c r="K292">
        <f>0.106489092001029*$F$51</f>
        <v>0</v>
      </c>
      <c r="L292">
        <f>0.352024566809277*$F$52</f>
        <v>0</v>
      </c>
      <c r="M292">
        <f>-0.259385978801685*$F$53</f>
        <v>0</v>
      </c>
      <c r="N292">
        <f>-0.555336177293476*$F$54</f>
        <v>0</v>
      </c>
      <c r="P292">
        <v>992713.97707795294</v>
      </c>
      <c r="Q292">
        <v>-13555.910254086632</v>
      </c>
      <c r="R292">
        <v>351968.2099568639</v>
      </c>
      <c r="S292">
        <v>728583.37447717274</v>
      </c>
      <c r="T292">
        <v>6.842665916034954E-7</v>
      </c>
      <c r="U292">
        <v>3.083378824388316E-11</v>
      </c>
      <c r="V292">
        <v>2.0943018591022354E-9</v>
      </c>
      <c r="W292">
        <v>1.3064916649092088E-7</v>
      </c>
      <c r="X292">
        <v>4.9569218718568782E-6</v>
      </c>
      <c r="Y292">
        <v>1.2481514028621271E-6</v>
      </c>
      <c r="Z292">
        <v>0.72464171967664937</v>
      </c>
      <c r="AA292">
        <v>6.8184298148388209E-2</v>
      </c>
      <c r="AB292">
        <v>9.4446638227065236</v>
      </c>
      <c r="AD292">
        <v>1.0964434886234504</v>
      </c>
      <c r="AE292">
        <v>0.32662613124579054</v>
      </c>
      <c r="AF292">
        <v>0.93554182325257629</v>
      </c>
      <c r="AG292">
        <v>2529670.9377231076</v>
      </c>
    </row>
    <row r="293" spans="2:33" ht="12.75" hidden="1" customHeight="1">
      <c r="B293">
        <f>-0.301277326018888*$F$42</f>
        <v>0</v>
      </c>
      <c r="C293">
        <f>-0.096464109565115*$F$43</f>
        <v>0</v>
      </c>
      <c r="D293">
        <f>0.40845067667763*$F$44</f>
        <v>0</v>
      </c>
      <c r="E293">
        <f>0.189981822776146*$F$45</f>
        <v>0</v>
      </c>
      <c r="F293">
        <f>0.263817968639822*$F$46</f>
        <v>0</v>
      </c>
      <c r="G293">
        <f>0.0984931783562138*$F$47</f>
        <v>0</v>
      </c>
      <c r="H293">
        <f>0.157273614571671*$F$48</f>
        <v>0</v>
      </c>
      <c r="I293">
        <f>-0.352820548978653*$F$49</f>
        <v>0</v>
      </c>
      <c r="J293">
        <f>0.533219805154453*$F$50</f>
        <v>0</v>
      </c>
      <c r="K293">
        <f>0.0488661950983694*$F$51</f>
        <v>0</v>
      </c>
      <c r="L293">
        <f>-0.146196351416604*$F$52</f>
        <v>0</v>
      </c>
      <c r="M293">
        <f>-0.141940381717654*$F$53</f>
        <v>0</v>
      </c>
      <c r="N293">
        <f>0.628112040505115*$F$54</f>
        <v>0</v>
      </c>
      <c r="P293">
        <v>933173.4646464875</v>
      </c>
      <c r="Q293">
        <v>-12676.525939756651</v>
      </c>
      <c r="R293">
        <v>368911.35924318206</v>
      </c>
      <c r="S293">
        <v>737581.86646382732</v>
      </c>
      <c r="T293">
        <v>7.184672578047875E-7</v>
      </c>
      <c r="U293">
        <v>3.1305328852904266E-11</v>
      </c>
      <c r="V293">
        <v>2.3361729313514843E-9</v>
      </c>
      <c r="W293">
        <v>1.254133328632775E-7</v>
      </c>
      <c r="X293">
        <v>5.2666099025772269E-6</v>
      </c>
      <c r="Y293">
        <v>1.2410349750946487E-6</v>
      </c>
      <c r="Z293">
        <v>0.68976625540083769</v>
      </c>
      <c r="AA293">
        <v>6.9006417327976438E-2</v>
      </c>
      <c r="AB293">
        <v>10.628112040505115</v>
      </c>
      <c r="AD293">
        <v>1.0674218387317513</v>
      </c>
      <c r="AE293">
        <v>0.3513102120790918</v>
      </c>
      <c r="AF293">
        <v>0.96010219658445273</v>
      </c>
      <c r="AG293">
        <v>2506984.7432957762</v>
      </c>
    </row>
    <row r="294" spans="2:33" ht="12.75" hidden="1" customHeight="1">
      <c r="B294">
        <f>-0.304552775112259*$F$42</f>
        <v>0</v>
      </c>
      <c r="C294">
        <f>-0.0477574307259899*$F$43</f>
        <v>0</v>
      </c>
      <c r="D294">
        <f>-0.562509571555407*$F$44</f>
        <v>0</v>
      </c>
      <c r="E294">
        <f>-0.460043137158721*$F$45</f>
        <v>0</v>
      </c>
      <c r="F294">
        <f>0.033565019285165*$F$46</f>
        <v>0</v>
      </c>
      <c r="G294">
        <f>-0.048460858497986*$F$47</f>
        <v>0</v>
      </c>
      <c r="H294">
        <f>-0.239790483546002*$F$48</f>
        <v>0</v>
      </c>
      <c r="I294">
        <f>-0.360548685697459*$F$49</f>
        <v>0</v>
      </c>
      <c r="J294">
        <f>-0.755677889535107*$F$50</f>
        <v>0</v>
      </c>
      <c r="K294">
        <f>-0.524406219374599*$F$51</f>
        <v>0</v>
      </c>
      <c r="L294">
        <f>0.151518893829799*$F$52</f>
        <v>0</v>
      </c>
      <c r="M294">
        <f>0.438294529013119*$F$53</f>
        <v>0</v>
      </c>
      <c r="N294">
        <f>-0.584563704053116*$F$54</f>
        <v>0</v>
      </c>
      <c r="P294">
        <v>932858.31364346587</v>
      </c>
      <c r="Q294">
        <v>-12738.870488670733</v>
      </c>
      <c r="R294">
        <v>334497.18214097724</v>
      </c>
      <c r="S294">
        <v>690531.08349528478</v>
      </c>
      <c r="T294">
        <v>7.0234955134996151E-7</v>
      </c>
      <c r="U294">
        <v>3.0849771338656246E-11</v>
      </c>
      <c r="V294">
        <v>2.2448481887844194E-9</v>
      </c>
      <c r="W294">
        <v>1.2531286708593303E-7</v>
      </c>
      <c r="X294">
        <v>4.6221610552324473E-6</v>
      </c>
      <c r="Y294">
        <v>1.170235831907237E-6</v>
      </c>
      <c r="Z294">
        <v>0.71060632256808587</v>
      </c>
      <c r="AA294">
        <v>7.3068061703091838E-2</v>
      </c>
      <c r="AB294">
        <v>9.4154362959468845</v>
      </c>
      <c r="AD294">
        <v>1.0511538450599049</v>
      </c>
      <c r="AE294">
        <v>0.3284794563478744</v>
      </c>
      <c r="AF294">
        <v>0.97698708539731327</v>
      </c>
      <c r="AG294">
        <v>2380190.0198435611</v>
      </c>
    </row>
    <row r="295" spans="2:33" ht="12.75" hidden="1" customHeight="1">
      <c r="B295">
        <f>0.254687441339326*$F$42</f>
        <v>0</v>
      </c>
      <c r="C295">
        <f>-0.357759572438502*$F$43</f>
        <v>0</v>
      </c>
      <c r="D295">
        <f>0.0991873721088141*$F$44</f>
        <v>0</v>
      </c>
      <c r="E295">
        <f>0.23417971351642*$F$45</f>
        <v>0</v>
      </c>
      <c r="F295">
        <f>0.493013781136805*$F$46</f>
        <v>0</v>
      </c>
      <c r="G295">
        <f>-0.198125918418551*$F$47</f>
        <v>0</v>
      </c>
      <c r="H295">
        <f>-0.38857796097479*$F$48</f>
        <v>0</v>
      </c>
      <c r="I295">
        <f>-0.125584543921699*$F$49</f>
        <v>0</v>
      </c>
      <c r="J295">
        <f>-0.300983561515154*$F$50</f>
        <v>0</v>
      </c>
      <c r="K295">
        <f>-0.147698294978892*$F$51</f>
        <v>0</v>
      </c>
      <c r="L295">
        <f>0.128620579025989*$F$52</f>
        <v>0</v>
      </c>
      <c r="M295">
        <f>0.466515958272888*$F$53</f>
        <v>0</v>
      </c>
      <c r="N295">
        <f>-0.644869453610307*$F$54</f>
        <v>0</v>
      </c>
      <c r="P295">
        <v>986666.23741839745</v>
      </c>
      <c r="Q295">
        <v>-12342.067747278717</v>
      </c>
      <c r="R295">
        <v>357950.0020156203</v>
      </c>
      <c r="S295">
        <v>740781.04417708982</v>
      </c>
      <c r="T295">
        <v>7.3451096467957621E-7</v>
      </c>
      <c r="U295">
        <v>3.0385809652902494E-11</v>
      </c>
      <c r="V295">
        <v>2.2106270689757984E-9</v>
      </c>
      <c r="W295">
        <v>1.2836740092901792E-7</v>
      </c>
      <c r="X295">
        <v>4.8495082192424235E-6</v>
      </c>
      <c r="Y295">
        <v>1.2167592605701069E-6</v>
      </c>
      <c r="Z295">
        <v>0.70900344053181918</v>
      </c>
      <c r="AA295">
        <v>7.3265611707910225E-2</v>
      </c>
      <c r="AB295">
        <v>9.3551305463896934</v>
      </c>
      <c r="AD295">
        <v>1.0624638213448352</v>
      </c>
      <c r="AE295">
        <v>0.33327170744942036</v>
      </c>
      <c r="AF295">
        <v>0.96619778632052422</v>
      </c>
      <c r="AG295">
        <v>2558392.9150102213</v>
      </c>
    </row>
    <row r="296" spans="2:33" ht="12.75" hidden="1" customHeight="1">
      <c r="B296">
        <f>-0.36713479508877*$F$42</f>
        <v>0</v>
      </c>
      <c r="C296">
        <f>0.059582475746238*$F$43</f>
        <v>0</v>
      </c>
      <c r="D296">
        <f>-0.399188199670165*$F$44</f>
        <v>0</v>
      </c>
      <c r="E296">
        <f>0.463108962593686*$F$45</f>
        <v>0</v>
      </c>
      <c r="F296">
        <f>-0.380199416655508*$F$46</f>
        <v>0</v>
      </c>
      <c r="G296">
        <f>0.123472201921084*$F$47</f>
        <v>0</v>
      </c>
      <c r="H296">
        <f>-0.00531423872914389*$F$48</f>
        <v>0</v>
      </c>
      <c r="I296">
        <f>-0.114409193850481*$F$49</f>
        <v>0</v>
      </c>
      <c r="J296">
        <f>0.0197545927059446*$F$50</f>
        <v>0</v>
      </c>
      <c r="K296">
        <f>-0.404585307989106*$F$51</f>
        <v>0</v>
      </c>
      <c r="L296">
        <f>0.16202168304124*$F$52</f>
        <v>0</v>
      </c>
      <c r="M296">
        <f>0.0900576904159974*$F$53</f>
        <v>0</v>
      </c>
      <c r="N296">
        <f>-0.000738393977123743*$F$54</f>
        <v>0</v>
      </c>
      <c r="P296">
        <v>926836.9144995634</v>
      </c>
      <c r="Q296">
        <v>-12876.265568955185</v>
      </c>
      <c r="R296">
        <v>340285.85436196893</v>
      </c>
      <c r="S296">
        <v>757351.63927326142</v>
      </c>
      <c r="T296">
        <v>6.7338604083411438E-7</v>
      </c>
      <c r="U296">
        <v>3.1382763825955362E-11</v>
      </c>
      <c r="V296">
        <v>2.2987777250922967E-9</v>
      </c>
      <c r="W296">
        <v>1.2851268047994376E-7</v>
      </c>
      <c r="X296">
        <v>5.0098772963529729E-6</v>
      </c>
      <c r="Y296">
        <v>1.1850337144633454E-6</v>
      </c>
      <c r="Z296">
        <v>0.71134151781288679</v>
      </c>
      <c r="AA296">
        <v>7.0630403832911984E-2</v>
      </c>
      <c r="AB296">
        <v>9.9992616060228769</v>
      </c>
      <c r="AD296">
        <v>1.3128057966315747</v>
      </c>
      <c r="AE296">
        <v>0.40047408871974727</v>
      </c>
      <c r="AF296">
        <v>0.77684273452726083</v>
      </c>
      <c r="AG296">
        <v>2940683.9124945137</v>
      </c>
    </row>
    <row r="297" spans="2:33" ht="12.75" hidden="1" customHeight="1">
      <c r="B297">
        <f>0.0373596625370128*$F$42</f>
        <v>0</v>
      </c>
      <c r="C297">
        <f>-0.299475065290547*$F$43</f>
        <v>0</v>
      </c>
      <c r="D297">
        <f>-0.0551431730694476*$F$44</f>
        <v>0</v>
      </c>
      <c r="E297">
        <f>-0.76892181048822*$F$45</f>
        <v>0</v>
      </c>
      <c r="F297">
        <f>-0.401279958233506*$F$46</f>
        <v>0</v>
      </c>
      <c r="G297">
        <f>-0.492095771495902*$F$47</f>
        <v>0</v>
      </c>
      <c r="H297">
        <f>-0.350053546904455*$F$48</f>
        <v>0</v>
      </c>
      <c r="I297">
        <f>0.488392705919318*$F$49</f>
        <v>0</v>
      </c>
      <c r="J297">
        <f>-0.128103862049443*$F$50</f>
        <v>0</v>
      </c>
      <c r="K297">
        <f>0.149187821488081*$F$51</f>
        <v>0</v>
      </c>
      <c r="L297">
        <f>-0.0922344962144322*$F$52</f>
        <v>0</v>
      </c>
      <c r="M297">
        <f>0.13501211064579*$F$53</f>
        <v>0</v>
      </c>
      <c r="N297">
        <f>0.666924389037954*$F$54</f>
        <v>0</v>
      </c>
      <c r="P297">
        <v>965755.80177382077</v>
      </c>
      <c r="Q297">
        <v>-12416.6719164281</v>
      </c>
      <c r="R297">
        <v>352479.9956752889</v>
      </c>
      <c r="S297">
        <v>668173.50598950125</v>
      </c>
      <c r="T297">
        <v>6.7191040292365461E-7</v>
      </c>
      <c r="U297">
        <v>2.9474503108362707E-11</v>
      </c>
      <c r="V297">
        <v>2.2194876842119753E-9</v>
      </c>
      <c r="W297">
        <v>1.3634910517695115E-7</v>
      </c>
      <c r="X297">
        <v>4.9359480689752787E-6</v>
      </c>
      <c r="Y297">
        <v>1.2534246959537782E-6</v>
      </c>
      <c r="Z297">
        <v>0.69354358526498971</v>
      </c>
      <c r="AA297">
        <v>7.0945084774520537E-2</v>
      </c>
      <c r="AB297">
        <v>10.666924389037955</v>
      </c>
      <c r="AD297">
        <v>0.84914989487417403</v>
      </c>
      <c r="AE297">
        <v>0.28216206405710736</v>
      </c>
      <c r="AF297">
        <v>1.2118665870035317</v>
      </c>
      <c r="AG297">
        <v>2017533.2179567914</v>
      </c>
    </row>
    <row r="298" spans="2:33" ht="12.75" hidden="1" customHeight="1">
      <c r="B298">
        <f>-0.239377516095856*$F$42</f>
        <v>0</v>
      </c>
      <c r="C298">
        <f>-0.135686362558672*$F$43</f>
        <v>0</v>
      </c>
      <c r="D298">
        <f>-0.19759782864751*$F$44</f>
        <v>0</v>
      </c>
      <c r="E298">
        <f>0.0133397134691605*$F$45</f>
        <v>0</v>
      </c>
      <c r="F298">
        <f>-0.110367891731963*$F$46</f>
        <v>0</v>
      </c>
      <c r="G298">
        <f>0.0425755100162185*$F$47</f>
        <v>0</v>
      </c>
      <c r="H298">
        <f>0.152333704244419*$F$48</f>
        <v>0</v>
      </c>
      <c r="I298">
        <f>-0.217231335196323*$F$49</f>
        <v>0</v>
      </c>
      <c r="J298">
        <f>-0.0386811716593134*$F$50</f>
        <v>0</v>
      </c>
      <c r="K298">
        <f>-0.170642758569459*$F$51</f>
        <v>0</v>
      </c>
      <c r="L298">
        <f>-0.0616383401165373*$F$52</f>
        <v>0</v>
      </c>
      <c r="M298">
        <f>-0.229591984198769*$F$53</f>
        <v>0</v>
      </c>
      <c r="N298">
        <f>-0.0303548146320043*$F$54</f>
        <v>0</v>
      </c>
      <c r="P298">
        <v>939129.22418601916</v>
      </c>
      <c r="Q298">
        <v>-12626.321455924899</v>
      </c>
      <c r="R298">
        <v>347430.91178640816</v>
      </c>
      <c r="S298">
        <v>724795.97352066811</v>
      </c>
      <c r="T298">
        <v>6.9227424757876257E-7</v>
      </c>
      <c r="U298">
        <v>3.1131984081050279E-11</v>
      </c>
      <c r="V298">
        <v>2.335036751976216E-9</v>
      </c>
      <c r="W298">
        <v>1.2717599264244781E-7</v>
      </c>
      <c r="X298">
        <v>4.9806594141703434E-6</v>
      </c>
      <c r="Y298">
        <v>1.2139256193166717E-6</v>
      </c>
      <c r="Z298">
        <v>0.69568531619184237</v>
      </c>
      <c r="AA298">
        <v>6.8392856110608621E-2</v>
      </c>
      <c r="AB298">
        <v>9.9696451853679964</v>
      </c>
      <c r="AD298">
        <v>1.0944565087238707</v>
      </c>
      <c r="AE298">
        <v>0.35518496335899269</v>
      </c>
      <c r="AF298">
        <v>0.93621472960443208</v>
      </c>
      <c r="AG298">
        <v>2586331.784509616</v>
      </c>
    </row>
    <row r="299" spans="2:33" ht="12.75" hidden="1" customHeight="1">
      <c r="B299">
        <f>0.304812331858819*$F$42</f>
        <v>0</v>
      </c>
      <c r="C299">
        <f>0.184720875027896*$F$43</f>
        <v>0</v>
      </c>
      <c r="D299">
        <f>0.138998170590417*$F$44</f>
        <v>0</v>
      </c>
      <c r="E299">
        <f>0.0491483955389704*$F$45</f>
        <v>0</v>
      </c>
      <c r="F299">
        <f>-0.458111605207295*$F$46</f>
        <v>0</v>
      </c>
      <c r="G299">
        <f>-0.213746859162428*$F$47</f>
        <v>0</v>
      </c>
      <c r="H299">
        <f>-0.00995546289470933*$F$48</f>
        <v>0</v>
      </c>
      <c r="I299">
        <f>0.228468796085212*$F$49</f>
        <v>0</v>
      </c>
      <c r="J299">
        <f>-0.0463813951843736*$F$50</f>
        <v>0</v>
      </c>
      <c r="K299">
        <f>0.0501680601797563*$F$51</f>
        <v>0</v>
      </c>
      <c r="L299">
        <f>0.276190935924096*$F$52</f>
        <v>0</v>
      </c>
      <c r="M299">
        <f>-0.277596766112897*$F$53</f>
        <v>0</v>
      </c>
      <c r="N299">
        <f>-0.23279623136095*$F$54</f>
        <v>0</v>
      </c>
      <c r="P299">
        <v>991489.05989960791</v>
      </c>
      <c r="Q299">
        <v>-13036.442720035706</v>
      </c>
      <c r="R299">
        <v>359361.03390082804</v>
      </c>
      <c r="S299">
        <v>727387.91480339202</v>
      </c>
      <c r="T299">
        <v>6.6793218763548929E-7</v>
      </c>
      <c r="U299">
        <v>3.0337384736596475E-11</v>
      </c>
      <c r="V299">
        <v>2.2977102435342166E-9</v>
      </c>
      <c r="W299">
        <v>1.3297009434910776E-7</v>
      </c>
      <c r="X299">
        <v>4.9768093024078138E-6</v>
      </c>
      <c r="Y299">
        <v>1.2411957554321999E-6</v>
      </c>
      <c r="Z299">
        <v>0.71933336551468674</v>
      </c>
      <c r="AA299">
        <v>6.8056822637209718E-2</v>
      </c>
      <c r="AB299">
        <v>9.7672037686390496</v>
      </c>
      <c r="AD299">
        <v>1.056526971743748</v>
      </c>
      <c r="AE299">
        <v>0.32092070910405107</v>
      </c>
      <c r="AF299">
        <v>0.97179966448537891</v>
      </c>
      <c r="AG299">
        <v>2464577.7416636725</v>
      </c>
    </row>
    <row r="300" spans="2:33" ht="12.75" hidden="1" customHeight="1">
      <c r="B300">
        <f>0.45227972445049*$F$42</f>
        <v>0</v>
      </c>
      <c r="C300">
        <f>-0.345612628294616*$F$43</f>
        <v>0</v>
      </c>
      <c r="D300">
        <f>-0.214538642379693*$F$44</f>
        <v>0</v>
      </c>
      <c r="E300">
        <f>-0.15250266897681*$F$45</f>
        <v>0</v>
      </c>
      <c r="F300">
        <f>0.089029943722609*$F$46</f>
        <v>0</v>
      </c>
      <c r="G300">
        <f>-0.08591457560093*$F$47</f>
        <v>0</v>
      </c>
      <c r="H300">
        <f>-0.0281385445830317*$F$48</f>
        <v>0</v>
      </c>
      <c r="I300">
        <f>-0.351571872511176*$F$49</f>
        <v>0</v>
      </c>
      <c r="J300">
        <f>0.130749451112772*$F$50</f>
        <v>0</v>
      </c>
      <c r="K300">
        <f>0.1171985752734*$F$51</f>
        <v>0</v>
      </c>
      <c r="L300">
        <f>-0.00267579010651111*$F$52</f>
        <v>0</v>
      </c>
      <c r="M300">
        <f>-0.337558712147892*$F$53</f>
        <v>0</v>
      </c>
      <c r="N300">
        <f>-0.258389397219321*$F$54</f>
        <v>0</v>
      </c>
      <c r="P300">
        <v>1005677.8002412952</v>
      </c>
      <c r="Q300">
        <v>-12357.615835782892</v>
      </c>
      <c r="R300">
        <v>346830.47097011749</v>
      </c>
      <c r="S300">
        <v>712791.79764373985</v>
      </c>
      <c r="T300">
        <v>7.0623209606058263E-7</v>
      </c>
      <c r="U300">
        <v>3.0733664815637115E-11</v>
      </c>
      <c r="V300">
        <v>2.2935281347459026E-9</v>
      </c>
      <c r="W300">
        <v>1.254295656573547E-7</v>
      </c>
      <c r="X300">
        <v>5.0653747255563866E-6</v>
      </c>
      <c r="Y300">
        <v>1.249474024046265E-6</v>
      </c>
      <c r="Z300">
        <v>0.69981269469254415</v>
      </c>
      <c r="AA300">
        <v>6.7637089014964763E-2</v>
      </c>
      <c r="AB300">
        <v>9.7416106027806784</v>
      </c>
      <c r="AD300">
        <v>0.97136248444307849</v>
      </c>
      <c r="AE300">
        <v>0.31527845279462358</v>
      </c>
      <c r="AF300">
        <v>1.0580310392628451</v>
      </c>
      <c r="AG300">
        <v>2424510.1590010189</v>
      </c>
    </row>
    <row r="301" spans="2:33" ht="12.75" hidden="1" customHeight="1">
      <c r="B301">
        <f>0.402325308004288*$F$42</f>
        <v>0</v>
      </c>
      <c r="C301">
        <f>0.408007602231016*$F$43</f>
        <v>0</v>
      </c>
      <c r="D301">
        <f>-0.123378026566552*$F$44</f>
        <v>0</v>
      </c>
      <c r="E301">
        <f>0.243254912009826*$F$45</f>
        <v>0</v>
      </c>
      <c r="F301">
        <f>0.0198218271611343*$F$46</f>
        <v>0</v>
      </c>
      <c r="G301">
        <f>0.104632611115233*$F$47</f>
        <v>0</v>
      </c>
      <c r="H301">
        <f>0.33336713407401*$F$48</f>
        <v>0</v>
      </c>
      <c r="I301">
        <f>-0.0633569848865621*$F$49</f>
        <v>0</v>
      </c>
      <c r="J301">
        <f>0.22933633865955*$F$50</f>
        <v>0</v>
      </c>
      <c r="K301">
        <f>0.572860203663736*$F$51</f>
        <v>0</v>
      </c>
      <c r="L301">
        <f>0.0736542826748454*$F$52</f>
        <v>0</v>
      </c>
      <c r="M301">
        <f>0.066373955129917*$F$53</f>
        <v>0</v>
      </c>
      <c r="N301">
        <f>0.285037656577199*$F$54</f>
        <v>0</v>
      </c>
      <c r="P301">
        <v>1000871.3801139775</v>
      </c>
      <c r="Q301">
        <v>-13322.249730855699</v>
      </c>
      <c r="R301">
        <v>350061.51733174629</v>
      </c>
      <c r="S301">
        <v>741437.93463673082</v>
      </c>
      <c r="T301">
        <v>7.0138752790127941E-7</v>
      </c>
      <c r="U301">
        <v>3.1324361094457226E-11</v>
      </c>
      <c r="V301">
        <v>2.3766744408370222E-9</v>
      </c>
      <c r="W301">
        <v>1.2917635919647469E-7</v>
      </c>
      <c r="X301">
        <v>5.1146681693297749E-6</v>
      </c>
      <c r="Y301">
        <v>1.3057482351524714E-6</v>
      </c>
      <c r="Z301">
        <v>0.70515579978723908</v>
      </c>
      <c r="AA301">
        <v>7.046461768590942E-2</v>
      </c>
      <c r="AB301">
        <v>10.285037656577199</v>
      </c>
      <c r="AD301">
        <v>1.0905083547664696</v>
      </c>
      <c r="AE301">
        <v>0.34271003695901336</v>
      </c>
      <c r="AF301">
        <v>0.93970341283614234</v>
      </c>
      <c r="AG301">
        <v>2638951.1161764436</v>
      </c>
    </row>
    <row r="302" spans="2:33" ht="12.75" hidden="1" customHeight="1">
      <c r="B302">
        <f>-0.0861736397110693*$F$42</f>
        <v>0</v>
      </c>
      <c r="C302">
        <f>-0.123456862222837*$F$43</f>
        <v>0</v>
      </c>
      <c r="D302">
        <f>-0.00504886798784291*$F$44</f>
        <v>0</v>
      </c>
      <c r="E302">
        <f>-0.337080194646185*$F$45</f>
        <v>0</v>
      </c>
      <c r="F302">
        <f>0.361475729889912*$F$46</f>
        <v>0</v>
      </c>
      <c r="G302">
        <f>-0.0810151171563262*$F$47</f>
        <v>0</v>
      </c>
      <c r="H302">
        <f>-0.0943577931588379*$F$48</f>
        <v>0</v>
      </c>
      <c r="I302">
        <f>0.0181756137933165*$F$49</f>
        <v>0</v>
      </c>
      <c r="J302">
        <f>0.107906657101759*$F$50</f>
        <v>0</v>
      </c>
      <c r="K302">
        <f>0.113441946481423*$F$51</f>
        <v>0</v>
      </c>
      <c r="L302">
        <f>-0.155563736638523*$F$52</f>
        <v>0</v>
      </c>
      <c r="M302">
        <f>-0.292766751829038*$F$53</f>
        <v>0</v>
      </c>
      <c r="N302">
        <f>-0.0262728938402874*$F$54</f>
        <v>0</v>
      </c>
      <c r="P302">
        <v>953869.90674072294</v>
      </c>
      <c r="Q302">
        <v>-12641.975216354769</v>
      </c>
      <c r="R302">
        <v>354255.51047110825</v>
      </c>
      <c r="S302">
        <v>699431.51513703342</v>
      </c>
      <c r="T302">
        <v>7.2530330109229385E-7</v>
      </c>
      <c r="U302">
        <v>3.074885313681539E-11</v>
      </c>
      <c r="V302">
        <v>2.2782977075734671E-9</v>
      </c>
      <c r="W302">
        <v>1.3023628297931312E-7</v>
      </c>
      <c r="X302">
        <v>5.0539533285508801E-6</v>
      </c>
      <c r="Y302">
        <v>1.2490100803904557E-6</v>
      </c>
      <c r="Z302">
        <v>0.68911053843530334</v>
      </c>
      <c r="AA302">
        <v>6.7950632737196745E-2</v>
      </c>
      <c r="AB302">
        <v>9.9737271061597124</v>
      </c>
      <c r="AD302">
        <v>0.94494784668682719</v>
      </c>
      <c r="AE302">
        <v>0.31675507180551604</v>
      </c>
      <c r="AF302">
        <v>1.0875084252691178</v>
      </c>
      <c r="AG302">
        <v>2296110.513387911</v>
      </c>
    </row>
    <row r="303" spans="2:33" ht="12.75" hidden="1" customHeight="1">
      <c r="B303">
        <f>0.0528187738972785*$F$42</f>
        <v>0</v>
      </c>
      <c r="C303">
        <f>0.0975884249342987*$F$43</f>
        <v>0</v>
      </c>
      <c r="D303">
        <f>0.0677147651882136*$F$44</f>
        <v>0</v>
      </c>
      <c r="E303">
        <f>0.358200400430543*$F$45</f>
        <v>0</v>
      </c>
      <c r="F303">
        <f>-0.0491687040325233*$F$46</f>
        <v>0</v>
      </c>
      <c r="G303">
        <f>0.295689595006577*$F$47</f>
        <v>0</v>
      </c>
      <c r="H303">
        <f>-0.30480711204686*$F$48</f>
        <v>0</v>
      </c>
      <c r="I303">
        <f>-0.160908098614352*$F$49</f>
        <v>0</v>
      </c>
      <c r="J303">
        <f>0.155880965355078*$F$50</f>
        <v>0</v>
      </c>
      <c r="K303">
        <f>-0.290929771883437*$F$51</f>
        <v>0</v>
      </c>
      <c r="L303">
        <f>0.424130914743345*$F$52</f>
        <v>0</v>
      </c>
      <c r="M303">
        <f>-1.0049784294264*$F$53</f>
        <v>0</v>
      </c>
      <c r="N303">
        <f>-0.0848539761586901*$F$54</f>
        <v>0</v>
      </c>
      <c r="P303">
        <v>967243.21748755337</v>
      </c>
      <c r="Q303">
        <v>-12924.913183915902</v>
      </c>
      <c r="R303">
        <v>356834.50437253487</v>
      </c>
      <c r="S303">
        <v>749758.03857464448</v>
      </c>
      <c r="T303">
        <v>6.965581907177234E-7</v>
      </c>
      <c r="U303">
        <v>3.1916637744520391E-11</v>
      </c>
      <c r="V303">
        <v>2.2298943642292223E-9</v>
      </c>
      <c r="W303">
        <v>1.2790819471801342E-7</v>
      </c>
      <c r="X303">
        <v>5.0779404826775393E-6</v>
      </c>
      <c r="Y303">
        <v>1.1990701731723956E-6</v>
      </c>
      <c r="Z303">
        <v>0.72968916403203421</v>
      </c>
      <c r="AA303">
        <v>6.2965150994015215E-2</v>
      </c>
      <c r="AB303">
        <v>9.9151460238413094</v>
      </c>
      <c r="AD303">
        <v>1.235381088375753</v>
      </c>
      <c r="AE303">
        <v>0.35718429531719259</v>
      </c>
      <c r="AF303">
        <v>0.82708996075302721</v>
      </c>
      <c r="AG303">
        <v>2719145.1685262197</v>
      </c>
    </row>
    <row r="304" spans="2:33" ht="12.75" hidden="1" customHeight="1">
      <c r="B304">
        <f>0.214099524545352*$F$42</f>
        <v>0</v>
      </c>
      <c r="C304">
        <f>-0.313582757775643*$F$43</f>
        <v>0</v>
      </c>
      <c r="D304">
        <f>0.345592217421577*$F$44</f>
        <v>0</v>
      </c>
      <c r="E304">
        <f>0.293506835462099*$F$45</f>
        <v>0</v>
      </c>
      <c r="F304">
        <f>0.356788710082504*$F$46</f>
        <v>0</v>
      </c>
      <c r="G304">
        <f>-0.441676298262389*$F$47</f>
        <v>0</v>
      </c>
      <c r="H304">
        <f>-0.373561005013964*$F$48</f>
        <v>0</v>
      </c>
      <c r="I304">
        <f>-0.300410158147542*$F$49</f>
        <v>0</v>
      </c>
      <c r="J304">
        <f>0.219626303931245*$F$50</f>
        <v>0</v>
      </c>
      <c r="K304">
        <f>0.131792018507033*$F$51</f>
        <v>0</v>
      </c>
      <c r="L304">
        <f>0.179315267577684*$F$52</f>
        <v>0</v>
      </c>
      <c r="M304">
        <f>0.075056543184121*$F$53</f>
        <v>0</v>
      </c>
      <c r="N304">
        <f>0.256495411476509*$F$54</f>
        <v>0</v>
      </c>
      <c r="P304">
        <v>982761.02554559859</v>
      </c>
      <c r="Q304">
        <v>-12398.614070047177</v>
      </c>
      <c r="R304">
        <v>366683.43883846293</v>
      </c>
      <c r="S304">
        <v>745075.32164467208</v>
      </c>
      <c r="T304">
        <v>7.2497520970577518E-7</v>
      </c>
      <c r="U304">
        <v>2.9630803475386595E-11</v>
      </c>
      <c r="V304">
        <v>2.2140809688467881E-9</v>
      </c>
      <c r="W304">
        <v>1.2609466794408196E-7</v>
      </c>
      <c r="X304">
        <v>5.1098131519656224E-6</v>
      </c>
      <c r="Y304">
        <v>1.2512763142856187E-6</v>
      </c>
      <c r="Z304">
        <v>0.71255206873043786</v>
      </c>
      <c r="AA304">
        <v>7.0525395802288851E-2</v>
      </c>
      <c r="AB304">
        <v>10.256495411476509</v>
      </c>
      <c r="AD304">
        <v>1.089995628004816</v>
      </c>
      <c r="AE304">
        <v>0.33500015768598079</v>
      </c>
      <c r="AF304">
        <v>0.94037698009975679</v>
      </c>
      <c r="AG304">
        <v>2534676.6634665411</v>
      </c>
    </row>
    <row r="305" spans="2:33" ht="12.75" hidden="1" customHeight="1">
      <c r="B305">
        <f>-0.236161886403648*$F$42</f>
        <v>0</v>
      </c>
      <c r="C305">
        <f>0.025292459271313*$F$43</f>
        <v>0</v>
      </c>
      <c r="D305">
        <f>-0.238349790460397*$F$44</f>
        <v>0</v>
      </c>
      <c r="E305">
        <f>0.0916607829154594*$F$45</f>
        <v>0</v>
      </c>
      <c r="F305">
        <f>-0.032349702666414*$F$46</f>
        <v>0</v>
      </c>
      <c r="G305">
        <f>-0.205049794822618*$F$47</f>
        <v>0</v>
      </c>
      <c r="H305">
        <f>-0.338319265277822*$F$48</f>
        <v>0</v>
      </c>
      <c r="I305">
        <f>-0.439710872110802*$F$49</f>
        <v>0</v>
      </c>
      <c r="J305">
        <f>0.169267710464821*$F$50</f>
        <v>0</v>
      </c>
      <c r="K305">
        <f>-0.0830668673534049*$F$51</f>
        <v>0</v>
      </c>
      <c r="L305">
        <f>-0.348865272851107*$F$52</f>
        <v>0</v>
      </c>
      <c r="M305">
        <f>0.0763686891903977*$F$53</f>
        <v>0</v>
      </c>
      <c r="N305">
        <f>0.0182831398003452*$F$54</f>
        <v>0</v>
      </c>
      <c r="P305">
        <v>939438.61959836027</v>
      </c>
      <c r="Q305">
        <v>-12832.37434786728</v>
      </c>
      <c r="R305">
        <v>345986.5218295143</v>
      </c>
      <c r="S305">
        <v>730465.09065849497</v>
      </c>
      <c r="T305">
        <v>6.97735520813351E-7</v>
      </c>
      <c r="U305">
        <v>3.0364345636049888E-11</v>
      </c>
      <c r="V305">
        <v>2.2221865689861007E-9</v>
      </c>
      <c r="W305">
        <v>1.2428375866255957E-7</v>
      </c>
      <c r="X305">
        <v>5.0846338552324107E-6</v>
      </c>
      <c r="Y305">
        <v>1.2247412418818546E-6</v>
      </c>
      <c r="Z305">
        <v>0.6755794309004225</v>
      </c>
      <c r="AA305">
        <v>7.0534580824332796E-2</v>
      </c>
      <c r="AB305">
        <v>10.018283139800346</v>
      </c>
      <c r="AD305">
        <v>1.0586762474751983</v>
      </c>
      <c r="AE305">
        <v>0.36318430379625466</v>
      </c>
      <c r="AF305">
        <v>0.96818873290646645</v>
      </c>
      <c r="AG305">
        <v>2612349.9804474139</v>
      </c>
    </row>
    <row r="306" spans="2:33" ht="12.75" hidden="1" customHeight="1">
      <c r="B306">
        <f>-0.0385939015138814*$F$42</f>
        <v>0</v>
      </c>
      <c r="C306">
        <f>0.129691620293871*$F$43</f>
        <v>0</v>
      </c>
      <c r="D306">
        <f>0.00720202450633735*$F$44</f>
        <v>0</v>
      </c>
      <c r="E306">
        <f>-0.245202327350788*$F$45</f>
        <v>0</v>
      </c>
      <c r="F306">
        <f>-0.144006181608409*$F$46</f>
        <v>0</v>
      </c>
      <c r="G306">
        <f>0.0819379993315444*$F$47</f>
        <v>0</v>
      </c>
      <c r="H306">
        <f>-0.605367565263689*$F$48</f>
        <v>0</v>
      </c>
      <c r="I306">
        <f>-0.034264583077213*$F$49</f>
        <v>0</v>
      </c>
      <c r="J306">
        <f>-0.393457059194787*$F$50</f>
        <v>0</v>
      </c>
      <c r="K306">
        <f>0.166384447570688*$F$51</f>
        <v>0</v>
      </c>
      <c r="L306">
        <f>0.246344663185148*$F$52</f>
        <v>0</v>
      </c>
      <c r="M306">
        <f>0.39335568649841*$F$53</f>
        <v>0</v>
      </c>
      <c r="N306">
        <f>0.300056598364326*$F$54</f>
        <v>0</v>
      </c>
      <c r="P306">
        <v>958447.84454067214</v>
      </c>
      <c r="Q306">
        <v>-12966.005273976154</v>
      </c>
      <c r="R306">
        <v>354689.72431737231</v>
      </c>
      <c r="S306">
        <v>706081.91452194552</v>
      </c>
      <c r="T306">
        <v>6.8991956728741129E-7</v>
      </c>
      <c r="U306">
        <v>3.1254007797927792E-11</v>
      </c>
      <c r="V306">
        <v>2.1607654599893515E-9</v>
      </c>
      <c r="W306">
        <v>1.2955456041999625E-7</v>
      </c>
      <c r="X306">
        <v>4.8032714704026069E-6</v>
      </c>
      <c r="Y306">
        <v>1.25554847927498E-6</v>
      </c>
      <c r="Z306">
        <v>0.71724412642296032</v>
      </c>
      <c r="AA306">
        <v>7.2753489805488875E-2</v>
      </c>
      <c r="AB306">
        <v>10.300056598364327</v>
      </c>
      <c r="AD306">
        <v>1.0400944821522133</v>
      </c>
      <c r="AE306">
        <v>0.3165282340292504</v>
      </c>
      <c r="AF306">
        <v>0.98724278981570324</v>
      </c>
      <c r="AG306">
        <v>2324108.1792366849</v>
      </c>
    </row>
    <row r="307" spans="2:33" ht="12.75" hidden="1" customHeight="1">
      <c r="B307">
        <f>0.348842922201296*$F$42</f>
        <v>0</v>
      </c>
      <c r="C307">
        <f>0.0966340049135002*$F$43</f>
        <v>0</v>
      </c>
      <c r="D307">
        <f>-0.0717000286833431*$F$44</f>
        <v>0</v>
      </c>
      <c r="E307">
        <f>0.0697028654710778*$F$45</f>
        <v>0</v>
      </c>
      <c r="F307">
        <f>-0.0537323485528374*$F$46</f>
        <v>0</v>
      </c>
      <c r="G307">
        <f>-0.149888092046143*$F$47</f>
        <v>0</v>
      </c>
      <c r="H307">
        <f>0.1498275204682*$F$48</f>
        <v>0</v>
      </c>
      <c r="I307">
        <f>0.710740995783866*$F$49</f>
        <v>0</v>
      </c>
      <c r="J307">
        <f>-0.0726410065695704*$F$50</f>
        <v>0</v>
      </c>
      <c r="K307">
        <f>0.0150440791088847*$F$51</f>
        <v>0</v>
      </c>
      <c r="L307">
        <f>-0.08477231129426*$F$52</f>
        <v>0</v>
      </c>
      <c r="M307">
        <f>0.476105716219255*$F$53</f>
        <v>0</v>
      </c>
      <c r="N307">
        <f>0.150036950882083*$F$54</f>
        <v>0</v>
      </c>
      <c r="P307">
        <v>995725.51246367046</v>
      </c>
      <c r="Q307">
        <v>-12923.69152628928</v>
      </c>
      <c r="R307">
        <v>351893.16365782043</v>
      </c>
      <c r="S307">
        <v>728875.70983191824</v>
      </c>
      <c r="T307">
        <v>6.9623873560130139E-7</v>
      </c>
      <c r="U307">
        <v>3.053534691465696E-11</v>
      </c>
      <c r="V307">
        <v>2.3344603297076858E-9</v>
      </c>
      <c r="W307">
        <v>1.3923963294519026E-7</v>
      </c>
      <c r="X307">
        <v>4.9636794967152149E-6</v>
      </c>
      <c r="Y307">
        <v>1.2368579437699474E-6</v>
      </c>
      <c r="Z307">
        <v>0.69406593820940177</v>
      </c>
      <c r="AA307">
        <v>7.3332740013534792E-2</v>
      </c>
      <c r="AB307">
        <v>10.150036950882082</v>
      </c>
      <c r="AD307">
        <v>1.0076186631557313</v>
      </c>
      <c r="AE307">
        <v>0.32952571562851407</v>
      </c>
      <c r="AF307">
        <v>1.018990422736574</v>
      </c>
      <c r="AG307">
        <v>2500953.7332574488</v>
      </c>
    </row>
    <row r="308" spans="2:33" ht="12.75" hidden="1" customHeight="1">
      <c r="B308">
        <f>0.0865560644056914*$F$42</f>
        <v>0</v>
      </c>
      <c r="C308">
        <f>0.238205595119623*$F$43</f>
        <v>0</v>
      </c>
      <c r="D308">
        <f>0.731841800915398*$F$44</f>
        <v>0</v>
      </c>
      <c r="E308">
        <f>0.465230836668288*$F$45</f>
        <v>0</v>
      </c>
      <c r="F308">
        <f>-0.273774088919728*$F$46</f>
        <v>0</v>
      </c>
      <c r="G308">
        <f>0.1861558692984*$F$47</f>
        <v>0</v>
      </c>
      <c r="H308">
        <f>-0.742690049990449*$F$48</f>
        <v>0</v>
      </c>
      <c r="I308">
        <f>0.0550828215954001*$F$49</f>
        <v>0</v>
      </c>
      <c r="J308">
        <f>0.379290247462987*$F$50</f>
        <v>0</v>
      </c>
      <c r="K308">
        <f>0.2691324573467*$F$51</f>
        <v>0</v>
      </c>
      <c r="L308">
        <f>0.243062613539816*$F$52</f>
        <v>0</v>
      </c>
      <c r="M308">
        <f>-0.302778773499568*$F$53</f>
        <v>0</v>
      </c>
      <c r="N308">
        <f>0.203363189525854*$F$54</f>
        <v>0</v>
      </c>
      <c r="P308">
        <v>970489.28867958568</v>
      </c>
      <c r="Q308">
        <v>-13104.903161753116</v>
      </c>
      <c r="R308">
        <v>380373.45508392603</v>
      </c>
      <c r="S308">
        <v>757505.22697023349</v>
      </c>
      <c r="T308">
        <v>6.8083581377561897E-7</v>
      </c>
      <c r="U308">
        <v>3.1577083194825041E-11</v>
      </c>
      <c r="V308">
        <v>2.1291812885021968E-9</v>
      </c>
      <c r="W308">
        <v>1.3071607668074021E-7</v>
      </c>
      <c r="X308">
        <v>5.189645123731494E-6</v>
      </c>
      <c r="Y308">
        <v>1.2682378584823174E-6</v>
      </c>
      <c r="Z308">
        <v>0.71701438294778697</v>
      </c>
      <c r="AA308">
        <v>6.7880548585503034E-2</v>
      </c>
      <c r="AB308">
        <v>10.203363189525854</v>
      </c>
      <c r="AD308">
        <v>1.1236129425374839</v>
      </c>
      <c r="AE308">
        <v>0.33962929841491196</v>
      </c>
      <c r="AF308">
        <v>0.91144473839978157</v>
      </c>
      <c r="AG308">
        <v>2546113.1746551762</v>
      </c>
    </row>
    <row r="309" spans="2:33" ht="12.75" hidden="1" customHeight="1">
      <c r="B309">
        <f>-0.0547887981620718*$F$42</f>
        <v>0</v>
      </c>
      <c r="C309">
        <f>0.00330232334682775*$F$43</f>
        <v>0</v>
      </c>
      <c r="D309">
        <f>0.0626657688689514*$F$44</f>
        <v>0</v>
      </c>
      <c r="E309">
        <f>-0.0433110753672886*$F$45</f>
        <v>0</v>
      </c>
      <c r="F309">
        <f>-0.84273803046989*$F$46</f>
        <v>0</v>
      </c>
      <c r="G309">
        <f>0.168671541359407*$F$47</f>
        <v>0</v>
      </c>
      <c r="H309">
        <f>-0.228785942747328*$F$48</f>
        <v>0</v>
      </c>
      <c r="I309">
        <f>-0.223842989235091*$F$49</f>
        <v>0</v>
      </c>
      <c r="J309">
        <f>-0.14255720365491*$F$50</f>
        <v>0</v>
      </c>
      <c r="K309">
        <f>-0.0518723922635996*$F$51</f>
        <v>0</v>
      </c>
      <c r="L309">
        <f>-0.284501385341884*$F$52</f>
        <v>0</v>
      </c>
      <c r="M309">
        <f>0.420207685503475*$F$53</f>
        <v>0</v>
      </c>
      <c r="N309">
        <f>0.0364479227444361*$F$54</f>
        <v>0</v>
      </c>
      <c r="P309">
        <v>956889.63442138222</v>
      </c>
      <c r="Q309">
        <v>-12804.226973883939</v>
      </c>
      <c r="R309">
        <v>356655.55054426473</v>
      </c>
      <c r="S309">
        <v>720695.41718078917</v>
      </c>
      <c r="T309">
        <v>6.4100833786710768E-7</v>
      </c>
      <c r="U309">
        <v>3.1522881778214164E-11</v>
      </c>
      <c r="V309">
        <v>2.2473792331681144E-9</v>
      </c>
      <c r="W309">
        <v>1.2709004113994382E-7</v>
      </c>
      <c r="X309">
        <v>4.9287213981725455E-6</v>
      </c>
      <c r="Y309">
        <v>1.2285937595554453E-6</v>
      </c>
      <c r="Z309">
        <v>0.68008490302606805</v>
      </c>
      <c r="AA309">
        <v>7.2941453798524333E-2</v>
      </c>
      <c r="AB309">
        <v>10.036447922744436</v>
      </c>
      <c r="AD309">
        <v>0.97620672719188328</v>
      </c>
      <c r="AE309">
        <v>0.33296808239411058</v>
      </c>
      <c r="AF309">
        <v>1.0516975780626181</v>
      </c>
      <c r="AG309">
        <v>2416241.2332930444</v>
      </c>
    </row>
    <row r="310" spans="2:33" ht="12.75" hidden="1" customHeight="1">
      <c r="B310">
        <f>-0.0323893708873214*$F$42</f>
        <v>0</v>
      </c>
      <c r="C310">
        <f>-0.226935714972441*$F$43</f>
        <v>0</v>
      </c>
      <c r="D310">
        <f>-0.0895497242235429*$F$44</f>
        <v>0</v>
      </c>
      <c r="E310">
        <f>0.229954686186892*$F$45</f>
        <v>0</v>
      </c>
      <c r="F310">
        <f>0.0441529923420731*$F$46</f>
        <v>0</v>
      </c>
      <c r="G310">
        <f>-0.291583862552066*$F$47</f>
        <v>0</v>
      </c>
      <c r="H310">
        <f>-0.868568870494761*$F$48</f>
        <v>0</v>
      </c>
      <c r="I310">
        <f>0.140520344775535*$F$49</f>
        <v>0</v>
      </c>
      <c r="J310">
        <f>0.600323123670095*$F$50</f>
        <v>0</v>
      </c>
      <c r="K310">
        <f>0.0153073242884299*$F$51</f>
        <v>0</v>
      </c>
      <c r="L310">
        <f>-0.0834189998277258*$F$52</f>
        <v>0</v>
      </c>
      <c r="M310">
        <f>-0.38540520614894*$F$53</f>
        <v>0</v>
      </c>
      <c r="N310">
        <f>0.0587206320294154*$F$54</f>
        <v>0</v>
      </c>
      <c r="P310">
        <v>959044.82040398091</v>
      </c>
      <c r="Q310">
        <v>-12509.522284835277</v>
      </c>
      <c r="R310">
        <v>351260.50893826963</v>
      </c>
      <c r="S310">
        <v>740475.2238529938</v>
      </c>
      <c r="T310">
        <v>7.0309070946394499E-7</v>
      </c>
      <c r="U310">
        <v>3.0096090026088601E-11</v>
      </c>
      <c r="V310">
        <v>2.1002291597862047E-9</v>
      </c>
      <c r="W310">
        <v>1.3182676448208194E-7</v>
      </c>
      <c r="X310">
        <v>5.3001615618350477E-6</v>
      </c>
      <c r="Y310">
        <v>1.2368904545496211E-6</v>
      </c>
      <c r="Z310">
        <v>0.69416067001205917</v>
      </c>
      <c r="AA310">
        <v>6.7302163556957423E-2</v>
      </c>
      <c r="AB310">
        <v>10.058720632029416</v>
      </c>
      <c r="AD310">
        <v>1.10511883735139</v>
      </c>
      <c r="AE310">
        <v>0.35838453852852098</v>
      </c>
      <c r="AF310">
        <v>0.92662492632357285</v>
      </c>
      <c r="AG310">
        <v>2646359.5274944287</v>
      </c>
    </row>
    <row r="311" spans="2:33" ht="12.75" hidden="1" customHeight="1">
      <c r="B311">
        <f>-0.666810669790638*$F$42</f>
        <v>0</v>
      </c>
      <c r="C311">
        <f>0.212087003169717*$F$43</f>
        <v>0</v>
      </c>
      <c r="D311">
        <f>0.585311406030379*$F$44</f>
        <v>0</v>
      </c>
      <c r="E311">
        <f>-0.100594225630134*$F$45</f>
        <v>0</v>
      </c>
      <c r="F311">
        <f>-0.010577185422782*$F$46</f>
        <v>0</v>
      </c>
      <c r="G311">
        <f>0.11005214616528*$F$47</f>
        <v>0</v>
      </c>
      <c r="H311">
        <f>0.514350658052198*$F$48</f>
        <v>0</v>
      </c>
      <c r="I311">
        <f>-0.358195082213395*$F$49</f>
        <v>0</v>
      </c>
      <c r="J311">
        <f>0.254337324748859*$F$50</f>
        <v>0</v>
      </c>
      <c r="K311">
        <f>-0.0951525554370612*$F$51</f>
        <v>0</v>
      </c>
      <c r="L311">
        <f>0.188811522799159*$F$52</f>
        <v>0</v>
      </c>
      <c r="M311">
        <f>0.188295599960014*$F$53</f>
        <v>0</v>
      </c>
      <c r="N311">
        <f>0.215958766593489*$F$54</f>
        <v>0</v>
      </c>
      <c r="P311">
        <v>898003.26457814348</v>
      </c>
      <c r="Q311">
        <v>-13071.471364057237</v>
      </c>
      <c r="R311">
        <v>375179.91294911073</v>
      </c>
      <c r="S311">
        <v>716549.08859820419</v>
      </c>
      <c r="T311">
        <v>6.9925959702040523E-7</v>
      </c>
      <c r="U311">
        <v>3.1341161653112372E-11</v>
      </c>
      <c r="V311">
        <v>2.4183006513520056E-9</v>
      </c>
      <c r="W311">
        <v>1.2534346393122588E-7</v>
      </c>
      <c r="X311">
        <v>5.1271686623744299E-6</v>
      </c>
      <c r="Y311">
        <v>1.2232486594035229E-6</v>
      </c>
      <c r="Z311">
        <v>0.71321680659594111</v>
      </c>
      <c r="AA311">
        <v>7.1318069199720099E-2</v>
      </c>
      <c r="AB311">
        <v>10.21595876659349</v>
      </c>
      <c r="AD311">
        <v>1.0795332419060304</v>
      </c>
      <c r="AE311">
        <v>0.33145163813454853</v>
      </c>
      <c r="AF311">
        <v>0.94984514206635062</v>
      </c>
      <c r="AG311">
        <v>2290077.4647519626</v>
      </c>
    </row>
    <row r="312" spans="2:33" ht="12.75" hidden="1" customHeight="1">
      <c r="B312">
        <f>0.0502538676727589*$F$42</f>
        <v>0</v>
      </c>
      <c r="C312">
        <f>-0.00701640064801995*$F$43</f>
        <v>0</v>
      </c>
      <c r="D312">
        <f>0.427947456279011*$F$44</f>
        <v>0</v>
      </c>
      <c r="E312">
        <f>0.301343846205033*$F$45</f>
        <v>0</v>
      </c>
      <c r="F312">
        <f>-0.00761498810223297*$F$46</f>
        <v>0</v>
      </c>
      <c r="G312">
        <f>-0.446215691715671*$F$47</f>
        <v>0</v>
      </c>
      <c r="H312">
        <f>0.0827236907756863*$F$48</f>
        <v>0</v>
      </c>
      <c r="I312">
        <f>0.550091010085812*$F$49</f>
        <v>0</v>
      </c>
      <c r="J312">
        <f>-0.0551144051463988*$F$50</f>
        <v>0</v>
      </c>
      <c r="K312">
        <f>0.644679031925339*$F$51</f>
        <v>0</v>
      </c>
      <c r="L312">
        <f>-0.376115073053582*$F$52</f>
        <v>0</v>
      </c>
      <c r="M312">
        <f>0.40940313620313*$F$53</f>
        <v>0</v>
      </c>
      <c r="N312">
        <f>-0.408699371577518*$F$54</f>
        <v>0</v>
      </c>
      <c r="P312">
        <v>966996.43216246623</v>
      </c>
      <c r="Q312">
        <v>-12791.019007170535</v>
      </c>
      <c r="R312">
        <v>369602.39229767182</v>
      </c>
      <c r="S312">
        <v>745642.58831028582</v>
      </c>
      <c r="T312">
        <v>6.9946695083284367E-7</v>
      </c>
      <c r="U312">
        <v>2.9616731355681424E-11</v>
      </c>
      <c r="V312">
        <v>2.3190264488784077E-9</v>
      </c>
      <c r="W312">
        <v>1.3715118313111555E-7</v>
      </c>
      <c r="X312">
        <v>4.9724427974268006E-6</v>
      </c>
      <c r="Y312">
        <v>1.3146178604427793E-6</v>
      </c>
      <c r="Z312">
        <v>0.67367194488624915</v>
      </c>
      <c r="AA312">
        <v>7.2865821953421922E-2</v>
      </c>
      <c r="AB312">
        <v>9.5913006284224824</v>
      </c>
      <c r="AD312">
        <v>0.97717752045453943</v>
      </c>
      <c r="AE312">
        <v>0.34095679431561515</v>
      </c>
      <c r="AF312">
        <v>1.051000726197461</v>
      </c>
      <c r="AG312">
        <v>2524077.8715120815</v>
      </c>
    </row>
    <row r="313" spans="2:33" ht="12.75" hidden="1" customHeight="1">
      <c r="B313">
        <f>0.124982728760157*$F$42</f>
        <v>0</v>
      </c>
      <c r="C313">
        <f>0.162117528401919*$F$43</f>
        <v>0</v>
      </c>
      <c r="D313">
        <f>0.00211191336768849*$F$44</f>
        <v>0</v>
      </c>
      <c r="E313">
        <f>-0.164519785736325*$F$45</f>
        <v>0</v>
      </c>
      <c r="F313">
        <f>0.167827221831335*$F$46</f>
        <v>0</v>
      </c>
      <c r="G313">
        <f>-0.826092720011753*$F$47</f>
        <v>0</v>
      </c>
      <c r="H313">
        <f>-0.664654639880988*$F$48</f>
        <v>0</v>
      </c>
      <c r="I313">
        <f>-0.152107960226054*$F$49</f>
        <v>0</v>
      </c>
      <c r="J313">
        <f>-0.437844443020392*$F$50</f>
        <v>0</v>
      </c>
      <c r="K313">
        <f>-0.436447945449748*$F$51</f>
        <v>0</v>
      </c>
      <c r="L313">
        <f>0.436651554848578*$F$52</f>
        <v>0</v>
      </c>
      <c r="M313">
        <f>-0.195118878470445*$F$53</f>
        <v>0</v>
      </c>
      <c r="N313">
        <f>0.547069151935773*$F$54</f>
        <v>0</v>
      </c>
      <c r="P313">
        <v>974186.55322831462</v>
      </c>
      <c r="Q313">
        <v>-13007.510436354456</v>
      </c>
      <c r="R313">
        <v>354509.31323822244</v>
      </c>
      <c r="S313">
        <v>711921.96219524229</v>
      </c>
      <c r="T313">
        <v>7.1174790552819347E-7</v>
      </c>
      <c r="U313">
        <v>2.8439112567963569E-11</v>
      </c>
      <c r="V313">
        <v>2.1471294328273728E-9</v>
      </c>
      <c r="W313">
        <v>1.2802259651706128E-7</v>
      </c>
      <c r="X313">
        <v>4.7810777784898048E-6</v>
      </c>
      <c r="Y313">
        <v>1.181098678736956E-6</v>
      </c>
      <c r="Z313">
        <v>0.73056560883940036</v>
      </c>
      <c r="AA313">
        <v>6.863416785070689E-2</v>
      </c>
      <c r="AB313">
        <v>10.547069151935773</v>
      </c>
      <c r="AD313">
        <v>1.0967918086823019</v>
      </c>
      <c r="AE313">
        <v>0.31810668439688283</v>
      </c>
      <c r="AF313">
        <v>0.93472662675637164</v>
      </c>
      <c r="AG313">
        <v>2385602.543013325</v>
      </c>
    </row>
    <row r="314" spans="2:33" ht="12.75" hidden="1" customHeight="1">
      <c r="B314">
        <f>0.0952056716101542*$F$42</f>
        <v>0</v>
      </c>
      <c r="C314">
        <f>-0.595529601060199*$F$43</f>
        <v>0</v>
      </c>
      <c r="D314">
        <f>-1.04458292049923*$F$44</f>
        <v>0</v>
      </c>
      <c r="E314">
        <f>0.24081208079548*$F$45</f>
        <v>0</v>
      </c>
      <c r="F314">
        <f>0.678634267452157*$F$46</f>
        <v>0</v>
      </c>
      <c r="G314">
        <f>-0.587472953883642*$F$47</f>
        <v>0</v>
      </c>
      <c r="H314">
        <f>-0.000521832929221615*$F$48</f>
        <v>0</v>
      </c>
      <c r="I314">
        <f>-0.553689486294936*$F$49</f>
        <v>0</v>
      </c>
      <c r="J314">
        <f>0.250281346379988*$F$50</f>
        <v>0</v>
      </c>
      <c r="K314">
        <f>-0.204693395369118*$F$51</f>
        <v>0</v>
      </c>
      <c r="L314">
        <f>0.0900599176984308*$F$52</f>
        <v>0</v>
      </c>
      <c r="M314">
        <f>-0.264238600589652*$F$53</f>
        <v>0</v>
      </c>
      <c r="N314">
        <f>0.309359743661807*$F$54</f>
        <v>0</v>
      </c>
      <c r="P314">
        <v>971321.52032432321</v>
      </c>
      <c r="Q314">
        <v>-12037.722110642946</v>
      </c>
      <c r="R314">
        <v>317410.84144165757</v>
      </c>
      <c r="S314">
        <v>741261.11508612998</v>
      </c>
      <c r="T314">
        <v>7.475043987216509E-7</v>
      </c>
      <c r="U314">
        <v>2.9178833842960713E-11</v>
      </c>
      <c r="V314">
        <v>2.299879978426279E-9</v>
      </c>
      <c r="W314">
        <v>1.2280203667816583E-7</v>
      </c>
      <c r="X314">
        <v>5.1251406731899945E-6</v>
      </c>
      <c r="Y314">
        <v>1.2097203656719141E-6</v>
      </c>
      <c r="Z314">
        <v>0.70630419423889013</v>
      </c>
      <c r="AA314">
        <v>6.8150329795872433E-2</v>
      </c>
      <c r="AB314">
        <v>10.309359743661808</v>
      </c>
      <c r="AD314">
        <v>1.2516417527277672</v>
      </c>
      <c r="AE314">
        <v>0.38769968527156773</v>
      </c>
      <c r="AF314">
        <v>0.81550461048390843</v>
      </c>
      <c r="AG314">
        <v>2940291.3174519315</v>
      </c>
    </row>
    <row r="315" spans="2:33" ht="12.75" hidden="1" customHeight="1">
      <c r="B315">
        <f>-0.0894511389309386*$F$42</f>
        <v>0</v>
      </c>
      <c r="C315">
        <f>0.0358299441306117*$F$43</f>
        <v>0</v>
      </c>
      <c r="D315">
        <f>0.0969112162747908*$F$44</f>
        <v>0</v>
      </c>
      <c r="E315">
        <f>0.294501622039368*$F$45</f>
        <v>0</v>
      </c>
      <c r="F315">
        <f>0.126520826448855*$F$46</f>
        <v>0</v>
      </c>
      <c r="G315">
        <f>0.165898157684097*$F$47</f>
        <v>0</v>
      </c>
      <c r="H315">
        <f>0.346142247409867*$F$48</f>
        <v>0</v>
      </c>
      <c r="I315">
        <f>0.156939786215308*$F$49</f>
        <v>0</v>
      </c>
      <c r="J315">
        <f>0.103892610988845*$F$50</f>
        <v>0</v>
      </c>
      <c r="K315">
        <f>-0.115850089481121*$F$51</f>
        <v>0</v>
      </c>
      <c r="L315">
        <f>-0.429445280896713*$F$52</f>
        <v>0</v>
      </c>
      <c r="M315">
        <f>-0.294033658487789*$F$53</f>
        <v>0</v>
      </c>
      <c r="N315">
        <f>0.704474086653699*$F$54</f>
        <v>0</v>
      </c>
      <c r="P315">
        <v>953554.55848248408</v>
      </c>
      <c r="Q315">
        <v>-12845.862328487183</v>
      </c>
      <c r="R315">
        <v>357869.32720928622</v>
      </c>
      <c r="S315">
        <v>745147.3273217337</v>
      </c>
      <c r="T315">
        <v>7.0885645785141986E-7</v>
      </c>
      <c r="U315">
        <v>3.1514284288820703E-11</v>
      </c>
      <c r="V315">
        <v>2.379612716904269E-9</v>
      </c>
      <c r="W315">
        <v>1.3204021722079902E-7</v>
      </c>
      <c r="X315">
        <v>5.0519463054944229E-6</v>
      </c>
      <c r="Y315">
        <v>1.2206925139490816E-6</v>
      </c>
      <c r="Z315">
        <v>0.66993883033723001</v>
      </c>
      <c r="AA315">
        <v>6.7941764390585482E-2</v>
      </c>
      <c r="AB315">
        <v>10.704474086653699</v>
      </c>
      <c r="AD315">
        <v>1.0491929186610109</v>
      </c>
      <c r="AE315">
        <v>0.36537125421213906</v>
      </c>
      <c r="AF315">
        <v>0.97676686941204915</v>
      </c>
      <c r="AG315">
        <v>2652436.1693348205</v>
      </c>
    </row>
    <row r="316" spans="2:33" ht="12.75" hidden="1" customHeight="1">
      <c r="B316">
        <f>0.598133650115384*$F$42</f>
        <v>0</v>
      </c>
      <c r="C316">
        <f>0.522066564208603*$F$43</f>
        <v>0</v>
      </c>
      <c r="D316">
        <f>0.00923381278982922*$F$44</f>
        <v>0</v>
      </c>
      <c r="E316">
        <f>0.255480352422291*$F$45</f>
        <v>0</v>
      </c>
      <c r="F316">
        <f>0.16738066683432*$F$46</f>
        <v>0</v>
      </c>
      <c r="G316">
        <f>0.142645759080964*$F$47</f>
        <v>0</v>
      </c>
      <c r="H316">
        <f>-0.274698433094469*$F$48</f>
        <v>0</v>
      </c>
      <c r="I316">
        <f>-0.193797490892418*$F$49</f>
        <v>0</v>
      </c>
      <c r="J316">
        <f>0.655838406485224*$F$50</f>
        <v>0</v>
      </c>
      <c r="K316">
        <f>0.641894565600849*$F$51</f>
        <v>0</v>
      </c>
      <c r="L316">
        <f>-0.30885167092632*$F$52</f>
        <v>0</v>
      </c>
      <c r="M316">
        <f>-0.339798913375246*$F$53</f>
        <v>0</v>
      </c>
      <c r="N316">
        <f>-0.211474239056113*$F$54</f>
        <v>0</v>
      </c>
      <c r="P316">
        <v>1019711.2990555398</v>
      </c>
      <c r="Q316">
        <v>-13468.245202187012</v>
      </c>
      <c r="R316">
        <v>354761.73789563106</v>
      </c>
      <c r="S316">
        <v>742322.84918462648</v>
      </c>
      <c r="T316">
        <v>7.1171664667840238E-7</v>
      </c>
      <c r="U316">
        <v>3.1442201853150989E-11</v>
      </c>
      <c r="V316">
        <v>2.2368193603882721E-9</v>
      </c>
      <c r="W316">
        <v>1.2748063261839858E-7</v>
      </c>
      <c r="X316">
        <v>5.327919203242612E-6</v>
      </c>
      <c r="Y316">
        <v>1.3142739788517049E-6</v>
      </c>
      <c r="Z316">
        <v>0.67838038303515757</v>
      </c>
      <c r="AA316">
        <v>6.7621407606373293E-2</v>
      </c>
      <c r="AB316">
        <v>9.7885257609438874</v>
      </c>
      <c r="AD316">
        <v>0.97254494688294513</v>
      </c>
      <c r="AE316">
        <v>0.33487535540691732</v>
      </c>
      <c r="AF316">
        <v>1.05595046463054</v>
      </c>
      <c r="AG316">
        <v>2605454.2757819188</v>
      </c>
    </row>
    <row r="317" spans="2:33" ht="12.75" hidden="1" customHeight="1">
      <c r="B317">
        <f>-0.599420053481541*$F$42</f>
        <v>0</v>
      </c>
      <c r="C317">
        <f>0.292766065576715*$F$43</f>
        <v>0</v>
      </c>
      <c r="D317">
        <f>-0.508979233469645*$F$44</f>
        <v>0</v>
      </c>
      <c r="E317">
        <f>0.219954983273818*$F$45</f>
        <v>0</v>
      </c>
      <c r="F317">
        <f>-0.500034752736836*$F$46</f>
        <v>0</v>
      </c>
      <c r="G317">
        <f>-0.0810000960434875*$F$47</f>
        <v>0</v>
      </c>
      <c r="H317">
        <f>-0.631962943848477*$F$48</f>
        <v>0</v>
      </c>
      <c r="I317">
        <f>0.580721900801316*$F$49</f>
        <v>0</v>
      </c>
      <c r="J317">
        <f>0.0986390901494509*$F$50</f>
        <v>0</v>
      </c>
      <c r="K317">
        <f>-0.330263829217034*$F$51</f>
        <v>0</v>
      </c>
      <c r="L317">
        <f>0.175562926534119*$F$52</f>
        <v>0</v>
      </c>
      <c r="M317">
        <f>0.507944737018821*$F$53</f>
        <v>0</v>
      </c>
      <c r="N317">
        <f>0.514922028951933*$F$54</f>
        <v>0</v>
      </c>
      <c r="P317">
        <v>904487.32820381364</v>
      </c>
      <c r="Q317">
        <v>-13174.740563938196</v>
      </c>
      <c r="R317">
        <v>336394.4817869481</v>
      </c>
      <c r="S317">
        <v>739751.41495254776</v>
      </c>
      <c r="T317">
        <v>6.6499756730842148E-7</v>
      </c>
      <c r="U317">
        <v>3.0748899702265194E-11</v>
      </c>
      <c r="V317">
        <v>2.1546485229148503E-9</v>
      </c>
      <c r="W317">
        <v>1.3754938471041709E-7</v>
      </c>
      <c r="X317">
        <v>5.0493195450747254E-6</v>
      </c>
      <c r="Y317">
        <v>1.1942124170916962E-6</v>
      </c>
      <c r="Z317">
        <v>0.71228940485738823</v>
      </c>
      <c r="AA317">
        <v>7.3555613159131755E-2</v>
      </c>
      <c r="AB317">
        <v>10.514922028951933</v>
      </c>
      <c r="AD317">
        <v>1.3117181144885981</v>
      </c>
      <c r="AE317">
        <v>0.3975757864357724</v>
      </c>
      <c r="AF317">
        <v>0.77738720516224513</v>
      </c>
      <c r="AG317">
        <v>2824767.2825958733</v>
      </c>
    </row>
    <row r="318" spans="2:33" ht="12.75" hidden="1" customHeight="1">
      <c r="B318">
        <f>-0.378587463032161*$F$42</f>
        <v>0</v>
      </c>
      <c r="C318">
        <f>-0.413867592157178*$F$43</f>
        <v>0</v>
      </c>
      <c r="D318">
        <f>0.0389292369334094*$F$44</f>
        <v>0</v>
      </c>
      <c r="E318">
        <f>-0.16812984049706*$F$45</f>
        <v>0</v>
      </c>
      <c r="F318">
        <f>0.0873242729672535*$F$46</f>
        <v>0</v>
      </c>
      <c r="G318">
        <f>-0.294390663368258*$F$47</f>
        <v>0</v>
      </c>
      <c r="H318">
        <f>0.0868443810546538*$F$48</f>
        <v>0</v>
      </c>
      <c r="I318">
        <f>0.161483397132265*$F$49</f>
        <v>0</v>
      </c>
      <c r="J318">
        <f>-0.292052637546459*$F$50</f>
        <v>0</v>
      </c>
      <c r="K318">
        <f>0.0493402917619495*$F$51</f>
        <v>0</v>
      </c>
      <c r="L318">
        <f>0.132051048834245*$F$52</f>
        <v>0</v>
      </c>
      <c r="M318">
        <f>-0.318838627736487*$F$53</f>
        <v>0</v>
      </c>
      <c r="N318">
        <f>0.347646376245607*$F$54</f>
        <v>0</v>
      </c>
      <c r="P318">
        <v>925734.98322640208</v>
      </c>
      <c r="Q318">
        <v>-12270.249482038813</v>
      </c>
      <c r="R318">
        <v>355814.24605697137</v>
      </c>
      <c r="S318">
        <v>711660.65545546892</v>
      </c>
      <c r="T318">
        <v>7.0611269910770766E-7</v>
      </c>
      <c r="U318">
        <v>3.0087388943558405E-11</v>
      </c>
      <c r="V318">
        <v>2.3199742076425701E-9</v>
      </c>
      <c r="W318">
        <v>1.3209928416271944E-7</v>
      </c>
      <c r="X318">
        <v>4.8539736812267704E-6</v>
      </c>
      <c r="Y318">
        <v>1.2410935260326009E-6</v>
      </c>
      <c r="Z318">
        <v>0.70924357341839717</v>
      </c>
      <c r="AA318">
        <v>6.7768129605844593E-2</v>
      </c>
      <c r="AB318">
        <v>10.347646376245606</v>
      </c>
      <c r="AD318">
        <v>1.0858117133713747</v>
      </c>
      <c r="AE318">
        <v>0.33704167397690904</v>
      </c>
      <c r="AF318">
        <v>0.94391240828282874</v>
      </c>
      <c r="AG318">
        <v>2396887.6594973207</v>
      </c>
    </row>
    <row r="319" spans="2:33" ht="12.75" hidden="1" customHeight="1">
      <c r="B319">
        <f>-0.349778408996217*$F$42</f>
        <v>0</v>
      </c>
      <c r="C319">
        <f>-0.609660804736402*$F$43</f>
        <v>0</v>
      </c>
      <c r="D319">
        <f>0.248296755881948*$F$44</f>
        <v>0</v>
      </c>
      <c r="E319">
        <f>-0.820649922511682*$F$45</f>
        <v>0</v>
      </c>
      <c r="F319">
        <f>0.293260175457781*$F$46</f>
        <v>0</v>
      </c>
      <c r="G319">
        <f>-0.0277946594514735*$F$47</f>
        <v>0</v>
      </c>
      <c r="H319">
        <f>-0.0140241989524319*$F$48</f>
        <v>0</v>
      </c>
      <c r="I319">
        <f>0.152018308453057*$F$49</f>
        <v>0</v>
      </c>
      <c r="J319">
        <f>-0.145901506262578*$F$50</f>
        <v>0</v>
      </c>
      <c r="K319">
        <f>0.624484957036817*$F$51</f>
        <v>0</v>
      </c>
      <c r="L319">
        <f>-0.278610591424218*$F$52</f>
        <v>0</v>
      </c>
      <c r="M319">
        <f>-0.582388679485353*$F$53</f>
        <v>0</v>
      </c>
      <c r="N319">
        <f>0.10641921584686*$F$54</f>
        <v>0</v>
      </c>
      <c r="P319">
        <v>928506.87862661085</v>
      </c>
      <c r="Q319">
        <v>-12019.634169937406</v>
      </c>
      <c r="R319">
        <v>363234.95240376191</v>
      </c>
      <c r="S319">
        <v>664429.26796449954</v>
      </c>
      <c r="T319">
        <v>7.2052821228204469E-7</v>
      </c>
      <c r="U319">
        <v>3.0913836555700437E-11</v>
      </c>
      <c r="V319">
        <v>2.2967744342409407E-9</v>
      </c>
      <c r="W319">
        <v>1.3197623800988975E-7</v>
      </c>
      <c r="X319">
        <v>4.9270492468687116E-6</v>
      </c>
      <c r="Y319">
        <v>1.3121238921940469E-6</v>
      </c>
      <c r="Z319">
        <v>0.68049725860030474</v>
      </c>
      <c r="AA319">
        <v>6.5923279243602542E-2</v>
      </c>
      <c r="AB319">
        <v>10.106419215846859</v>
      </c>
      <c r="AD319">
        <v>0.80964624959410014</v>
      </c>
      <c r="AE319">
        <v>0.28021052580561262</v>
      </c>
      <c r="AF319">
        <v>1.2719366310283393</v>
      </c>
      <c r="AG319">
        <v>1910976.2785123847</v>
      </c>
    </row>
    <row r="320" spans="2:33" ht="12.75" hidden="1" customHeight="1">
      <c r="B320">
        <f>0.308408284275078*$F$42</f>
        <v>0</v>
      </c>
      <c r="C320">
        <f>0.128907253909178*$F$43</f>
        <v>0</v>
      </c>
      <c r="D320">
        <f>0.163480444606272*$F$44</f>
        <v>0</v>
      </c>
      <c r="E320">
        <f>-0.189467568126906*$F$45</f>
        <v>0</v>
      </c>
      <c r="F320">
        <f>-0.372644471072666*$F$46</f>
        <v>0</v>
      </c>
      <c r="G320">
        <f>0.0854811997857536*$F$47</f>
        <v>0</v>
      </c>
      <c r="H320">
        <f>0.324464890348919*$F$48</f>
        <v>0</v>
      </c>
      <c r="I320">
        <f>0.175926438123217*$F$49</f>
        <v>0</v>
      </c>
      <c r="J320">
        <f>-0.152572313150311*$F$50</f>
        <v>0</v>
      </c>
      <c r="K320">
        <f>0.456517385575826*$F$51</f>
        <v>0</v>
      </c>
      <c r="L320">
        <f>-0.346433957716234*$F$52</f>
        <v>0</v>
      </c>
      <c r="M320">
        <f>0.122405579798892*$F$53</f>
        <v>0</v>
      </c>
      <c r="N320">
        <f>-0.243563705180486*$F$54</f>
        <v>0</v>
      </c>
      <c r="P320">
        <v>991835.04848880507</v>
      </c>
      <c r="Q320">
        <v>-12965.001285003749</v>
      </c>
      <c r="R320">
        <v>360228.77005725633</v>
      </c>
      <c r="S320">
        <v>710116.16585332446</v>
      </c>
      <c r="T320">
        <v>6.7391488702491338E-7</v>
      </c>
      <c r="U320">
        <v>3.1264991719335838E-11</v>
      </c>
      <c r="V320">
        <v>2.3746269247802511E-9</v>
      </c>
      <c r="W320">
        <v>1.3228704369560182E-7</v>
      </c>
      <c r="X320">
        <v>4.9237138434248449E-6</v>
      </c>
      <c r="Y320">
        <v>1.2913798971186145E-6</v>
      </c>
      <c r="Z320">
        <v>0.67574962295986352</v>
      </c>
      <c r="AA320">
        <v>7.0856839058592247E-2</v>
      </c>
      <c r="AB320">
        <v>9.7564362948195136</v>
      </c>
      <c r="AD320">
        <v>0.87569367074875637</v>
      </c>
      <c r="AE320">
        <v>0.30692150356619219</v>
      </c>
      <c r="AF320">
        <v>1.1748500687214289</v>
      </c>
      <c r="AG320">
        <v>2290009.6159092537</v>
      </c>
    </row>
    <row r="321" spans="2:33" ht="12.75" hidden="1" customHeight="1">
      <c r="B321">
        <f>-0.118073884525249*$F$42</f>
        <v>0</v>
      </c>
      <c r="C321">
        <f>0.805373520036545*$F$43</f>
        <v>0</v>
      </c>
      <c r="D321">
        <f>-0.76317496350486*$F$44</f>
        <v>0</v>
      </c>
      <c r="E321">
        <f>0.231558591145394*$F$45</f>
        <v>0</v>
      </c>
      <c r="F321">
        <f>0.00487535112618934*$F$46</f>
        <v>0</v>
      </c>
      <c r="G321">
        <f>0.214457103936363*$F$47</f>
        <v>0</v>
      </c>
      <c r="H321">
        <f>0.69702228920785*$F$48</f>
        <v>0</v>
      </c>
      <c r="I321">
        <f>-0.114116978064885*$F$49</f>
        <v>0</v>
      </c>
      <c r="J321">
        <f>0.283102985950276*$F$50</f>
        <v>0</v>
      </c>
      <c r="K321">
        <f>-0.239715903386989*$F$51</f>
        <v>0</v>
      </c>
      <c r="L321">
        <f>0.0688644118606657*$F$52</f>
        <v>0</v>
      </c>
      <c r="M321">
        <f>-0.696122400180681*$F$53</f>
        <v>0</v>
      </c>
      <c r="N321">
        <f>-0.212329206198604*$F$54</f>
        <v>0</v>
      </c>
      <c r="P321">
        <v>950800.58895765245</v>
      </c>
      <c r="Q321">
        <v>-13830.878105646778</v>
      </c>
      <c r="R321">
        <v>327384.90916234715</v>
      </c>
      <c r="S321">
        <v>740591.31937048316</v>
      </c>
      <c r="T321">
        <v>7.003412745788333E-7</v>
      </c>
      <c r="U321">
        <v>3.1664817022202729E-11</v>
      </c>
      <c r="V321">
        <v>2.4603151265178054E-9</v>
      </c>
      <c r="W321">
        <v>1.285164792851565E-7</v>
      </c>
      <c r="X321">
        <v>5.1415514929751389E-6</v>
      </c>
      <c r="Y321">
        <v>1.2053950859317068E-6</v>
      </c>
      <c r="Z321">
        <v>0.70482050883024649</v>
      </c>
      <c r="AA321">
        <v>6.5127143198735235E-2</v>
      </c>
      <c r="AB321">
        <v>9.7876707938013965</v>
      </c>
      <c r="AD321">
        <v>1.2401478256088749</v>
      </c>
      <c r="AE321">
        <v>0.38760999204891289</v>
      </c>
      <c r="AF321">
        <v>0.82340376048684716</v>
      </c>
      <c r="AG321">
        <v>2899407.6560929115</v>
      </c>
    </row>
    <row r="322" spans="2:33" ht="12.75" hidden="1" customHeight="1">
      <c r="B322">
        <f>0.0588597003880704*$F$42</f>
        <v>0</v>
      </c>
      <c r="C322">
        <f>0.0329020476721081*$F$43</f>
        <v>0</v>
      </c>
      <c r="D322">
        <f>0.518215283275963*$F$44</f>
        <v>0</v>
      </c>
      <c r="E322">
        <f>0.190193637044993*$F$45</f>
        <v>0</v>
      </c>
      <c r="F322">
        <f>0.598328484570687*$F$46</f>
        <v>0</v>
      </c>
      <c r="G322">
        <f>-0.443962282882845*$F$47</f>
        <v>0</v>
      </c>
      <c r="H322">
        <f>-0.383067783254971*$F$48</f>
        <v>0</v>
      </c>
      <c r="I322">
        <f>0.0717193706725172*$F$49</f>
        <v>0</v>
      </c>
      <c r="J322">
        <f>-0.101762375036588*$F$50</f>
        <v>0</v>
      </c>
      <c r="K322">
        <f>-0.573954257766935*$F$51</f>
        <v>0</v>
      </c>
      <c r="L322">
        <f>-0.201144570048384*$F$52</f>
        <v>0</v>
      </c>
      <c r="M322">
        <f>-0.022606231591322*$F$53</f>
        <v>0</v>
      </c>
      <c r="N322">
        <f>0.335973672817052*$F$54</f>
        <v>0</v>
      </c>
      <c r="P322">
        <v>967824.45199570258</v>
      </c>
      <c r="Q322">
        <v>-12842.114621020297</v>
      </c>
      <c r="R322">
        <v>372801.79514712672</v>
      </c>
      <c r="S322">
        <v>737597.19822461717</v>
      </c>
      <c r="T322">
        <v>7.4188299391994806E-7</v>
      </c>
      <c r="U322">
        <v>2.9623716923063185E-11</v>
      </c>
      <c r="V322">
        <v>2.2118944098513564E-9</v>
      </c>
      <c r="W322">
        <v>1.3093235181874271E-7</v>
      </c>
      <c r="X322">
        <v>4.9491188124817066E-6</v>
      </c>
      <c r="Y322">
        <v>1.1641166491657836E-6</v>
      </c>
      <c r="Z322">
        <v>0.68591988009661309</v>
      </c>
      <c r="AA322">
        <v>6.9841756378860753E-2</v>
      </c>
      <c r="AB322">
        <v>10.335973672817051</v>
      </c>
      <c r="AD322">
        <v>0.98996926686221987</v>
      </c>
      <c r="AE322">
        <v>0.3315668548239934</v>
      </c>
      <c r="AF322">
        <v>1.0368790633335334</v>
      </c>
      <c r="AG322">
        <v>2433044.6021509296</v>
      </c>
    </row>
    <row r="323" spans="2:33" ht="12.75" hidden="1" customHeight="1">
      <c r="B323">
        <f>0.178136165998003*$F$42</f>
        <v>0</v>
      </c>
      <c r="C323">
        <f>0.101083185232606*$F$43</f>
        <v>0</v>
      </c>
      <c r="D323">
        <f>-0.265205060073475*$F$44</f>
        <v>0</v>
      </c>
      <c r="E323">
        <f>-0.0357295492544221*$F$45</f>
        <v>0</v>
      </c>
      <c r="F323">
        <f>0.419548762096679*$F$46</f>
        <v>0</v>
      </c>
      <c r="G323">
        <f>-0.0497366159775135*$F$47</f>
        <v>0</v>
      </c>
      <c r="H323">
        <f>-0.0646765163122414*$F$48</f>
        <v>0</v>
      </c>
      <c r="I323">
        <f>-0.274795415209033*$F$49</f>
        <v>0</v>
      </c>
      <c r="J323">
        <f>0.334121003976108*$F$50</f>
        <v>0</v>
      </c>
      <c r="K323">
        <f>0.0358775647378286*$F$51</f>
        <v>0</v>
      </c>
      <c r="L323">
        <f>-0.417501360336469*$F$52</f>
        <v>0</v>
      </c>
      <c r="M323">
        <f>0.231753681925943*$F$53</f>
        <v>0</v>
      </c>
      <c r="N323">
        <f>0.188955949393922*$F$54</f>
        <v>0</v>
      </c>
      <c r="P323">
        <v>979300.77072400379</v>
      </c>
      <c r="Q323">
        <v>-12929.386477097736</v>
      </c>
      <c r="R323">
        <v>345034.67853183678</v>
      </c>
      <c r="S323">
        <v>721244.19109209033</v>
      </c>
      <c r="T323">
        <v>7.293684133467676E-7</v>
      </c>
      <c r="U323">
        <v>3.084581649046971E-11</v>
      </c>
      <c r="V323">
        <v>2.2851244012481843E-9</v>
      </c>
      <c r="W323">
        <v>1.2642765960228257E-7</v>
      </c>
      <c r="X323">
        <v>5.1670605019880553E-6</v>
      </c>
      <c r="Y323">
        <v>1.2394308792451221E-6</v>
      </c>
      <c r="Z323">
        <v>0.67077490477644719</v>
      </c>
      <c r="AA323">
        <v>7.1622275773481611E-2</v>
      </c>
      <c r="AB323">
        <v>10.188955949393923</v>
      </c>
      <c r="AD323">
        <v>0.96887580035996868</v>
      </c>
      <c r="AE323">
        <v>0.33900097247697653</v>
      </c>
      <c r="AF323">
        <v>1.0593453181122146</v>
      </c>
      <c r="AG323">
        <v>2509804.2793391338</v>
      </c>
    </row>
    <row r="324" spans="2:33" ht="12.75" hidden="1" customHeight="1">
      <c r="B324">
        <f>0.120836852280657*$F$42</f>
        <v>0</v>
      </c>
      <c r="C324">
        <f>0.0313880582800567*$F$43</f>
        <v>0</v>
      </c>
      <c r="D324">
        <f>-0.827337933066941*$F$44</f>
        <v>0</v>
      </c>
      <c r="E324">
        <f>0.14791746621142*$F$45</f>
        <v>0</v>
      </c>
      <c r="F324">
        <f>-0.496404275317962*$F$46</f>
        <v>0</v>
      </c>
      <c r="G324">
        <f>0.253013550469045*$F$47</f>
        <v>0</v>
      </c>
      <c r="H324">
        <f>-0.0851881601827337*$F$48</f>
        <v>0</v>
      </c>
      <c r="I324">
        <f>-0.117809941530257*$F$49</f>
        <v>0</v>
      </c>
      <c r="J324">
        <f>-0.2674810386682*$F$50</f>
        <v>0</v>
      </c>
      <c r="K324">
        <f>0.368375912930829*$F$51</f>
        <v>0</v>
      </c>
      <c r="L324">
        <f>-0.339541349893646*$F$52</f>
        <v>0</v>
      </c>
      <c r="M324">
        <f>-0.37982297041059*$F$53</f>
        <v>0</v>
      </c>
      <c r="N324">
        <f>0.194855554684696*$F$54</f>
        <v>0</v>
      </c>
      <c r="P324">
        <v>973787.65307945793</v>
      </c>
      <c r="Q324">
        <v>-12840.176714598474</v>
      </c>
      <c r="R324">
        <v>325110.75241707242</v>
      </c>
      <c r="S324">
        <v>734537.12044109521</v>
      </c>
      <c r="T324">
        <v>6.6525170072774257E-7</v>
      </c>
      <c r="U324">
        <v>3.1784342006454043E-11</v>
      </c>
      <c r="V324">
        <v>2.2804067231579711E-9</v>
      </c>
      <c r="W324">
        <v>1.2846847076010666E-7</v>
      </c>
      <c r="X324">
        <v>4.8662594806658999E-6</v>
      </c>
      <c r="Y324">
        <v>1.2804944252469574E-6</v>
      </c>
      <c r="Z324">
        <v>0.67623210550744473</v>
      </c>
      <c r="AA324">
        <v>6.7341239207125869E-2</v>
      </c>
      <c r="AB324">
        <v>10.194855554684697</v>
      </c>
      <c r="AD324">
        <v>1.1017971114218028</v>
      </c>
      <c r="AE324">
        <v>0.37602349536556501</v>
      </c>
      <c r="AF324">
        <v>0.92904932118211625</v>
      </c>
      <c r="AG324">
        <v>2812189.9845263702</v>
      </c>
    </row>
    <row r="325" spans="2:33" ht="12.75" hidden="1" customHeight="1">
      <c r="B325">
        <f>1.21136170322979*$F$42</f>
        <v>0</v>
      </c>
      <c r="C325">
        <f>0.561851765961642*$F$43</f>
        <v>0</v>
      </c>
      <c r="D325">
        <f>0.769106940558599*$F$44</f>
        <v>0</v>
      </c>
      <c r="E325">
        <f>0.376751642960843*$F$45</f>
        <v>0</v>
      </c>
      <c r="F325">
        <f>0.0694640686709584*$F$46</f>
        <v>0</v>
      </c>
      <c r="G325">
        <f>0.260177507565021*$F$47</f>
        <v>0</v>
      </c>
      <c r="H325">
        <f>-0.0485298021411708*$F$48</f>
        <v>0</v>
      </c>
      <c r="I325">
        <f>0.493070667194124*$F$49</f>
        <v>0</v>
      </c>
      <c r="J325">
        <f>0.321205620585287*$F$50</f>
        <v>0</v>
      </c>
      <c r="K325">
        <f>0.259525266064751*$F$51</f>
        <v>0</v>
      </c>
      <c r="L325">
        <f>-0.0152678706910602*$F$52</f>
        <v>0</v>
      </c>
      <c r="M325">
        <f>-0.0769437761746664*$F$53</f>
        <v>0</v>
      </c>
      <c r="N325">
        <f>-0.18144263078758*$F$54</f>
        <v>0</v>
      </c>
      <c r="P325">
        <v>1078713.7230013618</v>
      </c>
      <c r="Q325">
        <v>-13519.170260430903</v>
      </c>
      <c r="R325">
        <v>381694.26004762395</v>
      </c>
      <c r="S325">
        <v>751100.83391311485</v>
      </c>
      <c r="T325">
        <v>7.0486248480696711E-7</v>
      </c>
      <c r="U325">
        <v>3.1806550273451567E-11</v>
      </c>
      <c r="V325">
        <v>2.2888381455075308E-9</v>
      </c>
      <c r="W325">
        <v>1.364099186735236E-7</v>
      </c>
      <c r="X325">
        <v>5.160602810292644E-6</v>
      </c>
      <c r="Y325">
        <v>1.2670513703589968E-6</v>
      </c>
      <c r="Z325">
        <v>0.69893124905162574</v>
      </c>
      <c r="AA325">
        <v>6.9461393566777344E-2</v>
      </c>
      <c r="AB325">
        <v>9.8185573692124191</v>
      </c>
      <c r="AD325">
        <v>0.89714212695782503</v>
      </c>
      <c r="AE325">
        <v>0.29446151963217049</v>
      </c>
      <c r="AF325">
        <v>1.1471042465975416</v>
      </c>
      <c r="AG325">
        <v>2401467.0043647364</v>
      </c>
    </row>
    <row r="326" spans="2:33" ht="12.75" hidden="1" customHeight="1">
      <c r="B326">
        <f>-0.294603965867397*$F$42</f>
        <v>0</v>
      </c>
      <c r="C326">
        <f>-0.141144334531156*$F$43</f>
        <v>0</v>
      </c>
      <c r="D326">
        <f>-0.194212468385573*$F$44</f>
        <v>0</v>
      </c>
      <c r="E326">
        <f>0.0795827579449349*$F$45</f>
        <v>0</v>
      </c>
      <c r="F326">
        <f>0.43035517570748*$F$46</f>
        <v>0</v>
      </c>
      <c r="G326">
        <f>0.356160075625195*$F$47</f>
        <v>0</v>
      </c>
      <c r="H326">
        <f>0.320641305884991*$F$48</f>
        <v>0</v>
      </c>
      <c r="I326">
        <f>-0.515800253329142*$F$49</f>
        <v>0</v>
      </c>
      <c r="J326">
        <f>-0.326835697189604*$F$50</f>
        <v>0</v>
      </c>
      <c r="K326">
        <f>0.323184619274242*$F$51</f>
        <v>0</v>
      </c>
      <c r="L326">
        <f>-0.0344843780780072*$F$52</f>
        <v>0</v>
      </c>
      <c r="M326">
        <f>0.24193461242196*$F$53</f>
        <v>0</v>
      </c>
      <c r="N326">
        <f>-0.575722414616071*$F$54</f>
        <v>0</v>
      </c>
      <c r="P326">
        <v>933815.54946762661</v>
      </c>
      <c r="Q326">
        <v>-12619.335251800121</v>
      </c>
      <c r="R326">
        <v>347550.90061995835</v>
      </c>
      <c r="S326">
        <v>729590.84648849617</v>
      </c>
      <c r="T326">
        <v>7.3012486229952354E-7</v>
      </c>
      <c r="U326">
        <v>3.2104096234438111E-11</v>
      </c>
      <c r="V326">
        <v>2.3737475003535478E-9</v>
      </c>
      <c r="W326">
        <v>1.2329459670672116E-7</v>
      </c>
      <c r="X326">
        <v>4.8365821514051983E-6</v>
      </c>
      <c r="Y326">
        <v>1.2749133004803689E-6</v>
      </c>
      <c r="Z326">
        <v>0.69758609353453949</v>
      </c>
      <c r="AA326">
        <v>7.1693542286953724E-2</v>
      </c>
      <c r="AB326">
        <v>9.4242775853839298</v>
      </c>
      <c r="AD326">
        <v>1.1070664962022265</v>
      </c>
      <c r="AE326">
        <v>0.35744784280124314</v>
      </c>
      <c r="AF326">
        <v>0.92556628733106416</v>
      </c>
      <c r="AG326">
        <v>2603818.5574359791</v>
      </c>
    </row>
    <row r="327" spans="2:33" ht="12.75" hidden="1" customHeight="1">
      <c r="B327">
        <f>-0.226195696632473*$F$42</f>
        <v>0</v>
      </c>
      <c r="C327">
        <f>-0.0497214476496605*$F$43</f>
        <v>0</v>
      </c>
      <c r="D327">
        <f>-0.231922493240901*$F$44</f>
        <v>0</v>
      </c>
      <c r="E327">
        <f>-0.38779903141025*$F$45</f>
        <v>0</v>
      </c>
      <c r="F327">
        <f>-0.203881196771061*$F$46</f>
        <v>0</v>
      </c>
      <c r="G327">
        <f>0.315899575289994*$F$47</f>
        <v>0</v>
      </c>
      <c r="H327">
        <f>0.279624680050728*$F$48</f>
        <v>0</v>
      </c>
      <c r="I327">
        <f>0.404522384011712*$F$49</f>
        <v>0</v>
      </c>
      <c r="J327">
        <f>-0.348946203777274*$F$50</f>
        <v>0</v>
      </c>
      <c r="K327">
        <f>-0.414486580596606*$F$51</f>
        <v>0</v>
      </c>
      <c r="L327">
        <f>-0.0938818239247702*$F$52</f>
        <v>0</v>
      </c>
      <c r="M327">
        <f>0.114988141232629*$F$53</f>
        <v>0</v>
      </c>
      <c r="N327">
        <f>-0.224912587893821*$F$54</f>
        <v>0</v>
      </c>
      <c r="P327">
        <v>940397.52770932636</v>
      </c>
      <c r="Q327">
        <v>-12736.356547008434</v>
      </c>
      <c r="R327">
        <v>346214.32739127934</v>
      </c>
      <c r="S327">
        <v>695760.3315239579</v>
      </c>
      <c r="T327">
        <v>6.8572831622602573E-7</v>
      </c>
      <c r="U327">
        <v>3.1979288683398985E-11</v>
      </c>
      <c r="V327">
        <v>2.3643136764116673E-9</v>
      </c>
      <c r="W327">
        <v>1.3525879099215226E-7</v>
      </c>
      <c r="X327">
        <v>4.8255268981113634E-6</v>
      </c>
      <c r="Y327">
        <v>1.1838109072963193E-6</v>
      </c>
      <c r="Z327">
        <v>0.69342827232526605</v>
      </c>
      <c r="AA327">
        <v>7.0804916988628397E-2</v>
      </c>
      <c r="AB327">
        <v>9.7750874121061795</v>
      </c>
      <c r="AD327">
        <v>0.98070680786352016</v>
      </c>
      <c r="AE327">
        <v>0.32390657303821313</v>
      </c>
      <c r="AF327">
        <v>1.0476774829408657</v>
      </c>
      <c r="AG327">
        <v>2333242.6069228444</v>
      </c>
    </row>
    <row r="328" spans="2:33" ht="12.75" hidden="1" customHeight="1">
      <c r="B328">
        <f>0.290959091445409*$F$42</f>
        <v>0</v>
      </c>
      <c r="C328">
        <f>-0.550703587766522*$F$43</f>
        <v>0</v>
      </c>
      <c r="D328">
        <f>-0.125887790698552*$F$44</f>
        <v>0</v>
      </c>
      <c r="E328">
        <f>-0.119279887376536*$F$45</f>
        <v>0</v>
      </c>
      <c r="F328">
        <f>0.0191694513396487*$F$46</f>
        <v>0</v>
      </c>
      <c r="G328">
        <f>-0.581371901148549*$F$47</f>
        <v>0</v>
      </c>
      <c r="H328">
        <f>0.116873026331631*$F$48</f>
        <v>0</v>
      </c>
      <c r="I328">
        <f>0.463545708897656*$F$49</f>
        <v>0</v>
      </c>
      <c r="J328">
        <f>0.123588334349642*$F$50</f>
        <v>0</v>
      </c>
      <c r="K328">
        <f>-0.33464819954324*$F$51</f>
        <v>0</v>
      </c>
      <c r="L328">
        <f>0.104574365323219*$F$52</f>
        <v>0</v>
      </c>
      <c r="M328">
        <f>-0.155686509742954*$F$53</f>
        <v>0</v>
      </c>
      <c r="N328">
        <f>-0.567361636370832*$F$54</f>
        <v>0</v>
      </c>
      <c r="P328">
        <v>990156.15485760232</v>
      </c>
      <c r="Q328">
        <v>-12095.099407658852</v>
      </c>
      <c r="R328">
        <v>349972.56264232349</v>
      </c>
      <c r="S328">
        <v>715196.56358817755</v>
      </c>
      <c r="T328">
        <v>7.0134186159377537E-7</v>
      </c>
      <c r="U328">
        <v>2.9197747106439499E-11</v>
      </c>
      <c r="V328">
        <v>2.3268807960562754E-9</v>
      </c>
      <c r="W328">
        <v>1.3602609421566954E-7</v>
      </c>
      <c r="X328">
        <v>5.0617941671748218E-6</v>
      </c>
      <c r="Y328">
        <v>1.1936709473564099E-6</v>
      </c>
      <c r="Z328">
        <v>0.70732020557262532</v>
      </c>
      <c r="AA328">
        <v>6.8910194431799326E-2</v>
      </c>
      <c r="AB328">
        <v>9.4326383636291684</v>
      </c>
      <c r="AD328">
        <v>0.99900254401533162</v>
      </c>
      <c r="AE328">
        <v>0.31671029721555771</v>
      </c>
      <c r="AF328">
        <v>1.0288916712885778</v>
      </c>
      <c r="AG328">
        <v>2414945.6988322651</v>
      </c>
    </row>
    <row r="329" spans="2:33" ht="12.75" hidden="1" customHeight="1">
      <c r="B329">
        <f>-0.671205823964699*$F$42</f>
        <v>0</v>
      </c>
      <c r="C329">
        <f>-0.399869715264385*$F$43</f>
        <v>0</v>
      </c>
      <c r="D329">
        <f>0.23347690281164*$F$44</f>
        <v>0</v>
      </c>
      <c r="E329">
        <f>0.470208394148856*$F$45</f>
        <v>0</v>
      </c>
      <c r="F329">
        <f>-0.74548999778775*$F$46</f>
        <v>0</v>
      </c>
      <c r="G329">
        <f>0.168504077650874*$F$47</f>
        <v>0</v>
      </c>
      <c r="H329">
        <f>0.0565399193801542*$F$48</f>
        <v>0</v>
      </c>
      <c r="I329">
        <f>0.44137954474468*$F$49</f>
        <v>0</v>
      </c>
      <c r="J329">
        <f>-0.186354422226998*$F$50</f>
        <v>0</v>
      </c>
      <c r="K329">
        <f>0.285151635779022*$F$51</f>
        <v>0</v>
      </c>
      <c r="L329">
        <f>-0.596283303317107*$F$52</f>
        <v>0</v>
      </c>
      <c r="M329">
        <f>0.314851908521359*$F$53</f>
        <v>0</v>
      </c>
      <c r="N329">
        <f>0.101238675574037*$F$54</f>
        <v>0</v>
      </c>
      <c r="P329">
        <v>897580.37989671365</v>
      </c>
      <c r="Q329">
        <v>-12288.166764461588</v>
      </c>
      <c r="R329">
        <v>362709.68574210571</v>
      </c>
      <c r="S329">
        <v>757865.51771469205</v>
      </c>
      <c r="T329">
        <v>6.4781570015485748E-7</v>
      </c>
      <c r="U329">
        <v>3.1522362640717719E-11</v>
      </c>
      <c r="V329">
        <v>2.3130041814574354E-9</v>
      </c>
      <c r="W329">
        <v>1.3573793408168084E-7</v>
      </c>
      <c r="X329">
        <v>4.9068227888865016E-6</v>
      </c>
      <c r="Y329">
        <v>1.2702162270187093E-6</v>
      </c>
      <c r="Z329">
        <v>0.65826016876780247</v>
      </c>
      <c r="AA329">
        <v>7.2203963359649515E-2</v>
      </c>
      <c r="AB329">
        <v>10.101238675574038</v>
      </c>
      <c r="AD329">
        <v>1.1048835366223355</v>
      </c>
      <c r="AE329">
        <v>0.39604494544304192</v>
      </c>
      <c r="AF329">
        <v>0.92614395555338169</v>
      </c>
      <c r="AG329">
        <v>2732158.5459316107</v>
      </c>
    </row>
    <row r="330" spans="2:33" ht="12.75" hidden="1" customHeight="1">
      <c r="B330">
        <f>0.691644089165457*$F$42</f>
        <v>0</v>
      </c>
      <c r="C330">
        <f>-0.46752658869384*$F$43</f>
        <v>0</v>
      </c>
      <c r="D330">
        <f>-0.16320074546818*$F$44</f>
        <v>0</v>
      </c>
      <c r="E330">
        <f>0.269000856953828*$F$45</f>
        <v>0</v>
      </c>
      <c r="F330">
        <f>-0.424503588578705*$F$46</f>
        <v>0</v>
      </c>
      <c r="G330">
        <f>0.36023651117028*$F$47</f>
        <v>0</v>
      </c>
      <c r="H330">
        <f>-0.0543482024151737*$F$48</f>
        <v>0</v>
      </c>
      <c r="I330">
        <f>0.12888521601017*$F$49</f>
        <v>0</v>
      </c>
      <c r="J330">
        <f>-0.109651855656897*$F$50</f>
        <v>0</v>
      </c>
      <c r="K330">
        <f>-0.0820418683633133*$F$51</f>
        <v>0</v>
      </c>
      <c r="L330">
        <f>-0.263518958959153*$F$52</f>
        <v>0</v>
      </c>
      <c r="M330">
        <f>0.169540047044265*$F$53</f>
        <v>0</v>
      </c>
      <c r="N330">
        <f>-0.00289876348030299*$F$54</f>
        <v>0</v>
      </c>
      <c r="P330">
        <v>1028708.5106804343</v>
      </c>
      <c r="Q330">
        <v>-12201.565966471886</v>
      </c>
      <c r="R330">
        <v>348650.06294577534</v>
      </c>
      <c r="S330">
        <v>743301.50441103848</v>
      </c>
      <c r="T330">
        <v>6.7028474879949058E-7</v>
      </c>
      <c r="U330">
        <v>3.2116733184627872E-11</v>
      </c>
      <c r="V330">
        <v>2.28749991344451E-9</v>
      </c>
      <c r="W330">
        <v>1.3167550780813222E-7</v>
      </c>
      <c r="X330">
        <v>4.9451740721715518E-6</v>
      </c>
      <c r="Y330">
        <v>1.2248678292571308E-6</v>
      </c>
      <c r="Z330">
        <v>0.68155367287285928</v>
      </c>
      <c r="AA330">
        <v>7.1186780329309862E-2</v>
      </c>
      <c r="AB330">
        <v>9.997101236519697</v>
      </c>
      <c r="AD330">
        <v>0.98717272272687029</v>
      </c>
      <c r="AE330">
        <v>0.33655038385383362</v>
      </c>
      <c r="AF330">
        <v>1.0402315260194588</v>
      </c>
      <c r="AG330">
        <v>2648132.4241674868</v>
      </c>
    </row>
    <row r="331" spans="2:33" ht="12.75" hidden="1" customHeight="1">
      <c r="B331">
        <f>-0.00201555292322278*$F$42</f>
        <v>0</v>
      </c>
      <c r="C331">
        <f>0.742343036375917*$F$43</f>
        <v>0</v>
      </c>
      <c r="D331">
        <f>0.449653333955239*$F$44</f>
        <v>0</v>
      </c>
      <c r="E331">
        <f>0.830563239068257*$F$45</f>
        <v>0</v>
      </c>
      <c r="F331">
        <f>-0.158897942258888*$F$46</f>
        <v>0</v>
      </c>
      <c r="G331">
        <f>-0.125400463824755*$F$47</f>
        <v>0</v>
      </c>
      <c r="H331">
        <f>0.14596638267499*$F$48</f>
        <v>0</v>
      </c>
      <c r="I331">
        <f>0.0175925064426185*$F$49</f>
        <v>0</v>
      </c>
      <c r="J331">
        <f>0.50150033035762*$F$50</f>
        <v>0</v>
      </c>
      <c r="K331">
        <f>-0.313718095892876*$F$51</f>
        <v>0</v>
      </c>
      <c r="L331">
        <f>-0.335473075189099*$F$52</f>
        <v>0</v>
      </c>
      <c r="M331">
        <f>0.786448256309261*$F$53</f>
        <v>0</v>
      </c>
      <c r="N331">
        <f>0.0510626214595621*$F$54</f>
        <v>0</v>
      </c>
      <c r="P331">
        <v>961967.2713180728</v>
      </c>
      <c r="Q331">
        <v>-13750.199086561173</v>
      </c>
      <c r="R331">
        <v>370371.72340043104</v>
      </c>
      <c r="S331">
        <v>783949.097030884</v>
      </c>
      <c r="T331">
        <v>6.8887714404187781E-7</v>
      </c>
      <c r="U331">
        <v>3.061125856214326E-11</v>
      </c>
      <c r="V331">
        <v>2.3335722680152473E-9</v>
      </c>
      <c r="W331">
        <v>1.3022870258375404E-7</v>
      </c>
      <c r="X331">
        <v>5.2507501651788105E-6</v>
      </c>
      <c r="Y331">
        <v>1.1962558151572299E-6</v>
      </c>
      <c r="Z331">
        <v>0.67651688473676308</v>
      </c>
      <c r="AA331">
        <v>7.5505137794164831E-2</v>
      </c>
      <c r="AB331">
        <v>10.051062621459561</v>
      </c>
      <c r="AD331">
        <v>1.1219697026052327</v>
      </c>
      <c r="AE331">
        <v>0.38243366805608653</v>
      </c>
      <c r="AF331">
        <v>0.9120892666669751</v>
      </c>
      <c r="AG331">
        <v>2841043.0727741164</v>
      </c>
    </row>
    <row r="332" spans="2:33" ht="12.75" hidden="1" customHeight="1">
      <c r="B332">
        <f>0.262365071001336*$F$42</f>
        <v>0</v>
      </c>
      <c r="C332">
        <f>0.411035341096695*$F$43</f>
        <v>0</v>
      </c>
      <c r="D332">
        <f>0.556210529708288*$F$44</f>
        <v>0</v>
      </c>
      <c r="E332">
        <f>0.473114804700635*$F$45</f>
        <v>0</v>
      </c>
      <c r="F332">
        <f>0.414062893471481*$F$46</f>
        <v>0</v>
      </c>
      <c r="G332">
        <f>-0.0279495753979585*$F$47</f>
        <v>0</v>
      </c>
      <c r="H332">
        <f>-0.110566964358074*$F$48</f>
        <v>0</v>
      </c>
      <c r="I332">
        <f>-0.55083855897383*$F$49</f>
        <v>0</v>
      </c>
      <c r="J332">
        <f>0.280567660623217*$F$50</f>
        <v>0</v>
      </c>
      <c r="K332">
        <f>-0.0595172439578948*$F$51</f>
        <v>0</v>
      </c>
      <c r="L332">
        <f>0.157950605992592*$F$52</f>
        <v>0</v>
      </c>
      <c r="M332">
        <f>-0.0502313063169824*$F$53</f>
        <v>0</v>
      </c>
      <c r="N332">
        <f>-0.171337555571359*$F$54</f>
        <v>0</v>
      </c>
      <c r="P332">
        <v>987404.94915527303</v>
      </c>
      <c r="Q332">
        <v>-13326.12523660377</v>
      </c>
      <c r="R332">
        <v>374148.47761136096</v>
      </c>
      <c r="S332">
        <v>758075.89254722605</v>
      </c>
      <c r="T332">
        <v>7.2898440254300359E-7</v>
      </c>
      <c r="U332">
        <v>3.0913356316266334E-11</v>
      </c>
      <c r="V332">
        <v>2.2745695981976427E-9</v>
      </c>
      <c r="W332">
        <v>1.2283909873334021E-7</v>
      </c>
      <c r="X332">
        <v>5.1402838303116087E-6</v>
      </c>
      <c r="Y332">
        <v>1.2276496203712E-6</v>
      </c>
      <c r="Z332">
        <v>0.71105654241948135</v>
      </c>
      <c r="AA332">
        <v>6.9648380855781136E-2</v>
      </c>
      <c r="AB332">
        <v>9.828662444428641</v>
      </c>
      <c r="AD332">
        <v>1.0930803928463697</v>
      </c>
      <c r="AE332">
        <v>0.33926526530273343</v>
      </c>
      <c r="AF332">
        <v>0.93795276447667386</v>
      </c>
      <c r="AG332">
        <v>2604235.0575373247</v>
      </c>
    </row>
    <row r="333" spans="2:33" ht="12.75" hidden="1" customHeight="1">
      <c r="B333">
        <f>0.100006256764846*$F$42</f>
        <v>0</v>
      </c>
      <c r="C333">
        <f>-0.232420319738136*$F$43</f>
        <v>0</v>
      </c>
      <c r="D333">
        <f>-0.118597836321593*$F$44</f>
        <v>0</v>
      </c>
      <c r="E333">
        <f>0.122409056880304*$F$45</f>
        <v>0</v>
      </c>
      <c r="F333">
        <f>0.396581684969166*$F$46</f>
        <v>0</v>
      </c>
      <c r="G333">
        <f>-0.36308720083112*$F$47</f>
        <v>0</v>
      </c>
      <c r="H333">
        <f>0.280082659610047*$F$48</f>
        <v>0</v>
      </c>
      <c r="I333">
        <f>-0.318119848141171*$F$49</f>
        <v>0</v>
      </c>
      <c r="J333">
        <f>0.286737390545449*$F$50</f>
        <v>0</v>
      </c>
      <c r="K333">
        <f>0.290891849040361*$F$51</f>
        <v>0</v>
      </c>
      <c r="L333">
        <f>0.130704390475949*$F$52</f>
        <v>0</v>
      </c>
      <c r="M333">
        <f>-0.686735912552635*$F$53</f>
        <v>0</v>
      </c>
      <c r="N333">
        <f>-0.0513721434532357*$F$54</f>
        <v>0</v>
      </c>
      <c r="P333">
        <v>971783.41400163725</v>
      </c>
      <c r="Q333">
        <v>-12502.501990735185</v>
      </c>
      <c r="R333">
        <v>350230.94374644407</v>
      </c>
      <c r="S333">
        <v>732690.74421666318</v>
      </c>
      <c r="T333">
        <v>7.2776071794784157E-7</v>
      </c>
      <c r="U333">
        <v>2.9874429677423531E-11</v>
      </c>
      <c r="V333">
        <v>2.3644190117103108E-9</v>
      </c>
      <c r="W333">
        <v>1.2586444197416479E-7</v>
      </c>
      <c r="X333">
        <v>5.1433686952727245E-6</v>
      </c>
      <c r="Y333">
        <v>1.2709251433564844E-6</v>
      </c>
      <c r="Z333">
        <v>0.70914930733331638</v>
      </c>
      <c r="AA333">
        <v>6.5192848612131565E-2</v>
      </c>
      <c r="AB333">
        <v>9.9486278565467643</v>
      </c>
      <c r="AD333">
        <v>1.1111392338585142</v>
      </c>
      <c r="AE333">
        <v>0.34600829024429958</v>
      </c>
      <c r="AF333">
        <v>0.9219943759962097</v>
      </c>
      <c r="AG333">
        <v>2612255.7356299805</v>
      </c>
    </row>
    <row r="334" spans="2:33" ht="12.75" hidden="1" customHeight="1">
      <c r="B334">
        <f>-0.214384842057904*$F$42</f>
        <v>0</v>
      </c>
      <c r="C334">
        <f>0.0832624063597448*$F$43</f>
        <v>0</v>
      </c>
      <c r="D334">
        <f>-0.247840985071199*$F$44</f>
        <v>0</v>
      </c>
      <c r="E334">
        <f>-0.0235097373518122*$F$45</f>
        <v>0</v>
      </c>
      <c r="F334">
        <f>0.269703189048262*$F$46</f>
        <v>0</v>
      </c>
      <c r="G334">
        <f>-0.0309831251712046*$F$47</f>
        <v>0</v>
      </c>
      <c r="H334">
        <f>0.40397924579999*$F$48</f>
        <v>0</v>
      </c>
      <c r="I334">
        <f>0.0376391336213161*$F$49</f>
        <v>0</v>
      </c>
      <c r="J334">
        <f>-0.0988533383812789*$F$50</f>
        <v>0</v>
      </c>
      <c r="K334">
        <f>-0.201920786662587*$F$51</f>
        <v>0</v>
      </c>
      <c r="L334">
        <f>0.742896465032026*$F$52</f>
        <v>0</v>
      </c>
      <c r="M334">
        <f>0.0169492543576549*$F$53</f>
        <v>0</v>
      </c>
      <c r="N334">
        <f>-0.310891436998527*$F$54</f>
        <v>0</v>
      </c>
      <c r="P334">
        <v>941533.92231037561</v>
      </c>
      <c r="Q334">
        <v>-12906.575880140474</v>
      </c>
      <c r="R334">
        <v>345650.12118608732</v>
      </c>
      <c r="S334">
        <v>722128.69823132956</v>
      </c>
      <c r="T334">
        <v>7.1887922323337836E-7</v>
      </c>
      <c r="U334">
        <v>3.0903952311969266E-11</v>
      </c>
      <c r="V334">
        <v>2.3929152265339975E-9</v>
      </c>
      <c r="W334">
        <v>1.3048930873707712E-7</v>
      </c>
      <c r="X334">
        <v>4.9505733308093613E-6</v>
      </c>
      <c r="Y334">
        <v>1.2100627828471705E-6</v>
      </c>
      <c r="Z334">
        <v>0.7520027525522418</v>
      </c>
      <c r="AA334">
        <v>7.0118644780503586E-2</v>
      </c>
      <c r="AB334">
        <v>9.6891085630014722</v>
      </c>
      <c r="AD334">
        <v>1.2864211059055251</v>
      </c>
      <c r="AE334">
        <v>0.34417900401758139</v>
      </c>
      <c r="AF334">
        <v>0.79409195388539655</v>
      </c>
      <c r="AG334">
        <v>2576914.9933032049</v>
      </c>
    </row>
    <row r="335" spans="2:33" ht="12.75" hidden="1" customHeight="1">
      <c r="B335">
        <f>0.459421044964606*$F$42</f>
        <v>0</v>
      </c>
      <c r="C335">
        <f>-0.197871885815118*$F$43</f>
        <v>0</v>
      </c>
      <c r="D335">
        <f>-0.160062162138387*$F$44</f>
        <v>0</v>
      </c>
      <c r="E335">
        <f>0.0986777848168994*$F$45</f>
        <v>0</v>
      </c>
      <c r="F335">
        <f>0.392752170381357*$F$46</f>
        <v>0</v>
      </c>
      <c r="G335">
        <f>-0.0157569630486908*$F$47</f>
        <v>0</v>
      </c>
      <c r="H335">
        <f>-0.686990867852724*$F$48</f>
        <v>0</v>
      </c>
      <c r="I335">
        <f>-0.282054249177376*$F$49</f>
        <v>0</v>
      </c>
      <c r="J335">
        <f>-0.180784837127615*$F$50</f>
        <v>0</v>
      </c>
      <c r="K335">
        <f>0.39794589983504*$F$51</f>
        <v>0</v>
      </c>
      <c r="L335">
        <f>0.18238743009251*$F$52</f>
        <v>0</v>
      </c>
      <c r="M335">
        <f>-0.3871165278955*$F$53</f>
        <v>0</v>
      </c>
      <c r="N335">
        <f>-0.141901378637571*$F$54</f>
        <v>0</v>
      </c>
      <c r="P335">
        <v>1006364.9103928398</v>
      </c>
      <c r="Q335">
        <v>-12546.723986156649</v>
      </c>
      <c r="R335">
        <v>348761.30515446316</v>
      </c>
      <c r="S335">
        <v>730973.00259096525</v>
      </c>
      <c r="T335">
        <v>7.2749265192669496E-7</v>
      </c>
      <c r="U335">
        <v>3.0951153414549061E-11</v>
      </c>
      <c r="V335">
        <v>2.1419921003938734E-9</v>
      </c>
      <c r="W335">
        <v>1.2633329476069412E-7</v>
      </c>
      <c r="X335">
        <v>4.909607581436193E-6</v>
      </c>
      <c r="Y335">
        <v>1.2841463186296273E-6</v>
      </c>
      <c r="Z335">
        <v>0.71276712010647569</v>
      </c>
      <c r="AA335">
        <v>6.7290184304731507E-2</v>
      </c>
      <c r="AB335">
        <v>9.8580986213624282</v>
      </c>
      <c r="AD335">
        <v>1.067611705674347</v>
      </c>
      <c r="AE335">
        <v>0.33031381668491622</v>
      </c>
      <c r="AF335">
        <v>0.96106799751210914</v>
      </c>
      <c r="AG335">
        <v>2574356.1867866027</v>
      </c>
    </row>
    <row r="336" spans="2:33" ht="12.75" hidden="1" customHeight="1">
      <c r="B336">
        <f>-0.0214622207080049*$F$42</f>
        <v>0</v>
      </c>
      <c r="C336">
        <f>-0.130423517090347*$F$43</f>
        <v>0</v>
      </c>
      <c r="D336">
        <f>0.119506477745128*$F$44</f>
        <v>0</v>
      </c>
      <c r="E336">
        <f>-0.261433161715982*$F$45</f>
        <v>0</v>
      </c>
      <c r="F336">
        <f>0.0203316502438515*$F$46</f>
        <v>0</v>
      </c>
      <c r="G336">
        <f>0.00888713405555768*$F$47</f>
        <v>0</v>
      </c>
      <c r="H336">
        <f>-0.0228287191946109*$F$48</f>
        <v>0</v>
      </c>
      <c r="I336">
        <f>-0.36420348571762*$F$49</f>
        <v>0</v>
      </c>
      <c r="J336">
        <f>-0.464032855657225*$F$50</f>
        <v>0</v>
      </c>
      <c r="K336">
        <f>-0.0347737999891777*$F$51</f>
        <v>0</v>
      </c>
      <c r="L336">
        <f>0.312016611539147*$F$52</f>
        <v>0</v>
      </c>
      <c r="M336">
        <f>-0.00486919644283779*$F$53</f>
        <v>0</v>
      </c>
      <c r="N336">
        <f>0.34463214329666*$F$54</f>
        <v>0</v>
      </c>
      <c r="P336">
        <v>960096.18839689204</v>
      </c>
      <c r="Q336">
        <v>-12633.057898124356</v>
      </c>
      <c r="R336">
        <v>358670.18113850313</v>
      </c>
      <c r="S336">
        <v>704907.07738155068</v>
      </c>
      <c r="T336">
        <v>7.0142321551706957E-7</v>
      </c>
      <c r="U336">
        <v>3.102755011557223E-11</v>
      </c>
      <c r="V336">
        <v>2.2947493945852393E-9</v>
      </c>
      <c r="W336">
        <v>1.2526535468567094E-7</v>
      </c>
      <c r="X336">
        <v>4.7679835721713878E-6</v>
      </c>
      <c r="Y336">
        <v>1.2307054357013366E-6</v>
      </c>
      <c r="Z336">
        <v>0.72184116280774024</v>
      </c>
      <c r="AA336">
        <v>6.9965915624900135E-2</v>
      </c>
      <c r="AB336">
        <v>10.344632143296659</v>
      </c>
      <c r="AD336">
        <v>1.0370833226351555</v>
      </c>
      <c r="AE336">
        <v>0.3110903438713622</v>
      </c>
      <c r="AF336">
        <v>0.99025714263307751</v>
      </c>
      <c r="AG336">
        <v>2285083.8035644917</v>
      </c>
    </row>
    <row r="337" spans="2:33" ht="12.75" hidden="1" customHeight="1">
      <c r="B337">
        <f>0.249191914530437*$F$42</f>
        <v>0</v>
      </c>
      <c r="C337">
        <f>-0.250682807136744*$F$43</f>
        <v>0</v>
      </c>
      <c r="D337">
        <f>0.12325396831966*$F$44</f>
        <v>0</v>
      </c>
      <c r="E337">
        <f>-0.422948130523736*$F$45</f>
        <v>0</v>
      </c>
      <c r="F337">
        <f>0.19679193020001*$F$46</f>
        <v>0</v>
      </c>
      <c r="G337">
        <f>-0.463554231445196*$F$47</f>
        <v>0</v>
      </c>
      <c r="H337">
        <f>-0.377948517414736*$F$48</f>
        <v>0</v>
      </c>
      <c r="I337">
        <f>-0.460161051590452*$F$49</f>
        <v>0</v>
      </c>
      <c r="J337">
        <f>0.193771239870665*$F$50</f>
        <v>0</v>
      </c>
      <c r="K337">
        <f>-0.169688716949713*$F$51</f>
        <v>0</v>
      </c>
      <c r="L337">
        <f>-0.0121300475615773*$F$52</f>
        <v>0</v>
      </c>
      <c r="M337">
        <f>-0.431223411815543*$F$53</f>
        <v>0</v>
      </c>
      <c r="N337">
        <f>0.286882284450727*$F$54</f>
        <v>0</v>
      </c>
      <c r="P337">
        <v>986137.47915149026</v>
      </c>
      <c r="Q337">
        <v>-12479.126006864968</v>
      </c>
      <c r="R337">
        <v>358803.00511822372</v>
      </c>
      <c r="S337">
        <v>693216.13286104181</v>
      </c>
      <c r="T337">
        <v>7.1377543511400078E-7</v>
      </c>
      <c r="U337">
        <v>2.9562981882519895E-11</v>
      </c>
      <c r="V337">
        <v>2.2130718409946107E-9</v>
      </c>
      <c r="W337">
        <v>1.2401790632932413E-7</v>
      </c>
      <c r="X337">
        <v>5.0968856199353335E-6</v>
      </c>
      <c r="Y337">
        <v>1.2140434434567105E-6</v>
      </c>
      <c r="Z337">
        <v>0.69915089667068953</v>
      </c>
      <c r="AA337">
        <v>6.6981436117291196E-2</v>
      </c>
      <c r="AB337">
        <v>10.286882284450726</v>
      </c>
      <c r="AD337">
        <v>0.90043213059735794</v>
      </c>
      <c r="AE337">
        <v>0.29289703175856951</v>
      </c>
      <c r="AF337">
        <v>1.1418298832077056</v>
      </c>
      <c r="AG337">
        <v>2160467.2937583099</v>
      </c>
    </row>
    <row r="338" spans="2:33" ht="12.75" hidden="1" customHeight="1">
      <c r="B338">
        <f>-0.0623246385504619*$F$42</f>
        <v>0</v>
      </c>
      <c r="C338">
        <f>-0.341201967259454*$F$43</f>
        <v>0</v>
      </c>
      <c r="D338">
        <f>-0.161100445967902*$F$44</f>
        <v>0</v>
      </c>
      <c r="E338">
        <f>-0.495001613986622*$F$45</f>
        <v>0</v>
      </c>
      <c r="F338">
        <f>0.142256482692337*$F$46</f>
        <v>0</v>
      </c>
      <c r="G338">
        <f>0.0302782502220589*$F$47</f>
        <v>0</v>
      </c>
      <c r="H338">
        <f>-0.962552485441038*$F$48</f>
        <v>0</v>
      </c>
      <c r="I338">
        <f>0.0655354509343045*$F$49</f>
        <v>0</v>
      </c>
      <c r="J338">
        <f>-0.262674967413379*$F$50</f>
        <v>0</v>
      </c>
      <c r="K338">
        <f>-0.0351130000560425*$F$51</f>
        <v>0</v>
      </c>
      <c r="L338">
        <f>0.571551636823284*$F$52</f>
        <v>0</v>
      </c>
      <c r="M338">
        <f>-0.463454546644314*$F$53</f>
        <v>0</v>
      </c>
      <c r="N338">
        <f>-0.101292876918095*$F$54</f>
        <v>0</v>
      </c>
      <c r="P338">
        <v>956164.56509827205</v>
      </c>
      <c r="Q338">
        <v>-12363.261481907899</v>
      </c>
      <c r="R338">
        <v>348724.50479764491</v>
      </c>
      <c r="S338">
        <v>688000.68265297683</v>
      </c>
      <c r="T338">
        <v>7.0995795378846361E-7</v>
      </c>
      <c r="U338">
        <v>3.1093862575688386E-11</v>
      </c>
      <c r="V338">
        <v>2.0786129283485609E-9</v>
      </c>
      <c r="W338">
        <v>1.3085196086214595E-7</v>
      </c>
      <c r="X338">
        <v>4.868662516293311E-6</v>
      </c>
      <c r="Y338">
        <v>1.2306635444930787E-6</v>
      </c>
      <c r="Z338">
        <v>0.7400086145776299</v>
      </c>
      <c r="AA338">
        <v>6.6755818173489814E-2</v>
      </c>
      <c r="AB338">
        <v>9.8987071230819055</v>
      </c>
      <c r="AD338">
        <v>1.0687938907399328</v>
      </c>
      <c r="AE338">
        <v>0.30366517158761025</v>
      </c>
      <c r="AF338">
        <v>0.96088969823893922</v>
      </c>
      <c r="AG338">
        <v>2253008.6538806492</v>
      </c>
    </row>
    <row r="339" spans="2:33" ht="12.75" hidden="1" customHeight="1">
      <c r="B339">
        <f>-0.16922084674702*$F$42</f>
        <v>0</v>
      </c>
      <c r="C339">
        <f>-0.271122552656176*$F$43</f>
        <v>0</v>
      </c>
      <c r="D339">
        <f>-0.25478963824471*$F$44</f>
        <v>0</v>
      </c>
      <c r="E339">
        <f>0.176250340699906*$F$45</f>
        <v>0</v>
      </c>
      <c r="F339">
        <f>-0.267957921731796*$F$46</f>
        <v>0</v>
      </c>
      <c r="G339">
        <f>-0.263004109185154*$F$47</f>
        <v>0</v>
      </c>
      <c r="H339">
        <f>-0.370513340935901*$F$48</f>
        <v>0</v>
      </c>
      <c r="I339">
        <f>-0.109999641308041*$F$49</f>
        <v>0</v>
      </c>
      <c r="J339">
        <f>0.0710166914451455*$F$50</f>
        <v>0</v>
      </c>
      <c r="K339">
        <f>-0.228334169714708*$F$51</f>
        <v>0</v>
      </c>
      <c r="L339">
        <f>0.0909823695497426*$F$52</f>
        <v>0</v>
      </c>
      <c r="M339">
        <f>-0.853532851326379*$F$53</f>
        <v>0</v>
      </c>
      <c r="N339">
        <f>-0.0478085884450758*$F$54</f>
        <v>0</v>
      </c>
      <c r="P339">
        <v>945879.42670288705</v>
      </c>
      <c r="Q339">
        <v>-12452.963132600094</v>
      </c>
      <c r="R339">
        <v>345403.83697273233</v>
      </c>
      <c r="S339">
        <v>736587.94004126301</v>
      </c>
      <c r="T339">
        <v>6.8124294547877422E-7</v>
      </c>
      <c r="U339">
        <v>3.0184687261526027E-11</v>
      </c>
      <c r="V339">
        <v>2.2147819315847426E-9</v>
      </c>
      <c r="W339">
        <v>1.2857000466299546E-7</v>
      </c>
      <c r="X339">
        <v>5.0355083457225729E-6</v>
      </c>
      <c r="Y339">
        <v>1.2068007300402336E-6</v>
      </c>
      <c r="Z339">
        <v>0.70636876586848196</v>
      </c>
      <c r="AA339">
        <v>6.4025270040715343E-2</v>
      </c>
      <c r="AB339">
        <v>9.9521914115549244</v>
      </c>
      <c r="AD339">
        <v>1.1740898584699127</v>
      </c>
      <c r="AE339">
        <v>0.36679315707929988</v>
      </c>
      <c r="AF339">
        <v>0.87100923975898326</v>
      </c>
      <c r="AG339">
        <v>2710479.3105623936</v>
      </c>
    </row>
    <row r="340" spans="2:33" ht="12.75" hidden="1" customHeight="1">
      <c r="B340">
        <f>0.319018413593401*$F$42</f>
        <v>0</v>
      </c>
      <c r="C340">
        <f>-0.10104161598486*$F$43</f>
        <v>0</v>
      </c>
      <c r="D340">
        <f>-0.109994800103085*$F$44</f>
        <v>0</v>
      </c>
      <c r="E340">
        <f>-0.967571862647096*$F$45</f>
        <v>0</v>
      </c>
      <c r="F340">
        <f>-0.198032382249063*$F$46</f>
        <v>0</v>
      </c>
      <c r="G340">
        <f>0.287421118871332*$F$47</f>
        <v>0</v>
      </c>
      <c r="H340">
        <f>0.00957983339938447*$F$48</f>
        <v>0</v>
      </c>
      <c r="I340">
        <f>0.39249088635334*$F$49</f>
        <v>0</v>
      </c>
      <c r="J340">
        <f>-0.101583669533184*$F$50</f>
        <v>0</v>
      </c>
      <c r="K340">
        <f>0.434176448569966*$F$51</f>
        <v>0</v>
      </c>
      <c r="L340">
        <f>-0.221998312875588*$F$52</f>
        <v>0</v>
      </c>
      <c r="M340">
        <f>0.172234732207806*$F$53</f>
        <v>0</v>
      </c>
      <c r="N340">
        <f>-0.127196866513309*$F$54</f>
        <v>0</v>
      </c>
      <c r="P340">
        <v>992855.91396451229</v>
      </c>
      <c r="Q340">
        <v>-12670.666731539379</v>
      </c>
      <c r="R340">
        <v>350535.8649958765</v>
      </c>
      <c r="S340">
        <v>653794.61122867011</v>
      </c>
      <c r="T340">
        <v>6.8613773324256563E-7</v>
      </c>
      <c r="U340">
        <v>3.1891005468501132E-11</v>
      </c>
      <c r="V340">
        <v>2.3022033616818582E-9</v>
      </c>
      <c r="W340">
        <v>1.3510238152259343E-7</v>
      </c>
      <c r="X340">
        <v>4.9492081652334082E-6</v>
      </c>
      <c r="Y340">
        <v>1.2886207913983907E-6</v>
      </c>
      <c r="Z340">
        <v>0.68446011809870888</v>
      </c>
      <c r="AA340">
        <v>7.1205643125454646E-2</v>
      </c>
      <c r="AB340">
        <v>9.8728031334866913</v>
      </c>
      <c r="AD340">
        <v>0.74566798872723616</v>
      </c>
      <c r="AE340">
        <v>0.25996074736196062</v>
      </c>
      <c r="AF340">
        <v>1.3869632661931919</v>
      </c>
      <c r="AG340">
        <v>1889732.7305457648</v>
      </c>
    </row>
    <row r="341" spans="2:33" ht="12.75" hidden="1" customHeight="1">
      <c r="B341">
        <f>-0.211009656393849*$F$42</f>
        <v>0</v>
      </c>
      <c r="C341">
        <f>-0.205862264537296*$F$43</f>
        <v>0</v>
      </c>
      <c r="D341">
        <f>-0.000321698715736624*$F$44</f>
        <v>0</v>
      </c>
      <c r="E341">
        <f>0.530587450720908*$F$45</f>
        <v>0</v>
      </c>
      <c r="F341">
        <f>0.422777753569754*$F$46</f>
        <v>0</v>
      </c>
      <c r="G341">
        <f>0.441464113751317*$F$47</f>
        <v>0</v>
      </c>
      <c r="H341">
        <f>-0.273167628628511*$F$48</f>
        <v>0</v>
      </c>
      <c r="I341">
        <f>0.401497277234457*$F$49</f>
        <v>0</v>
      </c>
      <c r="J341">
        <f>0.0416333969101198*$F$50</f>
        <v>0</v>
      </c>
      <c r="K341">
        <f>0.0206514313321767*$F$51</f>
        <v>0</v>
      </c>
      <c r="L341">
        <f>0.129586166364728*$F$52</f>
        <v>0</v>
      </c>
      <c r="M341">
        <f>-0.149442493290356*$F$53</f>
        <v>0</v>
      </c>
      <c r="N341">
        <f>-0.161579533251175*$F$54</f>
        <v>0</v>
      </c>
      <c r="P341">
        <v>941858.66957925062</v>
      </c>
      <c r="Q341">
        <v>-12536.496301392261</v>
      </c>
      <c r="R341">
        <v>354423.05763981928</v>
      </c>
      <c r="S341">
        <v>762235.93740888592</v>
      </c>
      <c r="T341">
        <v>7.2959444274988275E-7</v>
      </c>
      <c r="U341">
        <v>3.2368538752629089E-11</v>
      </c>
      <c r="V341">
        <v>2.2371714454154425E-9</v>
      </c>
      <c r="W341">
        <v>1.3521946460404794E-7</v>
      </c>
      <c r="X341">
        <v>5.0208166984550596E-6</v>
      </c>
      <c r="Y341">
        <v>1.2375504517695239E-6</v>
      </c>
      <c r="Z341">
        <v>0.70907103164553087</v>
      </c>
      <c r="AA341">
        <v>6.895390254696751E-2</v>
      </c>
      <c r="AB341">
        <v>9.8384204667488255</v>
      </c>
      <c r="AD341">
        <v>1.2412663982751562</v>
      </c>
      <c r="AE341">
        <v>0.38307064946477398</v>
      </c>
      <c r="AF341">
        <v>0.82277627776400641</v>
      </c>
      <c r="AG341">
        <v>2843055.9831157341</v>
      </c>
    </row>
    <row r="342" spans="2:33" ht="12.75" hidden="1" customHeight="1">
      <c r="B342">
        <f>-0.285338011589217*$F$42</f>
        <v>0</v>
      </c>
      <c r="C342">
        <f>0.791036482948534*$F$43</f>
        <v>0</v>
      </c>
      <c r="D342">
        <f>0.268656082084639*$F$44</f>
        <v>0</v>
      </c>
      <c r="E342">
        <f>-0.552549552650343*$F$45</f>
        <v>0</v>
      </c>
      <c r="F342">
        <f>0.0988441247642909*$F$46</f>
        <v>0</v>
      </c>
      <c r="G342">
        <f>-0.0503881950120959*$F$47</f>
        <v>0</v>
      </c>
      <c r="H342">
        <f>0.0459048593058266*$F$48</f>
        <v>0</v>
      </c>
      <c r="I342">
        <f>0.25352386165869*$F$49</f>
        <v>0</v>
      </c>
      <c r="J342">
        <f>-0.0395447946300009*$F$50</f>
        <v>0</v>
      </c>
      <c r="K342">
        <f>0.0297283426878483*$F$51</f>
        <v>0</v>
      </c>
      <c r="L342">
        <f>0.346614479908788*$F$52</f>
        <v>0</v>
      </c>
      <c r="M342">
        <f>-0.389385250490137*$F$53</f>
        <v>0</v>
      </c>
      <c r="N342">
        <f>-0.472970109269395*$F$54</f>
        <v>0</v>
      </c>
      <c r="P342">
        <v>934707.08363637049</v>
      </c>
      <c r="Q342">
        <v>-13812.526698174124</v>
      </c>
      <c r="R342">
        <v>363956.5570821162</v>
      </c>
      <c r="S342">
        <v>683835.18788086064</v>
      </c>
      <c r="T342">
        <v>7.0691908873350031E-7</v>
      </c>
      <c r="U342">
        <v>3.0843796595462508E-11</v>
      </c>
      <c r="V342">
        <v>2.3105581176403402E-9</v>
      </c>
      <c r="W342">
        <v>1.3329581020156298E-7</v>
      </c>
      <c r="X342">
        <v>4.9802276026849999E-6</v>
      </c>
      <c r="Y342">
        <v>1.2386714503219495E-6</v>
      </c>
      <c r="Z342">
        <v>0.72426301359361522</v>
      </c>
      <c r="AA342">
        <v>6.727430324656905E-2</v>
      </c>
      <c r="AB342">
        <v>9.5270298907306046</v>
      </c>
      <c r="AD342">
        <v>0.9670558077578596</v>
      </c>
      <c r="AE342">
        <v>0.29249259232809527</v>
      </c>
      <c r="AF342">
        <v>1.0639539689632866</v>
      </c>
      <c r="AG342">
        <v>2096597.7278526654</v>
      </c>
    </row>
    <row r="343" spans="2:33" ht="12.75" hidden="1" customHeight="1">
      <c r="B343">
        <f>-0.0916204830059868*$F$42</f>
        <v>0</v>
      </c>
      <c r="C343">
        <f>0.585379387353184*$F$43</f>
        <v>0</v>
      </c>
      <c r="D343">
        <f>-0.0797529209971663*$F$44</f>
        <v>0</v>
      </c>
      <c r="E343">
        <f>-0.271210706061185*$F$45</f>
        <v>0</v>
      </c>
      <c r="F343">
        <f>0.312611712966681*$F$46</f>
        <v>0</v>
      </c>
      <c r="G343">
        <f>-0.122020940401996*$F$47</f>
        <v>0</v>
      </c>
      <c r="H343">
        <f>-0.300101048025455*$F$48</f>
        <v>0</v>
      </c>
      <c r="I343">
        <f>0.955250181387605*$F$49</f>
        <v>0</v>
      </c>
      <c r="J343">
        <f>-0.510069401087848*$F$50</f>
        <v>0</v>
      </c>
      <c r="K343">
        <f>0.3978606039669*$F$51</f>
        <v>0</v>
      </c>
      <c r="L343">
        <f>-0.229415279456622*$F$52</f>
        <v>0</v>
      </c>
      <c r="M343">
        <f>0.048550366177023*$F$53</f>
        <v>0</v>
      </c>
      <c r="N343">
        <f>0.267685675861551*$F$54</f>
        <v>0</v>
      </c>
      <c r="P343">
        <v>953345.83261263801</v>
      </c>
      <c r="Q343">
        <v>-13549.285615812076</v>
      </c>
      <c r="R343">
        <v>351607.74140415224</v>
      </c>
      <c r="S343">
        <v>704199.34899370919</v>
      </c>
      <c r="T343">
        <v>7.2188281990766765E-7</v>
      </c>
      <c r="U343">
        <v>3.0621735084753817E-11</v>
      </c>
      <c r="V343">
        <v>2.2309767589541452E-9</v>
      </c>
      <c r="W343">
        <v>1.4241825235803888E-7</v>
      </c>
      <c r="X343">
        <v>4.7449652994560763E-6</v>
      </c>
      <c r="Y343">
        <v>1.2841357845899122E-6</v>
      </c>
      <c r="Z343">
        <v>0.68394093043803639</v>
      </c>
      <c r="AA343">
        <v>7.0339852563239158E-2</v>
      </c>
      <c r="AB343">
        <v>10.26768567586155</v>
      </c>
      <c r="AD343">
        <v>0.96311797476752825</v>
      </c>
      <c r="AE343">
        <v>0.32516681138181897</v>
      </c>
      <c r="AF343">
        <v>1.0660792664626049</v>
      </c>
      <c r="AG343">
        <v>2342221.2017986933</v>
      </c>
    </row>
    <row r="344" spans="2:33" ht="12.75" hidden="1" customHeight="1">
      <c r="B344">
        <f>0.434889241250759*$F$42</f>
        <v>0</v>
      </c>
      <c r="C344">
        <f>-0.212848856422616*$F$43</f>
        <v>0</v>
      </c>
      <c r="D344">
        <f>0.279248543058469*$F$44</f>
        <v>0</v>
      </c>
      <c r="E344">
        <f>-0.44794353954476*$F$45</f>
        <v>0</v>
      </c>
      <c r="F344">
        <f>0.351433383579014*$F$46</f>
        <v>0</v>
      </c>
      <c r="G344">
        <f>-0.0112741786634992*$F$47</f>
        <v>0</v>
      </c>
      <c r="H344">
        <f>-0.174085316907527*$F$48</f>
        <v>0</v>
      </c>
      <c r="I344">
        <f>-0.550494077955334*$F$49</f>
        <v>0</v>
      </c>
      <c r="J344">
        <f>-0.290176345485929*$F$50</f>
        <v>0</v>
      </c>
      <c r="K344">
        <f>0.209841948269442*$F$51</f>
        <v>0</v>
      </c>
      <c r="L344">
        <f>0.0700682851297324*$F$52</f>
        <v>0</v>
      </c>
      <c r="M344">
        <f>0.511197435851048*$F$53</f>
        <v>0</v>
      </c>
      <c r="N344">
        <f>-0.0671725460125282*$F$54</f>
        <v>0</v>
      </c>
      <c r="P344">
        <v>1004004.555422892</v>
      </c>
      <c r="Q344">
        <v>-12527.553463779052</v>
      </c>
      <c r="R344">
        <v>364331.99040038534</v>
      </c>
      <c r="S344">
        <v>691406.88915880618</v>
      </c>
      <c r="T344">
        <v>7.2460033685053095E-7</v>
      </c>
      <c r="U344">
        <v>3.0965050046143155E-11</v>
      </c>
      <c r="V344">
        <v>2.2599603771112687E-9</v>
      </c>
      <c r="W344">
        <v>1.2284357698658065E-7</v>
      </c>
      <c r="X344">
        <v>4.8549118272570361E-6</v>
      </c>
      <c r="Y344">
        <v>1.2609154806112763E-6</v>
      </c>
      <c r="Z344">
        <v>0.70490477995908118</v>
      </c>
      <c r="AA344">
        <v>7.3578382050957333E-2</v>
      </c>
      <c r="AB344">
        <v>9.9328274539874712</v>
      </c>
      <c r="AD344">
        <v>0.8512830235696669</v>
      </c>
      <c r="AE344">
        <v>0.27660183511388187</v>
      </c>
      <c r="AF344">
        <v>1.2108389401538087</v>
      </c>
      <c r="AG344">
        <v>2085721.499465307</v>
      </c>
    </row>
    <row r="345" spans="2:33" ht="12.75" hidden="1" customHeight="1">
      <c r="B345">
        <f>-0.502389362962061*$F$42</f>
        <v>0</v>
      </c>
      <c r="C345">
        <f>0.0502639585358623*$F$43</f>
        <v>0</v>
      </c>
      <c r="D345">
        <f>0.0699676539862152*$F$44</f>
        <v>0</v>
      </c>
      <c r="E345">
        <f>0.263381937146768*$F$45</f>
        <v>0</v>
      </c>
      <c r="F345">
        <f>0.0214158909332091*$F$46</f>
        <v>0</v>
      </c>
      <c r="G345">
        <f>-0.158219861481763*$F$47</f>
        <v>0</v>
      </c>
      <c r="H345">
        <f>-0.0415108287865017*$F$48</f>
        <v>0</v>
      </c>
      <c r="I345">
        <f>0.359417902831974*$F$49</f>
        <v>0</v>
      </c>
      <c r="J345">
        <f>0.194232587083174*$F$50</f>
        <v>0</v>
      </c>
      <c r="K345">
        <f>0.114062225953452*$F$51</f>
        <v>0</v>
      </c>
      <c r="L345">
        <f>-0.325562421395566*$F$52</f>
        <v>0</v>
      </c>
      <c r="M345">
        <f>0.0878980337166996*$F$53</f>
        <v>0</v>
      </c>
      <c r="N345">
        <f>0.332169533313829*$F$54</f>
        <v>0</v>
      </c>
      <c r="P345">
        <v>913823.24476651871</v>
      </c>
      <c r="Q345">
        <v>-12864.337866925905</v>
      </c>
      <c r="R345">
        <v>356914.35451493476</v>
      </c>
      <c r="S345">
        <v>742894.78991135827</v>
      </c>
      <c r="T345">
        <v>7.0149911236532461E-7</v>
      </c>
      <c r="U345">
        <v>3.0509518429406535E-11</v>
      </c>
      <c r="V345">
        <v>2.2904525093791045E-9</v>
      </c>
      <c r="W345">
        <v>1.3467243273681565E-7</v>
      </c>
      <c r="X345">
        <v>5.0971162935415874E-6</v>
      </c>
      <c r="Y345">
        <v>1.2490866849052514E-6</v>
      </c>
      <c r="Z345">
        <v>0.67721063050231034</v>
      </c>
      <c r="AA345">
        <v>7.0615286236016914E-2</v>
      </c>
      <c r="AB345">
        <v>10.332169533313829</v>
      </c>
      <c r="AD345">
        <v>1.1117655843617626</v>
      </c>
      <c r="AE345">
        <v>0.37819535445875407</v>
      </c>
      <c r="AF345">
        <v>0.92052636137944122</v>
      </c>
      <c r="AG345">
        <v>2658480.4255247419</v>
      </c>
    </row>
    <row r="346" spans="2:33" ht="12.75" hidden="1" customHeight="1">
      <c r="B346">
        <f>-0.158203165448144*$F$42</f>
        <v>0</v>
      </c>
      <c r="C346">
        <f>-0.68462997838752*$F$43</f>
        <v>0</v>
      </c>
      <c r="D346">
        <f>-0.0634389449943882*$F$44</f>
        <v>0</v>
      </c>
      <c r="E346">
        <f>0.0575272276095359*$F$45</f>
        <v>0</v>
      </c>
      <c r="F346">
        <f>-0.279070154409245*$F$46</f>
        <v>0</v>
      </c>
      <c r="G346">
        <f>-0.147579884012827*$F$47</f>
        <v>0</v>
      </c>
      <c r="H346">
        <f>-0.597437038598063*$F$48</f>
        <v>0</v>
      </c>
      <c r="I346">
        <f>0.2178526016451*$F$49</f>
        <v>0</v>
      </c>
      <c r="J346">
        <f>-0.506215096794817*$F$50</f>
        <v>0</v>
      </c>
      <c r="K346">
        <f>-0.667266019122675*$F$51</f>
        <v>0</v>
      </c>
      <c r="L346">
        <f>0.393154301766294*$F$52</f>
        <v>0</v>
      </c>
      <c r="M346">
        <f>-0.164109031400063*$F$53</f>
        <v>0</v>
      </c>
      <c r="N346">
        <f>0.124628689529451*$F$54</f>
        <v>0</v>
      </c>
      <c r="P346">
        <v>946939.5052488615</v>
      </c>
      <c r="Q346">
        <v>-11923.673627663975</v>
      </c>
      <c r="R346">
        <v>352185.9649312456</v>
      </c>
      <c r="S346">
        <v>727994.4001440804</v>
      </c>
      <c r="T346">
        <v>6.8046508919135287E-7</v>
      </c>
      <c r="U346">
        <v>3.0542502359560241E-11</v>
      </c>
      <c r="V346">
        <v>2.1625894811224455E-9</v>
      </c>
      <c r="W346">
        <v>1.3283208382138632E-7</v>
      </c>
      <c r="X346">
        <v>4.746892451602592E-6</v>
      </c>
      <c r="Y346">
        <v>1.1525926466383496E-6</v>
      </c>
      <c r="Z346">
        <v>0.72752080112364059</v>
      </c>
      <c r="AA346">
        <v>6.8851236780199568E-2</v>
      </c>
      <c r="AB346">
        <v>10.124628689529452</v>
      </c>
      <c r="AD346">
        <v>1.1843880507254745</v>
      </c>
      <c r="AE346">
        <v>0.34474771987198821</v>
      </c>
      <c r="AF346">
        <v>0.86362539988521214</v>
      </c>
      <c r="AG346">
        <v>2541127.449665267</v>
      </c>
    </row>
    <row r="347" spans="2:33" ht="12.75" hidden="1" customHeight="1">
      <c r="B347">
        <f>0.217095612112164*$F$42</f>
        <v>0</v>
      </c>
      <c r="C347">
        <f>-0.0108617479897577*$F$43</f>
        <v>0</v>
      </c>
      <c r="D347">
        <f>-0.144506200288605*$F$44</f>
        <v>0</v>
      </c>
      <c r="E347">
        <f>-0.420507316523495*$F$45</f>
        <v>0</v>
      </c>
      <c r="F347">
        <f>-0.388700977925271*$F$46</f>
        <v>0</v>
      </c>
      <c r="G347">
        <f>-0.00459595042757618*$F$47</f>
        <v>0</v>
      </c>
      <c r="H347">
        <f>0.255399812590793*$F$48</f>
        <v>0</v>
      </c>
      <c r="I347">
        <f>-0.118906374389053*$F$49</f>
        <v>0</v>
      </c>
      <c r="J347">
        <f>0.266833025211654*$F$50</f>
        <v>0</v>
      </c>
      <c r="K347">
        <f>-0.225009959726139*$F$51</f>
        <v>0</v>
      </c>
      <c r="L347">
        <f>-0.164878184899192*$F$52</f>
        <v>0</v>
      </c>
      <c r="M347">
        <f>0.120122598068331*$F$53</f>
        <v>0</v>
      </c>
      <c r="N347">
        <f>0.219636807994758*$F$54</f>
        <v>0</v>
      </c>
      <c r="P347">
        <v>983049.29746645736</v>
      </c>
      <c r="Q347">
        <v>-12786.09696257311</v>
      </c>
      <c r="R347">
        <v>349312.66204787639</v>
      </c>
      <c r="S347">
        <v>693392.80639955238</v>
      </c>
      <c r="T347">
        <v>6.7279093154523095E-7</v>
      </c>
      <c r="U347">
        <v>3.0985752553674517E-11</v>
      </c>
      <c r="V347">
        <v>2.3587419568958824E-9</v>
      </c>
      <c r="W347">
        <v>1.2845421713294231E-7</v>
      </c>
      <c r="X347">
        <v>5.1334165126058281E-6</v>
      </c>
      <c r="Y347">
        <v>1.2072112699738219E-6</v>
      </c>
      <c r="Z347">
        <v>0.68845852705705657</v>
      </c>
      <c r="AA347">
        <v>7.0840858186478325E-2</v>
      </c>
      <c r="AB347">
        <v>10.219636807994759</v>
      </c>
      <c r="AD347">
        <v>0.90476674770743137</v>
      </c>
      <c r="AE347">
        <v>0.30338996099412746</v>
      </c>
      <c r="AF347">
        <v>1.1360331059144642</v>
      </c>
      <c r="AG347">
        <v>2234655.8282606667</v>
      </c>
    </row>
    <row r="348" spans="2:33" ht="12.75" hidden="1" customHeight="1">
      <c r="B348">
        <f>0.275378933028845*$F$42</f>
        <v>0</v>
      </c>
      <c r="C348">
        <f>-0.386573806038335*$F$43</f>
        <v>0</v>
      </c>
      <c r="D348">
        <f>-0.038717337539005*$F$44</f>
        <v>0</v>
      </c>
      <c r="E348">
        <f>-0.284892695156182*$F$45</f>
        <v>0</v>
      </c>
      <c r="F348">
        <f>0.203415251088285*$F$46</f>
        <v>0</v>
      </c>
      <c r="G348">
        <f>0.0219499733819002*$F$47</f>
        <v>0</v>
      </c>
      <c r="H348">
        <f>-0.110019776133309*$F$48</f>
        <v>0</v>
      </c>
      <c r="I348">
        <f>-0.200887578435473*$F$49</f>
        <v>0</v>
      </c>
      <c r="J348">
        <f>-0.033836158956522*$F$50</f>
        <v>0</v>
      </c>
      <c r="K348">
        <f>-0.197045142249816*$F$51</f>
        <v>0</v>
      </c>
      <c r="L348">
        <f>-0.351518585183064*$F$52</f>
        <v>0</v>
      </c>
      <c r="M348">
        <f>0.358905491715401*$F$53</f>
        <v>0</v>
      </c>
      <c r="N348">
        <f>-0.413644882984145*$F$54</f>
        <v>0</v>
      </c>
      <c r="P348">
        <v>988657.0924657752</v>
      </c>
      <c r="Q348">
        <v>-12305.185528270931</v>
      </c>
      <c r="R348">
        <v>353062.18388950778</v>
      </c>
      <c r="S348">
        <v>703209.0050236081</v>
      </c>
      <c r="T348">
        <v>7.1423906757618E-7</v>
      </c>
      <c r="U348">
        <v>3.1068044917483892E-11</v>
      </c>
      <c r="V348">
        <v>2.2746954514893389E-9</v>
      </c>
      <c r="W348">
        <v>1.2738846148033884E-7</v>
      </c>
      <c r="X348">
        <v>4.9830819205217395E-6</v>
      </c>
      <c r="Y348">
        <v>1.2106649249321476E-6</v>
      </c>
      <c r="Z348">
        <v>0.67539369903718549</v>
      </c>
      <c r="AA348">
        <v>7.2512338442007801E-2</v>
      </c>
      <c r="AB348">
        <v>9.5863551170158541</v>
      </c>
      <c r="AD348">
        <v>0.87150346082670371</v>
      </c>
      <c r="AE348">
        <v>0.30610758797234716</v>
      </c>
      <c r="AF348">
        <v>1.1807992709120272</v>
      </c>
      <c r="AG348">
        <v>2278836.3099110625</v>
      </c>
    </row>
    <row r="349" spans="2:33" ht="12.75" hidden="1" customHeight="1">
      <c r="B349">
        <f>-0.168490094966702*$F$42</f>
        <v>0</v>
      </c>
      <c r="C349">
        <f>-0.0974955497548246*$F$43</f>
        <v>0</v>
      </c>
      <c r="D349">
        <f>-0.260240195527016*$F$44</f>
        <v>0</v>
      </c>
      <c r="E349">
        <f>-0.0663739229785908*$F$45</f>
        <v>0</v>
      </c>
      <c r="F349">
        <f>-0.29444189275141*$F$46</f>
        <v>0</v>
      </c>
      <c r="G349">
        <f>0.549046633404537*$F$47</f>
        <v>0</v>
      </c>
      <c r="H349">
        <f>-0.173329527299909*$F$48</f>
        <v>0</v>
      </c>
      <c r="I349">
        <f>-0.322652063886658*$F$49</f>
        <v>0</v>
      </c>
      <c r="J349">
        <f>0.0260781815103466*$F$50</f>
        <v>0</v>
      </c>
      <c r="K349">
        <f>-0.00206516484598398*$F$51</f>
        <v>0</v>
      </c>
      <c r="L349">
        <f>-0.241916050637494*$F$52</f>
        <v>0</v>
      </c>
      <c r="M349">
        <f>0.224445116948598*$F$53</f>
        <v>0</v>
      </c>
      <c r="N349">
        <f>0.380972642600683*$F$54</f>
        <v>0</v>
      </c>
      <c r="P349">
        <v>945949.73680387228</v>
      </c>
      <c r="Q349">
        <v>-12675.205696313824</v>
      </c>
      <c r="R349">
        <v>345210.6504401628</v>
      </c>
      <c r="S349">
        <v>719026.05814924568</v>
      </c>
      <c r="T349">
        <v>6.7938906750740127E-7</v>
      </c>
      <c r="U349">
        <v>3.2702044563554072E-11</v>
      </c>
      <c r="V349">
        <v>2.2601342087210209E-9</v>
      </c>
      <c r="W349">
        <v>1.2580552316947345E-7</v>
      </c>
      <c r="X349">
        <v>5.0130390907551742E-6</v>
      </c>
      <c r="Y349">
        <v>1.234744952141521E-6</v>
      </c>
      <c r="Z349">
        <v>0.68306587645537542</v>
      </c>
      <c r="AA349">
        <v>7.1571115818640188E-2</v>
      </c>
      <c r="AB349">
        <v>10.380972642600684</v>
      </c>
      <c r="AD349">
        <v>1.0397288351238527</v>
      </c>
      <c r="AE349">
        <v>0.3496842034157433</v>
      </c>
      <c r="AF349">
        <v>0.98648640741687443</v>
      </c>
      <c r="AG349">
        <v>2524859.88957051</v>
      </c>
    </row>
    <row r="350" spans="2:33" ht="12.75" hidden="1" customHeight="1">
      <c r="B350">
        <f>-0.127275156946809*$F$42</f>
        <v>0</v>
      </c>
      <c r="C350">
        <f>0.163619755154891*$F$43</f>
        <v>0</v>
      </c>
      <c r="D350">
        <f>0.178419987578653*$F$44</f>
        <v>0</v>
      </c>
      <c r="E350">
        <f>0.0443607181951191*$F$45</f>
        <v>0</v>
      </c>
      <c r="F350">
        <f>-0.150626788945797*$F$46</f>
        <v>0</v>
      </c>
      <c r="G350">
        <f>0.106669469732194*$F$47</f>
        <v>0</v>
      </c>
      <c r="H350">
        <f>0.225876176625036*$F$48</f>
        <v>0</v>
      </c>
      <c r="I350">
        <f>-0.406075286844329*$F$49</f>
        <v>0</v>
      </c>
      <c r="J350">
        <f>-0.540603572232986*$F$50</f>
        <v>0</v>
      </c>
      <c r="K350">
        <f>0.526532335302828*$F$51</f>
        <v>0</v>
      </c>
      <c r="L350">
        <f>0.272145467956125*$F$52</f>
        <v>0</v>
      </c>
      <c r="M350">
        <f>-0.071220587807875*$F$53</f>
        <v>0</v>
      </c>
      <c r="N350">
        <f>0.0410131673589047*$F$54</f>
        <v>0</v>
      </c>
      <c r="P350">
        <v>949915.27822618699</v>
      </c>
      <c r="Q350">
        <v>-13009.433286598261</v>
      </c>
      <c r="R350">
        <v>360758.2789414904</v>
      </c>
      <c r="S350">
        <v>727041.36816055013</v>
      </c>
      <c r="T350">
        <v>6.8945612477379414E-7</v>
      </c>
      <c r="U350">
        <v>3.1330675356169805E-11</v>
      </c>
      <c r="V350">
        <v>2.351951520623758E-9</v>
      </c>
      <c r="W350">
        <v>1.2472102127102372E-7</v>
      </c>
      <c r="X350">
        <v>4.729698213883507E-6</v>
      </c>
      <c r="Y350">
        <v>1.3000267434098991E-6</v>
      </c>
      <c r="Z350">
        <v>0.71905018275692867</v>
      </c>
      <c r="AA350">
        <v>6.9501455885344884E-2</v>
      </c>
      <c r="AB350">
        <v>10.041013167358905</v>
      </c>
      <c r="AD350">
        <v>1.1138368406290846</v>
      </c>
      <c r="AE350">
        <v>0.33496427168162934</v>
      </c>
      <c r="AF350">
        <v>0.91985456905450813</v>
      </c>
      <c r="AG350">
        <v>2459301.7430158411</v>
      </c>
    </row>
    <row r="351" spans="2:33" ht="12.75" hidden="1" customHeight="1">
      <c r="B351">
        <f>-0.174407063755891*$F$42</f>
        <v>0</v>
      </c>
      <c r="C351">
        <f>-0.645961505902017*$F$43</f>
        <v>0</v>
      </c>
      <c r="D351">
        <f>-0.191949770237974*$F$44</f>
        <v>0</v>
      </c>
      <c r="E351">
        <f>-0.715245310930959*$F$45</f>
        <v>0</v>
      </c>
      <c r="F351">
        <f>0.530691658066361*$F$46</f>
        <v>0</v>
      </c>
      <c r="G351">
        <f>-0.402666389708947*$F$47</f>
        <v>0</v>
      </c>
      <c r="H351">
        <f>0.0785401650180742*$F$48</f>
        <v>0</v>
      </c>
      <c r="I351">
        <f>-0.0632489671295049*$F$49</f>
        <v>0</v>
      </c>
      <c r="J351">
        <f>0.371305351430018*$F$50</f>
        <v>0</v>
      </c>
      <c r="K351">
        <f>0.187793545347096*$F$51</f>
        <v>0</v>
      </c>
      <c r="L351">
        <f>-0.370870871362954*$F$52</f>
        <v>0</v>
      </c>
      <c r="M351">
        <f>0.0975786166796351*$F$53</f>
        <v>0</v>
      </c>
      <c r="N351">
        <f>0.209049944436137*$F$54</f>
        <v>0</v>
      </c>
      <c r="P351">
        <v>945380.42902481544</v>
      </c>
      <c r="Q351">
        <v>-11973.169272445417</v>
      </c>
      <c r="R351">
        <v>347631.09843951074</v>
      </c>
      <c r="S351">
        <v>672058.77422817447</v>
      </c>
      <c r="T351">
        <v>7.3714841606464521E-7</v>
      </c>
      <c r="U351">
        <v>2.975173419190227E-11</v>
      </c>
      <c r="V351">
        <v>2.3180642379541574E-9</v>
      </c>
      <c r="W351">
        <v>1.2917776342731643E-7</v>
      </c>
      <c r="X351">
        <v>5.185652675715009E-6</v>
      </c>
      <c r="Y351">
        <v>1.2581925028503664E-6</v>
      </c>
      <c r="Z351">
        <v>0.67403903900459317</v>
      </c>
      <c r="AA351">
        <v>7.0683050316757451E-2</v>
      </c>
      <c r="AB351">
        <v>10.209049944436137</v>
      </c>
      <c r="AD351">
        <v>0.84980358732938266</v>
      </c>
      <c r="AE351">
        <v>0.29801841226773573</v>
      </c>
      <c r="AF351">
        <v>1.210326615436186</v>
      </c>
      <c r="AG351">
        <v>2087655.4013828023</v>
      </c>
    </row>
    <row r="352" spans="2:33" ht="12.75" hidden="1" customHeight="1">
      <c r="B352">
        <f>-0.239579363745972*$F$42</f>
        <v>0</v>
      </c>
      <c r="C352">
        <f>0.12754711066923*$F$43</f>
        <v>0</v>
      </c>
      <c r="D352">
        <f>-0.474487987827132*$F$44</f>
        <v>0</v>
      </c>
      <c r="E352">
        <f>0.409261250447876*$F$45</f>
        <v>0</v>
      </c>
      <c r="F352">
        <f>0.441777205569337*$F$46</f>
        <v>0</v>
      </c>
      <c r="G352">
        <f>-0.0248939654186813*$F$47</f>
        <v>0</v>
      </c>
      <c r="H352">
        <f>0.477204520641296*$F$48</f>
        <v>0</v>
      </c>
      <c r="I352">
        <f>-0.484492128980744*$F$49</f>
        <v>0</v>
      </c>
      <c r="J352">
        <f>0.110802283535037*$F$50</f>
        <v>0</v>
      </c>
      <c r="K352">
        <f>-0.330523692029157*$F$51</f>
        <v>0</v>
      </c>
      <c r="L352">
        <f>0.0069711385876248*$F$52</f>
        <v>0</v>
      </c>
      <c r="M352">
        <f>0.194291433144555*$F$53</f>
        <v>0</v>
      </c>
      <c r="N352">
        <f>-0.0988961743760642*$F$54</f>
        <v>0</v>
      </c>
      <c r="P352">
        <v>939109.80318829382</v>
      </c>
      <c r="Q352">
        <v>-12963.260301656615</v>
      </c>
      <c r="R352">
        <v>337616.97038849199</v>
      </c>
      <c r="S352">
        <v>753453.97814686573</v>
      </c>
      <c r="T352">
        <v>7.3092440438985345E-7</v>
      </c>
      <c r="U352">
        <v>3.092282870720209E-11</v>
      </c>
      <c r="V352">
        <v>2.409757039747498E-9</v>
      </c>
      <c r="W352">
        <v>1.2370160232325034E-7</v>
      </c>
      <c r="X352">
        <v>5.0554011417675183E-6</v>
      </c>
      <c r="Y352">
        <v>1.1941803240343992E-6</v>
      </c>
      <c r="Z352">
        <v>0.70048797970113375</v>
      </c>
      <c r="AA352">
        <v>7.1360040032011893E-2</v>
      </c>
      <c r="AB352">
        <v>9.9011038256239363</v>
      </c>
      <c r="AD352">
        <v>1.24322804484182</v>
      </c>
      <c r="AE352">
        <v>0.39373915085292666</v>
      </c>
      <c r="AF352">
        <v>0.82130835542053204</v>
      </c>
      <c r="AG352">
        <v>2913062.4201112771</v>
      </c>
    </row>
    <row r="353" spans="2:33" ht="12.75" hidden="1" customHeight="1">
      <c r="B353">
        <f>-0.0620167621783943*$F$42</f>
        <v>0</v>
      </c>
      <c r="C353">
        <f>-0.336711629039734*$F$43</f>
        <v>0</v>
      </c>
      <c r="D353">
        <f>0.0913273492711174*$F$44</f>
        <v>0</v>
      </c>
      <c r="E353">
        <f>0.394648489807304*$F$45</f>
        <v>0</v>
      </c>
      <c r="F353">
        <f>-0.332852096904827*$F$46</f>
        <v>0</v>
      </c>
      <c r="G353">
        <f>-0.590478648880995*$F$47</f>
        <v>0</v>
      </c>
      <c r="H353">
        <f>-0.132385031080084*$F$48</f>
        <v>0</v>
      </c>
      <c r="I353">
        <f>-0.406206847104181*$F$49</f>
        <v>0</v>
      </c>
      <c r="J353">
        <f>-0.173538447427897*$F$50</f>
        <v>0</v>
      </c>
      <c r="K353">
        <f>0.437991487204131*$F$51</f>
        <v>0</v>
      </c>
      <c r="L353">
        <f>-0.244623336575938*$F$52</f>
        <v>0</v>
      </c>
      <c r="M353">
        <f>-0.0828574970287212*$F$53</f>
        <v>0</v>
      </c>
      <c r="N353">
        <f>0.253731225093133*$F$54</f>
        <v>0</v>
      </c>
      <c r="P353">
        <v>956194.18776823208</v>
      </c>
      <c r="Q353">
        <v>-12369.009114829139</v>
      </c>
      <c r="R353">
        <v>357671.41572080948</v>
      </c>
      <c r="S353">
        <v>752396.2621023315</v>
      </c>
      <c r="T353">
        <v>6.7670035321666216E-7</v>
      </c>
      <c r="U353">
        <v>2.9169516188468915E-11</v>
      </c>
      <c r="V353">
        <v>2.2695514428515803E-9</v>
      </c>
      <c r="W353">
        <v>1.2471931098764564E-7</v>
      </c>
      <c r="X353">
        <v>4.913230776286052E-6</v>
      </c>
      <c r="Y353">
        <v>1.2890919486697101E-6</v>
      </c>
      <c r="Z353">
        <v>0.6828763664396843</v>
      </c>
      <c r="AA353">
        <v>6.9419997520798957E-2</v>
      </c>
      <c r="AB353">
        <v>10.253731225093132</v>
      </c>
      <c r="AD353">
        <v>1.0945759535511623</v>
      </c>
      <c r="AE353">
        <v>0.36688145038495085</v>
      </c>
      <c r="AF353">
        <v>0.93553663638451612</v>
      </c>
      <c r="AG353">
        <v>2694692.334251334</v>
      </c>
    </row>
    <row r="354" spans="2:33" ht="12.75" hidden="1" customHeight="1">
      <c r="B354">
        <f>-0.0895855852937583*$F$42</f>
        <v>0</v>
      </c>
      <c r="C354">
        <f>0.000965747071374212*$F$43</f>
        <v>0</v>
      </c>
      <c r="D354">
        <f>0.22301087843244*$F$44</f>
        <v>0</v>
      </c>
      <c r="E354">
        <f>0.346206306230959*$F$45</f>
        <v>0</v>
      </c>
      <c r="F354">
        <f>-0.204587065262383*$F$46</f>
        <v>0</v>
      </c>
      <c r="G354">
        <f>-0.107254882996145*$F$47</f>
        <v>0</v>
      </c>
      <c r="H354">
        <f>0.185167214587872*$F$48</f>
        <v>0</v>
      </c>
      <c r="I354">
        <f>-0.704605187422596*$F$49</f>
        <v>0</v>
      </c>
      <c r="J354">
        <f>-0.318652461452732*$F$50</f>
        <v>0</v>
      </c>
      <c r="K354">
        <f>-0.102164332396433*$F$51</f>
        <v>0</v>
      </c>
      <c r="L354">
        <f>-0.889810553760097*$F$52</f>
        <v>0</v>
      </c>
      <c r="M354">
        <f>0.0518596617748722*$F$53</f>
        <v>0</v>
      </c>
      <c r="N354">
        <f>-0.46933640539931*$F$54</f>
        <v>0</v>
      </c>
      <c r="P354">
        <v>953541.6225751054</v>
      </c>
      <c r="Q354">
        <v>-12801.23615625136</v>
      </c>
      <c r="R354">
        <v>362338.73377244757</v>
      </c>
      <c r="S354">
        <v>748889.8695690335</v>
      </c>
      <c r="T354">
        <v>6.8567890543163315E-7</v>
      </c>
      <c r="U354">
        <v>3.0667509862711955E-11</v>
      </c>
      <c r="V354">
        <v>2.3425884593552103E-9</v>
      </c>
      <c r="W354">
        <v>1.2084013256350626E-7</v>
      </c>
      <c r="X354">
        <v>4.8406737692736341E-6</v>
      </c>
      <c r="Y354">
        <v>1.2223827049490406E-6</v>
      </c>
      <c r="Z354">
        <v>0.63771326123679317</v>
      </c>
      <c r="AA354">
        <v>7.0363017632424099E-2</v>
      </c>
      <c r="AB354">
        <v>9.5306635946006892</v>
      </c>
      <c r="AD354">
        <v>0.94557590912153155</v>
      </c>
      <c r="AE354">
        <v>0.36248303942354854</v>
      </c>
      <c r="AF354">
        <v>1.0854162299745775</v>
      </c>
      <c r="AG354">
        <v>2622459.5893456526</v>
      </c>
    </row>
    <row r="355" spans="2:33" ht="12.75" hidden="1" customHeight="1">
      <c r="B355">
        <f>0.511588483739513*$F$42</f>
        <v>0</v>
      </c>
      <c r="C355">
        <f>-0.634307598520406*$F$43</f>
        <v>0</v>
      </c>
      <c r="D355">
        <f>0.558910985458248*$F$44</f>
        <v>0</v>
      </c>
      <c r="E355">
        <f>0.221851097157638*$F$45</f>
        <v>0</v>
      </c>
      <c r="F355">
        <f>-0.589024168739404*$F$46</f>
        <v>0</v>
      </c>
      <c r="G355">
        <f>0.214328395202222*$F$47</f>
        <v>0</v>
      </c>
      <c r="H355">
        <f>-0.0944551128030388*$F$48</f>
        <v>0</v>
      </c>
      <c r="I355">
        <f>0.224548784752772*$F$49</f>
        <v>0</v>
      </c>
      <c r="J355">
        <f>0.521961584056354*$F$50</f>
        <v>0</v>
      </c>
      <c r="K355">
        <f>0.0128083122602654*$F$51</f>
        <v>0</v>
      </c>
      <c r="L355">
        <f>0.0389475369524623*$F$52</f>
        <v>0</v>
      </c>
      <c r="M355">
        <f>-0.39285492869593*$F$53</f>
        <v>0</v>
      </c>
      <c r="N355">
        <f>0.316282252220412*$F$54</f>
        <v>0</v>
      </c>
      <c r="P355">
        <v>1011384.2589420991</v>
      </c>
      <c r="Q355">
        <v>-11988.086273893879</v>
      </c>
      <c r="R355">
        <v>374244.19106884277</v>
      </c>
      <c r="S355">
        <v>739888.6614404982</v>
      </c>
      <c r="T355">
        <v>6.5876830818824171E-7</v>
      </c>
      <c r="U355">
        <v>3.1664418025126886E-11</v>
      </c>
      <c r="V355">
        <v>2.2782753240553009E-9</v>
      </c>
      <c r="W355">
        <v>1.3291913420178602E-7</v>
      </c>
      <c r="X355">
        <v>5.2609807920281773E-6</v>
      </c>
      <c r="Y355">
        <v>1.2365818265641429E-6</v>
      </c>
      <c r="Z355">
        <v>0.70272632758667231</v>
      </c>
      <c r="AA355">
        <v>6.7250015499128499E-2</v>
      </c>
      <c r="AB355">
        <v>10.316282252220413</v>
      </c>
      <c r="AD355">
        <v>0.98301207128482049</v>
      </c>
      <c r="AE355">
        <v>0.31386400063979686</v>
      </c>
      <c r="AF355">
        <v>1.0447581910504093</v>
      </c>
      <c r="AG355">
        <v>2405601.9686948913</v>
      </c>
    </row>
    <row r="356" spans="2:33" ht="12.75" hidden="1" customHeight="1">
      <c r="B356">
        <f>0.234250738137606*$F$42</f>
        <v>0</v>
      </c>
      <c r="C356">
        <f>0.389378293901629*$F$43</f>
        <v>0</v>
      </c>
      <c r="D356">
        <f>0.362034741211112*$F$44</f>
        <v>0</v>
      </c>
      <c r="E356">
        <f>0.0707182465386157*$F$45</f>
        <v>0</v>
      </c>
      <c r="F356">
        <f>0.34141204631902*$F$46</f>
        <v>0</v>
      </c>
      <c r="G356">
        <f>0.292747061757951*$F$47</f>
        <v>0</v>
      </c>
      <c r="H356">
        <f>-0.593015779954541*$F$48</f>
        <v>0</v>
      </c>
      <c r="I356">
        <f>-0.111240880530747*$F$49</f>
        <v>0</v>
      </c>
      <c r="J356">
        <f>-0.0652614725133728*$F$50</f>
        <v>0</v>
      </c>
      <c r="K356">
        <f>-0.082174996378648*$F$51</f>
        <v>0</v>
      </c>
      <c r="L356">
        <f>0.0554084316789323*$F$52</f>
        <v>0</v>
      </c>
      <c r="M356">
        <f>-0.0262799271766793*$F$53</f>
        <v>0</v>
      </c>
      <c r="N356">
        <f>0.439815097804818*$F$54</f>
        <v>0</v>
      </c>
      <c r="P356">
        <v>984699.8971307365</v>
      </c>
      <c r="Q356">
        <v>-13298.404216194087</v>
      </c>
      <c r="R356">
        <v>367266.21854209137</v>
      </c>
      <c r="S356">
        <v>728949.206200802</v>
      </c>
      <c r="T356">
        <v>7.2389884324233136E-7</v>
      </c>
      <c r="U356">
        <v>3.1907515891449654E-11</v>
      </c>
      <c r="V356">
        <v>2.1636063706104555E-9</v>
      </c>
      <c r="W356">
        <v>1.2855386855310028E-7</v>
      </c>
      <c r="X356">
        <v>4.9673692637433138E-6</v>
      </c>
      <c r="Y356">
        <v>1.224851387947237E-6</v>
      </c>
      <c r="Z356">
        <v>0.70387859021752519</v>
      </c>
      <c r="AA356">
        <v>6.9816040509763255E-2</v>
      </c>
      <c r="AB356">
        <v>10.439815097804818</v>
      </c>
      <c r="AD356">
        <v>1.0103144826390471</v>
      </c>
      <c r="AE356">
        <v>0.32073111145106181</v>
      </c>
      <c r="AF356">
        <v>1.0163197041316441</v>
      </c>
      <c r="AG356">
        <v>2403332.5434485688</v>
      </c>
    </row>
    <row r="357" spans="2:33" ht="12.75" hidden="1" customHeight="1">
      <c r="B357">
        <f>-0.329189985970602*$F$42</f>
        <v>0</v>
      </c>
      <c r="C357">
        <f>0.860973932059556*$F$43</f>
        <v>0</v>
      </c>
      <c r="D357">
        <f>-0.439215691166936*$F$44</f>
        <v>0</v>
      </c>
      <c r="E357">
        <f>0.705270824484443*$F$45</f>
        <v>0</v>
      </c>
      <c r="F357">
        <f>0.184819179359759*$F$46</f>
        <v>0</v>
      </c>
      <c r="G357">
        <f>0.367883314665508*$F$47</f>
        <v>0</v>
      </c>
      <c r="H357">
        <f>0.215039072030503*$F$48</f>
        <v>0</v>
      </c>
      <c r="I357">
        <f>-0.183313077920591*$F$49</f>
        <v>0</v>
      </c>
      <c r="J357">
        <f>0.334499908670705*$F$50</f>
        <v>0</v>
      </c>
      <c r="K357">
        <f>0.688341854288844*$F$51</f>
        <v>0</v>
      </c>
      <c r="L357">
        <f>0.567790923088199*$F$52</f>
        <v>0</v>
      </c>
      <c r="M357">
        <f>-0.0926053295759188*$F$53</f>
        <v>0</v>
      </c>
      <c r="N357">
        <f>0.345614805236145*$F$54</f>
        <v>0</v>
      </c>
      <c r="P357">
        <v>930487.81680705422</v>
      </c>
      <c r="Q357">
        <v>-13902.046633036232</v>
      </c>
      <c r="R357">
        <v>338867.14212958486</v>
      </c>
      <c r="S357">
        <v>774880.05111797247</v>
      </c>
      <c r="T357">
        <v>7.1293734255518311E-7</v>
      </c>
      <c r="U357">
        <v>3.2140438275463073E-11</v>
      </c>
      <c r="V357">
        <v>2.3494589865670157E-9</v>
      </c>
      <c r="W357">
        <v>1.2761692998703233E-7</v>
      </c>
      <c r="X357">
        <v>5.167249954335353E-6</v>
      </c>
      <c r="Y357">
        <v>1.3200102190046722E-6</v>
      </c>
      <c r="Z357">
        <v>0.7397453646161738</v>
      </c>
      <c r="AA357">
        <v>6.9351762692968569E-2</v>
      </c>
      <c r="AB357">
        <v>10.345614805236146</v>
      </c>
      <c r="AD357">
        <v>1.5262219768872698</v>
      </c>
      <c r="AE357">
        <v>0.41785029602723722</v>
      </c>
      <c r="AF357">
        <v>0.66621285271673303</v>
      </c>
      <c r="AG357">
        <v>3100898.1643854836</v>
      </c>
    </row>
    <row r="358" spans="2:33" ht="12.75" hidden="1" customHeight="1">
      <c r="B358">
        <f>-0.639193438904774*$F$42</f>
        <v>0</v>
      </c>
      <c r="C358">
        <f>-0.170655757382409*$F$43</f>
        <v>0</v>
      </c>
      <c r="D358">
        <f>-0.697210691672171*$F$44</f>
        <v>0</v>
      </c>
      <c r="E358">
        <f>0.254167317282997*$F$45</f>
        <v>0</v>
      </c>
      <c r="F358">
        <f>-0.254949147442458*$F$46</f>
        <v>0</v>
      </c>
      <c r="G358">
        <f>-0.0422406127092035*$F$47</f>
        <v>0</v>
      </c>
      <c r="H358">
        <f>-0.123051520843228*$F$48</f>
        <v>0</v>
      </c>
      <c r="I358">
        <f>-0.587177246696192*$F$49</f>
        <v>0</v>
      </c>
      <c r="J358">
        <f>-0.26453081992102*$F$50</f>
        <v>0</v>
      </c>
      <c r="K358">
        <f>-0.440735079201146*$F$51</f>
        <v>0</v>
      </c>
      <c r="L358">
        <f>-0.616231241618917*$F$52</f>
        <v>0</v>
      </c>
      <c r="M358">
        <f>-0.129100576587225*$F$53</f>
        <v>0</v>
      </c>
      <c r="N358">
        <f>-0.132921526410145*$F$54</f>
        <v>0</v>
      </c>
      <c r="P358">
        <v>900660.48737912555</v>
      </c>
      <c r="Q358">
        <v>-12581.560630550517</v>
      </c>
      <c r="R358">
        <v>329722.91026733501</v>
      </c>
      <c r="S358">
        <v>742227.8077090265</v>
      </c>
      <c r="T358">
        <v>6.8215355967902788E-7</v>
      </c>
      <c r="U358">
        <v>3.0869054100601469E-11</v>
      </c>
      <c r="V358">
        <v>2.2716981502060575E-9</v>
      </c>
      <c r="W358">
        <v>1.223666957929495E-7</v>
      </c>
      <c r="X358">
        <v>4.8677345900394898E-6</v>
      </c>
      <c r="Y358">
        <v>1.1805692177186583E-6</v>
      </c>
      <c r="Z358">
        <v>0.65686381308667585</v>
      </c>
      <c r="AA358">
        <v>6.9096295963889429E-2</v>
      </c>
      <c r="AB358">
        <v>9.8670784735898547</v>
      </c>
      <c r="AD358">
        <v>1.1540061226888749</v>
      </c>
      <c r="AE358">
        <v>0.41516736486382749</v>
      </c>
      <c r="AF358">
        <v>0.88574867932357582</v>
      </c>
      <c r="AG358">
        <v>2907748.1657056622</v>
      </c>
    </row>
    <row r="359" spans="2:33" ht="12.75" hidden="1" customHeight="1">
      <c r="B359">
        <f>-0.549514863206884*$F$42</f>
        <v>0</v>
      </c>
      <c r="C359">
        <f>0.0407539585128189*$F$43</f>
        <v>0</v>
      </c>
      <c r="D359">
        <f>0.435317079205538*$F$44</f>
        <v>0</v>
      </c>
      <c r="E359">
        <f>-0.000562074190334322*$F$45</f>
        <v>0</v>
      </c>
      <c r="F359">
        <f>0.156939587939334*$F$46</f>
        <v>0</v>
      </c>
      <c r="G359">
        <f>0.0871461111795957*$F$47</f>
        <v>0</v>
      </c>
      <c r="H359">
        <f>0.389038979177304*$F$48</f>
        <v>0</v>
      </c>
      <c r="I359">
        <f>-0.140653940171054*$F$49</f>
        <v>0</v>
      </c>
      <c r="J359">
        <f>0.00402097033529606*$F$50</f>
        <v>0</v>
      </c>
      <c r="K359">
        <f>0.882498403015262*$F$51</f>
        <v>0</v>
      </c>
      <c r="L359">
        <f>0.206623266109157*$F$52</f>
        <v>0</v>
      </c>
      <c r="M359">
        <f>-0.219869629371865*$F$53</f>
        <v>0</v>
      </c>
      <c r="N359">
        <f>0.504416623550836*$F$54</f>
        <v>0</v>
      </c>
      <c r="P359">
        <v>909289.01197990286</v>
      </c>
      <c r="Q359">
        <v>-12852.165066896407</v>
      </c>
      <c r="R359">
        <v>369863.59712972486</v>
      </c>
      <c r="S359">
        <v>723789.71986218216</v>
      </c>
      <c r="T359">
        <v>7.1098577115575327E-7</v>
      </c>
      <c r="U359">
        <v>3.1270152944656754E-11</v>
      </c>
      <c r="V359">
        <v>2.3894789652107794E-9</v>
      </c>
      <c r="W359">
        <v>1.281714987777763E-7</v>
      </c>
      <c r="X359">
        <v>5.0020104851676485E-6</v>
      </c>
      <c r="Y359">
        <v>1.3439885527723849E-6</v>
      </c>
      <c r="Z359">
        <v>0.7144636286276409</v>
      </c>
      <c r="AA359">
        <v>6.8460912594396947E-2</v>
      </c>
      <c r="AB359">
        <v>10.504416623550837</v>
      </c>
      <c r="AD359">
        <v>1.1254054606625858</v>
      </c>
      <c r="AE359">
        <v>0.34268346313537718</v>
      </c>
      <c r="AF359">
        <v>0.90979068066767743</v>
      </c>
      <c r="AG359">
        <v>2403833.756186876</v>
      </c>
    </row>
    <row r="360" spans="2:33" ht="12.75" hidden="1" customHeight="1">
      <c r="B360">
        <f>0.000939239666084218*$F$42</f>
        <v>0</v>
      </c>
      <c r="C360">
        <f>0.131972544556767*$F$43</f>
        <v>0</v>
      </c>
      <c r="D360">
        <f>-0.267038641175492*$F$44</f>
        <v>0</v>
      </c>
      <c r="E360">
        <f>0.449877080386529*$F$45</f>
        <v>0</v>
      </c>
      <c r="F360">
        <f>0.332092856370718*$F$46</f>
        <v>0</v>
      </c>
      <c r="G360">
        <f>-0.101543501703487*$F$47</f>
        <v>0</v>
      </c>
      <c r="H360">
        <f>-0.0359290190331745*$F$48</f>
        <v>0</v>
      </c>
      <c r="I360">
        <f>0.207223063240833*$F$49</f>
        <v>0</v>
      </c>
      <c r="J360">
        <f>-0.980021679668266*$F$50</f>
        <v>0</v>
      </c>
      <c r="K360">
        <f>-0.0126091729132596*$F$51</f>
        <v>0</v>
      </c>
      <c r="L360">
        <f>-0.00770722890334932*$F$52</f>
        <v>0</v>
      </c>
      <c r="M360">
        <f>-0.441712388886082*$F$53</f>
        <v>0</v>
      </c>
      <c r="N360">
        <f>0.257790217669338*$F$54</f>
        <v>0</v>
      </c>
      <c r="P360">
        <v>962251.56999642076</v>
      </c>
      <c r="Q360">
        <v>-12968.924857032662</v>
      </c>
      <c r="R360">
        <v>344969.69009910652</v>
      </c>
      <c r="S360">
        <v>756393.87540822977</v>
      </c>
      <c r="T360">
        <v>7.2324649994595022E-7</v>
      </c>
      <c r="U360">
        <v>3.0685215144719193E-11</v>
      </c>
      <c r="V360">
        <v>2.2917363256223697E-9</v>
      </c>
      <c r="W360">
        <v>1.3269389982213083E-7</v>
      </c>
      <c r="X360">
        <v>4.5099891601658673E-6</v>
      </c>
      <c r="Y360">
        <v>1.2334427671452125E-6</v>
      </c>
      <c r="Z360">
        <v>0.69946049397676546</v>
      </c>
      <c r="AA360">
        <v>6.6908013277797426E-2</v>
      </c>
      <c r="AB360">
        <v>10.257790217669339</v>
      </c>
      <c r="AD360">
        <v>1.2014962624930541</v>
      </c>
      <c r="AE360">
        <v>0.38107611712560235</v>
      </c>
      <c r="AF360">
        <v>0.85031237172580498</v>
      </c>
      <c r="AG360">
        <v>2848579.9516095868</v>
      </c>
    </row>
    <row r="361" spans="2:33" ht="12.75" hidden="1" customHeight="1">
      <c r="B361">
        <f>0.0130692849900261*$F$42</f>
        <v>0</v>
      </c>
      <c r="C361">
        <f>0.402243260985046*$F$43</f>
        <v>0</v>
      </c>
      <c r="D361">
        <f>-0.437352372122901*$F$44</f>
        <v>0</v>
      </c>
      <c r="E361">
        <f>-0.213340248638266*$F$45</f>
        <v>0</v>
      </c>
      <c r="F361">
        <f>-0.492983368704853*$F$46</f>
        <v>0</v>
      </c>
      <c r="G361">
        <f>0.036980209335009*$F$47</f>
        <v>0</v>
      </c>
      <c r="H361">
        <f>0.102422883106443*$F$48</f>
        <v>0</v>
      </c>
      <c r="I361">
        <f>0.214581352977987*$F$49</f>
        <v>0</v>
      </c>
      <c r="J361">
        <f>0.285572626355668*$F$50</f>
        <v>0</v>
      </c>
      <c r="K361">
        <f>-0.231600624557207*$F$51</f>
        <v>0</v>
      </c>
      <c r="L361">
        <f>-0.518954757997684*$F$52</f>
        <v>0</v>
      </c>
      <c r="M361">
        <f>-0.76952337648812*$F$53</f>
        <v>0</v>
      </c>
      <c r="N361">
        <f>-0.255036889166263*$F$54</f>
        <v>0</v>
      </c>
      <c r="P361">
        <v>963418.67589291453</v>
      </c>
      <c r="Q361">
        <v>-13314.87137406086</v>
      </c>
      <c r="R361">
        <v>338933.1845774565</v>
      </c>
      <c r="S361">
        <v>708388.18865421833</v>
      </c>
      <c r="T361">
        <v>6.6549116419066018E-7</v>
      </c>
      <c r="U361">
        <v>3.1114638648938531E-11</v>
      </c>
      <c r="V361">
        <v>2.3235572631144818E-9</v>
      </c>
      <c r="W361">
        <v>1.3278955758871383E-7</v>
      </c>
      <c r="X361">
        <v>5.1427863131778345E-6</v>
      </c>
      <c r="Y361">
        <v>1.2063973228671849E-6</v>
      </c>
      <c r="Z361">
        <v>0.6636731669401621</v>
      </c>
      <c r="AA361">
        <v>6.4613336364583163E-2</v>
      </c>
      <c r="AB361">
        <v>9.7449631108337371</v>
      </c>
      <c r="AD361">
        <v>0.95229066060359358</v>
      </c>
      <c r="AE361">
        <v>0.34145230804380494</v>
      </c>
      <c r="AF361">
        <v>1.0781509015500566</v>
      </c>
      <c r="AG361">
        <v>2496838.5810112753</v>
      </c>
    </row>
    <row r="362" spans="2:33" ht="12.75" hidden="1" customHeight="1">
      <c r="B362">
        <f>0.869278617634574*$F$42</f>
        <v>0</v>
      </c>
      <c r="C362">
        <f>-0.329110073399197*$F$43</f>
        <v>0</v>
      </c>
      <c r="D362">
        <f>-0.461007588540228*$F$44</f>
        <v>0</v>
      </c>
      <c r="E362">
        <f>-0.127862358220335*$F$45</f>
        <v>0</v>
      </c>
      <c r="F362">
        <f>-0.0399298515356806*$F$46</f>
        <v>0</v>
      </c>
      <c r="G362">
        <f>0.277001556391128*$F$47</f>
        <v>0</v>
      </c>
      <c r="H362">
        <f>-0.0811741555088539*$F$48</f>
        <v>0</v>
      </c>
      <c r="I362">
        <f>-0.373445020488562*$F$49</f>
        <v>0</v>
      </c>
      <c r="J362">
        <f>0.186972678704*$F$50</f>
        <v>0</v>
      </c>
      <c r="K362">
        <f>0.0401678428440261*$F$51</f>
        <v>0</v>
      </c>
      <c r="L362">
        <f>-0.418317770165298*$F$52</f>
        <v>0</v>
      </c>
      <c r="M362">
        <f>-0.592508678856219*$F$53</f>
        <v>0</v>
      </c>
      <c r="N362">
        <f>-0.285300185947934*$F$54</f>
        <v>0</v>
      </c>
      <c r="P362">
        <v>1045799.8157877623</v>
      </c>
      <c r="Q362">
        <v>-12378.739106049028</v>
      </c>
      <c r="R362">
        <v>338094.76219233999</v>
      </c>
      <c r="S362">
        <v>714575.33825392893</v>
      </c>
      <c r="T362">
        <v>6.9720491039250236E-7</v>
      </c>
      <c r="U362">
        <v>3.18587048248125E-11</v>
      </c>
      <c r="V362">
        <v>2.2813299442329634E-9</v>
      </c>
      <c r="W362">
        <v>1.251452147336487E-7</v>
      </c>
      <c r="X362">
        <v>5.0934863393520008E-6</v>
      </c>
      <c r="Y362">
        <v>1.2399607285912371E-6</v>
      </c>
      <c r="Z362">
        <v>0.6707177560884291</v>
      </c>
      <c r="AA362">
        <v>6.5852439248006475E-2</v>
      </c>
      <c r="AB362">
        <v>9.7146998140520662</v>
      </c>
      <c r="AD362">
        <v>0.88880294600678811</v>
      </c>
      <c r="AE362">
        <v>0.31495948801622947</v>
      </c>
      <c r="AF362">
        <v>1.1567828484666476</v>
      </c>
      <c r="AG362">
        <v>2478072.0380008654</v>
      </c>
    </row>
    <row r="363" spans="2:33" ht="12.75" hidden="1" customHeight="1">
      <c r="B363">
        <f>0.216386633157297*$F$42</f>
        <v>0</v>
      </c>
      <c r="C363">
        <f>-0.150059568403871*$F$43</f>
        <v>0</v>
      </c>
      <c r="D363">
        <f>-0.642557768746791*$F$44</f>
        <v>0</v>
      </c>
      <c r="E363">
        <f>0.422146196675982*$F$45</f>
        <v>0</v>
      </c>
      <c r="F363">
        <f>0.146961646390933*$F$46</f>
        <v>0</v>
      </c>
      <c r="G363">
        <f>-0.793780725957596*$F$47</f>
        <v>0</v>
      </c>
      <c r="H363">
        <f>0.0254532560027352*$F$48</f>
        <v>0</v>
      </c>
      <c r="I363">
        <f>0.12016234662683*$F$49</f>
        <v>0</v>
      </c>
      <c r="J363">
        <f>0.240225415293491*$F$50</f>
        <v>0</v>
      </c>
      <c r="K363">
        <f>-0.692502210717757*$F$51</f>
        <v>0</v>
      </c>
      <c r="L363">
        <f>-0.124384431719718*$F$52</f>
        <v>0</v>
      </c>
      <c r="M363">
        <f>0.0818353676830307*$F$53</f>
        <v>0</v>
      </c>
      <c r="N363">
        <f>0.102848838753589*$F$54</f>
        <v>0</v>
      </c>
      <c r="P363">
        <v>982981.08226225839</v>
      </c>
      <c r="Q363">
        <v>-12607.923752443045</v>
      </c>
      <c r="R363">
        <v>331659.9981884213</v>
      </c>
      <c r="S363">
        <v>754386.62973089202</v>
      </c>
      <c r="T363">
        <v>7.1028731524736532E-7</v>
      </c>
      <c r="U363">
        <v>2.8539279749531456E-11</v>
      </c>
      <c r="V363">
        <v>2.305854248880629E-9</v>
      </c>
      <c r="W363">
        <v>1.315621105061488E-7</v>
      </c>
      <c r="X363">
        <v>5.120112707646746E-6</v>
      </c>
      <c r="Y363">
        <v>1.1494759769763572E-6</v>
      </c>
      <c r="Z363">
        <v>0.69129308977961967</v>
      </c>
      <c r="AA363">
        <v>7.0572847573781211E-2</v>
      </c>
      <c r="AB363">
        <v>10.102848838753589</v>
      </c>
      <c r="AD363">
        <v>1.1714428089296134</v>
      </c>
      <c r="AE363">
        <v>0.38150086736866606</v>
      </c>
      <c r="AF363">
        <v>0.87268387398172864</v>
      </c>
      <c r="AG363">
        <v>2908728.9500332344</v>
      </c>
    </row>
    <row r="364" spans="2:33" ht="12.75" hidden="1" customHeight="1">
      <c r="B364">
        <f>-0.354157207159392*$F$42</f>
        <v>0</v>
      </c>
      <c r="C364">
        <f>-0.660744697340271*$F$43</f>
        <v>0</v>
      </c>
      <c r="D364">
        <f>0.0136982471659382*$F$44</f>
        <v>0</v>
      </c>
      <c r="E364">
        <f>0.270796420620243*$F$45</f>
        <v>0</v>
      </c>
      <c r="F364">
        <f>0.323188320182152*$F$46</f>
        <v>0</v>
      </c>
      <c r="G364">
        <f>-0.420873872098632*$F$47</f>
        <v>0</v>
      </c>
      <c r="H364">
        <f>-0.289714439430208*$F$48</f>
        <v>0</v>
      </c>
      <c r="I364">
        <f>-0.324514900383341*$F$49</f>
        <v>0</v>
      </c>
      <c r="J364">
        <f>-0.123174262916095*$F$50</f>
        <v>0</v>
      </c>
      <c r="K364">
        <f>-0.0941675397767266*$F$51</f>
        <v>0</v>
      </c>
      <c r="L364">
        <f>0.0838369561974867*$F$52</f>
        <v>0</v>
      </c>
      <c r="M364">
        <f>0.165172982835931*$F$53</f>
        <v>0</v>
      </c>
      <c r="N364">
        <f>-0.10715992313784*$F$54</f>
        <v>0</v>
      </c>
      <c r="P364">
        <v>928085.567657087</v>
      </c>
      <c r="Q364">
        <v>-11954.246787404454</v>
      </c>
      <c r="R364">
        <v>354919.97283425002</v>
      </c>
      <c r="S364">
        <v>743431.47276853537</v>
      </c>
      <c r="T364">
        <v>7.2262318241275068E-7</v>
      </c>
      <c r="U364">
        <v>2.9695290996494248E-11</v>
      </c>
      <c r="V364">
        <v>2.2333656789310522E-9</v>
      </c>
      <c r="W364">
        <v>1.2578130629501655E-7</v>
      </c>
      <c r="X364">
        <v>4.9384128685419534E-6</v>
      </c>
      <c r="Y364">
        <v>1.2233703088375744E-6</v>
      </c>
      <c r="Z364">
        <v>0.70586858693382404</v>
      </c>
      <c r="AA364">
        <v>7.1156210879851522E-2</v>
      </c>
      <c r="AB364">
        <v>9.8928400768621607</v>
      </c>
      <c r="AD364">
        <v>1.1764536373922432</v>
      </c>
      <c r="AE364">
        <v>0.36834442064750067</v>
      </c>
      <c r="AF364">
        <v>0.86936883493645933</v>
      </c>
      <c r="AG364">
        <v>2679139.5457854704</v>
      </c>
    </row>
    <row r="365" spans="2:33" ht="12.75" hidden="1" customHeight="1">
      <c r="B365">
        <f>0.544325800318321*$F$42</f>
        <v>0</v>
      </c>
      <c r="C365">
        <f>0.125902132201109*$F$43</f>
        <v>0</v>
      </c>
      <c r="D365">
        <f>0.287800320533377*$F$44</f>
        <v>0</v>
      </c>
      <c r="E365">
        <f>-0.457100283513601*$F$45</f>
        <v>0</v>
      </c>
      <c r="F365">
        <f>-0.767172454332814*$F$46</f>
        <v>0</v>
      </c>
      <c r="G365">
        <f>-0.0793825828992974*$F$47</f>
        <v>0</v>
      </c>
      <c r="H365">
        <f>0.221771587467328*$F$48</f>
        <v>0</v>
      </c>
      <c r="I365">
        <f>0.0774999841914231*$F$49</f>
        <v>0</v>
      </c>
      <c r="J365">
        <f>-0.0307699708803315*$F$50</f>
        <v>0</v>
      </c>
      <c r="K365">
        <f>-0.0952790712230691*$F$51</f>
        <v>0</v>
      </c>
      <c r="L365">
        <f>-0.114447482816658*$F$52</f>
        <v>0</v>
      </c>
      <c r="M365">
        <f>-0.0695317597052029*$F$53</f>
        <v>0</v>
      </c>
      <c r="N365">
        <f>0.258171792984506*$F$54</f>
        <v>0</v>
      </c>
      <c r="P365">
        <v>1014534.1165225236</v>
      </c>
      <c r="Q365">
        <v>-12961.15472921742</v>
      </c>
      <c r="R365">
        <v>364635.09486330824</v>
      </c>
      <c r="S365">
        <v>690744.09618971823</v>
      </c>
      <c r="T365">
        <v>6.4629792819670303E-7</v>
      </c>
      <c r="U365">
        <v>3.075391399301218E-11</v>
      </c>
      <c r="V365">
        <v>2.3510074651174852E-9</v>
      </c>
      <c r="W365">
        <v>1.3100749979448849E-7</v>
      </c>
      <c r="X365">
        <v>4.9846150145598347E-6</v>
      </c>
      <c r="Y365">
        <v>1.2232330347039511E-6</v>
      </c>
      <c r="Z365">
        <v>0.69198867620283389</v>
      </c>
      <c r="AA365">
        <v>6.9513277682063584E-2</v>
      </c>
      <c r="AB365">
        <v>10.258171792984506</v>
      </c>
      <c r="AD365">
        <v>0.82162641233208544</v>
      </c>
      <c r="AE365">
        <v>0.27530163339279978</v>
      </c>
      <c r="AF365">
        <v>1.2535695071102035</v>
      </c>
      <c r="AG365">
        <v>2059701.6430459379</v>
      </c>
    </row>
    <row r="366" spans="2:33" ht="12.75" hidden="1" customHeight="1">
      <c r="B366">
        <f>-0.0758069016729328*$F$42</f>
        <v>0</v>
      </c>
      <c r="C366">
        <f>0.115778417994454*$F$43</f>
        <v>0</v>
      </c>
      <c r="D366">
        <f>0.0305492327896595*$F$44</f>
        <v>0</v>
      </c>
      <c r="E366">
        <f>-0.420682412908098*$F$45</f>
        <v>0</v>
      </c>
      <c r="F366">
        <f>-0.236283771144122*$F$46</f>
        <v>0</v>
      </c>
      <c r="G366">
        <f>-0.408229289631294*$F$47</f>
        <v>0</v>
      </c>
      <c r="H366">
        <f>0.0684958015495806*$F$48</f>
        <v>0</v>
      </c>
      <c r="I366">
        <f>0.324147402535934*$F$49</f>
        <v>0</v>
      </c>
      <c r="J366">
        <f>-0.0954360059173267*$F$50</f>
        <v>0</v>
      </c>
      <c r="K366">
        <f>0.514934457333262*$F$51</f>
        <v>0</v>
      </c>
      <c r="L366">
        <f>0.0308089585018143*$F$52</f>
        <v>0</v>
      </c>
      <c r="M366">
        <f>-0.0418217292215206*$F$53</f>
        <v>0</v>
      </c>
      <c r="N366">
        <f>0.0807179390642988*$F$54</f>
        <v>0</v>
      </c>
      <c r="P366">
        <v>954867.35405180894</v>
      </c>
      <c r="Q366">
        <v>-12948.196375032901</v>
      </c>
      <c r="R366">
        <v>355517.22983283142</v>
      </c>
      <c r="S366">
        <v>693380.13239086303</v>
      </c>
      <c r="T366">
        <v>6.8346013601991144E-7</v>
      </c>
      <c r="U366">
        <v>2.9734489202142989E-11</v>
      </c>
      <c r="V366">
        <v>2.3157540343564033E-9</v>
      </c>
      <c r="W366">
        <v>1.3421391623296715E-7</v>
      </c>
      <c r="X366">
        <v>4.9522819970413376E-6</v>
      </c>
      <c r="Y366">
        <v>1.298594405480658E-6</v>
      </c>
      <c r="Z366">
        <v>0.70215662709512694</v>
      </c>
      <c r="AA366">
        <v>6.9707247895449367E-2</v>
      </c>
      <c r="AB366">
        <v>10.080717939064298</v>
      </c>
      <c r="AD366">
        <v>0.95226594796889041</v>
      </c>
      <c r="AE366">
        <v>0.30571630421145701</v>
      </c>
      <c r="AF366">
        <v>1.0790898164906495</v>
      </c>
      <c r="AG366">
        <v>2207047.0591774611</v>
      </c>
    </row>
    <row r="367" spans="2:33" ht="12.75" hidden="1" customHeight="1">
      <c r="B367">
        <f>0.676689482776116*$F$42</f>
        <v>0</v>
      </c>
      <c r="C367">
        <f>-0.0473693800818692*$F$43</f>
        <v>0</v>
      </c>
      <c r="D367">
        <f>-0.177139989038539*$F$44</f>
        <v>0</v>
      </c>
      <c r="E367">
        <f>-0.375258616778171*$F$45</f>
        <v>0</v>
      </c>
      <c r="F367">
        <f>0.44833477979202*$F$46</f>
        <v>0</v>
      </c>
      <c r="G367">
        <f>-0.0743365443997051*$F$47</f>
        <v>0</v>
      </c>
      <c r="H367">
        <f>-0.103573284786743*$F$48</f>
        <v>0</v>
      </c>
      <c r="I367">
        <f>-0.299331908987008*$F$49</f>
        <v>0</v>
      </c>
      <c r="J367">
        <f>0.0216183475634142*$F$50</f>
        <v>0</v>
      </c>
      <c r="K367">
        <f>0.24224125550166*$F$51</f>
        <v>0</v>
      </c>
      <c r="L367">
        <f>-0.127411098023243*$F$52</f>
        <v>0</v>
      </c>
      <c r="M367">
        <f>0.0170847904417862*$F$53</f>
        <v>0</v>
      </c>
      <c r="N367">
        <f>0.284132850962504*$F$54</f>
        <v>0</v>
      </c>
      <c r="P367">
        <v>1027269.6364775246</v>
      </c>
      <c r="Q367">
        <v>-12739.367193495207</v>
      </c>
      <c r="R367">
        <v>348156.00811935571</v>
      </c>
      <c r="S367">
        <v>696668.04486353276</v>
      </c>
      <c r="T367">
        <v>7.3138343458544148E-7</v>
      </c>
      <c r="U367">
        <v>3.0769556712360915E-11</v>
      </c>
      <c r="V367">
        <v>2.2761781444990489E-9</v>
      </c>
      <c r="W367">
        <v>1.2610868518316889E-7</v>
      </c>
      <c r="X367">
        <v>5.0108091737817077E-6</v>
      </c>
      <c r="Y367">
        <v>1.2649167950544551E-6</v>
      </c>
      <c r="Z367">
        <v>0.69108122313837295</v>
      </c>
      <c r="AA367">
        <v>7.0119593533092509E-2</v>
      </c>
      <c r="AB367">
        <v>10.284132850962504</v>
      </c>
      <c r="AD367">
        <v>0.876283206459888</v>
      </c>
      <c r="AE367">
        <v>0.29251173322938295</v>
      </c>
      <c r="AF367">
        <v>1.1736712774099463</v>
      </c>
      <c r="AG367">
        <v>2239406.8907682309</v>
      </c>
    </row>
    <row r="368" spans="2:33" ht="12.75" hidden="1" customHeight="1">
      <c r="B368">
        <f>0.032903407273884*$F$42</f>
        <v>0</v>
      </c>
      <c r="C368">
        <f>0.682238030250385*$F$43</f>
        <v>0</v>
      </c>
      <c r="D368">
        <f>-0.210650872052487*$F$44</f>
        <v>0</v>
      </c>
      <c r="E368">
        <f>0.408318798434403*$F$45</f>
        <v>0</v>
      </c>
      <c r="F368">
        <f>-0.154854097705947*$F$46</f>
        <v>0</v>
      </c>
      <c r="G368">
        <f>-0.41670446666979*$F$47</f>
        <v>0</v>
      </c>
      <c r="H368">
        <f>-0.281313846242666*$F$48</f>
        <v>0</v>
      </c>
      <c r="I368">
        <f>0.313463208127997*$F$49</f>
        <v>0</v>
      </c>
      <c r="J368">
        <f>-0.246014341285503*$F$50</f>
        <v>0</v>
      </c>
      <c r="K368">
        <f>-0.0489237933209858*$F$51</f>
        <v>0</v>
      </c>
      <c r="L368">
        <f>-0.0194257751817636*$F$52</f>
        <v>0</v>
      </c>
      <c r="M368">
        <f>0.225676000016307*$F$53</f>
        <v>0</v>
      </c>
      <c r="N368">
        <f>0.259960376804406*$F$54</f>
        <v>0</v>
      </c>
      <c r="P368">
        <v>965327.03818267281</v>
      </c>
      <c r="Q368">
        <v>-13673.264678720494</v>
      </c>
      <c r="R368">
        <v>346968.2669476734</v>
      </c>
      <c r="S368">
        <v>753385.76060465234</v>
      </c>
      <c r="T368">
        <v>6.8916021316058367E-7</v>
      </c>
      <c r="U368">
        <v>2.970821615332365E-11</v>
      </c>
      <c r="V368">
        <v>2.2352978153641867E-9</v>
      </c>
      <c r="W368">
        <v>1.3407502170566398E-7</v>
      </c>
      <c r="X368">
        <v>4.8769928293572491E-6</v>
      </c>
      <c r="Y368">
        <v>1.2289579115248581E-6</v>
      </c>
      <c r="Z368">
        <v>0.69864019573727654</v>
      </c>
      <c r="AA368">
        <v>7.1579732000114152E-2</v>
      </c>
      <c r="AB368">
        <v>10.259960376804408</v>
      </c>
      <c r="AD368">
        <v>1.1719980310520706</v>
      </c>
      <c r="AE368">
        <v>0.37346080102724194</v>
      </c>
      <c r="AF368">
        <v>0.87238201105269164</v>
      </c>
      <c r="AG368">
        <v>2797035.9332795972</v>
      </c>
    </row>
    <row r="369" spans="2:33" ht="12.75" hidden="1" customHeight="1">
      <c r="B369">
        <f>-0.398748791201113*$F$42</f>
        <v>0</v>
      </c>
      <c r="C369">
        <f>-0.175963605774762*$F$43</f>
        <v>0</v>
      </c>
      <c r="D369">
        <f>-0.1936822513917*$F$44</f>
        <v>0</v>
      </c>
      <c r="E369">
        <f>-0.196970192790277*$F$45</f>
        <v>0</v>
      </c>
      <c r="F369">
        <f>0.0747504677561946*$F$46</f>
        <v>0</v>
      </c>
      <c r="G369">
        <f>0.485949762406651*$F$47</f>
        <v>0</v>
      </c>
      <c r="H369">
        <f>0.291179065153776*$F$48</f>
        <v>0</v>
      </c>
      <c r="I369">
        <f>-0.0453710601837863*$F$49</f>
        <v>0</v>
      </c>
      <c r="J369">
        <f>0.214068351929616*$F$50</f>
        <v>0</v>
      </c>
      <c r="K369">
        <f>0.397185682835438*$F$51</f>
        <v>0</v>
      </c>
      <c r="L369">
        <f>0.309380138771013*$F$52</f>
        <v>0</v>
      </c>
      <c r="M369">
        <f>0.203017699562218*$F$53</f>
        <v>0</v>
      </c>
      <c r="N369">
        <f>0.397201210681569*$F$54</f>
        <v>0</v>
      </c>
      <c r="P369">
        <v>923795.13845593866</v>
      </c>
      <c r="Q369">
        <v>-12574.766584608305</v>
      </c>
      <c r="R369">
        <v>347569.69333733578</v>
      </c>
      <c r="S369">
        <v>709573.10306883382</v>
      </c>
      <c r="T369">
        <v>7.0523253274293365E-7</v>
      </c>
      <c r="U369">
        <v>3.250644426346062E-11</v>
      </c>
      <c r="V369">
        <v>2.3669711849853688E-9</v>
      </c>
      <c r="W369">
        <v>1.2941017621761078E-7</v>
      </c>
      <c r="X369">
        <v>5.107034175964809E-6</v>
      </c>
      <c r="Y369">
        <v>1.2840524318301764E-6</v>
      </c>
      <c r="Z369">
        <v>0.72165660971397094</v>
      </c>
      <c r="AA369">
        <v>7.1421123896935529E-2</v>
      </c>
      <c r="AB369">
        <v>10.397201210681569</v>
      </c>
      <c r="AD369">
        <v>1.1506161296872726</v>
      </c>
      <c r="AE369">
        <v>0.34207989957030682</v>
      </c>
      <c r="AF369">
        <v>0.88955217258308195</v>
      </c>
      <c r="AG369">
        <v>2449475.6179046356</v>
      </c>
    </row>
    <row r="370" spans="2:33" ht="12.75" hidden="1" customHeight="1">
      <c r="B370">
        <f>0.248561866529002*$F$42</f>
        <v>0</v>
      </c>
      <c r="C370">
        <f>0.406812527843488*$F$43</f>
        <v>0</v>
      </c>
      <c r="D370">
        <f>0.405418328564385*$F$44</f>
        <v>0</v>
      </c>
      <c r="E370">
        <f>0.213223655145931*$F$45</f>
        <v>0</v>
      </c>
      <c r="F370">
        <f>0.311374447374636*$F$46</f>
        <v>0</v>
      </c>
      <c r="G370">
        <f>0.253592665776778*$F$47</f>
        <v>0</v>
      </c>
      <c r="H370">
        <f>0.158019509259567*$F$48</f>
        <v>0</v>
      </c>
      <c r="I370">
        <f>0.568091183613418*$F$49</f>
        <v>0</v>
      </c>
      <c r="J370">
        <f>0.27727066119832*$F$50</f>
        <v>0</v>
      </c>
      <c r="K370">
        <f>0.757364214698119*$F$51</f>
        <v>0</v>
      </c>
      <c r="L370">
        <f>0.656484464003386*$F$52</f>
        <v>0</v>
      </c>
      <c r="M370">
        <f>-0.189396060483624*$F$53</f>
        <v>0</v>
      </c>
      <c r="N370">
        <f>-0.0983240635358334*$F$54</f>
        <v>0</v>
      </c>
      <c r="P370">
        <v>986076.85837737843</v>
      </c>
      <c r="Q370">
        <v>-13320.720035639664</v>
      </c>
      <c r="R370">
        <v>368803.88237665256</v>
      </c>
      <c r="S370">
        <v>739264.18095638393</v>
      </c>
      <c r="T370">
        <v>7.2179621131622444E-7</v>
      </c>
      <c r="U370">
        <v>3.1786137263908013E-11</v>
      </c>
      <c r="V370">
        <v>2.3363444871297E-9</v>
      </c>
      <c r="W370">
        <v>1.3738518538697443E-7</v>
      </c>
      <c r="X370">
        <v>5.13863533059916E-6</v>
      </c>
      <c r="Y370">
        <v>1.3285344805152177E-6</v>
      </c>
      <c r="Z370">
        <v>0.74595391248023701</v>
      </c>
      <c r="AA370">
        <v>6.8674227576614635E-2</v>
      </c>
      <c r="AB370">
        <v>9.9016759364641675</v>
      </c>
      <c r="AD370">
        <v>1.1717578796805459</v>
      </c>
      <c r="AE370">
        <v>0.32310991525960026</v>
      </c>
      <c r="AF370">
        <v>0.8739470827580289</v>
      </c>
      <c r="AG370">
        <v>2502559.9604624803</v>
      </c>
    </row>
    <row r="371" spans="2:33" ht="12.75" hidden="1" customHeight="1">
      <c r="B371">
        <f>-0.14202294251003*$F$42</f>
        <v>0</v>
      </c>
      <c r="C371">
        <f>0.374664013868976*$F$43</f>
        <v>0</v>
      </c>
      <c r="D371">
        <f>0.438064293750244*$F$44</f>
        <v>0</v>
      </c>
      <c r="E371">
        <f>0.466436643896549*$F$45</f>
        <v>0</v>
      </c>
      <c r="F371">
        <f>-0.61341685430683*$F$46</f>
        <v>0</v>
      </c>
      <c r="G371">
        <f>0.0911735134971604*$F$47</f>
        <v>0</v>
      </c>
      <c r="H371">
        <f>0.529602315232394*$F$48</f>
        <v>0</v>
      </c>
      <c r="I371">
        <f>0.068847356032685*$F$49</f>
        <v>0</v>
      </c>
      <c r="J371">
        <f>-0.545384035624475*$F$50</f>
        <v>0</v>
      </c>
      <c r="K371">
        <f>0.435622472246149*$F$51</f>
        <v>0</v>
      </c>
      <c r="L371">
        <f>0.00641256613896966*$F$52</f>
        <v>0</v>
      </c>
      <c r="M371">
        <f>-0.317269114932114*$F$53</f>
        <v>0</v>
      </c>
      <c r="N371">
        <f>0.487777872881804*$F$54</f>
        <v>0</v>
      </c>
      <c r="P371">
        <v>948496.30352070183</v>
      </c>
      <c r="Q371">
        <v>-13279.569937752289</v>
      </c>
      <c r="R371">
        <v>369960.96788002219</v>
      </c>
      <c r="S371">
        <v>757592.50696361158</v>
      </c>
      <c r="T371">
        <v>6.5706082019852186E-7</v>
      </c>
      <c r="U371">
        <v>3.1282637891841203E-11</v>
      </c>
      <c r="V371">
        <v>2.4218085325034503E-9</v>
      </c>
      <c r="W371">
        <v>1.308950156284249E-7</v>
      </c>
      <c r="X371">
        <v>4.7273079821877626E-6</v>
      </c>
      <c r="Y371">
        <v>1.2887993753223994E-6</v>
      </c>
      <c r="Z371">
        <v>0.70044887962972779</v>
      </c>
      <c r="AA371">
        <v>6.7779116195475206E-2</v>
      </c>
      <c r="AB371">
        <v>10.487777872881805</v>
      </c>
      <c r="AD371">
        <v>1.1462898339144574</v>
      </c>
      <c r="AE371">
        <v>0.36368170992450166</v>
      </c>
      <c r="AF371">
        <v>0.89239578795808738</v>
      </c>
      <c r="AG371">
        <v>2663631.4574004249</v>
      </c>
    </row>
    <row r="372" spans="2:33" ht="12.75" hidden="1" customHeight="1">
      <c r="B372">
        <f>0.393597797517716*$F$42</f>
        <v>0</v>
      </c>
      <c r="C372">
        <f>-0.578732651311863*$F$43</f>
        <v>0</v>
      </c>
      <c r="D372">
        <f>0.475963255334035*$F$44</f>
        <v>0</v>
      </c>
      <c r="E372">
        <f>-0.199372088047318*$F$45</f>
        <v>0</v>
      </c>
      <c r="F372">
        <f>-0.0245272700191597*$F$46</f>
        <v>0</v>
      </c>
      <c r="G372">
        <f>-0.461767994550284*$F$47</f>
        <v>0</v>
      </c>
      <c r="H372">
        <f>0.537102175755461*$F$48</f>
        <v>0</v>
      </c>
      <c r="I372">
        <f>-0.292175265548824*$F$49</f>
        <v>0</v>
      </c>
      <c r="J372">
        <f>-0.284145534244381*$F$50</f>
        <v>0</v>
      </c>
      <c r="K372">
        <f>0.139624812608585*$F$51</f>
        <v>0</v>
      </c>
      <c r="L372">
        <f>0.0728600610007727*$F$52</f>
        <v>0</v>
      </c>
      <c r="M372">
        <f>-0.210232227548695*$F$53</f>
        <v>0</v>
      </c>
      <c r="N372">
        <f>-0.0293084096363209*$F$54</f>
        <v>0</v>
      </c>
      <c r="P372">
        <v>1000031.6529177001</v>
      </c>
      <c r="Q372">
        <v>-12059.222206320816</v>
      </c>
      <c r="R372">
        <v>371304.23767742916</v>
      </c>
      <c r="S372">
        <v>709399.24658728647</v>
      </c>
      <c r="T372">
        <v>6.9828309109865871E-7</v>
      </c>
      <c r="U372">
        <v>2.9568519216894123E-11</v>
      </c>
      <c r="V372">
        <v>2.423533500423756E-9</v>
      </c>
      <c r="W372">
        <v>1.2620172154786528E-7</v>
      </c>
      <c r="X372">
        <v>4.8579272328778101E-6</v>
      </c>
      <c r="Y372">
        <v>1.2522436643571604E-6</v>
      </c>
      <c r="Z372">
        <v>0.70510020427005404</v>
      </c>
      <c r="AA372">
        <v>6.8528374407159143E-2</v>
      </c>
      <c r="AB372">
        <v>9.9706915903636801</v>
      </c>
      <c r="AD372">
        <v>0.90080549048338932</v>
      </c>
      <c r="AE372">
        <v>0.29025686651525501</v>
      </c>
      <c r="AF372">
        <v>1.1424838911950033</v>
      </c>
      <c r="AG372">
        <v>2194096.8423468061</v>
      </c>
    </row>
    <row r="373" spans="2:33" ht="12.75" hidden="1" customHeight="1">
      <c r="B373">
        <f>-0.0402140135318609*$F$42</f>
        <v>0</v>
      </c>
      <c r="C373">
        <f>0.216785640840389*$F$43</f>
        <v>0</v>
      </c>
      <c r="D373">
        <f>0.468939840585787*$F$44</f>
        <v>0</v>
      </c>
      <c r="E373">
        <f>-0.0221699292756892*$F$45</f>
        <v>0</v>
      </c>
      <c r="F373">
        <f>-0.275921015864333*$F$46</f>
        <v>0</v>
      </c>
      <c r="G373">
        <f>0.256160049755788*$F$47</f>
        <v>0</v>
      </c>
      <c r="H373">
        <f>0.400072837068376*$F$48</f>
        <v>0</v>
      </c>
      <c r="I373">
        <f>0.291689741936836*$F$49</f>
        <v>0</v>
      </c>
      <c r="J373">
        <f>-0.630376297804542*$F$50</f>
        <v>0</v>
      </c>
      <c r="K373">
        <f>0.380791467836078*$F$51</f>
        <v>0</v>
      </c>
      <c r="L373">
        <f>0.119230361889459*$F$52</f>
        <v>0</v>
      </c>
      <c r="M373">
        <f>0.810609200718336*$F$53</f>
        <v>0</v>
      </c>
      <c r="N373">
        <f>0.148778794502751*$F$54</f>
        <v>0</v>
      </c>
      <c r="P373">
        <v>958291.96364833682</v>
      </c>
      <c r="Q373">
        <v>-13077.485620275698</v>
      </c>
      <c r="R373">
        <v>371055.303656239</v>
      </c>
      <c r="S373">
        <v>722225.67761349888</v>
      </c>
      <c r="T373">
        <v>6.8068552888949663E-7</v>
      </c>
      <c r="U373">
        <v>3.1794096154242941E-11</v>
      </c>
      <c r="V373">
        <v>2.3920167525257265E-9</v>
      </c>
      <c r="W373">
        <v>1.3379196664517888E-7</v>
      </c>
      <c r="X373">
        <v>4.6848118510977293E-6</v>
      </c>
      <c r="Y373">
        <v>1.2820277462777555E-6</v>
      </c>
      <c r="Z373">
        <v>0.70834612533226216</v>
      </c>
      <c r="AA373">
        <v>7.5674264405028349E-2</v>
      </c>
      <c r="AB373">
        <v>10.14877879450275</v>
      </c>
      <c r="AD373">
        <v>1.0052541162442004</v>
      </c>
      <c r="AE373">
        <v>0.31550846694025469</v>
      </c>
      <c r="AF373">
        <v>1.0219634046293935</v>
      </c>
      <c r="AG373">
        <v>2308611.0290717832</v>
      </c>
    </row>
    <row r="374" spans="2:33" ht="12.75" hidden="1" customHeight="1">
      <c r="B374">
        <f>-0.019186066943472*$F$42</f>
        <v>0</v>
      </c>
      <c r="C374">
        <f>-0.55684312867314*$F$43</f>
        <v>0</v>
      </c>
      <c r="D374">
        <f>0.206072445087202*$F$44</f>
        <v>0</v>
      </c>
      <c r="E374">
        <f>-0.256009047056723*$F$45</f>
        <v>0</v>
      </c>
      <c r="F374">
        <f>0.125308387134069*$F$46</f>
        <v>0</v>
      </c>
      <c r="G374">
        <f>0.0167266287868623*$F$47</f>
        <v>0</v>
      </c>
      <c r="H374">
        <f>0.220013374461876*$F$48</f>
        <v>0</v>
      </c>
      <c r="I374">
        <f>0.174140601929391*$F$49</f>
        <v>0</v>
      </c>
      <c r="J374">
        <f>-0.32887797909718*$F$50</f>
        <v>0</v>
      </c>
      <c r="K374">
        <f>-0.428639052717078*$F$51</f>
        <v>0</v>
      </c>
      <c r="L374">
        <f>-0.119257258039293*$F$52</f>
        <v>0</v>
      </c>
      <c r="M374">
        <f>-0.0463941252472715*$F$53</f>
        <v>0</v>
      </c>
      <c r="N374">
        <f>-0.135548403883991*$F$54</f>
        <v>0</v>
      </c>
      <c r="P374">
        <v>960315.19108063879</v>
      </c>
      <c r="Q374">
        <v>-12087.240795298381</v>
      </c>
      <c r="R374">
        <v>361738.37732527306</v>
      </c>
      <c r="S374">
        <v>705299.69129233772</v>
      </c>
      <c r="T374">
        <v>7.0877158709938476E-7</v>
      </c>
      <c r="U374">
        <v>3.1051852549239275E-11</v>
      </c>
      <c r="V374">
        <v>2.3506030761262315E-9</v>
      </c>
      <c r="W374">
        <v>1.322638278250821E-7</v>
      </c>
      <c r="X374">
        <v>4.8355610104514107E-6</v>
      </c>
      <c r="Y374">
        <v>1.182063076989441E-6</v>
      </c>
      <c r="Z374">
        <v>0.69165199193724947</v>
      </c>
      <c r="AA374">
        <v>6.9675241123269116E-2</v>
      </c>
      <c r="AB374">
        <v>9.8644515961160089</v>
      </c>
      <c r="AD374">
        <v>0.93088504576857167</v>
      </c>
      <c r="AE374">
        <v>0.31050404974424983</v>
      </c>
      <c r="AF374">
        <v>1.1044309331916815</v>
      </c>
      <c r="AG374">
        <v>2264722.7295237235</v>
      </c>
    </row>
    <row r="375" spans="2:33" ht="12.75" hidden="1" customHeight="1">
      <c r="B375">
        <f>0.0581439785288857*$F$42</f>
        <v>0</v>
      </c>
      <c r="C375">
        <f>0.480856457719845*$F$43</f>
        <v>0</v>
      </c>
      <c r="D375">
        <f>0.10163427578057*$F$44</f>
        <v>0</v>
      </c>
      <c r="E375">
        <f>-0.0253274938644638*$F$45</f>
        <v>0</v>
      </c>
      <c r="F375">
        <f>0.102434338097434*$F$46</f>
        <v>0</v>
      </c>
      <c r="G375">
        <f>-0.247442403482243*$F$47</f>
        <v>0</v>
      </c>
      <c r="H375">
        <f>-0.268180321917027*$F$48</f>
        <v>0</v>
      </c>
      <c r="I375">
        <f>0.443834019369436*$F$49</f>
        <v>0</v>
      </c>
      <c r="J375">
        <f>0.816551172159475*$F$50</f>
        <v>0</v>
      </c>
      <c r="K375">
        <f>-0.0673717094688229*$F$51</f>
        <v>0</v>
      </c>
      <c r="L375">
        <f>-0.459808985424008*$F$52</f>
        <v>0</v>
      </c>
      <c r="M375">
        <f>0.173317978552706*$F$53</f>
        <v>0</v>
      </c>
      <c r="N375">
        <f>0.696126164711662*$F$54</f>
        <v>0</v>
      </c>
      <c r="P375">
        <v>967755.58801541268</v>
      </c>
      <c r="Q375">
        <v>-13415.496265881402</v>
      </c>
      <c r="R375">
        <v>358036.7287137165</v>
      </c>
      <c r="S375">
        <v>721997.12348814576</v>
      </c>
      <c r="T375">
        <v>7.0717040366682042E-7</v>
      </c>
      <c r="U375">
        <v>3.0232928549205048E-11</v>
      </c>
      <c r="V375">
        <v>2.2383185259590838E-9</v>
      </c>
      <c r="W375">
        <v>1.3576984225180266E-7</v>
      </c>
      <c r="X375">
        <v>5.4082755860797377E-6</v>
      </c>
      <c r="Y375">
        <v>1.2266795938806005E-6</v>
      </c>
      <c r="Z375">
        <v>0.66781337102031935</v>
      </c>
      <c r="AA375">
        <v>7.1213225849868944E-2</v>
      </c>
      <c r="AB375">
        <v>10.696126164711661</v>
      </c>
      <c r="AD375">
        <v>0.94864775214733721</v>
      </c>
      <c r="AE375">
        <v>0.33484814323309836</v>
      </c>
      <c r="AF375">
        <v>1.0818677449910545</v>
      </c>
      <c r="AG375">
        <v>2435570.7123186537</v>
      </c>
    </row>
    <row r="376" spans="2:33" ht="12.75" hidden="1" customHeight="1">
      <c r="B376">
        <f>-0.249413653802618*$F$42</f>
        <v>0</v>
      </c>
      <c r="C376">
        <f>0.481240699294923*$F$43</f>
        <v>0</v>
      </c>
      <c r="D376">
        <f>0.18587622193737*$F$44</f>
        <v>0</v>
      </c>
      <c r="E376">
        <f>0.273344723686092*$F$45</f>
        <v>0</v>
      </c>
      <c r="F376">
        <f>0.174085133157139*$F$46</f>
        <v>0</v>
      </c>
      <c r="G376">
        <f>0.269199907059073*$F$47</f>
        <v>0</v>
      </c>
      <c r="H376">
        <f>-0.144840642373104*$F$48</f>
        <v>0</v>
      </c>
      <c r="I376">
        <f>0.294341403673744*$F$49</f>
        <v>0</v>
      </c>
      <c r="J376">
        <f>-0.111787679360808*$F$50</f>
        <v>0</v>
      </c>
      <c r="K376">
        <f>0.562876449338741*$F$51</f>
        <v>0</v>
      </c>
      <c r="L376">
        <f>-0.072885896235413*$F$52</f>
        <v>0</v>
      </c>
      <c r="M376">
        <f>-0.217255258204683*$F$53</f>
        <v>0</v>
      </c>
      <c r="N376">
        <f>0.414593986143705*$F$54</f>
        <v>0</v>
      </c>
      <c r="P376">
        <v>938163.58595608873</v>
      </c>
      <c r="Q376">
        <v>-13415.9880950975</v>
      </c>
      <c r="R376">
        <v>361022.55358116119</v>
      </c>
      <c r="S376">
        <v>743615.92669242993</v>
      </c>
      <c r="T376">
        <v>7.1218595932099958E-7</v>
      </c>
      <c r="U376">
        <v>3.1834519711883125E-11</v>
      </c>
      <c r="V376">
        <v>2.2666866522541858E-9</v>
      </c>
      <c r="W376">
        <v>1.3382643824775867E-7</v>
      </c>
      <c r="X376">
        <v>4.9441061603195967E-6</v>
      </c>
      <c r="Y376">
        <v>1.3045152414933345E-6</v>
      </c>
      <c r="Z376">
        <v>0.69489798726352103</v>
      </c>
      <c r="AA376">
        <v>6.8479213192567223E-2</v>
      </c>
      <c r="AB376">
        <v>10.414593986143705</v>
      </c>
      <c r="AD376">
        <v>1.1239347784840548</v>
      </c>
      <c r="AE376">
        <v>0.36309327220420035</v>
      </c>
      <c r="AF376">
        <v>0.91057969272025785</v>
      </c>
      <c r="AG376">
        <v>2624656.9916205965</v>
      </c>
    </row>
    <row r="377" spans="2:33" ht="12.75" hidden="1" customHeight="1">
      <c r="B377">
        <f>0.467316119810165*$F$42</f>
        <v>0</v>
      </c>
      <c r="C377">
        <f>-0.206956705710912*$F$43</f>
        <v>0</v>
      </c>
      <c r="D377">
        <f>-0.207373302864745*$F$44</f>
        <v>0</v>
      </c>
      <c r="E377">
        <f>0.136407239224296*$F$45</f>
        <v>0</v>
      </c>
      <c r="F377">
        <f>-0.201596878159371*$F$46</f>
        <v>0</v>
      </c>
      <c r="G377">
        <f>0.0648837502047178*$F$47</f>
        <v>0</v>
      </c>
      <c r="H377">
        <f>0.329656536170729*$F$48</f>
        <v>0</v>
      </c>
      <c r="I377">
        <f>-0.162162190483158*$F$49</f>
        <v>0</v>
      </c>
      <c r="J377">
        <f>0.559691061271181*$F$50</f>
        <v>0</v>
      </c>
      <c r="K377">
        <f>-0.26159787219467*$F$51</f>
        <v>0</v>
      </c>
      <c r="L377">
        <f>0.0432412793809642*$F$52</f>
        <v>0</v>
      </c>
      <c r="M377">
        <f>0.406198952658308*$F$53</f>
        <v>0</v>
      </c>
      <c r="N377">
        <f>-0.678511536295198*$F$54</f>
        <v>0</v>
      </c>
      <c r="P377">
        <v>1007124.5438615893</v>
      </c>
      <c r="Q377">
        <v>-12535.095416690032</v>
      </c>
      <c r="R377">
        <v>347084.43529410876</v>
      </c>
      <c r="S377">
        <v>733703.97521549626</v>
      </c>
      <c r="T377">
        <v>6.8588821852884397E-7</v>
      </c>
      <c r="U377">
        <v>3.1201139625634629E-11</v>
      </c>
      <c r="V377">
        <v>2.3758210033192674E-9</v>
      </c>
      <c r="W377">
        <v>1.2789189152371893E-7</v>
      </c>
      <c r="X377">
        <v>5.2798455306355911E-6</v>
      </c>
      <c r="Y377">
        <v>1.2026926627839582E-6</v>
      </c>
      <c r="Z377">
        <v>0.70302688955666737</v>
      </c>
      <c r="AA377">
        <v>7.2843392668608162E-2</v>
      </c>
      <c r="AB377">
        <v>9.321488463704803</v>
      </c>
      <c r="AD377">
        <v>1.0301455055570121</v>
      </c>
      <c r="AE377">
        <v>0.32988200760404623</v>
      </c>
      <c r="AF377">
        <v>0.99742374087606156</v>
      </c>
      <c r="AG377">
        <v>2573524.820166267</v>
      </c>
    </row>
    <row r="378" spans="2:33" ht="12.75" hidden="1" customHeight="1">
      <c r="B378">
        <f>-0.580544795430894*$F$42</f>
        <v>0</v>
      </c>
      <c r="C378">
        <f>-0.223020369188149*$F$43</f>
        <v>0</v>
      </c>
      <c r="D378">
        <f>0.013737300617249*$F$44</f>
        <v>0</v>
      </c>
      <c r="E378">
        <f>0.611893988974571*$F$45</f>
        <v>0</v>
      </c>
      <c r="F378">
        <f>0.249131489635352*$F$46</f>
        <v>0</v>
      </c>
      <c r="G378">
        <f>-0.135354754364715*$F$47</f>
        <v>0</v>
      </c>
      <c r="H378">
        <f>-0.261565872269979*$F$48</f>
        <v>0</v>
      </c>
      <c r="I378">
        <f>0.0380628108553481*$F$49</f>
        <v>0</v>
      </c>
      <c r="J378">
        <f>-0.254799431356273*$F$50</f>
        <v>0</v>
      </c>
      <c r="K378">
        <f>-0.0591569653244642*$F$51</f>
        <v>0</v>
      </c>
      <c r="L378">
        <f>0.0397948616228044*$F$52</f>
        <v>0</v>
      </c>
      <c r="M378">
        <f>-0.320905528595409*$F$53</f>
        <v>0</v>
      </c>
      <c r="N378">
        <f>0.147468993272128*$F$54</f>
        <v>0</v>
      </c>
      <c r="P378">
        <v>906303.4322974456</v>
      </c>
      <c r="Q378">
        <v>-12514.533927439168</v>
      </c>
      <c r="R378">
        <v>354921.3570231417</v>
      </c>
      <c r="S378">
        <v>768121.15185615874</v>
      </c>
      <c r="T378">
        <v>7.1743920427447459E-7</v>
      </c>
      <c r="U378">
        <v>3.0580400261469385E-11</v>
      </c>
      <c r="V378">
        <v>2.2398398493779047E-9</v>
      </c>
      <c r="W378">
        <v>1.3049481654111953E-7</v>
      </c>
      <c r="X378">
        <v>4.8726002843218635E-6</v>
      </c>
      <c r="Y378">
        <v>1.2276941147824288E-6</v>
      </c>
      <c r="Z378">
        <v>0.70278564031359625</v>
      </c>
      <c r="AA378">
        <v>6.7753661299832152E-2</v>
      </c>
      <c r="AB378">
        <v>10.147468993272128</v>
      </c>
      <c r="AD378">
        <v>1.3074073579157901</v>
      </c>
      <c r="AE378">
        <v>0.40819842638749154</v>
      </c>
      <c r="AF378">
        <v>0.7798564597752593</v>
      </c>
      <c r="AG378">
        <v>2902146.7095735627</v>
      </c>
    </row>
    <row r="379" spans="2:33" ht="12.75" hidden="1" customHeight="1">
      <c r="B379">
        <f>0.0533902617324022*$F$42</f>
        <v>0</v>
      </c>
      <c r="C379">
        <f>0.00454850908820617*$F$43</f>
        <v>0</v>
      </c>
      <c r="D379">
        <f>-0.304409714970539*$F$44</f>
        <v>0</v>
      </c>
      <c r="E379">
        <f>0.234129153078811*$F$45</f>
        <v>0</v>
      </c>
      <c r="F379">
        <f>-0.148166190546677*$F$46</f>
        <v>0</v>
      </c>
      <c r="G379">
        <f>0.160685817463237*$F$47</f>
        <v>0</v>
      </c>
      <c r="H379">
        <f>0.0729102293169781*$F$48</f>
        <v>0</v>
      </c>
      <c r="I379">
        <f>0.161133907257364*$F$49</f>
        <v>0</v>
      </c>
      <c r="J379">
        <f>-0.218244292385632*$F$50</f>
        <v>0</v>
      </c>
      <c r="K379">
        <f>-0.639925979088308*$F$51</f>
        <v>0</v>
      </c>
      <c r="L379">
        <f>-0.449432784202129*$F$52</f>
        <v>0</v>
      </c>
      <c r="M379">
        <f>-0.0630342183804253*$F$53</f>
        <v>0</v>
      </c>
      <c r="N379">
        <f>-0.24445536307007*$F$54</f>
        <v>0</v>
      </c>
      <c r="P379">
        <v>967298.20382967615</v>
      </c>
      <c r="Q379">
        <v>-12805.822091632905</v>
      </c>
      <c r="R379">
        <v>343645.13046402077</v>
      </c>
      <c r="S379">
        <v>740777.38445888914</v>
      </c>
      <c r="T379">
        <v>6.8962836666173254E-7</v>
      </c>
      <c r="U379">
        <v>3.1498126034136036E-11</v>
      </c>
      <c r="V379">
        <v>2.3167693527429047E-9</v>
      </c>
      <c r="W379">
        <v>1.3209474079434575E-7</v>
      </c>
      <c r="X379">
        <v>4.8908778538071844E-6</v>
      </c>
      <c r="Y379">
        <v>1.1559691415825939E-6</v>
      </c>
      <c r="Z379">
        <v>0.66853970510585092</v>
      </c>
      <c r="AA379">
        <v>6.9558760471337022E-2</v>
      </c>
      <c r="AB379">
        <v>9.7555446369299297</v>
      </c>
      <c r="AD379">
        <v>1.0386085361738466</v>
      </c>
      <c r="AE379">
        <v>0.36518214395119253</v>
      </c>
      <c r="AF379">
        <v>0.98763105781795124</v>
      </c>
      <c r="AG379">
        <v>2718441.4751912123</v>
      </c>
    </row>
    <row r="380" spans="2:33" ht="12.75" hidden="1" customHeight="1">
      <c r="B380">
        <f>-0.945896101832411*$F$42</f>
        <v>0</v>
      </c>
      <c r="C380">
        <f>0.296645624427203*$F$43</f>
        <v>0</v>
      </c>
      <c r="D380">
        <f>0.361554070032507*$F$44</f>
        <v>0</v>
      </c>
      <c r="E380">
        <f>0.240211974714148*$F$45</f>
        <v>0</v>
      </c>
      <c r="F380">
        <f>0.0140897556301473*$F$46</f>
        <v>0</v>
      </c>
      <c r="G380">
        <f>0.286898392265092*$F$47</f>
        <v>0</v>
      </c>
      <c r="H380">
        <f>-0.0601676871718273*$F$48</f>
        <v>0</v>
      </c>
      <c r="I380">
        <f>0.505426263423552*$F$49</f>
        <v>0</v>
      </c>
      <c r="J380">
        <f>-0.543362931247241*$F$50</f>
        <v>0</v>
      </c>
      <c r="K380">
        <f>0.0147378108823736*$F$51</f>
        <v>0</v>
      </c>
      <c r="L380">
        <f>0.0912779185894596*$F$52</f>
        <v>0</v>
      </c>
      <c r="M380">
        <f>0.179154991503488*$F$53</f>
        <v>0</v>
      </c>
      <c r="N380">
        <f>0.32812638019464*$F$54</f>
        <v>0</v>
      </c>
      <c r="P380">
        <v>871150.74715856055</v>
      </c>
      <c r="Q380">
        <v>-13179.706399266819</v>
      </c>
      <c r="R380">
        <v>367249.18189914071</v>
      </c>
      <c r="S380">
        <v>741217.67758337059</v>
      </c>
      <c r="T380">
        <v>7.0098628289411024E-7</v>
      </c>
      <c r="U380">
        <v>3.1889385016021784E-11</v>
      </c>
      <c r="V380">
        <v>2.2861614319504797E-9</v>
      </c>
      <c r="W380">
        <v>1.3657054142450617E-7</v>
      </c>
      <c r="X380">
        <v>4.7283185343763797E-6</v>
      </c>
      <c r="Y380">
        <v>1.2368201196439731E-6</v>
      </c>
      <c r="Z380">
        <v>0.7063894543012621</v>
      </c>
      <c r="AA380">
        <v>7.1254084940524418E-2</v>
      </c>
      <c r="AB380">
        <v>10.328126380194639</v>
      </c>
      <c r="AD380">
        <v>1.2325183553760173</v>
      </c>
      <c r="AE380">
        <v>0.38219191341103914</v>
      </c>
      <c r="AF380">
        <v>0.82853923671471819</v>
      </c>
      <c r="AG380">
        <v>2597890.9497625148</v>
      </c>
    </row>
    <row r="381" spans="2:33" ht="12.75" hidden="1" customHeight="1">
      <c r="B381">
        <f>0.0889048105218128*$F$42</f>
        <v>0</v>
      </c>
      <c r="C381">
        <f>-0.203151938786914*$F$43</f>
        <v>0</v>
      </c>
      <c r="D381">
        <f>0.422714774809314*$F$44</f>
        <v>0</v>
      </c>
      <c r="E381">
        <f>-0.0553888549940962*$F$45</f>
        <v>0</v>
      </c>
      <c r="F381">
        <f>-0.187028486568323*$F$46</f>
        <v>0</v>
      </c>
      <c r="G381">
        <f>0.0372590980300928*$F$47</f>
        <v>0</v>
      </c>
      <c r="H381">
        <f>-0.623380328821745*$F$48</f>
        <v>0</v>
      </c>
      <c r="I381">
        <f>0.455849277224576*$F$49</f>
        <v>0</v>
      </c>
      <c r="J381">
        <f>0.103832403789123*$F$50</f>
        <v>0</v>
      </c>
      <c r="K381">
        <f>0.127145438450675*$F$51</f>
        <v>0</v>
      </c>
      <c r="L381">
        <f>-0.507525377616206*$F$52</f>
        <v>0</v>
      </c>
      <c r="M381">
        <f>0.00247391527077838*$F$53</f>
        <v>0</v>
      </c>
      <c r="N381">
        <f>0.32651416779967*$F$54</f>
        <v>0</v>
      </c>
      <c r="P381">
        <v>970715.27591774391</v>
      </c>
      <c r="Q381">
        <v>-12539.96551835275</v>
      </c>
      <c r="R381">
        <v>369416.92803469574</v>
      </c>
      <c r="S381">
        <v>719821.19076951453</v>
      </c>
      <c r="T381">
        <v>6.8690800594021744E-7</v>
      </c>
      <c r="U381">
        <v>3.1115503203893294E-11</v>
      </c>
      <c r="V381">
        <v>2.1566225243709985E-9</v>
      </c>
      <c r="W381">
        <v>1.3592604060391949E-7</v>
      </c>
      <c r="X381">
        <v>5.0519162018945622E-6</v>
      </c>
      <c r="Y381">
        <v>1.2507024616486585E-6</v>
      </c>
      <c r="Z381">
        <v>0.66447322356686556</v>
      </c>
      <c r="AA381">
        <v>7.0017317406895443E-2</v>
      </c>
      <c r="AB381">
        <v>10.326514167799669</v>
      </c>
      <c r="AD381">
        <v>0.88755702469823394</v>
      </c>
      <c r="AE381">
        <v>0.31788624154675821</v>
      </c>
      <c r="AF381">
        <v>1.1574460712353865</v>
      </c>
      <c r="AG381">
        <v>2298587.4722853308</v>
      </c>
    </row>
    <row r="382" spans="2:33" ht="12.75" hidden="1" customHeight="1">
      <c r="B382">
        <f>-0.737535477236857*$F$42</f>
        <v>0</v>
      </c>
      <c r="C382">
        <f>0.111749477831595*$F$43</f>
        <v>0</v>
      </c>
      <c r="D382">
        <f>0.217714009608766*$F$44</f>
        <v>0</v>
      </c>
      <c r="E382">
        <f>-0.494221323687019*$F$45</f>
        <v>0</v>
      </c>
      <c r="F382">
        <f>-0.216527375875668*$F$46</f>
        <v>0</v>
      </c>
      <c r="G382">
        <f>0.419347098361624*$F$47</f>
        <v>0</v>
      </c>
      <c r="H382">
        <f>-0.149557662155055*$F$48</f>
        <v>0</v>
      </c>
      <c r="I382">
        <f>0.591675448262552*$F$49</f>
        <v>0</v>
      </c>
      <c r="J382">
        <f>0.266962311973541*$F$50</f>
        <v>0</v>
      </c>
      <c r="K382">
        <f>-0.494802744053566*$F$51</f>
        <v>0</v>
      </c>
      <c r="L382">
        <f>-0.0214240563371705*$F$52</f>
        <v>0</v>
      </c>
      <c r="M382">
        <f>-0.0556245283275621*$F$53</f>
        <v>0</v>
      </c>
      <c r="N382">
        <f>-0.245134954370734*$F$54</f>
        <v>0</v>
      </c>
      <c r="P382">
        <v>891198.39801792125</v>
      </c>
      <c r="Q382">
        <v>-12943.039331624443</v>
      </c>
      <c r="R382">
        <v>362150.99448845861</v>
      </c>
      <c r="S382">
        <v>688057.16243729577</v>
      </c>
      <c r="T382">
        <v>6.8484308368870322E-7</v>
      </c>
      <c r="U382">
        <v>3.229997600492104E-11</v>
      </c>
      <c r="V382">
        <v>2.2656017377043372E-9</v>
      </c>
      <c r="W382">
        <v>1.3769178082741319E-7</v>
      </c>
      <c r="X382">
        <v>5.1334811559867718E-6</v>
      </c>
      <c r="Y382">
        <v>1.1738918611093847E-6</v>
      </c>
      <c r="Z382">
        <v>0.69850031605639806</v>
      </c>
      <c r="AA382">
        <v>6.961062830170707E-2</v>
      </c>
      <c r="AB382">
        <v>9.7548650456292663</v>
      </c>
      <c r="AD382">
        <v>0.97879364191594131</v>
      </c>
      <c r="AE382">
        <v>0.31871161384789209</v>
      </c>
      <c r="AF382">
        <v>1.0499055259695591</v>
      </c>
      <c r="AG382">
        <v>2175445.3358170842</v>
      </c>
    </row>
    <row r="383" spans="2:33" ht="12.75" hidden="1" customHeight="1">
      <c r="B383">
        <f>0.0814608511433737*$F$42</f>
        <v>0</v>
      </c>
      <c r="C383">
        <f>0.00395943149496896*$F$43</f>
        <v>0</v>
      </c>
      <c r="D383">
        <f>0.314479912174791*$F$44</f>
        <v>0</v>
      </c>
      <c r="E383">
        <f>-0.0615179647757314*$F$45</f>
        <v>0</v>
      </c>
      <c r="F383">
        <f>0.402116928645925*$F$46</f>
        <v>0</v>
      </c>
      <c r="G383">
        <f>-0.0916439900673912*$F$47</f>
        <v>0</v>
      </c>
      <c r="H383">
        <f>0.649703519260317*$F$48</f>
        <v>0</v>
      </c>
      <c r="I383">
        <f>0.0893436936845053*$F$49</f>
        <v>0</v>
      </c>
      <c r="J383">
        <f>0.528889010667408*$F$50</f>
        <v>0</v>
      </c>
      <c r="K383">
        <f>-0.096370230587377*$F$51</f>
        <v>0</v>
      </c>
      <c r="L383">
        <f>-0.644979581430698*$F$52</f>
        <v>0</v>
      </c>
      <c r="M383">
        <f>0.238040978250133*$F$53</f>
        <v>0</v>
      </c>
      <c r="N383">
        <f>0.112966172906878*$F$54</f>
        <v>0</v>
      </c>
      <c r="P383">
        <v>969999.04702891293</v>
      </c>
      <c r="Q383">
        <v>-12805.068072313559</v>
      </c>
      <c r="R383">
        <v>365580.71152828808</v>
      </c>
      <c r="S383">
        <v>719377.54716826731</v>
      </c>
      <c r="T383">
        <v>7.2814818500521481E-7</v>
      </c>
      <c r="U383">
        <v>3.0715903630791086E-11</v>
      </c>
      <c r="V383">
        <v>2.4494318094298727E-9</v>
      </c>
      <c r="W383">
        <v>1.3116146801789857E-7</v>
      </c>
      <c r="X383">
        <v>5.2644445053337046E-6</v>
      </c>
      <c r="Y383">
        <v>1.2230982765224589E-6</v>
      </c>
      <c r="Z383">
        <v>0.65485142929985107</v>
      </c>
      <c r="AA383">
        <v>7.1666286847750948E-2</v>
      </c>
      <c r="AB383">
        <v>10.112966172906878</v>
      </c>
      <c r="AD383">
        <v>0.87347285082893733</v>
      </c>
      <c r="AE383">
        <v>0.32128747139184594</v>
      </c>
      <c r="AF383">
        <v>1.1762685817568315</v>
      </c>
      <c r="AG383">
        <v>2317569.5489660036</v>
      </c>
    </row>
    <row r="384" spans="2:33" ht="12.75" hidden="1" customHeight="1">
      <c r="B384">
        <f>-0.855193097375516*$F$42</f>
        <v>0</v>
      </c>
      <c r="C384">
        <f>-0.0807792284411487*$F$43</f>
        <v>0</v>
      </c>
      <c r="D384">
        <f>-0.131630630040479*$F$44</f>
        <v>0</v>
      </c>
      <c r="E384">
        <f>-0.473842507599395*$F$45</f>
        <v>0</v>
      </c>
      <c r="F384">
        <f>0.440113795876917*$F$46</f>
        <v>0</v>
      </c>
      <c r="G384">
        <f>-0.117455788109407*$F$47</f>
        <v>0</v>
      </c>
      <c r="H384">
        <f>-0.0399997237647792*$F$48</f>
        <v>0</v>
      </c>
      <c r="I384">
        <f>0.458070729908884*$F$49</f>
        <v>0</v>
      </c>
      <c r="J384">
        <f>-0.0531371336098784*$F$50</f>
        <v>0</v>
      </c>
      <c r="K384">
        <f>-0.177705949936392*$F$51</f>
        <v>0</v>
      </c>
      <c r="L384">
        <f>0.398805832843862*$F$52</f>
        <v>0</v>
      </c>
      <c r="M384">
        <f>0.49014737469795*$F$53</f>
        <v>0</v>
      </c>
      <c r="N384">
        <f>0.788687605296212*$F$54</f>
        <v>0</v>
      </c>
      <c r="P384">
        <v>879877.83831974561</v>
      </c>
      <c r="Q384">
        <v>-12696.602587595329</v>
      </c>
      <c r="R384">
        <v>349769.01662636432</v>
      </c>
      <c r="S384">
        <v>689532.24310649151</v>
      </c>
      <c r="T384">
        <v>7.3080796571138416E-7</v>
      </c>
      <c r="U384">
        <v>3.0635887056860842E-11</v>
      </c>
      <c r="V384">
        <v>2.2908000635341009E-9</v>
      </c>
      <c r="W384">
        <v>1.3595491948881549E-7</v>
      </c>
      <c r="X384">
        <v>4.9734314331950612E-6</v>
      </c>
      <c r="Y384">
        <v>1.2130533151828556E-6</v>
      </c>
      <c r="Z384">
        <v>0.72791640829907034</v>
      </c>
      <c r="AA384">
        <v>7.3431031622885654E-2</v>
      </c>
      <c r="AB384">
        <v>10.788687605296213</v>
      </c>
      <c r="AD384">
        <v>1.1606081932728451</v>
      </c>
      <c r="AE384">
        <v>0.33781791938840766</v>
      </c>
      <c r="AF384">
        <v>0.88174777810225002</v>
      </c>
      <c r="AG384">
        <v>2304656.7004183917</v>
      </c>
    </row>
    <row r="385" spans="2:33" ht="12.75" hidden="1" customHeight="1">
      <c r="B385">
        <f>0.41308509609657*$F$42</f>
        <v>0</v>
      </c>
      <c r="C385">
        <f>-0.07536048334037*$F$43</f>
        <v>0</v>
      </c>
      <c r="D385">
        <f>0.48842596299757*$F$44</f>
        <v>0</v>
      </c>
      <c r="E385">
        <f>-0.0191777801285943*$F$45</f>
        <v>0</v>
      </c>
      <c r="F385">
        <f>-0.598573260608298*$F$46</f>
        <v>0</v>
      </c>
      <c r="G385">
        <f>-0.503176732313771*$F$47</f>
        <v>0</v>
      </c>
      <c r="H385">
        <f>-0.135733687961565*$F$48</f>
        <v>0</v>
      </c>
      <c r="I385">
        <f>0.0704989746554336*$F$49</f>
        <v>0</v>
      </c>
      <c r="J385">
        <f>0.0371308203172441*$F$50</f>
        <v>0</v>
      </c>
      <c r="K385">
        <f>-0.0230206506603024*$F$51</f>
        <v>0</v>
      </c>
      <c r="L385">
        <f>0.0845924802558866*$F$52</f>
        <v>0</v>
      </c>
      <c r="M385">
        <f>-0.0784069422373576*$F$53</f>
        <v>0</v>
      </c>
      <c r="N385">
        <f>0.423125030138184*$F$54</f>
        <v>0</v>
      </c>
      <c r="P385">
        <v>1001906.6451762391</v>
      </c>
      <c r="Q385">
        <v>-12703.538581324327</v>
      </c>
      <c r="R385">
        <v>371745.95898320497</v>
      </c>
      <c r="S385">
        <v>722442.25846624584</v>
      </c>
      <c r="T385">
        <v>6.5809987175741904E-7</v>
      </c>
      <c r="U385">
        <v>2.944015212982731E-11</v>
      </c>
      <c r="V385">
        <v>2.2687812517688402E-9</v>
      </c>
      <c r="W385">
        <v>1.3091648667052062E-7</v>
      </c>
      <c r="X385">
        <v>5.0185654101586224E-6</v>
      </c>
      <c r="Y385">
        <v>1.2321569496434526E-6</v>
      </c>
      <c r="Z385">
        <v>0.70592147361791202</v>
      </c>
      <c r="AA385">
        <v>6.9451151404338496E-2</v>
      </c>
      <c r="AB385">
        <v>10.423125030138184</v>
      </c>
      <c r="AD385">
        <v>0.95416825914258341</v>
      </c>
      <c r="AE385">
        <v>0.30268454779930815</v>
      </c>
      <c r="AF385">
        <v>1.0768606419988671</v>
      </c>
      <c r="AG385">
        <v>2289658.6341819325</v>
      </c>
    </row>
    <row r="386" spans="2:33" ht="12.75" hidden="1" customHeight="1">
      <c r="B386">
        <f>-0.0275910644442834*$F$42</f>
        <v>0</v>
      </c>
      <c r="C386">
        <f>-0.132634412146921*$F$43</f>
        <v>0</v>
      </c>
      <c r="D386">
        <f>-0.505232051564163*$F$44</f>
        <v>0</v>
      </c>
      <c r="E386">
        <f>0.167946185451927*$F$45</f>
        <v>0</v>
      </c>
      <c r="F386">
        <f>0.398669591549022*$F$46</f>
        <v>0</v>
      </c>
      <c r="G386">
        <f>0.234068900507182*$F$47</f>
        <v>0</v>
      </c>
      <c r="H386">
        <f>-0.0994958010418648*$F$48</f>
        <v>0</v>
      </c>
      <c r="I386">
        <f>-0.553176985275831*$F$49</f>
        <v>0</v>
      </c>
      <c r="J386">
        <f>0.0625782949366097*$F$50</f>
        <v>0</v>
      </c>
      <c r="K386">
        <f>0.357449024336082*$F$51</f>
        <v>0</v>
      </c>
      <c r="L386">
        <f>-0.0891198772584755*$F$52</f>
        <v>0</v>
      </c>
      <c r="M386">
        <f>-0.0614998639027298*$F$53</f>
        <v>0</v>
      </c>
      <c r="N386">
        <f>-0.642134165359833*$F$54</f>
        <v>0</v>
      </c>
      <c r="P386">
        <v>959506.49483250105</v>
      </c>
      <c r="Q386">
        <v>-12630.22795245194</v>
      </c>
      <c r="R386">
        <v>336527.29482637392</v>
      </c>
      <c r="S386">
        <v>735986.8600360445</v>
      </c>
      <c r="T386">
        <v>7.2790687140843144E-7</v>
      </c>
      <c r="U386">
        <v>3.1725613591572268E-11</v>
      </c>
      <c r="V386">
        <v>2.2771159657603711E-9</v>
      </c>
      <c r="W386">
        <v>1.2280869919141419E-7</v>
      </c>
      <c r="X386">
        <v>5.031289147468306E-6</v>
      </c>
      <c r="Y386">
        <v>1.2791449545055063E-6</v>
      </c>
      <c r="Z386">
        <v>0.69376160859190672</v>
      </c>
      <c r="AA386">
        <v>6.9569500952680899E-2</v>
      </c>
      <c r="AB386">
        <v>9.3578658346401671</v>
      </c>
      <c r="AD386">
        <v>1.1194712617384148</v>
      </c>
      <c r="AE386">
        <v>0.36504360727668483</v>
      </c>
      <c r="AF386">
        <v>0.91486323846246331</v>
      </c>
      <c r="AG386">
        <v>2733692.1903058295</v>
      </c>
    </row>
    <row r="387" spans="2:33" ht="12.75" hidden="1" customHeight="1">
      <c r="B387">
        <f>-0.737573981901251*$F$42</f>
        <v>0</v>
      </c>
      <c r="C387">
        <f>-0.24504138800369*$F$43</f>
        <v>0</v>
      </c>
      <c r="D387">
        <f>0.22793741482965*$F$44</f>
        <v>0</v>
      </c>
      <c r="E387">
        <f>-0.550604895253948*$F$45</f>
        <v>0</v>
      </c>
      <c r="F387">
        <f>0.156547386062935*$F$46</f>
        <v>0</v>
      </c>
      <c r="G387">
        <f>0.36299625014854*$F$47</f>
        <v>0</v>
      </c>
      <c r="H387">
        <f>-0.012104294540984*$F$48</f>
        <v>0</v>
      </c>
      <c r="I387">
        <f>-0.0683497235673723*$F$49</f>
        <v>0</v>
      </c>
      <c r="J387">
        <f>0.53720891935132*$F$50</f>
        <v>0</v>
      </c>
      <c r="K387">
        <f>0.156461090447324*$F$51</f>
        <v>0</v>
      </c>
      <c r="L387">
        <f>0.113977035016309*$F$52</f>
        <v>0</v>
      </c>
      <c r="M387">
        <f>-0.0594951983309474*$F$53</f>
        <v>0</v>
      </c>
      <c r="N387">
        <f>-0.0969854083897548*$F$54</f>
        <v>0</v>
      </c>
      <c r="P387">
        <v>891194.69324851141</v>
      </c>
      <c r="Q387">
        <v>-12486.347023355276</v>
      </c>
      <c r="R387">
        <v>362513.34719908645</v>
      </c>
      <c r="S387">
        <v>683975.94809584552</v>
      </c>
      <c r="T387">
        <v>7.1095831702440539E-7</v>
      </c>
      <c r="U387">
        <v>3.2125288375460476E-11</v>
      </c>
      <c r="V387">
        <v>2.2972160122555733E-9</v>
      </c>
      <c r="W387">
        <v>1.2911145359362417E-7</v>
      </c>
      <c r="X387">
        <v>5.2686044596756604E-6</v>
      </c>
      <c r="Y387">
        <v>1.2543229446702445E-6</v>
      </c>
      <c r="Z387">
        <v>0.70797839245114158</v>
      </c>
      <c r="AA387">
        <v>6.9583533611683374E-2</v>
      </c>
      <c r="AB387">
        <v>9.9030145916102459</v>
      </c>
      <c r="AD387">
        <v>0.98967910244443091</v>
      </c>
      <c r="AE387">
        <v>0.31311290551371068</v>
      </c>
      <c r="AF387">
        <v>1.0384801791324596</v>
      </c>
      <c r="AG387">
        <v>2140305.6624965658</v>
      </c>
    </row>
    <row r="388" spans="2:33" ht="12.75" hidden="1" customHeight="1">
      <c r="B388">
        <f>-0.483328276306774*$F$42</f>
        <v>0</v>
      </c>
      <c r="C388">
        <f>0.78545206386869*$F$43</f>
        <v>0</v>
      </c>
      <c r="D388">
        <f>0.538474342940272*$F$44</f>
        <v>0</v>
      </c>
      <c r="E388">
        <f>0.129689619274546*$F$45</f>
        <v>0</v>
      </c>
      <c r="F388">
        <f>-0.150029665777669*$F$46</f>
        <v>0</v>
      </c>
      <c r="G388">
        <f>-0.0270074522922928*$F$47</f>
        <v>0</v>
      </c>
      <c r="H388">
        <f>0.0806280052090131*$F$48</f>
        <v>0</v>
      </c>
      <c r="I388">
        <f>0.0756049217724629*$F$49</f>
        <v>0</v>
      </c>
      <c r="J388">
        <f>-0.0394745408053725*$F$50</f>
        <v>0</v>
      </c>
      <c r="K388">
        <f>0.138533661959678*$F$51</f>
        <v>0</v>
      </c>
      <c r="L388">
        <f>-0.268843275136912*$F$52</f>
        <v>0</v>
      </c>
      <c r="M388">
        <f>0.446564892528193*$F$53</f>
        <v>0</v>
      </c>
      <c r="N388">
        <f>-0.670406977191996*$F$54</f>
        <v>0</v>
      </c>
      <c r="P388">
        <v>915657.22856747429</v>
      </c>
      <c r="Q388">
        <v>-13805.378641751924</v>
      </c>
      <c r="R388">
        <v>373519.84603384475</v>
      </c>
      <c r="S388">
        <v>733217.73345894518</v>
      </c>
      <c r="T388">
        <v>6.8949792339556313E-7</v>
      </c>
      <c r="U388">
        <v>3.0916276897893896E-11</v>
      </c>
      <c r="V388">
        <v>2.3185444411980732E-9</v>
      </c>
      <c r="W388">
        <v>1.3098286398304202E-7</v>
      </c>
      <c r="X388">
        <v>4.9802627295973143E-6</v>
      </c>
      <c r="Y388">
        <v>1.2521089072520203E-6</v>
      </c>
      <c r="Z388">
        <v>0.68118097074041617</v>
      </c>
      <c r="AA388">
        <v>7.312595424769737E-2</v>
      </c>
      <c r="AB388">
        <v>9.3295930228080035</v>
      </c>
      <c r="AD388">
        <v>1.0081264527335343</v>
      </c>
      <c r="AE388">
        <v>0.34392751851319708</v>
      </c>
      <c r="AF388">
        <v>1.0187606649683119</v>
      </c>
      <c r="AG388">
        <v>2427097.6328382613</v>
      </c>
    </row>
    <row r="389" spans="2:33" ht="12.75" hidden="1" customHeight="1">
      <c r="B389">
        <f>0.244051775850822*$F$42</f>
        <v>0</v>
      </c>
      <c r="C389">
        <f>-0.340636370912658*$F$43</f>
        <v>0</v>
      </c>
      <c r="D389">
        <f>-0.0384038527289884*$F$44</f>
        <v>0</v>
      </c>
      <c r="E389">
        <f>-0.581324846942271*$F$45</f>
        <v>0</v>
      </c>
      <c r="F389">
        <f>-0.410070002456703*$F$46</f>
        <v>0</v>
      </c>
      <c r="G389">
        <f>-0.142865407991349*$F$47</f>
        <v>0</v>
      </c>
      <c r="H389">
        <f>0.338151450427554*$F$48</f>
        <v>0</v>
      </c>
      <c r="I389">
        <f>-0.483654543417075*$F$49</f>
        <v>0</v>
      </c>
      <c r="J389">
        <f>0.487006217554365*$F$50</f>
        <v>0</v>
      </c>
      <c r="K389">
        <f>0.598204616553572*$F$51</f>
        <v>0</v>
      </c>
      <c r="L389">
        <f>0.113006470215529*$F$52</f>
        <v>0</v>
      </c>
      <c r="M389">
        <f>0.182498819525781*$F$53</f>
        <v>0</v>
      </c>
      <c r="N389">
        <f>0.138429308633365*$F$54</f>
        <v>0</v>
      </c>
      <c r="P389">
        <v>985642.9149514758</v>
      </c>
      <c r="Q389">
        <v>-12363.985445231798</v>
      </c>
      <c r="R389">
        <v>353073.29487143562</v>
      </c>
      <c r="S389">
        <v>681752.34459016437</v>
      </c>
      <c r="T389">
        <v>6.7129509982803076E-7</v>
      </c>
      <c r="U389">
        <v>3.0557117235226817E-11</v>
      </c>
      <c r="V389">
        <v>2.377774833598337E-9</v>
      </c>
      <c r="W389">
        <v>1.2371249093557803E-7</v>
      </c>
      <c r="X389">
        <v>5.2435031087771829E-6</v>
      </c>
      <c r="Y389">
        <v>1.3088782701443662E-6</v>
      </c>
      <c r="Z389">
        <v>0.70791045291508692</v>
      </c>
      <c r="AA389">
        <v>7.1277491736680465E-2</v>
      </c>
      <c r="AB389">
        <v>10.138429308633366</v>
      </c>
      <c r="AD389">
        <v>0.89274803445910833</v>
      </c>
      <c r="AE389">
        <v>0.28371527869561014</v>
      </c>
      <c r="AF389">
        <v>1.1525001396378931</v>
      </c>
      <c r="AG389">
        <v>2095604.4309164116</v>
      </c>
    </row>
    <row r="390" spans="2:33" ht="12.75" hidden="1" customHeight="1">
      <c r="B390">
        <f>-0.232496965976896*$F$42</f>
        <v>0</v>
      </c>
      <c r="C390">
        <f>-0.120797711789941*$F$43</f>
        <v>0</v>
      </c>
      <c r="D390">
        <f>-0.643081052846522*$F$44</f>
        <v>0</v>
      </c>
      <c r="E390">
        <f>-0.367675560903557*$F$45</f>
        <v>0</v>
      </c>
      <c r="F390">
        <f>-0.30025933722361*$F$46</f>
        <v>0</v>
      </c>
      <c r="G390">
        <f>0.197424755940271*$F$47</f>
        <v>0</v>
      </c>
      <c r="H390">
        <f>-0.15352359320742*$F$48</f>
        <v>0</v>
      </c>
      <c r="I390">
        <f>-0.0937605377917534*$F$49</f>
        <v>0</v>
      </c>
      <c r="J390">
        <f>-0.247645791563735*$F$50</f>
        <v>0</v>
      </c>
      <c r="K390">
        <f>-0.0627737095926101*$F$51</f>
        <v>0</v>
      </c>
      <c r="L390">
        <f>0.206499326278804*$F$52</f>
        <v>0</v>
      </c>
      <c r="M390">
        <f>0.156473483852815*$F$53</f>
        <v>0</v>
      </c>
      <c r="N390">
        <f>0.0371740383040238*$F$54</f>
        <v>0</v>
      </c>
      <c r="P390">
        <v>939791.24402193096</v>
      </c>
      <c r="Q390">
        <v>-12645.378928908876</v>
      </c>
      <c r="R390">
        <v>331641.4511967029</v>
      </c>
      <c r="S390">
        <v>697216.92950364028</v>
      </c>
      <c r="T390">
        <v>6.7898184639434729E-7</v>
      </c>
      <c r="U390">
        <v>3.1612016743414845E-11</v>
      </c>
      <c r="V390">
        <v>2.2646895735622933E-9</v>
      </c>
      <c r="W390">
        <v>1.2878111300870719E-7</v>
      </c>
      <c r="X390">
        <v>4.876177104218133E-6</v>
      </c>
      <c r="Y390">
        <v>1.2272474468653126E-6</v>
      </c>
      <c r="Z390">
        <v>0.71445495283951621</v>
      </c>
      <c r="AA390">
        <v>7.1095314386969713E-2</v>
      </c>
      <c r="AB390">
        <v>10.037174038304023</v>
      </c>
      <c r="AD390">
        <v>1.1071363060831085</v>
      </c>
      <c r="AE390">
        <v>0.33797458191143459</v>
      </c>
      <c r="AF390">
        <v>0.9255124325173516</v>
      </c>
      <c r="AG390">
        <v>2453735.2111546532</v>
      </c>
    </row>
    <row r="391" spans="2:33" ht="12.75" hidden="1" customHeight="1">
      <c r="B391">
        <f>0.159198203234881*$F$42</f>
        <v>0</v>
      </c>
      <c r="C391">
        <f>-0.176574105011608*$F$43</f>
        <v>0</v>
      </c>
      <c r="D391">
        <f>-0.361378442554623*$F$44</f>
        <v>0</v>
      </c>
      <c r="E391">
        <f>0.552666175889247*$F$45</f>
        <v>0</v>
      </c>
      <c r="F391">
        <f>-0.437244977750472*$F$46</f>
        <v>0</v>
      </c>
      <c r="G391">
        <f>-0.165794094687974*$F$47</f>
        <v>0</v>
      </c>
      <c r="H391">
        <f>0.100891690973521*$F$48</f>
        <v>0</v>
      </c>
      <c r="I391">
        <f>0.160554937392541*$F$49</f>
        <v>0</v>
      </c>
      <c r="J391">
        <f>-0.582765381659842*$F$50</f>
        <v>0</v>
      </c>
      <c r="K391">
        <f>-0.0730943778299771*$F$51</f>
        <v>0</v>
      </c>
      <c r="L391">
        <f>-0.109361951925903*$F$52</f>
        <v>0</v>
      </c>
      <c r="M391">
        <f>0.21469514505569*$F$53</f>
        <v>0</v>
      </c>
      <c r="N391">
        <f>-0.38952650126417*$F$54</f>
        <v>0</v>
      </c>
      <c r="P391">
        <v>977478.63342623156</v>
      </c>
      <c r="Q391">
        <v>-12573.985145585142</v>
      </c>
      <c r="R391">
        <v>341625.96244562481</v>
      </c>
      <c r="S391">
        <v>763834.06266583258</v>
      </c>
      <c r="T391">
        <v>6.6939285155746691E-7</v>
      </c>
      <c r="U391">
        <v>3.048603830646728E-11</v>
      </c>
      <c r="V391">
        <v>2.3232050889239097E-9</v>
      </c>
      <c r="W391">
        <v>1.3208721418610303E-7</v>
      </c>
      <c r="X391">
        <v>4.7086173091700793E-6</v>
      </c>
      <c r="Y391">
        <v>1.2259728443379979E-6</v>
      </c>
      <c r="Z391">
        <v>0.69234466336518674</v>
      </c>
      <c r="AA391">
        <v>7.150286601538984E-2</v>
      </c>
      <c r="AB391">
        <v>9.6104734987358302</v>
      </c>
      <c r="AD391">
        <v>1.1689446074984682</v>
      </c>
      <c r="AE391">
        <v>0.38122237339169746</v>
      </c>
      <c r="AF391">
        <v>0.87491938481959231</v>
      </c>
      <c r="AG391">
        <v>2919363.9671101673</v>
      </c>
    </row>
    <row r="392" spans="2:33" ht="12.75" hidden="1" customHeight="1">
      <c r="B392">
        <f>-0.468982668251628*$F$42</f>
        <v>0</v>
      </c>
      <c r="C392">
        <f>-0.602252278695713*$F$43</f>
        <v>0</v>
      </c>
      <c r="D392">
        <f>-0.626643893592266*$F$44</f>
        <v>0</v>
      </c>
      <c r="E392">
        <f>0.101612623668428*$F$45</f>
        <v>0</v>
      </c>
      <c r="F392">
        <f>0.129296033315011*$F$46</f>
        <v>0</v>
      </c>
      <c r="G392">
        <f>-0.485238713040882*$F$47</f>
        <v>0</v>
      </c>
      <c r="H392">
        <f>-0.181675881121571*$F$48</f>
        <v>0</v>
      </c>
      <c r="I392">
        <f>0.705718572292891*$F$49</f>
        <v>0</v>
      </c>
      <c r="J392">
        <f>-0.435898597400206*$F$50</f>
        <v>0</v>
      </c>
      <c r="K392">
        <f>0.145762512567733*$F$51</f>
        <v>0</v>
      </c>
      <c r="L392">
        <f>0.207368904347524*$F$52</f>
        <v>0</v>
      </c>
      <c r="M392">
        <f>-0.466699538909015*$F$53</f>
        <v>0</v>
      </c>
      <c r="N392">
        <f>0.430672848547704*$F$54</f>
        <v>0</v>
      </c>
      <c r="P392">
        <v>917037.50731358107</v>
      </c>
      <c r="Q392">
        <v>-12029.117083269488</v>
      </c>
      <c r="R392">
        <v>332224.04076271504</v>
      </c>
      <c r="S392">
        <v>731185.43515027012</v>
      </c>
      <c r="T392">
        <v>7.0905072233205077E-7</v>
      </c>
      <c r="U392">
        <v>2.9495759989573269E-11</v>
      </c>
      <c r="V392">
        <v>2.2582145473420383E-9</v>
      </c>
      <c r="W392">
        <v>1.3917434143980758E-7</v>
      </c>
      <c r="X392">
        <v>4.7820507012998972E-6</v>
      </c>
      <c r="Y392">
        <v>1.2530016703021151E-6</v>
      </c>
      <c r="Z392">
        <v>0.71451582330432672</v>
      </c>
      <c r="AA392">
        <v>6.6733103227636911E-2</v>
      </c>
      <c r="AB392">
        <v>10.430672848547704</v>
      </c>
      <c r="AD392">
        <v>1.2859608754141887</v>
      </c>
      <c r="AE392">
        <v>0.38741333195262773</v>
      </c>
      <c r="AF392">
        <v>0.79328789702909219</v>
      </c>
      <c r="AG392">
        <v>2780584.2843389423</v>
      </c>
    </row>
    <row r="393" spans="2:33" ht="12.75" hidden="1" customHeight="1">
      <c r="B393">
        <f>-0.00653572743474454*$F$42</f>
        <v>0</v>
      </c>
      <c r="C393">
        <f>-0.710102577768796*$F$43</f>
        <v>0</v>
      </c>
      <c r="D393">
        <f>-0.167268087886897*$F$44</f>
        <v>0</v>
      </c>
      <c r="E393">
        <f>0.389208031227777*$F$45</f>
        <v>0</v>
      </c>
      <c r="F393">
        <f>-0.0551311595342384*$F$46</f>
        <v>0</v>
      </c>
      <c r="G393">
        <f>-0.0907766775109415*$F$47</f>
        <v>0</v>
      </c>
      <c r="H393">
        <f>0.185102720143441*$F$48</f>
        <v>0</v>
      </c>
      <c r="I393">
        <f>-0.32600464198893*$F$49</f>
        <v>0</v>
      </c>
      <c r="J393">
        <f>-0.269484628126649*$F$50</f>
        <v>0</v>
      </c>
      <c r="K393">
        <f>0.505298477980679*$F$51</f>
        <v>0</v>
      </c>
      <c r="L393">
        <f>0.210139872929202*$F$52</f>
        <v>0</v>
      </c>
      <c r="M393">
        <f>0.0890571652858592*$F$53</f>
        <v>0</v>
      </c>
      <c r="N393">
        <f>0.0148431435718617*$F$54</f>
        <v>0</v>
      </c>
      <c r="P393">
        <v>961532.35766485124</v>
      </c>
      <c r="Q393">
        <v>-11891.06870045594</v>
      </c>
      <c r="R393">
        <v>348505.90231449535</v>
      </c>
      <c r="S393">
        <v>752002.46516890253</v>
      </c>
      <c r="T393">
        <v>6.9614081883260325E-7</v>
      </c>
      <c r="U393">
        <v>3.071859229971608E-11</v>
      </c>
      <c r="V393">
        <v>2.3425736256329917E-9</v>
      </c>
      <c r="W393">
        <v>1.2576193965414391E-7</v>
      </c>
      <c r="X393">
        <v>4.8652576859366757E-6</v>
      </c>
      <c r="Y393">
        <v>1.2974043620306137E-6</v>
      </c>
      <c r="Z393">
        <v>0.71470979110504418</v>
      </c>
      <c r="AA393">
        <v>7.0623400157001026E-2</v>
      </c>
      <c r="AB393">
        <v>10.014843143571861</v>
      </c>
      <c r="AD393">
        <v>1.2132252914664357</v>
      </c>
      <c r="AE393">
        <v>0.36721829675576884</v>
      </c>
      <c r="AF393">
        <v>0.84231085531319616</v>
      </c>
      <c r="AG393">
        <v>2756100.8095693039</v>
      </c>
    </row>
    <row r="394" spans="2:33" ht="12.75" hidden="1" customHeight="1">
      <c r="B394">
        <f>-0.175517047781386*$F$42</f>
        <v>0</v>
      </c>
      <c r="C394">
        <f>-0.679712285820936*$F$43</f>
        <v>0</v>
      </c>
      <c r="D394">
        <f>0.265204556625573*$F$44</f>
        <v>0</v>
      </c>
      <c r="E394">
        <f>-0.406738115880316*$F$45</f>
        <v>0</v>
      </c>
      <c r="F394">
        <f>0.166760000251028*$F$46</f>
        <v>0</v>
      </c>
      <c r="G394">
        <f>0.0867090236709348*$F$47</f>
        <v>0</v>
      </c>
      <c r="H394">
        <f>-0.235168647096254*$F$48</f>
        <v>0</v>
      </c>
      <c r="I394">
        <f>0.646211727339655*$F$49</f>
        <v>0</v>
      </c>
      <c r="J394">
        <f>-0.155238760138618*$F$50</f>
        <v>0</v>
      </c>
      <c r="K394">
        <f>-0.324960871757069*$F$51</f>
        <v>0</v>
      </c>
      <c r="L394">
        <f>0.399125357973264*$F$52</f>
        <v>0</v>
      </c>
      <c r="M394">
        <f>-0.0444670152081441*$F$53</f>
        <v>0</v>
      </c>
      <c r="N394">
        <f>-0.0176097907812075*$F$54</f>
        <v>0</v>
      </c>
      <c r="P394">
        <v>945273.63066862035</v>
      </c>
      <c r="Q394">
        <v>-11929.968274149202</v>
      </c>
      <c r="R394">
        <v>363834.22312597616</v>
      </c>
      <c r="S394">
        <v>694389.46300667315</v>
      </c>
      <c r="T394">
        <v>7.1167320001757189E-7</v>
      </c>
      <c r="U394">
        <v>3.1268797973379903E-11</v>
      </c>
      <c r="V394">
        <v>2.2459112111678615E-9</v>
      </c>
      <c r="W394">
        <v>1.3840075245541552E-7</v>
      </c>
      <c r="X394">
        <v>4.9223806199306908E-6</v>
      </c>
      <c r="Y394">
        <v>1.194867332338002E-6</v>
      </c>
      <c r="Z394">
        <v>0.72793877505812843</v>
      </c>
      <c r="AA394">
        <v>6.9688730893542994E-2</v>
      </c>
      <c r="AB394">
        <v>9.9823902092187922</v>
      </c>
      <c r="AD394">
        <v>1.0057777272673407</v>
      </c>
      <c r="AE394">
        <v>0.29911221733966503</v>
      </c>
      <c r="AF394">
        <v>1.0224001396180715</v>
      </c>
      <c r="AG394">
        <v>2176146.6298422213</v>
      </c>
    </row>
    <row r="395" spans="2:33" ht="12.75" hidden="1" customHeight="1">
      <c r="B395">
        <f>0.356890992939309*$F$42</f>
        <v>0</v>
      </c>
      <c r="C395">
        <f>0.0245021922620324*$F$43</f>
        <v>0</v>
      </c>
      <c r="D395">
        <f>-0.286204470855892*$F$44</f>
        <v>0</v>
      </c>
      <c r="E395">
        <f>0.423169195707461*$F$45</f>
        <v>0</v>
      </c>
      <c r="F395">
        <f>0.220916389969415*$F$46</f>
        <v>0</v>
      </c>
      <c r="G395">
        <f>0.00496482103264157*$F$47</f>
        <v>0</v>
      </c>
      <c r="H395">
        <f>-0.367111060744401*$F$48</f>
        <v>0</v>
      </c>
      <c r="I395">
        <f>0.54915180907569*$F$49</f>
        <v>0</v>
      </c>
      <c r="J395">
        <f>0.522433439546431*$F$50</f>
        <v>0</v>
      </c>
      <c r="K395">
        <f>0.61978709202308*$F$51</f>
        <v>0</v>
      </c>
      <c r="L395">
        <f>0.131042452690667*$F$52</f>
        <v>0</v>
      </c>
      <c r="M395">
        <f>-0.246578355893567*$F$53</f>
        <v>0</v>
      </c>
      <c r="N395">
        <f>0.242072059807473*$F$54</f>
        <v>0</v>
      </c>
      <c r="P395">
        <v>996499.86660356773</v>
      </c>
      <c r="Q395">
        <v>-12831.362806095402</v>
      </c>
      <c r="R395">
        <v>344290.38705026155</v>
      </c>
      <c r="S395">
        <v>754460.67751116806</v>
      </c>
      <c r="T395">
        <v>7.1546414729785896E-7</v>
      </c>
      <c r="U395">
        <v>3.1015390945201193E-11</v>
      </c>
      <c r="V395">
        <v>2.2155644560287879E-9</v>
      </c>
      <c r="W395">
        <v>1.3713897351798397E-7</v>
      </c>
      <c r="X395">
        <v>5.2612167197732156E-6</v>
      </c>
      <c r="Y395">
        <v>1.3115437058648506E-6</v>
      </c>
      <c r="Z395">
        <v>0.70917297168834659</v>
      </c>
      <c r="AA395">
        <v>6.8273951508745032E-2</v>
      </c>
      <c r="AB395">
        <v>10.242072059807473</v>
      </c>
      <c r="AD395">
        <v>1.1760008649332521</v>
      </c>
      <c r="AE395">
        <v>0.36280442900468041</v>
      </c>
      <c r="AF395">
        <v>0.86948842804186932</v>
      </c>
      <c r="AG395">
        <v>2805590.1683478709</v>
      </c>
    </row>
    <row r="396" spans="2:33" ht="12.75" hidden="1" customHeight="1">
      <c r="B396">
        <f>-0.0310879244451136*$F$42</f>
        <v>0</v>
      </c>
      <c r="C396">
        <f>0.435809748861135*$F$43</f>
        <v>0</v>
      </c>
      <c r="D396">
        <f>0.0792911567378795*$F$44</f>
        <v>0</v>
      </c>
      <c r="E396">
        <f>-0.228690837554321*$F$45</f>
        <v>0</v>
      </c>
      <c r="F396">
        <f>0.153115471416009*$F$46</f>
        <v>0</v>
      </c>
      <c r="G396">
        <f>0.217487060945666*$F$47</f>
        <v>0</v>
      </c>
      <c r="H396">
        <f>-0.131666069504524*$F$48</f>
        <v>0</v>
      </c>
      <c r="I396">
        <f>-0.155834069949787*$F$49</f>
        <v>0</v>
      </c>
      <c r="J396">
        <f>0.103845306250737*$F$50</f>
        <v>0</v>
      </c>
      <c r="K396">
        <f>-0.405145392807644*$F$51</f>
        <v>0</v>
      </c>
      <c r="L396">
        <f>-0.143902802942182*$F$52</f>
        <v>0</v>
      </c>
      <c r="M396">
        <f>0.0992583815403325*$F$53</f>
        <v>0</v>
      </c>
      <c r="N396">
        <f>0.211598652226658*$F$54</f>
        <v>0</v>
      </c>
      <c r="P396">
        <v>959170.04053103796</v>
      </c>
      <c r="Q396">
        <v>-13357.836478542253</v>
      </c>
      <c r="R396">
        <v>357244.81158101192</v>
      </c>
      <c r="S396">
        <v>707277.06635577464</v>
      </c>
      <c r="T396">
        <v>7.1071808299912066E-7</v>
      </c>
      <c r="U396">
        <v>3.167420988893157E-11</v>
      </c>
      <c r="V396">
        <v>2.2697168040139594E-9</v>
      </c>
      <c r="W396">
        <v>1.2797415709065277E-7</v>
      </c>
      <c r="X396">
        <v>5.0519226531253683E-6</v>
      </c>
      <c r="Y396">
        <v>1.1849645439882559E-6</v>
      </c>
      <c r="Z396">
        <v>0.68992680379404725</v>
      </c>
      <c r="AA396">
        <v>7.069480867078233E-2</v>
      </c>
      <c r="AB396">
        <v>10.211598652226659</v>
      </c>
      <c r="AD396">
        <v>0.95993584215203931</v>
      </c>
      <c r="AE396">
        <v>0.31885678764179498</v>
      </c>
      <c r="AF396">
        <v>1.0698916762429129</v>
      </c>
      <c r="AG396">
        <v>2311828.5377938333</v>
      </c>
    </row>
    <row r="397" spans="2:33" ht="12.75" hidden="1" customHeight="1">
      <c r="B397">
        <f>-0.174785864108508*$F$42</f>
        <v>0</v>
      </c>
      <c r="C397">
        <f>-0.445000527215791*$F$43</f>
        <v>0</v>
      </c>
      <c r="D397">
        <f>0.176744402677979*$F$44</f>
        <v>0</v>
      </c>
      <c r="E397">
        <f>0.756270555021442*$F$45</f>
        <v>0</v>
      </c>
      <c r="F397">
        <f>0.267569489900723*$F$46</f>
        <v>0</v>
      </c>
      <c r="G397">
        <f>-0.150913438736897*$F$47</f>
        <v>0</v>
      </c>
      <c r="H397">
        <f>-0.114280849630341*$F$48</f>
        <v>0</v>
      </c>
      <c r="I397">
        <f>-0.459705485588685*$F$49</f>
        <v>0</v>
      </c>
      <c r="J397">
        <f>-0.489745357929339*$F$50</f>
        <v>0</v>
      </c>
      <c r="K397">
        <f>0.403609449659848*$F$51</f>
        <v>0</v>
      </c>
      <c r="L397">
        <f>0.0203910156186343*$F$52</f>
        <v>0</v>
      </c>
      <c r="M397">
        <f>0.00352933663263732*$F$53</f>
        <v>0</v>
      </c>
      <c r="N397">
        <f>-0.150915080895056*$F$54</f>
        <v>0</v>
      </c>
      <c r="P397">
        <v>945343.98232463212</v>
      </c>
      <c r="Q397">
        <v>-12230.399325163788</v>
      </c>
      <c r="R397">
        <v>360698.89043858671</v>
      </c>
      <c r="S397">
        <v>778571.56667637639</v>
      </c>
      <c r="T397">
        <v>7.1872986429305054E-7</v>
      </c>
      <c r="U397">
        <v>3.0532168339915624E-11</v>
      </c>
      <c r="V397">
        <v>2.2737154045850213E-9</v>
      </c>
      <c r="W397">
        <v>1.240238286873471E-7</v>
      </c>
      <c r="X397">
        <v>4.7551273210353313E-6</v>
      </c>
      <c r="Y397">
        <v>1.2848457670329912E-6</v>
      </c>
      <c r="Z397">
        <v>0.70142737109330444</v>
      </c>
      <c r="AA397">
        <v>7.0024705356428463E-2</v>
      </c>
      <c r="AB397">
        <v>9.8490849191049445</v>
      </c>
      <c r="AD397">
        <v>1.241861776268365</v>
      </c>
      <c r="AE397">
        <v>0.39222090991872977</v>
      </c>
      <c r="AF397">
        <v>0.82224382933290263</v>
      </c>
      <c r="AG397">
        <v>2920513.3995460747</v>
      </c>
    </row>
    <row r="398" spans="2:33" ht="12.75" hidden="1" customHeight="1">
      <c r="B398">
        <f>0.225607176262492*$F$42</f>
        <v>0</v>
      </c>
      <c r="C398">
        <f>0.237650567374383*$F$43</f>
        <v>0</v>
      </c>
      <c r="D398">
        <f>-0.0909428482921981*$F$44</f>
        <v>0</v>
      </c>
      <c r="E398">
        <f>-0.440857630079966*$F$45</f>
        <v>0</v>
      </c>
      <c r="F398">
        <f>0.159223089449276*$F$46</f>
        <v>0</v>
      </c>
      <c r="G398">
        <f>0.0366458820523099*$F$47</f>
        <v>0</v>
      </c>
      <c r="H398">
        <f>0.346281825494226*$F$48</f>
        <v>0</v>
      </c>
      <c r="I398">
        <f>-0.15357774127306*$F$49</f>
        <v>0</v>
      </c>
      <c r="J398">
        <f>0.115683518647515*$F$50</f>
        <v>0</v>
      </c>
      <c r="K398">
        <f>0.0603477825340568*$F$51</f>
        <v>0</v>
      </c>
      <c r="L398">
        <f>-0.0279453369901195*$F$52</f>
        <v>0</v>
      </c>
      <c r="M398">
        <f>-0.456220288027647*$F$53</f>
        <v>0</v>
      </c>
      <c r="N398">
        <f>0.213572200126044*$F$54</f>
        <v>0</v>
      </c>
      <c r="P398">
        <v>983868.24714413309</v>
      </c>
      <c r="Q398">
        <v>-13104.192726239211</v>
      </c>
      <c r="R398">
        <v>351211.13182060566</v>
      </c>
      <c r="S398">
        <v>691919.7888302221</v>
      </c>
      <c r="T398">
        <v>7.1114561626144936E-7</v>
      </c>
      <c r="U398">
        <v>3.1113602234362163E-11</v>
      </c>
      <c r="V398">
        <v>2.3796448198636718E-9</v>
      </c>
      <c r="W398">
        <v>1.2800348936345023E-7</v>
      </c>
      <c r="X398">
        <v>5.0578417593237585E-6</v>
      </c>
      <c r="Y398">
        <v>1.2424529511429559E-6</v>
      </c>
      <c r="Z398">
        <v>0.69804382641069163</v>
      </c>
      <c r="AA398">
        <v>6.680645798380648E-2</v>
      </c>
      <c r="AB398">
        <v>10.213572200126045</v>
      </c>
      <c r="AD398">
        <v>0.9226629837485234</v>
      </c>
      <c r="AE398">
        <v>0.30042141348363166</v>
      </c>
      <c r="AF398">
        <v>1.1138679207958344</v>
      </c>
      <c r="AG398">
        <v>2219605.5452707703</v>
      </c>
    </row>
    <row r="399" spans="2:33" ht="12.75" hidden="1" customHeight="1">
      <c r="B399">
        <f>0.0581629343555155*$F$42</f>
        <v>0</v>
      </c>
      <c r="C399">
        <f>0.578540401494977*$F$43</f>
        <v>0</v>
      </c>
      <c r="D399">
        <f>-0.326361532257348*$F$44</f>
        <v>0</v>
      </c>
      <c r="E399">
        <f>0.281700843731746*$F$45</f>
        <v>0</v>
      </c>
      <c r="F399">
        <f>-0.104184620038918*$F$46</f>
        <v>0</v>
      </c>
      <c r="G399">
        <f>0.183452101723713*$F$47</f>
        <v>0</v>
      </c>
      <c r="H399">
        <f>0.0441595499212683*$F$48</f>
        <v>0</v>
      </c>
      <c r="I399">
        <f>-0.22985711190195*$F$49</f>
        <v>0</v>
      </c>
      <c r="J399">
        <f>0.0817881199869033*$F$50</f>
        <v>0</v>
      </c>
      <c r="K399">
        <f>-0.335341891498675*$F$51</f>
        <v>0</v>
      </c>
      <c r="L399">
        <f>-0.19547135003233*$F$52</f>
        <v>0</v>
      </c>
      <c r="M399">
        <f>-0.306733600324335*$F$53</f>
        <v>0</v>
      </c>
      <c r="N399">
        <f>-0.214210721954293*$F$54</f>
        <v>0</v>
      </c>
      <c r="P399">
        <v>967757.41187150229</v>
      </c>
      <c r="Q399">
        <v>-13540.531713913571</v>
      </c>
      <c r="R399">
        <v>342867.08241396077</v>
      </c>
      <c r="S399">
        <v>744220.76806770044</v>
      </c>
      <c r="T399">
        <v>6.9270707659727564E-7</v>
      </c>
      <c r="U399">
        <v>3.1568701515343513E-11</v>
      </c>
      <c r="V399">
        <v>2.3101566964818917E-9</v>
      </c>
      <c r="W399">
        <v>1.2701185754527464E-7</v>
      </c>
      <c r="X399">
        <v>5.0408940599934519E-6</v>
      </c>
      <c r="Y399">
        <v>1.1935852763999137E-6</v>
      </c>
      <c r="Z399">
        <v>0.68631700549773689</v>
      </c>
      <c r="AA399">
        <v>6.7852864797729659E-2</v>
      </c>
      <c r="AB399">
        <v>9.7857892780457068</v>
      </c>
      <c r="AD399">
        <v>1.1068826795634648</v>
      </c>
      <c r="AE399">
        <v>0.36866572668877023</v>
      </c>
      <c r="AF399">
        <v>0.92519935315501278</v>
      </c>
      <c r="AG399">
        <v>2769842.2995207203</v>
      </c>
    </row>
    <row r="400" spans="2:33" ht="12.75" hidden="1" customHeight="1">
      <c r="B400">
        <f>0.329621556863285*$F$42</f>
        <v>0</v>
      </c>
      <c r="C400">
        <f>0.0895684705840823*$F$43</f>
        <v>0</v>
      </c>
      <c r="D400">
        <f>-0.255199509665446*$F$44</f>
        <v>0</v>
      </c>
      <c r="E400">
        <f>0.435941330312238*$F$45</f>
        <v>0</v>
      </c>
      <c r="F400">
        <f>0.233991962159826*$F$46</f>
        <v>0</v>
      </c>
      <c r="G400">
        <f>-0.108403560255622*$F$47</f>
        <v>0</v>
      </c>
      <c r="H400">
        <f>0.279091481620042*$F$48</f>
        <v>0</v>
      </c>
      <c r="I400">
        <f>-0.826537549119017*$F$49</f>
        <v>0</v>
      </c>
      <c r="J400">
        <f>-0.0862041776749461*$F$50</f>
        <v>0</v>
      </c>
      <c r="K400">
        <f>0.186997355595583*$F$51</f>
        <v>0</v>
      </c>
      <c r="L400">
        <f>-0.114407898203726*$F$52</f>
        <v>0</v>
      </c>
      <c r="M400">
        <f>0.404037774660265*$F$53</f>
        <v>0</v>
      </c>
      <c r="N400">
        <f>0.176278901813238*$F$54</f>
        <v>0</v>
      </c>
      <c r="P400">
        <v>993876.10726974451</v>
      </c>
      <c r="Q400">
        <v>-12914.647642347625</v>
      </c>
      <c r="R400">
        <v>345389.30971717479</v>
      </c>
      <c r="S400">
        <v>755385.16344689974</v>
      </c>
      <c r="T400">
        <v>7.1637943735118778E-7</v>
      </c>
      <c r="U400">
        <v>3.0663948963207574E-11</v>
      </c>
      <c r="V400">
        <v>2.3641910407726094E-9</v>
      </c>
      <c r="W400">
        <v>1.1925501186145276E-7</v>
      </c>
      <c r="X400">
        <v>4.9568979111625275E-6</v>
      </c>
      <c r="Y400">
        <v>1.2580941734160548E-6</v>
      </c>
      <c r="Z400">
        <v>0.69199144712573912</v>
      </c>
      <c r="AA400">
        <v>7.2828264422621858E-2</v>
      </c>
      <c r="AB400">
        <v>10.176278901813237</v>
      </c>
      <c r="AD400">
        <v>1.114855673941558</v>
      </c>
      <c r="AE400">
        <v>0.36371144040275216</v>
      </c>
      <c r="AF400">
        <v>0.91832731280933411</v>
      </c>
      <c r="AG400">
        <v>2789229.611687277</v>
      </c>
    </row>
    <row r="401" spans="2:33" ht="12.75" hidden="1" customHeight="1">
      <c r="B401">
        <f>-0.171024798398922*$F$42</f>
        <v>0</v>
      </c>
      <c r="C401">
        <f>0.0918136684644817*$F$43</f>
        <v>0</v>
      </c>
      <c r="D401">
        <f>-0.254133092535814*$F$44</f>
        <v>0</v>
      </c>
      <c r="E401">
        <f>-0.0947152867506785*$F$45</f>
        <v>0</v>
      </c>
      <c r="F401">
        <f>-0.0559571870699469*$F$46</f>
        <v>0</v>
      </c>
      <c r="G401">
        <f>0.3636438295288*$F$47</f>
        <v>0</v>
      </c>
      <c r="H401">
        <f>-0.0198837399846595*$F$48</f>
        <v>0</v>
      </c>
      <c r="I401">
        <f>-0.137793056743443*$F$49</f>
        <v>0</v>
      </c>
      <c r="J401">
        <f>-0.271389745799852*$F$50</f>
        <v>0</v>
      </c>
      <c r="K401">
        <f>0.183953130900889*$F$51</f>
        <v>0</v>
      </c>
      <c r="L401">
        <f>-0.27446979702278*$F$52</f>
        <v>0</v>
      </c>
      <c r="M401">
        <f>-0.144485727342073*$F$53</f>
        <v>0</v>
      </c>
      <c r="N401">
        <f>-0.0438567707934992*$F$54</f>
        <v>0</v>
      </c>
      <c r="P401">
        <v>945705.85747427342</v>
      </c>
      <c r="Q401">
        <v>-12917.521495634537</v>
      </c>
      <c r="R401">
        <v>345427.10721509578</v>
      </c>
      <c r="S401">
        <v>716974.62406891957</v>
      </c>
      <c r="T401">
        <v>6.9608299690510366E-7</v>
      </c>
      <c r="U401">
        <v>3.2127295871539283E-11</v>
      </c>
      <c r="V401">
        <v>2.2954267398035282E-9</v>
      </c>
      <c r="W401">
        <v>1.2820869026233526E-7</v>
      </c>
      <c r="X401">
        <v>4.8643051271000742E-6</v>
      </c>
      <c r="Y401">
        <v>1.2577182116662597E-6</v>
      </c>
      <c r="Z401">
        <v>0.68078711420840532</v>
      </c>
      <c r="AA401">
        <v>6.8988599908605494E-2</v>
      </c>
      <c r="AB401">
        <v>9.9561432292065017</v>
      </c>
      <c r="AD401">
        <v>1.0223212397578509</v>
      </c>
      <c r="AE401">
        <v>0.34808874139254498</v>
      </c>
      <c r="AF401">
        <v>1.0040452286527746</v>
      </c>
      <c r="AG401">
        <v>2527929.0143766413</v>
      </c>
    </row>
    <row r="402" spans="2:33" ht="12.75" hidden="1" customHeight="1">
      <c r="B402">
        <f>-0.245389330904667*$F$42</f>
        <v>0</v>
      </c>
      <c r="C402">
        <f>0.160173277003975*$F$43</f>
        <v>0</v>
      </c>
      <c r="D402">
        <f>-0.0303067745110311*$F$44</f>
        <v>0</v>
      </c>
      <c r="E402">
        <f>-0.25698052986483*$F$45</f>
        <v>0</v>
      </c>
      <c r="F402">
        <f>0.46244580631258*$F$46</f>
        <v>0</v>
      </c>
      <c r="G402">
        <f>-0.11928574807932*$F$47</f>
        <v>0</v>
      </c>
      <c r="H402">
        <f>-0.12827770413624*$F$48</f>
        <v>0</v>
      </c>
      <c r="I402">
        <f>-0.57920583951289*$F$49</f>
        <v>0</v>
      </c>
      <c r="J402">
        <f>0.364450035465147*$F$50</f>
        <v>0</v>
      </c>
      <c r="K402">
        <f>0.674566618634964*$F$51</f>
        <v>0</v>
      </c>
      <c r="L402">
        <f>-0.763564548025422*$F$52</f>
        <v>0</v>
      </c>
      <c r="M402">
        <f>-0.120928555158881*$F$53</f>
        <v>0</v>
      </c>
      <c r="N402">
        <f>-0.24350941890037*$F$54</f>
        <v>0</v>
      </c>
      <c r="P402">
        <v>938550.79069095675</v>
      </c>
      <c r="Q402">
        <v>-13005.021794565087</v>
      </c>
      <c r="R402">
        <v>353360.28322580986</v>
      </c>
      <c r="S402">
        <v>705229.372412942</v>
      </c>
      <c r="T402">
        <v>7.3237120644188049E-7</v>
      </c>
      <c r="U402">
        <v>3.0630214180954111E-11</v>
      </c>
      <c r="V402">
        <v>2.2704961280486647E-9</v>
      </c>
      <c r="W402">
        <v>1.2247032408633243E-7</v>
      </c>
      <c r="X402">
        <v>5.1822250177325739E-6</v>
      </c>
      <c r="Y402">
        <v>1.318308977401418E-6</v>
      </c>
      <c r="Z402">
        <v>0.64655048163822049</v>
      </c>
      <c r="AA402">
        <v>6.9153500113887836E-2</v>
      </c>
      <c r="AB402">
        <v>9.7564905810996301</v>
      </c>
      <c r="AD402">
        <v>0.88475113413092532</v>
      </c>
      <c r="AE402">
        <v>0.33354298451693715</v>
      </c>
      <c r="AF402">
        <v>1.1613766095671585</v>
      </c>
      <c r="AG402">
        <v>2350082.8336135694</v>
      </c>
    </row>
    <row r="403" spans="2:33" ht="12.75" hidden="1" customHeight="1">
      <c r="B403">
        <f>0.401235629902093*$F$42</f>
        <v>0</v>
      </c>
      <c r="C403">
        <f>0.162977404171187*$F$43</f>
        <v>0</v>
      </c>
      <c r="D403">
        <f>0.075375514070301*$F$44</f>
        <v>0</v>
      </c>
      <c r="E403">
        <f>0.321752618814687*$F$45</f>
        <v>0</v>
      </c>
      <c r="F403">
        <f>0.321313046549707*$F$46</f>
        <v>0</v>
      </c>
      <c r="G403">
        <f>0.20546133662031*$F$47</f>
        <v>0</v>
      </c>
      <c r="H403">
        <f>-0.257712420760829*$F$48</f>
        <v>0</v>
      </c>
      <c r="I403">
        <f>-0.241333585291098*$F$49</f>
        <v>0</v>
      </c>
      <c r="J403">
        <f>-0.30706217370137*$F$50</f>
        <v>0</v>
      </c>
      <c r="K403">
        <f>-0.0624858818969223*$F$51</f>
        <v>0</v>
      </c>
      <c r="L403">
        <f>0.0839375948189212*$F$52</f>
        <v>0</v>
      </c>
      <c r="M403">
        <f>-0.0616501674936265*$F$53</f>
        <v>0</v>
      </c>
      <c r="N403">
        <f>-0.00654856169228009*$F$54</f>
        <v>0</v>
      </c>
      <c r="P403">
        <v>1000766.5355149353</v>
      </c>
      <c r="Q403">
        <v>-13008.611077339119</v>
      </c>
      <c r="R403">
        <v>357106.02771166584</v>
      </c>
      <c r="S403">
        <v>747119.83732362743</v>
      </c>
      <c r="T403">
        <v>7.2249191325847947E-7</v>
      </c>
      <c r="U403">
        <v>3.1636930143522963E-11</v>
      </c>
      <c r="V403">
        <v>2.240726143225009E-9</v>
      </c>
      <c r="W403">
        <v>1.2686266339121573E-7</v>
      </c>
      <c r="X403">
        <v>4.8464689131493153E-6</v>
      </c>
      <c r="Y403">
        <v>1.2272829935857302E-6</v>
      </c>
      <c r="Z403">
        <v>0.70587563163732447</v>
      </c>
      <c r="AA403">
        <v>6.9568448827544621E-2</v>
      </c>
      <c r="AB403">
        <v>9.9934514383077193</v>
      </c>
      <c r="AD403">
        <v>1.0821686210620423</v>
      </c>
      <c r="AE403">
        <v>0.34130599982568766</v>
      </c>
      <c r="AF403">
        <v>0.9474999989033186</v>
      </c>
      <c r="AG403">
        <v>2648151.9224651097</v>
      </c>
    </row>
    <row r="404" spans="2:33" ht="12.75" hidden="1" customHeight="1">
      <c r="B404">
        <f>-0.0761281824568904*$F$42</f>
        <v>0</v>
      </c>
      <c r="C404">
        <f>-0.17377260799593*$F$43</f>
        <v>0</v>
      </c>
      <c r="D404">
        <f>0.0205457925240771*$F$44</f>
        <v>0</v>
      </c>
      <c r="E404">
        <f>0.409110449816502*$F$45</f>
        <v>0</v>
      </c>
      <c r="F404">
        <f>0.111328113636629*$F$46</f>
        <v>0</v>
      </c>
      <c r="G404">
        <f>-0.00229030424998316*$F$47</f>
        <v>0</v>
      </c>
      <c r="H404">
        <f>-0.79518274151361*$F$48</f>
        <v>0</v>
      </c>
      <c r="I404">
        <f>0.105767983828003*$F$49</f>
        <v>0</v>
      </c>
      <c r="J404">
        <f>0.331482287992697*$F$50</f>
        <v>0</v>
      </c>
      <c r="K404">
        <f>0.474539853954284*$F$51</f>
        <v>0</v>
      </c>
      <c r="L404">
        <f>0.355082956541271*$F$52</f>
        <v>0</v>
      </c>
      <c r="M404">
        <f>0.656168335275103*$F$53</f>
        <v>0</v>
      </c>
      <c r="N404">
        <f>-0.634192321394632*$F$54</f>
        <v>0</v>
      </c>
      <c r="P404">
        <v>954836.44166134589</v>
      </c>
      <c r="Q404">
        <v>-12577.571061765209</v>
      </c>
      <c r="R404">
        <v>355162.67343821324</v>
      </c>
      <c r="S404">
        <v>753443.06273866503</v>
      </c>
      <c r="T404">
        <v>7.0779296795456392E-7</v>
      </c>
      <c r="U404">
        <v>3.0992900056825054E-11</v>
      </c>
      <c r="V404">
        <v>2.1171079694518694E-9</v>
      </c>
      <c r="W404">
        <v>1.3137498378976403E-7</v>
      </c>
      <c r="X404">
        <v>5.165741143996349E-6</v>
      </c>
      <c r="Y404">
        <v>1.293605671963354E-6</v>
      </c>
      <c r="Z404">
        <v>0.72485580695788887</v>
      </c>
      <c r="AA404">
        <v>7.459317834692572E-2</v>
      </c>
      <c r="AB404">
        <v>9.3658076786053677</v>
      </c>
      <c r="AD404">
        <v>1.2211606222940359</v>
      </c>
      <c r="AE404">
        <v>0.35988806434041465</v>
      </c>
      <c r="AF404">
        <v>0.83731331430365707</v>
      </c>
      <c r="AG404">
        <v>2721345.3240269064</v>
      </c>
    </row>
    <row r="405" spans="2:33" ht="12.75" hidden="1" customHeight="1">
      <c r="B405">
        <f>0.400697227375077*$F$42</f>
        <v>0</v>
      </c>
      <c r="C405">
        <f>-0.213628460907489*$F$43</f>
        <v>0</v>
      </c>
      <c r="D405">
        <f>0.34410696718582*$F$44</f>
        <v>0</v>
      </c>
      <c r="E405">
        <f>-0.0209139467069692*$F$45</f>
        <v>0</v>
      </c>
      <c r="F405">
        <f>-0.670373807411051*$F$46</f>
        <v>0</v>
      </c>
      <c r="G405">
        <f>0.0213819578992943*$F$47</f>
        <v>0</v>
      </c>
      <c r="H405">
        <f>-0.295930428240666*$F$48</f>
        <v>0</v>
      </c>
      <c r="I405">
        <f>-0.0716720193160046*$F$49</f>
        <v>0</v>
      </c>
      <c r="J405">
        <f>0.379719807950368*$F$50</f>
        <v>0</v>
      </c>
      <c r="K405">
        <f>0.30457853930428*$F$51</f>
        <v>0</v>
      </c>
      <c r="L405">
        <f>0.10780955330561*$F$52</f>
        <v>0</v>
      </c>
      <c r="M405">
        <f>-0.603302314084131*$F$53</f>
        <v>0</v>
      </c>
      <c r="N405">
        <f>-0.711332471284966*$F$54</f>
        <v>0</v>
      </c>
      <c r="P405">
        <v>1000714.7325127877</v>
      </c>
      <c r="Q405">
        <v>-12526.555570038414</v>
      </c>
      <c r="R405">
        <v>366630.79645197239</v>
      </c>
      <c r="S405">
        <v>722316.58945057518</v>
      </c>
      <c r="T405">
        <v>6.5307383348122641E-7</v>
      </c>
      <c r="U405">
        <v>3.1066284069487814E-11</v>
      </c>
      <c r="V405">
        <v>2.2319360015046469E-9</v>
      </c>
      <c r="W405">
        <v>1.2906826374889193E-7</v>
      </c>
      <c r="X405">
        <v>5.1898599039751839E-6</v>
      </c>
      <c r="Y405">
        <v>1.2726154496040788E-6</v>
      </c>
      <c r="Z405">
        <v>0.7075466687313926</v>
      </c>
      <c r="AA405">
        <v>6.5776883801411085E-2</v>
      </c>
      <c r="AB405">
        <v>9.2886675287150346</v>
      </c>
      <c r="AD405">
        <v>0.95529407051599713</v>
      </c>
      <c r="AE405">
        <v>0.30412535415789677</v>
      </c>
      <c r="AF405">
        <v>1.0766245653304876</v>
      </c>
      <c r="AG405">
        <v>2328933.8418562096</v>
      </c>
    </row>
    <row r="406" spans="2:33" ht="12.75" hidden="1" customHeight="1">
      <c r="B406">
        <f>-0.352954663893591*$F$42</f>
        <v>0</v>
      </c>
      <c r="C406">
        <f>0.499247136343803*$F$43</f>
        <v>0</v>
      </c>
      <c r="D406">
        <f>0.104217016596651*$F$44</f>
        <v>0</v>
      </c>
      <c r="E406">
        <f>-0.493870996414316*$F$45</f>
        <v>0</v>
      </c>
      <c r="F406">
        <f>0.351016326291057*$F$46</f>
        <v>0</v>
      </c>
      <c r="G406">
        <f>0.220919222404747*$F$47</f>
        <v>0</v>
      </c>
      <c r="H406">
        <f>-0.417428572030047*$F$48</f>
        <v>0</v>
      </c>
      <c r="I406">
        <f>-0.752456818141172*$F$49</f>
        <v>0</v>
      </c>
      <c r="J406">
        <f>0.958844836499448*$F$50</f>
        <v>0</v>
      </c>
      <c r="K406">
        <f>0.231780397727469*$F$51</f>
        <v>0</v>
      </c>
      <c r="L406">
        <f>-0.357427939257888*$F$52</f>
        <v>0</v>
      </c>
      <c r="M406">
        <f>-0.306365818097659*$F$53</f>
        <v>0</v>
      </c>
      <c r="N406">
        <f>0.0830739275081761*$F$54</f>
        <v>0</v>
      </c>
      <c r="P406">
        <v>928201.27170425456</v>
      </c>
      <c r="Q406">
        <v>-13439.036334520068</v>
      </c>
      <c r="R406">
        <v>358128.26994829887</v>
      </c>
      <c r="S406">
        <v>688082.52019044664</v>
      </c>
      <c r="T406">
        <v>7.2457114284037383E-7</v>
      </c>
      <c r="U406">
        <v>3.1684849589454722E-11</v>
      </c>
      <c r="V406">
        <v>2.2039914284330891E-9</v>
      </c>
      <c r="W406">
        <v>1.2021806136416478E-7</v>
      </c>
      <c r="X406">
        <v>5.479422418249725E-6</v>
      </c>
      <c r="Y406">
        <v>1.2636248791193423E-6</v>
      </c>
      <c r="Z406">
        <v>0.6749800442519478</v>
      </c>
      <c r="AA406">
        <v>6.7855439273316387E-2</v>
      </c>
      <c r="AB406">
        <v>10.083073927508178</v>
      </c>
      <c r="AD406">
        <v>0.89692698243659252</v>
      </c>
      <c r="AE406">
        <v>0.31221909774715179</v>
      </c>
      <c r="AF406">
        <v>1.1455791595489981</v>
      </c>
      <c r="AG406">
        <v>2165254.8362859176</v>
      </c>
    </row>
    <row r="407" spans="2:33" ht="12.75" hidden="1" customHeight="1">
      <c r="B407">
        <f>0.110643970364019*$F$42</f>
        <v>0</v>
      </c>
      <c r="C407">
        <f>-0.10344792593792*$F$43</f>
        <v>0</v>
      </c>
      <c r="D407">
        <f>0.407483536243501*$F$44</f>
        <v>0</v>
      </c>
      <c r="E407">
        <f>-0.0219876070555414*$F$45</f>
        <v>0</v>
      </c>
      <c r="F407">
        <f>0.178359677281823*$F$46</f>
        <v>0</v>
      </c>
      <c r="G407">
        <f>0.3561343611146*$F$47</f>
        <v>0</v>
      </c>
      <c r="H407">
        <f>0.185745288700505*$F$48</f>
        <v>0</v>
      </c>
      <c r="I407">
        <f>-0.265196075513812*$F$49</f>
        <v>0</v>
      </c>
      <c r="J407">
        <f>-0.0614130707229081*$F$50</f>
        <v>0</v>
      </c>
      <c r="K407">
        <f>-0.305218783231652*$F$51</f>
        <v>0</v>
      </c>
      <c r="L407">
        <f>0.212184692910841*$F$52</f>
        <v>0</v>
      </c>
      <c r="M407">
        <f>0.352325922711036*$F$53</f>
        <v>0</v>
      </c>
      <c r="N407">
        <f>0.24006101610065*$F$54</f>
        <v>0</v>
      </c>
      <c r="P407">
        <v>972806.93352982088</v>
      </c>
      <c r="Q407">
        <v>-12667.586654799463</v>
      </c>
      <c r="R407">
        <v>368877.08045345463</v>
      </c>
      <c r="S407">
        <v>722238.87465013482</v>
      </c>
      <c r="T407">
        <v>7.124851774097276E-7</v>
      </c>
      <c r="U407">
        <v>3.2104016519455262E-11</v>
      </c>
      <c r="V407">
        <v>2.3427214164011159E-9</v>
      </c>
      <c r="W407">
        <v>1.2655245101832045E-7</v>
      </c>
      <c r="X407">
        <v>4.9692934646385468E-6</v>
      </c>
      <c r="Y407">
        <v>1.197305480270891E-6</v>
      </c>
      <c r="Z407">
        <v>0.71485292850375892</v>
      </c>
      <c r="AA407">
        <v>7.2466281458977266E-2</v>
      </c>
      <c r="AB407">
        <v>10.24006101610065</v>
      </c>
      <c r="AD407">
        <v>1.0180354928799276</v>
      </c>
      <c r="AE407">
        <v>0.31275411082922361</v>
      </c>
      <c r="AF407">
        <v>1.0090908094334337</v>
      </c>
      <c r="AG407">
        <v>2324307.75351323</v>
      </c>
    </row>
    <row r="408" spans="2:33" ht="12.75" hidden="1" customHeight="1">
      <c r="B408">
        <f>-0.100052110331138*$F$42</f>
        <v>0</v>
      </c>
      <c r="C408">
        <f>-0.5812240832825*$F$43</f>
        <v>0</v>
      </c>
      <c r="D408">
        <f>0.186962995915655*$F$44</f>
        <v>0</v>
      </c>
      <c r="E408">
        <f>-0.0643832429912445*$F$45</f>
        <v>0</v>
      </c>
      <c r="F408">
        <f>0.0123380215929614*$F$46</f>
        <v>0</v>
      </c>
      <c r="G408">
        <f>0.320757674500711*$F$47</f>
        <v>0</v>
      </c>
      <c r="H408">
        <f>0.29778206914941*$F$48</f>
        <v>0</v>
      </c>
      <c r="I408">
        <f>0.113340717847867*$F$49</f>
        <v>0</v>
      </c>
      <c r="J408">
        <f>-0.0240167641967212*$F$50</f>
        <v>0</v>
      </c>
      <c r="K408">
        <f>-0.0631492781804371*$F$51</f>
        <v>0</v>
      </c>
      <c r="L408">
        <f>0.308143810577276*$F$52</f>
        <v>0</v>
      </c>
      <c r="M408">
        <f>-0.111413058696313*$F$53</f>
        <v>0</v>
      </c>
      <c r="N408">
        <f>0.210898029806654*$F$54</f>
        <v>0</v>
      </c>
      <c r="P408">
        <v>952534.57414612593</v>
      </c>
      <c r="Q408">
        <v>-12056.0331733984</v>
      </c>
      <c r="R408">
        <v>361061.07259594771</v>
      </c>
      <c r="S408">
        <v>719170.14961929293</v>
      </c>
      <c r="T408">
        <v>7.0086366151150725E-7</v>
      </c>
      <c r="U408">
        <v>3.1994348790952209E-11</v>
      </c>
      <c r="V408">
        <v>2.3684898759043643E-9</v>
      </c>
      <c r="W408">
        <v>1.3147342933202227E-7</v>
      </c>
      <c r="X408">
        <v>4.9879916179016394E-6</v>
      </c>
      <c r="Y408">
        <v>1.2272010641447161E-6</v>
      </c>
      <c r="Z408">
        <v>0.72157006674040924</v>
      </c>
      <c r="AA408">
        <v>6.922010858912582E-2</v>
      </c>
      <c r="AB408">
        <v>10.210898029806653</v>
      </c>
      <c r="AD408">
        <v>1.0881976427629403</v>
      </c>
      <c r="AE408">
        <v>0.32526103295055553</v>
      </c>
      <c r="AF408">
        <v>0.94222841811992175</v>
      </c>
      <c r="AG408">
        <v>2385904.0693287458</v>
      </c>
    </row>
    <row r="409" spans="2:33" ht="12.75" hidden="1" customHeight="1">
      <c r="B409">
        <f>0.271421164770232*$F$42</f>
        <v>0</v>
      </c>
      <c r="C409">
        <f>0.017268344304428*$F$43</f>
        <v>0</v>
      </c>
      <c r="D409">
        <f>-0.317727658184996*$F$44</f>
        <v>0</v>
      </c>
      <c r="E409">
        <f>0.222855718108021*$F$45</f>
        <v>0</v>
      </c>
      <c r="F409">
        <f>-0.0233676507090564*$F$46</f>
        <v>0</v>
      </c>
      <c r="G409">
        <f>0.0866234623466595*$F$47</f>
        <v>0</v>
      </c>
      <c r="H409">
        <f>-0.177990444614702*$F$48</f>
        <v>0</v>
      </c>
      <c r="I409">
        <f>0.155431658722084*$F$49</f>
        <v>0</v>
      </c>
      <c r="J409">
        <f>0.369460848398243*$F$50</f>
        <v>0</v>
      </c>
      <c r="K409">
        <f>-0.301240428235032*$F$51</f>
        <v>0</v>
      </c>
      <c r="L409">
        <f>-0.227145607868915*$F$52</f>
        <v>0</v>
      </c>
      <c r="M409">
        <f>-0.216032462308795*$F$53</f>
        <v>0</v>
      </c>
      <c r="N409">
        <f>-0.130837641068373*$F$54</f>
        <v>0</v>
      </c>
      <c r="P409">
        <v>988276.29136007233</v>
      </c>
      <c r="Q409">
        <v>-12822.103480709669</v>
      </c>
      <c r="R409">
        <v>343173.09666319983</v>
      </c>
      <c r="S409">
        <v>739961.37895938696</v>
      </c>
      <c r="T409">
        <v>6.9836426445036607E-7</v>
      </c>
      <c r="U409">
        <v>3.1268532733274647E-11</v>
      </c>
      <c r="V409">
        <v>2.2590621977386186E-9</v>
      </c>
      <c r="W409">
        <v>1.3202061156338711E-7</v>
      </c>
      <c r="X409">
        <v>5.1847304241991213E-6</v>
      </c>
      <c r="Y409">
        <v>1.1977968071129736E-6</v>
      </c>
      <c r="Z409">
        <v>0.68409980744917587</v>
      </c>
      <c r="AA409">
        <v>6.8487772763838439E-2</v>
      </c>
      <c r="AB409">
        <v>9.8691623589316269</v>
      </c>
      <c r="AD409">
        <v>1.0555463449004161</v>
      </c>
      <c r="AE409">
        <v>0.35516810240318114</v>
      </c>
      <c r="AF409">
        <v>0.97160091381201918</v>
      </c>
      <c r="AG409">
        <v>2708158.9821336255</v>
      </c>
    </row>
    <row r="410" spans="2:33" ht="12.75" hidden="1" customHeight="1">
      <c r="B410">
        <f>-0.303288326779063*$F$42</f>
        <v>0</v>
      </c>
      <c r="C410">
        <f>0.541608821801325*$F$43</f>
        <v>0</v>
      </c>
      <c r="D410">
        <f>-0.199056774822626*$F$44</f>
        <v>0</v>
      </c>
      <c r="E410">
        <f>0.255120643749227*$F$45</f>
        <v>0</v>
      </c>
      <c r="F410">
        <f>-0.338154162786984*$F$46</f>
        <v>0</v>
      </c>
      <c r="G410">
        <f>-0.148373285320604*$F$47</f>
        <v>0</v>
      </c>
      <c r="H410">
        <f>-0.199834870816341*$F$48</f>
        <v>0</v>
      </c>
      <c r="I410">
        <f>0.152928893872877*$F$49</f>
        <v>0</v>
      </c>
      <c r="J410">
        <f>0.0723210355544716*$F$50</f>
        <v>0</v>
      </c>
      <c r="K410">
        <f>0.232778369418611*$F$51</f>
        <v>0</v>
      </c>
      <c r="L410">
        <f>0.125593940389482*$F$52</f>
        <v>0</v>
      </c>
      <c r="M410">
        <f>-0.396407520823689*$F$53</f>
        <v>0</v>
      </c>
      <c r="N410">
        <f>-0.214418787826688*$F$54</f>
        <v>0</v>
      </c>
      <c r="P410">
        <v>932979.97395602637</v>
      </c>
      <c r="Q410">
        <v>-13493.259291905695</v>
      </c>
      <c r="R410">
        <v>347379.20170646987</v>
      </c>
      <c r="S410">
        <v>742296.81237719394</v>
      </c>
      <c r="T410">
        <v>6.7632920860491107E-7</v>
      </c>
      <c r="U410">
        <v>3.0540042815506131E-11</v>
      </c>
      <c r="V410">
        <v>2.2540379797122415E-9</v>
      </c>
      <c r="W410">
        <v>1.3198807562034741E-7</v>
      </c>
      <c r="X410">
        <v>5.0361605177772366E-6</v>
      </c>
      <c r="Y410">
        <v>1.2637481286231985E-6</v>
      </c>
      <c r="Z410">
        <v>0.7087915758272636</v>
      </c>
      <c r="AA410">
        <v>6.7225147354234183E-2</v>
      </c>
      <c r="AB410">
        <v>9.7855812121733123</v>
      </c>
      <c r="AD410">
        <v>1.2118477559283714</v>
      </c>
      <c r="AE410">
        <v>0.37503758585871738</v>
      </c>
      <c r="AF410">
        <v>0.84328095638364975</v>
      </c>
      <c r="AG410">
        <v>2749426.1963131069</v>
      </c>
    </row>
    <row r="411" spans="2:33" ht="12.75" hidden="1" customHeight="1">
      <c r="B411">
        <f>-0.139678402190745*$F$42</f>
        <v>0</v>
      </c>
      <c r="C411">
        <f>-0.0521823044349448*$F$43</f>
        <v>0</v>
      </c>
      <c r="D411">
        <f>0.217978333657582*$F$44</f>
        <v>0</v>
      </c>
      <c r="E411">
        <f>0.551581716490926*$F$45</f>
        <v>0</v>
      </c>
      <c r="F411">
        <f>-0.119517410619084*$F$46</f>
        <v>0</v>
      </c>
      <c r="G411">
        <f>0.0294568446241834*$F$47</f>
        <v>0</v>
      </c>
      <c r="H411">
        <f>-0.178427127880435*$F$48</f>
        <v>0</v>
      </c>
      <c r="I411">
        <f>-0.386657572442838*$F$49</f>
        <v>0</v>
      </c>
      <c r="J411">
        <f>-0.235260189489459*$F$50</f>
        <v>0</v>
      </c>
      <c r="K411">
        <f>0.0108295069356958*$F$51</f>
        <v>0</v>
      </c>
      <c r="L411">
        <f>-0.00651332412518081*$F$52</f>
        <v>0</v>
      </c>
      <c r="M411">
        <f>-0.147105386070836*$F$53</f>
        <v>0</v>
      </c>
      <c r="N411">
        <f>-0.114283924132611*$F$54</f>
        <v>0</v>
      </c>
      <c r="P411">
        <v>948721.88609340694</v>
      </c>
      <c r="Q411">
        <v>-12733.206650323271</v>
      </c>
      <c r="R411">
        <v>362160.36304360273</v>
      </c>
      <c r="S411">
        <v>763755.56619733735</v>
      </c>
      <c r="T411">
        <v>6.9163378125666402E-7</v>
      </c>
      <c r="U411">
        <v>3.1091316218334972E-11</v>
      </c>
      <c r="V411">
        <v>2.2589617605874999E-9</v>
      </c>
      <c r="W411">
        <v>1.2497345155824311E-7</v>
      </c>
      <c r="X411">
        <v>4.8823699052552708E-6</v>
      </c>
      <c r="Y411">
        <v>1.2363374441065587E-6</v>
      </c>
      <c r="Z411">
        <v>0.69954406731123731</v>
      </c>
      <c r="AA411">
        <v>6.8970262297504151E-2</v>
      </c>
      <c r="AB411">
        <v>9.8857160758673892</v>
      </c>
      <c r="AD411">
        <v>1.1759578589415991</v>
      </c>
      <c r="AE411">
        <v>0.37510206098224325</v>
      </c>
      <c r="AF411">
        <v>0.86956325659135358</v>
      </c>
      <c r="AG411">
        <v>2784930.9666860201</v>
      </c>
    </row>
    <row r="412" spans="2:33" ht="12.75" hidden="1" customHeight="1">
      <c r="B412">
        <f>0.220554593369427*$F$42</f>
        <v>0</v>
      </c>
      <c r="C412">
        <f>0.353156675129984*$F$43</f>
        <v>0</v>
      </c>
      <c r="D412">
        <f>-0.384907734293396*$F$44</f>
        <v>0</v>
      </c>
      <c r="E412">
        <f>0.169170412977396*$F$45</f>
        <v>0</v>
      </c>
      <c r="F412">
        <f>0.324724253284727*$F$46</f>
        <v>0</v>
      </c>
      <c r="G412">
        <f>0.262447153907356*$F$47</f>
        <v>0</v>
      </c>
      <c r="H412">
        <f>-0.690523992737657*$F$48</f>
        <v>0</v>
      </c>
      <c r="I412">
        <f>-0.163514391359236*$F$49</f>
        <v>0</v>
      </c>
      <c r="J412">
        <f>0.288357681877333*$F$50</f>
        <v>0</v>
      </c>
      <c r="K412">
        <f>0.458833514591193*$F$51</f>
        <v>0</v>
      </c>
      <c r="L412">
        <f>0.36410952065065*$F$52</f>
        <v>0</v>
      </c>
      <c r="M412">
        <f>-0.534408273095671*$F$53</f>
        <v>0</v>
      </c>
      <c r="N412">
        <f>0.527350153324677*$F$54</f>
        <v>0</v>
      </c>
      <c r="P412">
        <v>983382.10722218384</v>
      </c>
      <c r="Q412">
        <v>-13252.040544166379</v>
      </c>
      <c r="R412">
        <v>340792.00326504954</v>
      </c>
      <c r="S412">
        <v>736075.47334654059</v>
      </c>
      <c r="T412">
        <v>7.2273069772993091E-7</v>
      </c>
      <c r="U412">
        <v>3.1813586177112811E-11</v>
      </c>
      <c r="V412">
        <v>2.1411794816703386E-9</v>
      </c>
      <c r="W412">
        <v>1.2787431291232994E-7</v>
      </c>
      <c r="X412">
        <v>5.1441788409386676E-6</v>
      </c>
      <c r="Y412">
        <v>1.2916659390520123E-6</v>
      </c>
      <c r="Z412">
        <v>0.72548766644554552</v>
      </c>
      <c r="AA412">
        <v>6.6259142088330308E-2</v>
      </c>
      <c r="AB412">
        <v>10.527350153324678</v>
      </c>
      <c r="AD412">
        <v>1.2130341892703278</v>
      </c>
      <c r="AE412">
        <v>0.35436730525832472</v>
      </c>
      <c r="AF412">
        <v>0.84243842004241809</v>
      </c>
      <c r="AG412">
        <v>2711274.7911019865</v>
      </c>
    </row>
    <row r="413" spans="2:33" ht="12.75" hidden="1" customHeight="1">
      <c r="B413">
        <f>-0.0102971986697443*$F$42</f>
        <v>0</v>
      </c>
      <c r="C413">
        <f>0.0548070909458355*$F$43</f>
        <v>0</v>
      </c>
      <c r="D413">
        <f>-0.220278674398548*$F$44</f>
        <v>0</v>
      </c>
      <c r="E413">
        <f>-0.252163515556155*$F$45</f>
        <v>0</v>
      </c>
      <c r="F413">
        <f>0.0685461255619669*$F$46</f>
        <v>0</v>
      </c>
      <c r="G413">
        <f>-0.00299937847561401*$F$47</f>
        <v>0</v>
      </c>
      <c r="H413">
        <f>-0.206715386006673*$F$48</f>
        <v>0</v>
      </c>
      <c r="I413">
        <f>0.587355425255167*$F$49</f>
        <v>0</v>
      </c>
      <c r="J413">
        <f>-0.183851754210174*$F$50</f>
        <v>0</v>
      </c>
      <c r="K413">
        <f>0.142129290789009*$F$51</f>
        <v>0</v>
      </c>
      <c r="L413">
        <f>-0.652820405260662*$F$52</f>
        <v>0</v>
      </c>
      <c r="M413">
        <f>0.390974703602714*$F$53</f>
        <v>0</v>
      </c>
      <c r="N413">
        <f>0.165621035587319*$F$54</f>
        <v>0</v>
      </c>
      <c r="P413">
        <v>961170.44349712797</v>
      </c>
      <c r="Q413">
        <v>-12870.15307641067</v>
      </c>
      <c r="R413">
        <v>346627.02445536194</v>
      </c>
      <c r="S413">
        <v>705578.04255449551</v>
      </c>
      <c r="T413">
        <v>7.0479822878933776E-7</v>
      </c>
      <c r="U413">
        <v>3.09907019267256E-11</v>
      </c>
      <c r="V413">
        <v>2.2524554612184651E-9</v>
      </c>
      <c r="W413">
        <v>1.3763562052831716E-7</v>
      </c>
      <c r="X413">
        <v>4.9080741228949136E-6</v>
      </c>
      <c r="Y413">
        <v>1.2525529674124426E-6</v>
      </c>
      <c r="Z413">
        <v>0.65430257163175365</v>
      </c>
      <c r="AA413">
        <v>7.2736822925219005E-2</v>
      </c>
      <c r="AB413">
        <v>10.16562103558732</v>
      </c>
      <c r="AD413">
        <v>0.8980062658761282</v>
      </c>
      <c r="AE413">
        <v>0.330055143957172</v>
      </c>
      <c r="AF413">
        <v>1.1435983711109214</v>
      </c>
      <c r="AG413">
        <v>2369489.5518253865</v>
      </c>
    </row>
    <row r="414" spans="2:33" ht="12.75" hidden="1" customHeight="1">
      <c r="B414">
        <f>0.184082621353856*$F$42</f>
        <v>0</v>
      </c>
      <c r="C414">
        <f>0.447072997697477*$F$43</f>
        <v>0</v>
      </c>
      <c r="D414">
        <f>0.211930574025893*$F$44</f>
        <v>0</v>
      </c>
      <c r="E414">
        <f>-0.43013588849004*$F$45</f>
        <v>0</v>
      </c>
      <c r="F414">
        <f>0.0225267671885904*$F$46</f>
        <v>0</v>
      </c>
      <c r="G414">
        <f>-0.286730527736276*$F$47</f>
        <v>0</v>
      </c>
      <c r="H414">
        <f>0.977929710688262*$F$48</f>
        <v>0</v>
      </c>
      <c r="I414">
        <f>0.392119280987919*$F$49</f>
        <v>0</v>
      </c>
      <c r="J414">
        <f>-0.199322995270518*$F$50</f>
        <v>0</v>
      </c>
      <c r="K414">
        <f>-0.61858545022418*$F$51</f>
        <v>0</v>
      </c>
      <c r="L414">
        <f>-0.0444241361007903*$F$52</f>
        <v>0</v>
      </c>
      <c r="M414">
        <f>-0.15423755825711*$F$53</f>
        <v>0</v>
      </c>
      <c r="N414">
        <f>0.414875935306087*$F$54</f>
        <v>0</v>
      </c>
      <c r="P414">
        <v>979872.91558609717</v>
      </c>
      <c r="Q414">
        <v>-13372.253437052772</v>
      </c>
      <c r="R414">
        <v>361946.00960182666</v>
      </c>
      <c r="S414">
        <v>692695.86108542129</v>
      </c>
      <c r="T414">
        <v>7.015768737032013E-7</v>
      </c>
      <c r="U414">
        <v>3.0111135364017549E-11</v>
      </c>
      <c r="V414">
        <v>2.5249238334583002E-9</v>
      </c>
      <c r="W414">
        <v>1.3509755065284296E-7</v>
      </c>
      <c r="X414">
        <v>4.9003385023647413E-6</v>
      </c>
      <c r="Y414">
        <v>1.1586046968973138E-6</v>
      </c>
      <c r="Z414">
        <v>0.6968903104729447</v>
      </c>
      <c r="AA414">
        <v>6.8920337092200232E-2</v>
      </c>
      <c r="AB414">
        <v>10.414875935306087</v>
      </c>
      <c r="AD414">
        <v>0.89280971935136944</v>
      </c>
      <c r="AE414">
        <v>0.29253770020053971</v>
      </c>
      <c r="AF414">
        <v>1.1516613292949005</v>
      </c>
      <c r="AG414">
        <v>2141030.393714474</v>
      </c>
    </row>
    <row r="415" spans="2:33" ht="12.75" hidden="1" customHeight="1">
      <c r="B415">
        <f>0.217149771212755*$F$42</f>
        <v>0</v>
      </c>
      <c r="C415">
        <f>-0.149444770376772*$F$43</f>
        <v>0</v>
      </c>
      <c r="D415">
        <f>-0.0146623533230926*$F$44</f>
        <v>0</v>
      </c>
      <c r="E415">
        <f>-0.0199975388303302*$F$45</f>
        <v>0</v>
      </c>
      <c r="F415">
        <f>-0.326425321485058*$F$46</f>
        <v>0</v>
      </c>
      <c r="G415">
        <f>-0.0550250715747146*$F$47</f>
        <v>0</v>
      </c>
      <c r="H415">
        <f>-0.0324439602831451*$F$48</f>
        <v>0</v>
      </c>
      <c r="I415">
        <f>-0.339063582400326*$F$49</f>
        <v>0</v>
      </c>
      <c r="J415">
        <f>0.263175726673271*$F$50</f>
        <v>0</v>
      </c>
      <c r="K415">
        <f>-0.36515795893971*$F$51</f>
        <v>0</v>
      </c>
      <c r="L415">
        <f>0.242176347688548*$F$52</f>
        <v>0</v>
      </c>
      <c r="M415">
        <f>-0.42096281156257*$F$53</f>
        <v>0</v>
      </c>
      <c r="N415">
        <f>0.321385942959966*$F$54</f>
        <v>0</v>
      </c>
      <c r="P415">
        <v>983054.50844497886</v>
      </c>
      <c r="Q415">
        <v>-12608.710693917732</v>
      </c>
      <c r="R415">
        <v>353914.77542299603</v>
      </c>
      <c r="S415">
        <v>722382.92183897877</v>
      </c>
      <c r="T415">
        <v>6.7715022749604592E-7</v>
      </c>
      <c r="U415">
        <v>3.0829422278118389E-11</v>
      </c>
      <c r="V415">
        <v>2.2925378891348765E-9</v>
      </c>
      <c r="W415">
        <v>1.2559217342879576E-7</v>
      </c>
      <c r="X415">
        <v>5.1315878633366353E-6</v>
      </c>
      <c r="Y415">
        <v>1.1899029920709459E-6</v>
      </c>
      <c r="Z415">
        <v>0.71695234433819832</v>
      </c>
      <c r="AA415">
        <v>6.7053260319062016E-2</v>
      </c>
      <c r="AB415">
        <v>10.321385942959967</v>
      </c>
      <c r="AD415">
        <v>1.0757476570120446</v>
      </c>
      <c r="AE415">
        <v>0.32638131708169144</v>
      </c>
      <c r="AF415">
        <v>0.95324252589302372</v>
      </c>
      <c r="AG415">
        <v>2463034.786999424</v>
      </c>
    </row>
    <row r="416" spans="2:33" ht="12.75" hidden="1" customHeight="1">
      <c r="B416">
        <f>-0.732372499599111*$F$42</f>
        <v>0</v>
      </c>
      <c r="C416">
        <f>0.575135840523938*$F$43</f>
        <v>0</v>
      </c>
      <c r="D416">
        <f>-0.214604308614196*$F$44</f>
        <v>0</v>
      </c>
      <c r="E416">
        <f>0.110869340573948*$F$45</f>
        <v>0</v>
      </c>
      <c r="F416">
        <f>-0.241859692372452*$F$46</f>
        <v>0</v>
      </c>
      <c r="G416">
        <f>-0.0715037706449683*$F$47</f>
        <v>0</v>
      </c>
      <c r="H416">
        <f>0.186456199977318*$F$48</f>
        <v>0</v>
      </c>
      <c r="I416">
        <f>0.0067468253813791*$F$49</f>
        <v>0</v>
      </c>
      <c r="J416">
        <f>-0.100340546854806*$F$50</f>
        <v>0</v>
      </c>
      <c r="K416">
        <f>0.326550590438199*$F$51</f>
        <v>0</v>
      </c>
      <c r="L416">
        <f>-0.436917953794053*$F$52</f>
        <v>0</v>
      </c>
      <c r="M416">
        <f>-0.213117409048802*$F$53</f>
        <v>0</v>
      </c>
      <c r="N416">
        <f>0.457026781386029*$F$54</f>
        <v>0</v>
      </c>
      <c r="P416">
        <v>891695.15969387197</v>
      </c>
      <c r="Q416">
        <v>-13536.17387587064</v>
      </c>
      <c r="R416">
        <v>346828.14353248256</v>
      </c>
      <c r="S416">
        <v>731855.46446447738</v>
      </c>
      <c r="T416">
        <v>6.8306982153392825E-7</v>
      </c>
      <c r="U416">
        <v>3.07783383110006E-11</v>
      </c>
      <c r="V416">
        <v>2.3428849259947831E-9</v>
      </c>
      <c r="W416">
        <v>1.3008770872995793E-7</v>
      </c>
      <c r="X416">
        <v>4.9498297265725977E-6</v>
      </c>
      <c r="Y416">
        <v>1.2753289979191177E-6</v>
      </c>
      <c r="Z416">
        <v>0.66941574323441633</v>
      </c>
      <c r="AA416">
        <v>6.8508178136658396E-2</v>
      </c>
      <c r="AB416">
        <v>10.45702678138603</v>
      </c>
      <c r="AD416">
        <v>1.1266660814951739</v>
      </c>
      <c r="AE416">
        <v>0.39114863703179709</v>
      </c>
      <c r="AF416">
        <v>0.9077735555691322</v>
      </c>
      <c r="AG416">
        <v>2682106.5325814383</v>
      </c>
    </row>
    <row r="417" spans="2:33" ht="12.75" hidden="1" customHeight="1">
      <c r="B417">
        <f>0.00181035115864576*$F$42</f>
        <v>0</v>
      </c>
      <c r="C417">
        <f>-0.484920172975768*$F$43</f>
        <v>0</v>
      </c>
      <c r="D417">
        <f>0.00353457214132716*$F$44</f>
        <v>0</v>
      </c>
      <c r="E417">
        <f>-0.588169587270843*$F$45</f>
        <v>0</v>
      </c>
      <c r="F417">
        <f>0.502081277112502*$F$46</f>
        <v>0</v>
      </c>
      <c r="G417">
        <f>0.574579299942359*$F$47</f>
        <v>0</v>
      </c>
      <c r="H417">
        <f>-0.751838326380565*$F$48</f>
        <v>0</v>
      </c>
      <c r="I417">
        <f>-0.603651546449502*$F$49</f>
        <v>0</v>
      </c>
      <c r="J417">
        <f>-0.123115758121603*$F$50</f>
        <v>0</v>
      </c>
      <c r="K417">
        <f>-0.155632679741021*$F$51</f>
        <v>0</v>
      </c>
      <c r="L417">
        <f>-0.183797094814556*$F$52</f>
        <v>0</v>
      </c>
      <c r="M417">
        <f>0.155628867464219*$F$53</f>
        <v>0</v>
      </c>
      <c r="N417">
        <f>0.0481310501461782*$F$54</f>
        <v>0</v>
      </c>
      <c r="P417">
        <v>962335.38496432244</v>
      </c>
      <c r="Q417">
        <v>-12179.302178591017</v>
      </c>
      <c r="R417">
        <v>354559.73716760695</v>
      </c>
      <c r="S417">
        <v>681256.90147409088</v>
      </c>
      <c r="T417">
        <v>7.3514568939787519E-7</v>
      </c>
      <c r="U417">
        <v>3.2781195829821316E-11</v>
      </c>
      <c r="V417">
        <v>2.12707718493247E-9</v>
      </c>
      <c r="W417">
        <v>1.2215252989615647E-7</v>
      </c>
      <c r="X417">
        <v>4.9384421209391989E-6</v>
      </c>
      <c r="Y417">
        <v>1.2157793640519839E-6</v>
      </c>
      <c r="Z417">
        <v>0.68713420336298103</v>
      </c>
      <c r="AA417">
        <v>7.1089402072249536E-2</v>
      </c>
      <c r="AB417">
        <v>10.048131050146178</v>
      </c>
      <c r="AD417">
        <v>0.86267625016347904</v>
      </c>
      <c r="AE417">
        <v>0.29176863892969984</v>
      </c>
      <c r="AF417">
        <v>1.1925768477400929</v>
      </c>
      <c r="AG417">
        <v>2090145.14014276</v>
      </c>
    </row>
    <row r="418" spans="2:33" ht="12.75" hidden="1" customHeight="1">
      <c r="B418">
        <f>0.103450191349326*$F$42</f>
        <v>0</v>
      </c>
      <c r="C418">
        <f>0.191387467322532*$F$43</f>
        <v>0</v>
      </c>
      <c r="D418">
        <f>0.271369876407236*$F$44</f>
        <v>0</v>
      </c>
      <c r="E418">
        <f>0.25748852644787*$F$45</f>
        <v>0</v>
      </c>
      <c r="F418">
        <f>-0.152034670501237*$F$46</f>
        <v>0</v>
      </c>
      <c r="G418">
        <f>-0.148964822018618*$F$47</f>
        <v>0</v>
      </c>
      <c r="H418">
        <f>0.150123525406463*$F$48</f>
        <v>0</v>
      </c>
      <c r="I418">
        <f>0.0782904283421633*$F$49</f>
        <v>0</v>
      </c>
      <c r="J418">
        <f>0.09532171606037*$F$50</f>
        <v>0</v>
      </c>
      <c r="K418">
        <f>0.0104544311099609*$F$51</f>
        <v>0</v>
      </c>
      <c r="L418">
        <f>0.103882667491677*$F$52</f>
        <v>0</v>
      </c>
      <c r="M418">
        <f>-0.360188275567467*$F$53</f>
        <v>0</v>
      </c>
      <c r="N418">
        <f>0.265580281051033*$F$54</f>
        <v>0</v>
      </c>
      <c r="P418">
        <v>972114.77602488967</v>
      </c>
      <c r="Q418">
        <v>-13044.975958172841</v>
      </c>
      <c r="R418">
        <v>364052.74330457667</v>
      </c>
      <c r="S418">
        <v>742468.20692635095</v>
      </c>
      <c r="T418">
        <v>6.8935757306491339E-7</v>
      </c>
      <c r="U418">
        <v>3.0538209051742285E-11</v>
      </c>
      <c r="V418">
        <v>2.3345284108434864E-9</v>
      </c>
      <c r="W418">
        <v>1.3101777556844812E-7</v>
      </c>
      <c r="X418">
        <v>5.0476608580301858E-6</v>
      </c>
      <c r="Y418">
        <v>1.2362911222420802E-6</v>
      </c>
      <c r="Z418">
        <v>0.70727178672441737</v>
      </c>
      <c r="AA418">
        <v>6.7478682071027737E-2</v>
      </c>
      <c r="AB418">
        <v>10.265580281051033</v>
      </c>
      <c r="AD418">
        <v>1.0956717467033041</v>
      </c>
      <c r="AE418">
        <v>0.34190883236084385</v>
      </c>
      <c r="AF418">
        <v>0.93512186239767325</v>
      </c>
      <c r="AG418">
        <v>2556586.5381566226</v>
      </c>
    </row>
    <row r="419" spans="2:33" ht="12.75" hidden="1" customHeight="1">
      <c r="B419">
        <f>-0.637132811926991*$F$42</f>
        <v>0</v>
      </c>
      <c r="C419">
        <f>0.14860768577078*$F$43</f>
        <v>0</v>
      </c>
      <c r="D419">
        <f>-0.0936784862898486*$F$44</f>
        <v>0</v>
      </c>
      <c r="E419">
        <f>0.0235090782384566*$F$45</f>
        <v>0</v>
      </c>
      <c r="F419">
        <f>0.437525120207263*$F$46</f>
        <v>0</v>
      </c>
      <c r="G419">
        <f>0.435999810163619*$F$47</f>
        <v>0</v>
      </c>
      <c r="H419">
        <f>0.147099009658606*$F$48</f>
        <v>0</v>
      </c>
      <c r="I419">
        <f>0.303404463374981*$F$49</f>
        <v>0</v>
      </c>
      <c r="J419">
        <f>0.0468268240754479*$F$50</f>
        <v>0</v>
      </c>
      <c r="K419">
        <f>0.01288273400482*$F$51</f>
        <v>0</v>
      </c>
      <c r="L419">
        <f>-0.0798397693924847*$F$52</f>
        <v>0</v>
      </c>
      <c r="M419">
        <f>-0.149005219630141*$F$53</f>
        <v>0</v>
      </c>
      <c r="N419">
        <f>-0.253955474343935*$F$54</f>
        <v>0</v>
      </c>
      <c r="P419">
        <v>900858.75291169516</v>
      </c>
      <c r="Q419">
        <v>-12990.2178377866</v>
      </c>
      <c r="R419">
        <v>351114.1713830285</v>
      </c>
      <c r="S419">
        <v>725532.06306211604</v>
      </c>
      <c r="T419">
        <v>7.306267584145084E-7</v>
      </c>
      <c r="U419">
        <v>3.2351599411507222E-11</v>
      </c>
      <c r="V419">
        <v>2.3338327722214793E-9</v>
      </c>
      <c r="W419">
        <v>1.3394425802387474E-7</v>
      </c>
      <c r="X419">
        <v>5.0234134120377243E-6</v>
      </c>
      <c r="Y419">
        <v>1.2365910176495954E-6</v>
      </c>
      <c r="Z419">
        <v>0.69441121614252599</v>
      </c>
      <c r="AA419">
        <v>6.8956963462589019E-2</v>
      </c>
      <c r="AB419">
        <v>9.7460445256560639</v>
      </c>
      <c r="AD419">
        <v>1.133658360130505</v>
      </c>
      <c r="AE419">
        <v>0.36829233301140984</v>
      </c>
      <c r="AF419">
        <v>0.9029158235589243</v>
      </c>
      <c r="AG419">
        <v>2586610.8680936708</v>
      </c>
    </row>
    <row r="420" spans="2:33" ht="12.75" hidden="1" customHeight="1">
      <c r="B420">
        <f>-0.138496351187402*$F$42</f>
        <v>0</v>
      </c>
      <c r="C420">
        <f>-0.152769856611788*$F$43</f>
        <v>0</v>
      </c>
      <c r="D420">
        <f>-0.0179353397489959*$F$44</f>
        <v>0</v>
      </c>
      <c r="E420">
        <f>-0.121079178582148*$F$45</f>
        <v>0</v>
      </c>
      <c r="F420">
        <f>-0.425327748358193*$F$46</f>
        <v>0</v>
      </c>
      <c r="G420">
        <f>-0.0447555270751246*$F$47</f>
        <v>0</v>
      </c>
      <c r="H420">
        <f>-0.353750304027062*$F$48</f>
        <v>0</v>
      </c>
      <c r="I420">
        <f>-0.253088940398544*$F$49</f>
        <v>0</v>
      </c>
      <c r="J420">
        <f>0.151450178333257*$F$50</f>
        <v>0</v>
      </c>
      <c r="K420">
        <f>-0.255447233489494*$F$51</f>
        <v>0</v>
      </c>
      <c r="L420">
        <f>0.186775097832294*$F$52</f>
        <v>0</v>
      </c>
      <c r="M420">
        <f>-0.0512133478772387*$F$53</f>
        <v>0</v>
      </c>
      <c r="N420">
        <f>0.288823174156719*$F$54</f>
        <v>0</v>
      </c>
      <c r="P420">
        <v>948835.61845459079</v>
      </c>
      <c r="Q420">
        <v>-12604.454583536912</v>
      </c>
      <c r="R420">
        <v>353798.76950543234</v>
      </c>
      <c r="S420">
        <v>715066.32542006008</v>
      </c>
      <c r="T420">
        <v>6.702270576149265E-7</v>
      </c>
      <c r="U420">
        <v>3.0861257866067116E-11</v>
      </c>
      <c r="V420">
        <v>2.2186374300737759E-9</v>
      </c>
      <c r="W420">
        <v>1.2670984377481893E-7</v>
      </c>
      <c r="X420">
        <v>5.0757250891666285E-6</v>
      </c>
      <c r="Y420">
        <v>1.2034522666640474E-6</v>
      </c>
      <c r="Z420">
        <v>0.71307425684826053</v>
      </c>
      <c r="AA420">
        <v>6.9641506564859332E-2</v>
      </c>
      <c r="AB420">
        <v>10.288823174156718</v>
      </c>
      <c r="AD420">
        <v>1.0810743992902869</v>
      </c>
      <c r="AE420">
        <v>0.33191499662672908</v>
      </c>
      <c r="AF420">
        <v>0.94836583164411614</v>
      </c>
      <c r="AG420">
        <v>2421093.7117465953</v>
      </c>
    </row>
    <row r="421" spans="2:33" ht="12.75" hidden="1" customHeight="1">
      <c r="B421">
        <f>-0.118938879179467*$F$42</f>
        <v>0</v>
      </c>
      <c r="C421">
        <f>-0.0299082906520919*$F$43</f>
        <v>0</v>
      </c>
      <c r="D421">
        <f>-0.386042330254685*$F$44</f>
        <v>0</v>
      </c>
      <c r="E421">
        <f>0.503229034844642*$F$45</f>
        <v>0</v>
      </c>
      <c r="F421">
        <f>-0.063866740321877*$F$46</f>
        <v>0</v>
      </c>
      <c r="G421">
        <f>-0.196906874134102*$F$47</f>
        <v>0</v>
      </c>
      <c r="H421">
        <f>0.175710503500191*$F$48</f>
        <v>0</v>
      </c>
      <c r="I421">
        <f>-0.160386424113036*$F$49</f>
        <v>0</v>
      </c>
      <c r="J421">
        <f>-0.0255123698849682*$F$50</f>
        <v>0</v>
      </c>
      <c r="K421">
        <f>-0.0148195811120908*$F$51</f>
        <v>0</v>
      </c>
      <c r="L421">
        <f>-0.0518433855834132*$F$52</f>
        <v>0</v>
      </c>
      <c r="M421">
        <f>-0.111031192223661*$F$53</f>
        <v>0</v>
      </c>
      <c r="N421">
        <f>-0.326969556804991*$F$54</f>
        <v>0</v>
      </c>
      <c r="P421">
        <v>950717.36252820294</v>
      </c>
      <c r="Q421">
        <v>-12761.717387965322</v>
      </c>
      <c r="R421">
        <v>340751.78927439207</v>
      </c>
      <c r="S421">
        <v>760255.6520858634</v>
      </c>
      <c r="T421">
        <v>6.9552932817746858E-7</v>
      </c>
      <c r="U421">
        <v>3.038958869018429E-11</v>
      </c>
      <c r="V421">
        <v>2.3404134158050438E-9</v>
      </c>
      <c r="W421">
        <v>1.2791497648653052E-7</v>
      </c>
      <c r="X421">
        <v>4.9872438150575166E-6</v>
      </c>
      <c r="Y421">
        <v>1.2331697817326569E-6</v>
      </c>
      <c r="Z421">
        <v>0.69637096300916101</v>
      </c>
      <c r="AA421">
        <v>6.9222781654434379E-2</v>
      </c>
      <c r="AB421">
        <v>9.6730304431950085</v>
      </c>
      <c r="AD421">
        <v>1.2200181232731819</v>
      </c>
      <c r="AE421">
        <v>0.39176168609298417</v>
      </c>
      <c r="AF421">
        <v>0.83730522661516582</v>
      </c>
      <c r="AG421">
        <v>2928908.447659635</v>
      </c>
    </row>
    <row r="422" spans="2:33" ht="12.75" hidden="1" customHeight="1">
      <c r="B422">
        <f>-0.275272745046542*$F$42</f>
        <v>0</v>
      </c>
      <c r="C422">
        <f>0.173272182444702*$F$43</f>
        <v>0</v>
      </c>
      <c r="D422">
        <f>-0.133760046044877*$F$44</f>
        <v>0</v>
      </c>
      <c r="E422">
        <f>0.362489266493733*$F$45</f>
        <v>0</v>
      </c>
      <c r="F422">
        <f>0.285195531845817*$F$46</f>
        <v>0</v>
      </c>
      <c r="G422">
        <f>0.406598406542636*$F$47</f>
        <v>0</v>
      </c>
      <c r="H422">
        <f>0.747125571792358*$F$48</f>
        <v>0</v>
      </c>
      <c r="I422">
        <f>0.223890270324799*$F$49</f>
        <v>0</v>
      </c>
      <c r="J422">
        <f>-0.0273727324705179*$F$50</f>
        <v>0</v>
      </c>
      <c r="K422">
        <f>0.238004145228167*$F$51</f>
        <v>0</v>
      </c>
      <c r="L422">
        <f>-0.381535521292072*$F$52</f>
        <v>0</v>
      </c>
      <c r="M422">
        <f>0.232622615337301*$F$53</f>
        <v>0</v>
      </c>
      <c r="N422">
        <f>-0.695703358131863*$F$54</f>
        <v>0</v>
      </c>
      <c r="P422">
        <v>935675.52452987246</v>
      </c>
      <c r="Q422">
        <v>-13021.788393529218</v>
      </c>
      <c r="R422">
        <v>349693.54278525396</v>
      </c>
      <c r="S422">
        <v>750068.47974038136</v>
      </c>
      <c r="T422">
        <v>7.1996368722920709E-7</v>
      </c>
      <c r="U422">
        <v>3.2260455060282175E-11</v>
      </c>
      <c r="V422">
        <v>2.4718388815122421E-9</v>
      </c>
      <c r="W422">
        <v>1.3291057351422238E-7</v>
      </c>
      <c r="X422">
        <v>4.9863136337647418E-6</v>
      </c>
      <c r="Y422">
        <v>1.2643935119356787E-6</v>
      </c>
      <c r="Z422">
        <v>0.67329251350955488</v>
      </c>
      <c r="AA422">
        <v>7.1628358307361112E-2</v>
      </c>
      <c r="AB422">
        <v>9.3042966418681381</v>
      </c>
      <c r="AD422">
        <v>1.0944469835282062</v>
      </c>
      <c r="AE422">
        <v>0.3786715527124187</v>
      </c>
      <c r="AF422">
        <v>0.93600466274907779</v>
      </c>
      <c r="AG422">
        <v>2754840.3217499699</v>
      </c>
    </row>
    <row r="423" spans="2:33" ht="12.75" hidden="1" customHeight="1">
      <c r="B423">
        <f>-0.0144150690859886*$F$42</f>
        <v>0</v>
      </c>
      <c r="C423">
        <f>-0.135018359902953*$F$43</f>
        <v>0</v>
      </c>
      <c r="D423">
        <f>0.201666315357098*$F$44</f>
        <v>0</v>
      </c>
      <c r="E423">
        <f>0.111698899393494*$F$45</f>
        <v>0</v>
      </c>
      <c r="F423">
        <f>0.626278382081048*$F$46</f>
        <v>0</v>
      </c>
      <c r="G423">
        <f>0.515944346283406*$F$47</f>
        <v>0</v>
      </c>
      <c r="H423">
        <f>0.326662418375178*$F$48</f>
        <v>0</v>
      </c>
      <c r="I423">
        <f>-0.0736953026353334*$F$49</f>
        <v>0</v>
      </c>
      <c r="J423">
        <f>0.239775970690651*$F$50</f>
        <v>0</v>
      </c>
      <c r="K423">
        <f>0.114665984272577*$F$51</f>
        <v>0</v>
      </c>
      <c r="L423">
        <f>0.10036925214015*$F$52</f>
        <v>0</v>
      </c>
      <c r="M423">
        <f>-0.275992429899175*$F$53</f>
        <v>0</v>
      </c>
      <c r="N423">
        <f>0.314291821423213*$F$54</f>
        <v>0</v>
      </c>
      <c r="P423">
        <v>960774.2379830142</v>
      </c>
      <c r="Q423">
        <v>-12627.17649932422</v>
      </c>
      <c r="R423">
        <v>361582.20890422491</v>
      </c>
      <c r="S423">
        <v>731915.51045406831</v>
      </c>
      <c r="T423">
        <v>7.4383948674567324E-7</v>
      </c>
      <c r="U423">
        <v>3.2599427473478559E-11</v>
      </c>
      <c r="V423">
        <v>2.3751323562262912E-9</v>
      </c>
      <c r="W423">
        <v>1.2904196106574065E-7</v>
      </c>
      <c r="X423">
        <v>5.1198879853453267E-6</v>
      </c>
      <c r="Y423">
        <v>1.2491612490576632E-6</v>
      </c>
      <c r="Z423">
        <v>0.70702584764981036</v>
      </c>
      <c r="AA423">
        <v>6.8068052990705785E-2</v>
      </c>
      <c r="AB423">
        <v>10.314291821423215</v>
      </c>
      <c r="AD423">
        <v>1.080895216474606</v>
      </c>
      <c r="AE423">
        <v>0.33793213359440927</v>
      </c>
      <c r="AF423">
        <v>0.94830249410663936</v>
      </c>
      <c r="AG423">
        <v>2493042.9561385009</v>
      </c>
    </row>
    <row r="424" spans="2:33" ht="12.75" hidden="1" customHeight="1">
      <c r="B424">
        <f>-0.369611608679907*$F$42</f>
        <v>0</v>
      </c>
      <c r="C424">
        <f>0.21314019785028*$F$43</f>
        <v>0</v>
      </c>
      <c r="D424">
        <f>-0.456345943294403*$F$44</f>
        <v>0</v>
      </c>
      <c r="E424">
        <f>0.186589011752463*$F$45</f>
        <v>0</v>
      </c>
      <c r="F424">
        <f>0.0292175047192513*$F$46</f>
        <v>0</v>
      </c>
      <c r="G424">
        <f>0.232816232643376*$F$47</f>
        <v>0</v>
      </c>
      <c r="H424">
        <f>-0.0292151900768746*$F$48</f>
        <v>0</v>
      </c>
      <c r="I424">
        <f>-0.0462817718690051*$F$49</f>
        <v>0</v>
      </c>
      <c r="J424">
        <f>-0.0158075195010652*$F$50</f>
        <v>0</v>
      </c>
      <c r="K424">
        <f>-0.816608991014192*$F$51</f>
        <v>0</v>
      </c>
      <c r="L424">
        <f>-0.232804534266821*$F$52</f>
        <v>0</v>
      </c>
      <c r="M424">
        <f>0.262498421316576*$F$53</f>
        <v>0</v>
      </c>
      <c r="N424">
        <f>0.142093451544586*$F$54</f>
        <v>0</v>
      </c>
      <c r="P424">
        <v>926598.60510586097</v>
      </c>
      <c r="Q424">
        <v>-13072.819453248358</v>
      </c>
      <c r="R424">
        <v>338259.9869637654</v>
      </c>
      <c r="S424">
        <v>737336.2844862605</v>
      </c>
      <c r="T424">
        <v>7.0204522533034767E-7</v>
      </c>
      <c r="U424">
        <v>3.1721730321194469E-11</v>
      </c>
      <c r="V424">
        <v>2.2932805062823188E-9</v>
      </c>
      <c r="W424">
        <v>1.2939833696570293E-7</v>
      </c>
      <c r="X424">
        <v>4.9920962402494681E-6</v>
      </c>
      <c r="Y424">
        <v>1.1341487896097474E-6</v>
      </c>
      <c r="Z424">
        <v>0.68370368260132253</v>
      </c>
      <c r="AA424">
        <v>7.1837488949216044E-2</v>
      </c>
      <c r="AB424">
        <v>10.142093451544588</v>
      </c>
      <c r="AD424">
        <v>1.1525000695219358</v>
      </c>
      <c r="AE424">
        <v>0.38409523030401177</v>
      </c>
      <c r="AF424">
        <v>0.88729167586289226</v>
      </c>
      <c r="AG424">
        <v>2754261.0956614013</v>
      </c>
    </row>
    <row r="425" spans="2:33" ht="12.75" hidden="1" customHeight="1">
      <c r="B425">
        <f>-0.24930932212752*$F$42</f>
        <v>0</v>
      </c>
      <c r="C425">
        <f>0.278190752909457*$F$43</f>
        <v>0</v>
      </c>
      <c r="D425">
        <f>-0.773523709046316*$F$44</f>
        <v>0</v>
      </c>
      <c r="E425">
        <f>0.431297607234098*$F$45</f>
        <v>0</v>
      </c>
      <c r="F425">
        <f>0.167921065211395*$F$46</f>
        <v>0</v>
      </c>
      <c r="G425">
        <f>-0.0270354507799833*$F$47</f>
        <v>0</v>
      </c>
      <c r="H425">
        <f>0.540457290185223*$F$48</f>
        <v>0</v>
      </c>
      <c r="I425">
        <f>-0.426301827320835*$F$49</f>
        <v>0</v>
      </c>
      <c r="J425">
        <f>-0.0106227811460463*$F$50</f>
        <v>0</v>
      </c>
      <c r="K425">
        <f>-0.231000659484665*$F$51</f>
        <v>0</v>
      </c>
      <c r="L425">
        <f>0.0578040267833494*$F$52</f>
        <v>0</v>
      </c>
      <c r="M425">
        <f>-0.699808298293256*$F$53</f>
        <v>0</v>
      </c>
      <c r="N425">
        <f>-0.0672152589478778*$F$54</f>
        <v>0</v>
      </c>
      <c r="P425">
        <v>938173.62434505986</v>
      </c>
      <c r="Q425">
        <v>-13156.084163724105</v>
      </c>
      <c r="R425">
        <v>327018.11395883869</v>
      </c>
      <c r="S425">
        <v>755049.03665149573</v>
      </c>
      <c r="T425">
        <v>7.1175447456479769E-7</v>
      </c>
      <c r="U425">
        <v>3.0916190102582053E-11</v>
      </c>
      <c r="V425">
        <v>2.4243051767426011E-9</v>
      </c>
      <c r="W425">
        <v>1.2445807624482913E-7</v>
      </c>
      <c r="X425">
        <v>4.9946886094269778E-6</v>
      </c>
      <c r="Y425">
        <v>1.2064714185536439E-6</v>
      </c>
      <c r="Z425">
        <v>0.70404628187483442</v>
      </c>
      <c r="AA425">
        <v>6.5101341911947205E-2</v>
      </c>
      <c r="AB425">
        <v>9.9327847410521226</v>
      </c>
      <c r="AD425">
        <v>1.3133062349765412</v>
      </c>
      <c r="AE425">
        <v>0.40953690907679807</v>
      </c>
      <c r="AF425">
        <v>0.77635692454376581</v>
      </c>
      <c r="AG425">
        <v>3037063.2274828129</v>
      </c>
    </row>
    <row r="426" spans="2:33" ht="12.75" hidden="1" customHeight="1">
      <c r="B426">
        <f>0.0480649051199892*$F$42</f>
        <v>0</v>
      </c>
      <c r="C426">
        <f>-0.21480173805295*$F$43</f>
        <v>0</v>
      </c>
      <c r="D426">
        <f>0.244353801025765*$F$44</f>
        <v>0</v>
      </c>
      <c r="E426">
        <f>0.109566413790377*$F$45</f>
        <v>0</v>
      </c>
      <c r="F426">
        <f>0.298039398936301*$F$46</f>
        <v>0</v>
      </c>
      <c r="G426">
        <f>0.269949489273204*$F$47</f>
        <v>0</v>
      </c>
      <c r="H426">
        <f>-0.269156579702651*$F$48</f>
        <v>0</v>
      </c>
      <c r="I426">
        <f>0.160026453085267*$F$49</f>
        <v>0</v>
      </c>
      <c r="J426">
        <f>-0.52656775126882*$F$50</f>
        <v>0</v>
      </c>
      <c r="K426">
        <f>0.248191957231146*$F$51</f>
        <v>0</v>
      </c>
      <c r="L426">
        <f>0.0233197719761471*$F$52</f>
        <v>0</v>
      </c>
      <c r="M426">
        <f>0.284582877344138*$F$53</f>
        <v>0</v>
      </c>
      <c r="N426">
        <f>0.055508053758773*$F$54</f>
        <v>0</v>
      </c>
      <c r="P426">
        <v>966785.8186788134</v>
      </c>
      <c r="Q426">
        <v>-12525.053775292225</v>
      </c>
      <c r="R426">
        <v>363095.20049633458</v>
      </c>
      <c r="S426">
        <v>731761.15466239874</v>
      </c>
      <c r="T426">
        <v>7.20862757925541E-7</v>
      </c>
      <c r="U426">
        <v>3.1836843416746934E-11</v>
      </c>
      <c r="V426">
        <v>2.2380939866683901E-9</v>
      </c>
      <c r="W426">
        <v>1.3208034389010847E-7</v>
      </c>
      <c r="X426">
        <v>4.7367161243655899E-6</v>
      </c>
      <c r="Y426">
        <v>1.2656517067180465E-6</v>
      </c>
      <c r="Z426">
        <v>0.70163238403833028</v>
      </c>
      <c r="AA426">
        <v>7.1992080141408968E-2</v>
      </c>
      <c r="AB426">
        <v>10.055508053758773</v>
      </c>
      <c r="AD426">
        <v>1.0380517639681066</v>
      </c>
      <c r="AE426">
        <v>0.33124605718090727</v>
      </c>
      <c r="AF426">
        <v>0.98882561575285899</v>
      </c>
      <c r="AG426">
        <v>2452124.8226098972</v>
      </c>
    </row>
    <row r="427" spans="2:33" ht="12.75" hidden="1" customHeight="1">
      <c r="B427">
        <f>-0.0158090992969147*$F$42</f>
        <v>0</v>
      </c>
      <c r="C427">
        <f>0.0518137442871484*$F$43</f>
        <v>0</v>
      </c>
      <c r="D427">
        <f>0.26735548204624*$F$44</f>
        <v>0</v>
      </c>
      <c r="E427">
        <f>-0.0815082380033771*$F$45</f>
        <v>0</v>
      </c>
      <c r="F427">
        <f>-0.342084069472219*$F$46</f>
        <v>0</v>
      </c>
      <c r="G427">
        <f>0.145363274880234*$F$47</f>
        <v>0</v>
      </c>
      <c r="H427">
        <f>-0.207535576083029*$F$48</f>
        <v>0</v>
      </c>
      <c r="I427">
        <f>0.207118462706277*$F$49</f>
        <v>0</v>
      </c>
      <c r="J427">
        <f>0.310848726406433*$F$50</f>
        <v>0</v>
      </c>
      <c r="K427">
        <f>0.0177962887814013*$F$51</f>
        <v>0</v>
      </c>
      <c r="L427">
        <f>-0.141796845767893*$F$52</f>
        <v>0</v>
      </c>
      <c r="M427">
        <f>-0.23328349634479*$F$53</f>
        <v>0</v>
      </c>
      <c r="N427">
        <f>0.336875092711622*$F$54</f>
        <v>0</v>
      </c>
      <c r="P427">
        <v>960640.10980495601</v>
      </c>
      <c r="Q427">
        <v>-12866.321592687549</v>
      </c>
      <c r="R427">
        <v>363910.45933491999</v>
      </c>
      <c r="S427">
        <v>717930.59041262197</v>
      </c>
      <c r="T427">
        <v>6.7605411513694465E-7</v>
      </c>
      <c r="U427">
        <v>3.145062615212873E-11</v>
      </c>
      <c r="V427">
        <v>2.2522668175009033E-9</v>
      </c>
      <c r="W427">
        <v>1.3269254001518159E-7</v>
      </c>
      <c r="X427">
        <v>5.1554243632032161E-6</v>
      </c>
      <c r="Y427">
        <v>1.2371978416645032E-6</v>
      </c>
      <c r="Z427">
        <v>0.69007422079624747</v>
      </c>
      <c r="AA427">
        <v>6.8367015525586466E-2</v>
      </c>
      <c r="AB427">
        <v>10.336875092711622</v>
      </c>
      <c r="AD427">
        <v>0.97616345814984218</v>
      </c>
      <c r="AE427">
        <v>0.32346807082617873</v>
      </c>
      <c r="AF427">
        <v>1.051775134023063</v>
      </c>
      <c r="AG427">
        <v>2350930.1511802161</v>
      </c>
    </row>
    <row r="428" spans="2:33" ht="12.75" hidden="1" customHeight="1">
      <c r="B428">
        <f>0.10564755041043*$F$42</f>
        <v>0</v>
      </c>
      <c r="C428">
        <f>-0.0919265420165567*$F$43</f>
        <v>0</v>
      </c>
      <c r="D428">
        <f>0.232837555848865*$F$44</f>
        <v>0</v>
      </c>
      <c r="E428">
        <f>0.616320441003265*$F$45</f>
        <v>0</v>
      </c>
      <c r="F428">
        <f>0.271210382994405*$F$46</f>
        <v>0</v>
      </c>
      <c r="G428">
        <f>-0.15738622493631*$F$47</f>
        <v>0</v>
      </c>
      <c r="H428">
        <f>0.311798081682303*$F$48</f>
        <v>0</v>
      </c>
      <c r="I428">
        <f>-0.293203327244648*$F$49</f>
        <v>0</v>
      </c>
      <c r="J428">
        <f>0.326401525716882*$F$50</f>
        <v>0</v>
      </c>
      <c r="K428">
        <f>0.0882195489187056*$F$51</f>
        <v>0</v>
      </c>
      <c r="L428">
        <f>-0.57755488550744*$F$52</f>
        <v>0</v>
      </c>
      <c r="M428">
        <f>-0.175930466144186*$F$53</f>
        <v>0</v>
      </c>
      <c r="N428">
        <f>0.0263997989317011*$F$54</f>
        <v>0</v>
      </c>
      <c r="P428">
        <v>972326.19738799601</v>
      </c>
      <c r="Q428">
        <v>-12682.334026218807</v>
      </c>
      <c r="R428">
        <v>362687.02508257132</v>
      </c>
      <c r="S428">
        <v>768441.55191240215</v>
      </c>
      <c r="T428">
        <v>7.1898472680960827E-7</v>
      </c>
      <c r="U428">
        <v>3.0512102702697444E-11</v>
      </c>
      <c r="V428">
        <v>2.3717135587869297E-9</v>
      </c>
      <c r="W428">
        <v>1.2618835674581959E-7</v>
      </c>
      <c r="X428">
        <v>5.1632007628584416E-6</v>
      </c>
      <c r="Y428">
        <v>1.2458951142914603E-6</v>
      </c>
      <c r="Z428">
        <v>0.65957115801447919</v>
      </c>
      <c r="AA428">
        <v>6.8768486736990708E-2</v>
      </c>
      <c r="AB428">
        <v>10.026399798931703</v>
      </c>
      <c r="AD428">
        <v>1.0411085493889372</v>
      </c>
      <c r="AE428">
        <v>0.37329661758060401</v>
      </c>
      <c r="AF428">
        <v>0.98460423010006504</v>
      </c>
      <c r="AG428">
        <v>2767548.414477224</v>
      </c>
    </row>
    <row r="429" spans="2:33" ht="12.75" hidden="1" customHeight="1">
      <c r="B429">
        <f>0.183763710848832*$F$42</f>
        <v>0</v>
      </c>
      <c r="C429">
        <f>0.610869897380431*$F$43</f>
        <v>0</v>
      </c>
      <c r="D429">
        <f>-0.557128809928891*$F$44</f>
        <v>0</v>
      </c>
      <c r="E429">
        <f>-0.13625781984708*$F$45</f>
        <v>0</v>
      </c>
      <c r="F429">
        <f>0.0197774734390415*$F$46</f>
        <v>0</v>
      </c>
      <c r="G429">
        <f>-0.132077323041004*$F$47</f>
        <v>0</v>
      </c>
      <c r="H429">
        <f>-0.123766302790659*$F$48</f>
        <v>0</v>
      </c>
      <c r="I429">
        <f>-0.00714007420090175*$F$49</f>
        <v>0</v>
      </c>
      <c r="J429">
        <f>-0.19874051597413*$F$50</f>
        <v>0</v>
      </c>
      <c r="K429">
        <f>-0.199049243364002*$F$51</f>
        <v>0</v>
      </c>
      <c r="L429">
        <f>0.230569029655791*$F$52</f>
        <v>0</v>
      </c>
      <c r="M429">
        <f>0.344655388264863*$F$53</f>
        <v>0</v>
      </c>
      <c r="N429">
        <f>-0.475568752276269*$F$54</f>
        <v>0</v>
      </c>
      <c r="P429">
        <v>979842.23125467647</v>
      </c>
      <c r="Q429">
        <v>-13581.913468646952</v>
      </c>
      <c r="R429">
        <v>334687.8948749915</v>
      </c>
      <c r="S429">
        <v>713967.64921540301</v>
      </c>
      <c r="T429">
        <v>7.0138442314073294E-7</v>
      </c>
      <c r="U429">
        <v>3.0590560298572892E-11</v>
      </c>
      <c r="V429">
        <v>2.2715337503581484E-9</v>
      </c>
      <c r="W429">
        <v>1.2990717903538828E-7</v>
      </c>
      <c r="X429">
        <v>4.9006297420129357E-6</v>
      </c>
      <c r="Y429">
        <v>1.2104174184445457E-6</v>
      </c>
      <c r="Z429">
        <v>0.71613983207590537</v>
      </c>
      <c r="AA429">
        <v>7.2412587717854041E-2</v>
      </c>
      <c r="AB429">
        <v>9.5244312477237312</v>
      </c>
      <c r="AD429">
        <v>1.0923100376612558</v>
      </c>
      <c r="AE429">
        <v>0.33426146295403886</v>
      </c>
      <c r="AF429">
        <v>0.93901069474922261</v>
      </c>
      <c r="AG429">
        <v>2554885.3888485972</v>
      </c>
    </row>
    <row r="430" spans="2:33" ht="12.75" hidden="1" customHeight="1">
      <c r="B430">
        <f>0.386783984136734*$F$42</f>
        <v>0</v>
      </c>
      <c r="C430">
        <f>-0.497349239429098*$F$43</f>
        <v>0</v>
      </c>
      <c r="D430">
        <f>0.239285752749467*$F$44</f>
        <v>0</v>
      </c>
      <c r="E430">
        <f>-0.130825986466861*$F$45</f>
        <v>0</v>
      </c>
      <c r="F430">
        <f>0.068780970573301*$F$46</f>
        <v>0</v>
      </c>
      <c r="G430">
        <f>-0.627327255126378*$F$47</f>
        <v>0</v>
      </c>
      <c r="H430">
        <f>0.363399015017374*$F$48</f>
        <v>0</v>
      </c>
      <c r="I430">
        <f>-0.294166426936269*$F$49</f>
        <v>0</v>
      </c>
      <c r="J430">
        <f>-0.0983112491889989*$F$50</f>
        <v>0</v>
      </c>
      <c r="K430">
        <f>-0.000703226233588643*$F$51</f>
        <v>0</v>
      </c>
      <c r="L430">
        <f>0.0485414343770574*$F$52</f>
        <v>0</v>
      </c>
      <c r="M430">
        <f>-0.105681514604756*$F$53</f>
        <v>0</v>
      </c>
      <c r="N430">
        <f>0.182659170823081*$F$54</f>
        <v>0</v>
      </c>
      <c r="P430">
        <v>999376.05423177802</v>
      </c>
      <c r="Q430">
        <v>-12163.392973530754</v>
      </c>
      <c r="R430">
        <v>362915.57140105451</v>
      </c>
      <c r="S430">
        <v>714360.82183068153</v>
      </c>
      <c r="T430">
        <v>7.0481466794013104E-7</v>
      </c>
      <c r="U430">
        <v>2.9055285509108231E-11</v>
      </c>
      <c r="V430">
        <v>2.383581773453996E-9</v>
      </c>
      <c r="W430">
        <v>1.2617583644982851E-7</v>
      </c>
      <c r="X430">
        <v>4.9508443754055007E-6</v>
      </c>
      <c r="Y430">
        <v>1.234913151560152E-6</v>
      </c>
      <c r="Z430">
        <v>0.70339790040639405</v>
      </c>
      <c r="AA430">
        <v>6.9260229397766715E-2</v>
      </c>
      <c r="AB430">
        <v>10.182659170823081</v>
      </c>
      <c r="AD430">
        <v>0.946386961854355</v>
      </c>
      <c r="AE430">
        <v>0.30282634098200617</v>
      </c>
      <c r="AF430">
        <v>1.085858609187708</v>
      </c>
      <c r="AG430">
        <v>2284595.1344578364</v>
      </c>
    </row>
    <row r="431" spans="2:33" ht="12.75" hidden="1" customHeight="1">
      <c r="B431">
        <f>0.49491571567658*$F$42</f>
        <v>0</v>
      </c>
      <c r="C431">
        <f>-0.224047945041785*$F$43</f>
        <v>0</v>
      </c>
      <c r="D431">
        <f>-0.238523772936585*$F$44</f>
        <v>0</v>
      </c>
      <c r="E431">
        <f>-0.0406524020648937*$F$45</f>
        <v>0</v>
      </c>
      <c r="F431">
        <f>0.120416306401262*$F$46</f>
        <v>0</v>
      </c>
      <c r="G431">
        <f>0.252618728215446*$F$47</f>
        <v>0</v>
      </c>
      <c r="H431">
        <f>-0.52995239425302*$F$48</f>
        <v>0</v>
      </c>
      <c r="I431">
        <f>-0.077514813050943*$F$49</f>
        <v>0</v>
      </c>
      <c r="J431">
        <f>0.210547769626291*$F$50</f>
        <v>0</v>
      </c>
      <c r="K431">
        <f>0.150278873018702*$F$51</f>
        <v>0</v>
      </c>
      <c r="L431">
        <f>0.19052394893911*$F$52</f>
        <v>0</v>
      </c>
      <c r="M431">
        <f>-0.00859325763874984*$F$53</f>
        <v>0</v>
      </c>
      <c r="N431">
        <f>-0.358474888297475*$F$54</f>
        <v>0</v>
      </c>
      <c r="P431">
        <v>1009780.0698894237</v>
      </c>
      <c r="Q431">
        <v>-12513.218630346515</v>
      </c>
      <c r="R431">
        <v>345980.3552910189</v>
      </c>
      <c r="S431">
        <v>720887.86003798002</v>
      </c>
      <c r="T431">
        <v>7.0842914144808838E-7</v>
      </c>
      <c r="U431">
        <v>3.1783118057467884E-11</v>
      </c>
      <c r="V431">
        <v>2.1781109493218053E-9</v>
      </c>
      <c r="W431">
        <v>1.2899230743033773E-7</v>
      </c>
      <c r="X431">
        <v>5.1052738848131455E-6</v>
      </c>
      <c r="Y431">
        <v>1.2535594408178097E-6</v>
      </c>
      <c r="Z431">
        <v>0.71333667642573761</v>
      </c>
      <c r="AA431">
        <v>6.9939847196528765E-2</v>
      </c>
      <c r="AB431">
        <v>9.6415251117025242</v>
      </c>
      <c r="AD431">
        <v>1.0294078824897539</v>
      </c>
      <c r="AE431">
        <v>0.31946681447102682</v>
      </c>
      <c r="AF431">
        <v>0.99826485010342192</v>
      </c>
      <c r="AG431">
        <v>2492965.6463983008</v>
      </c>
    </row>
    <row r="432" spans="2:33" ht="12.75" hidden="1" customHeight="1">
      <c r="B432">
        <f>-0.874149139467563*$F$42</f>
        <v>0</v>
      </c>
      <c r="C432">
        <f>0.14088000331133*$F$43</f>
        <v>0</v>
      </c>
      <c r="D432">
        <f>-0.801284115703124*$F$44</f>
        <v>0</v>
      </c>
      <c r="E432">
        <f>-0.204222625427543*$F$45</f>
        <v>0</v>
      </c>
      <c r="F432">
        <f>0.0376915498127876*$F$46</f>
        <v>0</v>
      </c>
      <c r="G432">
        <f>-0.129617904020759*$F$47</f>
        <v>0</v>
      </c>
      <c r="H432">
        <f>-0.393538911987188*$F$48</f>
        <v>0</v>
      </c>
      <c r="I432">
        <f>-0.553500050444108*$F$49</f>
        <v>0</v>
      </c>
      <c r="J432">
        <f>-0.0995284337483874*$F$50</f>
        <v>0</v>
      </c>
      <c r="K432">
        <f>-0.459404559861487*$F$51</f>
        <v>0</v>
      </c>
      <c r="L432">
        <f>-0.122102529138597*$F$52</f>
        <v>0</v>
      </c>
      <c r="M432">
        <f>0.0569346853466787*$F$53</f>
        <v>0</v>
      </c>
      <c r="N432">
        <f>-0.205417400915239*$F$54</f>
        <v>0</v>
      </c>
      <c r="P432">
        <v>878053.96149909217</v>
      </c>
      <c r="Q432">
        <v>-12980.326404238502</v>
      </c>
      <c r="R432">
        <v>326034.18948525161</v>
      </c>
      <c r="S432">
        <v>709048.14994388889</v>
      </c>
      <c r="T432">
        <v>7.0263840848689512E-7</v>
      </c>
      <c r="U432">
        <v>3.0598184497535653E-11</v>
      </c>
      <c r="V432">
        <v>2.2094860502429466E-9</v>
      </c>
      <c r="W432">
        <v>1.228044993442266E-7</v>
      </c>
      <c r="X432">
        <v>4.9502357831258068E-6</v>
      </c>
      <c r="Y432">
        <v>1.1782635368571064E-6</v>
      </c>
      <c r="Z432">
        <v>0.6914528229602982</v>
      </c>
      <c r="AA432">
        <v>7.0398542797426758E-2</v>
      </c>
      <c r="AB432">
        <v>9.7945825990847606</v>
      </c>
      <c r="AD432">
        <v>1.1922662001034507</v>
      </c>
      <c r="AE432">
        <v>0.38905617901187639</v>
      </c>
      <c r="AF432">
        <v>0.85722625532436691</v>
      </c>
      <c r="AG432">
        <v>2677822.5724399956</v>
      </c>
    </row>
    <row r="433" spans="2:33" ht="12.75" hidden="1" customHeight="1">
      <c r="B433">
        <f>0.110830113511152*$F$42</f>
        <v>0</v>
      </c>
      <c r="C433">
        <f>0.0182722551954004*$F$43</f>
        <v>0</v>
      </c>
      <c r="D433">
        <f>-0.0804907213771538*$F$44</f>
        <v>0</v>
      </c>
      <c r="E433">
        <f>-0.354997998204852*$F$45</f>
        <v>0</v>
      </c>
      <c r="F433">
        <f>0.254107708168256*$F$46</f>
        <v>0</v>
      </c>
      <c r="G433">
        <f>-0.690684968018895*$F$47</f>
        <v>0</v>
      </c>
      <c r="H433">
        <f>0.307592226682777*$F$48</f>
        <v>0</v>
      </c>
      <c r="I433">
        <f>0.0374327401680114*$F$49</f>
        <v>0</v>
      </c>
      <c r="J433">
        <f>-0.181815096617149*$F$50</f>
        <v>0</v>
      </c>
      <c r="K433">
        <f>-0.111788307194851*$F$51</f>
        <v>0</v>
      </c>
      <c r="L433">
        <f>0.434386494092197*$F$52</f>
        <v>0</v>
      </c>
      <c r="M433">
        <f>0.438166092193666*$F$53</f>
        <v>0</v>
      </c>
      <c r="N433">
        <f>-0.301440660476163*$F$54</f>
        <v>0</v>
      </c>
      <c r="P433">
        <v>972824.84350120253</v>
      </c>
      <c r="Q433">
        <v>-12823.388486650112</v>
      </c>
      <c r="R433">
        <v>351581.5912162438</v>
      </c>
      <c r="S433">
        <v>698134.57003726938</v>
      </c>
      <c r="T433">
        <v>7.1778753957177788E-7</v>
      </c>
      <c r="U433">
        <v>2.8858876599141427E-11</v>
      </c>
      <c r="V433">
        <v>2.3707462121370387E-9</v>
      </c>
      <c r="W433">
        <v>1.3048662562218415E-7</v>
      </c>
      <c r="X433">
        <v>4.9090924516914253E-6</v>
      </c>
      <c r="Y433">
        <v>1.2211941440614359E-6</v>
      </c>
      <c r="Z433">
        <v>0.73040705458645372</v>
      </c>
      <c r="AA433">
        <v>7.3067162645355663E-2</v>
      </c>
      <c r="AB433">
        <v>9.6985593395238361</v>
      </c>
      <c r="AD433">
        <v>1.0265275799761584</v>
      </c>
      <c r="AE433">
        <v>0.30267606533415298</v>
      </c>
      <c r="AF433">
        <v>1.0018872147707809</v>
      </c>
      <c r="AG433">
        <v>2280277.6169411703</v>
      </c>
    </row>
    <row r="434" spans="2:33" ht="12.75" hidden="1" customHeight="1">
      <c r="B434">
        <f>-0.111101636484363*$F$42</f>
        <v>0</v>
      </c>
      <c r="C434">
        <f>-0.330799012896485*$F$43</f>
        <v>0</v>
      </c>
      <c r="D434">
        <f>-0.0532078385851878*$F$44</f>
        <v>0</v>
      </c>
      <c r="E434">
        <f>-0.13659463264215*$F$45</f>
        <v>0</v>
      </c>
      <c r="F434">
        <f>-0.319346147974605*$F$46</f>
        <v>0</v>
      </c>
      <c r="G434">
        <f>-0.36761161926817*$F$47</f>
        <v>0</v>
      </c>
      <c r="H434">
        <f>-0.0569351633155395*$F$48</f>
        <v>0</v>
      </c>
      <c r="I434">
        <f>-0.315689502557361*$F$49</f>
        <v>0</v>
      </c>
      <c r="J434">
        <f>0.248379047572366*$F$50</f>
        <v>0</v>
      </c>
      <c r="K434">
        <f>0.156142832363153*$F$51</f>
        <v>0</v>
      </c>
      <c r="L434">
        <f>0.00692863274130869*$F$52</f>
        <v>0</v>
      </c>
      <c r="M434">
        <f>-0.407072823074179*$F$53</f>
        <v>0</v>
      </c>
      <c r="N434">
        <f>0.359392884821725*$F$54</f>
        <v>0</v>
      </c>
      <c r="P434">
        <v>951471.43161182408</v>
      </c>
      <c r="Q434">
        <v>-12376.577263492498</v>
      </c>
      <c r="R434">
        <v>352548.59059852548</v>
      </c>
      <c r="S434">
        <v>713943.26968123333</v>
      </c>
      <c r="T434">
        <v>6.7764576964177758E-7</v>
      </c>
      <c r="U434">
        <v>2.9860403980268674E-11</v>
      </c>
      <c r="V434">
        <v>2.286904912437426E-9</v>
      </c>
      <c r="W434">
        <v>1.2589603646675431E-7</v>
      </c>
      <c r="X434">
        <v>5.124189523786184E-6</v>
      </c>
      <c r="Y434">
        <v>1.2542836397968495E-6</v>
      </c>
      <c r="Z434">
        <v>0.70048500429189153</v>
      </c>
      <c r="AA434">
        <v>6.7150490238480756E-2</v>
      </c>
      <c r="AB434">
        <v>10.359392884821725</v>
      </c>
      <c r="AD434">
        <v>1.0436639402464882</v>
      </c>
      <c r="AE434">
        <v>0.33363521882899788</v>
      </c>
      <c r="AF434">
        <v>0.9830179097401055</v>
      </c>
      <c r="AG434">
        <v>2424090.177411817</v>
      </c>
    </row>
    <row r="435" spans="2:33" ht="12.75" hidden="1" customHeight="1">
      <c r="B435">
        <f>-0.127896836845594*$F$42</f>
        <v>0</v>
      </c>
      <c r="C435">
        <f>0.133787662358978*$F$43</f>
        <v>0</v>
      </c>
      <c r="D435">
        <f>-0.100338454552605*$F$44</f>
        <v>0</v>
      </c>
      <c r="E435">
        <f>-0.203819583799996*$F$45</f>
        <v>0</v>
      </c>
      <c r="F435">
        <f>-0.082285534952131*$F$46</f>
        <v>0</v>
      </c>
      <c r="G435">
        <f>0.127665320175382*$F$47</f>
        <v>0</v>
      </c>
      <c r="H435">
        <f>-0.0584030466447178*$F$48</f>
        <v>0</v>
      </c>
      <c r="I435">
        <f>0.419640207311039*$F$49</f>
        <v>0</v>
      </c>
      <c r="J435">
        <f>0.14843681032694*$F$50</f>
        <v>0</v>
      </c>
      <c r="K435">
        <f>0.200862275285237*$F$51</f>
        <v>0</v>
      </c>
      <c r="L435">
        <f>0.0144893275384271*$F$52</f>
        <v>0</v>
      </c>
      <c r="M435">
        <f>-0.204353566551079*$F$53</f>
        <v>0</v>
      </c>
      <c r="N435">
        <f>0.279534313038654*$F$54</f>
        <v>0</v>
      </c>
      <c r="P435">
        <v>949855.46259844396</v>
      </c>
      <c r="Q435">
        <v>-12971.248207819492</v>
      </c>
      <c r="R435">
        <v>350878.11915771168</v>
      </c>
      <c r="S435">
        <v>709077.32332231873</v>
      </c>
      <c r="T435">
        <v>6.9424001255335079E-7</v>
      </c>
      <c r="U435">
        <v>3.1395762492543693E-11</v>
      </c>
      <c r="V435">
        <v>2.2865672992717149E-9</v>
      </c>
      <c r="W435">
        <v>1.3545532269504349E-7</v>
      </c>
      <c r="X435">
        <v>5.07421840516347E-6</v>
      </c>
      <c r="Y435">
        <v>1.2598064909977267E-6</v>
      </c>
      <c r="Z435">
        <v>0.70101425292768982</v>
      </c>
      <c r="AA435">
        <v>6.8569525034142459E-2</v>
      </c>
      <c r="AB435">
        <v>10.279534313038655</v>
      </c>
      <c r="AD435">
        <v>1.0343881475641772</v>
      </c>
      <c r="AE435">
        <v>0.3305098735048228</v>
      </c>
      <c r="AF435">
        <v>0.9922232890995355</v>
      </c>
      <c r="AG435">
        <v>2396808.5947546312</v>
      </c>
    </row>
    <row r="436" spans="2:33" ht="12.75" hidden="1" customHeight="1">
      <c r="B436">
        <f>-0.438137378467441*$F$42</f>
        <v>0</v>
      </c>
      <c r="C436">
        <f>0.0491094888876045*$F$43</f>
        <v>0</v>
      </c>
      <c r="D436">
        <f>-0.0325662294193448*$F$44</f>
        <v>0</v>
      </c>
      <c r="E436">
        <f>-0.496959011049566*$F$45</f>
        <v>0</v>
      </c>
      <c r="F436">
        <f>0.696913665616557*$F$46</f>
        <v>0</v>
      </c>
      <c r="G436">
        <f>-0.325386977326301*$F$47</f>
        <v>0</v>
      </c>
      <c r="H436">
        <f>0.0787622579164966*$F$48</f>
        <v>0</v>
      </c>
      <c r="I436">
        <f>-0.016786080090117*$F$49</f>
        <v>0</v>
      </c>
      <c r="J436">
        <f>0.214551457511651*$F$50</f>
        <v>0</v>
      </c>
      <c r="K436">
        <f>-0.409813105616943*$F$51</f>
        <v>0</v>
      </c>
      <c r="L436">
        <f>0.185678759634469*$F$52</f>
        <v>0</v>
      </c>
      <c r="M436">
        <f>-0.0552457974112642*$F$53</f>
        <v>0</v>
      </c>
      <c r="N436">
        <f>-0.508932021138663*$F$54</f>
        <v>0</v>
      </c>
      <c r="P436">
        <v>920005.32141689118</v>
      </c>
      <c r="Q436">
        <v>-12862.860145776134</v>
      </c>
      <c r="R436">
        <v>353280.20035783388</v>
      </c>
      <c r="S436">
        <v>687859.00030219287</v>
      </c>
      <c r="T436">
        <v>7.4878395659315892E-7</v>
      </c>
      <c r="U436">
        <v>2.9991300370288473E-11</v>
      </c>
      <c r="V436">
        <v>2.3181153193207938E-9</v>
      </c>
      <c r="W436">
        <v>1.297817809588285E-7</v>
      </c>
      <c r="X436">
        <v>5.1072757287558264E-6</v>
      </c>
      <c r="Y436">
        <v>1.1843880814563076E-6</v>
      </c>
      <c r="Z436">
        <v>0.71299751317441273</v>
      </c>
      <c r="AA436">
        <v>6.9613279418121163E-2</v>
      </c>
      <c r="AB436">
        <v>9.4910679788613379</v>
      </c>
      <c r="AD436">
        <v>1.003781307186866</v>
      </c>
      <c r="AE436">
        <v>0.31280065472863305</v>
      </c>
      <c r="AF436">
        <v>1.0241425155023163</v>
      </c>
      <c r="AG436">
        <v>2218500.956778002</v>
      </c>
    </row>
    <row r="437" spans="2:33" ht="12.75" hidden="1" customHeight="1">
      <c r="B437">
        <f>0.715918411278119*$F$42</f>
        <v>0</v>
      </c>
      <c r="C437">
        <f>0.0133724691066175*$F$43</f>
        <v>0</v>
      </c>
      <c r="D437">
        <f>-0.0685365070072002*$F$44</f>
        <v>0</v>
      </c>
      <c r="E437">
        <f>0.096636824182451*$F$45</f>
        <v>0</v>
      </c>
      <c r="F437">
        <f>-0.324621856261467*$F$46</f>
        <v>0</v>
      </c>
      <c r="G437">
        <f>-0.114957440508265*$F$47</f>
        <v>0</v>
      </c>
      <c r="H437">
        <f>-0.240294610236309*$F$48</f>
        <v>0</v>
      </c>
      <c r="I437">
        <f>0.0928781019165986*$F$49</f>
        <v>0</v>
      </c>
      <c r="J437">
        <f>-0.314775327695355*$F$50</f>
        <v>0</v>
      </c>
      <c r="K437">
        <f>0.0228714418264011*$F$51</f>
        <v>0</v>
      </c>
      <c r="L437">
        <f>0.162743133545152*$F$52</f>
        <v>0</v>
      </c>
      <c r="M437">
        <f>0.629352846101602*$F$53</f>
        <v>0</v>
      </c>
      <c r="N437">
        <f>-0.0411175399159856*$F$54</f>
        <v>0</v>
      </c>
      <c r="P437">
        <v>1031044.0917697448</v>
      </c>
      <c r="Q437">
        <v>-12817.116760456471</v>
      </c>
      <c r="R437">
        <v>352005.28976743983</v>
      </c>
      <c r="S437">
        <v>730825.27165480494</v>
      </c>
      <c r="T437">
        <v>6.7727647006169729E-7</v>
      </c>
      <c r="U437">
        <v>3.0643631934424378E-11</v>
      </c>
      <c r="V437">
        <v>2.2447322396456487E-9</v>
      </c>
      <c r="W437">
        <v>1.3120741532491577E-7</v>
      </c>
      <c r="X437">
        <v>4.8426123361523227E-6</v>
      </c>
      <c r="Y437">
        <v>1.2378246230655607E-6</v>
      </c>
      <c r="Z437">
        <v>0.71139201934816054</v>
      </c>
      <c r="AA437">
        <v>7.4405469922711229E-2</v>
      </c>
      <c r="AB437">
        <v>9.9588824600840145</v>
      </c>
      <c r="AD437">
        <v>1.0110683792828656</v>
      </c>
      <c r="AE437">
        <v>0.31617418664018154</v>
      </c>
      <c r="AF437">
        <v>1.0165204624800319</v>
      </c>
      <c r="AG437">
        <v>2512353.6762591461</v>
      </c>
    </row>
    <row r="438" spans="2:33" ht="12.75" hidden="1" customHeight="1">
      <c r="B438">
        <f>0.406453877026182*$F$42</f>
        <v>0</v>
      </c>
      <c r="C438">
        <f>0.441318592214036*$F$43</f>
        <v>0</v>
      </c>
      <c r="D438">
        <f>-0.234784012176177*$F$44</f>
        <v>0</v>
      </c>
      <c r="E438">
        <f>-0.274421296569115*$F$45</f>
        <v>0</v>
      </c>
      <c r="F438">
        <f>0.139247620465623*$F$46</f>
        <v>0</v>
      </c>
      <c r="G438">
        <f>-0.4197624661386*$F$47</f>
        <v>0</v>
      </c>
      <c r="H438">
        <f>-0.292719948769204*$F$48</f>
        <v>0</v>
      </c>
      <c r="I438">
        <f>-0.0401456718506093*$F$49</f>
        <v>0</v>
      </c>
      <c r="J438">
        <f>0.182388576144426*$F$50</f>
        <v>0</v>
      </c>
      <c r="K438">
        <f>-0.163977764287231*$F$51</f>
        <v>0</v>
      </c>
      <c r="L438">
        <f>0.0578724630722252*$F$52</f>
        <v>0</v>
      </c>
      <c r="M438">
        <f>-0.0890008183294123*$F$53</f>
        <v>0</v>
      </c>
      <c r="N438">
        <f>-0.191245793667859*$F$54</f>
        <v>0</v>
      </c>
      <c r="P438">
        <v>1001268.6150064163</v>
      </c>
      <c r="Q438">
        <v>-13364.887798033964</v>
      </c>
      <c r="R438">
        <v>346112.9052994902</v>
      </c>
      <c r="S438">
        <v>703966.95669110492</v>
      </c>
      <c r="T438">
        <v>7.0974733343259362E-7</v>
      </c>
      <c r="U438">
        <v>2.9698736354970342E-11</v>
      </c>
      <c r="V438">
        <v>2.2326744117830828E-9</v>
      </c>
      <c r="W438">
        <v>1.2947810626594209E-7</v>
      </c>
      <c r="X438">
        <v>5.091194288072213E-6</v>
      </c>
      <c r="Y438">
        <v>1.214748746110527E-6</v>
      </c>
      <c r="Z438">
        <v>0.70405107241505582</v>
      </c>
      <c r="AA438">
        <v>6.9376994271694123E-2</v>
      </c>
      <c r="AB438">
        <v>9.8087542063321411</v>
      </c>
      <c r="AD438">
        <v>0.96331826165399659</v>
      </c>
      <c r="AE438">
        <v>0.30921468156686116</v>
      </c>
      <c r="AF438">
        <v>1.0671809150951583</v>
      </c>
      <c r="AG438">
        <v>2366283.9861350078</v>
      </c>
    </row>
    <row r="439" spans="2:33" ht="12.75" hidden="1" customHeight="1">
      <c r="B439">
        <f>-0.0858512671175062*$F$42</f>
        <v>0</v>
      </c>
      <c r="C439">
        <f>-0.236298860403011*$F$43</f>
        <v>0</v>
      </c>
      <c r="D439">
        <f>-0.222040936409953*$F$44</f>
        <v>0</v>
      </c>
      <c r="E439">
        <f>-0.342152909788047*$F$45</f>
        <v>0</v>
      </c>
      <c r="F439">
        <f>0.507126306014125*$F$46</f>
        <v>0</v>
      </c>
      <c r="G439">
        <f>0.390048008960166*$F$47</f>
        <v>0</v>
      </c>
      <c r="H439">
        <f>-0.285476993584323*$F$48</f>
        <v>0</v>
      </c>
      <c r="I439">
        <f>0.33040966141957*$F$49</f>
        <v>0</v>
      </c>
      <c r="J439">
        <f>-0.211111538095463*$F$50</f>
        <v>0</v>
      </c>
      <c r="K439">
        <f>-0.367526619120127*$F$51</f>
        <v>0</v>
      </c>
      <c r="L439">
        <f>0.74463557582739*$F$52</f>
        <v>0</v>
      </c>
      <c r="M439">
        <f>0.0680001597093166*$F$53</f>
        <v>0</v>
      </c>
      <c r="N439">
        <f>-0.584522843872766*$F$54</f>
        <v>0</v>
      </c>
      <c r="P439">
        <v>953900.92418086994</v>
      </c>
      <c r="Q439">
        <v>-12497.537458684146</v>
      </c>
      <c r="R439">
        <v>346564.56381696678</v>
      </c>
      <c r="S439">
        <v>699064.33659172815</v>
      </c>
      <c r="T439">
        <v>7.3549884142098873E-7</v>
      </c>
      <c r="U439">
        <v>3.2209148827776522E-11</v>
      </c>
      <c r="V439">
        <v>2.2343402914756056E-9</v>
      </c>
      <c r="W439">
        <v>1.3429532559845441E-7</v>
      </c>
      <c r="X439">
        <v>4.894444230952269E-6</v>
      </c>
      <c r="Y439">
        <v>1.1896104625386643E-6</v>
      </c>
      <c r="Z439">
        <v>0.75212449030791728</v>
      </c>
      <c r="AA439">
        <v>7.0476001117965217E-2</v>
      </c>
      <c r="AB439">
        <v>9.4154771561272348</v>
      </c>
      <c r="AD439">
        <v>1.1510724263535979</v>
      </c>
      <c r="AE439">
        <v>0.31204352846535771</v>
      </c>
      <c r="AF439">
        <v>0.89065174348815157</v>
      </c>
      <c r="AG439">
        <v>2343866.4053282952</v>
      </c>
    </row>
    <row r="440" spans="2:33" ht="12.75" hidden="1" customHeight="1">
      <c r="B440">
        <f>-0.290455468742017*$F$42</f>
        <v>0</v>
      </c>
      <c r="C440">
        <f>-0.22780508296341*$F$43</f>
        <v>0</v>
      </c>
      <c r="D440">
        <f>-0.103314639347277*$F$44</f>
        <v>0</v>
      </c>
      <c r="E440">
        <f>-0.455168208637254*$F$45</f>
        <v>0</v>
      </c>
      <c r="F440">
        <f>0.0106825637347782*$F$46</f>
        <v>0</v>
      </c>
      <c r="G440">
        <f>0.338264061529559*$F$47</f>
        <v>0</v>
      </c>
      <c r="H440">
        <f>0.0094372678972205*$F$48</f>
        <v>0</v>
      </c>
      <c r="I440">
        <f>-0.178444244318754*$F$49</f>
        <v>0</v>
      </c>
      <c r="J440">
        <f>-0.126194156181861*$F$50</f>
        <v>0</v>
      </c>
      <c r="K440">
        <f>0.233054794252827*$F$51</f>
        <v>0</v>
      </c>
      <c r="L440">
        <f>-0.123826700946448*$F$52</f>
        <v>0</v>
      </c>
      <c r="M440">
        <f>0.150288781304465*$F$53</f>
        <v>0</v>
      </c>
      <c r="N440">
        <f>0.12648366853219*$F$54</f>
        <v>0</v>
      </c>
      <c r="P440">
        <v>934214.70176486182</v>
      </c>
      <c r="Q440">
        <v>-12508.409493806834</v>
      </c>
      <c r="R440">
        <v>350772.63291272987</v>
      </c>
      <c r="S440">
        <v>690883.94564364548</v>
      </c>
      <c r="T440">
        <v>7.0074777946143445E-7</v>
      </c>
      <c r="U440">
        <v>3.2048618590741632E-11</v>
      </c>
      <c r="V440">
        <v>2.3021705716163609E-9</v>
      </c>
      <c r="W440">
        <v>1.276802248238562E-7</v>
      </c>
      <c r="X440">
        <v>4.9369029219090697E-6</v>
      </c>
      <c r="Y440">
        <v>1.2637822670902243E-6</v>
      </c>
      <c r="Z440">
        <v>0.69133213093374857</v>
      </c>
      <c r="AA440">
        <v>7.1052021469131255E-2</v>
      </c>
      <c r="AB440">
        <v>10.126483668532188</v>
      </c>
      <c r="AD440">
        <v>0.95665375258903218</v>
      </c>
      <c r="AE440">
        <v>0.31667464081826374</v>
      </c>
      <c r="AF440">
        <v>1.0737103045126619</v>
      </c>
      <c r="AG440">
        <v>2236747.8554514474</v>
      </c>
    </row>
    <row r="441" spans="2:33" ht="12.75" hidden="1" customHeight="1">
      <c r="B441">
        <f>-0.375050806019084*$F$42</f>
        <v>0</v>
      </c>
      <c r="C441">
        <f>-0.236753373462166*$F$43</f>
        <v>0</v>
      </c>
      <c r="D441">
        <f>0.177390709652784*$F$44</f>
        <v>0</v>
      </c>
      <c r="E441">
        <f>-0.125765961358003*$F$45</f>
        <v>0</v>
      </c>
      <c r="F441">
        <f>-0.0259272776207609*$F$46</f>
        <v>0</v>
      </c>
      <c r="G441">
        <f>-0.769546707394205*$F$47</f>
        <v>0</v>
      </c>
      <c r="H441">
        <f>-0.125839637881878*$F$48</f>
        <v>0</v>
      </c>
      <c r="I441">
        <f>-0.385894948191927*$F$49</f>
        <v>0</v>
      </c>
      <c r="J441">
        <f>-0.329068890935276*$F$50</f>
        <v>0</v>
      </c>
      <c r="K441">
        <f>0.149347657672876*$F$51</f>
        <v>0</v>
      </c>
      <c r="L441">
        <f>-0.0110903505573793*$F$52</f>
        <v>0</v>
      </c>
      <c r="M441">
        <f>0.0617173143782011*$F$53</f>
        <v>0</v>
      </c>
      <c r="N441">
        <f>-0.342608803653141*$F$54</f>
        <v>0</v>
      </c>
      <c r="P441">
        <v>926075.26664197107</v>
      </c>
      <c r="Q441">
        <v>-12496.955681968428</v>
      </c>
      <c r="R441">
        <v>360721.79778493155</v>
      </c>
      <c r="S441">
        <v>714727.08183281461</v>
      </c>
      <c r="T441">
        <v>6.9818509056654673E-7</v>
      </c>
      <c r="U441">
        <v>2.8614405207077967E-11</v>
      </c>
      <c r="V441">
        <v>2.2710568832871677E-9</v>
      </c>
      <c r="W441">
        <v>1.2498336567350494E-7</v>
      </c>
      <c r="X441">
        <v>4.8354655545323626E-6</v>
      </c>
      <c r="Y441">
        <v>1.2534444357226003E-6</v>
      </c>
      <c r="Z441">
        <v>0.69922367546098341</v>
      </c>
      <c r="AA441">
        <v>7.0432021200647413E-2</v>
      </c>
      <c r="AB441">
        <v>9.6573911963468593</v>
      </c>
      <c r="AD441">
        <v>1.029405072708359</v>
      </c>
      <c r="AE441">
        <v>0.33290993658011514</v>
      </c>
      <c r="AF441">
        <v>0.9977725764599249</v>
      </c>
      <c r="AG441">
        <v>2379497.6822026218</v>
      </c>
    </row>
    <row r="442" spans="2:33" ht="12.75" hidden="1" customHeight="1">
      <c r="B442">
        <f>-0.352539821272845*$F$42</f>
        <v>0</v>
      </c>
      <c r="C442">
        <f>0.177311166130171*$F$43</f>
        <v>0</v>
      </c>
      <c r="D442">
        <f>-0.365459809344183*$F$44</f>
        <v>0</v>
      </c>
      <c r="E442">
        <f>-0.474627645830283*$F$45</f>
        <v>0</v>
      </c>
      <c r="F442">
        <f>0.0949461226946202*$F$46</f>
        <v>0</v>
      </c>
      <c r="G442">
        <f>0.0591665336776789*$F$47</f>
        <v>0</v>
      </c>
      <c r="H442">
        <f>0.0228503652667492*$F$48</f>
        <v>0</v>
      </c>
      <c r="I442">
        <f>-0.0369307901320397*$F$49</f>
        <v>0</v>
      </c>
      <c r="J442">
        <f>-0.163961579598244*$F$50</f>
        <v>0</v>
      </c>
      <c r="K442">
        <f>0.251537225231386*$F$51</f>
        <v>0</v>
      </c>
      <c r="L442">
        <f>0.293206944916503*$F$52</f>
        <v>0</v>
      </c>
      <c r="M442">
        <f>-0.0525690759505735*$F$53</f>
        <v>0</v>
      </c>
      <c r="N442">
        <f>0.445809111139573*$F$54</f>
        <v>0</v>
      </c>
      <c r="P442">
        <v>928241.18625163333</v>
      </c>
      <c r="Q442">
        <v>-13026.958292646619</v>
      </c>
      <c r="R442">
        <v>341481.30474231456</v>
      </c>
      <c r="S442">
        <v>689475.41241416615</v>
      </c>
      <c r="T442">
        <v>7.0664622858862333E-7</v>
      </c>
      <c r="U442">
        <v>3.118341625440081E-11</v>
      </c>
      <c r="V442">
        <v>2.3052555840113521E-9</v>
      </c>
      <c r="W442">
        <v>1.295198997282835E-7</v>
      </c>
      <c r="X442">
        <v>4.9180192102008783E-6</v>
      </c>
      <c r="Y442">
        <v>1.2660648473160762E-6</v>
      </c>
      <c r="Z442">
        <v>0.7205244861441551</v>
      </c>
      <c r="AA442">
        <v>6.9632016468345992E-2</v>
      </c>
      <c r="AB442">
        <v>10.445809111139573</v>
      </c>
      <c r="AD442">
        <v>1.0907123456435277</v>
      </c>
      <c r="AE442">
        <v>0.32688774506410018</v>
      </c>
      <c r="AF442">
        <v>0.93987101404742801</v>
      </c>
      <c r="AG442">
        <v>2334655.5424826052</v>
      </c>
    </row>
    <row r="443" spans="2:33" ht="12.75" hidden="1" customHeight="1">
      <c r="B443">
        <f>-0.155109639495898*$F$42</f>
        <v>0</v>
      </c>
      <c r="C443">
        <f>0.166478545298178*$F$43</f>
        <v>0</v>
      </c>
      <c r="D443">
        <f>0.278350877353982*$F$44</f>
        <v>0</v>
      </c>
      <c r="E443">
        <f>-0.335436028229571*$F$45</f>
        <v>0</v>
      </c>
      <c r="F443">
        <f>0.750365029553083*$F$46</f>
        <v>0</v>
      </c>
      <c r="G443">
        <f>-0.432740600294783*$F$47</f>
        <v>0</v>
      </c>
      <c r="H443">
        <f>-0.203741984792985*$F$48</f>
        <v>0</v>
      </c>
      <c r="I443">
        <f>-0.255923579440614*$F$49</f>
        <v>0</v>
      </c>
      <c r="J443">
        <f>0.112484303343472*$F$50</f>
        <v>0</v>
      </c>
      <c r="K443">
        <f>0.0165289516750168*$F$51</f>
        <v>0</v>
      </c>
      <c r="L443">
        <f>-0.0643525118031512*$F$52</f>
        <v>0</v>
      </c>
      <c r="M443">
        <f>-0.0442035618429746*$F$53</f>
        <v>0</v>
      </c>
      <c r="N443">
        <f>0.11806174140426*$F$54</f>
        <v>0</v>
      </c>
      <c r="P443">
        <v>947237.15231310588</v>
      </c>
      <c r="Q443">
        <v>-13013.092537981669</v>
      </c>
      <c r="R443">
        <v>364300.1740344846</v>
      </c>
      <c r="S443">
        <v>699550.52490127389</v>
      </c>
      <c r="T443">
        <v>7.525255520687158E-7</v>
      </c>
      <c r="U443">
        <v>2.9658504139086174E-11</v>
      </c>
      <c r="V443">
        <v>2.2531393434976136E-9</v>
      </c>
      <c r="W443">
        <v>1.2667299346727201E-7</v>
      </c>
      <c r="X443">
        <v>5.0562421516717362E-6</v>
      </c>
      <c r="Y443">
        <v>1.2370413255318645E-6</v>
      </c>
      <c r="Z443">
        <v>0.69549532417377946</v>
      </c>
      <c r="AA443">
        <v>6.9690575067099178E-2</v>
      </c>
      <c r="AB443">
        <v>10.118061741404262</v>
      </c>
      <c r="AD443">
        <v>0.93678213810063482</v>
      </c>
      <c r="AE443">
        <v>0.30700082458056605</v>
      </c>
      <c r="AF443">
        <v>1.0968992383173666</v>
      </c>
      <c r="AG443">
        <v>2191745.0001846855</v>
      </c>
    </row>
    <row r="444" spans="2:33" ht="12.75" hidden="1" customHeight="1">
      <c r="B444">
        <f>-0.138213986351792*$F$42</f>
        <v>0</v>
      </c>
      <c r="C444">
        <f>0.162920912067168*$F$43</f>
        <v>0</v>
      </c>
      <c r="D444">
        <f>-0.488967935209563*$F$44</f>
        <v>0</v>
      </c>
      <c r="E444">
        <f>0.393334640588576*$F$45</f>
        <v>0</v>
      </c>
      <c r="F444">
        <f>-0.369761425886345*$F$46</f>
        <v>0</v>
      </c>
      <c r="G444">
        <f>-0.433060932083004*$F$47</f>
        <v>0</v>
      </c>
      <c r="H444">
        <f>-0.157741832582156*$F$48</f>
        <v>0</v>
      </c>
      <c r="I444">
        <f>0.220866860074674*$F$49</f>
        <v>0</v>
      </c>
      <c r="J444">
        <f>-0.205823214798552*$F$50</f>
        <v>0</v>
      </c>
      <c r="K444">
        <f>0.51809055760764*$F$51</f>
        <v>0</v>
      </c>
      <c r="L444">
        <f>0.337611353338119*$F$52</f>
        <v>0</v>
      </c>
      <c r="M444">
        <f>0.193110539720071*$F$53</f>
        <v>0</v>
      </c>
      <c r="N444">
        <f>0.843192784211065*$F$54</f>
        <v>0</v>
      </c>
      <c r="P444">
        <v>948862.78650349763</v>
      </c>
      <c r="Q444">
        <v>-13008.538767445974</v>
      </c>
      <c r="R444">
        <v>337103.75115572067</v>
      </c>
      <c r="S444">
        <v>752301.16170118703</v>
      </c>
      <c r="T444">
        <v>6.7411670018795581E-7</v>
      </c>
      <c r="U444">
        <v>2.9657511110542694E-11</v>
      </c>
      <c r="V444">
        <v>2.2637193785061042E-9</v>
      </c>
      <c r="W444">
        <v>1.3287126918097076E-7</v>
      </c>
      <c r="X444">
        <v>4.8970883926007246E-6</v>
      </c>
      <c r="Y444">
        <v>1.2989841838645435E-6</v>
      </c>
      <c r="Z444">
        <v>0.72363279473366826</v>
      </c>
      <c r="AA444">
        <v>7.1351773778040514E-2</v>
      </c>
      <c r="AB444">
        <v>10.843192784211064</v>
      </c>
      <c r="AD444">
        <v>1.3360224761936716</v>
      </c>
      <c r="AE444">
        <v>0.38976585842841249</v>
      </c>
      <c r="AF444">
        <v>0.76298773800569664</v>
      </c>
      <c r="AG444">
        <v>2906752.137892623</v>
      </c>
    </row>
    <row r="445" spans="2:33" ht="12.75" hidden="1" customHeight="1">
      <c r="B445">
        <f>-0.279305394521986*$F$42</f>
        <v>0</v>
      </c>
      <c r="C445">
        <f>-0.0274594886657205*$F$43</f>
        <v>0</v>
      </c>
      <c r="D445">
        <f>-0.0766357762281885*$F$44</f>
        <v>0</v>
      </c>
      <c r="E445">
        <f>-0.398909577373093*$F$45</f>
        <v>0</v>
      </c>
      <c r="F445">
        <f>-0.27800104855014*$F$46</f>
        <v>0</v>
      </c>
      <c r="G445">
        <f>-0.486097328846404*$F$47</f>
        <v>0</v>
      </c>
      <c r="H445">
        <f>-0.202259622584123*$F$48</f>
        <v>0</v>
      </c>
      <c r="I445">
        <f>-0.0274092958581505*$F$49</f>
        <v>0</v>
      </c>
      <c r="J445">
        <f>-0.473980789710532*$F$50</f>
        <v>0</v>
      </c>
      <c r="K445">
        <f>-0.316538079484761*$F$51</f>
        <v>0</v>
      </c>
      <c r="L445">
        <f>-0.37152770063444*$F$52</f>
        <v>0</v>
      </c>
      <c r="M445">
        <f>0.418558165737166*$F$53</f>
        <v>0</v>
      </c>
      <c r="N445">
        <f>-0.712069191054373*$F$54</f>
        <v>0</v>
      </c>
      <c r="P445">
        <v>935287.5186440252</v>
      </c>
      <c r="Q445">
        <v>-12764.851854507877</v>
      </c>
      <c r="R445">
        <v>351718.22375636804</v>
      </c>
      <c r="S445">
        <v>694956.11642610666</v>
      </c>
      <c r="T445">
        <v>6.8053992660149014E-7</v>
      </c>
      <c r="U445">
        <v>2.9493098280576146E-11</v>
      </c>
      <c r="V445">
        <v>2.2534802868056516E-9</v>
      </c>
      <c r="W445">
        <v>1.2964367915384405E-7</v>
      </c>
      <c r="X445">
        <v>4.7630096051447342E-6</v>
      </c>
      <c r="Y445">
        <v>1.1959075471836321E-6</v>
      </c>
      <c r="Z445">
        <v>0.6739930609555892</v>
      </c>
      <c r="AA445">
        <v>7.2929907160160165E-2</v>
      </c>
      <c r="AB445">
        <v>9.2879308089456263</v>
      </c>
      <c r="AD445">
        <v>0.90463068176808326</v>
      </c>
      <c r="AE445">
        <v>0.31796332215994266</v>
      </c>
      <c r="AF445">
        <v>1.1368476963802587</v>
      </c>
      <c r="AG445">
        <v>2256556.7293386883</v>
      </c>
    </row>
    <row r="446" spans="2:33" ht="12.75" hidden="1" customHeight="1">
      <c r="B446">
        <f>-0.605958375460862*$F$42</f>
        <v>0</v>
      </c>
      <c r="C446">
        <f>-0.0690769371934678*$F$43</f>
        <v>0</v>
      </c>
      <c r="D446">
        <f>-0.452987973591519*$F$44</f>
        <v>0</v>
      </c>
      <c r="E446">
        <f>-0.0188660228282033*$F$45</f>
        <v>0</v>
      </c>
      <c r="F446">
        <f>0.110774786596127*$F$46</f>
        <v>0</v>
      </c>
      <c r="G446">
        <f>-0.272378858112025*$F$47</f>
        <v>0</v>
      </c>
      <c r="H446">
        <f>0.390956287810473*$F$48</f>
        <v>0</v>
      </c>
      <c r="I446">
        <f>0.41040608736406*$F$49</f>
        <v>0</v>
      </c>
      <c r="J446">
        <f>0.107817532835936*$F$50</f>
        <v>0</v>
      </c>
      <c r="K446">
        <f>0.0709490073235605*$F$51</f>
        <v>0</v>
      </c>
      <c r="L446">
        <f>0.496889894509238*$F$52</f>
        <v>0</v>
      </c>
      <c r="M446">
        <f>0.704737936803302*$F$53</f>
        <v>0</v>
      </c>
      <c r="N446">
        <f>-0.0880072333965395*$F$54</f>
        <v>0</v>
      </c>
      <c r="P446">
        <v>903858.23623165255</v>
      </c>
      <c r="Q446">
        <v>-12711.581520392361</v>
      </c>
      <c r="R446">
        <v>338379.00498151552</v>
      </c>
      <c r="S446">
        <v>722464.82440753072</v>
      </c>
      <c r="T446">
        <v>7.0775423506172883E-7</v>
      </c>
      <c r="U446">
        <v>3.0155625539852729E-11</v>
      </c>
      <c r="V446">
        <v>2.3899199461964088E-9</v>
      </c>
      <c r="W446">
        <v>1.3533527913573276E-7</v>
      </c>
      <c r="X446">
        <v>5.0539087664179691E-6</v>
      </c>
      <c r="Y446">
        <v>1.2437622024044597E-6</v>
      </c>
      <c r="Z446">
        <v>0.73478229261564665</v>
      </c>
      <c r="AA446">
        <v>7.493316555762311E-2</v>
      </c>
      <c r="AB446">
        <v>9.9119927666034595</v>
      </c>
      <c r="AD446">
        <v>1.3088400639018474</v>
      </c>
      <c r="AE446">
        <v>0.37067999889952319</v>
      </c>
      <c r="AF446">
        <v>0.77977408101327972</v>
      </c>
      <c r="AG446">
        <v>2665646.8522689273</v>
      </c>
    </row>
    <row r="447" spans="2:33" ht="12.75" hidden="1" customHeight="1">
      <c r="B447">
        <f>-0.0146110009130588*$F$42</f>
        <v>0</v>
      </c>
      <c r="C447">
        <f>-0.361738212925815*$F$43</f>
        <v>0</v>
      </c>
      <c r="D447">
        <f>0.108525180128529*$F$44</f>
        <v>0</v>
      </c>
      <c r="E447">
        <f>0.263536232814596*$F$45</f>
        <v>0</v>
      </c>
      <c r="F447">
        <f>-0.0895884606856387*$F$46</f>
        <v>0</v>
      </c>
      <c r="G447">
        <f>0.290000104779369*$F$47</f>
        <v>0</v>
      </c>
      <c r="H447">
        <f>-0.0481125509733625*$F$48</f>
        <v>0</v>
      </c>
      <c r="I447">
        <f>0.0742576652643974*$F$49</f>
        <v>0</v>
      </c>
      <c r="J447">
        <f>0.0815621347190482*$F$50</f>
        <v>0</v>
      </c>
      <c r="K447">
        <f>0.417715852324213*$F$51</f>
        <v>0</v>
      </c>
      <c r="L447">
        <f>-0.399780823330277*$F$52</f>
        <v>0</v>
      </c>
      <c r="M447">
        <f>-0.579480227389338*$F$53</f>
        <v>0</v>
      </c>
      <c r="N447">
        <f>0.177492081609389*$F$54</f>
        <v>0</v>
      </c>
      <c r="P447">
        <v>960755.38618282904</v>
      </c>
      <c r="Q447">
        <v>-12336.975087454957</v>
      </c>
      <c r="R447">
        <v>358280.96610969282</v>
      </c>
      <c r="S447">
        <v>742905.95830092393</v>
      </c>
      <c r="T447">
        <v>6.9372880775200529E-7</v>
      </c>
      <c r="U447">
        <v>3.1899000324816048E-11</v>
      </c>
      <c r="V447">
        <v>2.2889341132761263E-9</v>
      </c>
      <c r="W447">
        <v>1.3096534964843716E-7</v>
      </c>
      <c r="X447">
        <v>5.040781067359525E-6</v>
      </c>
      <c r="Y447">
        <v>1.2865879077620406E-6</v>
      </c>
      <c r="Z447">
        <v>0.67201534236688054</v>
      </c>
      <c r="AA447">
        <v>6.5943638408274635E-2</v>
      </c>
      <c r="AB447">
        <v>10.17749208160939</v>
      </c>
      <c r="AD447">
        <v>1.0279642809648477</v>
      </c>
      <c r="AE447">
        <v>0.3566558256065544</v>
      </c>
      <c r="AF447">
        <v>0.99777530075274579</v>
      </c>
      <c r="AG447">
        <v>2606822.1916350531</v>
      </c>
    </row>
    <row r="448" spans="2:33" ht="12.75" hidden="1" customHeight="1">
      <c r="B448">
        <f>0.448530874278715*$F$42</f>
        <v>0</v>
      </c>
      <c r="C448">
        <f>-0.282902614330228*$F$43</f>
        <v>0</v>
      </c>
      <c r="D448">
        <f>0.290220633979156*$F$44</f>
        <v>0</v>
      </c>
      <c r="E448">
        <f>-0.198364826525505*$F$45</f>
        <v>0</v>
      </c>
      <c r="F448">
        <f>0.891053284739669*$F$46</f>
        <v>0</v>
      </c>
      <c r="G448">
        <f>-0.32648038802723*$F$47</f>
        <v>0</v>
      </c>
      <c r="H448">
        <f>0.0472589983825288*$F$48</f>
        <v>0</v>
      </c>
      <c r="I448">
        <f>-0.118932473542199*$F$49</f>
        <v>0</v>
      </c>
      <c r="J448">
        <f>0.320718524976948*$F$50</f>
        <v>0</v>
      </c>
      <c r="K448">
        <f>-0.402693995907721*$F$51</f>
        <v>0</v>
      </c>
      <c r="L448">
        <f>-0.32699711649571*$F$52</f>
        <v>0</v>
      </c>
      <c r="M448">
        <f>0.367318704120481*$F$53</f>
        <v>0</v>
      </c>
      <c r="N448">
        <f>-0.0853503780745379*$F$54</f>
        <v>0</v>
      </c>
      <c r="P448">
        <v>1005317.1004233056</v>
      </c>
      <c r="Q448">
        <v>-12437.884653657307</v>
      </c>
      <c r="R448">
        <v>364720.87911216647</v>
      </c>
      <c r="S448">
        <v>709472.15523876366</v>
      </c>
      <c r="T448">
        <v>7.6237372993177678E-7</v>
      </c>
      <c r="U448">
        <v>2.9987910797115589E-11</v>
      </c>
      <c r="V448">
        <v>2.3108695696279816E-9</v>
      </c>
      <c r="W448">
        <v>1.2845387784395141E-7</v>
      </c>
      <c r="X448">
        <v>5.160359262488475E-6</v>
      </c>
      <c r="Y448">
        <v>1.1852672915053965E-6</v>
      </c>
      <c r="Z448">
        <v>0.67711020184530024</v>
      </c>
      <c r="AA448">
        <v>7.2571230928843378E-2</v>
      </c>
      <c r="AB448">
        <v>9.914649621925463</v>
      </c>
      <c r="AD448">
        <v>0.84681586371025452</v>
      </c>
      <c r="AE448">
        <v>0.29673425275083259</v>
      </c>
      <c r="AF448">
        <v>1.2158882311410533</v>
      </c>
      <c r="AG448">
        <v>2231828.5585153308</v>
      </c>
    </row>
    <row r="449" spans="2:33" ht="12.75" hidden="1" customHeight="1">
      <c r="B449">
        <f>-0.567556269292601*$F$42</f>
        <v>0</v>
      </c>
      <c r="C449">
        <f>0.295544540311673*$F$43</f>
        <v>0</v>
      </c>
      <c r="D449">
        <f>-0.02056562900283*$F$44</f>
        <v>0</v>
      </c>
      <c r="E449">
        <f>0.50905745313328*$F$45</f>
        <v>0</v>
      </c>
      <c r="F449">
        <f>-0.22230773530469*$F$46</f>
        <v>0</v>
      </c>
      <c r="G449">
        <f>-0.434769237555741*$F$47</f>
        <v>0</v>
      </c>
      <c r="H449">
        <f>0.0268700182059771*$F$48</f>
        <v>0</v>
      </c>
      <c r="I449">
        <f>0.0656245011293874*$F$49</f>
        <v>0</v>
      </c>
      <c r="J449">
        <f>-0.172668439298816*$F$50</f>
        <v>0</v>
      </c>
      <c r="K449">
        <f>0.0462582975956265*$F$51</f>
        <v>0</v>
      </c>
      <c r="L449">
        <f>0.275114967912666*$F$52</f>
        <v>0</v>
      </c>
      <c r="M449">
        <f>0.136021054956279*$F$53</f>
        <v>0</v>
      </c>
      <c r="N449">
        <f>0.123771027820024*$F$54</f>
        <v>0</v>
      </c>
      <c r="P449">
        <v>907553.13788699079</v>
      </c>
      <c r="Q449">
        <v>-13178.297011598943</v>
      </c>
      <c r="R449">
        <v>353705.54299036524</v>
      </c>
      <c r="S449">
        <v>760677.53072261007</v>
      </c>
      <c r="T449">
        <v>6.8443845852867172E-7</v>
      </c>
      <c r="U449">
        <v>2.9652215363577204E-11</v>
      </c>
      <c r="V449">
        <v>2.3061801041873748E-9</v>
      </c>
      <c r="W449">
        <v>1.3085311851468201E-7</v>
      </c>
      <c r="X449">
        <v>4.913665780350592E-6</v>
      </c>
      <c r="Y449">
        <v>1.2407128997530601E-6</v>
      </c>
      <c r="Z449">
        <v>0.71925804775388658</v>
      </c>
      <c r="AA449">
        <v>7.0952147384693964E-2</v>
      </c>
      <c r="AB449">
        <v>10.123771027820023</v>
      </c>
      <c r="AD449">
        <v>1.3442137546870057</v>
      </c>
      <c r="AE449">
        <v>0.39788627357379619</v>
      </c>
      <c r="AF449">
        <v>0.75830094099348977</v>
      </c>
      <c r="AG449">
        <v>2847633.5145718846</v>
      </c>
    </row>
    <row r="450" spans="2:33" ht="12.75" hidden="1" customHeight="1">
      <c r="B450">
        <f>0.0206061351450746*$F$42</f>
        <v>0</v>
      </c>
      <c r="C450">
        <f>-0.0902611292320127*$F$43</f>
        <v>0</v>
      </c>
      <c r="D450">
        <f>-0.119787567085842*$F$44</f>
        <v>0</v>
      </c>
      <c r="E450">
        <f>-0.256490890764766*$F$45</f>
        <v>0</v>
      </c>
      <c r="F450">
        <f>0.416059475108661*$F$46</f>
        <v>0</v>
      </c>
      <c r="G450">
        <f>-0.323659895172655*$F$47</f>
        <v>0</v>
      </c>
      <c r="H450">
        <f>-0.206370623330052*$F$48</f>
        <v>0</v>
      </c>
      <c r="I450">
        <f>-0.14846676538631*$F$49</f>
        <v>0</v>
      </c>
      <c r="J450">
        <f>-0.308982629527357*$F$50</f>
        <v>0</v>
      </c>
      <c r="K450">
        <f>-0.149001237588176*$F$51</f>
        <v>0</v>
      </c>
      <c r="L450">
        <f>-0.246185719958353*$F$52</f>
        <v>0</v>
      </c>
      <c r="M450">
        <f>-0.20931406594937*$F$53</f>
        <v>0</v>
      </c>
      <c r="N450">
        <f>0.465961081259266*$F$54</f>
        <v>0</v>
      </c>
      <c r="P450">
        <v>964143.84237185458</v>
      </c>
      <c r="Q450">
        <v>-12684.465754583023</v>
      </c>
      <c r="R450">
        <v>350188.77558837656</v>
      </c>
      <c r="S450">
        <v>705264.81397972791</v>
      </c>
      <c r="T450">
        <v>7.2912416325760624E-7</v>
      </c>
      <c r="U450">
        <v>2.9996654324964774E-11</v>
      </c>
      <c r="V450">
        <v>2.2525347566340879E-9</v>
      </c>
      <c r="W450">
        <v>1.2806993204997796E-7</v>
      </c>
      <c r="X450">
        <v>4.8455086852363219E-6</v>
      </c>
      <c r="Y450">
        <v>1.2165983471578604E-6</v>
      </c>
      <c r="Z450">
        <v>0.68276699960291531</v>
      </c>
      <c r="AA450">
        <v>6.8534801538354423E-2</v>
      </c>
      <c r="AB450">
        <v>10.465961081259266</v>
      </c>
      <c r="AD450">
        <v>0.95811146025752869</v>
      </c>
      <c r="AE450">
        <v>0.32449050162954141</v>
      </c>
      <c r="AF450">
        <v>1.0715256425265156</v>
      </c>
      <c r="AG450">
        <v>2357951.0557430955</v>
      </c>
    </row>
    <row r="451" spans="2:33" ht="12.75" hidden="1" customHeight="1">
      <c r="B451">
        <f>-0.0176120285133369*$F$42</f>
        <v>0</v>
      </c>
      <c r="C451">
        <f>-0.057330866830156*$F$43</f>
        <v>0</v>
      </c>
      <c r="D451">
        <f>0.364459936615493*$F$44</f>
        <v>0</v>
      </c>
      <c r="E451">
        <f>-0.273194947924376*$F$45</f>
        <v>0</v>
      </c>
      <c r="F451">
        <f>-0.290415361725511*$F$46</f>
        <v>0</v>
      </c>
      <c r="G451">
        <f>0.143209751885448*$F$47</f>
        <v>0</v>
      </c>
      <c r="H451">
        <f>-0.0137079079667094*$F$48</f>
        <v>0</v>
      </c>
      <c r="I451">
        <f>0.272740522939543*$F$49</f>
        <v>0</v>
      </c>
      <c r="J451">
        <f>-0.350309843327166*$F$50</f>
        <v>0</v>
      </c>
      <c r="K451">
        <f>0.297297798036125*$F$51</f>
        <v>0</v>
      </c>
      <c r="L451">
        <f>-0.302499611872862*$F$52</f>
        <v>0</v>
      </c>
      <c r="M451">
        <f>0.141608783270028*$F$53</f>
        <v>0</v>
      </c>
      <c r="N451">
        <f>-0.281720344291891*$F$54</f>
        <v>0</v>
      </c>
      <c r="P451">
        <v>960466.63895111729</v>
      </c>
      <c r="Q451">
        <v>-12726.6164904574</v>
      </c>
      <c r="R451">
        <v>367352.1758243856</v>
      </c>
      <c r="S451">
        <v>704055.72353466309</v>
      </c>
      <c r="T451">
        <v>6.7967092467921414E-7</v>
      </c>
      <c r="U451">
        <v>3.1443950230844889E-11</v>
      </c>
      <c r="V451">
        <v>2.2968471811676567E-9</v>
      </c>
      <c r="W451">
        <v>1.3354562679821406E-7</v>
      </c>
      <c r="X451">
        <v>4.824845078336418E-6</v>
      </c>
      <c r="Y451">
        <v>1.2717162780574615E-6</v>
      </c>
      <c r="Z451">
        <v>0.67882502716889959</v>
      </c>
      <c r="AA451">
        <v>7.09912614828902E-2</v>
      </c>
      <c r="AB451">
        <v>9.718279655708109</v>
      </c>
      <c r="AD451">
        <v>0.87509495912136914</v>
      </c>
      <c r="AE451">
        <v>0.3043008942735792</v>
      </c>
      <c r="AF451">
        <v>1.1758393622419629</v>
      </c>
      <c r="AG451">
        <v>2199752.2017027535</v>
      </c>
    </row>
    <row r="452" spans="2:33" ht="12.75" hidden="1" customHeight="1">
      <c r="B452">
        <f>-0.36556526991172*$F$42</f>
        <v>0</v>
      </c>
      <c r="C452">
        <f>-0.245202660986792*$F$43</f>
        <v>0</v>
      </c>
      <c r="D452">
        <f>0.0597530681994229*$F$44</f>
        <v>0</v>
      </c>
      <c r="E452">
        <f>0.294401114013927*$F$45</f>
        <v>0</v>
      </c>
      <c r="F452">
        <f>0.409259364479785*$F$46</f>
        <v>0</v>
      </c>
      <c r="G452">
        <f>0.364442672884543*$F$47</f>
        <v>0</v>
      </c>
      <c r="H452">
        <f>0.280662071884245*$F$48</f>
        <v>0</v>
      </c>
      <c r="I452">
        <f>-0.469111098827826*$F$49</f>
        <v>0</v>
      </c>
      <c r="J452">
        <f>-0.206177542842026*$F$50</f>
        <v>0</v>
      </c>
      <c r="K452">
        <f>0.265250970441994*$F$51</f>
        <v>0</v>
      </c>
      <c r="L452">
        <f>-0.263232852766115*$F$52</f>
        <v>0</v>
      </c>
      <c r="M452">
        <f>-0.296541417800956*$F$53</f>
        <v>0</v>
      </c>
      <c r="N452">
        <f>-0.267271652540947*$F$54</f>
        <v>0</v>
      </c>
      <c r="P452">
        <v>926987.92812234152</v>
      </c>
      <c r="Q452">
        <v>-12486.140593936907</v>
      </c>
      <c r="R452">
        <v>356552.31439544261</v>
      </c>
      <c r="S452">
        <v>745140.05224526278</v>
      </c>
      <c r="T452">
        <v>7.2864815551358496E-7</v>
      </c>
      <c r="U452">
        <v>3.2129772285942089E-11</v>
      </c>
      <c r="V452">
        <v>2.3645522765333765E-9</v>
      </c>
      <c r="W452">
        <v>1.2390155571523827E-7</v>
      </c>
      <c r="X452">
        <v>4.896911228578987E-6</v>
      </c>
      <c r="Y452">
        <v>1.2677584948495863E-6</v>
      </c>
      <c r="Z452">
        <v>0.68157370030637188</v>
      </c>
      <c r="AA452">
        <v>6.7924210075393315E-2</v>
      </c>
      <c r="AB452">
        <v>9.7327283474590534</v>
      </c>
      <c r="AD452">
        <v>1.1041766802438513</v>
      </c>
      <c r="AE452">
        <v>0.37278788283298858</v>
      </c>
      <c r="AF452">
        <v>0.92744559385502501</v>
      </c>
      <c r="AG452">
        <v>2681647.3666701247</v>
      </c>
    </row>
    <row r="453" spans="2:33" ht="12.75" hidden="1" customHeight="1">
      <c r="B453">
        <f>0.124173903460262*$F$42</f>
        <v>0</v>
      </c>
      <c r="C453">
        <f>-0.0810943862224742*$F$43</f>
        <v>0</v>
      </c>
      <c r="D453">
        <f>0.42772598233013*$F$44</f>
        <v>0</v>
      </c>
      <c r="E453">
        <f>-0.0738485136028755*$F$45</f>
        <v>0</v>
      </c>
      <c r="F453">
        <f>-0.366489913921152*$F$46</f>
        <v>0</v>
      </c>
      <c r="G453">
        <f>-0.225966223604765*$F$47</f>
        <v>0</v>
      </c>
      <c r="H453">
        <f>-0.0469529365350017*$F$48</f>
        <v>0</v>
      </c>
      <c r="I453">
        <f>-0.027599974598516*$F$49</f>
        <v>0</v>
      </c>
      <c r="J453">
        <f>0.464238224556832*$F$50</f>
        <v>0</v>
      </c>
      <c r="K453">
        <f>0.0813832772855472*$F$51</f>
        <v>0</v>
      </c>
      <c r="L453">
        <f>0.48099939111969*$F$52</f>
        <v>0</v>
      </c>
      <c r="M453">
        <f>-0.0217300178257592*$F$53</f>
        <v>0</v>
      </c>
      <c r="N453">
        <f>-0.56047426080777*$F$54</f>
        <v>0</v>
      </c>
      <c r="P453">
        <v>974108.73119620106</v>
      </c>
      <c r="Q453">
        <v>-12696.199185635232</v>
      </c>
      <c r="R453">
        <v>369594.54249772971</v>
      </c>
      <c r="S453">
        <v>718485.02455374016</v>
      </c>
      <c r="T453">
        <v>6.7434570602551934E-7</v>
      </c>
      <c r="U453">
        <v>3.0299504706825232E-11</v>
      </c>
      <c r="V453">
        <v>2.2892008245969494E-9</v>
      </c>
      <c r="W453">
        <v>1.2964120033021929E-7</v>
      </c>
      <c r="X453">
        <v>5.2321191122784165E-6</v>
      </c>
      <c r="Y453">
        <v>1.2450508347447651E-6</v>
      </c>
      <c r="Z453">
        <v>0.73366995737837826</v>
      </c>
      <c r="AA453">
        <v>6.9847889875219685E-2</v>
      </c>
      <c r="AB453">
        <v>9.4395257391922307</v>
      </c>
      <c r="AD453">
        <v>1.0418454844711693</v>
      </c>
      <c r="AE453">
        <v>0.30359305759695054</v>
      </c>
      <c r="AF453">
        <v>0.98681577156615186</v>
      </c>
      <c r="AG453">
        <v>2296252.6685169595</v>
      </c>
    </row>
    <row r="454" spans="2:33" ht="12.75" hidden="1" customHeight="1">
      <c r="B454">
        <f>0.223933766909562*$F$42</f>
        <v>0</v>
      </c>
      <c r="C454">
        <f>0.434157532996639*$F$43</f>
        <v>0</v>
      </c>
      <c r="D454">
        <f>-0.215728088145616*$F$44</f>
        <v>0</v>
      </c>
      <c r="E454">
        <f>-0.300003828966725*$F$45</f>
        <v>0</v>
      </c>
      <c r="F454">
        <f>0.633080666015722*$F$46</f>
        <v>0</v>
      </c>
      <c r="G454">
        <f>-0.640720962361749*$F$47</f>
        <v>0</v>
      </c>
      <c r="H454">
        <f>-0.0216643200630277*$F$48</f>
        <v>0</v>
      </c>
      <c r="I454">
        <f>0.0500251133181404*$F$49</f>
        <v>0</v>
      </c>
      <c r="J454">
        <f>-0.316564413093782*$F$50</f>
        <v>0</v>
      </c>
      <c r="K454">
        <f>-0.431604774538914*$F$51</f>
        <v>0</v>
      </c>
      <c r="L454">
        <f>0.188692294501059*$F$52</f>
        <v>0</v>
      </c>
      <c r="M454">
        <f>0.602151243608718*$F$53</f>
        <v>0</v>
      </c>
      <c r="N454">
        <f>-0.14220076050992*$F$54</f>
        <v>0</v>
      </c>
      <c r="P454">
        <v>983707.23818902252</v>
      </c>
      <c r="Q454">
        <v>-13355.721642235698</v>
      </c>
      <c r="R454">
        <v>346788.31291337276</v>
      </c>
      <c r="S454">
        <v>702115.21521375258</v>
      </c>
      <c r="T454">
        <v>7.4431564662110048E-7</v>
      </c>
      <c r="U454">
        <v>2.9013765016678579E-11</v>
      </c>
      <c r="V454">
        <v>2.2950172063855036E-9</v>
      </c>
      <c r="W454">
        <v>1.3065032647313581E-7</v>
      </c>
      <c r="X454">
        <v>4.8417177934531095E-6</v>
      </c>
      <c r="Y454">
        <v>1.1816968103444442E-6</v>
      </c>
      <c r="Z454">
        <v>0.71320846061507404</v>
      </c>
      <c r="AA454">
        <v>7.4215058705261031E-2</v>
      </c>
      <c r="AB454">
        <v>9.8577992394900811</v>
      </c>
      <c r="AD454">
        <v>0.99642719372909594</v>
      </c>
      <c r="AE454">
        <v>0.31049970569266655</v>
      </c>
      <c r="AF454">
        <v>1.031754234790984</v>
      </c>
      <c r="AG454">
        <v>2351135.1316025071</v>
      </c>
    </row>
    <row r="455" spans="2:33" ht="12.75" hidden="1" customHeight="1">
      <c r="B455">
        <f>-0.0122448315502076*$F$42</f>
        <v>0</v>
      </c>
      <c r="C455">
        <f>-0.298053768916224*$F$43</f>
        <v>0</v>
      </c>
      <c r="D455">
        <f>-0.0400115008557414*$F$44</f>
        <v>0</v>
      </c>
      <c r="E455">
        <f>0.600712584960176*$F$45</f>
        <v>0</v>
      </c>
      <c r="F455">
        <f>0.576983581064373*$F$46</f>
        <v>0</v>
      </c>
      <c r="G455">
        <f>-0.0461408854090753*$F$47</f>
        <v>0</v>
      </c>
      <c r="H455">
        <f>-0.219108143359621*$F$48</f>
        <v>0</v>
      </c>
      <c r="I455">
        <f>0.230462344982587*$F$49</f>
        <v>0</v>
      </c>
      <c r="J455">
        <f>0.48506897007727*$F$50</f>
        <v>0</v>
      </c>
      <c r="K455">
        <f>-0.273135710275682*$F$51</f>
        <v>0</v>
      </c>
      <c r="L455">
        <f>0.146488282357413*$F$52</f>
        <v>0</v>
      </c>
      <c r="M455">
        <f>0.531653615847739*$F$53</f>
        <v>0</v>
      </c>
      <c r="N455">
        <f>-0.0585102232074449*$F$54</f>
        <v>0</v>
      </c>
      <c r="P455">
        <v>960983.04981818539</v>
      </c>
      <c r="Q455">
        <v>-12418.491175787232</v>
      </c>
      <c r="R455">
        <v>353016.3142819081</v>
      </c>
      <c r="S455">
        <v>767311.80783709593</v>
      </c>
      <c r="T455">
        <v>7.4038885067450603E-7</v>
      </c>
      <c r="U455">
        <v>3.0856963255231873E-11</v>
      </c>
      <c r="V455">
        <v>2.2496051270272871E-9</v>
      </c>
      <c r="W455">
        <v>1.3299601048477362E-7</v>
      </c>
      <c r="X455">
        <v>5.2425344850386347E-6</v>
      </c>
      <c r="Y455">
        <v>1.2012677397809534E-6</v>
      </c>
      <c r="Z455">
        <v>0.71025417976501892</v>
      </c>
      <c r="AA455">
        <v>7.3721575310934179E-2</v>
      </c>
      <c r="AB455">
        <v>9.9414897767925545</v>
      </c>
      <c r="AD455">
        <v>1.232727776753515</v>
      </c>
      <c r="AE455">
        <v>0.37940736784303136</v>
      </c>
      <c r="AF455">
        <v>0.82871310691332467</v>
      </c>
      <c r="AG455">
        <v>2874707.624094639</v>
      </c>
    </row>
    <row r="456" spans="2:33" ht="12.75" hidden="1" customHeight="1">
      <c r="B456">
        <f>0.219829017280533*$F$42</f>
        <v>0</v>
      </c>
      <c r="C456">
        <f>0.107029147352024*$F$43</f>
        <v>0</v>
      </c>
      <c r="D456">
        <f>-0.478683544315058*$F$44</f>
        <v>0</v>
      </c>
      <c r="E456">
        <f>0.158119644798707*$F$45</f>
        <v>0</v>
      </c>
      <c r="F456">
        <f>0.00583269200550227*$F$46</f>
        <v>0</v>
      </c>
      <c r="G456">
        <f>-0.103028641493783*$F$47</f>
        <v>0</v>
      </c>
      <c r="H456">
        <f>-0.0788952523676624*$F$48</f>
        <v>0</v>
      </c>
      <c r="I456">
        <f>0.187274048460914*$F$49</f>
        <v>0</v>
      </c>
      <c r="J456">
        <f>0.458846327597968*$F$50</f>
        <v>0</v>
      </c>
      <c r="K456">
        <f>-0.306454178960816*$F$51</f>
        <v>0</v>
      </c>
      <c r="L456">
        <f>0.349003441482145*$F$52</f>
        <v>0</v>
      </c>
      <c r="M456">
        <f>0.410990230873075*$F$53</f>
        <v>0</v>
      </c>
      <c r="N456">
        <f>0.399885553192274*$F$54</f>
        <v>0</v>
      </c>
      <c r="P456">
        <v>983312.29510614579</v>
      </c>
      <c r="Q456">
        <v>-12936.997308610591</v>
      </c>
      <c r="R456">
        <v>337468.26540877676</v>
      </c>
      <c r="S456">
        <v>735275.58514645789</v>
      </c>
      <c r="T456">
        <v>7.0040828844038513E-7</v>
      </c>
      <c r="U456">
        <v>3.0680611211369276E-11</v>
      </c>
      <c r="V456">
        <v>2.2818540919554378E-9</v>
      </c>
      <c r="W456">
        <v>1.3243456262999188E-7</v>
      </c>
      <c r="X456">
        <v>5.2294231637989847E-6</v>
      </c>
      <c r="Y456">
        <v>1.1971529088983392E-6</v>
      </c>
      <c r="Z456">
        <v>0.72443024090375008</v>
      </c>
      <c r="AA456">
        <v>7.2876931616111543E-2</v>
      </c>
      <c r="AB456">
        <v>10.399885553192274</v>
      </c>
      <c r="AD456">
        <v>1.2031650114409069</v>
      </c>
      <c r="AE456">
        <v>0.35324535393112411</v>
      </c>
      <c r="AF456">
        <v>0.84969517797661687</v>
      </c>
      <c r="AG456">
        <v>2707907.464235031</v>
      </c>
    </row>
    <row r="457" spans="2:33" ht="12.75" hidden="1" customHeight="1">
      <c r="B457">
        <f>-0.195412398414238*$F$42</f>
        <v>0</v>
      </c>
      <c r="C457">
        <f>0.463197254956926*$F$43</f>
        <v>0</v>
      </c>
      <c r="D457">
        <f>-0.37716315364284*$F$44</f>
        <v>0</v>
      </c>
      <c r="E457">
        <f>0.269979409219499*$F$45</f>
        <v>0</v>
      </c>
      <c r="F457">
        <f>-0.288526321658671*$F$46</f>
        <v>0</v>
      </c>
      <c r="G457">
        <f>0.226054644836169*$F$47</f>
        <v>0</v>
      </c>
      <c r="H457">
        <f>0.187041845258532*$F$48</f>
        <v>0</v>
      </c>
      <c r="I457">
        <f>0.0370094949596571*$F$49</f>
        <v>0</v>
      </c>
      <c r="J457">
        <f>0.0704965996681791*$F$50</f>
        <v>0</v>
      </c>
      <c r="K457">
        <f>-0.570407845894105*$F$51</f>
        <v>0</v>
      </c>
      <c r="L457">
        <f>0.193963647612241*$F$52</f>
        <v>0</v>
      </c>
      <c r="M457">
        <f>0.0759166786794605*$F$53</f>
        <v>0</v>
      </c>
      <c r="N457">
        <f>-0.449769957031855*$F$54</f>
        <v>0</v>
      </c>
      <c r="P457">
        <v>943359.37722468784</v>
      </c>
      <c r="Q457">
        <v>-13392.892486344866</v>
      </c>
      <c r="R457">
        <v>341066.49789093726</v>
      </c>
      <c r="S457">
        <v>743372.33499926713</v>
      </c>
      <c r="T457">
        <v>6.7980315748389304E-7</v>
      </c>
      <c r="U457">
        <v>3.1700769398992128E-11</v>
      </c>
      <c r="V457">
        <v>2.343019624409462E-9</v>
      </c>
      <c r="W457">
        <v>1.3048112343447553E-7</v>
      </c>
      <c r="X457">
        <v>5.0352482998340899E-6</v>
      </c>
      <c r="Y457">
        <v>1.1645546310320781E-6</v>
      </c>
      <c r="Z457">
        <v>0.71357745533285677</v>
      </c>
      <c r="AA457">
        <v>7.0531416750756221E-2</v>
      </c>
      <c r="AB457">
        <v>9.5502300429681455</v>
      </c>
      <c r="AD457">
        <v>1.2282195243574996</v>
      </c>
      <c r="AE457">
        <v>0.3744265003489512</v>
      </c>
      <c r="AF457">
        <v>0.83196603496952148</v>
      </c>
      <c r="AG457">
        <v>2787985.7424713634</v>
      </c>
    </row>
    <row r="458" spans="2:33" ht="12.75" hidden="1" customHeight="1">
      <c r="B458">
        <f>0.399141115424644*$F$42</f>
        <v>0</v>
      </c>
      <c r="C458">
        <f>0.109517100220408*$F$43</f>
        <v>0</v>
      </c>
      <c r="D458">
        <f>0.148855691665067*$F$44</f>
        <v>0</v>
      </c>
      <c r="E458">
        <f>-0.314248617206702*$F$45</f>
        <v>0</v>
      </c>
      <c r="F458">
        <f>-0.457771666799238*$F$46</f>
        <v>0</v>
      </c>
      <c r="G458">
        <f>-0.16777285780406*$F$47</f>
        <v>0</v>
      </c>
      <c r="H458">
        <f>-0.534566150891504*$F$48</f>
        <v>0</v>
      </c>
      <c r="I458">
        <f>0.225461193893633*$F$49</f>
        <v>0</v>
      </c>
      <c r="J458">
        <f>-0.590682243059971*$F$50</f>
        <v>0</v>
      </c>
      <c r="K458">
        <f>0.354506498063273*$F$51</f>
        <v>0</v>
      </c>
      <c r="L458">
        <f>-0.443906062991573*$F$52</f>
        <v>0</v>
      </c>
      <c r="M458">
        <f>-0.301144161360373*$F$53</f>
        <v>0</v>
      </c>
      <c r="N458">
        <f>0.0105019475155513*$F$54</f>
        <v>0</v>
      </c>
      <c r="P458">
        <v>1000565.0094586313</v>
      </c>
      <c r="Q458">
        <v>-12940.181888282123</v>
      </c>
      <c r="R458">
        <v>359710.41841648571</v>
      </c>
      <c r="S458">
        <v>701084.13413037523</v>
      </c>
      <c r="T458">
        <v>6.6795598332405331E-7</v>
      </c>
      <c r="U458">
        <v>3.0479904140807418E-11</v>
      </c>
      <c r="V458">
        <v>2.1770497852949538E-9</v>
      </c>
      <c r="W458">
        <v>1.3293099552061723E-7</v>
      </c>
      <c r="X458">
        <v>4.7046588784700145E-6</v>
      </c>
      <c r="Y458">
        <v>1.2787815525108144E-6</v>
      </c>
      <c r="Z458">
        <v>0.66892657559058988</v>
      </c>
      <c r="AA458">
        <v>6.7891990870477398E-2</v>
      </c>
      <c r="AB458">
        <v>10.01050194751555</v>
      </c>
      <c r="AD458">
        <v>0.83378785359336494</v>
      </c>
      <c r="AE458">
        <v>0.29686883535614217</v>
      </c>
      <c r="AF458">
        <v>1.2338700818969017</v>
      </c>
      <c r="AG458">
        <v>2193226.7143629664</v>
      </c>
    </row>
    <row r="459" spans="2:33" ht="12.75" hidden="1" customHeight="1">
      <c r="B459">
        <f>-0.304703010557913*$F$42</f>
        <v>0</v>
      </c>
      <c r="C459">
        <f>-0.0259241404290678*$F$43</f>
        <v>0</v>
      </c>
      <c r="D459">
        <f>0.504140090049859*$F$44</f>
        <v>0</v>
      </c>
      <c r="E459">
        <f>0.33587944432806*$F$45</f>
        <v>0</v>
      </c>
      <c r="F459">
        <f>0.485886515749762*$F$46</f>
        <v>0</v>
      </c>
      <c r="G459">
        <f>0.280627205076105*$F$47</f>
        <v>0</v>
      </c>
      <c r="H459">
        <f>0.226138104781948*$F$48</f>
        <v>0</v>
      </c>
      <c r="I459">
        <f>0.164655596897097*$F$49</f>
        <v>0</v>
      </c>
      <c r="J459">
        <f>0.235557917085777*$F$50</f>
        <v>0</v>
      </c>
      <c r="K459">
        <f>-0.388380153449657*$F$51</f>
        <v>0</v>
      </c>
      <c r="L459">
        <f>-0.0292965336128889*$F$52</f>
        <v>0</v>
      </c>
      <c r="M459">
        <f>-0.159038329735073*$F$53</f>
        <v>0</v>
      </c>
      <c r="N459">
        <f>0.323144976118479*$F$54</f>
        <v>0</v>
      </c>
      <c r="P459">
        <v>932843.85857179854</v>
      </c>
      <c r="Q459">
        <v>-12766.817100250793</v>
      </c>
      <c r="R459">
        <v>372302.92179642839</v>
      </c>
      <c r="S459">
        <v>748142.37990619335</v>
      </c>
      <c r="T459">
        <v>7.3401205610248335E-7</v>
      </c>
      <c r="U459">
        <v>3.1869944335735927E-11</v>
      </c>
      <c r="V459">
        <v>2.3520117640998479E-9</v>
      </c>
      <c r="W459">
        <v>1.3214052275966224E-7</v>
      </c>
      <c r="X459">
        <v>5.1177789585428893E-6</v>
      </c>
      <c r="Y459">
        <v>1.1870350510489674E-6</v>
      </c>
      <c r="Z459">
        <v>0.69794924264709768</v>
      </c>
      <c r="AA459">
        <v>6.8886731691854497E-2</v>
      </c>
      <c r="AB459">
        <v>10.323144976118479</v>
      </c>
      <c r="AD459">
        <v>1.1125939390145492</v>
      </c>
      <c r="AE459">
        <v>0.35655743485861902</v>
      </c>
      <c r="AF459">
        <v>0.92024854253066257</v>
      </c>
      <c r="AG459">
        <v>2561809.7272117306</v>
      </c>
    </row>
    <row r="460" spans="2:33" ht="12.75" hidden="1" customHeight="1">
      <c r="B460">
        <f>-0.320171765321874*$F$42</f>
        <v>0</v>
      </c>
      <c r="C460">
        <f>-0.225062950987461*$F$43</f>
        <v>0</v>
      </c>
      <c r="D460">
        <f>-0.0564967059188443*$F$44</f>
        <v>0</v>
      </c>
      <c r="E460">
        <f>0.275980081668773*$F$45</f>
        <v>0</v>
      </c>
      <c r="F460">
        <f>0.467753662300464*$F$46</f>
        <v>0</v>
      </c>
      <c r="G460">
        <f>-0.251485465512625*$F$47</f>
        <v>0</v>
      </c>
      <c r="H460">
        <f>-0.0347718815826764*$F$48</f>
        <v>0</v>
      </c>
      <c r="I460">
        <f>0.484850384042742*$F$49</f>
        <v>0</v>
      </c>
      <c r="J460">
        <f>0.300437534230818*$F$50</f>
        <v>0</v>
      </c>
      <c r="K460">
        <f>-0.132581636480977*$F$51</f>
        <v>0</v>
      </c>
      <c r="L460">
        <f>0.39519187738795*$F$52</f>
        <v>0</v>
      </c>
      <c r="M460">
        <f>0.132427094027069*$F$53</f>
        <v>0</v>
      </c>
      <c r="N460">
        <f>0.178228044662483*$F$54</f>
        <v>0</v>
      </c>
      <c r="P460">
        <v>931355.51500717865</v>
      </c>
      <c r="Q460">
        <v>-12511.919422736049</v>
      </c>
      <c r="R460">
        <v>352432.02180686576</v>
      </c>
      <c r="S460">
        <v>743806.68191589089</v>
      </c>
      <c r="T460">
        <v>7.3274275636103242E-7</v>
      </c>
      <c r="U460">
        <v>3.0220395056910862E-11</v>
      </c>
      <c r="V460">
        <v>2.2920024672359847E-9</v>
      </c>
      <c r="W460">
        <v>1.3630305499255565E-7</v>
      </c>
      <c r="X460">
        <v>5.1502187671154093E-6</v>
      </c>
      <c r="Y460">
        <v>1.2186261678945994E-6</v>
      </c>
      <c r="Z460">
        <v>0.7276634314171565</v>
      </c>
      <c r="AA460">
        <v>7.0926989658189499E-2</v>
      </c>
      <c r="AB460">
        <v>10.178228044662482</v>
      </c>
      <c r="AD460">
        <v>1.2728261852692193</v>
      </c>
      <c r="AE460">
        <v>0.36811741009068571</v>
      </c>
      <c r="AF460">
        <v>0.80205629718840965</v>
      </c>
      <c r="AG460">
        <v>2690532.7401287137</v>
      </c>
    </row>
    <row r="461" spans="2:33" ht="12.75" hidden="1" customHeight="1">
      <c r="B461">
        <f>0.132227644779703*$F$42</f>
        <v>0</v>
      </c>
      <c r="C461">
        <f>0.274766850299448*$F$43</f>
        <v>0</v>
      </c>
      <c r="D461">
        <f>0.0145407453101545*$F$44</f>
        <v>0</v>
      </c>
      <c r="E461">
        <f>-0.18843610076106*$F$45</f>
        <v>0</v>
      </c>
      <c r="F461">
        <f>0.00949328363305472*$F$46</f>
        <v>0</v>
      </c>
      <c r="G461">
        <f>-0.0850406644581657*$F$47</f>
        <v>0</v>
      </c>
      <c r="H461">
        <f>-0.4215537680244*$F$48</f>
        <v>0</v>
      </c>
      <c r="I461">
        <f>-0.0343625741011258*$F$49</f>
        <v>0</v>
      </c>
      <c r="J461">
        <f>0.210285953224214*$F$50</f>
        <v>0</v>
      </c>
      <c r="K461">
        <f>-0.424793569880319*$F$51</f>
        <v>0</v>
      </c>
      <c r="L461">
        <f>-0.0577920830705518*$F$52</f>
        <v>0</v>
      </c>
      <c r="M461">
        <f>-0.0870649649912424*$F$53</f>
        <v>0</v>
      </c>
      <c r="N461">
        <f>0.270706041566175*$F$54</f>
        <v>0</v>
      </c>
      <c r="P461">
        <v>974883.63093744125</v>
      </c>
      <c r="Q461">
        <v>-13151.701568383294</v>
      </c>
      <c r="R461">
        <v>354949.83387170866</v>
      </c>
      <c r="S461">
        <v>710190.82659738942</v>
      </c>
      <c r="T461">
        <v>7.0066452985431382E-7</v>
      </c>
      <c r="U461">
        <v>3.073637394017969E-11</v>
      </c>
      <c r="V461">
        <v>2.203042633354388E-9</v>
      </c>
      <c r="W461">
        <v>1.2955328653668537E-7</v>
      </c>
      <c r="X461">
        <v>5.1051429766121072E-6</v>
      </c>
      <c r="Y461">
        <v>1.1825379941197805E-6</v>
      </c>
      <c r="Z461">
        <v>0.69595455418506136</v>
      </c>
      <c r="AA461">
        <v>6.9390545245061303E-2</v>
      </c>
      <c r="AB461">
        <v>10.270706041566175</v>
      </c>
      <c r="AD461">
        <v>0.9756147077952827</v>
      </c>
      <c r="AE461">
        <v>0.31801371508433479</v>
      </c>
      <c r="AF461">
        <v>1.0526307329947038</v>
      </c>
      <c r="AG461">
        <v>2348147.3830048912</v>
      </c>
    </row>
    <row r="462" spans="2:33" ht="12.75" hidden="1" customHeight="1">
      <c r="B462">
        <f>0.399665437715725*$F$42</f>
        <v>0</v>
      </c>
      <c r="C462">
        <f>-0.221718220874458*$F$43</f>
        <v>0</v>
      </c>
      <c r="D462">
        <f>0.0394627795818972*$F$44</f>
        <v>0</v>
      </c>
      <c r="E462">
        <f>0.250735976143737*$F$45</f>
        <v>0</v>
      </c>
      <c r="F462">
        <f>0.190981108374056*$F$46</f>
        <v>0</v>
      </c>
      <c r="G462">
        <f>0.0985927279978114*$F$47</f>
        <v>0</v>
      </c>
      <c r="H462">
        <f>0.101265167251665*$F$48</f>
        <v>0</v>
      </c>
      <c r="I462">
        <f>0.14720296390584*$F$49</f>
        <v>0</v>
      </c>
      <c r="J462">
        <f>-0.663002908892116*$F$50</f>
        <v>0</v>
      </c>
      <c r="K462">
        <f>-0.210067802252969*$F$51</f>
        <v>0</v>
      </c>
      <c r="L462">
        <f>-0.0906420109369525*$F$52</f>
        <v>0</v>
      </c>
      <c r="M462">
        <f>0.706919527972604*$F$53</f>
        <v>0</v>
      </c>
      <c r="N462">
        <f>-0.118873679083089*$F$54</f>
        <v>0</v>
      </c>
      <c r="P462">
        <v>1000615.4577151088</v>
      </c>
      <c r="Q462">
        <v>-12516.200677280693</v>
      </c>
      <c r="R462">
        <v>355833.15664700849</v>
      </c>
      <c r="S462">
        <v>741979.43680454546</v>
      </c>
      <c r="T462">
        <v>7.1336867758618386E-7</v>
      </c>
      <c r="U462">
        <v>3.1305637456793214E-11</v>
      </c>
      <c r="V462">
        <v>2.3232909884678831E-9</v>
      </c>
      <c r="W462">
        <v>1.3191363853077592E-7</v>
      </c>
      <c r="X462">
        <v>4.6684985455539422E-6</v>
      </c>
      <c r="Y462">
        <v>1.2090566264217584E-6</v>
      </c>
      <c r="Z462">
        <v>0.69365505923441328</v>
      </c>
      <c r="AA462">
        <v>7.4948436695808238E-2</v>
      </c>
      <c r="AB462">
        <v>9.8811263209169109</v>
      </c>
      <c r="AD462">
        <v>1.0211476505486183</v>
      </c>
      <c r="AE462">
        <v>0.33581912148882287</v>
      </c>
      <c r="AF462">
        <v>1.0058225128407121</v>
      </c>
      <c r="AG462">
        <v>2590353.0713796522</v>
      </c>
    </row>
    <row r="463" spans="2:33" ht="12.75" hidden="1" customHeight="1">
      <c r="B463">
        <f>0.0308285908670941*$F$42</f>
        <v>0</v>
      </c>
      <c r="C463">
        <f>0.104883249522493*$F$43</f>
        <v>0</v>
      </c>
      <c r="D463">
        <f>0.442688388353605*$F$44</f>
        <v>0</v>
      </c>
      <c r="E463">
        <f>0.0361653707468544*$F$45</f>
        <v>0</v>
      </c>
      <c r="F463">
        <f>0.0155940330073475*$F$46</f>
        <v>0</v>
      </c>
      <c r="G463">
        <f>0.0012626091921802*$F$47</f>
        <v>0</v>
      </c>
      <c r="H463">
        <f>-0.466460372659563*$F$48</f>
        <v>0</v>
      </c>
      <c r="I463">
        <f>-0.387599654025029*$F$49</f>
        <v>0</v>
      </c>
      <c r="J463">
        <f>-0.0556549809528346*$F$50</f>
        <v>0</v>
      </c>
      <c r="K463">
        <f>0.0326684315101771*$F$51</f>
        <v>0</v>
      </c>
      <c r="L463">
        <f>-0.512422393903688*$F$52</f>
        <v>0</v>
      </c>
      <c r="M463">
        <f>0.0125347245384466*$F$53</f>
        <v>0</v>
      </c>
      <c r="N463">
        <f>-0.463186660115752*$F$54</f>
        <v>0</v>
      </c>
      <c r="P463">
        <v>965127.40739829908</v>
      </c>
      <c r="Q463">
        <v>-12934.250559388793</v>
      </c>
      <c r="R463">
        <v>370124.86172728008</v>
      </c>
      <c r="S463">
        <v>726448.16399469972</v>
      </c>
      <c r="T463">
        <v>7.0109158231051424E-7</v>
      </c>
      <c r="U463">
        <v>3.1003914088495763E-11</v>
      </c>
      <c r="V463">
        <v>2.1927141142883006E-9</v>
      </c>
      <c r="W463">
        <v>1.2496120449767461E-7</v>
      </c>
      <c r="X463">
        <v>4.972172509523583E-6</v>
      </c>
      <c r="Y463">
        <v>1.2390345512915068E-6</v>
      </c>
      <c r="Z463">
        <v>0.66413043242674186</v>
      </c>
      <c r="AA463">
        <v>7.0087743071769126E-2</v>
      </c>
      <c r="AB463">
        <v>9.5368133398842474</v>
      </c>
      <c r="AD463">
        <v>0.89806060955079681</v>
      </c>
      <c r="AE463">
        <v>0.32371035246329782</v>
      </c>
      <c r="AF463">
        <v>1.1446548230746472</v>
      </c>
      <c r="AG463">
        <v>2359075.3119206252</v>
      </c>
    </row>
    <row r="464" spans="2:33" ht="12.75" hidden="1" customHeight="1">
      <c r="B464">
        <f>0.526279068057101*$F$42</f>
        <v>0</v>
      </c>
      <c r="C464">
        <f>-0.337930706173564*$F$43</f>
        <v>0</v>
      </c>
      <c r="D464">
        <f>0.168386327721519*$F$44</f>
        <v>0</v>
      </c>
      <c r="E464">
        <f>0.138635248802726*$F$45</f>
        <v>0</v>
      </c>
      <c r="F464">
        <f>-0.100746554808936*$F$46</f>
        <v>0</v>
      </c>
      <c r="G464">
        <f>-0.121759819489883*$F$47</f>
        <v>0</v>
      </c>
      <c r="H464">
        <f>-0.212486682807415*$F$48</f>
        <v>0</v>
      </c>
      <c r="I464">
        <f>-0.395410102578513*$F$49</f>
        <v>0</v>
      </c>
      <c r="J464">
        <f>-0.263149215611076*$F$50</f>
        <v>0</v>
      </c>
      <c r="K464">
        <f>-0.0310625275318318*$F$51</f>
        <v>0</v>
      </c>
      <c r="L464">
        <f>0.0605890158998376*$F$52</f>
        <v>0</v>
      </c>
      <c r="M464">
        <f>0.179700122197012*$F$53</f>
        <v>0</v>
      </c>
      <c r="N464">
        <f>0.936524413971291*$F$54</f>
        <v>0</v>
      </c>
      <c r="P464">
        <v>1012797.7299656702</v>
      </c>
      <c r="Q464">
        <v>-12367.448696097839</v>
      </c>
      <c r="R464">
        <v>360402.65146041167</v>
      </c>
      <c r="S464">
        <v>733865.24532293493</v>
      </c>
      <c r="T464">
        <v>6.9294774116337448E-7</v>
      </c>
      <c r="U464">
        <v>3.0622544559581366E-11</v>
      </c>
      <c r="V464">
        <v>2.2511280629542945E-9</v>
      </c>
      <c r="W464">
        <v>1.2485966866647933E-7</v>
      </c>
      <c r="X464">
        <v>4.8684253921944623E-6</v>
      </c>
      <c r="Y464">
        <v>1.2311637778498188E-6</v>
      </c>
      <c r="Z464">
        <v>0.70424123111298853</v>
      </c>
      <c r="AA464">
        <v>7.12579008553791E-2</v>
      </c>
      <c r="AB464">
        <v>10.936524413971291</v>
      </c>
      <c r="AD464">
        <v>1.0196153531388845</v>
      </c>
      <c r="AE464">
        <v>0.32285809213515509</v>
      </c>
      <c r="AF464">
        <v>1.0068219045415647</v>
      </c>
      <c r="AG464">
        <v>2486784.0773564233</v>
      </c>
    </row>
    <row r="465" spans="2:33" ht="12.75" hidden="1" customHeight="1">
      <c r="B465">
        <f>0.445953202829532*$F$42</f>
        <v>0</v>
      </c>
      <c r="C465">
        <f>0.172932101010755*$F$43</f>
        <v>0</v>
      </c>
      <c r="D465">
        <f>-0.119692203560674*$F$44</f>
        <v>0</v>
      </c>
      <c r="E465">
        <f>0.222233308127567*$F$45</f>
        <v>0</v>
      </c>
      <c r="F465">
        <f>-0.050670384960622*$F$46</f>
        <v>0</v>
      </c>
      <c r="G465">
        <f>-0.151303017556556*$F$47</f>
        <v>0</v>
      </c>
      <c r="H465">
        <f>0.00365170276370897*$F$48</f>
        <v>0</v>
      </c>
      <c r="I465">
        <f>-0.515774219536379*$F$49</f>
        <v>0</v>
      </c>
      <c r="J465">
        <f>0.13218651963226*$F$50</f>
        <v>0</v>
      </c>
      <c r="K465">
        <f>0.169216490776952*$F$51</f>
        <v>0</v>
      </c>
      <c r="L465">
        <f>0.190123223845749*$F$52</f>
        <v>0</v>
      </c>
      <c r="M465">
        <f>0.219823761125343*$F$53</f>
        <v>0</v>
      </c>
      <c r="N465">
        <f>0.3865880187311*$F$54</f>
        <v>0</v>
      </c>
      <c r="P465">
        <v>1005069.0868778306</v>
      </c>
      <c r="Q465">
        <v>-13021.353089293765</v>
      </c>
      <c r="R465">
        <v>350192.15560032881</v>
      </c>
      <c r="S465">
        <v>739916.32703259506</v>
      </c>
      <c r="T465">
        <v>6.9645307305275644E-7</v>
      </c>
      <c r="U465">
        <v>3.0530960645574681E-11</v>
      </c>
      <c r="V465">
        <v>2.3008398916356531E-9</v>
      </c>
      <c r="W465">
        <v>1.2329493514602707E-7</v>
      </c>
      <c r="X465">
        <v>5.0660932598161305E-6</v>
      </c>
      <c r="Y465">
        <v>1.2558982366109535E-6</v>
      </c>
      <c r="Z465">
        <v>0.71330862566920239</v>
      </c>
      <c r="AA465">
        <v>7.1538766327877409E-2</v>
      </c>
      <c r="AB465">
        <v>10.3865880187311</v>
      </c>
      <c r="AD465">
        <v>1.1045990824928176</v>
      </c>
      <c r="AE465">
        <v>0.3382743680273812</v>
      </c>
      <c r="AF465">
        <v>0.92755212098268314</v>
      </c>
      <c r="AG465">
        <v>2621180.1075615776</v>
      </c>
    </row>
    <row r="466" spans="2:33" ht="12.75" hidden="1" customHeight="1">
      <c r="B466">
        <f>-0.0837874351210206*$F$42</f>
        <v>0</v>
      </c>
      <c r="C466">
        <f>-0.592874913184749*$F$43</f>
        <v>0</v>
      </c>
      <c r="D466">
        <f>0.0995937823336654*$F$44</f>
        <v>0</v>
      </c>
      <c r="E466">
        <f>-0.0235093508010734*$F$45</f>
        <v>0</v>
      </c>
      <c r="F466">
        <f>-0.359284756988507*$F$46</f>
        <v>0</v>
      </c>
      <c r="G466">
        <f>-0.175908964434723*$F$47</f>
        <v>0</v>
      </c>
      <c r="H466">
        <f>-0.0695682241602682*$F$48</f>
        <v>0</v>
      </c>
      <c r="I466">
        <f>-0.655565232528484*$F$49</f>
        <v>0</v>
      </c>
      <c r="J466">
        <f>-0.336750311361586*$F$50</f>
        <v>0</v>
      </c>
      <c r="K466">
        <f>0.451946373822663*$F$51</f>
        <v>0</v>
      </c>
      <c r="L466">
        <f>0.209040142392841*$F$52</f>
        <v>0</v>
      </c>
      <c r="M466">
        <f>-0.156681481267025*$F$53</f>
        <v>0</v>
      </c>
      <c r="N466">
        <f>0.0934601688823597*$F$54</f>
        <v>0</v>
      </c>
      <c r="P466">
        <v>954099.4980879036</v>
      </c>
      <c r="Q466">
        <v>-12041.120111123522</v>
      </c>
      <c r="R466">
        <v>357964.40659446851</v>
      </c>
      <c r="S466">
        <v>722128.72621104738</v>
      </c>
      <c r="T466">
        <v>6.7485006701080445E-7</v>
      </c>
      <c r="U466">
        <v>3.0454682210252358E-11</v>
      </c>
      <c r="V466">
        <v>2.2839993084431381E-9</v>
      </c>
      <c r="W466">
        <v>1.2147765197712969E-7</v>
      </c>
      <c r="X466">
        <v>4.8316248443192073E-6</v>
      </c>
      <c r="Y466">
        <v>1.2908153771670988E-6</v>
      </c>
      <c r="Z466">
        <v>0.71463280996749878</v>
      </c>
      <c r="AA466">
        <v>6.8903229631130838E-2</v>
      </c>
      <c r="AB466">
        <v>10.093460168882359</v>
      </c>
      <c r="AD466">
        <v>1.0836718106188712</v>
      </c>
      <c r="AE466">
        <v>0.33114265556426786</v>
      </c>
      <c r="AF466">
        <v>0.94612390534979363</v>
      </c>
      <c r="AG466">
        <v>2431739.6790691223</v>
      </c>
    </row>
    <row r="467" spans="2:33" ht="12.75" hidden="1" customHeight="1">
      <c r="B467">
        <f>0.520812295833889*$F$42</f>
        <v>0</v>
      </c>
      <c r="C467">
        <f>-0.410517534273378*$F$43</f>
        <v>0</v>
      </c>
      <c r="D467">
        <f>-0.375185484723979*$F$44</f>
        <v>0</v>
      </c>
      <c r="E467">
        <f>0.551390040331561*$F$45</f>
        <v>0</v>
      </c>
      <c r="F467">
        <f>-0.0714555618049743*$F$46</f>
        <v>0</v>
      </c>
      <c r="G467">
        <f>-0.192930244833534*$F$47</f>
        <v>0</v>
      </c>
      <c r="H467">
        <f>-0.395867345432138*$F$48</f>
        <v>0</v>
      </c>
      <c r="I467">
        <f>-0.298432740273084*$F$49</f>
        <v>0</v>
      </c>
      <c r="J467">
        <f>0.604707342842022*$F$50</f>
        <v>0</v>
      </c>
      <c r="K467">
        <f>-0.33454200207473*$F$51</f>
        <v>0</v>
      </c>
      <c r="L467">
        <f>0.504347962511469*$F$52</f>
        <v>0</v>
      </c>
      <c r="M467">
        <f>-0.513037072317578*$F$53</f>
        <v>0</v>
      </c>
      <c r="N467">
        <f>-0.242792888753546*$F$54</f>
        <v>0</v>
      </c>
      <c r="P467">
        <v>1012271.738353429</v>
      </c>
      <c r="Q467">
        <v>-12274.537556130075</v>
      </c>
      <c r="R467">
        <v>341136.59329241951</v>
      </c>
      <c r="S467">
        <v>763741.6920941408</v>
      </c>
      <c r="T467">
        <v>6.949981106736518E-7</v>
      </c>
      <c r="U467">
        <v>3.0401916241016049E-11</v>
      </c>
      <c r="V467">
        <v>2.2089505105506081E-9</v>
      </c>
      <c r="W467">
        <v>1.2612037437644992E-7</v>
      </c>
      <c r="X467">
        <v>5.3023536714210114E-6</v>
      </c>
      <c r="Y467">
        <v>1.1936840627437708E-6</v>
      </c>
      <c r="Z467">
        <v>0.7353043573758028</v>
      </c>
      <c r="AA467">
        <v>6.6408740493776958E-2</v>
      </c>
      <c r="AB467">
        <v>9.7572071112464549</v>
      </c>
      <c r="AD467">
        <v>1.2859925717086738</v>
      </c>
      <c r="AE467">
        <v>0.36392202918530869</v>
      </c>
      <c r="AF467">
        <v>0.79389818617812025</v>
      </c>
      <c r="AG467">
        <v>2919343.1493773316</v>
      </c>
    </row>
    <row r="468" spans="2:33" ht="12.75" hidden="1" customHeight="1">
      <c r="B468">
        <f>0.241310746720421*$F$42</f>
        <v>0</v>
      </c>
      <c r="C468">
        <f>-0.106611043228389*$F$43</f>
        <v>0</v>
      </c>
      <c r="D468">
        <f>-0.00376033842371967*$F$44</f>
        <v>0</v>
      </c>
      <c r="E468">
        <f>0.536900165244776*$F$45</f>
        <v>0</v>
      </c>
      <c r="F468">
        <f>0.372735482740541*$F$46</f>
        <v>0</v>
      </c>
      <c r="G468">
        <f>0.157260520411669*$F$47</f>
        <v>0</v>
      </c>
      <c r="H468">
        <f>-0.162258632824105*$F$48</f>
        <v>0</v>
      </c>
      <c r="I468">
        <f>0.180385367187016*$F$49</f>
        <v>0</v>
      </c>
      <c r="J468">
        <f>-0.27091405053377*$F$50</f>
        <v>0</v>
      </c>
      <c r="K468">
        <f>-0.583768159310393*$F$51</f>
        <v>0</v>
      </c>
      <c r="L468">
        <f>-0.268421808244518*$F$52</f>
        <v>0</v>
      </c>
      <c r="M468">
        <f>-0.886831060634669*$F$53</f>
        <v>0</v>
      </c>
      <c r="N468">
        <f>0.193192139624343*$F$54</f>
        <v>0</v>
      </c>
      <c r="P468">
        <v>985379.18376374152</v>
      </c>
      <c r="Q468">
        <v>-12663.537864667662</v>
      </c>
      <c r="R468">
        <v>354301.18039910158</v>
      </c>
      <c r="S468">
        <v>762692.87087961705</v>
      </c>
      <c r="T468">
        <v>7.2609148379183778E-7</v>
      </c>
      <c r="U468">
        <v>3.1487507613276173E-11</v>
      </c>
      <c r="V468">
        <v>2.2626805144504557E-9</v>
      </c>
      <c r="W468">
        <v>1.3234500977343123E-7</v>
      </c>
      <c r="X468">
        <v>4.8645429747331155E-6</v>
      </c>
      <c r="Y468">
        <v>1.1629046323251666E-6</v>
      </c>
      <c r="Z468">
        <v>0.68121047342288377</v>
      </c>
      <c r="AA468">
        <v>6.3792182575557313E-2</v>
      </c>
      <c r="AB468">
        <v>10.193192139624344</v>
      </c>
      <c r="AD468">
        <v>1.10113872047809</v>
      </c>
      <c r="AE468">
        <v>0.37050592306446584</v>
      </c>
      <c r="AF468">
        <v>0.92964987354486306</v>
      </c>
      <c r="AG468">
        <v>2801627.5058595138</v>
      </c>
    </row>
    <row r="469" spans="2:33" ht="12.75" hidden="1" customHeight="1">
      <c r="B469">
        <f>0.28501702032854*$F$42</f>
        <v>0</v>
      </c>
      <c r="C469">
        <f>-0.161558830511385*$F$43</f>
        <v>0</v>
      </c>
      <c r="D469">
        <f>-0.101245265751959*$F$44</f>
        <v>0</v>
      </c>
      <c r="E469">
        <f>0.148689998389155*$F$45</f>
        <v>0</v>
      </c>
      <c r="F469">
        <f>0.394004154551327*$F$46</f>
        <v>0</v>
      </c>
      <c r="G469">
        <f>0.137873155465539*$F$47</f>
        <v>0</v>
      </c>
      <c r="H469">
        <f>0.201985596734051*$F$48</f>
        <v>0</v>
      </c>
      <c r="I469">
        <f>-0.127560984672187*$F$49</f>
        <v>0</v>
      </c>
      <c r="J469">
        <f>0.351914127648698*$F$50</f>
        <v>0</v>
      </c>
      <c r="K469">
        <f>0.584999129395355*$F$51</f>
        <v>0</v>
      </c>
      <c r="L469">
        <f>-0.0890506355204845*$F$52</f>
        <v>0</v>
      </c>
      <c r="M469">
        <f>-0.0538363613237181*$F$53</f>
        <v>0</v>
      </c>
      <c r="N469">
        <f>0.169277719756954*$F$54</f>
        <v>0</v>
      </c>
      <c r="P469">
        <v>989584.43182997312</v>
      </c>
      <c r="Q469">
        <v>-12593.204696945428</v>
      </c>
      <c r="R469">
        <v>350845.97864395782</v>
      </c>
      <c r="S469">
        <v>734593.03866896522</v>
      </c>
      <c r="T469">
        <v>7.2758029081859276E-7</v>
      </c>
      <c r="U469">
        <v>3.1427406781943175E-11</v>
      </c>
      <c r="V469">
        <v>2.3464566872488317E-9</v>
      </c>
      <c r="W469">
        <v>1.2834170719926156E-7</v>
      </c>
      <c r="X469">
        <v>5.1759570638243493E-6</v>
      </c>
      <c r="Y469">
        <v>1.3072473924803265E-6</v>
      </c>
      <c r="Z469">
        <v>0.69376645551356608</v>
      </c>
      <c r="AA469">
        <v>6.9623145470733977E-2</v>
      </c>
      <c r="AB469">
        <v>10.169277719756955</v>
      </c>
      <c r="AD469">
        <v>1.0421374690460523</v>
      </c>
      <c r="AE469">
        <v>0.33997209057765998</v>
      </c>
      <c r="AF469">
        <v>0.98446139108526332</v>
      </c>
      <c r="AG469">
        <v>2571973.1405597311</v>
      </c>
    </row>
    <row r="470" spans="2:33" ht="12.75" hidden="1" customHeight="1">
      <c r="B470">
        <f>-0.313917105932677*$F$42</f>
        <v>0</v>
      </c>
      <c r="C470">
        <f>0.0717664523880504*$F$43</f>
        <v>0</v>
      </c>
      <c r="D470">
        <f>0.0555825498380024*$F$44</f>
        <v>0</v>
      </c>
      <c r="E470">
        <f>0.0218288144323259*$F$45</f>
        <v>0</v>
      </c>
      <c r="F470">
        <f>0.0693720016796362*$F$46</f>
        <v>0</v>
      </c>
      <c r="G470">
        <f>-0.338279131994526*$F$47</f>
        <v>0</v>
      </c>
      <c r="H470">
        <f>0.153111772902937*$F$48</f>
        <v>0</v>
      </c>
      <c r="I470">
        <f>-0.182804465729848*$F$49</f>
        <v>0</v>
      </c>
      <c r="J470">
        <f>0.280638622911829*$F$50</f>
        <v>0</v>
      </c>
      <c r="K470">
        <f>0.0859359803055602*$F$51</f>
        <v>0</v>
      </c>
      <c r="L470">
        <f>0.01416038626039*$F$52</f>
        <v>0</v>
      </c>
      <c r="M470">
        <f>-0.365214138922083*$F$53</f>
        <v>0</v>
      </c>
      <c r="N470">
        <f>0.280948452745732*$F$54</f>
        <v>0</v>
      </c>
      <c r="P470">
        <v>931957.3140655288</v>
      </c>
      <c r="Q470">
        <v>-12891.861059056706</v>
      </c>
      <c r="R470">
        <v>356404.49685321155</v>
      </c>
      <c r="S470">
        <v>725410.44045906991</v>
      </c>
      <c r="T470">
        <v>7.0485604011757453E-7</v>
      </c>
      <c r="U470">
        <v>2.9951334690816972E-11</v>
      </c>
      <c r="V470">
        <v>2.3352157077676751E-9</v>
      </c>
      <c r="W470">
        <v>1.2762354194551197E-7</v>
      </c>
      <c r="X470">
        <v>5.1403193114559146E-6</v>
      </c>
      <c r="Y470">
        <v>1.2456130935677367E-6</v>
      </c>
      <c r="Z470">
        <v>0.70099122703822714</v>
      </c>
      <c r="AA470">
        <v>6.7443501027545427E-2</v>
      </c>
      <c r="AB470">
        <v>10.280948452745733</v>
      </c>
      <c r="AD470">
        <v>1.1004698255654144</v>
      </c>
      <c r="AE470">
        <v>0.34978715170214686</v>
      </c>
      <c r="AF470">
        <v>0.93075046502405223</v>
      </c>
      <c r="AG470">
        <v>2507333.1816140707</v>
      </c>
    </row>
    <row r="471" spans="2:33" ht="12.75" hidden="1" customHeight="1">
      <c r="B471">
        <f>0.5789267059227*$F$42</f>
        <v>0</v>
      </c>
      <c r="C471">
        <f>-0.0933878229769352*$F$43</f>
        <v>0</v>
      </c>
      <c r="D471">
        <f>-0.0456070936463599*$F$44</f>
        <v>0</v>
      </c>
      <c r="E471">
        <f>0.00867051527717637*$F$45</f>
        <v>0</v>
      </c>
      <c r="F471">
        <f>-0.191038245570038*$F$46</f>
        <v>0</v>
      </c>
      <c r="G471">
        <f>-0.0532018370823913*$F$47</f>
        <v>0</v>
      </c>
      <c r="H471">
        <f>0.658953077490166*$F$48</f>
        <v>0</v>
      </c>
      <c r="I471">
        <f>0.165005767763879*$F$49</f>
        <v>0</v>
      </c>
      <c r="J471">
        <f>0.173971543387546*$F$50</f>
        <v>0</v>
      </c>
      <c r="K471">
        <f>-0.0719291664237768*$F$51</f>
        <v>0</v>
      </c>
      <c r="L471">
        <f>-0.0199440826208496*$F$52</f>
        <v>0</v>
      </c>
      <c r="M471">
        <f>-0.692798419488127*$F$53</f>
        <v>0</v>
      </c>
      <c r="N471">
        <f>-0.0483884463653294*$F$54</f>
        <v>0</v>
      </c>
      <c r="P471">
        <v>1017863.2814082631</v>
      </c>
      <c r="Q471">
        <v>-12680.463586589523</v>
      </c>
      <c r="R471">
        <v>352817.98719113518</v>
      </c>
      <c r="S471">
        <v>724458.00275906816</v>
      </c>
      <c r="T471">
        <v>6.8662732281009736E-7</v>
      </c>
      <c r="U471">
        <v>3.083507430504459E-11</v>
      </c>
      <c r="V471">
        <v>2.451559207822738E-9</v>
      </c>
      <c r="W471">
        <v>1.3214507498093043E-7</v>
      </c>
      <c r="X471">
        <v>5.0869857716937733E-6</v>
      </c>
      <c r="Y471">
        <v>1.2261167479466636E-6</v>
      </c>
      <c r="Z471">
        <v>0.69860391421654044</v>
      </c>
      <c r="AA471">
        <v>6.5150411063583116E-2</v>
      </c>
      <c r="AB471">
        <v>9.9516115536346703</v>
      </c>
      <c r="AD471">
        <v>0.98129960058930688</v>
      </c>
      <c r="AE471">
        <v>0.31897637633029829</v>
      </c>
      <c r="AF471">
        <v>1.0469294981605775</v>
      </c>
      <c r="AG471">
        <v>2480173.2804275509</v>
      </c>
    </row>
    <row r="472" spans="2:33" ht="12.75" hidden="1" customHeight="1">
      <c r="B472">
        <f>0.328318713940781*$F$42</f>
        <v>0</v>
      </c>
      <c r="C472">
        <f>-0.0690017232803336*$F$43</f>
        <v>0</v>
      </c>
      <c r="D472">
        <f>-0.198777135644406*$F$44</f>
        <v>0</v>
      </c>
      <c r="E472">
        <f>0.0279702748115287*$F$45</f>
        <v>0</v>
      </c>
      <c r="F472">
        <f>-0.188970379216447*$F$46</f>
        <v>0</v>
      </c>
      <c r="G472">
        <f>-0.0852014772670815*$F$47</f>
        <v>0</v>
      </c>
      <c r="H472">
        <f>-0.396004770082369*$F$48</f>
        <v>0</v>
      </c>
      <c r="I472">
        <f>0.16820806945524*$F$49</f>
        <v>0</v>
      </c>
      <c r="J472">
        <f>-0.192473634976794*$F$50</f>
        <v>0</v>
      </c>
      <c r="K472">
        <f>0.30469314115623*$F$51</f>
        <v>0</v>
      </c>
      <c r="L472">
        <f>-0.239042802499671*$F$52</f>
        <v>0</v>
      </c>
      <c r="M472">
        <f>0.356176658980159*$F$53</f>
        <v>0</v>
      </c>
      <c r="N472">
        <f>-0.274567248928808*$F$54</f>
        <v>0</v>
      </c>
      <c r="P472">
        <v>993750.7527787718</v>
      </c>
      <c r="Q472">
        <v>-12711.677794201174</v>
      </c>
      <c r="R472">
        <v>347389.11308257567</v>
      </c>
      <c r="S472">
        <v>725854.97803412052</v>
      </c>
      <c r="T472">
        <v>6.867720734548487E-7</v>
      </c>
      <c r="U472">
        <v>3.0735875420472047E-11</v>
      </c>
      <c r="V472">
        <v>2.2089189028810551E-9</v>
      </c>
      <c r="W472">
        <v>1.3218670490291812E-7</v>
      </c>
      <c r="X472">
        <v>4.9037631825116037E-6</v>
      </c>
      <c r="Y472">
        <v>1.2726296029327943E-6</v>
      </c>
      <c r="Z472">
        <v>0.68326700382502292</v>
      </c>
      <c r="AA472">
        <v>7.2493236612861112E-2</v>
      </c>
      <c r="AB472">
        <v>9.7254327510711924</v>
      </c>
      <c r="AD472">
        <v>0.9780511064064743</v>
      </c>
      <c r="AE472">
        <v>0.33242496406894628</v>
      </c>
      <c r="AF472">
        <v>1.0502870165826974</v>
      </c>
      <c r="AG472">
        <v>2529397.6576356906</v>
      </c>
    </row>
    <row r="473" spans="2:33" ht="12.75" hidden="1" customHeight="1">
      <c r="B473">
        <f>-0.0863660104784908*$F$42</f>
        <v>0</v>
      </c>
      <c r="C473">
        <f>-0.0274248742274455*$F$43</f>
        <v>0</v>
      </c>
      <c r="D473">
        <f>-0.446829701100704*$F$44</f>
        <v>0</v>
      </c>
      <c r="E473">
        <f>-0.218166914442297*$F$45</f>
        <v>0</v>
      </c>
      <c r="F473">
        <f>-0.310674996090274*$F$46</f>
        <v>0</v>
      </c>
      <c r="G473">
        <f>-0.0780535841381406*$F$47</f>
        <v>0</v>
      </c>
      <c r="H473">
        <f>-0.792378826679489*$F$48</f>
        <v>0</v>
      </c>
      <c r="I473">
        <f>0.0430508572357052*$F$49</f>
        <v>0</v>
      </c>
      <c r="J473">
        <f>0.332269698496084*$F$50</f>
        <v>0</v>
      </c>
      <c r="K473">
        <f>-0.0444167906379265*$F$51</f>
        <v>0</v>
      </c>
      <c r="L473">
        <f>0.544987765521164*$F$52</f>
        <v>0</v>
      </c>
      <c r="M473">
        <f>-0.374690644832477*$F$53</f>
        <v>0</v>
      </c>
      <c r="N473">
        <f>-0.120089226427995*$F$54</f>
        <v>0</v>
      </c>
      <c r="P473">
        <v>953851.39757188014</v>
      </c>
      <c r="Q473">
        <v>-12764.89616098887</v>
      </c>
      <c r="R473">
        <v>338597.2753798436</v>
      </c>
      <c r="S473">
        <v>708038.81990808598</v>
      </c>
      <c r="T473">
        <v>6.7825275027368074E-7</v>
      </c>
      <c r="U473">
        <v>3.0758033889171771E-11</v>
      </c>
      <c r="V473">
        <v>2.1177528698637173E-9</v>
      </c>
      <c r="W473">
        <v>1.3055966114406417E-7</v>
      </c>
      <c r="X473">
        <v>5.1661348492480427E-6</v>
      </c>
      <c r="Y473">
        <v>1.2295145263562161E-6</v>
      </c>
      <c r="Z473">
        <v>0.73814914358648143</v>
      </c>
      <c r="AA473">
        <v>6.737716548617266E-2</v>
      </c>
      <c r="AB473">
        <v>9.8799107735720053</v>
      </c>
      <c r="AD473">
        <v>1.188008053483316</v>
      </c>
      <c r="AE473">
        <v>0.3356508286763239</v>
      </c>
      <c r="AF473">
        <v>0.86137569191812569</v>
      </c>
      <c r="AG473">
        <v>2515972.35607873</v>
      </c>
    </row>
    <row r="474" spans="2:33" ht="12.75" hidden="1" customHeight="1">
      <c r="B474">
        <f>0.147938615682903*$F$42</f>
        <v>0</v>
      </c>
      <c r="C474">
        <f>0.480328303569972*$F$43</f>
        <v>0</v>
      </c>
      <c r="D474">
        <f>-0.100592863977464*$F$44</f>
        <v>0</v>
      </c>
      <c r="E474">
        <f>0.288494922022857*$F$45</f>
        <v>0</v>
      </c>
      <c r="F474">
        <f>-0.28135921949261*$F$46</f>
        <v>0</v>
      </c>
      <c r="G474">
        <f>0.160818343656959*$F$47</f>
        <v>0</v>
      </c>
      <c r="H474">
        <f>-0.103476893494526*$F$48</f>
        <v>0</v>
      </c>
      <c r="I474">
        <f>0.341905098140412*$F$49</f>
        <v>0</v>
      </c>
      <c r="J474">
        <f>0.847440980552112*$F$50</f>
        <v>0</v>
      </c>
      <c r="K474">
        <f>0.124802502975818*$F$51</f>
        <v>0</v>
      </c>
      <c r="L474">
        <f>-0.8115490630238*$F$52</f>
        <v>0</v>
      </c>
      <c r="M474">
        <f>-0.153284276294047*$F$53</f>
        <v>0</v>
      </c>
      <c r="N474">
        <f>0.173266826115635*$F$54</f>
        <v>0</v>
      </c>
      <c r="P474">
        <v>976395.2795991801</v>
      </c>
      <c r="Q474">
        <v>-13414.820228569564</v>
      </c>
      <c r="R474">
        <v>350869.10201100615</v>
      </c>
      <c r="S474">
        <v>744712.54411146708</v>
      </c>
      <c r="T474">
        <v>6.8030485463551728E-7</v>
      </c>
      <c r="U474">
        <v>3.1498536865336576E-11</v>
      </c>
      <c r="V474">
        <v>2.2762003144962589E-9</v>
      </c>
      <c r="W474">
        <v>1.3444476627582536E-7</v>
      </c>
      <c r="X474">
        <v>5.4237204902760564E-6</v>
      </c>
      <c r="Y474">
        <v>1.2504131091175137E-6</v>
      </c>
      <c r="Z474">
        <v>0.64319156558833401</v>
      </c>
      <c r="AA474">
        <v>6.892701006594168E-2</v>
      </c>
      <c r="AB474">
        <v>10.173266826115634</v>
      </c>
      <c r="AD474">
        <v>0.96555261926374369</v>
      </c>
      <c r="AE474">
        <v>0.36292999391071057</v>
      </c>
      <c r="AF474">
        <v>1.0622048959913921</v>
      </c>
      <c r="AG474">
        <v>2669057.7583296159</v>
      </c>
    </row>
    <row r="475" spans="2:33" ht="12.75" hidden="1" customHeight="1">
      <c r="B475">
        <f>-0.394869621737113*$F$42</f>
        <v>0</v>
      </c>
      <c r="C475">
        <f>0.0939937195240581*$F$43</f>
        <v>0</v>
      </c>
      <c r="D475">
        <f>0.543063544010956*$F$44</f>
        <v>0</v>
      </c>
      <c r="E475">
        <f>0.17356166048746*$F$45</f>
        <v>0</v>
      </c>
      <c r="F475">
        <f>-0.0147878433731227*$F$46</f>
        <v>0</v>
      </c>
      <c r="G475">
        <f>0.536735683894111*$F$47</f>
        <v>0</v>
      </c>
      <c r="H475">
        <f>-0.316077893807665*$F$48</f>
        <v>0</v>
      </c>
      <c r="I475">
        <f>-0.0876228254111894*$F$49</f>
        <v>0</v>
      </c>
      <c r="J475">
        <f>-0.0815982945324999*$F$50</f>
        <v>0</v>
      </c>
      <c r="K475">
        <f>0.493985171318246*$F$51</f>
        <v>0</v>
      </c>
      <c r="L475">
        <f>0.612306176434264*$F$52</f>
        <v>0</v>
      </c>
      <c r="M475">
        <f>-0.0693388994803956*$F$53</f>
        <v>0</v>
      </c>
      <c r="N475">
        <f>0.171172914036407*$F$54</f>
        <v>0</v>
      </c>
      <c r="P475">
        <v>924168.37709058728</v>
      </c>
      <c r="Q475">
        <v>-12920.311960990795</v>
      </c>
      <c r="R475">
        <v>373682.50313406234</v>
      </c>
      <c r="S475">
        <v>736393.32519268803</v>
      </c>
      <c r="T475">
        <v>6.9896485096388133E-7</v>
      </c>
      <c r="U475">
        <v>3.2663880620071749E-11</v>
      </c>
      <c r="V475">
        <v>2.2273020844242368E-9</v>
      </c>
      <c r="W475">
        <v>1.2886090326965452E-7</v>
      </c>
      <c r="X475">
        <v>4.9592008527337508E-6</v>
      </c>
      <c r="Y475">
        <v>1.2960071686578034E-6</v>
      </c>
      <c r="Z475">
        <v>0.74286143235039837</v>
      </c>
      <c r="AA475">
        <v>6.9514627703637241E-2</v>
      </c>
      <c r="AB475">
        <v>10.171172914036406</v>
      </c>
      <c r="AD475">
        <v>1.2334371588331043</v>
      </c>
      <c r="AE475">
        <v>0.33992418572558536</v>
      </c>
      <c r="AF475">
        <v>0.82868431267933007</v>
      </c>
      <c r="AG475">
        <v>2459040.6749910447</v>
      </c>
    </row>
    <row r="476" spans="2:33" ht="12.75" hidden="1" customHeight="1">
      <c r="B476">
        <f>-0.0871398885161764*$F$42</f>
        <v>0</v>
      </c>
      <c r="C476">
        <f>0.669556935297832*$F$43</f>
        <v>0</v>
      </c>
      <c r="D476">
        <f>-0.402469052527115*$F$44</f>
        <v>0</v>
      </c>
      <c r="E476">
        <f>0.0136035448697189*$F$45</f>
        <v>0</v>
      </c>
      <c r="F476">
        <f>-0.940304921334891*$F$46</f>
        <v>0</v>
      </c>
      <c r="G476">
        <f>-0.421756411545251*$F$47</f>
        <v>0</v>
      </c>
      <c r="H476">
        <f>0.156395047960218*$F$48</f>
        <v>0</v>
      </c>
      <c r="I476">
        <f>-0.0817697937367395*$F$49</f>
        <v>0</v>
      </c>
      <c r="J476">
        <f>-0.29332104410959*$F$50</f>
        <v>0</v>
      </c>
      <c r="K476">
        <f>0.471544994357247*$F$51</f>
        <v>0</v>
      </c>
      <c r="L476">
        <f>0.0081217328949624*$F$52</f>
        <v>0</v>
      </c>
      <c r="M476">
        <f>-0.208808866239972*$F$53</f>
        <v>0</v>
      </c>
      <c r="N476">
        <f>-0.133879601855714*$F$54</f>
        <v>0</v>
      </c>
      <c r="P476">
        <v>953776.93802974082</v>
      </c>
      <c r="Q476">
        <v>-13657.032877181226</v>
      </c>
      <c r="R476">
        <v>340169.56963098142</v>
      </c>
      <c r="S476">
        <v>724815.07043960667</v>
      </c>
      <c r="T476">
        <v>6.3417865550655754E-7</v>
      </c>
      <c r="U476">
        <v>2.9692555124209723E-11</v>
      </c>
      <c r="V476">
        <v>2.3359708610308501E-9</v>
      </c>
      <c r="W476">
        <v>1.289369926814224E-7</v>
      </c>
      <c r="X476">
        <v>4.8533394779452055E-6</v>
      </c>
      <c r="Y476">
        <v>1.29323580680312E-6</v>
      </c>
      <c r="Z476">
        <v>0.70056852130264735</v>
      </c>
      <c r="AA476">
        <v>6.8538337936320207E-2</v>
      </c>
      <c r="AB476">
        <v>9.866120398144286</v>
      </c>
      <c r="AD476">
        <v>1.1148992677285194</v>
      </c>
      <c r="AE476">
        <v>0.35620685392102058</v>
      </c>
      <c r="AF476">
        <v>0.91867841198678002</v>
      </c>
      <c r="AG476">
        <v>2642965.1704993933</v>
      </c>
    </row>
    <row r="477" spans="2:33" ht="12.75" hidden="1" customHeight="1">
      <c r="B477">
        <f>-0.183414467281817*$F$42</f>
        <v>0</v>
      </c>
      <c r="C477">
        <f>-0.401683523967106*$F$43</f>
        <v>0</v>
      </c>
      <c r="D477">
        <f>-0.429127653106209*$F$44</f>
        <v>0</v>
      </c>
      <c r="E477">
        <f>0.123777149185846*$F$45</f>
        <v>0</v>
      </c>
      <c r="F477">
        <f>-0.294647120854756*$F$46</f>
        <v>0</v>
      </c>
      <c r="G477">
        <f>-0.299828316809354*$F$47</f>
        <v>0</v>
      </c>
      <c r="H477">
        <f>0.367125871893506*$F$48</f>
        <v>0</v>
      </c>
      <c r="I477">
        <f>-0.729647970154209*$F$49</f>
        <v>0</v>
      </c>
      <c r="J477">
        <f>-0.437124604468312*$F$50</f>
        <v>0</v>
      </c>
      <c r="K477">
        <f>0.215646999230493*$F$51</f>
        <v>0</v>
      </c>
      <c r="L477">
        <f>-0.160168381993776*$F$52</f>
        <v>0</v>
      </c>
      <c r="M477">
        <f>-0.290205191207252*$F$53</f>
        <v>0</v>
      </c>
      <c r="N477">
        <f>0.106081079748383*$F$54</f>
        <v>0</v>
      </c>
      <c r="P477">
        <v>944513.77160627651</v>
      </c>
      <c r="Q477">
        <v>-12285.845089322105</v>
      </c>
      <c r="R477">
        <v>339224.69696158485</v>
      </c>
      <c r="S477">
        <v>732789.7708973547</v>
      </c>
      <c r="T477">
        <v>6.7937470154016703E-7</v>
      </c>
      <c r="U477">
        <v>3.0070532217891008E-11</v>
      </c>
      <c r="V477">
        <v>2.3844389505355061E-9</v>
      </c>
      <c r="W477">
        <v>1.2051457638799529E-7</v>
      </c>
      <c r="X477">
        <v>4.7814376977658443E-6</v>
      </c>
      <c r="Y477">
        <v>1.2616324044049658E-6</v>
      </c>
      <c r="Z477">
        <v>0.6887882132604356</v>
      </c>
      <c r="AA477">
        <v>6.7968563661549242E-2</v>
      </c>
      <c r="AB477">
        <v>10.106081079748384</v>
      </c>
      <c r="AD477">
        <v>1.1241498589427834</v>
      </c>
      <c r="AE477">
        <v>0.36979161086220258</v>
      </c>
      <c r="AF477">
        <v>0.91035287610512572</v>
      </c>
      <c r="AG477">
        <v>2693434.6430431418</v>
      </c>
    </row>
    <row r="478" spans="2:33" ht="12.75" hidden="1" customHeight="1">
      <c r="B478">
        <f>-0.842449238220585*$F$42</f>
        <v>0</v>
      </c>
      <c r="C478">
        <f>0.297904173814843*$F$43</f>
        <v>0</v>
      </c>
      <c r="D478">
        <f>0.0625375898872988*$F$44</f>
        <v>0</v>
      </c>
      <c r="E478">
        <f>0.348314314964552*$F$45</f>
        <v>0</v>
      </c>
      <c r="F478">
        <f>-0.549981600320655*$F$46</f>
        <v>0</v>
      </c>
      <c r="G478">
        <f>-0.509073110799165*$F$47</f>
        <v>0</v>
      </c>
      <c r="H478">
        <f>0.494226866483241*$F$48</f>
        <v>0</v>
      </c>
      <c r="I478">
        <f>0.0275740810479555*$F$49</f>
        <v>0</v>
      </c>
      <c r="J478">
        <f>0.669647620670022*$F$50</f>
        <v>0</v>
      </c>
      <c r="K478">
        <f>0.235824271242969*$F$51</f>
        <v>0</v>
      </c>
      <c r="L478">
        <f>-0.183009354780478*$F$52</f>
        <v>0</v>
      </c>
      <c r="M478">
        <f>-0.640076664493303*$F$53</f>
        <v>0</v>
      </c>
      <c r="N478">
        <f>-0.25121446191756*$F$54</f>
        <v>0</v>
      </c>
      <c r="P478">
        <v>881104.00300145952</v>
      </c>
      <c r="Q478">
        <v>-13181.317342482998</v>
      </c>
      <c r="R478">
        <v>356651.00743945333</v>
      </c>
      <c r="S478">
        <v>749042.45365046652</v>
      </c>
      <c r="T478">
        <v>6.615012879775541E-7</v>
      </c>
      <c r="U478">
        <v>2.9421873356522588E-11</v>
      </c>
      <c r="V478">
        <v>2.4136721792911453E-9</v>
      </c>
      <c r="W478">
        <v>1.3035846305362343E-7</v>
      </c>
      <c r="X478">
        <v>5.3348238103350116E-6</v>
      </c>
      <c r="Y478">
        <v>1.2641242974985067E-6</v>
      </c>
      <c r="Z478">
        <v>0.68718934516536656</v>
      </c>
      <c r="AA478">
        <v>6.5519463348546886E-2</v>
      </c>
      <c r="AB478">
        <v>9.7487855380824389</v>
      </c>
      <c r="AD478">
        <v>1.2143188387512938</v>
      </c>
      <c r="AE478">
        <v>0.40043417301368961</v>
      </c>
      <c r="AF478">
        <v>0.84108472110319143</v>
      </c>
      <c r="AG478">
        <v>2765794.9566780021</v>
      </c>
    </row>
    <row r="479" spans="2:33" ht="12.75" hidden="1" customHeight="1">
      <c r="B479">
        <f>0.442549974092878*$F$42</f>
        <v>0</v>
      </c>
      <c r="C479">
        <f>0.659853861941257*$F$43</f>
        <v>0</v>
      </c>
      <c r="D479">
        <f>-0.613211587753319*$F$44</f>
        <v>0</v>
      </c>
      <c r="E479">
        <f>0.272387197520283*$F$45</f>
        <v>0</v>
      </c>
      <c r="F479">
        <f>0.0387212464264033*$F$46</f>
        <v>0</v>
      </c>
      <c r="G479">
        <f>-0.0719395584001446*$F$47</f>
        <v>0</v>
      </c>
      <c r="H479">
        <f>-0.163196412604199*$F$48</f>
        <v>0</v>
      </c>
      <c r="I479">
        <f>-0.300828953445747*$F$49</f>
        <v>0</v>
      </c>
      <c r="J479">
        <f>-0.0673692559074868*$F$50</f>
        <v>0</v>
      </c>
      <c r="K479">
        <f>-0.269557385292241*$F$51</f>
        <v>0</v>
      </c>
      <c r="L479">
        <f>-0.388823700708889*$F$52</f>
        <v>0</v>
      </c>
      <c r="M479">
        <f>-0.31858927845055*$F$53</f>
        <v>0</v>
      </c>
      <c r="N479">
        <f>-0.062253490458709*$F$54</f>
        <v>0</v>
      </c>
      <c r="P479">
        <v>1004741.6414133172</v>
      </c>
      <c r="Q479">
        <v>-13644.61294328481</v>
      </c>
      <c r="R479">
        <v>332700.12796903856</v>
      </c>
      <c r="S479">
        <v>743546.61803723814</v>
      </c>
      <c r="T479">
        <v>7.0271048724984813E-7</v>
      </c>
      <c r="U479">
        <v>3.0776987368959552E-11</v>
      </c>
      <c r="V479">
        <v>2.2624648251010343E-9</v>
      </c>
      <c r="W479">
        <v>1.2608922360520531E-7</v>
      </c>
      <c r="X479">
        <v>4.966315372046257E-6</v>
      </c>
      <c r="Y479">
        <v>1.2017096629164083E-6</v>
      </c>
      <c r="Z479">
        <v>0.6727823409503777</v>
      </c>
      <c r="AA479">
        <v>6.7769875050846154E-2</v>
      </c>
      <c r="AB479">
        <v>9.9377465095412916</v>
      </c>
      <c r="AD479">
        <v>1.0519373786876145</v>
      </c>
      <c r="AE479">
        <v>0.36512828631120753</v>
      </c>
      <c r="AF479">
        <v>0.97469409127089579</v>
      </c>
      <c r="AG479">
        <v>2824276.5466206148</v>
      </c>
    </row>
    <row r="480" spans="2:33" ht="12.75" hidden="1" customHeight="1">
      <c r="B480">
        <f>0.326535019923816*$F$42</f>
        <v>0</v>
      </c>
      <c r="C480">
        <f>-0.430493679684122*$F$43</f>
        <v>0</v>
      </c>
      <c r="D480">
        <f>0.213092588215394*$F$44</f>
        <v>0</v>
      </c>
      <c r="E480">
        <f>-0.0710165685969795*$F$45</f>
        <v>0</v>
      </c>
      <c r="F480">
        <f>0.576898803697883*$F$46</f>
        <v>0</v>
      </c>
      <c r="G480">
        <f>0.0763843882753928*$F$47</f>
        <v>0</v>
      </c>
      <c r="H480">
        <f>-0.0959076853090226*$F$48</f>
        <v>0</v>
      </c>
      <c r="I480">
        <f>0.295365627234689*$F$49</f>
        <v>0</v>
      </c>
      <c r="J480">
        <f>0.313484837535159*$F$50</f>
        <v>0</v>
      </c>
      <c r="K480">
        <f>0.0264697280347312*$F$51</f>
        <v>0</v>
      </c>
      <c r="L480">
        <f>-0.179769409610767*$F$52</f>
        <v>0</v>
      </c>
      <c r="M480">
        <f>-0.0637979797250204*$F$53</f>
        <v>0</v>
      </c>
      <c r="N480">
        <f>0.119570889069145*$F$54</f>
        <v>0</v>
      </c>
      <c r="P480">
        <v>993579.13266119233</v>
      </c>
      <c r="Q480">
        <v>-12248.968090004324</v>
      </c>
      <c r="R480">
        <v>361987.19538897451</v>
      </c>
      <c r="S480">
        <v>718690.00934365438</v>
      </c>
      <c r="T480">
        <v>7.4038291625885179E-7</v>
      </c>
      <c r="U480">
        <v>3.1236791603653718E-11</v>
      </c>
      <c r="V480">
        <v>2.2779412323789247E-9</v>
      </c>
      <c r="W480">
        <v>1.3383975315405096E-7</v>
      </c>
      <c r="X480">
        <v>5.15674241876758E-6</v>
      </c>
      <c r="Y480">
        <v>1.2382690114122893E-6</v>
      </c>
      <c r="Z480">
        <v>0.68741614132724627</v>
      </c>
      <c r="AA480">
        <v>6.9553414141924869E-2</v>
      </c>
      <c r="AB480">
        <v>10.119570889069145</v>
      </c>
      <c r="AD480">
        <v>0.92893445782725803</v>
      </c>
      <c r="AE480">
        <v>0.31165354786171989</v>
      </c>
      <c r="AF480">
        <v>1.10599435788588</v>
      </c>
      <c r="AG480">
        <v>2329242.0768576981</v>
      </c>
    </row>
    <row r="481" spans="2:33" ht="12.75" hidden="1" customHeight="1">
      <c r="B481">
        <f>0.313045858210454*$F$42</f>
        <v>0</v>
      </c>
      <c r="C481">
        <f>-0.328981592728553*$F$43</f>
        <v>0</v>
      </c>
      <c r="D481">
        <f>-0.473670606467945*$F$44</f>
        <v>0</v>
      </c>
      <c r="E481">
        <f>-0.171207319027595*$F$45</f>
        <v>0</v>
      </c>
      <c r="F481">
        <f>0.15633692482144*$F$46</f>
        <v>0</v>
      </c>
      <c r="G481">
        <f>0.0343998304776007*$F$47</f>
        <v>0</v>
      </c>
      <c r="H481">
        <f>-0.10536322012899*$F$48</f>
        <v>0</v>
      </c>
      <c r="I481">
        <f>-1.01111694427013*$F$49</f>
        <v>0</v>
      </c>
      <c r="J481">
        <f>-0.0761996322235712*$F$50</f>
        <v>0</v>
      </c>
      <c r="K481">
        <f>-0.367600606702126*$F$51</f>
        <v>0</v>
      </c>
      <c r="L481">
        <f>-0.543385362537805*$F$52</f>
        <v>0</v>
      </c>
      <c r="M481">
        <f>0.00410878570369462*$F$53</f>
        <v>0</v>
      </c>
      <c r="N481">
        <f>-0.231649873885468*$F$54</f>
        <v>0</v>
      </c>
      <c r="P481">
        <v>992281.25785907998</v>
      </c>
      <c r="Q481">
        <v>-12378.903561307452</v>
      </c>
      <c r="R481">
        <v>337645.94120053737</v>
      </c>
      <c r="S481">
        <v>711437.8982025088</v>
      </c>
      <c r="T481">
        <v>7.1094358473750086E-7</v>
      </c>
      <c r="U481">
        <v>3.1106639474480565E-11</v>
      </c>
      <c r="V481">
        <v>2.2757664593703322E-9</v>
      </c>
      <c r="W481">
        <v>1.1685547972448831E-7</v>
      </c>
      <c r="X481">
        <v>4.9619001838882151E-6</v>
      </c>
      <c r="Y481">
        <v>1.1896013250722873E-6</v>
      </c>
      <c r="Z481">
        <v>0.66196302462235357</v>
      </c>
      <c r="AA481">
        <v>7.002876149992586E-2</v>
      </c>
      <c r="AB481">
        <v>9.768350126114532</v>
      </c>
      <c r="AD481">
        <v>0.91779002323822845</v>
      </c>
      <c r="AE481">
        <v>0.33182514823324999</v>
      </c>
      <c r="AF481">
        <v>1.119405298317395</v>
      </c>
      <c r="AG481">
        <v>2490102.8209021864</v>
      </c>
    </row>
    <row r="482" spans="2:33" ht="12.75" hidden="1" customHeight="1">
      <c r="B482">
        <f>-0.293484123817012*$F$42</f>
        <v>0</v>
      </c>
      <c r="C482">
        <f>-0.0605648651147052*$F$43</f>
        <v>0</v>
      </c>
      <c r="D482">
        <f>0.401489702815812*$F$44</f>
        <v>0</v>
      </c>
      <c r="E482">
        <f>-0.189805056837937*$F$45</f>
        <v>0</v>
      </c>
      <c r="F482">
        <f>-0.218342647166858*$F$46</f>
        <v>0</v>
      </c>
      <c r="G482">
        <f>-0.0106757522717853*$F$47</f>
        <v>0</v>
      </c>
      <c r="H482">
        <f>-0.22848587965598*$F$48</f>
        <v>0</v>
      </c>
      <c r="I482">
        <f>0.0742340797374402*$F$49</f>
        <v>0</v>
      </c>
      <c r="J482">
        <f>-0.386511594622677*$F$50</f>
        <v>0</v>
      </c>
      <c r="K482">
        <f>-0.56415447521679*$F$51</f>
        <v>0</v>
      </c>
      <c r="L482">
        <f>0.444055303216353*$F$52</f>
        <v>0</v>
      </c>
      <c r="M482">
        <f>0.350018858528938*$F$53</f>
        <v>0</v>
      </c>
      <c r="N482">
        <f>-0.188614783387815*$F$54</f>
        <v>0</v>
      </c>
      <c r="P482">
        <v>933923.29632472747</v>
      </c>
      <c r="Q482">
        <v>-12722.476972653178</v>
      </c>
      <c r="R482">
        <v>368664.63834217668</v>
      </c>
      <c r="S482">
        <v>710091.7373943025</v>
      </c>
      <c r="T482">
        <v>6.8471601469831985E-7</v>
      </c>
      <c r="U482">
        <v>3.0966905167957467E-11</v>
      </c>
      <c r="V482">
        <v>2.2474482476791248E-9</v>
      </c>
      <c r="W482">
        <v>1.3096504303658672E-7</v>
      </c>
      <c r="X482">
        <v>4.8067442026886616E-6</v>
      </c>
      <c r="Y482">
        <v>1.1653269223107263E-6</v>
      </c>
      <c r="Z482">
        <v>0.73108387122514462</v>
      </c>
      <c r="AA482">
        <v>7.2450132009702572E-2</v>
      </c>
      <c r="AB482">
        <v>9.8113852166121855</v>
      </c>
      <c r="AD482">
        <v>1.0696361460785684</v>
      </c>
      <c r="AE482">
        <v>0.31306417039756118</v>
      </c>
      <c r="AF482">
        <v>0.9600047050879329</v>
      </c>
      <c r="AG482">
        <v>2273911.0764028407</v>
      </c>
    </row>
    <row r="483" spans="2:33" ht="12.75" hidden="1" customHeight="1">
      <c r="B483">
        <f>0.0638265867852719*$F$42</f>
        <v>0</v>
      </c>
      <c r="C483">
        <f>0.27672725613671*$F$43</f>
        <v>0</v>
      </c>
      <c r="D483">
        <f>-0.573309822774005*$F$44</f>
        <v>0</v>
      </c>
      <c r="E483">
        <f>0.3276255635904*$F$45</f>
        <v>0</v>
      </c>
      <c r="F483">
        <f>-0.31290881824084*$F$46</f>
        <v>0</v>
      </c>
      <c r="G483">
        <f>-0.181054885571821*$F$47</f>
        <v>0</v>
      </c>
      <c r="H483">
        <f>0.229321368653087*$F$48</f>
        <v>0</v>
      </c>
      <c r="I483">
        <f>-0.0281206265024395*$F$49</f>
        <v>0</v>
      </c>
      <c r="J483">
        <f>-0.122018233875183*$F$50</f>
        <v>0</v>
      </c>
      <c r="K483">
        <f>-0.656420068593471*$F$51</f>
        <v>0</v>
      </c>
      <c r="L483">
        <f>0.476505758639539*$F$52</f>
        <v>0</v>
      </c>
      <c r="M483">
        <f>-0.379738155415197*$F$53</f>
        <v>0</v>
      </c>
      <c r="N483">
        <f>0.196103781299024*$F$54</f>
        <v>0</v>
      </c>
      <c r="P483">
        <v>968302.34653332201</v>
      </c>
      <c r="Q483">
        <v>-13154.21088785499</v>
      </c>
      <c r="R483">
        <v>334114.38402039354</v>
      </c>
      <c r="S483">
        <v>747544.93892288895</v>
      </c>
      <c r="T483">
        <v>6.7809638272314117E-7</v>
      </c>
      <c r="U483">
        <v>3.0438729854727359E-11</v>
      </c>
      <c r="V483">
        <v>2.3527439147902097E-9</v>
      </c>
      <c r="W483">
        <v>1.2963443185546829E-7</v>
      </c>
      <c r="X483">
        <v>4.9389908830624091E-6</v>
      </c>
      <c r="Y483">
        <v>1.1539321215287063E-6</v>
      </c>
      <c r="Z483">
        <v>0.73335540310476766</v>
      </c>
      <c r="AA483">
        <v>6.7341832912093627E-2</v>
      </c>
      <c r="AB483">
        <v>10.196103781299025</v>
      </c>
      <c r="AD483">
        <v>1.3295468009211475</v>
      </c>
      <c r="AE483">
        <v>0.3758769401858052</v>
      </c>
      <c r="AF483">
        <v>0.76703110097585103</v>
      </c>
      <c r="AG483">
        <v>2866137.1062926045</v>
      </c>
    </row>
    <row r="484" spans="2:33" ht="12.75" hidden="1" customHeight="1">
      <c r="B484">
        <f>0.215762611694974*$F$42</f>
        <v>0</v>
      </c>
      <c r="C484">
        <f>0.543280021710606*$F$43</f>
        <v>0</v>
      </c>
      <c r="D484">
        <f>0.369195572210755*$F$44</f>
        <v>0</v>
      </c>
      <c r="E484">
        <f>-0.113682987523171*$F$45</f>
        <v>0</v>
      </c>
      <c r="F484">
        <f>-0.0308186315148616*$F$46</f>
        <v>0</v>
      </c>
      <c r="G484">
        <f>-0.145930283943177*$F$47</f>
        <v>0</v>
      </c>
      <c r="H484">
        <f>0.272640199377084*$F$48</f>
        <v>0</v>
      </c>
      <c r="I484">
        <f>-0.47378617239458*$F$49</f>
        <v>0</v>
      </c>
      <c r="J484">
        <f>0.275216260074351*$F$50</f>
        <v>0</v>
      </c>
      <c r="K484">
        <f>-0.25440193625158*$F$51</f>
        <v>0</v>
      </c>
      <c r="L484">
        <f>-0.0472056994466546*$F$52</f>
        <v>0</v>
      </c>
      <c r="M484">
        <f>0.428835404537602*$F$53</f>
        <v>0</v>
      </c>
      <c r="N484">
        <f>-0.191508054265955*$F$54</f>
        <v>0</v>
      </c>
      <c r="P484">
        <v>982921.04133835703</v>
      </c>
      <c r="Q484">
        <v>-13495.398427789576</v>
      </c>
      <c r="R484">
        <v>367520.02306876396</v>
      </c>
      <c r="S484">
        <v>715601.6842166587</v>
      </c>
      <c r="T484">
        <v>6.9784269579395965E-7</v>
      </c>
      <c r="U484">
        <v>3.0547616119776154E-11</v>
      </c>
      <c r="V484">
        <v>2.3627072458567292E-9</v>
      </c>
      <c r="W484">
        <v>1.2384077975887045E-7</v>
      </c>
      <c r="X484">
        <v>5.1376081300371756E-6</v>
      </c>
      <c r="Y484">
        <v>1.2035813608729299E-6</v>
      </c>
      <c r="Z484">
        <v>0.69669560103873418</v>
      </c>
      <c r="AA484">
        <v>7.3001847831763222E-2</v>
      </c>
      <c r="AB484">
        <v>9.808491945734044</v>
      </c>
      <c r="AD484">
        <v>0.92915636253388456</v>
      </c>
      <c r="AE484">
        <v>0.30589787457255718</v>
      </c>
      <c r="AF484">
        <v>1.1068960182835781</v>
      </c>
      <c r="AG484">
        <v>2288013.3429011065</v>
      </c>
    </row>
    <row r="485" spans="2:33" ht="12.75" hidden="1" customHeight="1">
      <c r="B485">
        <f>0.113301215357947*$F$42</f>
        <v>0</v>
      </c>
      <c r="C485">
        <f>-0.022298407809615*$F$43</f>
        <v>0</v>
      </c>
      <c r="D485">
        <f>0.0955666127851363*$F$44</f>
        <v>0</v>
      </c>
      <c r="E485">
        <f>-0.190287668372579*$F$45</f>
        <v>0</v>
      </c>
      <c r="F485">
        <f>-0.0311408314575669*$F$46</f>
        <v>0</v>
      </c>
      <c r="G485">
        <f>-0.169910611055441*$F$47</f>
        <v>0</v>
      </c>
      <c r="H485">
        <f>0.239597156374443*$F$48</f>
        <v>0</v>
      </c>
      <c r="I485">
        <f>0.0957878487006575*$F$49</f>
        <v>0</v>
      </c>
      <c r="J485">
        <f>0.254175149954543*$F$50</f>
        <v>0</v>
      </c>
      <c r="K485">
        <f>0.931814384145263*$F$51</f>
        <v>0</v>
      </c>
      <c r="L485">
        <f>0.338411308791144*$F$52</f>
        <v>0</v>
      </c>
      <c r="M485">
        <f>-0.0544559119627392*$F$53</f>
        <v>0</v>
      </c>
      <c r="N485">
        <f>-0.228007687898014*$F$54</f>
        <v>0</v>
      </c>
      <c r="P485">
        <v>973062.60333302594</v>
      </c>
      <c r="Q485">
        <v>-12771.458038003693</v>
      </c>
      <c r="R485">
        <v>357821.66982814274</v>
      </c>
      <c r="S485">
        <v>710056.8045040688</v>
      </c>
      <c r="T485">
        <v>6.9782014179797028E-7</v>
      </c>
      <c r="U485">
        <v>3.0473277105728136E-11</v>
      </c>
      <c r="V485">
        <v>2.3551073459661215E-9</v>
      </c>
      <c r="W485">
        <v>1.3124524203310855E-7</v>
      </c>
      <c r="X485">
        <v>5.1270875749772723E-6</v>
      </c>
      <c r="Y485">
        <v>1.3500790764419402E-6</v>
      </c>
      <c r="Z485">
        <v>0.72368879161538002</v>
      </c>
      <c r="AA485">
        <v>6.9618808616260824E-2</v>
      </c>
      <c r="AB485">
        <v>9.771992312101986</v>
      </c>
      <c r="AD485">
        <v>1.0343163849279238</v>
      </c>
      <c r="AE485">
        <v>0.31082665100730567</v>
      </c>
      <c r="AF485">
        <v>0.99366016663011336</v>
      </c>
      <c r="AG485">
        <v>2338678.916522691</v>
      </c>
    </row>
    <row r="486" spans="2:33" ht="12.75" hidden="1" customHeight="1">
      <c r="B486">
        <f>-0.183412594839404*$F$42</f>
        <v>0</v>
      </c>
      <c r="C486">
        <f>0.367980336757496*$F$43</f>
        <v>0</v>
      </c>
      <c r="D486">
        <f>0.704238257600177*$F$44</f>
        <v>0</v>
      </c>
      <c r="E486">
        <f>-0.342764855923547*$F$45</f>
        <v>0</v>
      </c>
      <c r="F486">
        <f>0.112223864820073*$F$46</f>
        <v>0</v>
      </c>
      <c r="G486">
        <f>0.55282877692369*$F$47</f>
        <v>0</v>
      </c>
      <c r="H486">
        <f>0.69421509850075*$F$48</f>
        <v>0</v>
      </c>
      <c r="I486">
        <f>-0.0132857766628597*$F$49</f>
        <v>0</v>
      </c>
      <c r="J486">
        <f>-0.270986405894089*$F$50</f>
        <v>0</v>
      </c>
      <c r="K486">
        <f>-0.281066770096625*$F$51</f>
        <v>0</v>
      </c>
      <c r="L486">
        <f>0.0304187175675116*$F$52</f>
        <v>0</v>
      </c>
      <c r="M486">
        <f>0.185683541227981*$F$53</f>
        <v>0</v>
      </c>
      <c r="N486">
        <f>0.270010821848344*$F$54</f>
        <v>0</v>
      </c>
      <c r="P486">
        <v>944513.9517654205</v>
      </c>
      <c r="Q486">
        <v>-13271.014831049595</v>
      </c>
      <c r="R486">
        <v>379395.090387712</v>
      </c>
      <c r="S486">
        <v>699020.04206984898</v>
      </c>
      <c r="T486">
        <v>7.0785567053740509E-7</v>
      </c>
      <c r="U486">
        <v>3.2713769208463441E-11</v>
      </c>
      <c r="V486">
        <v>2.4596694726551724E-9</v>
      </c>
      <c r="W486">
        <v>1.2982728490338281E-7</v>
      </c>
      <c r="X486">
        <v>4.8645067970529554E-6</v>
      </c>
      <c r="Y486">
        <v>1.2002882538930669E-6</v>
      </c>
      <c r="Z486">
        <v>0.70212931022972569</v>
      </c>
      <c r="AA486">
        <v>7.1299784788595874E-2</v>
      </c>
      <c r="AB486">
        <v>10.270010821848343</v>
      </c>
      <c r="AD486">
        <v>0.90329295464943116</v>
      </c>
      <c r="AE486">
        <v>0.29146074946962686</v>
      </c>
      <c r="AF486">
        <v>1.1384662417243541</v>
      </c>
      <c r="AG486">
        <v>2064222.6864453941</v>
      </c>
    </row>
    <row r="487" spans="2:33" ht="12.75" hidden="1" customHeight="1">
      <c r="B487">
        <f>0.137756248716962*$F$42</f>
        <v>0</v>
      </c>
      <c r="C487">
        <f>0.133047961889552*$F$43</f>
        <v>0</v>
      </c>
      <c r="D487">
        <f>0.0998215125353261*$F$44</f>
        <v>0</v>
      </c>
      <c r="E487">
        <f>0.859685751834916*$F$45</f>
        <v>0</v>
      </c>
      <c r="F487">
        <f>0.446239940336526*$F$46</f>
        <v>0</v>
      </c>
      <c r="G487">
        <f>0.216134740842008*$F$47</f>
        <v>0</v>
      </c>
      <c r="H487">
        <f>-0.366034348892198*$F$48</f>
        <v>0</v>
      </c>
      <c r="I487">
        <f>-0.170117471191798*$F$49</f>
        <v>0</v>
      </c>
      <c r="J487">
        <f>0.718549562184388*$F$50</f>
        <v>0</v>
      </c>
      <c r="K487">
        <f>0.763736841904562*$F$51</f>
        <v>0</v>
      </c>
      <c r="L487">
        <f>0.363959854124901*$F$52</f>
        <v>0</v>
      </c>
      <c r="M487">
        <f>-0.80249137985937*$F$53</f>
        <v>0</v>
      </c>
      <c r="N487">
        <f>-0.257634609965104*$F$54</f>
        <v>0</v>
      </c>
      <c r="P487">
        <v>975415.57175730111</v>
      </c>
      <c r="Q487">
        <v>-12970.301391218627</v>
      </c>
      <c r="R487">
        <v>357972.47813756799</v>
      </c>
      <c r="S487">
        <v>786057.07305048162</v>
      </c>
      <c r="T487">
        <v>7.3123679582355674E-7</v>
      </c>
      <c r="U487">
        <v>3.1670017696610233E-11</v>
      </c>
      <c r="V487">
        <v>2.2158120997547946E-9</v>
      </c>
      <c r="W487">
        <v>1.2778847287450664E-7</v>
      </c>
      <c r="X487">
        <v>5.359274781092194E-6</v>
      </c>
      <c r="Y487">
        <v>1.3293214999752133E-6</v>
      </c>
      <c r="Z487">
        <v>0.72547718978874298</v>
      </c>
      <c r="AA487">
        <v>6.4382560340984413E-2</v>
      </c>
      <c r="AB487">
        <v>9.7423653900348963</v>
      </c>
      <c r="AD487">
        <v>1.3323111951205029</v>
      </c>
      <c r="AE487">
        <v>0.38806772524568328</v>
      </c>
      <c r="AF487">
        <v>0.765389808901072</v>
      </c>
      <c r="AG487">
        <v>3005033.8498113197</v>
      </c>
    </row>
    <row r="488" spans="2:33" ht="12.75" hidden="1" customHeight="1">
      <c r="B488">
        <f>-0.241707254957361*$F$42</f>
        <v>0</v>
      </c>
      <c r="C488">
        <f>-0.469155039546863*$F$43</f>
        <v>0</v>
      </c>
      <c r="D488">
        <f>-0.0655954217401575*$F$44</f>
        <v>0</v>
      </c>
      <c r="E488">
        <f>-0.0842385271295663*$F$45</f>
        <v>0</v>
      </c>
      <c r="F488">
        <f>0.223770691926335*$F$46</f>
        <v>0</v>
      </c>
      <c r="G488">
        <f>0.202413988275887*$F$47</f>
        <v>0</v>
      </c>
      <c r="H488">
        <f>0.287370089148033*$F$48</f>
        <v>0</v>
      </c>
      <c r="I488">
        <f>-0.307774329022203*$F$49</f>
        <v>0</v>
      </c>
      <c r="J488">
        <f>-0.534596879046673*$F$50</f>
        <v>0</v>
      </c>
      <c r="K488">
        <f>0.184240850341031*$F$51</f>
        <v>0</v>
      </c>
      <c r="L488">
        <f>-0.235320718962482*$F$52</f>
        <v>0</v>
      </c>
      <c r="M488">
        <f>0.522838680328756*$F$53</f>
        <v>0</v>
      </c>
      <c r="N488">
        <f>0.0260872993327271*$F$54</f>
        <v>0</v>
      </c>
      <c r="P488">
        <v>938905.06575215189</v>
      </c>
      <c r="Q488">
        <v>-12199.481549380016</v>
      </c>
      <c r="R488">
        <v>352109.53196421039</v>
      </c>
      <c r="S488">
        <v>717732.96378436056</v>
      </c>
      <c r="T488">
        <v>7.1566394843484339E-7</v>
      </c>
      <c r="U488">
        <v>3.1627483363655254E-11</v>
      </c>
      <c r="V488">
        <v>2.3660951205040476E-9</v>
      </c>
      <c r="W488">
        <v>1.2599893372271136E-7</v>
      </c>
      <c r="X488">
        <v>4.7327015604766637E-6</v>
      </c>
      <c r="Y488">
        <v>1.2577537450171173E-6</v>
      </c>
      <c r="Z488">
        <v>0.68352754967262619</v>
      </c>
      <c r="AA488">
        <v>7.3659870762301308E-2</v>
      </c>
      <c r="AB488">
        <v>10.026087299332726</v>
      </c>
      <c r="AD488">
        <v>1.0112516799543343</v>
      </c>
      <c r="AE488">
        <v>0.34068480115303429</v>
      </c>
      <c r="AF488">
        <v>1.015041765786014</v>
      </c>
      <c r="AG488">
        <v>2438894.3816677528</v>
      </c>
    </row>
    <row r="489" spans="2:33" ht="12.75" hidden="1" customHeight="1">
      <c r="B489">
        <f>-0.324551926974383*$F$42</f>
        <v>0</v>
      </c>
      <c r="C489">
        <f>0.197283627842446*$F$43</f>
        <v>0</v>
      </c>
      <c r="D489">
        <f>-0.0738908780466447*$F$44</f>
        <v>0</v>
      </c>
      <c r="E489">
        <f>-0.338815514787677*$F$45</f>
        <v>0</v>
      </c>
      <c r="F489">
        <f>0.113770620457803*$F$46</f>
        <v>0</v>
      </c>
      <c r="G489">
        <f>-0.295928844726103*$F$47</f>
        <v>0</v>
      </c>
      <c r="H489">
        <f>-0.0447557576118275*$F$48</f>
        <v>0</v>
      </c>
      <c r="I489">
        <f>-0.543245773860516*$F$49</f>
        <v>0</v>
      </c>
      <c r="J489">
        <f>-0.558607355018183*$F$50</f>
        <v>0</v>
      </c>
      <c r="K489">
        <f>0.287701723107515*$F$51</f>
        <v>0</v>
      </c>
      <c r="L489">
        <f>-0.225988233004234*$F$52</f>
        <v>0</v>
      </c>
      <c r="M489">
        <f>0.220476163513702*$F$53</f>
        <v>0</v>
      </c>
      <c r="N489">
        <f>-0.343312684762681*$F$54</f>
        <v>0</v>
      </c>
      <c r="P489">
        <v>930934.07284800138</v>
      </c>
      <c r="Q489">
        <v>-13052.523043638332</v>
      </c>
      <c r="R489">
        <v>351815.5124067727</v>
      </c>
      <c r="S489">
        <v>699305.90738903801</v>
      </c>
      <c r="T489">
        <v>7.079639434320461E-7</v>
      </c>
      <c r="U489">
        <v>3.0082620581349082E-11</v>
      </c>
      <c r="V489">
        <v>2.2897061757492796E-9</v>
      </c>
      <c r="W489">
        <v>1.229378049398133E-7</v>
      </c>
      <c r="X489">
        <v>4.7206963224909085E-6</v>
      </c>
      <c r="Y489">
        <v>1.2705311628037781E-6</v>
      </c>
      <c r="Z489">
        <v>0.68418082368970357</v>
      </c>
      <c r="AA489">
        <v>7.1543333144595919E-2</v>
      </c>
      <c r="AB489">
        <v>9.6566873152373187</v>
      </c>
      <c r="AD489">
        <v>0.95987359470636813</v>
      </c>
      <c r="AE489">
        <v>0.32603897243401919</v>
      </c>
      <c r="AF489">
        <v>1.0704801968033253</v>
      </c>
      <c r="AG489">
        <v>2318367.4845407032</v>
      </c>
    </row>
    <row r="490" spans="2:33" ht="12.75" hidden="1" customHeight="1">
      <c r="B490">
        <f>0.200370822057524*$F$42</f>
        <v>0</v>
      </c>
      <c r="C490">
        <f>-0.0869526596492801*$F$43</f>
        <v>0</v>
      </c>
      <c r="D490">
        <f>0.196159399571755*$F$44</f>
        <v>0</v>
      </c>
      <c r="E490">
        <f>0.111810058300424*$F$45</f>
        <v>0</v>
      </c>
      <c r="F490">
        <f>0.551517652351073*$F$46</f>
        <v>0</v>
      </c>
      <c r="G490">
        <f>0.0521516622946316*$F$47</f>
        <v>0</v>
      </c>
      <c r="H490">
        <f>-0.298709368986293*$F$48</f>
        <v>0</v>
      </c>
      <c r="I490">
        <f>0.10101421197515*$F$49</f>
        <v>0</v>
      </c>
      <c r="J490">
        <f>0.106623512781346*$F$50</f>
        <v>0</v>
      </c>
      <c r="K490">
        <f>0.240990097442116*$F$51</f>
        <v>0</v>
      </c>
      <c r="L490">
        <f>0.656543128546508*$F$52</f>
        <v>0</v>
      </c>
      <c r="M490">
        <f>-0.0749823354557278*$F$53</f>
        <v>0</v>
      </c>
      <c r="N490">
        <f>-0.23053941161156*$F$54</f>
        <v>0</v>
      </c>
      <c r="P490">
        <v>981440.10305958521</v>
      </c>
      <c r="Q490">
        <v>-12688.700595648921</v>
      </c>
      <c r="R490">
        <v>361387.02483209776</v>
      </c>
      <c r="S490">
        <v>731923.55647372513</v>
      </c>
      <c r="T490">
        <v>7.3860623566457503E-7</v>
      </c>
      <c r="U490">
        <v>3.1161670153113354E-11</v>
      </c>
      <c r="V490">
        <v>2.2312968451331523E-9</v>
      </c>
      <c r="W490">
        <v>1.3131318475567696E-7</v>
      </c>
      <c r="X490">
        <v>5.053311756390673E-6</v>
      </c>
      <c r="Y490">
        <v>1.2647622770341013E-6</v>
      </c>
      <c r="Z490">
        <v>0.74595801899825542</v>
      </c>
      <c r="AA490">
        <v>6.9475123651809911E-2</v>
      </c>
      <c r="AB490">
        <v>9.7694605883884407</v>
      </c>
      <c r="AD490">
        <v>1.1714385977149164</v>
      </c>
      <c r="AE490">
        <v>0.32318168264454639</v>
      </c>
      <c r="AF490">
        <v>0.87426927034734658</v>
      </c>
      <c r="AG490">
        <v>2494200.3511263398</v>
      </c>
    </row>
    <row r="491" spans="2:33" ht="12.75" hidden="1" customHeight="1">
      <c r="B491">
        <f>-0.236023912520842*$F$42</f>
        <v>0</v>
      </c>
      <c r="C491">
        <f>-0.501824190871933*$F$43</f>
        <v>0</v>
      </c>
      <c r="D491">
        <f>0.309365187331575*$F$44</f>
        <v>0</v>
      </c>
      <c r="E491">
        <f>0.383215690253466*$F$45</f>
        <v>0</v>
      </c>
      <c r="F491">
        <f>0.0301279699251103*$F$46</f>
        <v>0</v>
      </c>
      <c r="G491">
        <f>0.524128976063492*$F$47</f>
        <v>0</v>
      </c>
      <c r="H491">
        <f>-0.341502456385217*$F$48</f>
        <v>0</v>
      </c>
      <c r="I491">
        <f>-0.308768129288419*$F$49</f>
        <v>0</v>
      </c>
      <c r="J491">
        <f>0.0242120397436375*$F$50</f>
        <v>0</v>
      </c>
      <c r="K491">
        <f>0.0626100163390094*$F$51</f>
        <v>0</v>
      </c>
      <c r="L491">
        <f>-0.233435085235526*$F$52</f>
        <v>0</v>
      </c>
      <c r="M491">
        <f>0.321627565174323*$F$53</f>
        <v>0</v>
      </c>
      <c r="N491">
        <f>-0.28429495240275*$F$54</f>
        <v>0</v>
      </c>
      <c r="P491">
        <v>939451.89491002518</v>
      </c>
      <c r="Q491">
        <v>-12157.665035683925</v>
      </c>
      <c r="R491">
        <v>365399.42805463006</v>
      </c>
      <c r="S491">
        <v>751568.72130976815</v>
      </c>
      <c r="T491">
        <v>7.0210895789475775E-7</v>
      </c>
      <c r="U491">
        <v>3.2624799825796827E-11</v>
      </c>
      <c r="V491">
        <v>2.2214544350314002E-9</v>
      </c>
      <c r="W491">
        <v>1.2598601431925055E-7</v>
      </c>
      <c r="X491">
        <v>5.0121060198718194E-6</v>
      </c>
      <c r="Y491">
        <v>1.2427323370178676E-6</v>
      </c>
      <c r="Z491">
        <v>0.68365954403351314</v>
      </c>
      <c r="AA491">
        <v>7.2251392956220267E-2</v>
      </c>
      <c r="AB491">
        <v>9.7157050475972504</v>
      </c>
      <c r="AD491">
        <v>1.0762534723988462</v>
      </c>
      <c r="AE491">
        <v>0.3622167020269027</v>
      </c>
      <c r="AF491">
        <v>0.95244848017835471</v>
      </c>
      <c r="AG491">
        <v>2637587.945799062</v>
      </c>
    </row>
    <row r="492" spans="2:33" ht="12.75" hidden="1" customHeight="1">
      <c r="B492">
        <f>-0.570296861246056*$F$42</f>
        <v>0</v>
      </c>
      <c r="C492">
        <f>-0.14242204983306*$F$43</f>
        <v>0</v>
      </c>
      <c r="D492">
        <f>0.0232534001077299*$F$44</f>
        <v>0</v>
      </c>
      <c r="E492">
        <f>-0.558544343825104*$F$45</f>
        <v>0</v>
      </c>
      <c r="F492">
        <f>0.333632904523898*$F$46</f>
        <v>0</v>
      </c>
      <c r="G492">
        <f>-0.0382948511752347*$F$47</f>
        <v>0</v>
      </c>
      <c r="H492">
        <f>0.188513776382369*$F$48</f>
        <v>0</v>
      </c>
      <c r="I492">
        <f>0.0431442689167354*$F$49</f>
        <v>0</v>
      </c>
      <c r="J492">
        <f>-0.324466007494153*$F$50</f>
        <v>0</v>
      </c>
      <c r="K492">
        <f>0.100566845141415*$F$51</f>
        <v>0</v>
      </c>
      <c r="L492">
        <f>-0.351037467012418*$F$52</f>
        <v>0</v>
      </c>
      <c r="M492">
        <f>-0.161671406786061*$F$53</f>
        <v>0</v>
      </c>
      <c r="N492">
        <f>-0.455453024537094*$F$54</f>
        <v>0</v>
      </c>
      <c r="P492">
        <v>907289.44876272616</v>
      </c>
      <c r="Q492">
        <v>-12617.699776213683</v>
      </c>
      <c r="R492">
        <v>355258.64038132614</v>
      </c>
      <c r="S492">
        <v>683401.26666876802</v>
      </c>
      <c r="T492">
        <v>7.2335430331667276E-7</v>
      </c>
      <c r="U492">
        <v>3.0881285961356778E-11</v>
      </c>
      <c r="V492">
        <v>2.3433581685679448E-9</v>
      </c>
      <c r="W492">
        <v>1.3056087549591756E-7</v>
      </c>
      <c r="X492">
        <v>4.8377669962529238E-6</v>
      </c>
      <c r="Y492">
        <v>1.2474200053749647E-6</v>
      </c>
      <c r="Z492">
        <v>0.67542737730913072</v>
      </c>
      <c r="AA492">
        <v>6.8868300152497577E-2</v>
      </c>
      <c r="AB492">
        <v>9.5445469754629073</v>
      </c>
      <c r="AD492">
        <v>0.90329759526151843</v>
      </c>
      <c r="AE492">
        <v>0.31594991327408717</v>
      </c>
      <c r="AF492">
        <v>1.1382836099459304</v>
      </c>
      <c r="AG492">
        <v>2167840.6262203818</v>
      </c>
    </row>
    <row r="493" spans="2:33" ht="12.75" hidden="1" customHeight="1">
      <c r="B493">
        <f>0.341138744473633*$F$42</f>
        <v>0</v>
      </c>
      <c r="C493">
        <f>0.125225215140969*$F$43</f>
        <v>0</v>
      </c>
      <c r="D493">
        <f>0.145931172441162*$F$44</f>
        <v>0</v>
      </c>
      <c r="E493">
        <f>0.151980308849176*$F$45</f>
        <v>0</v>
      </c>
      <c r="F493">
        <f>-0.048779174450709*$F$46</f>
        <v>0</v>
      </c>
      <c r="G493">
        <f>-0.027372157330051*$F$47</f>
        <v>0</v>
      </c>
      <c r="H493">
        <f>0.342817393497511*$F$48</f>
        <v>0</v>
      </c>
      <c r="I493">
        <f>-0.552070442892272*$F$49</f>
        <v>0</v>
      </c>
      <c r="J493">
        <f>0.266699609912041*$F$50</f>
        <v>0</v>
      </c>
      <c r="K493">
        <f>-0.442273613131633*$F$51</f>
        <v>0</v>
      </c>
      <c r="L493">
        <f>-0.217267018763632*$F$52</f>
        <v>0</v>
      </c>
      <c r="M493">
        <f>-0.209787647838914*$F$53</f>
        <v>0</v>
      </c>
      <c r="N493">
        <f>0.250898507075706*$F$54</f>
        <v>0</v>
      </c>
      <c r="P493">
        <v>994984.24637492432</v>
      </c>
      <c r="Q493">
        <v>-12960.288275380441</v>
      </c>
      <c r="R493">
        <v>359606.7633773702</v>
      </c>
      <c r="S493">
        <v>734831.20134408621</v>
      </c>
      <c r="T493">
        <v>6.9658545778845035E-7</v>
      </c>
      <c r="U493">
        <v>3.0915146312276841E-11</v>
      </c>
      <c r="V493">
        <v>2.3788480005044277E-9</v>
      </c>
      <c r="W493">
        <v>1.2282308424240048E-7</v>
      </c>
      <c r="X493">
        <v>5.1333498049560201E-6</v>
      </c>
      <c r="Y493">
        <v>1.1803792087782434E-6</v>
      </c>
      <c r="Z493">
        <v>0.6847913086865457</v>
      </c>
      <c r="AA493">
        <v>6.8531486465127606E-2</v>
      </c>
      <c r="AB493">
        <v>10.250898507075705</v>
      </c>
      <c r="AD493">
        <v>0.98698044690143738</v>
      </c>
      <c r="AE493">
        <v>0.33169059325398753</v>
      </c>
      <c r="AF493">
        <v>1.0400119478758048</v>
      </c>
      <c r="AG493">
        <v>2500896.3549061595</v>
      </c>
    </row>
    <row r="494" spans="2:33" ht="12.75" hidden="1" customHeight="1">
      <c r="B494">
        <f>-0.0873916920038518*$F$42</f>
        <v>0</v>
      </c>
      <c r="C494">
        <f>0.561707019629374*$F$43</f>
        <v>0</v>
      </c>
      <c r="D494">
        <f>0.259185561486376*$F$44</f>
        <v>0</v>
      </c>
      <c r="E494">
        <f>-0.161866234380384*$F$45</f>
        <v>0</v>
      </c>
      <c r="F494">
        <f>-0.271419911521076*$F$46</f>
        <v>0</v>
      </c>
      <c r="G494">
        <f>-0.0558850040177572*$F$47</f>
        <v>0</v>
      </c>
      <c r="H494">
        <f>0.169597555026115*$F$48</f>
        <v>0</v>
      </c>
      <c r="I494">
        <f>-0.260384578733122*$F$49</f>
        <v>0</v>
      </c>
      <c r="J494">
        <f>-0.253960869384417*$F$50</f>
        <v>0</v>
      </c>
      <c r="K494">
        <f>0.125756976118022*$F$51</f>
        <v>0</v>
      </c>
      <c r="L494">
        <f>0.136785066063289*$F$52</f>
        <v>0</v>
      </c>
      <c r="M494">
        <f>-0.466816624587715*$F$53</f>
        <v>0</v>
      </c>
      <c r="N494">
        <f>-0.205113551605148*$F$54</f>
        <v>0</v>
      </c>
      <c r="P494">
        <v>953752.71047515434</v>
      </c>
      <c r="Q494">
        <v>-13518.984985125599</v>
      </c>
      <c r="R494">
        <v>363620.88919693569</v>
      </c>
      <c r="S494">
        <v>712114.03431037581</v>
      </c>
      <c r="T494">
        <v>6.8100060619352469E-7</v>
      </c>
      <c r="U494">
        <v>3.0826756487544958E-11</v>
      </c>
      <c r="V494">
        <v>2.3390074376560062E-9</v>
      </c>
      <c r="W494">
        <v>1.2661500047646943E-7</v>
      </c>
      <c r="X494">
        <v>4.8730195653077918E-6</v>
      </c>
      <c r="Y494">
        <v>1.2505309865505755E-6</v>
      </c>
      <c r="Z494">
        <v>0.70957495462443021</v>
      </c>
      <c r="AA494">
        <v>6.6732283627885997E-2</v>
      </c>
      <c r="AB494">
        <v>9.7948864483948519</v>
      </c>
      <c r="AD494">
        <v>1.0128310593428387</v>
      </c>
      <c r="AE494">
        <v>0.31810088696868472</v>
      </c>
      <c r="AF494">
        <v>1.0144885221838766</v>
      </c>
      <c r="AG494">
        <v>2333503.833139753</v>
      </c>
    </row>
    <row r="495" spans="2:33" ht="12.75" hidden="1" customHeight="1">
      <c r="B495">
        <f>0.219083450140574*$F$42</f>
        <v>0</v>
      </c>
      <c r="C495">
        <f>-0.392215436503415*$F$43</f>
        <v>0</v>
      </c>
      <c r="D495">
        <f>0.39828622138715*$F$44</f>
        <v>0</v>
      </c>
      <c r="E495">
        <f>-0.268859888585925*$F$45</f>
        <v>0</v>
      </c>
      <c r="F495">
        <f>-0.460460113545521*$F$46</f>
        <v>0</v>
      </c>
      <c r="G495">
        <f>-0.128084510366138*$F$47</f>
        <v>0</v>
      </c>
      <c r="H495">
        <f>-0.269731948688096*$F$48</f>
        <v>0</v>
      </c>
      <c r="I495">
        <f>-0.968670906012449*$F$49</f>
        <v>0</v>
      </c>
      <c r="J495">
        <f>0.417050843290012*$F$50</f>
        <v>0</v>
      </c>
      <c r="K495">
        <f>-0.113331644088434*$F$51</f>
        <v>0</v>
      </c>
      <c r="L495">
        <f>0.210060359268873*$F$52</f>
        <v>0</v>
      </c>
      <c r="M495">
        <f>0.232520636470617*$F$53</f>
        <v>0</v>
      </c>
      <c r="N495">
        <f>0.0399447883852198*$F$54</f>
        <v>0</v>
      </c>
      <c r="P495">
        <v>983240.55952873942</v>
      </c>
      <c r="Q495">
        <v>-12297.964241275629</v>
      </c>
      <c r="R495">
        <v>368551.09592122771</v>
      </c>
      <c r="S495">
        <v>704369.50831011171</v>
      </c>
      <c r="T495">
        <v>6.6776779205181347E-7</v>
      </c>
      <c r="U495">
        <v>3.0602938017864974E-11</v>
      </c>
      <c r="V495">
        <v>2.237961651801738E-9</v>
      </c>
      <c r="W495">
        <v>1.1740727822183817E-7</v>
      </c>
      <c r="X495">
        <v>5.2085254216450062E-6</v>
      </c>
      <c r="Y495">
        <v>1.2210035419550784E-6</v>
      </c>
      <c r="Z495">
        <v>0.71470422514882104</v>
      </c>
      <c r="AA495">
        <v>7.162764445529432E-2</v>
      </c>
      <c r="AB495">
        <v>10.03994478838522</v>
      </c>
      <c r="AD495">
        <v>0.93557416692287176</v>
      </c>
      <c r="AE495">
        <v>0.29010155946873395</v>
      </c>
      <c r="AF495">
        <v>1.0992310699733605</v>
      </c>
      <c r="AG495">
        <v>2155290.0157554457</v>
      </c>
    </row>
    <row r="496" spans="2:33" ht="12.75" hidden="1" customHeight="1">
      <c r="B496">
        <f>-0.418337791965808*$F$42</f>
        <v>0</v>
      </c>
      <c r="C496">
        <f>0.495089058989703*$F$43</f>
        <v>0</v>
      </c>
      <c r="D496">
        <f>0.0406498041489101*$F$44</f>
        <v>0</v>
      </c>
      <c r="E496">
        <f>0.110509033280794*$F$45</f>
        <v>0</v>
      </c>
      <c r="F496">
        <f>-0.0987094529983476*$F$46</f>
        <v>0</v>
      </c>
      <c r="G496">
        <f>-0.652680057514412*$F$47</f>
        <v>0</v>
      </c>
      <c r="H496">
        <f>0.076097487989443*$F$48</f>
        <v>0</v>
      </c>
      <c r="I496">
        <f>-0.569990084239079*$F$49</f>
        <v>0</v>
      </c>
      <c r="J496">
        <f>0.760965423763724*$F$50</f>
        <v>0</v>
      </c>
      <c r="K496">
        <f>-0.47519641584166*$F$51</f>
        <v>0</v>
      </c>
      <c r="L496">
        <f>-0.328521933570693*$F$52</f>
        <v>0</v>
      </c>
      <c r="M496">
        <f>-0.0120014380519923*$F$53</f>
        <v>0</v>
      </c>
      <c r="N496">
        <f>0.532117084888851*$F$54</f>
        <v>0</v>
      </c>
      <c r="P496">
        <v>921910.36080768274</v>
      </c>
      <c r="Q496">
        <v>-13433.713995506821</v>
      </c>
      <c r="R496">
        <v>355875.2288881205</v>
      </c>
      <c r="S496">
        <v>731829.38432710269</v>
      </c>
      <c r="T496">
        <v>6.9309033829011564E-7</v>
      </c>
      <c r="U496">
        <v>2.8976691821705326E-11</v>
      </c>
      <c r="V496">
        <v>2.3175024222375719E-9</v>
      </c>
      <c r="W496">
        <v>1.2259012890489197E-7</v>
      </c>
      <c r="X496">
        <v>5.3804827118818622E-6</v>
      </c>
      <c r="Y496">
        <v>1.1763132426435551E-6</v>
      </c>
      <c r="Z496">
        <v>0.67700346465005146</v>
      </c>
      <c r="AA496">
        <v>6.9915989933636055E-2</v>
      </c>
      <c r="AB496">
        <v>10.532117084888849</v>
      </c>
      <c r="AD496">
        <v>1.0715988731120514</v>
      </c>
      <c r="AE496">
        <v>0.36558814320682953</v>
      </c>
      <c r="AF496">
        <v>0.95599120403921334</v>
      </c>
      <c r="AG496">
        <v>2577970.4522475824</v>
      </c>
    </row>
    <row r="497" spans="2:33" ht="12.75" hidden="1" customHeight="1">
      <c r="B497">
        <f>-0.392055996436136*$F$42</f>
        <v>0</v>
      </c>
      <c r="C497">
        <f>-0.0600006613028358*$F$43</f>
        <v>0</v>
      </c>
      <c r="D497">
        <f>-0.281269486114858*$F$44</f>
        <v>0</v>
      </c>
      <c r="E497">
        <f>-0.0362095715583402*$F$45</f>
        <v>0</v>
      </c>
      <c r="F497">
        <f>-0.100371974996135*$F$46</f>
        <v>0</v>
      </c>
      <c r="G497">
        <f>-0.081038550648845*$F$47</f>
        <v>0</v>
      </c>
      <c r="H497">
        <f>0.197008812859321*$F$48</f>
        <v>0</v>
      </c>
      <c r="I497">
        <f>-0.0761633442196573*$F$49</f>
        <v>0</v>
      </c>
      <c r="J497">
        <f>-0.160982244817593*$F$50</f>
        <v>0</v>
      </c>
      <c r="K497">
        <f>-0.0758187665489573*$F$51</f>
        <v>0</v>
      </c>
      <c r="L497">
        <f>0.205223773335761*$F$52</f>
        <v>0</v>
      </c>
      <c r="M497">
        <f>0.0184244444191072*$F$53</f>
        <v>0</v>
      </c>
      <c r="N497">
        <f>-0.0769215342404262*$F$54</f>
        <v>0</v>
      </c>
      <c r="P497">
        <v>924439.09320018115</v>
      </c>
      <c r="Q497">
        <v>-12723.19915353237</v>
      </c>
      <c r="R497">
        <v>344465.29991531826</v>
      </c>
      <c r="S497">
        <v>721209.44561824889</v>
      </c>
      <c r="T497">
        <v>6.9297396175027051E-7</v>
      </c>
      <c r="U497">
        <v>3.0748780492988585E-11</v>
      </c>
      <c r="V497">
        <v>2.3453120269576435E-9</v>
      </c>
      <c r="W497">
        <v>1.2900987652514445E-7</v>
      </c>
      <c r="X497">
        <v>4.9195088775912036E-6</v>
      </c>
      <c r="Y497">
        <v>1.2256363823312039E-6</v>
      </c>
      <c r="Z497">
        <v>0.71436566413350322</v>
      </c>
      <c r="AA497">
        <v>7.012897111093376E-2</v>
      </c>
      <c r="AB497">
        <v>9.9230784657595734</v>
      </c>
      <c r="AD497">
        <v>1.1726750238811117</v>
      </c>
      <c r="AE497">
        <v>0.35787306022628634</v>
      </c>
      <c r="AF497">
        <v>0.87241804481199214</v>
      </c>
      <c r="AG497">
        <v>2592566.6106983433</v>
      </c>
    </row>
    <row r="498" spans="2:33" ht="12.75" hidden="1" customHeight="1">
      <c r="B498">
        <f>-0.21270460088248*$F$42</f>
        <v>0</v>
      </c>
      <c r="C498">
        <f>0.558451216466485*$F$43</f>
        <v>0</v>
      </c>
      <c r="D498">
        <f>0.156149716614557*$F$44</f>
        <v>0</v>
      </c>
      <c r="E498">
        <f>-0.365152813319368*$F$45</f>
        <v>0</v>
      </c>
      <c r="F498">
        <f>-0.150784650746926*$F$46</f>
        <v>0</v>
      </c>
      <c r="G498">
        <f>-0.209590776201495*$F$47</f>
        <v>0</v>
      </c>
      <c r="H498">
        <f>-0.320018904198458*$F$48</f>
        <v>0</v>
      </c>
      <c r="I498">
        <f>-0.616279561738853*$F$49</f>
        <v>0</v>
      </c>
      <c r="J498">
        <f>-0.0726508544719698*$F$50</f>
        <v>0</v>
      </c>
      <c r="K498">
        <f>0.11822875254234*$F$51</f>
        <v>0</v>
      </c>
      <c r="L498">
        <f>-0.357359259387859*$F$52</f>
        <v>0</v>
      </c>
      <c r="M498">
        <f>0.411662247742918*$F$53</f>
        <v>0</v>
      </c>
      <c r="N498">
        <f>-0.233150297844407*$F$54</f>
        <v>0</v>
      </c>
      <c r="P498">
        <v>941695.58859693923</v>
      </c>
      <c r="Q498">
        <v>-13514.8175570771</v>
      </c>
      <c r="R498">
        <v>359968.94379572396</v>
      </c>
      <c r="S498">
        <v>697399.53364407213</v>
      </c>
      <c r="T498">
        <v>6.8944507444771519E-7</v>
      </c>
      <c r="U498">
        <v>3.0350268593775366E-11</v>
      </c>
      <c r="V498">
        <v>2.2263956520343547E-9</v>
      </c>
      <c r="W498">
        <v>1.2198836569739491E-7</v>
      </c>
      <c r="X498">
        <v>4.9636745727640153E-6</v>
      </c>
      <c r="Y498">
        <v>1.249601250938979E-6</v>
      </c>
      <c r="Z498">
        <v>0.67498485184284984</v>
      </c>
      <c r="AA498">
        <v>7.2881635734200437E-2</v>
      </c>
      <c r="AB498">
        <v>9.7668497021555929</v>
      </c>
      <c r="AD498">
        <v>0.89276955692702098</v>
      </c>
      <c r="AE498">
        <v>0.31301566599843439</v>
      </c>
      <c r="AF498">
        <v>1.151964537383138</v>
      </c>
      <c r="AG498">
        <v>2225464.1828740821</v>
      </c>
    </row>
    <row r="499" spans="2:33" ht="12.75" hidden="1" customHeight="1">
      <c r="B499">
        <f>0.195393663154469*$F$42</f>
        <v>0</v>
      </c>
      <c r="C499">
        <f>0.242530233751511*$F$43</f>
        <v>0</v>
      </c>
      <c r="D499">
        <f>-0.282152936717646*$F$44</f>
        <v>0</v>
      </c>
      <c r="E499">
        <f>0.479579209687763*$F$45</f>
        <v>0</v>
      </c>
      <c r="F499">
        <f>0.146385396579366*$F$46</f>
        <v>0</v>
      </c>
      <c r="G499">
        <f>-0.569486967561792*$F$47</f>
        <v>0</v>
      </c>
      <c r="H499">
        <f>0.169381050831718*$F$48</f>
        <v>0</v>
      </c>
      <c r="I499">
        <f>-0.0405819809881603*$F$49</f>
        <v>0</v>
      </c>
      <c r="J499">
        <f>0.27917144934672*$F$50</f>
        <v>0</v>
      </c>
      <c r="K499">
        <f>-0.0784737687994861*$F$51</f>
        <v>0</v>
      </c>
      <c r="L499">
        <f>-0.208478294510019*$F$52</f>
        <v>0</v>
      </c>
      <c r="M499">
        <f>-0.297932677138401*$F$53</f>
        <v>0</v>
      </c>
      <c r="N499">
        <f>0.0221430108325952*$F$54</f>
        <v>0</v>
      </c>
      <c r="P499">
        <v>980961.2201413099</v>
      </c>
      <c r="Q499">
        <v>-13110.438699201934</v>
      </c>
      <c r="R499">
        <v>344433.98738160665</v>
      </c>
      <c r="S499">
        <v>758543.80583489523</v>
      </c>
      <c r="T499">
        <v>7.1024697776055569E-7</v>
      </c>
      <c r="U499">
        <v>2.9234590400558449E-11</v>
      </c>
      <c r="V499">
        <v>2.338957641691295E-9</v>
      </c>
      <c r="W499">
        <v>1.2947243424715391E-7</v>
      </c>
      <c r="X499">
        <v>5.1395857246733609E-6</v>
      </c>
      <c r="Y499">
        <v>1.2253084895532634E-6</v>
      </c>
      <c r="Z499">
        <v>0.68540651938429864</v>
      </c>
      <c r="AA499">
        <v>6.7914471260031209E-2</v>
      </c>
      <c r="AB499">
        <v>10.022143010832597</v>
      </c>
      <c r="AD499">
        <v>1.1308963893680364</v>
      </c>
      <c r="AE499">
        <v>0.37550987697657839</v>
      </c>
      <c r="AF499">
        <v>0.90471846891738317</v>
      </c>
      <c r="AG499">
        <v>2842927.9590359796</v>
      </c>
    </row>
    <row r="500" spans="2:33" ht="12.75" hidden="1" customHeight="1">
      <c r="B500">
        <f>0.23467010922101*$F$42</f>
        <v>0</v>
      </c>
      <c r="C500">
        <f>0.217616242743565*$F$43</f>
        <v>0</v>
      </c>
      <c r="D500">
        <f>0.530190303107488*$F$44</f>
        <v>0</v>
      </c>
      <c r="E500">
        <f>-0.326227565189981*$F$45</f>
        <v>0</v>
      </c>
      <c r="F500">
        <f>-0.0871548968511029*$F$46</f>
        <v>0</v>
      </c>
      <c r="G500">
        <f>0.6512680208521*$F$47</f>
        <v>0</v>
      </c>
      <c r="H500">
        <f>0.283873985904305*$F$48</f>
        <v>0</v>
      </c>
      <c r="I500">
        <f>-0.551881388236198*$F$49</f>
        <v>0</v>
      </c>
      <c r="J500">
        <f>-0.758328117432764*$F$50</f>
        <v>0</v>
      </c>
      <c r="K500">
        <f>0.327062121979304*$F$51</f>
        <v>0</v>
      </c>
      <c r="L500">
        <f>-0.14195402200396*$F$52</f>
        <v>0</v>
      </c>
      <c r="M500">
        <f>-0.369933594378546*$F$53</f>
        <v>0</v>
      </c>
      <c r="N500">
        <f>-0.00916269993935146*$F$54</f>
        <v>0</v>
      </c>
      <c r="P500">
        <v>984740.24738922168</v>
      </c>
      <c r="Q500">
        <v>-13078.548790711764</v>
      </c>
      <c r="R500">
        <v>373226.231115576</v>
      </c>
      <c r="S500">
        <v>700217.06145395187</v>
      </c>
      <c r="T500">
        <v>6.938991572204228E-7</v>
      </c>
      <c r="U500">
        <v>3.3018930864641511E-11</v>
      </c>
      <c r="V500">
        <v>2.3652910167579903E-9</v>
      </c>
      <c r="W500">
        <v>1.2282554195292942E-7</v>
      </c>
      <c r="X500">
        <v>4.6208359412836185E-6</v>
      </c>
      <c r="Y500">
        <v>1.2753921720644443E-6</v>
      </c>
      <c r="Z500">
        <v>0.69006321845972274</v>
      </c>
      <c r="AA500">
        <v>6.7410464839350176E-2</v>
      </c>
      <c r="AB500">
        <v>9.9908373000606492</v>
      </c>
      <c r="AD500">
        <v>0.8516397628764375</v>
      </c>
      <c r="AE500">
        <v>0.28780919156838547</v>
      </c>
      <c r="AF500">
        <v>1.2091568426552541</v>
      </c>
      <c r="AG500">
        <v>2119481.8953510956</v>
      </c>
    </row>
    <row r="501" spans="2:33" ht="12.75" hidden="1" customHeight="1">
      <c r="B501">
        <f>0.445860039633502*$F$42</f>
        <v>0</v>
      </c>
      <c r="C501">
        <f>-0.646733871904371*$F$43</f>
        <v>0</v>
      </c>
      <c r="D501">
        <f>-0.431381724321604*$F$44</f>
        <v>0</v>
      </c>
      <c r="E501">
        <f>0.188382877373383*$F$45</f>
        <v>0</v>
      </c>
      <c r="F501">
        <f>0.747605734153496*$F$46</f>
        <v>0</v>
      </c>
      <c r="G501">
        <f>0.442157694699302*$F$47</f>
        <v>0</v>
      </c>
      <c r="H501">
        <f>-0.0247840948046829*$F$48</f>
        <v>0</v>
      </c>
      <c r="I501">
        <f>0.522799022329809*$F$49</f>
        <v>0</v>
      </c>
      <c r="J501">
        <f>-0.196723069028414*$F$50</f>
        <v>0</v>
      </c>
      <c r="K501">
        <f>-0.193055815623269*$F$51</f>
        <v>0</v>
      </c>
      <c r="L501">
        <f>0.320115195731224*$F$52</f>
        <v>0</v>
      </c>
      <c r="M501">
        <f>0.21080921082199*$F$53</f>
        <v>0</v>
      </c>
      <c r="N501">
        <f>0.157757832332584*$F$54</f>
        <v>0</v>
      </c>
      <c r="P501">
        <v>1005060.1230765816</v>
      </c>
      <c r="Q501">
        <v>-11972.180643962405</v>
      </c>
      <c r="R501">
        <v>339144.80491023802</v>
      </c>
      <c r="S501">
        <v>737466.12993406155</v>
      </c>
      <c r="T501">
        <v>7.5233240139074465E-7</v>
      </c>
      <c r="U501">
        <v>3.2370688853567839E-11</v>
      </c>
      <c r="V501">
        <v>2.2942996581949227E-9</v>
      </c>
      <c r="W501">
        <v>1.3679638729028751E-7</v>
      </c>
      <c r="X501">
        <v>4.9016384654857936E-6</v>
      </c>
      <c r="Y501">
        <v>1.2111576067705263E-6</v>
      </c>
      <c r="Z501">
        <v>0.7224080637011856</v>
      </c>
      <c r="AA501">
        <v>7.1475664475753931E-2</v>
      </c>
      <c r="AB501">
        <v>10.157757832332583</v>
      </c>
      <c r="AD501">
        <v>1.1575215000374606</v>
      </c>
      <c r="AE501">
        <v>0.34327195400858018</v>
      </c>
      <c r="AF501">
        <v>0.88418916251884849</v>
      </c>
      <c r="AG501">
        <v>2679580.2810176522</v>
      </c>
    </row>
    <row r="502" spans="2:33" ht="12.75" hidden="1" customHeight="1">
      <c r="B502">
        <f>0.00547412466274806*$F$42</f>
        <v>0</v>
      </c>
      <c r="C502">
        <f>0.284689710542339*$F$43</f>
        <v>0</v>
      </c>
      <c r="D502">
        <f>0.534608359883078*$F$44</f>
        <v>0</v>
      </c>
      <c r="E502">
        <f>0.0251833994268255*$F$45</f>
        <v>0</v>
      </c>
      <c r="F502">
        <f>-0.179228472871339*$F$46</f>
        <v>0</v>
      </c>
      <c r="G502">
        <f>0.281091372099978*$F$47</f>
        <v>0</v>
      </c>
      <c r="H502">
        <f>0.586063661091312*$F$48</f>
        <v>0</v>
      </c>
      <c r="I502">
        <f>-0.584874630988741*$F$49</f>
        <v>0</v>
      </c>
      <c r="J502">
        <f>0.0956672441489708*$F$50</f>
        <v>0</v>
      </c>
      <c r="K502">
        <f>-0.0964328908842657*$F$51</f>
        <v>0</v>
      </c>
      <c r="L502">
        <f>-0.0145299476492671*$F$52</f>
        <v>0</v>
      </c>
      <c r="M502">
        <f>-0.124862227541476*$F$53</f>
        <v>0</v>
      </c>
      <c r="N502">
        <f>0.510977673469751*$F$54</f>
        <v>0</v>
      </c>
      <c r="P502">
        <v>962687.89903544588</v>
      </c>
      <c r="Q502">
        <v>-13164.402829494193</v>
      </c>
      <c r="R502">
        <v>373382.82227221649</v>
      </c>
      <c r="S502">
        <v>725653.25552042003</v>
      </c>
      <c r="T502">
        <v>6.8745400689900626E-7</v>
      </c>
      <c r="U502">
        <v>3.1871383253509932E-11</v>
      </c>
      <c r="V502">
        <v>2.4347946420510018E-9</v>
      </c>
      <c r="W502">
        <v>1.2239662979714637E-7</v>
      </c>
      <c r="X502">
        <v>5.0478336220744859E-6</v>
      </c>
      <c r="Y502">
        <v>1.2230905379757932E-6</v>
      </c>
      <c r="Z502">
        <v>0.69898290366455129</v>
      </c>
      <c r="AA502">
        <v>6.9125964407209681E-2</v>
      </c>
      <c r="AB502">
        <v>10.51097767346975</v>
      </c>
      <c r="AD502">
        <v>0.9949293226095649</v>
      </c>
      <c r="AE502">
        <v>0.32077392257384008</v>
      </c>
      <c r="AF502">
        <v>1.0319676846939818</v>
      </c>
      <c r="AG502">
        <v>2342706.0873580505</v>
      </c>
    </row>
    <row r="503" spans="2:33" ht="12.75" hidden="1" customHeight="1">
      <c r="B503">
        <f>0.346972371914084*$F$42</f>
        <v>0</v>
      </c>
      <c r="C503">
        <f>0.86248183303135*$F$43</f>
        <v>0</v>
      </c>
      <c r="D503">
        <f>-0.0785487323091165*$F$44</f>
        <v>0</v>
      </c>
      <c r="E503">
        <f>0.194836467373605*$F$45</f>
        <v>0</v>
      </c>
      <c r="F503">
        <f>0.21960799259897*$F$46</f>
        <v>0</v>
      </c>
      <c r="G503">
        <f>0.0979467169155204*$F$47</f>
        <v>0</v>
      </c>
      <c r="H503">
        <f>0.198320979815222*$F$48</f>
        <v>0</v>
      </c>
      <c r="I503">
        <f>0.355032705076106*$F$49</f>
        <v>0</v>
      </c>
      <c r="J503">
        <f>-0.0595789729339776*$F$50</f>
        <v>0</v>
      </c>
      <c r="K503">
        <f>0.301861260007771*$F$51</f>
        <v>0</v>
      </c>
      <c r="L503">
        <f>0.742027593213086*$F$52</f>
        <v>0</v>
      </c>
      <c r="M503">
        <f>-0.425273827325116*$F$53</f>
        <v>0</v>
      </c>
      <c r="N503">
        <f>-0.0271274556438779*$F$54</f>
        <v>0</v>
      </c>
      <c r="P503">
        <v>995545.53537277016</v>
      </c>
      <c r="Q503">
        <v>-13903.976746280128</v>
      </c>
      <c r="R503">
        <v>351650.42200086097</v>
      </c>
      <c r="S503">
        <v>737933.26040009607</v>
      </c>
      <c r="T503">
        <v>7.1537255948192781E-7</v>
      </c>
      <c r="U503">
        <v>3.1303634822438117E-11</v>
      </c>
      <c r="V503">
        <v>2.3456138253575014E-9</v>
      </c>
      <c r="W503">
        <v>1.3461542516598937E-7</v>
      </c>
      <c r="X503">
        <v>4.9702105135330114E-6</v>
      </c>
      <c r="Y503">
        <v>1.2722798656109598E-6</v>
      </c>
      <c r="Z503">
        <v>0.75194193152491595</v>
      </c>
      <c r="AA503">
        <v>6.7023083208724202E-2</v>
      </c>
      <c r="AB503">
        <v>9.9728725443561217</v>
      </c>
      <c r="AD503">
        <v>1.2534980385833219</v>
      </c>
      <c r="AE503">
        <v>0.33600026394428806</v>
      </c>
      <c r="AF503">
        <v>0.8153857680037031</v>
      </c>
      <c r="AG503">
        <v>2644969.5676854863</v>
      </c>
    </row>
    <row r="504" spans="2:33" ht="12.75" hidden="1" customHeight="1">
      <c r="B504">
        <f>0.685196063474435*$F$42</f>
        <v>0</v>
      </c>
      <c r="C504">
        <f>-0.133247014835392*$F$43</f>
        <v>0</v>
      </c>
      <c r="D504">
        <f>-0.385957609974396*$F$44</f>
        <v>0</v>
      </c>
      <c r="E504">
        <f>-0.309792415992394*$F$45</f>
        <v>0</v>
      </c>
      <c r="F504">
        <f>-0.179055160635235*$F$46</f>
        <v>0</v>
      </c>
      <c r="G504">
        <f>0.0456300908403141*$F$47</f>
        <v>0</v>
      </c>
      <c r="H504">
        <f>0.264175786245315*$F$48</f>
        <v>0</v>
      </c>
      <c r="I504">
        <f>-0.092234249085537*$F$49</f>
        <v>0</v>
      </c>
      <c r="J504">
        <f>0.413404531707229*$F$50</f>
        <v>0</v>
      </c>
      <c r="K504">
        <f>-0.0157458549676314*$F$51</f>
        <v>0</v>
      </c>
      <c r="L504">
        <f>-0.439538347404034*$F$52</f>
        <v>0</v>
      </c>
      <c r="M504">
        <f>0.946542816818852*$F$53</f>
        <v>0</v>
      </c>
      <c r="N504">
        <f>0.414450828472547*$F$54</f>
        <v>0</v>
      </c>
      <c r="P504">
        <v>1028088.1066667839</v>
      </c>
      <c r="Q504">
        <v>-12629.443821010698</v>
      </c>
      <c r="R504">
        <v>340754.79205306951</v>
      </c>
      <c r="S504">
        <v>701406.68752312427</v>
      </c>
      <c r="T504">
        <v>6.8746613875553345E-7</v>
      </c>
      <c r="U504">
        <v>3.1141453281604974E-11</v>
      </c>
      <c r="V504">
        <v>2.3607604308364224E-9</v>
      </c>
      <c r="W504">
        <v>1.2880095476188801E-7</v>
      </c>
      <c r="X504">
        <v>5.2067022658536149E-6</v>
      </c>
      <c r="Y504">
        <v>1.2330553869114975E-6</v>
      </c>
      <c r="Z504">
        <v>0.66923231568171759</v>
      </c>
      <c r="AA504">
        <v>7.6625799717731966E-2</v>
      </c>
      <c r="AB504">
        <v>10.414450828472548</v>
      </c>
      <c r="AD504">
        <v>0.85797534123294594</v>
      </c>
      <c r="AE504">
        <v>0.30459063900865685</v>
      </c>
      <c r="AF504">
        <v>1.1984962476802827</v>
      </c>
      <c r="AG504">
        <v>2325644.7389510297</v>
      </c>
    </row>
    <row r="505" spans="2:33" ht="12.75" hidden="1" customHeight="1">
      <c r="B505">
        <f>-0.278497251769869*$F$42</f>
        <v>0</v>
      </c>
      <c r="C505">
        <f>-0.484401071073868*$F$43</f>
        <v>0</v>
      </c>
      <c r="D505">
        <f>0.0157989284794475*$F$44</f>
        <v>0</v>
      </c>
      <c r="E505">
        <f>-0.20140392949024*$F$45</f>
        <v>0</v>
      </c>
      <c r="F505">
        <f>0.0695057456076862*$F$46</f>
        <v>0</v>
      </c>
      <c r="G505">
        <f>-0.00183680985005416*$F$47</f>
        <v>0</v>
      </c>
      <c r="H505">
        <f>0.291282435084858*$F$48</f>
        <v>0</v>
      </c>
      <c r="I505">
        <f>0.468453255995936*$F$49</f>
        <v>0</v>
      </c>
      <c r="J505">
        <f>-0.13965625499604*$F$50</f>
        <v>0</v>
      </c>
      <c r="K505">
        <f>-0.380906338561949*$F$51</f>
        <v>0</v>
      </c>
      <c r="L505">
        <f>0.262615733765391*$F$52</f>
        <v>0</v>
      </c>
      <c r="M505">
        <f>0.781924483808489*$F$53</f>
        <v>0</v>
      </c>
      <c r="N505">
        <f>-0.243387787967817*$F$54</f>
        <v>0</v>
      </c>
      <c r="P505">
        <v>935365.27500403998</v>
      </c>
      <c r="Q505">
        <v>-12179.96662902545</v>
      </c>
      <c r="R505">
        <v>354994.42821889627</v>
      </c>
      <c r="S505">
        <v>709252.17572593514</v>
      </c>
      <c r="T505">
        <v>7.0486540219253798E-7</v>
      </c>
      <c r="U505">
        <v>3.0994305889464836E-11</v>
      </c>
      <c r="V505">
        <v>2.3669949600695176E-9</v>
      </c>
      <c r="W505">
        <v>1.3608989232794715E-7</v>
      </c>
      <c r="X505">
        <v>4.93017187250198E-6</v>
      </c>
      <c r="Y505">
        <v>1.1879580671875993E-6</v>
      </c>
      <c r="Z505">
        <v>0.7183831013635773</v>
      </c>
      <c r="AA505">
        <v>7.5473471386659427E-2</v>
      </c>
      <c r="AB505">
        <v>9.7566122120321825</v>
      </c>
      <c r="AD505">
        <v>1.0677977745512255</v>
      </c>
      <c r="AE505">
        <v>0.32529838311904763</v>
      </c>
      <c r="AF505">
        <v>0.96138426611728978</v>
      </c>
      <c r="AG505">
        <v>2366881.315424961</v>
      </c>
    </row>
    <row r="506" spans="2:33" ht="12.75" hidden="1" customHeight="1">
      <c r="B506">
        <f>0.0250334676309199*$F$42</f>
        <v>0</v>
      </c>
      <c r="C506">
        <f>-0.314335708164316*$F$43</f>
        <v>0</v>
      </c>
      <c r="D506">
        <f>0.342521268015043*$F$44</f>
        <v>0</v>
      </c>
      <c r="E506">
        <f>-0.0285141218011427*$F$45</f>
        <v>0</v>
      </c>
      <c r="F506">
        <f>0.239023314123982*$F$46</f>
        <v>0</v>
      </c>
      <c r="G506">
        <f>-0.0792499935252109*$F$47</f>
        <v>0</v>
      </c>
      <c r="H506">
        <f>0.18195916018968*$F$48</f>
        <v>0</v>
      </c>
      <c r="I506">
        <f>0.152272338790104*$F$49</f>
        <v>0</v>
      </c>
      <c r="J506">
        <f>0.204619859264266*$F$50</f>
        <v>0</v>
      </c>
      <c r="K506">
        <f>0.00743281766660383*$F$51</f>
        <v>0</v>
      </c>
      <c r="L506">
        <f>0.244717067193479*$F$52</f>
        <v>0</v>
      </c>
      <c r="M506">
        <f>-0.703622660707316*$F$53</f>
        <v>0</v>
      </c>
      <c r="N506">
        <f>-0.683762622553467*$F$54</f>
        <v>0</v>
      </c>
      <c r="P506">
        <v>964569.82312559267</v>
      </c>
      <c r="Q506">
        <v>-12397.650293549676</v>
      </c>
      <c r="R506">
        <v>366574.59380908025</v>
      </c>
      <c r="S506">
        <v>721766.46566930576</v>
      </c>
      <c r="T506">
        <v>7.167316319886788E-7</v>
      </c>
      <c r="U506">
        <v>3.0754325020071847E-11</v>
      </c>
      <c r="V506">
        <v>2.3418506068436262E-9</v>
      </c>
      <c r="W506">
        <v>1.3197954040427135E-7</v>
      </c>
      <c r="X506">
        <v>5.1023099296321332E-6</v>
      </c>
      <c r="Y506">
        <v>1.2359179529818255E-6</v>
      </c>
      <c r="Z506">
        <v>0.71713019470354344</v>
      </c>
      <c r="AA506">
        <v>6.50746413750488E-2</v>
      </c>
      <c r="AB506">
        <v>9.3162373774465337</v>
      </c>
      <c r="AD506">
        <v>1.0305997267911051</v>
      </c>
      <c r="AE506">
        <v>0.31622739951117879</v>
      </c>
      <c r="AF506">
        <v>0.99723452153444259</v>
      </c>
      <c r="AG506">
        <v>2359044.4699403453</v>
      </c>
    </row>
    <row r="507" spans="2:33" ht="12.75" hidden="1" customHeight="1">
      <c r="B507">
        <f>0.431100827094957*$F$42</f>
        <v>0</v>
      </c>
      <c r="C507">
        <f>-0.278964569579402*$F$43</f>
        <v>0</v>
      </c>
      <c r="D507">
        <f>0.133697739982303*$F$44</f>
        <v>0</v>
      </c>
      <c r="E507">
        <f>-0.0792112376652448*$F$45</f>
        <v>0</v>
      </c>
      <c r="F507">
        <f>0.049048764446749*$F$46</f>
        <v>0</v>
      </c>
      <c r="G507">
        <f>-0.112992302446823*$F$47</f>
        <v>0</v>
      </c>
      <c r="H507">
        <f>0.686620123289098*$F$48</f>
        <v>0</v>
      </c>
      <c r="I507">
        <f>0.211328036692668*$F$49</f>
        <v>0</v>
      </c>
      <c r="J507">
        <f>0.60925788754866*$F$50</f>
        <v>0</v>
      </c>
      <c r="K507">
        <f>-0.395530968855715*$F$51</f>
        <v>0</v>
      </c>
      <c r="L507">
        <f>0.282795114072185*$F$52</f>
        <v>0</v>
      </c>
      <c r="M507">
        <f>-0.12820048279862*$F$53</f>
        <v>0</v>
      </c>
      <c r="N507">
        <f>-0.230640379097999*$F$54</f>
        <v>0</v>
      </c>
      <c r="P507">
        <v>1003640.0489118675</v>
      </c>
      <c r="Q507">
        <v>-12442.925350938365</v>
      </c>
      <c r="R507">
        <v>359173.16837492475</v>
      </c>
      <c r="S507">
        <v>718096.85428101092</v>
      </c>
      <c r="T507">
        <v>7.0343341351127236E-7</v>
      </c>
      <c r="U507">
        <v>3.0649723862414849E-11</v>
      </c>
      <c r="V507">
        <v>2.4579226283564927E-9</v>
      </c>
      <c r="W507">
        <v>1.3274726447700469E-7</v>
      </c>
      <c r="X507">
        <v>5.3046289437743301E-6</v>
      </c>
      <c r="Y507">
        <v>1.1861519253463191E-6</v>
      </c>
      <c r="Z507">
        <v>0.71979565798505296</v>
      </c>
      <c r="AA507">
        <v>6.9102596620409656E-2</v>
      </c>
      <c r="AB507">
        <v>9.7693596209020015</v>
      </c>
      <c r="AD507">
        <v>1.0047329029525351</v>
      </c>
      <c r="AE507">
        <v>0.3065101994907764</v>
      </c>
      <c r="AF507">
        <v>1.0232458902142001</v>
      </c>
      <c r="AG507">
        <v>2368374.6524761878</v>
      </c>
    </row>
    <row r="508" spans="2:33" ht="12.75" hidden="1" customHeight="1">
      <c r="B508">
        <f>0.194156368683733*$F$42</f>
        <v>0</v>
      </c>
      <c r="C508">
        <f>-0.116048750993865*$F$43</f>
        <v>0</v>
      </c>
      <c r="D508">
        <f>0.309552794204283*$F$44</f>
        <v>0</v>
      </c>
      <c r="E508">
        <f>-0.162358690074189*$F$45</f>
        <v>0</v>
      </c>
      <c r="F508">
        <f>0.301604393952827*$F$46</f>
        <v>0</v>
      </c>
      <c r="G508">
        <f>0.389479622349534*$F$47</f>
        <v>0</v>
      </c>
      <c r="H508">
        <f>0.567351432517248*$F$48</f>
        <v>0</v>
      </c>
      <c r="I508">
        <f>-0.0971208521375855*$F$49</f>
        <v>0</v>
      </c>
      <c r="J508">
        <f>0.129115730370152*$F$50</f>
        <v>0</v>
      </c>
      <c r="K508">
        <f>-0.0963993051236194*$F$51</f>
        <v>0</v>
      </c>
      <c r="L508">
        <f>0.0624112473932824*$F$52</f>
        <v>0</v>
      </c>
      <c r="M508">
        <f>-0.185401068250131*$F$53</f>
        <v>0</v>
      </c>
      <c r="N508">
        <f>-0.0152107673206981*$F$54</f>
        <v>0</v>
      </c>
      <c r="P508">
        <v>980842.17246803828</v>
      </c>
      <c r="Q508">
        <v>-12651.457598727853</v>
      </c>
      <c r="R508">
        <v>365406.07748868741</v>
      </c>
      <c r="S508">
        <v>712078.38886997115</v>
      </c>
      <c r="T508">
        <v>7.2111230757669797E-7</v>
      </c>
      <c r="U508">
        <v>3.2207386829283559E-11</v>
      </c>
      <c r="V508">
        <v>2.4304908294789673E-9</v>
      </c>
      <c r="W508">
        <v>1.287374289222114E-7</v>
      </c>
      <c r="X508">
        <v>5.0645578651850772E-6</v>
      </c>
      <c r="Y508">
        <v>1.2230946858172331E-6</v>
      </c>
      <c r="Z508">
        <v>0.70436878731752961</v>
      </c>
      <c r="AA508">
        <v>6.8702192522249086E-2</v>
      </c>
      <c r="AB508">
        <v>9.9847892326793026</v>
      </c>
      <c r="AD508">
        <v>0.95427918199870221</v>
      </c>
      <c r="AE508">
        <v>0.30616645510132479</v>
      </c>
      <c r="AF508">
        <v>1.0773226997772671</v>
      </c>
      <c r="AG508">
        <v>2289017.6845611585</v>
      </c>
    </row>
    <row r="509" spans="2:33" ht="12.75" hidden="1" customHeight="1">
      <c r="B509">
        <f>0.179814586265835*$F$42</f>
        <v>0</v>
      </c>
      <c r="C509">
        <f>0.102126558854982*$F$43</f>
        <v>0</v>
      </c>
      <c r="D509">
        <f>-0.506879636779874*$F$44</f>
        <v>0</v>
      </c>
      <c r="E509">
        <f>0.121681909882763*$F$45</f>
        <v>0</v>
      </c>
      <c r="F509">
        <f>0.153033688548677*$F$46</f>
        <v>0</v>
      </c>
      <c r="G509">
        <f>0.508241187693685*$F$47</f>
        <v>0</v>
      </c>
      <c r="H509">
        <f>-0.158738104730356*$F$48</f>
        <v>0</v>
      </c>
      <c r="I509">
        <f>0.172758807945625*$F$49</f>
        <v>0</v>
      </c>
      <c r="J509">
        <f>0.151752905281024*$F$50</f>
        <v>0</v>
      </c>
      <c r="K509">
        <f>-0.066250461720278*$F$51</f>
        <v>0</v>
      </c>
      <c r="L509">
        <f>-0.196699138085914*$F$52</f>
        <v>0</v>
      </c>
      <c r="M509">
        <f>0.623196269933802*$F$53</f>
        <v>0</v>
      </c>
      <c r="N509">
        <f>0.183262705659839*$F$54</f>
        <v>0</v>
      </c>
      <c r="P509">
        <v>979462.26180990378</v>
      </c>
      <c r="Q509">
        <v>-12930.721995334377</v>
      </c>
      <c r="R509">
        <v>336468.89872879145</v>
      </c>
      <c r="S509">
        <v>732638.11110612692</v>
      </c>
      <c r="T509">
        <v>7.1071235819840727E-7</v>
      </c>
      <c r="U509">
        <v>3.2575547681850427E-11</v>
      </c>
      <c r="V509">
        <v>2.2634902359120182E-9</v>
      </c>
      <c r="W509">
        <v>1.3224586450329312E-7</v>
      </c>
      <c r="X509">
        <v>5.0758764526405124E-6</v>
      </c>
      <c r="Y509">
        <v>1.2268180679775457E-6</v>
      </c>
      <c r="Z509">
        <v>0.68623106033398595</v>
      </c>
      <c r="AA509">
        <v>7.436237388953662E-2</v>
      </c>
      <c r="AB509">
        <v>10.183262705659839</v>
      </c>
      <c r="AD509">
        <v>1.0700751349017898</v>
      </c>
      <c r="AE509">
        <v>0.35609131374902908</v>
      </c>
      <c r="AF509">
        <v>0.95785607118899585</v>
      </c>
      <c r="AG509">
        <v>2677818.0793607021</v>
      </c>
    </row>
    <row r="510" spans="2:33" ht="12.75" hidden="1" customHeight="1">
      <c r="B510">
        <f>0.279270561856318*$F$42</f>
        <v>0</v>
      </c>
      <c r="C510">
        <f>-0.153643848002148*$F$43</f>
        <v>0</v>
      </c>
      <c r="D510">
        <f>0.174081574255085*$F$44</f>
        <v>0</v>
      </c>
      <c r="E510">
        <f>-0.181201695583239*$F$45</f>
        <v>0</v>
      </c>
      <c r="F510">
        <f>0.0443425544459795*$F$46</f>
        <v>0</v>
      </c>
      <c r="G510">
        <f>-0.102190787412608*$F$47</f>
        <v>0</v>
      </c>
      <c r="H510">
        <f>-0.124319817624933*$F$48</f>
        <v>0</v>
      </c>
      <c r="I510">
        <f>0.0368331273476036*$F$49</f>
        <v>0</v>
      </c>
      <c r="J510">
        <f>-0.638383472911369*$F$50</f>
        <v>0</v>
      </c>
      <c r="K510">
        <f>0.130247041209176*$F$51</f>
        <v>0</v>
      </c>
      <c r="L510">
        <f>0.289165038304136*$F$52</f>
        <v>0</v>
      </c>
      <c r="M510">
        <f>-0.168162072422368*$F$53</f>
        <v>0</v>
      </c>
      <c r="N510">
        <f>0.0661304715455279*$F$54</f>
        <v>0</v>
      </c>
      <c r="P510">
        <v>989031.52989203483</v>
      </c>
      <c r="Q510">
        <v>-12603.33587455725</v>
      </c>
      <c r="R510">
        <v>360604.51062323892</v>
      </c>
      <c r="S510">
        <v>710714.47484000819</v>
      </c>
      <c r="T510">
        <v>7.0310397881121851E-7</v>
      </c>
      <c r="U510">
        <v>3.0683208559020918E-11</v>
      </c>
      <c r="V510">
        <v>2.2714064419462654E-9</v>
      </c>
      <c r="W510">
        <v>1.3047883065551886E-7</v>
      </c>
      <c r="X510">
        <v>4.6808082635443162E-6</v>
      </c>
      <c r="Y510">
        <v>1.2510855095893332E-6</v>
      </c>
      <c r="Z510">
        <v>0.72024155268128942</v>
      </c>
      <c r="AA510">
        <v>6.8822865493043436E-2</v>
      </c>
      <c r="AB510">
        <v>10.066130471545527</v>
      </c>
      <c r="AD510">
        <v>1.0018309681473447</v>
      </c>
      <c r="AE510">
        <v>0.30317687249434577</v>
      </c>
      <c r="AF510">
        <v>1.0257301541855062</v>
      </c>
      <c r="AG510">
        <v>2285770.6077247625</v>
      </c>
    </row>
    <row r="511" spans="2:33" ht="12.75" hidden="1" customHeight="1">
      <c r="B511">
        <f>-0.601362340076858*$F$42</f>
        <v>0</v>
      </c>
      <c r="C511">
        <f>-0.301232794341092*$F$43</f>
        <v>0</v>
      </c>
      <c r="D511">
        <f>0.0315014571700521*$F$44</f>
        <v>0</v>
      </c>
      <c r="E511">
        <f>0.0520777500820726*$F$45</f>
        <v>0</v>
      </c>
      <c r="F511">
        <f>-0.495803095090469*$F$46</f>
        <v>0</v>
      </c>
      <c r="G511">
        <f>0.13258172817065*$F$47</f>
        <v>0</v>
      </c>
      <c r="H511">
        <f>0.276745573220873*$F$48</f>
        <v>0</v>
      </c>
      <c r="I511">
        <f>0.475961464226783*$F$49</f>
        <v>0</v>
      </c>
      <c r="J511">
        <f>-0.439602798957472*$F$50</f>
        <v>0</v>
      </c>
      <c r="K511">
        <f>-0.341968726813411*$F$51</f>
        <v>0</v>
      </c>
      <c r="L511">
        <f>-0.363726083060071*$F$52</f>
        <v>0</v>
      </c>
      <c r="M511">
        <f>-0.0718757643334578*$F$53</f>
        <v>0</v>
      </c>
      <c r="N511">
        <f>-0.0890626773741164*$F$54</f>
        <v>0</v>
      </c>
      <c r="P511">
        <v>904300.44892368419</v>
      </c>
      <c r="Q511">
        <v>-12414.422023243402</v>
      </c>
      <c r="R511">
        <v>355550.97994621395</v>
      </c>
      <c r="S511">
        <v>727599.95039177826</v>
      </c>
      <c r="T511">
        <v>6.6529378334366711E-7</v>
      </c>
      <c r="U511">
        <v>3.1411003357329018E-11</v>
      </c>
      <c r="V511">
        <v>2.3636514818408009E-9</v>
      </c>
      <c r="W511">
        <v>1.3618749903494819E-7</v>
      </c>
      <c r="X511">
        <v>4.7801986005212645E-6</v>
      </c>
      <c r="Y511">
        <v>1.1927668622385439E-6</v>
      </c>
      <c r="Z511">
        <v>0.67453917418579501</v>
      </c>
      <c r="AA511">
        <v>6.9496869649665796E-2</v>
      </c>
      <c r="AB511">
        <v>9.9109373226258839</v>
      </c>
      <c r="AD511">
        <v>1.0621789707171974</v>
      </c>
      <c r="AE511">
        <v>0.36672418122281863</v>
      </c>
      <c r="AF511">
        <v>0.96509194395127906</v>
      </c>
      <c r="AG511">
        <v>2558542.4480201965</v>
      </c>
    </row>
    <row r="512" spans="2:33" ht="12.75" hidden="1" customHeight="1">
      <c r="B512">
        <f>-0.239410788678951*$F$42</f>
        <v>0</v>
      </c>
      <c r="C512">
        <f>0.442560731078933*$F$43</f>
        <v>0</v>
      </c>
      <c r="D512">
        <f>-0.155318301257917*$F$44</f>
        <v>0</v>
      </c>
      <c r="E512">
        <f>-0.395574415107375*$F$45</f>
        <v>0</v>
      </c>
      <c r="F512">
        <f>-0.229258209613699*$F$46</f>
        <v>0</v>
      </c>
      <c r="G512">
        <f>-0.573043433891852*$F$47</f>
        <v>0</v>
      </c>
      <c r="H512">
        <f>-0.483374855898237*$F$48</f>
        <v>0</v>
      </c>
      <c r="I512">
        <f>-0.325729402153634*$F$49</f>
        <v>0</v>
      </c>
      <c r="J512">
        <f>-0.534313660449421*$F$50</f>
        <v>0</v>
      </c>
      <c r="K512">
        <f>-0.547619159748391*$F$51</f>
        <v>0</v>
      </c>
      <c r="L512">
        <f>-0.206761143921286*$F$52</f>
        <v>0</v>
      </c>
      <c r="M512">
        <f>0.547321230523574*$F$53</f>
        <v>0</v>
      </c>
      <c r="N512">
        <f>0.109092968359027*$F$54</f>
        <v>0</v>
      </c>
      <c r="P512">
        <v>939126.02282717137</v>
      </c>
      <c r="Q512">
        <v>-13366.477735781034</v>
      </c>
      <c r="R512">
        <v>348929.44393129344</v>
      </c>
      <c r="S512">
        <v>695197.52561129385</v>
      </c>
      <c r="T512">
        <v>6.8395192532704104E-7</v>
      </c>
      <c r="U512">
        <v>2.9223565354935259E-11</v>
      </c>
      <c r="V512">
        <v>2.1888237831434052E-9</v>
      </c>
      <c r="W512">
        <v>1.2576551777200275E-7</v>
      </c>
      <c r="X512">
        <v>4.7328431697752893E-6</v>
      </c>
      <c r="Y512">
        <v>1.1673690337710736E-6</v>
      </c>
      <c r="Z512">
        <v>0.68552671992550995</v>
      </c>
      <c r="AA512">
        <v>7.3831248613665024E-2</v>
      </c>
      <c r="AB512">
        <v>10.109092968359029</v>
      </c>
      <c r="AD512">
        <v>0.95547431568278229</v>
      </c>
      <c r="AE512">
        <v>0.3216240565022343</v>
      </c>
      <c r="AF512">
        <v>1.0749561903322804</v>
      </c>
      <c r="AG512">
        <v>2284647.4424072192</v>
      </c>
    </row>
    <row r="513" spans="2:33" ht="12.75" hidden="1" customHeight="1">
      <c r="B513">
        <f>0.680961390470056*$F$42</f>
        <v>0</v>
      </c>
      <c r="C513">
        <f>0.216311863404202*$F$43</f>
        <v>0</v>
      </c>
      <c r="D513">
        <f>0.398072291276785*$F$44</f>
        <v>0</v>
      </c>
      <c r="E513">
        <f>0.0870986442883847*$F$45</f>
        <v>0</v>
      </c>
      <c r="F513">
        <f>0.427944155646097*$F$46</f>
        <v>0</v>
      </c>
      <c r="G513">
        <f>0.231439924159546*$F$47</f>
        <v>0</v>
      </c>
      <c r="H513">
        <f>-0.22921380476623*$F$48</f>
        <v>0</v>
      </c>
      <c r="I513">
        <f>0.171686614940809*$F$49</f>
        <v>0</v>
      </c>
      <c r="J513">
        <f>0.386036711793895*$F$50</f>
        <v>0</v>
      </c>
      <c r="K513">
        <f>-0.082964268213444*$F$51</f>
        <v>0</v>
      </c>
      <c r="L513">
        <f>0.208027843029436*$F$52</f>
        <v>0</v>
      </c>
      <c r="M513">
        <f>-0.496182747546547*$F$53</f>
        <v>0</v>
      </c>
      <c r="N513">
        <f>-0.293846243857039*$F$54</f>
        <v>0</v>
      </c>
      <c r="P513">
        <v>1027680.6628608337</v>
      </c>
      <c r="Q513">
        <v>-13076.879185157379</v>
      </c>
      <c r="R513">
        <v>368543.51350091858</v>
      </c>
      <c r="S513">
        <v>730134.86919371237</v>
      </c>
      <c r="T513">
        <v>7.2995609089522664E-7</v>
      </c>
      <c r="U513">
        <v>3.1717463764894595E-11</v>
      </c>
      <c r="V513">
        <v>2.247280824903767E-9</v>
      </c>
      <c r="W513">
        <v>1.3223192599423053E-7</v>
      </c>
      <c r="X513">
        <v>5.1930183558969485E-6</v>
      </c>
      <c r="Y513">
        <v>1.2247539128756398E-6</v>
      </c>
      <c r="Z513">
        <v>0.71456194901206049</v>
      </c>
      <c r="AA513">
        <v>6.6526720767174169E-2</v>
      </c>
      <c r="AB513">
        <v>9.7061537561429603</v>
      </c>
      <c r="AD513">
        <v>0.97264279666874121</v>
      </c>
      <c r="AE513">
        <v>0.3024159338586791</v>
      </c>
      <c r="AF513">
        <v>1.0571816504073399</v>
      </c>
      <c r="AG513">
        <v>2379571.4854588765</v>
      </c>
    </row>
    <row r="514" spans="2:33" ht="12.75" hidden="1" customHeight="1">
      <c r="B514">
        <f>-0.107542778063022*$F$42</f>
        <v>0</v>
      </c>
      <c r="C514">
        <f>-0.0819454773577499*$F$43</f>
        <v>0</v>
      </c>
      <c r="D514">
        <f>0.42016003781866*$F$44</f>
        <v>0</v>
      </c>
      <c r="E514">
        <f>0.393670340832401*$F$45</f>
        <v>0</v>
      </c>
      <c r="F514">
        <f>0.33002656387476*$F$46</f>
        <v>0</v>
      </c>
      <c r="G514">
        <f>0.510829534030416*$F$47</f>
        <v>0</v>
      </c>
      <c r="H514">
        <f>0.00305465348333251*$F$48</f>
        <v>0</v>
      </c>
      <c r="I514">
        <f>-0.221884722505311*$F$49</f>
        <v>0</v>
      </c>
      <c r="J514">
        <f>-0.19082996752394*$F$50</f>
        <v>0</v>
      </c>
      <c r="K514">
        <f>0.0121875765107271*$F$51</f>
        <v>0</v>
      </c>
      <c r="L514">
        <f>0.428028358873534*$F$52</f>
        <v>0</v>
      </c>
      <c r="M514">
        <f>0.344264384289879*$F$53</f>
        <v>0</v>
      </c>
      <c r="N514">
        <f>-0.129324806938093*$F$54</f>
        <v>0</v>
      </c>
      <c r="P514">
        <v>951813.8511607548</v>
      </c>
      <c r="Q514">
        <v>-12695.109788982079</v>
      </c>
      <c r="R514">
        <v>369326.37935218692</v>
      </c>
      <c r="S514">
        <v>752325.46070551488</v>
      </c>
      <c r="T514">
        <v>7.231018594712331E-7</v>
      </c>
      <c r="U514">
        <v>3.2583571555494296E-11</v>
      </c>
      <c r="V514">
        <v>2.3007025703011663E-9</v>
      </c>
      <c r="W514">
        <v>1.2711549860743095E-7</v>
      </c>
      <c r="X514">
        <v>4.9045850162380301E-6</v>
      </c>
      <c r="Y514">
        <v>1.2365051656990749E-6</v>
      </c>
      <c r="Z514">
        <v>0.72996198512114729</v>
      </c>
      <c r="AA514">
        <v>7.2409850690029157E-2</v>
      </c>
      <c r="AB514">
        <v>9.8706751930619081</v>
      </c>
      <c r="AD514">
        <v>1.2044403983707517</v>
      </c>
      <c r="AE514">
        <v>0.34924111003546554</v>
      </c>
      <c r="AF514">
        <v>0.84918059833811188</v>
      </c>
      <c r="AG514">
        <v>2619527.9153776132</v>
      </c>
    </row>
    <row r="515" spans="2:33" ht="12.75" hidden="1" customHeight="1">
      <c r="B515">
        <f>-0.00102678656728121*$F$42</f>
        <v>0</v>
      </c>
      <c r="C515">
        <f>-0.14273044952767*$F$43</f>
        <v>0</v>
      </c>
      <c r="D515">
        <f>-0.245745242771707*$F$44</f>
        <v>0</v>
      </c>
      <c r="E515">
        <f>0.411951085935837*$F$45</f>
        <v>0</v>
      </c>
      <c r="F515">
        <f>0.0563470753400081*$F$46</f>
        <v>0</v>
      </c>
      <c r="G515">
        <f>0.168119135117114*$F$47</f>
        <v>0</v>
      </c>
      <c r="H515">
        <f>0.893956639075914*$F$48</f>
        <v>0</v>
      </c>
      <c r="I515">
        <f>0.397229340194532*$F$49</f>
        <v>0</v>
      </c>
      <c r="J515">
        <f>0.0536027346019866*$F$50</f>
        <v>0</v>
      </c>
      <c r="K515">
        <f>-0.332273683496422*$F$51</f>
        <v>0</v>
      </c>
      <c r="L515">
        <f>-0.102109891717655*$F$52</f>
        <v>0</v>
      </c>
      <c r="M515">
        <f>-0.320369409520553*$F$53</f>
        <v>0</v>
      </c>
      <c r="N515">
        <f>-0.438864197451054*$F$54</f>
        <v>0</v>
      </c>
      <c r="P515">
        <v>962062.40658042813</v>
      </c>
      <c r="Q515">
        <v>-12617.305024604582</v>
      </c>
      <c r="R515">
        <v>345724.40151505708</v>
      </c>
      <c r="S515">
        <v>753648.67661779502</v>
      </c>
      <c r="T515">
        <v>7.0394429527380055E-7</v>
      </c>
      <c r="U515">
        <v>3.152116931886305E-11</v>
      </c>
      <c r="V515">
        <v>2.5056100269874602E-9</v>
      </c>
      <c r="W515">
        <v>1.351639814225289E-7</v>
      </c>
      <c r="X515">
        <v>5.0268013673009943E-6</v>
      </c>
      <c r="Y515">
        <v>1.1939642000881919E-6</v>
      </c>
      <c r="Z515">
        <v>0.69285230757976413</v>
      </c>
      <c r="AA515">
        <v>6.7757414133356134E-2</v>
      </c>
      <c r="AB515">
        <v>9.5611358025489466</v>
      </c>
      <c r="AD515">
        <v>1.1494872620989438</v>
      </c>
      <c r="AE515">
        <v>0.37474542290085294</v>
      </c>
      <c r="AF515">
        <v>0.89011660330884113</v>
      </c>
      <c r="AG515">
        <v>2816529.0386009249</v>
      </c>
    </row>
    <row r="516" spans="2:33" ht="12.75" hidden="1" customHeight="1">
      <c r="B516">
        <f>-0.224926002313725*$F$42</f>
        <v>0</v>
      </c>
      <c r="C516">
        <f>0.114346034885536*$F$43</f>
        <v>0</v>
      </c>
      <c r="D516">
        <f>0.277091073301791*$F$44</f>
        <v>0</v>
      </c>
      <c r="E516">
        <f>-0.0368545875987493*$F$45</f>
        <v>0</v>
      </c>
      <c r="F516">
        <f>-0.304727759693541*$F$46</f>
        <v>0</v>
      </c>
      <c r="G516">
        <f>0.0405706097340846*$F$47</f>
        <v>0</v>
      </c>
      <c r="H516">
        <f>-0.278436892790489*$F$48</f>
        <v>0</v>
      </c>
      <c r="I516">
        <f>0.268330696555985*$F$49</f>
        <v>0</v>
      </c>
      <c r="J516">
        <f>0.494750306455305*$F$50</f>
        <v>0</v>
      </c>
      <c r="K516">
        <f>-0.347553562942635*$F$51</f>
        <v>0</v>
      </c>
      <c r="L516">
        <f>0.284589720881195*$F$52</f>
        <v>0</v>
      </c>
      <c r="M516">
        <f>0.137983477303086*$F$53</f>
        <v>0</v>
      </c>
      <c r="N516">
        <f>0.223694790926895*$F$54</f>
        <v>0</v>
      </c>
      <c r="P516">
        <v>940519.69277026237</v>
      </c>
      <c r="Q516">
        <v>-12946.362924653486</v>
      </c>
      <c r="R516">
        <v>364255.52223762166</v>
      </c>
      <c r="S516">
        <v>721162.75739610498</v>
      </c>
      <c r="T516">
        <v>6.7866905682145217E-7</v>
      </c>
      <c r="U516">
        <v>3.112576889017567E-11</v>
      </c>
      <c r="V516">
        <v>2.2359595146581873E-9</v>
      </c>
      <c r="W516">
        <v>1.334882990552278E-7</v>
      </c>
      <c r="X516">
        <v>5.2473751532276527E-6</v>
      </c>
      <c r="Y516">
        <v>1.1920771349765846E-6</v>
      </c>
      <c r="Z516">
        <v>0.71992128046168358</v>
      </c>
      <c r="AA516">
        <v>7.096588434112161E-2</v>
      </c>
      <c r="AB516">
        <v>10.223694790926896</v>
      </c>
      <c r="AD516">
        <v>1.0969318639870613</v>
      </c>
      <c r="AE516">
        <v>0.32939181464178924</v>
      </c>
      <c r="AF516">
        <v>0.93447815108853571</v>
      </c>
      <c r="AG516">
        <v>2389145.4974683151</v>
      </c>
    </row>
    <row r="517" spans="2:33" ht="12.75" hidden="1" customHeight="1">
      <c r="B517">
        <f>-0.493516739977097*$F$42</f>
        <v>0</v>
      </c>
      <c r="C517">
        <f>-0.11449406580647*$F$43</f>
        <v>0</v>
      </c>
      <c r="D517">
        <f>0.971420353643727*$F$44</f>
        <v>0</v>
      </c>
      <c r="E517">
        <f>-0.529756871117235*$F$45</f>
        <v>0</v>
      </c>
      <c r="F517">
        <f>0.12181910183764*$F$46</f>
        <v>0</v>
      </c>
      <c r="G517">
        <f>0.957041252292072*$F$47</f>
        <v>0</v>
      </c>
      <c r="H517">
        <f>0.18549378475054*$F$48</f>
        <v>0</v>
      </c>
      <c r="I517">
        <f>-0.21812148266591*$F$49</f>
        <v>0</v>
      </c>
      <c r="J517">
        <f>0.304553115679026*$F$50</f>
        <v>0</v>
      </c>
      <c r="K517">
        <f>0.0918825439687999*$F$51</f>
        <v>0</v>
      </c>
      <c r="L517">
        <f>-0.105987958388722*$F$52</f>
        <v>0</v>
      </c>
      <c r="M517">
        <f>-0.199333869918818*$F$53</f>
        <v>0</v>
      </c>
      <c r="N517">
        <f>-0.0775182940616525*$F$54</f>
        <v>0</v>
      </c>
      <c r="P517">
        <v>914676.93412435486</v>
      </c>
      <c r="Q517">
        <v>-12653.447595767719</v>
      </c>
      <c r="R517">
        <v>388864.94457434211</v>
      </c>
      <c r="S517">
        <v>685484.99147023784</v>
      </c>
      <c r="T517">
        <v>7.0852733712863469E-7</v>
      </c>
      <c r="U517">
        <v>3.3966827882105428E-11</v>
      </c>
      <c r="V517">
        <v>2.3426635704926239E-9</v>
      </c>
      <c r="W517">
        <v>1.2716442072534317E-7</v>
      </c>
      <c r="X517">
        <v>5.1522765578395132E-6</v>
      </c>
      <c r="Y517">
        <v>1.2463474941801467E-6</v>
      </c>
      <c r="Z517">
        <v>0.69258084291278943</v>
      </c>
      <c r="AA517">
        <v>6.860466291056827E-2</v>
      </c>
      <c r="AB517">
        <v>9.9224817059383472</v>
      </c>
      <c r="AD517">
        <v>0.83048786770394545</v>
      </c>
      <c r="AE517">
        <v>0.27966252768845989</v>
      </c>
      <c r="AF517">
        <v>1.2410298170404734</v>
      </c>
      <c r="AG517">
        <v>1907344.2606906139</v>
      </c>
    </row>
    <row r="518" spans="2:33" ht="12.75" hidden="1" customHeight="1">
      <c r="B518">
        <f>-0.248344888900583*$F$42</f>
        <v>0</v>
      </c>
      <c r="C518">
        <f>0.430484645584861*$F$43</f>
        <v>0</v>
      </c>
      <c r="D518">
        <f>-0.510481346665878*$F$44</f>
        <v>0</v>
      </c>
      <c r="E518">
        <f>0.0642530074568027*$F$45</f>
        <v>0</v>
      </c>
      <c r="F518">
        <f>-0.0262939097399683*$F$46</f>
        <v>0</v>
      </c>
      <c r="G518">
        <f>0.19176090814653*$F$47</f>
        <v>0</v>
      </c>
      <c r="H518">
        <f>-0.202582835567716*$F$48</f>
        <v>0</v>
      </c>
      <c r="I518">
        <f>-0.00472725923377353*$F$49</f>
        <v>0</v>
      </c>
      <c r="J518">
        <f>-0.354555808182121*$F$50</f>
        <v>0</v>
      </c>
      <c r="K518">
        <f>-0.218244616023392*$F$51</f>
        <v>0</v>
      </c>
      <c r="L518">
        <f>0.196870903114063*$F$52</f>
        <v>0</v>
      </c>
      <c r="M518">
        <f>-0.00299857231416852*$F$53</f>
        <v>0</v>
      </c>
      <c r="N518">
        <f>0.122327508241004*$F$54</f>
        <v>0</v>
      </c>
      <c r="P518">
        <v>938266.41836815479</v>
      </c>
      <c r="Q518">
        <v>-13351.020346348621</v>
      </c>
      <c r="R518">
        <v>336341.24171902897</v>
      </c>
      <c r="S518">
        <v>728481.23253882362</v>
      </c>
      <c r="T518">
        <v>6.9815942631820215E-7</v>
      </c>
      <c r="U518">
        <v>3.1594458815254244E-11</v>
      </c>
      <c r="V518">
        <v>2.2534059478194253E-9</v>
      </c>
      <c r="W518">
        <v>1.2993854562996096E-7</v>
      </c>
      <c r="X518">
        <v>4.8227220959089398E-6</v>
      </c>
      <c r="Y518">
        <v>1.2080467899211112E-6</v>
      </c>
      <c r="Z518">
        <v>0.71378096321798445</v>
      </c>
      <c r="AA518">
        <v>6.9979009993800828E-2</v>
      </c>
      <c r="AB518">
        <v>10.122327508241005</v>
      </c>
      <c r="AD518">
        <v>1.2140190311576278</v>
      </c>
      <c r="AE518">
        <v>0.36842856607685937</v>
      </c>
      <c r="AF518">
        <v>0.84168171796183766</v>
      </c>
      <c r="AG518">
        <v>2696175.6089023771</v>
      </c>
    </row>
    <row r="519" spans="2:33" ht="12.75" hidden="1" customHeight="1">
      <c r="B519">
        <f>0.0925463698901235*$F$42</f>
        <v>0</v>
      </c>
      <c r="C519">
        <f>-0.578510600103577*$F$43</f>
        <v>0</v>
      </c>
      <c r="D519">
        <f>0.071696184211084*$F$44</f>
        <v>0</v>
      </c>
      <c r="E519">
        <f>-0.687051513061366*$F$45</f>
        <v>0</v>
      </c>
      <c r="F519">
        <f>-0.0489945088559624*$F$46</f>
        <v>0</v>
      </c>
      <c r="G519">
        <f>-0.355665211393124*$F$47</f>
        <v>0</v>
      </c>
      <c r="H519">
        <f>0.0168987837472632*$F$48</f>
        <v>0</v>
      </c>
      <c r="I519">
        <f>-0.0681074032001142*$F$49</f>
        <v>0</v>
      </c>
      <c r="J519">
        <f>-0.115138727325773*$F$50</f>
        <v>0</v>
      </c>
      <c r="K519">
        <f>0.852542922857033*$F$51</f>
        <v>0</v>
      </c>
      <c r="L519">
        <f>-0.291890336027912*$F$52</f>
        <v>0</v>
      </c>
      <c r="M519">
        <f>-0.331755771724468*$F$53</f>
        <v>0</v>
      </c>
      <c r="N519">
        <f>0.253225178468868*$F$54</f>
        <v>0</v>
      </c>
      <c r="P519">
        <v>971065.65263091237</v>
      </c>
      <c r="Q519">
        <v>-12059.506431867421</v>
      </c>
      <c r="R519">
        <v>356975.6195825761</v>
      </c>
      <c r="S519">
        <v>674099.52703981125</v>
      </c>
      <c r="T519">
        <v>6.965703843800826E-7</v>
      </c>
      <c r="U519">
        <v>2.989743784468132E-11</v>
      </c>
      <c r="V519">
        <v>2.3038867202618703E-9</v>
      </c>
      <c r="W519">
        <v>1.2911460375839851E-7</v>
      </c>
      <c r="X519">
        <v>4.9424306363371141E-6</v>
      </c>
      <c r="Y519">
        <v>1.3402890509728436E-6</v>
      </c>
      <c r="Z519">
        <v>0.67956767647804606</v>
      </c>
      <c r="AA519">
        <v>6.7677709597928737E-2</v>
      </c>
      <c r="AB519">
        <v>10.253225178468867</v>
      </c>
      <c r="AD519">
        <v>0.81352783035909026</v>
      </c>
      <c r="AE519">
        <v>0.28210599404140407</v>
      </c>
      <c r="AF519">
        <v>1.2656481759982865</v>
      </c>
      <c r="AG519">
        <v>2013273.0474040918</v>
      </c>
    </row>
    <row r="520" spans="2:33" ht="12.75" hidden="1" customHeight="1">
      <c r="B520">
        <f>0.410090143288151*$F$42</f>
        <v>0</v>
      </c>
      <c r="C520">
        <f>-0.193063202033404*$F$43</f>
        <v>0</v>
      </c>
      <c r="D520">
        <f>0.437802557547423*$F$44</f>
        <v>0</v>
      </c>
      <c r="E520">
        <f>-0.107721402185166*$F$45</f>
        <v>0</v>
      </c>
      <c r="F520">
        <f>0.64205192997965*$F$46</f>
        <v>0</v>
      </c>
      <c r="G520">
        <f>0.413650977713253*$F$47</f>
        <v>0</v>
      </c>
      <c r="H520">
        <f>0.15305164151283*$F$48</f>
        <v>0</v>
      </c>
      <c r="I520">
        <f>0.387250364496297*$F$49</f>
        <v>0</v>
      </c>
      <c r="J520">
        <f>-0.184362173542932*$F$50</f>
        <v>0</v>
      </c>
      <c r="K520">
        <f>0.167240700282902*$F$51</f>
        <v>0</v>
      </c>
      <c r="L520">
        <f>-0.278148835773706*$F$52</f>
        <v>0</v>
      </c>
      <c r="M520">
        <f>-0.051025616771659*$F$53</f>
        <v>0</v>
      </c>
      <c r="N520">
        <f>0.0210908238161356*$F$54</f>
        <v>0</v>
      </c>
      <c r="P520">
        <v>1001618.4824374298</v>
      </c>
      <c r="Q520">
        <v>-12552.879101397242</v>
      </c>
      <c r="R520">
        <v>369951.69104705768</v>
      </c>
      <c r="S520">
        <v>716033.20188932633</v>
      </c>
      <c r="T520">
        <v>7.4494363509857542E-7</v>
      </c>
      <c r="U520">
        <v>3.2282318030911091E-11</v>
      </c>
      <c r="V520">
        <v>2.3352018775479505E-9</v>
      </c>
      <c r="W520">
        <v>1.3503425473845186E-7</v>
      </c>
      <c r="X520">
        <v>4.9078189132285339E-6</v>
      </c>
      <c r="Y520">
        <v>1.2556542264849385E-6</v>
      </c>
      <c r="Z520">
        <v>0.68052958149584053</v>
      </c>
      <c r="AA520">
        <v>6.9642820682598389E-2</v>
      </c>
      <c r="AB520">
        <v>10.021090823816136</v>
      </c>
      <c r="AD520">
        <v>0.86837616861278577</v>
      </c>
      <c r="AE520">
        <v>0.29878146187730031</v>
      </c>
      <c r="AF520">
        <v>1.1842634184349812</v>
      </c>
      <c r="AG520">
        <v>2227946.2035910096</v>
      </c>
    </row>
    <row r="521" spans="2:33" ht="12.75" hidden="1" customHeight="1">
      <c r="B521">
        <f>-0.173776948271005*$F$42</f>
        <v>0</v>
      </c>
      <c r="C521">
        <f>-0.404922032522202*$F$43</f>
        <v>0</v>
      </c>
      <c r="D521">
        <f>-0.584324031600269*$F$44</f>
        <v>0</v>
      </c>
      <c r="E521">
        <f>-0.494572598600992*$F$45</f>
        <v>0</v>
      </c>
      <c r="F521">
        <f>-0.131642408111156*$F$46</f>
        <v>0</v>
      </c>
      <c r="G521">
        <f>-0.0164104497154405*$F$47</f>
        <v>0</v>
      </c>
      <c r="H521">
        <f>-0.0958089308142213*$F$48</f>
        <v>0</v>
      </c>
      <c r="I521">
        <f>-0.406679329323795*$F$49</f>
        <v>0</v>
      </c>
      <c r="J521">
        <f>0.0641771490422614*$F$50</f>
        <v>0</v>
      </c>
      <c r="K521">
        <f>0.170333048313553*$F$51</f>
        <v>0</v>
      </c>
      <c r="L521">
        <f>-0.154876746532167*$F$52</f>
        <v>0</v>
      </c>
      <c r="M521">
        <f>0.171929886329894*$F$53</f>
        <v>0</v>
      </c>
      <c r="N521">
        <f>-0.17546684603054*$F$54</f>
        <v>0</v>
      </c>
      <c r="P521">
        <v>945441.05629192316</v>
      </c>
      <c r="Q521">
        <v>-12281.699798371581</v>
      </c>
      <c r="R521">
        <v>333724.00250490149</v>
      </c>
      <c r="S521">
        <v>688031.73609098862</v>
      </c>
      <c r="T521">
        <v>6.9078503143221903E-7</v>
      </c>
      <c r="U521">
        <v>3.094912760588214E-11</v>
      </c>
      <c r="V521">
        <v>2.2779639459127288E-9</v>
      </c>
      <c r="W521">
        <v>1.2471316871879066E-7</v>
      </c>
      <c r="X521">
        <v>5.032088574521131E-6</v>
      </c>
      <c r="Y521">
        <v>1.2560361314667238E-6</v>
      </c>
      <c r="Z521">
        <v>0.68915862774274828</v>
      </c>
      <c r="AA521">
        <v>7.1203509204309262E-2</v>
      </c>
      <c r="AB521">
        <v>9.82453315396946</v>
      </c>
      <c r="AD521">
        <v>0.97823333480217545</v>
      </c>
      <c r="AE521">
        <v>0.32701529530403911</v>
      </c>
      <c r="AF521">
        <v>1.0501961082471565</v>
      </c>
      <c r="AG521">
        <v>2366112.6394118145</v>
      </c>
    </row>
    <row r="522" spans="2:33" ht="12.75" hidden="1" customHeight="1">
      <c r="B522">
        <f>0.021259165895637*$F$42</f>
        <v>0</v>
      </c>
      <c r="C522">
        <f>0.452058018805723*$F$43</f>
        <v>0</v>
      </c>
      <c r="D522">
        <f>0.57191130013509*$F$44</f>
        <v>0</v>
      </c>
      <c r="E522">
        <f>0.597772142782693*$F$45</f>
        <v>0</v>
      </c>
      <c r="F522">
        <f>-0.0396884998729141*$F$46</f>
        <v>0</v>
      </c>
      <c r="G522">
        <f>0.205392967768479*$F$47</f>
        <v>0</v>
      </c>
      <c r="H522">
        <f>0.145040665983871*$F$48</f>
        <v>0</v>
      </c>
      <c r="I522">
        <f>-0.221697875396602*$F$49</f>
        <v>0</v>
      </c>
      <c r="J522">
        <f>0.214922826470716*$F$50</f>
        <v>0</v>
      </c>
      <c r="K522">
        <f>0.67177842959969*$F$51</f>
        <v>0</v>
      </c>
      <c r="L522">
        <f>0.884550405092818*$F$52</f>
        <v>0</v>
      </c>
      <c r="M522">
        <f>0.295187577050544*$F$53</f>
        <v>0</v>
      </c>
      <c r="N522">
        <f>-0.674571242992412*$F$54</f>
        <v>0</v>
      </c>
      <c r="P522">
        <v>964206.67445691454</v>
      </c>
      <c r="Q522">
        <v>-13378.634264071326</v>
      </c>
      <c r="R522">
        <v>374704.96701975062</v>
      </c>
      <c r="S522">
        <v>767098.96969202196</v>
      </c>
      <c r="T522">
        <v>6.9722180500889594E-7</v>
      </c>
      <c r="U522">
        <v>3.1636718200082284E-11</v>
      </c>
      <c r="V522">
        <v>2.3333593531762901E-9</v>
      </c>
      <c r="W522">
        <v>1.2711792761984417E-7</v>
      </c>
      <c r="X522">
        <v>5.1074614132353586E-6</v>
      </c>
      <c r="Y522">
        <v>1.3179646360555617E-6</v>
      </c>
      <c r="Z522">
        <v>0.76191852835649732</v>
      </c>
      <c r="AA522">
        <v>7.2066313039353819E-2</v>
      </c>
      <c r="AB522">
        <v>9.3254287570075878</v>
      </c>
      <c r="AD522">
        <v>1.347259823210305</v>
      </c>
      <c r="AE522">
        <v>0.34665516903721622</v>
      </c>
      <c r="AF522">
        <v>0.75765131811664332</v>
      </c>
      <c r="AG522">
        <v>2680854.075596421</v>
      </c>
    </row>
    <row r="523" spans="2:33" ht="12.75" hidden="1" customHeight="1">
      <c r="B523">
        <f>0.0607463610617222*$F$42</f>
        <v>0</v>
      </c>
      <c r="C523">
        <f>0.382782365989994*$F$43</f>
        <v>0</v>
      </c>
      <c r="D523">
        <f>0.314728552148379*$F$44</f>
        <v>0</v>
      </c>
      <c r="E523">
        <f>0.233127594253299*$F$45</f>
        <v>0</v>
      </c>
      <c r="F523">
        <f>-0.102810796426305*$F$46</f>
        <v>0</v>
      </c>
      <c r="G523">
        <f>-0.471500200764791*$F$47</f>
        <v>0</v>
      </c>
      <c r="H523">
        <f>0.22012144672058*$F$48</f>
        <v>0</v>
      </c>
      <c r="I523">
        <f>-0.0281887529347357*$F$49</f>
        <v>0</v>
      </c>
      <c r="J523">
        <f>0.0921670766254004*$F$50</f>
        <v>0</v>
      </c>
      <c r="K523">
        <f>-0.0849585916965863*$F$51</f>
        <v>0</v>
      </c>
      <c r="L523">
        <f>0.159391183240877*$F$52</f>
        <v>0</v>
      </c>
      <c r="M523">
        <f>0.195065957191755*$F$53</f>
        <v>0</v>
      </c>
      <c r="N523">
        <f>-0.317880456258499*$F$54</f>
        <v>0</v>
      </c>
      <c r="P523">
        <v>968005.97916547803</v>
      </c>
      <c r="Q523">
        <v>-13289.961428467192</v>
      </c>
      <c r="R523">
        <v>365589.52418575919</v>
      </c>
      <c r="S523">
        <v>740704.88858590904</v>
      </c>
      <c r="T523">
        <v>6.9280324425015866E-7</v>
      </c>
      <c r="U523">
        <v>2.9538349377629152E-11</v>
      </c>
      <c r="V523">
        <v>2.3506279327457333E-9</v>
      </c>
      <c r="W523">
        <v>1.2963354621184842E-7</v>
      </c>
      <c r="X523">
        <v>5.0460835383127001E-6</v>
      </c>
      <c r="Y523">
        <v>1.2245076139254717E-6</v>
      </c>
      <c r="Z523">
        <v>0.71115738282686136</v>
      </c>
      <c r="AA523">
        <v>7.1365461700342303E-2</v>
      </c>
      <c r="AB523">
        <v>9.6821195437415</v>
      </c>
      <c r="AD523">
        <v>1.0832449172479155</v>
      </c>
      <c r="AE523">
        <v>0.33660394664567772</v>
      </c>
      <c r="AF523">
        <v>0.94687572708097578</v>
      </c>
      <c r="AG523">
        <v>2534313.2115274565</v>
      </c>
    </row>
    <row r="524" spans="2:33" ht="12.75" hidden="1" customHeight="1">
      <c r="B524">
        <f>0.0898672508883393*$F$42</f>
        <v>0</v>
      </c>
      <c r="C524">
        <f>-0.202742176938482*$F$43</f>
        <v>0</v>
      </c>
      <c r="D524">
        <f>0.184007258166025*$F$44</f>
        <v>0</v>
      </c>
      <c r="E524">
        <f>0.0538947247181513*$F$45</f>
        <v>0</v>
      </c>
      <c r="F524">
        <f>-0.201982897411609*$F$46</f>
        <v>0</v>
      </c>
      <c r="G524">
        <f>-0.0550669919633435*$F$47</f>
        <v>0</v>
      </c>
      <c r="H524">
        <f>0.0844453577838709*$F$48</f>
        <v>0</v>
      </c>
      <c r="I524">
        <f>-0.224311832174964*$F$49</f>
        <v>0</v>
      </c>
      <c r="J524">
        <f>-0.259531463378288*$F$50</f>
        <v>0</v>
      </c>
      <c r="K524">
        <f>0.251318088439212*$F$51</f>
        <v>0</v>
      </c>
      <c r="L524">
        <f>0.0482577150018538*$F$52</f>
        <v>0</v>
      </c>
      <c r="M524">
        <f>-0.287272365453493*$F$53</f>
        <v>0</v>
      </c>
      <c r="N524">
        <f>0.255473414954499*$F$54</f>
        <v>0</v>
      </c>
      <c r="P524">
        <v>970807.87819554261</v>
      </c>
      <c r="Q524">
        <v>-12540.490013518744</v>
      </c>
      <c r="R524">
        <v>360956.31106470217</v>
      </c>
      <c r="S524">
        <v>727731.46854035824</v>
      </c>
      <c r="T524">
        <v>6.8586119718118736E-7</v>
      </c>
      <c r="U524">
        <v>3.0829292324913633E-11</v>
      </c>
      <c r="V524">
        <v>2.3194224322902903E-9</v>
      </c>
      <c r="W524">
        <v>1.2708394618172548E-7</v>
      </c>
      <c r="X524">
        <v>4.8702342683108566E-6</v>
      </c>
      <c r="Y524">
        <v>1.2660377839222427E-6</v>
      </c>
      <c r="Z524">
        <v>0.70337804005012972</v>
      </c>
      <c r="AA524">
        <v>6.7989093441825563E-2</v>
      </c>
      <c r="AB524">
        <v>10.255473414954499</v>
      </c>
      <c r="AD524">
        <v>1.0415447387571102</v>
      </c>
      <c r="AE524">
        <v>0.33027769148119346</v>
      </c>
      <c r="AF524">
        <v>0.98524124121911982</v>
      </c>
      <c r="AG524">
        <v>2450405.3588331961</v>
      </c>
    </row>
    <row r="525" spans="2:33" ht="12.75" hidden="1" customHeight="1">
      <c r="B525">
        <f>0.153039952308646*$F$42</f>
        <v>0</v>
      </c>
      <c r="C525">
        <f>-0.0240095901310632*$F$43</f>
        <v>0</v>
      </c>
      <c r="D525">
        <f>0.171321570222008*$F$44</f>
        <v>0</v>
      </c>
      <c r="E525">
        <f>-0.0156974034140648*$F$45</f>
        <v>0</v>
      </c>
      <c r="F525">
        <f>0.290010575854651*$F$46</f>
        <v>0</v>
      </c>
      <c r="G525">
        <f>0.419383660963145*$F$47</f>
        <v>0</v>
      </c>
      <c r="H525">
        <f>0.159283195249684*$F$48</f>
        <v>0</v>
      </c>
      <c r="I525">
        <f>-0.0689375101209792*$F$49</f>
        <v>0</v>
      </c>
      <c r="J525">
        <f>-0.169270099186843*$F$50</f>
        <v>0</v>
      </c>
      <c r="K525">
        <f>0.0194512359998961*$F$51</f>
        <v>0</v>
      </c>
      <c r="L525">
        <f>-0.601334557259038*$F$52</f>
        <v>0</v>
      </c>
      <c r="M525">
        <f>0.580233825298674*$F$53</f>
        <v>0</v>
      </c>
      <c r="N525">
        <f>-0.453118489029236*$F$54</f>
        <v>0</v>
      </c>
      <c r="P525">
        <v>976886.11041612295</v>
      </c>
      <c r="Q525">
        <v>-12769.267724632238</v>
      </c>
      <c r="R525">
        <v>360506.68656940153</v>
      </c>
      <c r="S525">
        <v>722694.17871475522</v>
      </c>
      <c r="T525">
        <v>7.2030074030982554E-7</v>
      </c>
      <c r="U525">
        <v>3.230008934898575E-11</v>
      </c>
      <c r="V525">
        <v>2.3366351349074272E-9</v>
      </c>
      <c r="W525">
        <v>1.2910381236842727E-7</v>
      </c>
      <c r="X525">
        <v>4.9153649504065789E-6</v>
      </c>
      <c r="Y525">
        <v>1.2374022276459873E-6</v>
      </c>
      <c r="Z525">
        <v>0.65790658099186727</v>
      </c>
      <c r="AA525">
        <v>7.4061636777090725E-2</v>
      </c>
      <c r="AB525">
        <v>9.5468815109707634</v>
      </c>
      <c r="AD525">
        <v>0.88382720729209285</v>
      </c>
      <c r="AE525">
        <v>0.32430389504380774</v>
      </c>
      <c r="AF525">
        <v>1.1633513209802853</v>
      </c>
      <c r="AG525">
        <v>2388283.6363077927</v>
      </c>
    </row>
    <row r="526" spans="2:33" ht="12.75" hidden="1" customHeight="1">
      <c r="B526">
        <f>0.131967273560972*$F$42</f>
        <v>0</v>
      </c>
      <c r="C526">
        <f>-0.375779219570869*$F$43</f>
        <v>0</v>
      </c>
      <c r="D526">
        <f>0.374356005275121*$F$44</f>
        <v>0</v>
      </c>
      <c r="E526">
        <f>-0.225915773569578*$F$45</f>
        <v>0</v>
      </c>
      <c r="F526">
        <f>-0.0902600874757944*$F$46</f>
        <v>0</v>
      </c>
      <c r="G526">
        <f>-0.223872395845325*$F$47</f>
        <v>0</v>
      </c>
      <c r="H526">
        <f>0.130698340348237*$F$48</f>
        <v>0</v>
      </c>
      <c r="I526">
        <f>0.10681476272714*$F$49</f>
        <v>0</v>
      </c>
      <c r="J526">
        <f>-0.125286693036324*$F$50</f>
        <v>0</v>
      </c>
      <c r="K526">
        <f>0.542065304746309*$F$51</f>
        <v>0</v>
      </c>
      <c r="L526">
        <f>-0.1925106715189*$F$52</f>
        <v>0</v>
      </c>
      <c r="M526">
        <f>0.234035760269212*$F$53</f>
        <v>0</v>
      </c>
      <c r="N526">
        <f>0.128436665555691*$F$54</f>
        <v>0</v>
      </c>
      <c r="P526">
        <v>974858.57902901515</v>
      </c>
      <c r="Q526">
        <v>-12319.002598949288</v>
      </c>
      <c r="R526">
        <v>367702.92659928882</v>
      </c>
      <c r="S526">
        <v>707477.93392443389</v>
      </c>
      <c r="T526">
        <v>6.9368179387669439E-7</v>
      </c>
      <c r="U526">
        <v>3.0305995572879493E-11</v>
      </c>
      <c r="V526">
        <v>2.3300606182800942E-9</v>
      </c>
      <c r="W526">
        <v>1.3138859191545284E-7</v>
      </c>
      <c r="X526">
        <v>4.9373566534818386E-6</v>
      </c>
      <c r="Y526">
        <v>1.3019450651361691E-6</v>
      </c>
      <c r="Z526">
        <v>0.68652425299367703</v>
      </c>
      <c r="AA526">
        <v>7.1638250321884478E-2</v>
      </c>
      <c r="AB526">
        <v>10.128436665555691</v>
      </c>
      <c r="AD526">
        <v>0.89129094245136142</v>
      </c>
      <c r="AE526">
        <v>0.30098712400214439</v>
      </c>
      <c r="AF526">
        <v>1.1535140319933002</v>
      </c>
      <c r="AG526">
        <v>2194824.8814449711</v>
      </c>
    </row>
    <row r="527" spans="2:33" ht="12.75" hidden="1" customHeight="1">
      <c r="B527">
        <f>-0.0856614894644992*$F$42</f>
        <v>0</v>
      </c>
      <c r="C527">
        <f>-0.134698780532379*$F$43</f>
        <v>0</v>
      </c>
      <c r="D527">
        <f>-0.390369357131777*$F$44</f>
        <v>0</v>
      </c>
      <c r="E527">
        <f>-0.424704702592737*$F$45</f>
        <v>0</v>
      </c>
      <c r="F527">
        <f>0.101670193582452*$F$46</f>
        <v>0</v>
      </c>
      <c r="G527">
        <f>0.00685673122462248*$F$47</f>
        <v>0</v>
      </c>
      <c r="H527">
        <f>0.129677267909702*$F$48</f>
        <v>0</v>
      </c>
      <c r="I527">
        <f>-0.413977594948264*$F$49</f>
        <v>0</v>
      </c>
      <c r="J527">
        <f>-0.44485975213424*$F$50</f>
        <v>0</v>
      </c>
      <c r="K527">
        <f>-0.00671263066943091*$F$51</f>
        <v>0</v>
      </c>
      <c r="L527">
        <f>0.194733531507445*$F$52</f>
        <v>0</v>
      </c>
      <c r="M527">
        <f>-0.214925475691218*$F$53</f>
        <v>0</v>
      </c>
      <c r="N527">
        <f>0.0144292663467189*$F$54</f>
        <v>0</v>
      </c>
      <c r="P527">
        <v>953919.18385030492</v>
      </c>
      <c r="Q527">
        <v>-12627.585560918556</v>
      </c>
      <c r="R527">
        <v>340598.42453104112</v>
      </c>
      <c r="S527">
        <v>693088.98683391768</v>
      </c>
      <c r="T527">
        <v>7.0711691355077165E-7</v>
      </c>
      <c r="U527">
        <v>3.1021255866796335E-11</v>
      </c>
      <c r="V527">
        <v>2.3298257716192317E-9</v>
      </c>
      <c r="W527">
        <v>1.2461829126567258E-7</v>
      </c>
      <c r="X527">
        <v>4.7775701239328805E-6</v>
      </c>
      <c r="Y527">
        <v>1.2341709901123252E-6</v>
      </c>
      <c r="Z527">
        <v>0.71363134720552113</v>
      </c>
      <c r="AA527">
        <v>6.8495521670161486E-2</v>
      </c>
      <c r="AB527">
        <v>10.014429266346719</v>
      </c>
      <c r="AD527">
        <v>1.0383891420201776</v>
      </c>
      <c r="AE527">
        <v>0.3195611890708675</v>
      </c>
      <c r="AF527">
        <v>0.98879468093360434</v>
      </c>
      <c r="AG527">
        <v>2334061.6312208297</v>
      </c>
    </row>
    <row r="528" spans="2:33" ht="12.75" hidden="1" customHeight="1">
      <c r="B528">
        <f>-0.100199270680415*$F$42</f>
        <v>0</v>
      </c>
      <c r="C528">
        <f>0.348548894414214*$F$43</f>
        <v>0</v>
      </c>
      <c r="D528">
        <f>0.817844145813731*$F$44</f>
        <v>0</v>
      </c>
      <c r="E528">
        <f>-0.563260241778314*$F$45</f>
        <v>0</v>
      </c>
      <c r="F528">
        <f>0.275535725019702*$F$46</f>
        <v>0</v>
      </c>
      <c r="G528">
        <f>0.421408243798826*$F$47</f>
        <v>0</v>
      </c>
      <c r="H528">
        <f>-0.0719505177497258*$F$48</f>
        <v>0</v>
      </c>
      <c r="I528">
        <f>-0.529264651694205*$F$49</f>
        <v>0</v>
      </c>
      <c r="J528">
        <f>0.259478005609892*$F$50</f>
        <v>0</v>
      </c>
      <c r="K528">
        <f>-0.538432760676204*$F$51</f>
        <v>0</v>
      </c>
      <c r="L528">
        <f>0.1958977381793*$F$52</f>
        <v>0</v>
      </c>
      <c r="M528">
        <f>-0.714989655582596*$F$53</f>
        <v>0</v>
      </c>
      <c r="N528">
        <f>-0.0635944248099599*$F$54</f>
        <v>0</v>
      </c>
      <c r="P528">
        <v>952520.41494830069</v>
      </c>
      <c r="Q528">
        <v>-13246.142584850193</v>
      </c>
      <c r="R528">
        <v>383421.67454906093</v>
      </c>
      <c r="S528">
        <v>683059.91563646216</v>
      </c>
      <c r="T528">
        <v>7.1928750075137912E-7</v>
      </c>
      <c r="U528">
        <v>3.2306365555776364E-11</v>
      </c>
      <c r="V528">
        <v>2.2834513809175629E-9</v>
      </c>
      <c r="W528">
        <v>1.2311955952797535E-7</v>
      </c>
      <c r="X528">
        <v>5.1297390028049464E-6</v>
      </c>
      <c r="Y528">
        <v>1.1685035540564889E-6</v>
      </c>
      <c r="Z528">
        <v>0.713712841672551</v>
      </c>
      <c r="AA528">
        <v>6.4995072410921825E-2</v>
      </c>
      <c r="AB528">
        <v>9.9364055751900402</v>
      </c>
      <c r="AD528">
        <v>0.8514614102269864</v>
      </c>
      <c r="AE528">
        <v>0.26929327438208356</v>
      </c>
      <c r="AF528">
        <v>1.2106133150493434</v>
      </c>
      <c r="AG528">
        <v>1920928.4244298546</v>
      </c>
    </row>
    <row r="529" spans="2:33" ht="12.75" hidden="1" customHeight="1">
      <c r="B529">
        <f>0.0306795768383328*$F$42</f>
        <v>0</v>
      </c>
      <c r="C529">
        <f>-0.0133161775318083*$F$43</f>
        <v>0</v>
      </c>
      <c r="D529">
        <f>-0.153189242302865*$F$44</f>
        <v>0</v>
      </c>
      <c r="E529">
        <f>-0.173979649166524*$F$45</f>
        <v>0</v>
      </c>
      <c r="F529">
        <f>-0.00675621742688576*$F$46</f>
        <v>0</v>
      </c>
      <c r="G529">
        <f>0.708356455173569*$F$47</f>
        <v>0</v>
      </c>
      <c r="H529">
        <f>0.0303858232838525*$F$48</f>
        <v>0</v>
      </c>
      <c r="I529">
        <f>-0.243718037016259*$F$49</f>
        <v>0</v>
      </c>
      <c r="J529">
        <f>-0.446873543153685*$F$50</f>
        <v>0</v>
      </c>
      <c r="K529">
        <f>0.464247295316329*$F$51</f>
        <v>0</v>
      </c>
      <c r="L529">
        <f>0.0227906560394693*$F$52</f>
        <v>0</v>
      </c>
      <c r="M529">
        <f>-0.0798956609421597*$F$53</f>
        <v>0</v>
      </c>
      <c r="N529">
        <f>0.244219050218941*$F$54</f>
        <v>0</v>
      </c>
      <c r="P529">
        <v>965113.06984662625</v>
      </c>
      <c r="Q529">
        <v>-12782.955292759285</v>
      </c>
      <c r="R529">
        <v>349004.90511734458</v>
      </c>
      <c r="S529">
        <v>711237.22851792176</v>
      </c>
      <c r="T529">
        <v>6.9952706478011804E-7</v>
      </c>
      <c r="U529">
        <v>3.3195905011038067E-11</v>
      </c>
      <c r="V529">
        <v>2.3069887393552858E-9</v>
      </c>
      <c r="W529">
        <v>1.2683166551878863E-7</v>
      </c>
      <c r="X529">
        <v>4.7765632284231575E-6</v>
      </c>
      <c r="Y529">
        <v>1.2923345409715667E-6</v>
      </c>
      <c r="Z529">
        <v>0.70159534592276274</v>
      </c>
      <c r="AA529">
        <v>6.9440730373404883E-2</v>
      </c>
      <c r="AB529">
        <v>10.244219050218941</v>
      </c>
      <c r="AD529">
        <v>1.0265688914943369</v>
      </c>
      <c r="AE529">
        <v>0.32772445354898427</v>
      </c>
      <c r="AF529">
        <v>1.0000987514941302</v>
      </c>
      <c r="AG529">
        <v>2413690.0872909143</v>
      </c>
    </row>
    <row r="530" spans="2:33" ht="12.75" hidden="1" customHeight="1">
      <c r="B530">
        <f>0.335723656193996*$F$42</f>
        <v>0</v>
      </c>
      <c r="C530">
        <f>0.0943629406606473*$F$43</f>
        <v>0</v>
      </c>
      <c r="D530">
        <f>-0.187489241688895*$F$44</f>
        <v>0</v>
      </c>
      <c r="E530">
        <f>0.00776410232357571*$F$45</f>
        <v>0</v>
      </c>
      <c r="F530">
        <f>-0.0646089283883215*$F$46</f>
        <v>0</v>
      </c>
      <c r="G530">
        <f>-0.758755567110983*$F$47</f>
        <v>0</v>
      </c>
      <c r="H530">
        <f>-0.313278292662953*$F$48</f>
        <v>0</v>
      </c>
      <c r="I530">
        <f>-0.00564262283173608*$F$49</f>
        <v>0</v>
      </c>
      <c r="J530">
        <f>0.197712963065549*$F$50</f>
        <v>0</v>
      </c>
      <c r="K530">
        <f>-0.339654111484023*$F$51</f>
        <v>0</v>
      </c>
      <c r="L530">
        <f>0.342343595116308*$F$52</f>
        <v>0</v>
      </c>
      <c r="M530">
        <f>0.501647444753471*$F$53</f>
        <v>0</v>
      </c>
      <c r="N530">
        <f>0.580102494211619*$F$54</f>
        <v>0</v>
      </c>
      <c r="P530">
        <v>994463.22759120015</v>
      </c>
      <c r="Q530">
        <v>-12920.784564045629</v>
      </c>
      <c r="R530">
        <v>347789.19494216033</v>
      </c>
      <c r="S530">
        <v>724392.39383358322</v>
      </c>
      <c r="T530">
        <v>6.9547737501281745E-7</v>
      </c>
      <c r="U530">
        <v>2.8647857741955958E-11</v>
      </c>
      <c r="V530">
        <v>2.2279459926875206E-9</v>
      </c>
      <c r="W530">
        <v>1.2992664590318743E-7</v>
      </c>
      <c r="X530">
        <v>5.0988564815327748E-6</v>
      </c>
      <c r="Y530">
        <v>1.1930527172317232E-6</v>
      </c>
      <c r="Z530">
        <v>0.72396405165814148</v>
      </c>
      <c r="AA530">
        <v>7.3511532113274297E-2</v>
      </c>
      <c r="AB530">
        <v>10.580102494211619</v>
      </c>
      <c r="AD530">
        <v>1.1089227217520017</v>
      </c>
      <c r="AE530">
        <v>0.32835371925609602</v>
      </c>
      <c r="AF530">
        <v>0.92410337479471061</v>
      </c>
      <c r="AG530">
        <v>2520100.3689133623</v>
      </c>
    </row>
    <row r="531" spans="2:33" ht="12.75" hidden="1" customHeight="1">
      <c r="B531">
        <f>0.0924362893557307*$F$42</f>
        <v>0</v>
      </c>
      <c r="C531">
        <f>-0.52026477164126*$F$43</f>
        <v>0</v>
      </c>
      <c r="D531">
        <f>-0.135957378720597*$F$44</f>
        <v>0</v>
      </c>
      <c r="E531">
        <f>-0.153300112421463*$F$45</f>
        <v>0</v>
      </c>
      <c r="F531">
        <f>0.135068606388052*$F$46</f>
        <v>0</v>
      </c>
      <c r="G531">
        <f>-0.245980522569079*$F$47</f>
        <v>0</v>
      </c>
      <c r="H531">
        <f>0.059873298599193*$F$48</f>
        <v>0</v>
      </c>
      <c r="I531">
        <f>0.12358707809217*$F$49</f>
        <v>0</v>
      </c>
      <c r="J531">
        <f>0.105402324751871*$F$50</f>
        <v>0</v>
      </c>
      <c r="K531">
        <f>-0.314837240962221*$F$51</f>
        <v>0</v>
      </c>
      <c r="L531">
        <f>-0.519107767552827*$F$52</f>
        <v>0</v>
      </c>
      <c r="M531">
        <f>-0.43724790800119*$F$53</f>
        <v>0</v>
      </c>
      <c r="N531">
        <f>0.353421881060127*$F$54</f>
        <v>0</v>
      </c>
      <c r="P531">
        <v>971055.06110900571</v>
      </c>
      <c r="Q531">
        <v>-12134.061092299187</v>
      </c>
      <c r="R531">
        <v>349615.66174327279</v>
      </c>
      <c r="S531">
        <v>712734.07626262889</v>
      </c>
      <c r="T531">
        <v>7.0945480244716351E-7</v>
      </c>
      <c r="U531">
        <v>3.0237460380035858E-11</v>
      </c>
      <c r="V531">
        <v>2.3137708586778143E-9</v>
      </c>
      <c r="W531">
        <v>1.3160663201519822E-7</v>
      </c>
      <c r="X531">
        <v>5.0527011623759358E-6</v>
      </c>
      <c r="Y531">
        <v>1.1961176007411657E-6</v>
      </c>
      <c r="Z531">
        <v>0.66366245627130205</v>
      </c>
      <c r="AA531">
        <v>6.6939264643991678E-2</v>
      </c>
      <c r="AB531">
        <v>10.353421881060127</v>
      </c>
      <c r="AD531">
        <v>0.92786648533971283</v>
      </c>
      <c r="AE531">
        <v>0.3317126887665639</v>
      </c>
      <c r="AF531">
        <v>1.1062883688608247</v>
      </c>
      <c r="AG531">
        <v>2412617.7768759369</v>
      </c>
    </row>
    <row r="532" spans="2:33" ht="12.75" hidden="1" customHeight="1">
      <c r="B532">
        <f>-0.576538369501907*$F$42</f>
        <v>0</v>
      </c>
      <c r="C532">
        <f>0.511096703284707*$F$43</f>
        <v>0</v>
      </c>
      <c r="D532">
        <f>-0.0826228678445311*$F$44</f>
        <v>0</v>
      </c>
      <c r="E532">
        <f>-0.000840956874542566*$F$45</f>
        <v>0</v>
      </c>
      <c r="F532">
        <f>-0.155607150901537*$F$46</f>
        <v>0</v>
      </c>
      <c r="G532">
        <f>-0.0369930125670314*$F$47</f>
        <v>0</v>
      </c>
      <c r="H532">
        <f>0.153515483435503*$F$48</f>
        <v>0</v>
      </c>
      <c r="I532">
        <f>0.366162676395266*$F$49</f>
        <v>0</v>
      </c>
      <c r="J532">
        <f>0.179083330235514*$F$50</f>
        <v>0</v>
      </c>
      <c r="K532">
        <f>-0.263732260912251*$F$51</f>
        <v>0</v>
      </c>
      <c r="L532">
        <f>1.27676844625769*$F$52</f>
        <v>0</v>
      </c>
      <c r="M532">
        <f>-0.265703380971588*$F$53</f>
        <v>0</v>
      </c>
      <c r="N532">
        <f>0.115535013425711*$F$54</f>
        <v>0</v>
      </c>
      <c r="P532">
        <v>906688.91505540023</v>
      </c>
      <c r="Q532">
        <v>-13454.203780204427</v>
      </c>
      <c r="R532">
        <v>351506.02059811633</v>
      </c>
      <c r="S532">
        <v>723769.53348557022</v>
      </c>
      <c r="T532">
        <v>6.8910749943689238E-7</v>
      </c>
      <c r="U532">
        <v>3.0885321661042204E-11</v>
      </c>
      <c r="V532">
        <v>2.3353085611901653E-9</v>
      </c>
      <c r="W532">
        <v>1.3476011479313845E-7</v>
      </c>
      <c r="X532">
        <v>5.0895416651177579E-6</v>
      </c>
      <c r="Y532">
        <v>1.2024290657773372E-6</v>
      </c>
      <c r="Z532">
        <v>0.7893737912380383</v>
      </c>
      <c r="AA532">
        <v>6.8140076333198893E-2</v>
      </c>
      <c r="AB532">
        <v>10.115535013425712</v>
      </c>
      <c r="AD532">
        <v>1.5621612803884974</v>
      </c>
      <c r="AE532">
        <v>0.35319749505281123</v>
      </c>
      <c r="AF532">
        <v>0.6512958463266828</v>
      </c>
      <c r="AG532">
        <v>2571067.2244219841</v>
      </c>
    </row>
    <row r="533" spans="2:33" ht="12.75" hidden="1" customHeight="1">
      <c r="B533">
        <f>0.0985059432550772*$F$42</f>
        <v>0</v>
      </c>
      <c r="C533">
        <f>-0.0547708827893795*$F$43</f>
        <v>0</v>
      </c>
      <c r="D533">
        <f>-0.02310235327829*$F$44</f>
        <v>0</v>
      </c>
      <c r="E533">
        <f>0.113560222212255*$F$45</f>
        <v>0</v>
      </c>
      <c r="F533">
        <f>-0.607478921821966*$F$46</f>
        <v>0</v>
      </c>
      <c r="G533">
        <f>-0.0923017951220132*$F$47</f>
        <v>0</v>
      </c>
      <c r="H533">
        <f>-0.300954837462378*$F$48</f>
        <v>0</v>
      </c>
      <c r="I533">
        <f>-0.228674876417943*$F$49</f>
        <v>0</v>
      </c>
      <c r="J533">
        <f>0.235053554926623*$F$50</f>
        <v>0</v>
      </c>
      <c r="K533">
        <f>0.641707114828899*$F$51</f>
        <v>0</v>
      </c>
      <c r="L533">
        <f>-0.428452252280338*$F$52</f>
        <v>0</v>
      </c>
      <c r="M533">
        <f>0.38177644306124*$F$53</f>
        <v>0</v>
      </c>
      <c r="N533">
        <f>-0.267639741859973*$F$54</f>
        <v>0</v>
      </c>
      <c r="P533">
        <v>971639.05965694354</v>
      </c>
      <c r="Q533">
        <v>-12729.893270029594</v>
      </c>
      <c r="R533">
        <v>353615.63274055423</v>
      </c>
      <c r="S533">
        <v>732050.2386589495</v>
      </c>
      <c r="T533">
        <v>6.5747647547246233E-7</v>
      </c>
      <c r="U533">
        <v>3.0713864435121764E-11</v>
      </c>
      <c r="V533">
        <v>2.2307803873836529E-9</v>
      </c>
      <c r="W533">
        <v>1.2702722660656674E-7</v>
      </c>
      <c r="X533">
        <v>5.1175267774633115E-6</v>
      </c>
      <c r="Y533">
        <v>1.3142508286813692E-6</v>
      </c>
      <c r="Z533">
        <v>0.67000834234037632</v>
      </c>
      <c r="AA533">
        <v>7.2672435101428678E-2</v>
      </c>
      <c r="AB533">
        <v>9.7323602581400266</v>
      </c>
      <c r="AD533">
        <v>0.97292872952986276</v>
      </c>
      <c r="AE533">
        <v>0.34281365586388851</v>
      </c>
      <c r="AF533">
        <v>1.0554498993780013</v>
      </c>
      <c r="AG533">
        <v>2545147.7303087222</v>
      </c>
    </row>
    <row r="534" spans="2:33" ht="12.75" hidden="1" customHeight="1">
      <c r="B534">
        <f>-0.50303549944628*$F$42</f>
        <v>0</v>
      </c>
      <c r="C534">
        <f>-0.220843086572914*$F$43</f>
        <v>0</v>
      </c>
      <c r="D534">
        <f>-0.305140064662487*$F$44</f>
        <v>0</v>
      </c>
      <c r="E534">
        <f>-0.134837243001272*$F$45</f>
        <v>0</v>
      </c>
      <c r="F534">
        <f>0.0897842466258497*$F$46</f>
        <v>0</v>
      </c>
      <c r="G534">
        <f>-0.371156563278566*$F$47</f>
        <v>0</v>
      </c>
      <c r="H534">
        <f>0.74537734907275*$F$48</f>
        <v>0</v>
      </c>
      <c r="I534">
        <f>0.336090560432343*$F$49</f>
        <v>0</v>
      </c>
      <c r="J534">
        <f>0.168807777446566*$F$50</f>
        <v>0</v>
      </c>
      <c r="K534">
        <f>-0.117636345152937*$F$51</f>
        <v>0</v>
      </c>
      <c r="L534">
        <f>-0.120298264145949*$F$52</f>
        <v>0</v>
      </c>
      <c r="M534">
        <f>-0.258499139014151*$F$53</f>
        <v>0</v>
      </c>
      <c r="N534">
        <f>0.384376583823199*$F$54</f>
        <v>0</v>
      </c>
      <c r="P534">
        <v>913761.07602101669</v>
      </c>
      <c r="Q534">
        <v>-12517.32084918667</v>
      </c>
      <c r="R534">
        <v>343619.24435417127</v>
      </c>
      <c r="S534">
        <v>714070.47488669551</v>
      </c>
      <c r="T534">
        <v>7.0628489726380944E-7</v>
      </c>
      <c r="U534">
        <v>2.9849414653836446E-11</v>
      </c>
      <c r="V534">
        <v>2.4714367902867321E-9</v>
      </c>
      <c r="W534">
        <v>1.3436917728562045E-7</v>
      </c>
      <c r="X534">
        <v>5.0844038887232837E-6</v>
      </c>
      <c r="Y534">
        <v>1.2204719113736123E-6</v>
      </c>
      <c r="Z534">
        <v>0.69157912150978351</v>
      </c>
      <c r="AA534">
        <v>6.8190506026900952E-2</v>
      </c>
      <c r="AB534">
        <v>10.384376583823197</v>
      </c>
      <c r="AD534">
        <v>1.1035140277609023</v>
      </c>
      <c r="AE534">
        <v>0.36046496169489139</v>
      </c>
      <c r="AF534">
        <v>0.92786055392322653</v>
      </c>
      <c r="AG534">
        <v>2531751.0090137855</v>
      </c>
    </row>
    <row r="535" spans="2:33" ht="12.75" hidden="1" customHeight="1">
      <c r="B535">
        <f>0.0943327847462444*$F$42</f>
        <v>0</v>
      </c>
      <c r="C535">
        <f>-0.203780230791986*$F$43</f>
        <v>0</v>
      </c>
      <c r="D535">
        <f>-0.22007762312732*$F$44</f>
        <v>0</v>
      </c>
      <c r="E535">
        <f>0.495136597015758*$F$45</f>
        <v>0</v>
      </c>
      <c r="F535">
        <f>-0.10956516055286*$F$46</f>
        <v>0</v>
      </c>
      <c r="G535">
        <f>0.159005430581314*$F$47</f>
        <v>0</v>
      </c>
      <c r="H535">
        <f>-0.0705108660921807*$F$48</f>
        <v>0</v>
      </c>
      <c r="I535">
        <f>0.512915647952954*$F$49</f>
        <v>0</v>
      </c>
      <c r="J535">
        <f>0.391047836030271*$F$50</f>
        <v>0</v>
      </c>
      <c r="K535">
        <f>-0.040182156780969*$F$51</f>
        <v>0</v>
      </c>
      <c r="L535">
        <f>-0.0945028714365175*$F$52</f>
        <v>0</v>
      </c>
      <c r="M535">
        <f>0.0141997559306069*$F$53</f>
        <v>0</v>
      </c>
      <c r="N535">
        <f>-0.339258343006184*$F$54</f>
        <v>0</v>
      </c>
      <c r="P535">
        <v>971237.53453707881</v>
      </c>
      <c r="Q535">
        <v>-12539.161304586258</v>
      </c>
      <c r="R535">
        <v>346634.15040523198</v>
      </c>
      <c r="S535">
        <v>759669.89683115541</v>
      </c>
      <c r="T535">
        <v>6.9233043876129977E-7</v>
      </c>
      <c r="U535">
        <v>3.1492916834802076E-11</v>
      </c>
      <c r="V535">
        <v>2.2837825007987985E-9</v>
      </c>
      <c r="W535">
        <v>1.366679034233884E-7</v>
      </c>
      <c r="X535">
        <v>5.1955239180151358E-6</v>
      </c>
      <c r="Y535">
        <v>1.2300375036375503E-6</v>
      </c>
      <c r="Z535">
        <v>0.69338479899944372</v>
      </c>
      <c r="AA535">
        <v>7.0099398291514251E-2</v>
      </c>
      <c r="AB535">
        <v>9.6607416569938174</v>
      </c>
      <c r="AD535">
        <v>1.1536667456474645</v>
      </c>
      <c r="AE535">
        <v>0.37544299941454529</v>
      </c>
      <c r="AF535">
        <v>0.88682339729656379</v>
      </c>
      <c r="AG535">
        <v>2850697.4397319476</v>
      </c>
    </row>
    <row r="536" spans="2:33" ht="12.75" hidden="1" customHeight="1">
      <c r="B536">
        <f>-0.0499951483563283*$F$42</f>
        <v>0</v>
      </c>
      <c r="C536">
        <f>0.116753575554661*$F$43</f>
        <v>0</v>
      </c>
      <c r="D536">
        <f>0.640065420341149*$F$44</f>
        <v>0</v>
      </c>
      <c r="E536">
        <f>-0.341902841524196*$F$45</f>
        <v>0</v>
      </c>
      <c r="F536">
        <f>-0.227929375181599*$F$46</f>
        <v>0</v>
      </c>
      <c r="G536">
        <f>0.0703654005363795*$F$47</f>
        <v>0</v>
      </c>
      <c r="H536">
        <f>0.296425816435107*$F$48</f>
        <v>0</v>
      </c>
      <c r="I536">
        <f>0.460061788641418*$F$49</f>
        <v>0</v>
      </c>
      <c r="J536">
        <f>0.120628626524855*$F$50</f>
        <v>0</v>
      </c>
      <c r="K536">
        <f>-0.262760117730723*$F$51</f>
        <v>0</v>
      </c>
      <c r="L536">
        <f>0.748140510783149*$F$52</f>
        <v>0</v>
      </c>
      <c r="M536">
        <f>0.095437749179832*$F$53</f>
        <v>0</v>
      </c>
      <c r="N536">
        <f>-0.0623478313509768*$F$54</f>
        <v>0</v>
      </c>
      <c r="P536">
        <v>957350.86080632964</v>
      </c>
      <c r="Q536">
        <v>-12949.444576709964</v>
      </c>
      <c r="R536">
        <v>377120.58389725361</v>
      </c>
      <c r="S536">
        <v>699082.43729298573</v>
      </c>
      <c r="T536">
        <v>6.8404494373728798E-7</v>
      </c>
      <c r="U536">
        <v>3.1218132741662775E-11</v>
      </c>
      <c r="V536">
        <v>2.3681779377800742E-9</v>
      </c>
      <c r="W536">
        <v>1.3598080325233843E-7</v>
      </c>
      <c r="X536">
        <v>5.060314313262428E-6</v>
      </c>
      <c r="Y536">
        <v>1.2025491254602558E-6</v>
      </c>
      <c r="Z536">
        <v>0.7523698357548203</v>
      </c>
      <c r="AA536">
        <v>7.0668064244258824E-2</v>
      </c>
      <c r="AB536">
        <v>9.9376521686490236</v>
      </c>
      <c r="AD536">
        <v>1.0342954423358921</v>
      </c>
      <c r="AE536">
        <v>0.28352800763944574</v>
      </c>
      <c r="AF536">
        <v>0.99487316943541826</v>
      </c>
      <c r="AG536">
        <v>2102290.6076032771</v>
      </c>
    </row>
    <row r="537" spans="2:33" ht="12.75" hidden="1" customHeight="1">
      <c r="B537">
        <f>-0.63788569935234*$F$42</f>
        <v>0</v>
      </c>
      <c r="C537">
        <f>0.335107956520482*$F$43</f>
        <v>0</v>
      </c>
      <c r="D537">
        <f>0.252982048433284*$F$44</f>
        <v>0</v>
      </c>
      <c r="E537">
        <f>0.12082689586946*$F$45</f>
        <v>0</v>
      </c>
      <c r="F537">
        <f>-0.5529339585842*$F$46</f>
        <v>0</v>
      </c>
      <c r="G537">
        <f>-0.372545063176762*$F$47</f>
        <v>0</v>
      </c>
      <c r="H537">
        <f>0.208204628817702*$F$48</f>
        <v>0</v>
      </c>
      <c r="I537">
        <f>0.0888570460642279*$F$49</f>
        <v>0</v>
      </c>
      <c r="J537">
        <f>0.146859726926051*$F$50</f>
        <v>0</v>
      </c>
      <c r="K537">
        <f>-0.156599358869561*$F$51</f>
        <v>0</v>
      </c>
      <c r="L537">
        <f>0.723753643633925*$F$52</f>
        <v>0</v>
      </c>
      <c r="M537">
        <f>0.0904296742171758*$F$53</f>
        <v>0</v>
      </c>
      <c r="N537">
        <f>0.0551474749242952*$F$54</f>
        <v>0</v>
      </c>
      <c r="P537">
        <v>900786.31300483132</v>
      </c>
      <c r="Q537">
        <v>-13228.938184346216</v>
      </c>
      <c r="R537">
        <v>363401.01531718264</v>
      </c>
      <c r="S537">
        <v>732576.22259221657</v>
      </c>
      <c r="T537">
        <v>6.6129462289910599E-7</v>
      </c>
      <c r="U537">
        <v>2.9845110304152037E-11</v>
      </c>
      <c r="V537">
        <v>2.3478870646280718E-9</v>
      </c>
      <c r="W537">
        <v>1.3115514159883495E-7</v>
      </c>
      <c r="X537">
        <v>5.0734298634630263E-6</v>
      </c>
      <c r="Y537">
        <v>1.2156599791796092E-6</v>
      </c>
      <c r="Z537">
        <v>0.75066275505437463</v>
      </c>
      <c r="AA537">
        <v>7.0633007719520247E-2</v>
      </c>
      <c r="AB537">
        <v>10.055147474924295</v>
      </c>
      <c r="AD537">
        <v>1.3349021592908625</v>
      </c>
      <c r="AE537">
        <v>0.35558231379943134</v>
      </c>
      <c r="AF537">
        <v>0.76429322198980709</v>
      </c>
      <c r="AG537">
        <v>2531597.9216832896</v>
      </c>
    </row>
    <row r="538" spans="2:33" ht="12.75" hidden="1" customHeight="1">
      <c r="B538">
        <f>0.000243091594555066*$F$42</f>
        <v>0</v>
      </c>
      <c r="C538">
        <f>-0.580346024217932*$F$43</f>
        <v>0</v>
      </c>
      <c r="D538">
        <f>0.205976598410117*$F$44</f>
        <v>0</v>
      </c>
      <c r="E538">
        <f>-0.577697993848646*$F$45</f>
        <v>0</v>
      </c>
      <c r="F538">
        <f>-0.557442087352808*$F$46</f>
        <v>0</v>
      </c>
      <c r="G538">
        <f>0.598735520713321*$F$47</f>
        <v>0</v>
      </c>
      <c r="H538">
        <f>0.226748003175685*$F$48</f>
        <v>0</v>
      </c>
      <c r="I538">
        <f>0.165835945261281*$F$49</f>
        <v>0</v>
      </c>
      <c r="J538">
        <f>0.085241877877341*$F$50</f>
        <v>0</v>
      </c>
      <c r="K538">
        <f>0.0408572723345561*$F$51</f>
        <v>0</v>
      </c>
      <c r="L538">
        <f>-0.171832260587148*$F$52</f>
        <v>0</v>
      </c>
      <c r="M538">
        <f>0.323791824600409*$F$53</f>
        <v>0</v>
      </c>
      <c r="N538">
        <f>0.192889519527806*$F$54</f>
        <v>0</v>
      </c>
      <c r="P538">
        <v>962184.58933003282</v>
      </c>
      <c r="Q538">
        <v>-12057.157089001046</v>
      </c>
      <c r="R538">
        <v>361734.98018875194</v>
      </c>
      <c r="S538">
        <v>682014.86724434677</v>
      </c>
      <c r="T538">
        <v>6.6097905388530342E-7</v>
      </c>
      <c r="U538">
        <v>3.2856080114211298E-11</v>
      </c>
      <c r="V538">
        <v>2.3521520407304075E-9</v>
      </c>
      <c r="W538">
        <v>1.3215586728839664E-7</v>
      </c>
      <c r="X538">
        <v>5.0426209389386702E-6</v>
      </c>
      <c r="Y538">
        <v>1.2400458731333177E-6</v>
      </c>
      <c r="Z538">
        <v>0.68797174175889964</v>
      </c>
      <c r="AA538">
        <v>7.2266542772202874E-2</v>
      </c>
      <c r="AB538">
        <v>10.192889519527807</v>
      </c>
      <c r="AD538">
        <v>0.84409741101747604</v>
      </c>
      <c r="AE538">
        <v>0.28539039142466754</v>
      </c>
      <c r="AF538">
        <v>1.2193953450857336</v>
      </c>
      <c r="AG538">
        <v>2036349.024268989</v>
      </c>
    </row>
    <row r="539" spans="2:33" ht="12.75" hidden="1" customHeight="1">
      <c r="B539">
        <f>-0.33325381058207*$F$42</f>
        <v>0</v>
      </c>
      <c r="C539">
        <f>0.247466916003015*$F$43</f>
        <v>0</v>
      </c>
      <c r="D539">
        <f>-0.19414539920729*$F$44</f>
        <v>0</v>
      </c>
      <c r="E539">
        <f>-0.147061918145641*$F$45</f>
        <v>0</v>
      </c>
      <c r="F539">
        <f>-0.423950313335687*$F$46</f>
        <v>0</v>
      </c>
      <c r="G539">
        <f>-0.0497076771124684*$F$47</f>
        <v>0</v>
      </c>
      <c r="H539">
        <f>0.10682130566841*$F$48</f>
        <v>0</v>
      </c>
      <c r="I539">
        <f>0.162553860900042*$F$49</f>
        <v>0</v>
      </c>
      <c r="J539">
        <f>0.338331212524703*$F$50</f>
        <v>0</v>
      </c>
      <c r="K539">
        <f>0.56740506194854*$F$51</f>
        <v>0</v>
      </c>
      <c r="L539">
        <f>-0.414063347893786*$F$52</f>
        <v>0</v>
      </c>
      <c r="M539">
        <f>0.517209542394448*$F$53</f>
        <v>0</v>
      </c>
      <c r="N539">
        <f>0.088083270431609*$F$54</f>
        <v>0</v>
      </c>
      <c r="P539">
        <v>930096.81137057825</v>
      </c>
      <c r="Q539">
        <v>-13116.757652483859</v>
      </c>
      <c r="R539">
        <v>347553.27778275538</v>
      </c>
      <c r="S539">
        <v>713185.61573123129</v>
      </c>
      <c r="T539">
        <v>6.7032347806650183E-7</v>
      </c>
      <c r="U539">
        <v>3.0845906200951352E-11</v>
      </c>
      <c r="V539">
        <v>2.3245689003037341E-9</v>
      </c>
      <c r="W539">
        <v>1.3211320019170052E-7</v>
      </c>
      <c r="X539">
        <v>5.1691656062623519E-6</v>
      </c>
      <c r="Y539">
        <v>1.3050745251506448E-6</v>
      </c>
      <c r="Z539">
        <v>0.67101556564743492</v>
      </c>
      <c r="AA539">
        <v>7.3620466796761139E-2</v>
      </c>
      <c r="AB539">
        <v>10.088083270431609</v>
      </c>
      <c r="AD539">
        <v>0.9952222626060695</v>
      </c>
      <c r="AE539">
        <v>0.34738521932057986</v>
      </c>
      <c r="AF539">
        <v>1.0311397699065434</v>
      </c>
      <c r="AG539">
        <v>2454696.5292725149</v>
      </c>
    </row>
    <row r="540" spans="2:33" ht="12.75" hidden="1" customHeight="1">
      <c r="B540">
        <f>-0.24379228354058*$F$42</f>
        <v>0</v>
      </c>
      <c r="C540">
        <f>0.499992466312531*$F$43</f>
        <v>0</v>
      </c>
      <c r="D540">
        <f>-0.0864663322457918*$F$44</f>
        <v>0</v>
      </c>
      <c r="E540">
        <f>0.127838134150429*$F$45</f>
        <v>0</v>
      </c>
      <c r="F540">
        <f>0.0440454270638571*$F$46</f>
        <v>0</v>
      </c>
      <c r="G540">
        <f>-0.237363871029652*$F$47</f>
        <v>0</v>
      </c>
      <c r="H540">
        <f>-0.176813231934106*$F$48</f>
        <v>0</v>
      </c>
      <c r="I540">
        <f>-0.0695376766121951*$F$49</f>
        <v>0</v>
      </c>
      <c r="J540">
        <f>-0.395301917730011*$F$50</f>
        <v>0</v>
      </c>
      <c r="K540">
        <f>-0.467112206693254*$F$51</f>
        <v>0</v>
      </c>
      <c r="L540">
        <f>0.0903269365670383*$F$52</f>
        <v>0</v>
      </c>
      <c r="M540">
        <f>-0.365441894618085*$F$53</f>
        <v>0</v>
      </c>
      <c r="N540">
        <f>0.156743902298868*$F$54</f>
        <v>0</v>
      </c>
      <c r="P540">
        <v>938704.45239178545</v>
      </c>
      <c r="Q540">
        <v>-13439.99035688004</v>
      </c>
      <c r="R540">
        <v>351369.79497525305</v>
      </c>
      <c r="S540">
        <v>733083.71733631333</v>
      </c>
      <c r="T540">
        <v>7.0308317989446993E-7</v>
      </c>
      <c r="U540">
        <v>3.026417199980808E-11</v>
      </c>
      <c r="V540">
        <v>2.2593329566551552E-9</v>
      </c>
      <c r="W540">
        <v>1.2909601020404147E-7</v>
      </c>
      <c r="X540">
        <v>4.8023490411349951E-6</v>
      </c>
      <c r="Y540">
        <v>1.1773116424733832E-6</v>
      </c>
      <c r="Z540">
        <v>0.70632288555969258</v>
      </c>
      <c r="AA540">
        <v>6.7441906737673418E-2</v>
      </c>
      <c r="AB540">
        <v>10.156743902298867</v>
      </c>
      <c r="AD540">
        <v>1.1533305258290605</v>
      </c>
      <c r="AE540">
        <v>0.35948473737466557</v>
      </c>
      <c r="AF540">
        <v>0.88701740110213545</v>
      </c>
      <c r="AG540">
        <v>2612681.5028373399</v>
      </c>
    </row>
    <row r="541" spans="2:33" ht="12.75" hidden="1" customHeight="1">
      <c r="B541">
        <f>0.0854415065731114*$F$42</f>
        <v>0</v>
      </c>
      <c r="C541">
        <f>-0.35390634678993*$F$43</f>
        <v>0</v>
      </c>
      <c r="D541">
        <f>-0.940278422717071*$F$44</f>
        <v>0</v>
      </c>
      <c r="E541">
        <f>0.11144873522463*$F$45</f>
        <v>0</v>
      </c>
      <c r="F541">
        <f>0.117466722066663*$F$46</f>
        <v>0</v>
      </c>
      <c r="G541">
        <f>-0.00368169969168259*$F$47</f>
        <v>0</v>
      </c>
      <c r="H541">
        <f>-0.254334991832677*$F$48</f>
        <v>0</v>
      </c>
      <c r="I541">
        <f>-0.08758041529097*$F$49</f>
        <v>0</v>
      </c>
      <c r="J541">
        <f>0.359221798123056*$F$50</f>
        <v>0</v>
      </c>
      <c r="K541">
        <f>0.260534353527556*$F$51</f>
        <v>0</v>
      </c>
      <c r="L541">
        <f>-0.159932009970385*$F$52</f>
        <v>0</v>
      </c>
      <c r="M541">
        <f>0.427340607041293*$F$53</f>
        <v>0</v>
      </c>
      <c r="N541">
        <f>-0.388264261942669*$F$54</f>
        <v>0</v>
      </c>
      <c r="P541">
        <v>970382.05024941929</v>
      </c>
      <c r="Q541">
        <v>-12346.99987610889</v>
      </c>
      <c r="R541">
        <v>321107.75227375812</v>
      </c>
      <c r="S541">
        <v>731897.40281091444</v>
      </c>
      <c r="T541">
        <v>7.0822267054466645E-7</v>
      </c>
      <c r="U541">
        <v>3.098858673095579E-11</v>
      </c>
      <c r="V541">
        <v>2.2415029518784844E-9</v>
      </c>
      <c r="W541">
        <v>1.2886145460121738E-7</v>
      </c>
      <c r="X541">
        <v>5.1796108990615278E-6</v>
      </c>
      <c r="Y541">
        <v>1.2671759926606532E-6</v>
      </c>
      <c r="Z541">
        <v>0.68880475930207297</v>
      </c>
      <c r="AA541">
        <v>7.2991384249289054E-2</v>
      </c>
      <c r="AB541">
        <v>9.6117357380573303</v>
      </c>
      <c r="AD541">
        <v>1.1270129740026895</v>
      </c>
      <c r="AE541">
        <v>0.37248042532935038</v>
      </c>
      <c r="AF541">
        <v>0.90841086210507105</v>
      </c>
      <c r="AG541">
        <v>2820738.2771377563</v>
      </c>
    </row>
    <row r="542" spans="2:33" ht="12.75" hidden="1" customHeight="1">
      <c r="B542">
        <f>0.539581588232937*$F$42</f>
        <v>0</v>
      </c>
      <c r="C542">
        <f>-0.420000825143071*$F$43</f>
        <v>0</v>
      </c>
      <c r="D542">
        <f>-0.218588767369216*$F$44</f>
        <v>0</v>
      </c>
      <c r="E542">
        <f>-0.499845573411479*$F$45</f>
        <v>0</v>
      </c>
      <c r="F542">
        <f>-0.116871978259193*$F$46</f>
        <v>0</v>
      </c>
      <c r="G542">
        <f>0.788231177377119*$F$47</f>
        <v>0</v>
      </c>
      <c r="H542">
        <f>0.106634257985117*$F$48</f>
        <v>0</v>
      </c>
      <c r="I542">
        <f>-0.0882991770664568*$F$49</f>
        <v>0</v>
      </c>
      <c r="J542">
        <f>-0.0378343219516088*$F$50</f>
        <v>0</v>
      </c>
      <c r="K542">
        <f>-0.0733832247865009*$F$51</f>
        <v>0</v>
      </c>
      <c r="L542">
        <f>-0.220590794183704*$F$52</f>
        <v>0</v>
      </c>
      <c r="M542">
        <f>0.417928446243117*$F$53</f>
        <v>0</v>
      </c>
      <c r="N542">
        <f>0.63484867807629*$F$54</f>
        <v>0</v>
      </c>
      <c r="P542">
        <v>1014077.6468432109</v>
      </c>
      <c r="Q542">
        <v>-12262.39894381687</v>
      </c>
      <c r="R542">
        <v>346686.92058385903</v>
      </c>
      <c r="S542">
        <v>687650.06214198866</v>
      </c>
      <c r="T542">
        <v>6.9181896152185642E-7</v>
      </c>
      <c r="U542">
        <v>3.3443516649869069E-11</v>
      </c>
      <c r="V542">
        <v>2.3245258793365766E-9</v>
      </c>
      <c r="W542">
        <v>1.2885211069813607E-7</v>
      </c>
      <c r="X542">
        <v>4.9810828390241961E-6</v>
      </c>
      <c r="Y542">
        <v>1.2259371717388671E-6</v>
      </c>
      <c r="Z542">
        <v>0.68455864440714065</v>
      </c>
      <c r="AA542">
        <v>7.2925499123701817E-2</v>
      </c>
      <c r="AB542">
        <v>10.63484867807629</v>
      </c>
      <c r="AD542">
        <v>0.85363693070543112</v>
      </c>
      <c r="AE542">
        <v>0.29073853264662208</v>
      </c>
      <c r="AF542">
        <v>1.205067891085718</v>
      </c>
      <c r="AG542">
        <v>2185204.516718219</v>
      </c>
    </row>
    <row r="543" spans="2:33" ht="12.75" hidden="1" customHeight="1">
      <c r="B543">
        <f>0.155159168973994*$F$42</f>
        <v>0</v>
      </c>
      <c r="C543">
        <f>-0.486544254306785*$F$43</f>
        <v>0</v>
      </c>
      <c r="D543">
        <f>-0.245366483218153*$F$44</f>
        <v>0</v>
      </c>
      <c r="E543">
        <f>-0.324952151604923*$F$45</f>
        <v>0</v>
      </c>
      <c r="F543">
        <f>0.744019476146394*$F$46</f>
        <v>0</v>
      </c>
      <c r="G543">
        <f>-0.143391005884122*$F$47</f>
        <v>0</v>
      </c>
      <c r="H543">
        <f>-0.358395278182017*$F$48</f>
        <v>0</v>
      </c>
      <c r="I543">
        <f>0.525351346959218*$F$49</f>
        <v>0</v>
      </c>
      <c r="J543">
        <f>0.646668714338133*$F$50</f>
        <v>0</v>
      </c>
      <c r="K543">
        <f>-0.428702249565822*$F$51</f>
        <v>0</v>
      </c>
      <c r="L543">
        <f>-0.265700715251013*$F$52</f>
        <v>0</v>
      </c>
      <c r="M543">
        <f>0.221791293306434*$F$53</f>
        <v>0</v>
      </c>
      <c r="N543">
        <f>-0.434688323721415*$F$54</f>
        <v>0</v>
      </c>
      <c r="P543">
        <v>977090.01322110218</v>
      </c>
      <c r="Q543">
        <v>-12177.223354487314</v>
      </c>
      <c r="R543">
        <v>345737.82605883095</v>
      </c>
      <c r="S543">
        <v>700309.37976706971</v>
      </c>
      <c r="T543">
        <v>7.5208136333024747E-7</v>
      </c>
      <c r="U543">
        <v>3.0555487881759225E-11</v>
      </c>
      <c r="V543">
        <v>2.2175690860181363E-9</v>
      </c>
      <c r="W543">
        <v>1.3682956751046984E-7</v>
      </c>
      <c r="X543">
        <v>5.3233343571690664E-6</v>
      </c>
      <c r="Y543">
        <v>1.1820552721786211E-6</v>
      </c>
      <c r="Z543">
        <v>0.68140094993242906</v>
      </c>
      <c r="AA543">
        <v>7.1552539053145056E-2</v>
      </c>
      <c r="AB543">
        <v>9.5653116762785846</v>
      </c>
      <c r="AD543">
        <v>0.91312345292889263</v>
      </c>
      <c r="AE543">
        <v>0.31413580934609253</v>
      </c>
      <c r="AF543">
        <v>1.1261407220773099</v>
      </c>
      <c r="AG543">
        <v>2328501.6732063792</v>
      </c>
    </row>
    <row r="544" spans="2:33" ht="12.75" hidden="1" customHeight="1">
      <c r="B544">
        <f>0.373601141588768*$F$42</f>
        <v>0</v>
      </c>
      <c r="C544">
        <f>0.137551100768483*$F$43</f>
        <v>0</v>
      </c>
      <c r="D544">
        <f>-0.699787366429242*$F$44</f>
        <v>0</v>
      </c>
      <c r="E544">
        <f>0.0391911367030551*$F$45</f>
        <v>0</v>
      </c>
      <c r="F544">
        <f>-0.196531313958627*$F$46</f>
        <v>0</v>
      </c>
      <c r="G544">
        <f>-0.526636147898422*$F$47</f>
        <v>0</v>
      </c>
      <c r="H544">
        <f>0.437130569122722*$F$48</f>
        <v>0</v>
      </c>
      <c r="I544">
        <f>0.0877980227791546*$F$49</f>
        <v>0</v>
      </c>
      <c r="J544">
        <f>-0.00634606356471013*$F$50</f>
        <v>0</v>
      </c>
      <c r="K544">
        <f>-0.155947201604489*$F$51</f>
        <v>0</v>
      </c>
      <c r="L544">
        <f>0.0131132763726011*$F$52</f>
        <v>0</v>
      </c>
      <c r="M544">
        <f>-0.0533389550935441*$F$53</f>
        <v>0</v>
      </c>
      <c r="N544">
        <f>0.09523392646567*$F$54</f>
        <v>0</v>
      </c>
      <c r="P544">
        <v>998107.65227124188</v>
      </c>
      <c r="Q544">
        <v>-12976.065408983657</v>
      </c>
      <c r="R544">
        <v>329631.58403478743</v>
      </c>
      <c r="S544">
        <v>726667.17813429993</v>
      </c>
      <c r="T544">
        <v>6.862428080228961E-7</v>
      </c>
      <c r="U544">
        <v>2.9367427941514899E-11</v>
      </c>
      <c r="V544">
        <v>2.4005400308982259E-9</v>
      </c>
      <c r="W544">
        <v>1.3114137429612902E-7</v>
      </c>
      <c r="X544">
        <v>4.9968269682176449E-6</v>
      </c>
      <c r="Y544">
        <v>1.2157405206018456E-6</v>
      </c>
      <c r="Z544">
        <v>0.70091792934608199</v>
      </c>
      <c r="AA544">
        <v>6.9626627314345199E-2</v>
      </c>
      <c r="AB544">
        <v>10.095233926465671</v>
      </c>
      <c r="AD544">
        <v>1.0963098171137164</v>
      </c>
      <c r="AE544">
        <v>0.34882780135452846</v>
      </c>
      <c r="AF544">
        <v>0.93451316541021812</v>
      </c>
      <c r="AG544">
        <v>2681263.0372040225</v>
      </c>
    </row>
    <row r="545" spans="2:33" ht="12.75" hidden="1" customHeight="1">
      <c r="B545">
        <f>-0.29465884871297*$F$42</f>
        <v>0</v>
      </c>
      <c r="C545">
        <f>-0.255426225092325*$F$43</f>
        <v>0</v>
      </c>
      <c r="D545">
        <f>0.511283233842361*$F$44</f>
        <v>0</v>
      </c>
      <c r="E545">
        <f>0.444224337415908*$F$45</f>
        <v>0</v>
      </c>
      <c r="F545">
        <f>0.413588793721581*$F$46</f>
        <v>0</v>
      </c>
      <c r="G545">
        <f>-0.274792449779557*$F$47</f>
        <v>0</v>
      </c>
      <c r="H545">
        <f>0.261398023445423*$F$48</f>
        <v>0</v>
      </c>
      <c r="I545">
        <f>-0.0206410055975756*$F$49</f>
        <v>0</v>
      </c>
      <c r="J545">
        <f>-0.4583234496944*$F$50</f>
        <v>0</v>
      </c>
      <c r="K545">
        <f>-0.675620433683979*$F$51</f>
        <v>0</v>
      </c>
      <c r="L545">
        <f>0.173099033299736*$F$52</f>
        <v>0</v>
      </c>
      <c r="M545">
        <f>0.000789716183400407*$F$53</f>
        <v>0</v>
      </c>
      <c r="N545">
        <f>-0.020885773623554*$F$54</f>
        <v>0</v>
      </c>
      <c r="P545">
        <v>933810.26885317103</v>
      </c>
      <c r="Q545">
        <v>-12473.054431881825</v>
      </c>
      <c r="R545">
        <v>372556.09942753025</v>
      </c>
      <c r="S545">
        <v>755984.71268513333</v>
      </c>
      <c r="T545">
        <v>7.289512155605107E-7</v>
      </c>
      <c r="U545">
        <v>3.0148143405683372E-11</v>
      </c>
      <c r="V545">
        <v>2.3601215453924472E-9</v>
      </c>
      <c r="W545">
        <v>1.297316669272315E-7</v>
      </c>
      <c r="X545">
        <v>4.7708382751528007E-6</v>
      </c>
      <c r="Y545">
        <v>1.1515608764400286E-6</v>
      </c>
      <c r="Z545">
        <v>0.71211693233098139</v>
      </c>
      <c r="AA545">
        <v>7.0005528013283802E-2</v>
      </c>
      <c r="AB545">
        <v>9.9791142263764456</v>
      </c>
      <c r="AD545">
        <v>1.1757504492667059</v>
      </c>
      <c r="AE545">
        <v>0.36115761341903047</v>
      </c>
      <c r="AF545">
        <v>0.8699936224627105</v>
      </c>
      <c r="AG545">
        <v>2642089.1886977218</v>
      </c>
    </row>
    <row r="546" spans="2:33" ht="12.75" hidden="1" customHeight="1">
      <c r="B546">
        <f>-0.00232867925025937*$F$42</f>
        <v>0</v>
      </c>
      <c r="C546">
        <f>0.155344822597583*$F$43</f>
        <v>0</v>
      </c>
      <c r="D546">
        <f>0.283010848274592*$F$44</f>
        <v>0</v>
      </c>
      <c r="E546">
        <f>0.168460352569418*$F$45</f>
        <v>0</v>
      </c>
      <c r="F546">
        <f>-0.270517207630471*$F$46</f>
        <v>0</v>
      </c>
      <c r="G546">
        <f>0.415229563613044*$F$47</f>
        <v>0</v>
      </c>
      <c r="H546">
        <f>0.0151271493951079*$F$48</f>
        <v>0</v>
      </c>
      <c r="I546">
        <f>-0.143546156531605*$F$49</f>
        <v>0</v>
      </c>
      <c r="J546">
        <f>-0.849033643149193*$F$50</f>
        <v>0</v>
      </c>
      <c r="K546">
        <f>-0.526946586518996*$F$51</f>
        <v>0</v>
      </c>
      <c r="L546">
        <f>-0.0110995687844537*$F$52</f>
        <v>0</v>
      </c>
      <c r="M546">
        <f>0.119400676006187*$F$53</f>
        <v>0</v>
      </c>
      <c r="N546">
        <f>-0.415303013109569*$F$54</f>
        <v>0</v>
      </c>
      <c r="P546">
        <v>961937.14351781551</v>
      </c>
      <c r="Q546">
        <v>-12998.841372924906</v>
      </c>
      <c r="R546">
        <v>364465.33946205478</v>
      </c>
      <c r="S546">
        <v>736024.07701530796</v>
      </c>
      <c r="T546">
        <v>6.8106379546586705E-7</v>
      </c>
      <c r="U546">
        <v>3.2287211647200443E-11</v>
      </c>
      <c r="V546">
        <v>2.303479244360875E-9</v>
      </c>
      <c r="W546">
        <v>1.2813389996508912E-7</v>
      </c>
      <c r="X546">
        <v>4.5754831784254039E-6</v>
      </c>
      <c r="Y546">
        <v>1.169922096564904E-6</v>
      </c>
      <c r="Z546">
        <v>0.69922303018508813</v>
      </c>
      <c r="AA546">
        <v>7.0835804732043317E-2</v>
      </c>
      <c r="AB546">
        <v>9.5846969868904317</v>
      </c>
      <c r="AD546">
        <v>1.0405341314636065</v>
      </c>
      <c r="AE546">
        <v>0.33622480337523059</v>
      </c>
      <c r="AF546">
        <v>0.98676893445622227</v>
      </c>
      <c r="AG546">
        <v>2501211.8562417477</v>
      </c>
    </row>
    <row r="547" spans="2:33" ht="12.75" hidden="1" customHeight="1">
      <c r="B547">
        <f>-0.390962459004335*$F$42</f>
        <v>0</v>
      </c>
      <c r="C547">
        <f>0.136703480156806*$F$43</f>
        <v>0</v>
      </c>
      <c r="D547">
        <f>0.356304213065796*$F$44</f>
        <v>0</v>
      </c>
      <c r="E547">
        <f>0.109102576601177*$F$45</f>
        <v>0</v>
      </c>
      <c r="F547">
        <f>-0.118809371793846*$F$46</f>
        <v>0</v>
      </c>
      <c r="G547">
        <f>0.369265715460981*$F$47</f>
        <v>0</v>
      </c>
      <c r="H547">
        <f>0.118233747093769*$F$48</f>
        <v>0</v>
      </c>
      <c r="I547">
        <f>-0.195952761973357*$F$49</f>
        <v>0</v>
      </c>
      <c r="J547">
        <f>0.200674089212087*$F$50</f>
        <v>0</v>
      </c>
      <c r="K547">
        <f>0.299882732320452*$F$51</f>
        <v>0</v>
      </c>
      <c r="L547">
        <f>0.0326880068851185*$F$52</f>
        <v>0</v>
      </c>
      <c r="M547">
        <f>0.787860364069983*$F$53</f>
        <v>0</v>
      </c>
      <c r="N547">
        <f>-0.0716414012241136*$F$54</f>
        <v>0</v>
      </c>
      <c r="P547">
        <v>924544.30912894383</v>
      </c>
      <c r="Q547">
        <v>-12974.980454600711</v>
      </c>
      <c r="R547">
        <v>367063.1088773642</v>
      </c>
      <c r="S547">
        <v>731727.5807163706</v>
      </c>
      <c r="T547">
        <v>6.9168334397443074E-7</v>
      </c>
      <c r="U547">
        <v>3.2144723717929044E-11</v>
      </c>
      <c r="V547">
        <v>2.3271937618315672E-9</v>
      </c>
      <c r="W547">
        <v>1.2745261409434637E-7</v>
      </c>
      <c r="X547">
        <v>5.1003370446060438E-6</v>
      </c>
      <c r="Y547">
        <v>1.2720355174415757E-6</v>
      </c>
      <c r="Z547">
        <v>0.70228816048195819</v>
      </c>
      <c r="AA547">
        <v>7.5515022548489893E-2</v>
      </c>
      <c r="AB547">
        <v>9.9283585987758869</v>
      </c>
      <c r="AD547">
        <v>1.0801476364055986</v>
      </c>
      <c r="AE547">
        <v>0.34464946505759148</v>
      </c>
      <c r="AF547">
        <v>0.94942144867997835</v>
      </c>
      <c r="AG547">
        <v>2475629.6694278256</v>
      </c>
    </row>
    <row r="548" spans="2:33" ht="12.75" hidden="1" customHeight="1">
      <c r="B548">
        <f>0.0172842506806998*$F$42</f>
        <v>0</v>
      </c>
      <c r="C548">
        <f>0.608232718617159*$F$43</f>
        <v>0</v>
      </c>
      <c r="D548">
        <f>0.079468340748754*$F$44</f>
        <v>0</v>
      </c>
      <c r="E548">
        <f>0.484380330602385*$F$45</f>
        <v>0</v>
      </c>
      <c r="F548">
        <f>-0.19711444134847*$F$46</f>
        <v>0</v>
      </c>
      <c r="G548">
        <f>-0.300952256956358*$F$47</f>
        <v>0</v>
      </c>
      <c r="H548">
        <f>-0.517055384542875*$F$48</f>
        <v>0</v>
      </c>
      <c r="I548">
        <f>-0.151402430767953*$F$49</f>
        <v>0</v>
      </c>
      <c r="J548">
        <f>-0.0126490700141983*$F$50</f>
        <v>0</v>
      </c>
      <c r="K548">
        <f>0.188358380972884*$F$51</f>
        <v>0</v>
      </c>
      <c r="L548">
        <f>0.292260012318261*$F$52</f>
        <v>0</v>
      </c>
      <c r="M548">
        <f>0.51855465942507*$F$53</f>
        <v>0</v>
      </c>
      <c r="N548">
        <f>-0.0898613133294381*$F$54</f>
        <v>0</v>
      </c>
      <c r="P548">
        <v>963824.22353760432</v>
      </c>
      <c r="Q548">
        <v>-13578.537879829963</v>
      </c>
      <c r="R548">
        <v>357251.09159292898</v>
      </c>
      <c r="S548">
        <v>758891.3255642642</v>
      </c>
      <c r="T548">
        <v>6.8620198910560701E-7</v>
      </c>
      <c r="U548">
        <v>3.0067048003435289E-11</v>
      </c>
      <c r="V548">
        <v>2.1810772615551387E-9</v>
      </c>
      <c r="W548">
        <v>1.280317684000166E-7</v>
      </c>
      <c r="X548">
        <v>4.9936754649929014E-6</v>
      </c>
      <c r="Y548">
        <v>1.2582622600501511E-6</v>
      </c>
      <c r="Z548">
        <v>0.7204582008622783</v>
      </c>
      <c r="AA548">
        <v>7.36298826159755E-2</v>
      </c>
      <c r="AB548">
        <v>9.9101386866705621</v>
      </c>
      <c r="AD548">
        <v>1.2228947411626734</v>
      </c>
      <c r="AE548">
        <v>0.36495298017796124</v>
      </c>
      <c r="AF548">
        <v>0.83578780336546832</v>
      </c>
      <c r="AG548">
        <v>2774399.8453087951</v>
      </c>
    </row>
    <row r="549" spans="2:33" ht="12.75" hidden="1" customHeight="1">
      <c r="B549">
        <f>0.46318498517225*$F$42</f>
        <v>0</v>
      </c>
      <c r="C549">
        <f>-0.00146568456000298*$F$43</f>
        <v>0</v>
      </c>
      <c r="D549">
        <f>-0.0335450055279389*$F$44</f>
        <v>0</v>
      </c>
      <c r="E549">
        <f>0.21551674265713*$F$45</f>
        <v>0</v>
      </c>
      <c r="F549">
        <f>-0.477675774281398*$F$46</f>
        <v>0</v>
      </c>
      <c r="G549">
        <f>0.0831697609243148*$F$47</f>
        <v>0</v>
      </c>
      <c r="H549">
        <f>0.11498981797607*$F$48</f>
        <v>0</v>
      </c>
      <c r="I549">
        <f>0.29744830139091*$F$49</f>
        <v>0</v>
      </c>
      <c r="J549">
        <f>0.541773458207857*$F$50</f>
        <v>0</v>
      </c>
      <c r="K549">
        <f>0.398731798946602*$F$51</f>
        <v>0</v>
      </c>
      <c r="L549">
        <f>1.09920365568399*$F$52</f>
        <v>0</v>
      </c>
      <c r="M549">
        <f>-0.526547167029993*$F$53</f>
        <v>0</v>
      </c>
      <c r="N549">
        <f>-0.0599681299273344*$F$54</f>
        <v>0</v>
      </c>
      <c r="P549">
        <v>1006727.0621155313</v>
      </c>
      <c r="Q549">
        <v>-12798.123923763196</v>
      </c>
      <c r="R549">
        <v>353245.50915970723</v>
      </c>
      <c r="S549">
        <v>739430.16160246264</v>
      </c>
      <c r="T549">
        <v>6.6656269580030202E-7</v>
      </c>
      <c r="U549">
        <v>3.125782625886538E-11</v>
      </c>
      <c r="V549">
        <v>2.3264476581344958E-9</v>
      </c>
      <c r="W549">
        <v>1.3386682791808183E-7</v>
      </c>
      <c r="X549">
        <v>5.2708867291039287E-6</v>
      </c>
      <c r="Y549">
        <v>1.2842433771699053E-6</v>
      </c>
      <c r="Z549">
        <v>0.77694425589787919</v>
      </c>
      <c r="AA549">
        <v>6.6314169830790054E-2</v>
      </c>
      <c r="AB549">
        <v>9.9400318700726658</v>
      </c>
      <c r="AD549">
        <v>1.3501600611753557</v>
      </c>
      <c r="AE549">
        <v>0.32762662892148769</v>
      </c>
      <c r="AF549">
        <v>0.75603675739192233</v>
      </c>
      <c r="AG549">
        <v>2632356.151608557</v>
      </c>
    </row>
    <row r="550" spans="2:33" ht="12.75" hidden="1" customHeight="1">
      <c r="B550">
        <f>-0.212763950093732*$F$42</f>
        <v>0</v>
      </c>
      <c r="C550">
        <f>0.0440390998233333*$F$43</f>
        <v>0</v>
      </c>
      <c r="D550">
        <f>0.303868176407987*$F$44</f>
        <v>0</v>
      </c>
      <c r="E550">
        <f>-0.0448751545016488*$F$45</f>
        <v>0</v>
      </c>
      <c r="F550">
        <f>0.135715092879796*$F$46</f>
        <v>0</v>
      </c>
      <c r="G550">
        <f>-0.170198414361185*$F$47</f>
        <v>0</v>
      </c>
      <c r="H550">
        <f>0.2182069134286*$F$48</f>
        <v>0</v>
      </c>
      <c r="I550">
        <f>0.20016394087285*$F$49</f>
        <v>0</v>
      </c>
      <c r="J550">
        <f>0.0800203002562381*$F$50</f>
        <v>0</v>
      </c>
      <c r="K550">
        <f>-0.284478189228011*$F$51</f>
        <v>0</v>
      </c>
      <c r="L550">
        <f>0.138645230124807*$F$52</f>
        <v>0</v>
      </c>
      <c r="M550">
        <f>0.163919450778591*$F$53</f>
        <v>0</v>
      </c>
      <c r="N550">
        <f>0.117512273908416*$F$54</f>
        <v>0</v>
      </c>
      <c r="P550">
        <v>941689.87824610749</v>
      </c>
      <c r="Q550">
        <v>-12856.370047773868</v>
      </c>
      <c r="R550">
        <v>365204.59504493541</v>
      </c>
      <c r="S550">
        <v>720582.20437753957</v>
      </c>
      <c r="T550">
        <v>7.0950005650158563E-7</v>
      </c>
      <c r="U550">
        <v>3.0472384915480332E-11</v>
      </c>
      <c r="V550">
        <v>2.3501875900885782E-9</v>
      </c>
      <c r="W550">
        <v>1.3260213123134705E-7</v>
      </c>
      <c r="X550">
        <v>5.0400101501281194E-6</v>
      </c>
      <c r="Y550">
        <v>1.1998669436303407E-6</v>
      </c>
      <c r="Z550">
        <v>0.70970516610873646</v>
      </c>
      <c r="AA550">
        <v>7.1147436155450147E-2</v>
      </c>
      <c r="AB550">
        <v>10.117512273908416</v>
      </c>
      <c r="AD550">
        <v>1.053706664720881</v>
      </c>
      <c r="AE550">
        <v>0.32775437496636567</v>
      </c>
      <c r="AF550">
        <v>0.9738383827557846</v>
      </c>
      <c r="AG550">
        <v>2367900.9062670278</v>
      </c>
    </row>
    <row r="551" spans="2:33" ht="12.75" hidden="1" customHeight="1">
      <c r="B551">
        <f>-0.638088773201072*$F$42</f>
        <v>0</v>
      </c>
      <c r="C551">
        <f>0.17149896470258*$F$43</f>
        <v>0</v>
      </c>
      <c r="D551">
        <f>-0.320419089497842*$F$44</f>
        <v>0</v>
      </c>
      <c r="E551">
        <f>0.303112255282854*$F$45</f>
        <v>0</v>
      </c>
      <c r="F551">
        <f>-0.41409111912119*$F$46</f>
        <v>0</v>
      </c>
      <c r="G551">
        <f>-0.00104102294389343*$F$47</f>
        <v>0</v>
      </c>
      <c r="H551">
        <f>-0.108807282819131*$F$48</f>
        <v>0</v>
      </c>
      <c r="I551">
        <f>-0.230405447775147*$F$49</f>
        <v>0</v>
      </c>
      <c r="J551">
        <f>-0.608877642852544*$F$50</f>
        <v>0</v>
      </c>
      <c r="K551">
        <f>-0.0393029266600064*$F$51</f>
        <v>0</v>
      </c>
      <c r="L551">
        <f>0.702952151510522*$F$52</f>
        <v>0</v>
      </c>
      <c r="M551">
        <f>0.198397770072082*$F$53</f>
        <v>0</v>
      </c>
      <c r="N551">
        <f>-0.0720677076192462*$F$54</f>
        <v>0</v>
      </c>
      <c r="P551">
        <v>900766.77402703278</v>
      </c>
      <c r="Q551">
        <v>-13019.518674819305</v>
      </c>
      <c r="R551">
        <v>343077.70306286734</v>
      </c>
      <c r="S551">
        <v>745770.59113609802</v>
      </c>
      <c r="T551">
        <v>6.7101362166151662E-7</v>
      </c>
      <c r="U551">
        <v>3.0996772828873929E-11</v>
      </c>
      <c r="V551">
        <v>2.2749743249515998E-9</v>
      </c>
      <c r="W551">
        <v>1.270047291789231E-7</v>
      </c>
      <c r="X551">
        <v>4.6955611785737284E-6</v>
      </c>
      <c r="Y551">
        <v>1.2301460885574893E-6</v>
      </c>
      <c r="Z551">
        <v>0.74920665060573655</v>
      </c>
      <c r="AA551">
        <v>7.1388784390504584E-2</v>
      </c>
      <c r="AB551">
        <v>9.9279322923807527</v>
      </c>
      <c r="AD551">
        <v>1.4727431431230502</v>
      </c>
      <c r="AE551">
        <v>0.39260742475539406</v>
      </c>
      <c r="AF551">
        <v>0.69119109106853682</v>
      </c>
      <c r="AG551">
        <v>2843320.6659304574</v>
      </c>
    </row>
    <row r="552" spans="2:33" ht="12.75" hidden="1" customHeight="1">
      <c r="B552">
        <f>-0.120378083813012*$F$42</f>
        <v>0</v>
      </c>
      <c r="C552">
        <f>-0.0283579917593223*$F$43</f>
        <v>0</v>
      </c>
      <c r="D552">
        <f>0.0278656491750067*$F$44</f>
        <v>0</v>
      </c>
      <c r="E552">
        <f>-0.275093679305681*$F$45</f>
        <v>0</v>
      </c>
      <c r="F552">
        <f>0.0182687858341199*$F$46</f>
        <v>0</v>
      </c>
      <c r="G552">
        <f>0.182104355174661*$F$47</f>
        <v>0</v>
      </c>
      <c r="H552">
        <f>0.762804018707587*$F$48</f>
        <v>0</v>
      </c>
      <c r="I552">
        <f>0.49932452928435*$F$49</f>
        <v>0</v>
      </c>
      <c r="J552">
        <f>-0.145085237416711*$F$50</f>
        <v>0</v>
      </c>
      <c r="K552">
        <f>-0.143399384993599*$F$51</f>
        <v>0</v>
      </c>
      <c r="L552">
        <f>-0.15189063934629*$F$52</f>
        <v>0</v>
      </c>
      <c r="M552">
        <f>-0.0265392705885464*$F$53</f>
        <v>0</v>
      </c>
      <c r="N552">
        <f>0.352016936475719*$F$54</f>
        <v>0</v>
      </c>
      <c r="P552">
        <v>950578.88784247718</v>
      </c>
      <c r="Q552">
        <v>-12763.701770548067</v>
      </c>
      <c r="R552">
        <v>355422.11438196583</v>
      </c>
      <c r="S552">
        <v>703918.28758428607</v>
      </c>
      <c r="T552">
        <v>7.0127881500838825E-7</v>
      </c>
      <c r="U552">
        <v>3.1564523501041455E-11</v>
      </c>
      <c r="V552">
        <v>2.4754449243027453E-9</v>
      </c>
      <c r="W552">
        <v>1.3649121888069655E-7</v>
      </c>
      <c r="X552">
        <v>4.9274573812916446E-6</v>
      </c>
      <c r="Y552">
        <v>1.2172901759532905E-6</v>
      </c>
      <c r="Z552">
        <v>0.6893676552457596</v>
      </c>
      <c r="AA552">
        <v>6.9814225105880187E-2</v>
      </c>
      <c r="AB552">
        <v>10.352016936475719</v>
      </c>
      <c r="AD552">
        <v>0.96644832053699381</v>
      </c>
      <c r="AE552">
        <v>0.321215517671885</v>
      </c>
      <c r="AF552">
        <v>1.0624828353949349</v>
      </c>
      <c r="AG552">
        <v>2307756.8347549299</v>
      </c>
    </row>
    <row r="553" spans="2:33" ht="12.75" hidden="1" customHeight="1">
      <c r="B553">
        <f>0.627915465031575*$F$42</f>
        <v>0</v>
      </c>
      <c r="C553">
        <f>-0.262751765648522*$F$43</f>
        <v>0</v>
      </c>
      <c r="D553">
        <f>0.629523402651461*$F$44</f>
        <v>0</v>
      </c>
      <c r="E553">
        <f>0.42992076248187*$F$45</f>
        <v>0</v>
      </c>
      <c r="F553">
        <f>-0.0204047682087216*$F$46</f>
        <v>0</v>
      </c>
      <c r="G553">
        <f>0.151542352243827*$F$47</f>
        <v>0</v>
      </c>
      <c r="H553">
        <f>-0.249449432080748*$F$48</f>
        <v>0</v>
      </c>
      <c r="I553">
        <f>-0.367790283162215*$F$49</f>
        <v>0</v>
      </c>
      <c r="J553">
        <f>-0.468543867883013*$F$50</f>
        <v>0</v>
      </c>
      <c r="K553">
        <f>0.180640804124695*$F$51</f>
        <v>0</v>
      </c>
      <c r="L553">
        <f>0.139293590674572*$F$52</f>
        <v>0</v>
      </c>
      <c r="M553">
        <f>0.465410017707378*$F$53</f>
        <v>0</v>
      </c>
      <c r="N553">
        <f>-0.52001033255656*$F$54</f>
        <v>0</v>
      </c>
      <c r="P553">
        <v>1022576.7897333337</v>
      </c>
      <c r="Q553">
        <v>-12463.677739969891</v>
      </c>
      <c r="R553">
        <v>376746.93846280075</v>
      </c>
      <c r="S553">
        <v>754949.37644210178</v>
      </c>
      <c r="T553">
        <v>6.9857166622538943E-7</v>
      </c>
      <c r="U553">
        <v>3.1469781291955871E-11</v>
      </c>
      <c r="V553">
        <v>2.2426266306214279E-9</v>
      </c>
      <c r="W553">
        <v>1.2521872631889122E-7</v>
      </c>
      <c r="X553">
        <v>4.7657280660584935E-6</v>
      </c>
      <c r="Y553">
        <v>1.2573091393093998E-6</v>
      </c>
      <c r="Z553">
        <v>0.70975055134721998</v>
      </c>
      <c r="AA553">
        <v>7.3257870123951643E-2</v>
      </c>
      <c r="AB553">
        <v>9.4799896674434407</v>
      </c>
      <c r="AD553">
        <v>1.0037895917135906</v>
      </c>
      <c r="AE553">
        <v>0.31599903621419384</v>
      </c>
      <c r="AF553">
        <v>1.0241429042767043</v>
      </c>
      <c r="AG553">
        <v>2494118.5298171286</v>
      </c>
    </row>
    <row r="554" spans="2:33" ht="12.75" hidden="1" customHeight="1">
      <c r="B554">
        <f>0.150471668561427*$F$42</f>
        <v>0</v>
      </c>
      <c r="C554">
        <f>0.0813512928017399*$F$43</f>
        <v>0</v>
      </c>
      <c r="D554">
        <f>0.140581884857981*$F$44</f>
        <v>0</v>
      </c>
      <c r="E554">
        <f>-0.063569272165638*$F$45</f>
        <v>0</v>
      </c>
      <c r="F554">
        <f>-0.541632205907633*$F$46</f>
        <v>0</v>
      </c>
      <c r="G554">
        <f>0.587183802129035*$F$47</f>
        <v>0</v>
      </c>
      <c r="H554">
        <f>-0.381289773669344*$F$48</f>
        <v>0</v>
      </c>
      <c r="I554">
        <f>0.282103747804432*$F$49</f>
        <v>0</v>
      </c>
      <c r="J554">
        <f>0.236715781500017*$F$50</f>
        <v>0</v>
      </c>
      <c r="K554">
        <f>-0.395805440449877*$F$51</f>
        <v>0</v>
      </c>
      <c r="L554">
        <f>0.0844105237957906*$F$52</f>
        <v>0</v>
      </c>
      <c r="M554">
        <f>0.0643081411532153*$F$53</f>
        <v>0</v>
      </c>
      <c r="N554">
        <f>0.0191396525837662*$F$54</f>
        <v>0</v>
      </c>
      <c r="P554">
        <v>976639.00011890649</v>
      </c>
      <c r="Q554">
        <v>-12904.129654786226</v>
      </c>
      <c r="R554">
        <v>359417.16619191051</v>
      </c>
      <c r="S554">
        <v>719229.06730248802</v>
      </c>
      <c r="T554">
        <v>6.6208574558646565E-7</v>
      </c>
      <c r="U554">
        <v>3.2820269786600007E-11</v>
      </c>
      <c r="V554">
        <v>2.2123033520560506E-9</v>
      </c>
      <c r="W554">
        <v>1.3366734872145761E-7</v>
      </c>
      <c r="X554">
        <v>5.118357890750009E-6</v>
      </c>
      <c r="Y554">
        <v>1.1861180281044404E-6</v>
      </c>
      <c r="Z554">
        <v>0.70590873666570531</v>
      </c>
      <c r="AA554">
        <v>7.0450156988072513E-2</v>
      </c>
      <c r="AB554">
        <v>10.019139652583766</v>
      </c>
      <c r="AD554">
        <v>1.0087045945096771</v>
      </c>
      <c r="AE554">
        <v>0.31863782775083804</v>
      </c>
      <c r="AF554">
        <v>1.0182407398504894</v>
      </c>
      <c r="AG554">
        <v>2373829.2302054497</v>
      </c>
    </row>
    <row r="555" spans="2:33" ht="12.75" hidden="1" customHeight="1">
      <c r="B555">
        <f>0.387221209149564*$F$42</f>
        <v>0</v>
      </c>
      <c r="C555">
        <f>0.24371487773311*$F$43</f>
        <v>0</v>
      </c>
      <c r="D555">
        <f>-0.496544058770239*$F$44</f>
        <v>0</v>
      </c>
      <c r="E555">
        <f>-0.334214647654178*$F$45</f>
        <v>0</v>
      </c>
      <c r="F555">
        <f>-0.0968300464873637*$F$46</f>
        <v>0</v>
      </c>
      <c r="G555">
        <f>0.314121497618587*$F$47</f>
        <v>0</v>
      </c>
      <c r="H555">
        <f>-0.208682336832683*$F$48</f>
        <v>0</v>
      </c>
      <c r="I555">
        <f>-0.115396320538282*$F$49</f>
        <v>0</v>
      </c>
      <c r="J555">
        <f>0.470164447140304*$F$50</f>
        <v>0</v>
      </c>
      <c r="K555">
        <f>0.0811905822975095*$F$51</f>
        <v>0</v>
      </c>
      <c r="L555">
        <f>0.106812422597112*$F$52</f>
        <v>0</v>
      </c>
      <c r="M555">
        <f>-0.233250630505297*$F$53</f>
        <v>0</v>
      </c>
      <c r="N555">
        <f>0.219324952436656*$F$54</f>
        <v>0</v>
      </c>
      <c r="P555">
        <v>999418.12232607952</v>
      </c>
      <c r="Q555">
        <v>-13111.955043498381</v>
      </c>
      <c r="R555">
        <v>336835.22722959728</v>
      </c>
      <c r="S555">
        <v>699638.93214086758</v>
      </c>
      <c r="T555">
        <v>6.9322189674588451E-7</v>
      </c>
      <c r="U555">
        <v>3.1973776642617621E-11</v>
      </c>
      <c r="V555">
        <v>2.2520030625284827E-9</v>
      </c>
      <c r="W555">
        <v>1.2849984783300232E-7</v>
      </c>
      <c r="X555">
        <v>5.2350822235701528E-6</v>
      </c>
      <c r="Y555">
        <v>1.2450270369137425E-6</v>
      </c>
      <c r="Z555">
        <v>0.70747686958179778</v>
      </c>
      <c r="AA555">
        <v>6.8367245586462927E-2</v>
      </c>
      <c r="AB555">
        <v>10.219324952436658</v>
      </c>
      <c r="AD555">
        <v>1.0020003665551998</v>
      </c>
      <c r="AE555">
        <v>0.3150291250467836</v>
      </c>
      <c r="AF555">
        <v>1.0250049886052075</v>
      </c>
      <c r="AG555">
        <v>2395349.8421212663</v>
      </c>
    </row>
    <row r="556" spans="2:33" ht="12.75" hidden="1" customHeight="1">
      <c r="B556">
        <f>-0.391471504756618*$F$42</f>
        <v>0</v>
      </c>
      <c r="C556">
        <f>0.149579419798897*$F$43</f>
        <v>0</v>
      </c>
      <c r="D556">
        <f>-0.387985668298357*$F$44</f>
        <v>0</v>
      </c>
      <c r="E556">
        <f>0.0256310063854098*$F$45</f>
        <v>0</v>
      </c>
      <c r="F556">
        <f>-0.217230390625022*$F$46</f>
        <v>0</v>
      </c>
      <c r="G556">
        <f>-0.0684184724630694*$F$47</f>
        <v>0</v>
      </c>
      <c r="H556">
        <f>-0.882639352499458*$F$48</f>
        <v>0</v>
      </c>
      <c r="I556">
        <f>0.162745837137035*$F$49</f>
        <v>0</v>
      </c>
      <c r="J556">
        <f>-0.418618205840651*$F$50</f>
        <v>0</v>
      </c>
      <c r="K556">
        <f>0.0394100558979529*$F$51</f>
        <v>0</v>
      </c>
      <c r="L556">
        <f>-0.573204838260726*$F$52</f>
        <v>0</v>
      </c>
      <c r="M556">
        <f>0.327866797010165*$F$53</f>
        <v>0</v>
      </c>
      <c r="N556">
        <f>-0.24520775670494*$F$54</f>
        <v>0</v>
      </c>
      <c r="P556">
        <v>924495.33072175668</v>
      </c>
      <c r="Q556">
        <v>-12991.461657342588</v>
      </c>
      <c r="R556">
        <v>340682.91067742981</v>
      </c>
      <c r="S556">
        <v>725685.65467300906</v>
      </c>
      <c r="T556">
        <v>6.8479387265624841E-7</v>
      </c>
      <c r="U556">
        <v>3.0787902735364484E-11</v>
      </c>
      <c r="V556">
        <v>2.0969929489251246E-9</v>
      </c>
      <c r="W556">
        <v>1.3211569588278147E-7</v>
      </c>
      <c r="X556">
        <v>4.7906908970796754E-6</v>
      </c>
      <c r="Y556">
        <v>1.2398671419033972E-6</v>
      </c>
      <c r="Z556">
        <v>0.65987566132174913</v>
      </c>
      <c r="AA556">
        <v>7.2295067579071171E-2</v>
      </c>
      <c r="AB556">
        <v>9.7547922432950589</v>
      </c>
      <c r="AD556">
        <v>1.0329716068509467</v>
      </c>
      <c r="AE556">
        <v>0.37184343860090907</v>
      </c>
      <c r="AF556">
        <v>0.99304442743573773</v>
      </c>
      <c r="AG556">
        <v>2643895.424778624</v>
      </c>
    </row>
    <row r="557" spans="2:33" ht="12.75" hidden="1" customHeight="1">
      <c r="B557">
        <f>-0.242230384625152*$F$42</f>
        <v>0</v>
      </c>
      <c r="C557">
        <f>-0.335148328699188*$F$43</f>
        <v>0</v>
      </c>
      <c r="D557">
        <f>-0.124835627165227*$F$44</f>
        <v>0</v>
      </c>
      <c r="E557">
        <f>0.100351943354226*$F$45</f>
        <v>0</v>
      </c>
      <c r="F557">
        <f>0.141381658664089*$F$46</f>
        <v>0</v>
      </c>
      <c r="G557">
        <f>0.888241942407994*$F$47</f>
        <v>0</v>
      </c>
      <c r="H557">
        <f>-0.242410931203367*$F$48</f>
        <v>0</v>
      </c>
      <c r="I557">
        <f>0.0955624980291136*$F$49</f>
        <v>0</v>
      </c>
      <c r="J557">
        <f>0.204064712714247*$F$50</f>
        <v>0</v>
      </c>
      <c r="K557">
        <f>-0.0237096238724634*$F$51</f>
        <v>0</v>
      </c>
      <c r="L557">
        <f>0.100115646029724*$F$52</f>
        <v>0</v>
      </c>
      <c r="M557">
        <f>0.0879705686320406*$F$53</f>
        <v>0</v>
      </c>
      <c r="N557">
        <f>-0.0994659239370157*$F$54</f>
        <v>0</v>
      </c>
      <c r="P557">
        <v>938854.73224526015</v>
      </c>
      <c r="Q557">
        <v>-12371.010139265039</v>
      </c>
      <c r="R557">
        <v>350009.85494367388</v>
      </c>
      <c r="S557">
        <v>731094.18327609263</v>
      </c>
      <c r="T557">
        <v>7.0989671610648615E-7</v>
      </c>
      <c r="U557">
        <v>3.3753550021464788E-11</v>
      </c>
      <c r="V557">
        <v>2.2442454858232255E-9</v>
      </c>
      <c r="W557">
        <v>1.3124231247437847E-7</v>
      </c>
      <c r="X557">
        <v>5.102032356357124E-6</v>
      </c>
      <c r="Y557">
        <v>1.2320718614517508E-6</v>
      </c>
      <c r="Z557">
        <v>0.70700809522208063</v>
      </c>
      <c r="AA557">
        <v>7.0615793980424293E-2</v>
      </c>
      <c r="AB557">
        <v>9.9005340760629839</v>
      </c>
      <c r="AD557">
        <v>1.1384538978392351</v>
      </c>
      <c r="AE557">
        <v>0.35625952340533684</v>
      </c>
      <c r="AF557">
        <v>0.89928487708809779</v>
      </c>
      <c r="AG557">
        <v>2611423.3124135723</v>
      </c>
    </row>
    <row r="558" spans="2:33" ht="12.75" hidden="1" customHeight="1">
      <c r="B558">
        <f>0.208856501675553*$F$42</f>
        <v>0</v>
      </c>
      <c r="C558">
        <f>-0.227735439773042*$F$43</f>
        <v>0</v>
      </c>
      <c r="D558">
        <f>0.0445127299775847*$F$44</f>
        <v>0</v>
      </c>
      <c r="E558">
        <f>-0.0664628947203122*$F$45</f>
        <v>0</v>
      </c>
      <c r="F558">
        <f>-0.600461938866314*$F$46</f>
        <v>0</v>
      </c>
      <c r="G558">
        <f>0.399533896034945*$F$47</f>
        <v>0</v>
      </c>
      <c r="H558">
        <f>0.0331702849576123*$F$48</f>
        <v>0</v>
      </c>
      <c r="I558">
        <f>-0.196662905200143*$F$49</f>
        <v>0</v>
      </c>
      <c r="J558">
        <f>0.132215068435716*$F$50</f>
        <v>0</v>
      </c>
      <c r="K558">
        <f>0.0216917882474049*$F$51</f>
        <v>0</v>
      </c>
      <c r="L558">
        <f>-0.262478936752238*$F$52</f>
        <v>0</v>
      </c>
      <c r="M558">
        <f>0.212940076811369*$F$53</f>
        <v>0</v>
      </c>
      <c r="N558">
        <f>0.310556547986578*$F$54</f>
        <v>0</v>
      </c>
      <c r="P558">
        <v>982256.56222799525</v>
      </c>
      <c r="Q558">
        <v>-12508.498637090506</v>
      </c>
      <c r="R558">
        <v>356012.14429103484</v>
      </c>
      <c r="S558">
        <v>719019.61810406577</v>
      </c>
      <c r="T558">
        <v>6.5796766427935793E-7</v>
      </c>
      <c r="U558">
        <v>3.2238555077708335E-11</v>
      </c>
      <c r="V558">
        <v>2.3076291655402508E-9</v>
      </c>
      <c r="W558">
        <v>1.2744338223239815E-7</v>
      </c>
      <c r="X558">
        <v>5.0661075342178587E-6</v>
      </c>
      <c r="Y558">
        <v>1.2376789358485544E-6</v>
      </c>
      <c r="Z558">
        <v>0.68162647442734325</v>
      </c>
      <c r="AA558">
        <v>7.1490580537679593E-2</v>
      </c>
      <c r="AB558">
        <v>10.310556547986579</v>
      </c>
      <c r="AD558">
        <v>0.950970627808711</v>
      </c>
      <c r="AE558">
        <v>0.32349559188769772</v>
      </c>
      <c r="AF558">
        <v>1.0798024242272239</v>
      </c>
      <c r="AG558">
        <v>2396505.3159411582</v>
      </c>
    </row>
    <row r="559" spans="2:33" ht="12.75" hidden="1" customHeight="1">
      <c r="B559">
        <f>0.531274942278389*$F$42</f>
        <v>0</v>
      </c>
      <c r="C559">
        <f>1.04061086898913*$F$43</f>
        <v>0</v>
      </c>
      <c r="D559">
        <f>-0.123793002542218*$F$44</f>
        <v>0</v>
      </c>
      <c r="E559">
        <f>0.16406627954633*$F$45</f>
        <v>0</v>
      </c>
      <c r="F559">
        <f>-0.069197784867506*$F$46</f>
        <v>0</v>
      </c>
      <c r="G559">
        <f>0.529545884293118*$F$47</f>
        <v>0</v>
      </c>
      <c r="H559">
        <f>0.147059348712456*$F$48</f>
        <v>0</v>
      </c>
      <c r="I559">
        <f>0.400180937151085*$F$49</f>
        <v>0</v>
      </c>
      <c r="J559">
        <f>-0.269939724246593*$F$50</f>
        <v>0</v>
      </c>
      <c r="K559">
        <f>-0.317445921335737*$F$51</f>
        <v>0</v>
      </c>
      <c r="L559">
        <f>0.427749244708389*$F$52</f>
        <v>0</v>
      </c>
      <c r="M559">
        <f>-0.286077587341276*$F$53</f>
        <v>0</v>
      </c>
      <c r="N559">
        <f>-0.144023490826295*$F$54</f>
        <v>0</v>
      </c>
      <c r="P559">
        <v>1013278.4135992504</v>
      </c>
      <c r="Q559">
        <v>-14131.981912306086</v>
      </c>
      <c r="R559">
        <v>350046.80915317178</v>
      </c>
      <c r="S559">
        <v>735706.02064993721</v>
      </c>
      <c r="T559">
        <v>6.9515615505927453E-7</v>
      </c>
      <c r="U559">
        <v>3.2641592241308674E-11</v>
      </c>
      <c r="V559">
        <v>2.3338236502038645E-9</v>
      </c>
      <c r="W559">
        <v>1.3520235218296409E-7</v>
      </c>
      <c r="X559">
        <v>4.865030137876704E-6</v>
      </c>
      <c r="Y559">
        <v>1.1957954287150364E-6</v>
      </c>
      <c r="Z559">
        <v>0.72994244712958711</v>
      </c>
      <c r="AA559">
        <v>6.7997456888611071E-2</v>
      </c>
      <c r="AB559">
        <v>9.8559765091737042</v>
      </c>
      <c r="AD559">
        <v>1.1322122451950236</v>
      </c>
      <c r="AE559">
        <v>0.33021931752628753</v>
      </c>
      <c r="AF559">
        <v>0.90498337678351692</v>
      </c>
      <c r="AG559">
        <v>2614391.2411580966</v>
      </c>
    </row>
    <row r="560" spans="2:33" ht="12.75" hidden="1" customHeight="1">
      <c r="B560">
        <f>0.0939823364524284*$F$42</f>
        <v>0</v>
      </c>
      <c r="C560">
        <f>-0.34880274629154*$F$43</f>
        <v>0</v>
      </c>
      <c r="D560">
        <f>0.030218248445753*$F$44</f>
        <v>0</v>
      </c>
      <c r="E560">
        <f>-0.558573231902273*$F$45</f>
        <v>0</v>
      </c>
      <c r="F560">
        <f>0.495998380986893*$F$46</f>
        <v>0</v>
      </c>
      <c r="G560">
        <f>0.198109270921957*$F$47</f>
        <v>0</v>
      </c>
      <c r="H560">
        <f>-0.320700229766701*$F$48</f>
        <v>0</v>
      </c>
      <c r="I560">
        <f>-0.0546560043129228*$F$49</f>
        <v>0</v>
      </c>
      <c r="J560">
        <f>-0.0574336770343119*$F$50</f>
        <v>0</v>
      </c>
      <c r="K560">
        <f>-0.410322152534687*$F$51</f>
        <v>0</v>
      </c>
      <c r="L560">
        <f>0.084582985976224*$F$52</f>
        <v>0</v>
      </c>
      <c r="M560">
        <f>-0.0816583891471737*$F$53</f>
        <v>0</v>
      </c>
      <c r="N560">
        <f>0.142600147694356*$F$54</f>
        <v>0</v>
      </c>
      <c r="P560">
        <v>971203.81576198724</v>
      </c>
      <c r="Q560">
        <v>-12353.532484746829</v>
      </c>
      <c r="R560">
        <v>355505.49860711949</v>
      </c>
      <c r="S560">
        <v>683399.17566190974</v>
      </c>
      <c r="T560">
        <v>7.3471988666908251E-7</v>
      </c>
      <c r="U560">
        <v>3.1614138739858075E-11</v>
      </c>
      <c r="V560">
        <v>2.2262389471536587E-9</v>
      </c>
      <c r="W560">
        <v>1.2928947194393201E-7</v>
      </c>
      <c r="X560">
        <v>4.9712831614828447E-6</v>
      </c>
      <c r="Y560">
        <v>1.1843252141619663E-6</v>
      </c>
      <c r="Z560">
        <v>0.70592080901833565</v>
      </c>
      <c r="AA560">
        <v>6.9428391275969795E-2</v>
      </c>
      <c r="AB560">
        <v>10.142600147694356</v>
      </c>
      <c r="AD560">
        <v>0.90558856305197111</v>
      </c>
      <c r="AE560">
        <v>0.28894327430736216</v>
      </c>
      <c r="AF560">
        <v>1.1356923518914013</v>
      </c>
      <c r="AG560">
        <v>2105644.5370216868</v>
      </c>
    </row>
    <row r="561" spans="2:33" ht="12.75" hidden="1" customHeight="1">
      <c r="B561">
        <f>-0.304890084233214*$F$42</f>
        <v>0</v>
      </c>
      <c r="C561">
        <f>-0.621285545209732*$F$43</f>
        <v>0</v>
      </c>
      <c r="D561">
        <f>-0.0730028122830454*$F$44</f>
        <v>0</v>
      </c>
      <c r="E561">
        <f>-0.0024747407886797*$F$45</f>
        <v>0</v>
      </c>
      <c r="F561">
        <f>-0.121045910485237*$F$46</f>
        <v>0</v>
      </c>
      <c r="G561">
        <f>-0.37563439135482*$F$47</f>
        <v>0</v>
      </c>
      <c r="H561">
        <f>0.8616534237743*$F$48</f>
        <v>0</v>
      </c>
      <c r="I561">
        <f>-0.55273048297917*$F$49</f>
        <v>0</v>
      </c>
      <c r="J561">
        <f>-0.236962078729114*$F$50</f>
        <v>0</v>
      </c>
      <c r="K561">
        <f>0.922992752669026*$F$51</f>
        <v>0</v>
      </c>
      <c r="L561">
        <f>-0.139148901009187*$F$52</f>
        <v>0</v>
      </c>
      <c r="M561">
        <f>-0.548554436414809*$F$53</f>
        <v>0</v>
      </c>
      <c r="N561">
        <f>0.626200527935047*$F$54</f>
        <v>0</v>
      </c>
      <c r="P561">
        <v>932825.85906860698</v>
      </c>
      <c r="Q561">
        <v>-12004.754502131544</v>
      </c>
      <c r="R561">
        <v>351846.98851768719</v>
      </c>
      <c r="S561">
        <v>723651.27523842664</v>
      </c>
      <c r="T561">
        <v>6.915267862660334E-7</v>
      </c>
      <c r="U561">
        <v>2.9835533386800062E-11</v>
      </c>
      <c r="V561">
        <v>2.4981802874680891E-9</v>
      </c>
      <c r="W561">
        <v>1.2281450372127079E-7</v>
      </c>
      <c r="X561">
        <v>4.8815189606354432E-6</v>
      </c>
      <c r="Y561">
        <v>1.3489896049546247E-6</v>
      </c>
      <c r="Z561">
        <v>0.6902595769293568</v>
      </c>
      <c r="AA561">
        <v>6.6160118945096338E-2</v>
      </c>
      <c r="AB561">
        <v>10.626200527935048</v>
      </c>
      <c r="AD561">
        <v>1.0820387424689548</v>
      </c>
      <c r="AE561">
        <v>0.3551455684740823</v>
      </c>
      <c r="AF561">
        <v>0.94667484948017044</v>
      </c>
      <c r="AG561">
        <v>2535382.6057284707</v>
      </c>
    </row>
    <row r="562" spans="2:33" ht="12.75" hidden="1" customHeight="1">
      <c r="B562">
        <f>0.141488653411483*$F$42</f>
        <v>0</v>
      </c>
      <c r="C562">
        <f>-0.427347423959056*$F$43</f>
        <v>0</v>
      </c>
      <c r="D562">
        <f>-0.20043836466364*$F$44</f>
        <v>0</v>
      </c>
      <c r="E562">
        <f>-0.373199503140786*$F$45</f>
        <v>0</v>
      </c>
      <c r="F562">
        <f>-0.484930032821*$F$46</f>
        <v>0</v>
      </c>
      <c r="G562">
        <f>0.0611673262360486*$F$47</f>
        <v>0</v>
      </c>
      <c r="H562">
        <f>-0.0655437734607724*$F$48</f>
        <v>0</v>
      </c>
      <c r="I562">
        <f>0.428349995616748*$F$49</f>
        <v>0</v>
      </c>
      <c r="J562">
        <f>0.25731913870277*$F$50</f>
        <v>0</v>
      </c>
      <c r="K562">
        <f>-0.022079402322322*$F$51</f>
        <v>0</v>
      </c>
      <c r="L562">
        <f>0.543824521061578*$F$52</f>
        <v>0</v>
      </c>
      <c r="M562">
        <f>0.00388920536161736*$F$53</f>
        <v>0</v>
      </c>
      <c r="N562">
        <f>0.354826116153859*$F$54</f>
        <v>0</v>
      </c>
      <c r="P562">
        <v>975774.68925527763</v>
      </c>
      <c r="Q562">
        <v>-12252.995297332409</v>
      </c>
      <c r="R562">
        <v>347330.23340158019</v>
      </c>
      <c r="S562">
        <v>696817.08976923896</v>
      </c>
      <c r="T562">
        <v>6.6605489770252991E-7</v>
      </c>
      <c r="U562">
        <v>3.1189618711331755E-11</v>
      </c>
      <c r="V562">
        <v>2.2849249321040222E-9</v>
      </c>
      <c r="W562">
        <v>1.3556854994301773E-7</v>
      </c>
      <c r="X562">
        <v>5.1286595693513856E-6</v>
      </c>
      <c r="Y562">
        <v>1.2322731938131932E-6</v>
      </c>
      <c r="Z562">
        <v>0.73806771647431035</v>
      </c>
      <c r="AA562">
        <v>7.002722443753133E-2</v>
      </c>
      <c r="AB562">
        <v>10.354826116153859</v>
      </c>
      <c r="AD562">
        <v>1.0795109586479765</v>
      </c>
      <c r="AE562">
        <v>0.30619739147571673</v>
      </c>
      <c r="AF562">
        <v>0.95056859869105825</v>
      </c>
      <c r="AG562">
        <v>2300209.7182771196</v>
      </c>
    </row>
    <row r="563" spans="2:33" ht="12.75" hidden="1" customHeight="1">
      <c r="B563">
        <f>0.246476252742322*$F$42</f>
        <v>0</v>
      </c>
      <c r="C563">
        <f>-0.192539958243968*$F$43</f>
        <v>0</v>
      </c>
      <c r="D563">
        <f>-0.315290780798658*$F$44</f>
        <v>0</v>
      </c>
      <c r="E563">
        <f>0.14697415515175*$F$45</f>
        <v>0</v>
      </c>
      <c r="F563">
        <f>0.0346621705648137*$F$46</f>
        <v>0</v>
      </c>
      <c r="G563">
        <f>0.378291192227092*$F$47</f>
        <v>0</v>
      </c>
      <c r="H563">
        <f>-0.301628012477727*$F$48</f>
        <v>0</v>
      </c>
      <c r="I563">
        <f>-0.134443794537031*$F$49</f>
        <v>0</v>
      </c>
      <c r="J563">
        <f>0.688320742369467*$F$50</f>
        <v>0</v>
      </c>
      <c r="K563">
        <f>0.546502313919563*$F$51</f>
        <v>0</v>
      </c>
      <c r="L563">
        <f>-0.64081445600487*$F$52</f>
        <v>0</v>
      </c>
      <c r="M563">
        <f>0.571882587655646*$F$53</f>
        <v>0</v>
      </c>
      <c r="N563">
        <f>0.0223530277517042*$F$54</f>
        <v>0</v>
      </c>
      <c r="P563">
        <v>985876.18871100561</v>
      </c>
      <c r="Q563">
        <v>-12553.548853447721</v>
      </c>
      <c r="R563">
        <v>343259.46799519047</v>
      </c>
      <c r="S563">
        <v>734468.8407185059</v>
      </c>
      <c r="T563">
        <v>7.0242635193953701E-7</v>
      </c>
      <c r="U563">
        <v>3.2172702695903986E-11</v>
      </c>
      <c r="V563">
        <v>2.2306255571301228E-9</v>
      </c>
      <c r="W563">
        <v>1.2825223067101859E-7</v>
      </c>
      <c r="X563">
        <v>5.3441603711847344E-6</v>
      </c>
      <c r="Y563">
        <v>1.3024930357690662E-6</v>
      </c>
      <c r="Z563">
        <v>0.65514298807965909</v>
      </c>
      <c r="AA563">
        <v>7.4003178113589529E-2</v>
      </c>
      <c r="AB563">
        <v>10.022353027751706</v>
      </c>
      <c r="AD563">
        <v>0.96228278422920577</v>
      </c>
      <c r="AE563">
        <v>0.35117694924678056</v>
      </c>
      <c r="AF563">
        <v>1.066373654227954</v>
      </c>
      <c r="AG563">
        <v>2615542.7724158065</v>
      </c>
    </row>
    <row r="564" spans="2:33" ht="12.75" hidden="1" customHeight="1">
      <c r="B564">
        <f>0.0941452642515944*$F$42</f>
        <v>0</v>
      </c>
      <c r="C564">
        <f>-0.510067392196658*$F$43</f>
        <v>0</v>
      </c>
      <c r="D564">
        <f>0.616281946123458*$F$44</f>
        <v>0</v>
      </c>
      <c r="E564">
        <f>0.133978134133121*$F$45</f>
        <v>0</v>
      </c>
      <c r="F564">
        <f>0.473197397409596*$F$46</f>
        <v>0</v>
      </c>
      <c r="G564">
        <f>0.619287372836276*$F$47</f>
        <v>0</v>
      </c>
      <c r="H564">
        <f>-0.158709349028457*$F$48</f>
        <v>0</v>
      </c>
      <c r="I564">
        <f>-0.250639941526496*$F$49</f>
        <v>0</v>
      </c>
      <c r="J564">
        <f>-0.262535193695745*$F$50</f>
        <v>0</v>
      </c>
      <c r="K564">
        <f>0.214438900976073*$F$51</f>
        <v>0</v>
      </c>
      <c r="L564">
        <f>-0.0728589946108284*$F$52</f>
        <v>0</v>
      </c>
      <c r="M564">
        <f>0.420948248564561*$F$53</f>
        <v>0</v>
      </c>
      <c r="N564">
        <f>0.158614349858087*$F$54</f>
        <v>0</v>
      </c>
      <c r="P564">
        <v>971219.49204266316</v>
      </c>
      <c r="Q564">
        <v>-12147.113737988278</v>
      </c>
      <c r="R564">
        <v>376277.61561371904</v>
      </c>
      <c r="S564">
        <v>733528.14920342423</v>
      </c>
      <c r="T564">
        <v>7.3312381781867166E-7</v>
      </c>
      <c r="U564">
        <v>3.2919790855792463E-11</v>
      </c>
      <c r="V564">
        <v>2.2634968497234546E-9</v>
      </c>
      <c r="W564">
        <v>1.2674168076015555E-7</v>
      </c>
      <c r="X564">
        <v>4.8687324031521275E-6</v>
      </c>
      <c r="Y564">
        <v>1.261483204270545E-6</v>
      </c>
      <c r="Z564">
        <v>0.69489987037724199</v>
      </c>
      <c r="AA564">
        <v>7.2946637739951928E-2</v>
      </c>
      <c r="AB564">
        <v>10.158614349858086</v>
      </c>
      <c r="AD564">
        <v>0.97340937739963396</v>
      </c>
      <c r="AE564">
        <v>0.31853742842971794</v>
      </c>
      <c r="AF564">
        <v>1.0551808350561187</v>
      </c>
      <c r="AG564">
        <v>2346687.6501406902</v>
      </c>
    </row>
    <row r="565" spans="2:33" ht="12.75" hidden="1" customHeight="1">
      <c r="B565">
        <f>0.252936669119876*$F$42</f>
        <v>0</v>
      </c>
      <c r="C565">
        <f>0.2847027100004*$F$43</f>
        <v>0</v>
      </c>
      <c r="D565">
        <f>0.421198018832978*$F$44</f>
        <v>0</v>
      </c>
      <c r="E565">
        <f>-0.040399805883066*$F$45</f>
        <v>0</v>
      </c>
      <c r="F565">
        <f>-0.654811154142333*$F$46</f>
        <v>0</v>
      </c>
      <c r="G565">
        <f>0.405619844066392*$F$47</f>
        <v>0</v>
      </c>
      <c r="H565">
        <f>0.428867276402494*$F$48</f>
        <v>0</v>
      </c>
      <c r="I565">
        <f>0.428295973887152*$F$49</f>
        <v>0</v>
      </c>
      <c r="J565">
        <f>0.106706477059534*$F$50</f>
        <v>0</v>
      </c>
      <c r="K565">
        <f>-0.224692052805566*$F$51</f>
        <v>0</v>
      </c>
      <c r="L565">
        <f>0.358966621441467*$F$52</f>
        <v>0</v>
      </c>
      <c r="M565">
        <f>-0.258701494762814*$F$53</f>
        <v>0</v>
      </c>
      <c r="N565">
        <f>0.70124661204505*$F$54</f>
        <v>0</v>
      </c>
      <c r="P565">
        <v>986497.78490843833</v>
      </c>
      <c r="Q565">
        <v>-13164.419468800512</v>
      </c>
      <c r="R565">
        <v>369363.16897619108</v>
      </c>
      <c r="S565">
        <v>720906.14371762681</v>
      </c>
      <c r="T565">
        <v>6.5416321921003665E-7</v>
      </c>
      <c r="U565">
        <v>3.225742151660582E-11</v>
      </c>
      <c r="V565">
        <v>2.3986394735725734E-9</v>
      </c>
      <c r="W565">
        <v>1.3556784766053298E-7</v>
      </c>
      <c r="X565">
        <v>5.053353238529768E-6</v>
      </c>
      <c r="Y565">
        <v>1.2072505314785125E-6</v>
      </c>
      <c r="Z565">
        <v>0.72512766350090274</v>
      </c>
      <c r="AA565">
        <v>6.8189089536660308E-2</v>
      </c>
      <c r="AB565">
        <v>10.70124661204505</v>
      </c>
      <c r="AD565">
        <v>1.0436964047414028</v>
      </c>
      <c r="AE565">
        <v>0.30936531297290548</v>
      </c>
      <c r="AF565">
        <v>0.98365595094519387</v>
      </c>
      <c r="AG565">
        <v>2331496.0813884609</v>
      </c>
    </row>
    <row r="566" spans="2:33" ht="12.75" hidden="1" customHeight="1">
      <c r="B566">
        <f>0.0371616869704816*$F$42</f>
        <v>0</v>
      </c>
      <c r="C566">
        <f>-0.11586820773574*$F$43</f>
        <v>0</v>
      </c>
      <c r="D566">
        <f>-0.348780582350567*$F$44</f>
        <v>0</v>
      </c>
      <c r="E566">
        <f>0.130754506047086*$F$45</f>
        <v>0</v>
      </c>
      <c r="F566">
        <f>-0.0665596249652692*$F$46</f>
        <v>0</v>
      </c>
      <c r="G566">
        <f>-0.275916436604185*$F$47</f>
        <v>0</v>
      </c>
      <c r="H566">
        <f>-0.0215687828242797*$F$48</f>
        <v>0</v>
      </c>
      <c r="I566">
        <f>-0.0405712805183508*$F$49</f>
        <v>0</v>
      </c>
      <c r="J566">
        <f>-0.530774851658896*$F$50</f>
        <v>0</v>
      </c>
      <c r="K566">
        <f>-0.599881100427722*$F$51</f>
        <v>0</v>
      </c>
      <c r="L566">
        <f>-0.231138976311151*$F$52</f>
        <v>0</v>
      </c>
      <c r="M566">
        <f>-0.127255522123436*$F$53</f>
        <v>0</v>
      </c>
      <c r="N566">
        <f>-0.300489841121949*$F$54</f>
        <v>0</v>
      </c>
      <c r="P566">
        <v>965736.75333295425</v>
      </c>
      <c r="Q566">
        <v>-12651.688694098253</v>
      </c>
      <c r="R566">
        <v>342072.47402316896</v>
      </c>
      <c r="S566">
        <v>733294.8132012767</v>
      </c>
      <c r="T566">
        <v>6.9534082625243118E-7</v>
      </c>
      <c r="U566">
        <v>3.0144659046527029E-11</v>
      </c>
      <c r="V566">
        <v>2.2950391799504155E-9</v>
      </c>
      <c r="W566">
        <v>1.2947257335326144E-7</v>
      </c>
      <c r="X566">
        <v>4.7346125741705522E-6</v>
      </c>
      <c r="Y566">
        <v>1.1609146840971764E-6</v>
      </c>
      <c r="Z566">
        <v>0.68382027165821935</v>
      </c>
      <c r="AA566">
        <v>6.9109211345135951E-2</v>
      </c>
      <c r="AB566">
        <v>9.6995101588780503</v>
      </c>
      <c r="AD566">
        <v>1.062137946858333</v>
      </c>
      <c r="AE566">
        <v>0.35760362005106772</v>
      </c>
      <c r="AF566">
        <v>0.96545341280090313</v>
      </c>
      <c r="AG566">
        <v>2669783.2090121591</v>
      </c>
    </row>
    <row r="567" spans="2:33" ht="12.75" hidden="1" customHeight="1">
      <c r="B567">
        <f>0.206807606710435*$F$42</f>
        <v>0</v>
      </c>
      <c r="C567">
        <f>-0.0965857058321839*$F$43</f>
        <v>0</v>
      </c>
      <c r="D567">
        <f>0.374271611389304*$F$44</f>
        <v>0</v>
      </c>
      <c r="E567">
        <f>0.0491314593367042*$F$45</f>
        <v>0</v>
      </c>
      <c r="F567">
        <f>-0.345484592963629*$F$46</f>
        <v>0</v>
      </c>
      <c r="G567">
        <f>-0.764539846234636*$F$47</f>
        <v>0</v>
      </c>
      <c r="H567">
        <f>-0.488366536850309*$F$48</f>
        <v>0</v>
      </c>
      <c r="I567">
        <f>0.587279375575272*$F$49</f>
        <v>0</v>
      </c>
      <c r="J567">
        <f>-0.188367597685021*$F$50</f>
        <v>0</v>
      </c>
      <c r="K567">
        <f>-0.0809495905974836*$F$51</f>
        <v>0</v>
      </c>
      <c r="L567">
        <f>0.58181551011781*$F$52</f>
        <v>0</v>
      </c>
      <c r="M567">
        <f>0.854494462972348*$F$53</f>
        <v>0</v>
      </c>
      <c r="N567">
        <f>0.0372770030223974*$F$54</f>
        <v>0</v>
      </c>
      <c r="P567">
        <v>982059.42550416396</v>
      </c>
      <c r="Q567">
        <v>-12676.370296534804</v>
      </c>
      <c r="R567">
        <v>367699.93538915628</v>
      </c>
      <c r="S567">
        <v>727386.68890957837</v>
      </c>
      <c r="T567">
        <v>6.7581607849254599E-7</v>
      </c>
      <c r="U567">
        <v>2.862992647667263E-11</v>
      </c>
      <c r="V567">
        <v>2.1876756965244289E-9</v>
      </c>
      <c r="W567">
        <v>1.3763463188247854E-7</v>
      </c>
      <c r="X567">
        <v>4.90581620115749E-6</v>
      </c>
      <c r="Y567">
        <v>1.2250027255612107E-6</v>
      </c>
      <c r="Z567">
        <v>0.74072708570824664</v>
      </c>
      <c r="AA567">
        <v>7.5981461240806444E-2</v>
      </c>
      <c r="AB567">
        <v>10.037277003022398</v>
      </c>
      <c r="AD567">
        <v>1.1024442260949463</v>
      </c>
      <c r="AE567">
        <v>0.30980808138689919</v>
      </c>
      <c r="AF567">
        <v>0.93054695271244448</v>
      </c>
      <c r="AG567">
        <v>2358441.6913767499</v>
      </c>
    </row>
    <row r="568" spans="2:33" ht="12.75" hidden="1" customHeight="1">
      <c r="B568">
        <f>0.00698449071430053*$F$42</f>
        <v>0</v>
      </c>
      <c r="C568">
        <f>-0.614458054684981*$F$43</f>
        <v>0</v>
      </c>
      <c r="D568">
        <f>-0.371778690772202*$F$44</f>
        <v>0</v>
      </c>
      <c r="E568">
        <f>-0.0957498733819017*$F$45</f>
        <v>0</v>
      </c>
      <c r="F568">
        <f>0.314854364307286*$F$46</f>
        <v>0</v>
      </c>
      <c r="G568">
        <f>0.35123333699459*$F$47</f>
        <v>0</v>
      </c>
      <c r="H568">
        <f>0.142359930661682*$F$48</f>
        <v>0</v>
      </c>
      <c r="I568">
        <f>0.0614700166836046*$F$49</f>
        <v>0</v>
      </c>
      <c r="J568">
        <f>-0.00282153709630367*$F$50</f>
        <v>0</v>
      </c>
      <c r="K568">
        <f>0.179976135262984*$F$51</f>
        <v>0</v>
      </c>
      <c r="L568">
        <f>0.131368126791049*$F$52</f>
        <v>0</v>
      </c>
      <c r="M568">
        <f>0.0277859486079857*$F$53</f>
        <v>0</v>
      </c>
      <c r="N568">
        <f>-0.09065661370026*$F$54</f>
        <v>0</v>
      </c>
      <c r="P568">
        <v>962833.22059670603</v>
      </c>
      <c r="Q568">
        <v>-12013.493690003224</v>
      </c>
      <c r="R568">
        <v>341257.34180979757</v>
      </c>
      <c r="S568">
        <v>716899.73754294263</v>
      </c>
      <c r="T568">
        <v>7.2203980550151E-7</v>
      </c>
      <c r="U568">
        <v>3.2088823344683229E-11</v>
      </c>
      <c r="V568">
        <v>2.3327427840521869E-9</v>
      </c>
      <c r="W568">
        <v>1.3079911021688687E-7</v>
      </c>
      <c r="X568">
        <v>4.9985892314518483E-6</v>
      </c>
      <c r="Y568">
        <v>1.2572270527049786E-6</v>
      </c>
      <c r="Z568">
        <v>0.70919576887537339</v>
      </c>
      <c r="AA568">
        <v>7.019450164025591E-2</v>
      </c>
      <c r="AB568">
        <v>9.9093433862997404</v>
      </c>
      <c r="AD568">
        <v>1.089312029204214</v>
      </c>
      <c r="AE568">
        <v>0.34006306544065407</v>
      </c>
      <c r="AF568">
        <v>0.94123078685645067</v>
      </c>
      <c r="AG568">
        <v>2543194.8672570642</v>
      </c>
    </row>
    <row r="569" spans="2:33" ht="12.75" hidden="1" customHeight="1">
      <c r="B569">
        <f>0.486542328933986*$F$42</f>
        <v>0</v>
      </c>
      <c r="C569">
        <f>0.362818845439581*$F$43</f>
        <v>0</v>
      </c>
      <c r="D569">
        <f>-0.190710397245374*$F$44</f>
        <v>0</v>
      </c>
      <c r="E569">
        <f>0.0844712117202414*$F$45</f>
        <v>0</v>
      </c>
      <c r="F569">
        <f>-0.0442261820436612*$F$46</f>
        <v>0</v>
      </c>
      <c r="G569">
        <f>0.340362951917287*$F$47</f>
        <v>0</v>
      </c>
      <c r="H569">
        <f>0.101850542867294*$F$48</f>
        <v>0</v>
      </c>
      <c r="I569">
        <f>0.0653637378990415*$F$49</f>
        <v>0</v>
      </c>
      <c r="J569">
        <f>-0.107383298221049*$F$50</f>
        <v>0</v>
      </c>
      <c r="K569">
        <f>0.219678670786169*$F$51</f>
        <v>0</v>
      </c>
      <c r="L569">
        <f>0.04737185467522*$F$52</f>
        <v>0</v>
      </c>
      <c r="M569">
        <f>-0.128661337073019*$F$53</f>
        <v>0</v>
      </c>
      <c r="N569">
        <f>0.125364978962715*$F$54</f>
        <v>0</v>
      </c>
      <c r="P569">
        <v>1008974.4151057918</v>
      </c>
      <c r="Q569">
        <v>-13264.408122162664</v>
      </c>
      <c r="R569">
        <v>347675.02608921693</v>
      </c>
      <c r="S569">
        <v>729944.68763585249</v>
      </c>
      <c r="T569">
        <v>6.9690416725694377E-7</v>
      </c>
      <c r="U569">
        <v>3.2055125150943596E-11</v>
      </c>
      <c r="V569">
        <v>2.3234256248594777E-9</v>
      </c>
      <c r="W569">
        <v>1.3084972859268754E-7</v>
      </c>
      <c r="X569">
        <v>4.9463083508894756E-6</v>
      </c>
      <c r="Y569">
        <v>1.2621303158420919E-6</v>
      </c>
      <c r="Z569">
        <v>0.70331602982726538</v>
      </c>
      <c r="AA569">
        <v>6.9099370640488877E-2</v>
      </c>
      <c r="AB569">
        <v>10.125364978962715</v>
      </c>
      <c r="AD569">
        <v>1.041219189393134</v>
      </c>
      <c r="AE569">
        <v>0.33036565260300899</v>
      </c>
      <c r="AF569">
        <v>0.98564876036520754</v>
      </c>
      <c r="AG569">
        <v>2550069.7383501362</v>
      </c>
    </row>
    <row r="570" spans="2:33" ht="12.75" hidden="1" customHeight="1">
      <c r="B570">
        <f>0.141347537999632*$F$42</f>
        <v>0</v>
      </c>
      <c r="C570">
        <f>0.0306055602453858*$F$43</f>
        <v>0</v>
      </c>
      <c r="D570">
        <f>-0.0776951163466388*$F$44</f>
        <v>0</v>
      </c>
      <c r="E570">
        <f>0.314421315158059*$F$45</f>
        <v>0</v>
      </c>
      <c r="F570">
        <f>0.036932066444707*$F$46</f>
        <v>0</v>
      </c>
      <c r="G570">
        <f>0.0716896286285674*$F$47</f>
        <v>0</v>
      </c>
      <c r="H570">
        <f>-0.252130451327915*$F$48</f>
        <v>0</v>
      </c>
      <c r="I570">
        <f>-0.0907396786824926*$F$49</f>
        <v>0</v>
      </c>
      <c r="J570">
        <f>0.0805036640428381*$F$50</f>
        <v>0</v>
      </c>
      <c r="K570">
        <f>0.0816704489770971*$F$51</f>
        <v>0</v>
      </c>
      <c r="L570">
        <f>0.243271420264215*$F$52</f>
        <v>0</v>
      </c>
      <c r="M570">
        <f>-0.102223639831876*$F$53</f>
        <v>0</v>
      </c>
      <c r="N570">
        <f>-0.379403847302758*$F$54</f>
        <v>0</v>
      </c>
      <c r="P570">
        <v>975761.11167787714</v>
      </c>
      <c r="Q570">
        <v>-12839.175117114093</v>
      </c>
      <c r="R570">
        <v>351680.67709211051</v>
      </c>
      <c r="S570">
        <v>746589.17527449771</v>
      </c>
      <c r="T570">
        <v>7.0258524465112937E-7</v>
      </c>
      <c r="U570">
        <v>3.1222237848748567E-11</v>
      </c>
      <c r="V570">
        <v>2.2420099961945794E-9</v>
      </c>
      <c r="W570">
        <v>1.2882038417712761E-7</v>
      </c>
      <c r="X570">
        <v>5.0402518320214202E-6</v>
      </c>
      <c r="Y570">
        <v>1.2450863004486717E-6</v>
      </c>
      <c r="Z570">
        <v>0.71702899941849496</v>
      </c>
      <c r="AA570">
        <v>6.9284434521176871E-2</v>
      </c>
      <c r="AB570">
        <v>9.6205961526972423</v>
      </c>
      <c r="AD570">
        <v>1.1634303150130296</v>
      </c>
      <c r="AE570">
        <v>0.35259460827944389</v>
      </c>
      <c r="AF570">
        <v>0.87971785245122225</v>
      </c>
      <c r="AG570">
        <v>2698558.5220263493</v>
      </c>
    </row>
    <row r="571" spans="2:33" ht="12.75" hidden="1" customHeight="1">
      <c r="B571">
        <f>-0.419038231348572*$F$42</f>
        <v>0</v>
      </c>
      <c r="C571">
        <f>-0.271820639139208*$F$43</f>
        <v>0</v>
      </c>
      <c r="D571">
        <f>0.051789432707842*$F$44</f>
        <v>0</v>
      </c>
      <c r="E571">
        <f>0.182076821424809*$F$45</f>
        <v>0</v>
      </c>
      <c r="F571">
        <f>-0.542635380417087*$F$46</f>
        <v>0</v>
      </c>
      <c r="G571">
        <f>0.353804896449569*$F$47</f>
        <v>0</v>
      </c>
      <c r="H571">
        <f>0.154546518885665*$F$48</f>
        <v>0</v>
      </c>
      <c r="I571">
        <f>0.112268976840169*$F$49</f>
        <v>0</v>
      </c>
      <c r="J571">
        <f>-0.145054153373956*$F$50</f>
        <v>0</v>
      </c>
      <c r="K571">
        <f>-0.272642267542297*$F$51</f>
        <v>0</v>
      </c>
      <c r="L571">
        <f>-0.20027429885004*$F$52</f>
        <v>0</v>
      </c>
      <c r="M571">
        <f>-0.295120742700816*$F$53</f>
        <v>0</v>
      </c>
      <c r="N571">
        <f>0.37114016542618*$F$54</f>
        <v>0</v>
      </c>
      <c r="P571">
        <v>921842.96724797797</v>
      </c>
      <c r="Q571">
        <v>-12452.069581901815</v>
      </c>
      <c r="R571">
        <v>356270.05571113154</v>
      </c>
      <c r="S571">
        <v>737009.67843125528</v>
      </c>
      <c r="T571">
        <v>6.6201552337080387E-7</v>
      </c>
      <c r="U571">
        <v>3.2096795178993667E-11</v>
      </c>
      <c r="V571">
        <v>2.3355456993437031E-9</v>
      </c>
      <c r="W571">
        <v>1.3145949669892218E-7</v>
      </c>
      <c r="X571">
        <v>4.9274729233130227E-6</v>
      </c>
      <c r="Y571">
        <v>1.2013286799585264E-6</v>
      </c>
      <c r="Z571">
        <v>0.68598079908049714</v>
      </c>
      <c r="AA571">
        <v>6.7934154801094299E-2</v>
      </c>
      <c r="AB571">
        <v>10.37114016542618</v>
      </c>
      <c r="AD571">
        <v>1.1107478943773375</v>
      </c>
      <c r="AE571">
        <v>0.3685349890635195</v>
      </c>
      <c r="AF571">
        <v>0.92151136520472621</v>
      </c>
      <c r="AG571">
        <v>2612143.2807603567</v>
      </c>
    </row>
    <row r="572" spans="2:33" ht="12.75" hidden="1" customHeight="1">
      <c r="B572">
        <f>0.0821865299130348*$F$42</f>
        <v>0</v>
      </c>
      <c r="C572">
        <f>-0.334237169975919*$F$43</f>
        <v>0</v>
      </c>
      <c r="D572">
        <f>0.0780371357493221*$F$44</f>
        <v>0</v>
      </c>
      <c r="E572">
        <f>0.382198990079935*$F$45</f>
        <v>0</v>
      </c>
      <c r="F572">
        <f>0.0369725488734062*$F$46</f>
        <v>0</v>
      </c>
      <c r="G572">
        <f>0.00198722041651844*$F$47</f>
        <v>0</v>
      </c>
      <c r="H572">
        <f>0.306478099909883*$F$48</f>
        <v>0</v>
      </c>
      <c r="I572">
        <f>0.0832382829246547*$F$49</f>
        <v>0</v>
      </c>
      <c r="J572">
        <f>-0.0373550599481278*$F$50</f>
        <v>0</v>
      </c>
      <c r="K572">
        <f>-0.195422359869303*$F$51</f>
        <v>0</v>
      </c>
      <c r="L572">
        <f>-0.154336506794822*$F$52</f>
        <v>0</v>
      </c>
      <c r="M572">
        <f>-0.637249845122536*$F$53</f>
        <v>0</v>
      </c>
      <c r="N572">
        <f>0.156053126175887*$F$54</f>
        <v>0</v>
      </c>
      <c r="P572">
        <v>970068.86902449618</v>
      </c>
      <c r="Q572">
        <v>-12372.176422430823</v>
      </c>
      <c r="R572">
        <v>357200.36475585238</v>
      </c>
      <c r="S572">
        <v>751495.12945998192</v>
      </c>
      <c r="T572">
        <v>7.0258807842113844E-7</v>
      </c>
      <c r="U572">
        <v>3.1006160383291215E-11</v>
      </c>
      <c r="V572">
        <v>2.3704899629792733E-9</v>
      </c>
      <c r="W572">
        <v>1.3108209767802051E-7</v>
      </c>
      <c r="X572">
        <v>4.9813224700259366E-6</v>
      </c>
      <c r="Y572">
        <v>1.210865338556141E-6</v>
      </c>
      <c r="Z572">
        <v>0.68919644452436246</v>
      </c>
      <c r="AA572">
        <v>6.5539251084142255E-2</v>
      </c>
      <c r="AB572">
        <v>10.156053126175888</v>
      </c>
      <c r="AD572">
        <v>1.095711506179883</v>
      </c>
      <c r="AE572">
        <v>0.36060047826154884</v>
      </c>
      <c r="AF572">
        <v>0.93462654131469325</v>
      </c>
      <c r="AG572">
        <v>2686519.0626352825</v>
      </c>
    </row>
    <row r="573" spans="2:33" ht="12.75" hidden="1" customHeight="1">
      <c r="B573">
        <f>0.103643189960913*$F$42</f>
        <v>0</v>
      </c>
      <c r="C573">
        <f>0.32837124193256*$F$43</f>
        <v>0</v>
      </c>
      <c r="D573">
        <f>0.0216663023611494*$F$44</f>
        <v>0</v>
      </c>
      <c r="E573">
        <f>-0.356883048536931*$F$45</f>
        <v>0</v>
      </c>
      <c r="F573">
        <f>0.0875973888368526*$F$46</f>
        <v>0</v>
      </c>
      <c r="G573">
        <f>0.0838273644561121*$F$47</f>
        <v>0</v>
      </c>
      <c r="H573">
        <f>-0.329908441780439*$F$48</f>
        <v>0</v>
      </c>
      <c r="I573">
        <f>0.496576655309841*$F$49</f>
        <v>0</v>
      </c>
      <c r="J573">
        <f>0.187500592118131*$F$50</f>
        <v>0</v>
      </c>
      <c r="K573">
        <f>0.436804334716173*$F$51</f>
        <v>0</v>
      </c>
      <c r="L573">
        <f>0.194510178143573*$F$52</f>
        <v>0</v>
      </c>
      <c r="M573">
        <f>-0.156712427855862*$F$53</f>
        <v>0</v>
      </c>
      <c r="N573">
        <f>-0.343515597661812*$F$54</f>
        <v>0</v>
      </c>
      <c r="P573">
        <v>972133.34560246207</v>
      </c>
      <c r="Q573">
        <v>-13220.315189673676</v>
      </c>
      <c r="R573">
        <v>355202.38816808804</v>
      </c>
      <c r="S573">
        <v>697998.12436283205</v>
      </c>
      <c r="T573">
        <v>7.0613181721857972E-7</v>
      </c>
      <c r="U573">
        <v>3.1259864829813951E-11</v>
      </c>
      <c r="V573">
        <v>2.224121058390499E-9</v>
      </c>
      <c r="W573">
        <v>1.3645549651902795E-7</v>
      </c>
      <c r="X573">
        <v>5.0937502960590657E-6</v>
      </c>
      <c r="Y573">
        <v>1.2889453353374472E-6</v>
      </c>
      <c r="Z573">
        <v>0.71361571247004996</v>
      </c>
      <c r="AA573">
        <v>6.8903013005008978E-2</v>
      </c>
      <c r="AB573">
        <v>9.6564844023381884</v>
      </c>
      <c r="AD573">
        <v>0.97076720642120762</v>
      </c>
      <c r="AE573">
        <v>0.30291735333490566</v>
      </c>
      <c r="AF573">
        <v>1.0593374495152434</v>
      </c>
      <c r="AG573">
        <v>2256837.1485700393</v>
      </c>
    </row>
    <row r="574" spans="2:33" ht="12.75" hidden="1" customHeight="1">
      <c r="B574">
        <f>0.20418867180395*$F$42</f>
        <v>0</v>
      </c>
      <c r="C574">
        <f>-0.188320059675166*$F$43</f>
        <v>0</v>
      </c>
      <c r="D574">
        <f>-0.456876273384149*$F$44</f>
        <v>0</v>
      </c>
      <c r="E574">
        <f>0.458075206708148*$F$45</f>
        <v>0</v>
      </c>
      <c r="F574">
        <f>0.279834454895088*$F$46</f>
        <v>0</v>
      </c>
      <c r="G574">
        <f>-0.0447068231636574*$F$47</f>
        <v>0</v>
      </c>
      <c r="H574">
        <f>0.436835163859165*$F$48</f>
        <v>0</v>
      </c>
      <c r="I574">
        <f>0.173716158341843*$F$49</f>
        <v>0</v>
      </c>
      <c r="J574">
        <f>-0.248406050236233*$F$50</f>
        <v>0</v>
      </c>
      <c r="K574">
        <f>0.385234710571392*$F$51</f>
        <v>0</v>
      </c>
      <c r="L574">
        <f>0.583271931346346*$F$52</f>
        <v>0</v>
      </c>
      <c r="M574">
        <f>-0.0162275122477647*$F$53</f>
        <v>0</v>
      </c>
      <c r="N574">
        <f>0.313096020492197*$F$54</f>
        <v>0</v>
      </c>
      <c r="P574">
        <v>981807.44174892956</v>
      </c>
      <c r="Q574">
        <v>-12558.950323615789</v>
      </c>
      <c r="R574">
        <v>338241.19023788051</v>
      </c>
      <c r="S574">
        <v>756987.28071738256</v>
      </c>
      <c r="T574">
        <v>7.1958841184265607E-7</v>
      </c>
      <c r="U574">
        <v>3.0861408848192663E-11</v>
      </c>
      <c r="V574">
        <v>2.4004720876876076E-9</v>
      </c>
      <c r="W574">
        <v>1.3225831005844395E-7</v>
      </c>
      <c r="X574">
        <v>4.8757969748818843E-6</v>
      </c>
      <c r="Y574">
        <v>1.282576486755567E-6</v>
      </c>
      <c r="Z574">
        <v>0.74082903519424415</v>
      </c>
      <c r="AA574">
        <v>6.9886407414265647E-2</v>
      </c>
      <c r="AB574">
        <v>10.313096020492196</v>
      </c>
      <c r="AD574">
        <v>1.3567193812748348</v>
      </c>
      <c r="AE574">
        <v>0.37334885532825696</v>
      </c>
      <c r="AF574">
        <v>0.7514411451258356</v>
      </c>
      <c r="AG574">
        <v>2894762.5957366372</v>
      </c>
    </row>
    <row r="575" spans="2:33" ht="12.75" hidden="1" customHeight="1">
      <c r="B575">
        <f>-0.191197741736185*$F$42</f>
        <v>0</v>
      </c>
      <c r="C575">
        <f>0.645697350290469*$F$43</f>
        <v>0</v>
      </c>
      <c r="D575">
        <f>-0.0314225889083746*$F$44</f>
        <v>0</v>
      </c>
      <c r="E575">
        <f>-0.0446977119582743*$F$45</f>
        <v>0</v>
      </c>
      <c r="F575">
        <f>0.284753582076736*$F$46</f>
        <v>0</v>
      </c>
      <c r="G575">
        <f>-0.0185999836836174*$F$47</f>
        <v>0</v>
      </c>
      <c r="H575">
        <f>0.224839906873503*$F$48</f>
        <v>0</v>
      </c>
      <c r="I575">
        <f>0.692771553478613*$F$49</f>
        <v>0</v>
      </c>
      <c r="J575">
        <f>-0.881649810520809*$F$50</f>
        <v>0</v>
      </c>
      <c r="K575">
        <f>-0.0500215712820891*$F$51</f>
        <v>0</v>
      </c>
      <c r="L575">
        <f>0.599686322184556*$F$52</f>
        <v>0</v>
      </c>
      <c r="M575">
        <f>-0.732165488996961*$F$53</f>
        <v>0</v>
      </c>
      <c r="N575">
        <f>-0.261184263186447*$F$54</f>
        <v>0</v>
      </c>
      <c r="P575">
        <v>943764.89513738209</v>
      </c>
      <c r="Q575">
        <v>-13626.4926083718</v>
      </c>
      <c r="R575">
        <v>353320.73491849937</v>
      </c>
      <c r="S575">
        <v>720595.04820833425</v>
      </c>
      <c r="T575">
        <v>7.199327507453714E-7</v>
      </c>
      <c r="U575">
        <v>3.0942340050580788E-11</v>
      </c>
      <c r="V575">
        <v>2.3517131785809059E-9</v>
      </c>
      <c r="W575">
        <v>1.3900603019522195E-7</v>
      </c>
      <c r="X575">
        <v>4.5591750947395961E-6</v>
      </c>
      <c r="Y575">
        <v>1.228822335946662E-6</v>
      </c>
      <c r="Z575">
        <v>0.74197804255291888</v>
      </c>
      <c r="AA575">
        <v>6.4874841577021281E-2</v>
      </c>
      <c r="AB575">
        <v>9.7388157368135531</v>
      </c>
      <c r="AD575">
        <v>1.215010426969803</v>
      </c>
      <c r="AE575">
        <v>0.33813250745636991</v>
      </c>
      <c r="AF575">
        <v>0.84175731976878154</v>
      </c>
      <c r="AG575">
        <v>2514473.3314502644</v>
      </c>
    </row>
    <row r="576" spans="2:33" ht="12.75" hidden="1" customHeight="1">
      <c r="B576">
        <f>0.190535007645228*$F$42</f>
        <v>0</v>
      </c>
      <c r="C576">
        <f>-0.364790368669678*$F$43</f>
        <v>0</v>
      </c>
      <c r="D576">
        <f>0.0251894693194722*$F$44</f>
        <v>0</v>
      </c>
      <c r="E576">
        <f>0.0816192897842068*$F$45</f>
        <v>0</v>
      </c>
      <c r="F576">
        <f>-0.64493038429373*$F$46</f>
        <v>0</v>
      </c>
      <c r="G576">
        <f>0.295837593979879*$F$47</f>
        <v>0</v>
      </c>
      <c r="H576">
        <f>0.366392332994465*$F$48</f>
        <v>0</v>
      </c>
      <c r="I576">
        <f>0.0432275495780878*$F$49</f>
        <v>0</v>
      </c>
      <c r="J576">
        <f>-0.130146759416804*$F$50</f>
        <v>0</v>
      </c>
      <c r="K576">
        <f>0.275182368937071*$F$51</f>
        <v>0</v>
      </c>
      <c r="L576">
        <f>-0.231498515122959*$F$52</f>
        <v>0</v>
      </c>
      <c r="M576">
        <f>0.278193047856718*$F$53</f>
        <v>0</v>
      </c>
      <c r="N576">
        <f>0.481686633603523*$F$54</f>
        <v>0</v>
      </c>
      <c r="P576">
        <v>980493.73915979406</v>
      </c>
      <c r="Q576">
        <v>-12333.068328102812</v>
      </c>
      <c r="R576">
        <v>355327.26134583657</v>
      </c>
      <c r="S576">
        <v>729738.25685499609</v>
      </c>
      <c r="T576">
        <v>6.5485487309943887E-7</v>
      </c>
      <c r="U576">
        <v>3.1917096541337633E-11</v>
      </c>
      <c r="V576">
        <v>2.3842702365887269E-9</v>
      </c>
      <c r="W576">
        <v>1.3056195814451516E-7</v>
      </c>
      <c r="X576">
        <v>4.9349266202915983E-6</v>
      </c>
      <c r="Y576">
        <v>1.2689850225637283E-6</v>
      </c>
      <c r="Z576">
        <v>0.68379510394139287</v>
      </c>
      <c r="AA576">
        <v>7.1947351334997037E-2</v>
      </c>
      <c r="AB576">
        <v>10.481686633603523</v>
      </c>
      <c r="AD576">
        <v>0.99787752713135647</v>
      </c>
      <c r="AE576">
        <v>0.33598994554844208</v>
      </c>
      <c r="AF576">
        <v>1.0285257782004846</v>
      </c>
      <c r="AG576">
        <v>2500146.3880130779</v>
      </c>
    </row>
    <row r="577" spans="2:33" ht="12.75" hidden="1" customHeight="1">
      <c r="B577">
        <f>0.17924139942271*$F$42</f>
        <v>0</v>
      </c>
      <c r="C577">
        <f>0.42376394538374*$F$43</f>
        <v>0</v>
      </c>
      <c r="D577">
        <f>0.377785718091805*$F$44</f>
        <v>0</v>
      </c>
      <c r="E577">
        <f>0.371252668697002*$F$45</f>
        <v>0</v>
      </c>
      <c r="F577">
        <f>-0.594814780271196*$F$46</f>
        <v>0</v>
      </c>
      <c r="G577">
        <f>-0.450305959102967*$F$47</f>
        <v>0</v>
      </c>
      <c r="H577">
        <f>-0.505335869521872*$F$48</f>
        <v>0</v>
      </c>
      <c r="I577">
        <f>-0.268841173988249*$F$49</f>
        <v>0</v>
      </c>
      <c r="J577">
        <f>0.500814524216456*$F$50</f>
        <v>0</v>
      </c>
      <c r="K577">
        <f>0.373089206630378*$F$51</f>
        <v>0</v>
      </c>
      <c r="L577">
        <f>0.424935419202978*$F$52</f>
        <v>0</v>
      </c>
      <c r="M577">
        <f>0.312996891447581*$F$53</f>
        <v>0</v>
      </c>
      <c r="N577">
        <f>-0.46550380204872*$F$54</f>
        <v>0</v>
      </c>
      <c r="P577">
        <v>979407.11199582333</v>
      </c>
      <c r="Q577">
        <v>-13342.417850091186</v>
      </c>
      <c r="R577">
        <v>367824.48744021711</v>
      </c>
      <c r="S577">
        <v>750702.80143654114</v>
      </c>
      <c r="T577">
        <v>6.5836296538101631E-7</v>
      </c>
      <c r="U577">
        <v>2.9604051526780809E-11</v>
      </c>
      <c r="V577">
        <v>2.1837727500099694E-9</v>
      </c>
      <c r="W577">
        <v>1.2650506473815277E-7</v>
      </c>
      <c r="X577">
        <v>5.250407262108228E-6</v>
      </c>
      <c r="Y577">
        <v>1.2810765170188515E-6</v>
      </c>
      <c r="Z577">
        <v>0.72974547934420841</v>
      </c>
      <c r="AA577">
        <v>7.2190978240133069E-2</v>
      </c>
      <c r="AB577">
        <v>9.5344961979512792</v>
      </c>
      <c r="AD577">
        <v>1.1527381577191864</v>
      </c>
      <c r="AE577">
        <v>0.33624379621184375</v>
      </c>
      <c r="AF577">
        <v>0.88859233635765889</v>
      </c>
      <c r="AG577">
        <v>2587968.1632115552</v>
      </c>
    </row>
    <row r="578" spans="2:33" ht="12.75" hidden="1" customHeight="1">
      <c r="B578">
        <f>0.12748109096784*$F$42</f>
        <v>0</v>
      </c>
      <c r="C578">
        <f>-0.156237554962491*$F$43</f>
        <v>0</v>
      </c>
      <c r="D578">
        <f>0.539169689527768*$F$44</f>
        <v>0</v>
      </c>
      <c r="E578">
        <f>-0.168324052730275*$F$45</f>
        <v>0</v>
      </c>
      <c r="F578">
        <f>0.413739660056341*$F$46</f>
        <v>0</v>
      </c>
      <c r="G578">
        <f>0.549988839051245*$F$47</f>
        <v>0</v>
      </c>
      <c r="H578">
        <f>-0.362591863005996*$F$48</f>
        <v>0</v>
      </c>
      <c r="I578">
        <f>0.00232766499041607*$F$49</f>
        <v>0</v>
      </c>
      <c r="J578">
        <f>0.841930125556691*$F$50</f>
        <v>0</v>
      </c>
      <c r="K578">
        <f>0.323240909272033*$F$51</f>
        <v>0</v>
      </c>
      <c r="L578">
        <f>0.0971704512639947*$F$52</f>
        <v>0</v>
      </c>
      <c r="M578">
        <f>0.290865128734452*$F$53</f>
        <v>0</v>
      </c>
      <c r="N578">
        <f>-0.0576403365746654*$F$54</f>
        <v>0</v>
      </c>
      <c r="P578">
        <v>974426.93594629259</v>
      </c>
      <c r="Q578">
        <v>-12600.015929648012</v>
      </c>
      <c r="R578">
        <v>373544.49151305261</v>
      </c>
      <c r="S578">
        <v>711646.59778353618</v>
      </c>
      <c r="T578">
        <v>7.289617762039438E-7</v>
      </c>
      <c r="U578">
        <v>3.270496540105886E-11</v>
      </c>
      <c r="V578">
        <v>2.2166038715086207E-9</v>
      </c>
      <c r="W578">
        <v>1.300302596448754E-7</v>
      </c>
      <c r="X578">
        <v>5.4209650627783462E-6</v>
      </c>
      <c r="Y578">
        <v>1.2749202522950962E-6</v>
      </c>
      <c r="Z578">
        <v>0.70680193158847959</v>
      </c>
      <c r="AA578">
        <v>7.2036055901141177E-2</v>
      </c>
      <c r="AB578">
        <v>9.9423596634253339</v>
      </c>
      <c r="AD578">
        <v>0.93257809697241745</v>
      </c>
      <c r="AE578">
        <v>0.29809313013198402</v>
      </c>
      <c r="AF578">
        <v>1.103075381299865</v>
      </c>
      <c r="AG578">
        <v>2210894.3481651042</v>
      </c>
    </row>
    <row r="579" spans="2:33" ht="12.75" hidden="1" customHeight="1">
      <c r="B579">
        <f>-0.136911501168697*$F$42</f>
        <v>0</v>
      </c>
      <c r="C579">
        <f>-0.00280041054392573*$F$43</f>
        <v>0</v>
      </c>
      <c r="D579">
        <f>0.319370632025397*$F$44</f>
        <v>0</v>
      </c>
      <c r="E579">
        <f>-0.271574145972942*$F$45</f>
        <v>0</v>
      </c>
      <c r="F579">
        <f>-0.00394650371632552*$F$46</f>
        <v>0</v>
      </c>
      <c r="G579">
        <f>-0.33741908456734*$F$47</f>
        <v>0</v>
      </c>
      <c r="H579">
        <f>-0.416265772594194*$F$48</f>
        <v>0</v>
      </c>
      <c r="I579">
        <f>0.283084191442566*$F$49</f>
        <v>0</v>
      </c>
      <c r="J579">
        <f>0.0387857350165958*$F$50</f>
        <v>0</v>
      </c>
      <c r="K579">
        <f>0.564595533011674*$F$51</f>
        <v>0</v>
      </c>
      <c r="L579">
        <f>-0.151566694661598*$F$52</f>
        <v>0</v>
      </c>
      <c r="M579">
        <f>-0.18408746806541*$F$53</f>
        <v>0</v>
      </c>
      <c r="N579">
        <f>0.238715278213288*$F$54</f>
        <v>0</v>
      </c>
      <c r="P579">
        <v>948988.10657417239</v>
      </c>
      <c r="Q579">
        <v>-12796.415474503774</v>
      </c>
      <c r="R579">
        <v>365754.05549309228</v>
      </c>
      <c r="S579">
        <v>704173.04210787534</v>
      </c>
      <c r="T579">
        <v>6.9972374473985723E-7</v>
      </c>
      <c r="U579">
        <v>2.9954000837841251E-11</v>
      </c>
      <c r="V579">
        <v>2.2042588723033354E-9</v>
      </c>
      <c r="W579">
        <v>1.3368009448875335E-7</v>
      </c>
      <c r="X579">
        <v>5.0193928675082979E-6</v>
      </c>
      <c r="Y579">
        <v>1.3047275483269418E-6</v>
      </c>
      <c r="Z579">
        <v>0.6893903313736881</v>
      </c>
      <c r="AA579">
        <v>6.8711387723542128E-2</v>
      </c>
      <c r="AB579">
        <v>10.238715278213288</v>
      </c>
      <c r="AD579">
        <v>0.93340151618333034</v>
      </c>
      <c r="AE579">
        <v>0.31118770530751294</v>
      </c>
      <c r="AF579">
        <v>1.1006038206493358</v>
      </c>
      <c r="AG579">
        <v>2221201.7579932753</v>
      </c>
    </row>
    <row r="580" spans="2:33" ht="12.75" hidden="1" customHeight="1">
      <c r="B580">
        <f>0.162751674370696*$F$42</f>
        <v>0</v>
      </c>
      <c r="C580">
        <f>-0.650734834666721*$F$43</f>
        <v>0</v>
      </c>
      <c r="D580">
        <f>0.32988688565736*$F$44</f>
        <v>0</v>
      </c>
      <c r="E580">
        <f>-0.224815725512632*$F$45</f>
        <v>0</v>
      </c>
      <c r="F580">
        <f>-0.22498652459379*$F$46</f>
        <v>0</v>
      </c>
      <c r="G580">
        <f>-0.314692925919802*$F$47</f>
        <v>0</v>
      </c>
      <c r="H580">
        <f>-0.0790906942026853*$F$48</f>
        <v>0</v>
      </c>
      <c r="I580">
        <f>0.233958529228932*$F$49</f>
        <v>0</v>
      </c>
      <c r="J580">
        <f>-0.345585876197774*$F$50</f>
        <v>0</v>
      </c>
      <c r="K580">
        <f>-0.0282807731235991*$F$51</f>
        <v>0</v>
      </c>
      <c r="L580">
        <f>0.225811625407193*$F$52</f>
        <v>0</v>
      </c>
      <c r="M580">
        <f>-0.162273293084123*$F$53</f>
        <v>0</v>
      </c>
      <c r="N580">
        <f>0.617554826318656*$F$54</f>
        <v>0</v>
      </c>
      <c r="P580">
        <v>977820.53463145171</v>
      </c>
      <c r="Q580">
        <v>-11967.059411626597</v>
      </c>
      <c r="R580">
        <v>366126.78776055708</v>
      </c>
      <c r="S580">
        <v>707557.55874743685</v>
      </c>
      <c r="T580">
        <v>6.8425094327843464E-7</v>
      </c>
      <c r="U580">
        <v>3.002445192964862E-11</v>
      </c>
      <c r="V580">
        <v>2.2818091403333822E-9</v>
      </c>
      <c r="W580">
        <v>1.3304146087997613E-7</v>
      </c>
      <c r="X580">
        <v>4.8272070619011137E-6</v>
      </c>
      <c r="Y580">
        <v>1.2315073245192355E-6</v>
      </c>
      <c r="Z580">
        <v>0.71580681377850341</v>
      </c>
      <c r="AA580">
        <v>6.8864086948411146E-2</v>
      </c>
      <c r="AB580">
        <v>10.617554826318656</v>
      </c>
      <c r="AD580">
        <v>0.98231280142857935</v>
      </c>
      <c r="AE580">
        <v>0.30154472680746663</v>
      </c>
      <c r="AF580">
        <v>1.0458840462227972</v>
      </c>
      <c r="AG580">
        <v>2234251.5661060875</v>
      </c>
    </row>
    <row r="581" spans="2:33" ht="12.75" hidden="1" customHeight="1">
      <c r="B581">
        <f>0.3161210132111*$F$42</f>
        <v>0</v>
      </c>
      <c r="C581">
        <f>0.238099058435119*$F$43</f>
        <v>0</v>
      </c>
      <c r="D581">
        <f>-0.230976868566084*$F$44</f>
        <v>0</v>
      </c>
      <c r="E581">
        <f>0.486241697231479*$F$45</f>
        <v>0</v>
      </c>
      <c r="F581">
        <f>-0.434830208769181*$F$46</f>
        <v>0</v>
      </c>
      <c r="G581">
        <f>-0.271977464421204*$F$47</f>
        <v>0</v>
      </c>
      <c r="H581">
        <f>-0.251082612611566*$F$48</f>
        <v>0</v>
      </c>
      <c r="I581">
        <f>0.144449306291136*$F$49</f>
        <v>0</v>
      </c>
      <c r="J581">
        <f>-0.226810763456567*$F$50</f>
        <v>0</v>
      </c>
      <c r="K581">
        <f>-0.0445721962562993*$F$51</f>
        <v>0</v>
      </c>
      <c r="L581">
        <f>0.0879973397967175*$F$52</f>
        <v>0</v>
      </c>
      <c r="M581">
        <f>0.314399985916262*$F$53</f>
        <v>0</v>
      </c>
      <c r="N581">
        <f>-0.224222348974836*$F$54</f>
        <v>0</v>
      </c>
      <c r="P581">
        <v>992577.13734164066</v>
      </c>
      <c r="Q581">
        <v>-13104.766794796953</v>
      </c>
      <c r="R581">
        <v>346247.84358835395</v>
      </c>
      <c r="S581">
        <v>759026.05694027035</v>
      </c>
      <c r="T581">
        <v>6.6956188538615727E-7</v>
      </c>
      <c r="U581">
        <v>3.0156869860294272E-11</v>
      </c>
      <c r="V581">
        <v>2.2422509990993398E-9</v>
      </c>
      <c r="W581">
        <v>1.3187784098178479E-7</v>
      </c>
      <c r="X581">
        <v>4.8865946182717168E-6</v>
      </c>
      <c r="Y581">
        <v>1.229495333762347E-6</v>
      </c>
      <c r="Z581">
        <v>0.7061598137857702</v>
      </c>
      <c r="AA581">
        <v>7.2200799901413842E-2</v>
      </c>
      <c r="AB581">
        <v>9.7757776510251642</v>
      </c>
      <c r="AD581">
        <v>1.1646325627560221</v>
      </c>
      <c r="AE581">
        <v>0.36477029866936322</v>
      </c>
      <c r="AF581">
        <v>0.87852449858475445</v>
      </c>
      <c r="AG581">
        <v>2837498.6031867745</v>
      </c>
    </row>
    <row r="582" spans="2:33" ht="12.75" hidden="1" customHeight="1">
      <c r="B582">
        <f>-0.206092547685886*$F$42</f>
        <v>0</v>
      </c>
      <c r="C582">
        <f>-0.151646699826695*$F$43</f>
        <v>0</v>
      </c>
      <c r="D582">
        <f>0.00461190317418823*$F$44</f>
        <v>0</v>
      </c>
      <c r="E582">
        <f>0.327697147556266*$F$45</f>
        <v>0</v>
      </c>
      <c r="F582">
        <f>0.551397511812097*$F$46</f>
        <v>0</v>
      </c>
      <c r="G582">
        <f>0.177405438287221*$F$47</f>
        <v>0</v>
      </c>
      <c r="H582">
        <f>-0.0123162701234859*$F$48</f>
        <v>0</v>
      </c>
      <c r="I582">
        <f>0.113253902576694*$F$49</f>
        <v>0</v>
      </c>
      <c r="J582">
        <f>0.0815179123285106*$F$50</f>
        <v>0</v>
      </c>
      <c r="K582">
        <f>-0.576671616788573*$F$51</f>
        <v>0</v>
      </c>
      <c r="L582">
        <f>-0.018792874262311*$F$52</f>
        <v>0</v>
      </c>
      <c r="M582">
        <f>-0.00708424589155871*$F$53</f>
        <v>0</v>
      </c>
      <c r="N582">
        <f>0.359469200018821*$F$54</f>
        <v>0</v>
      </c>
      <c r="P582">
        <v>942331.77470074908</v>
      </c>
      <c r="Q582">
        <v>-12605.89222422183</v>
      </c>
      <c r="R582">
        <v>354597.92149186734</v>
      </c>
      <c r="S582">
        <v>747550.12038798584</v>
      </c>
      <c r="T582">
        <v>7.3859782582684673E-7</v>
      </c>
      <c r="U582">
        <v>3.1549956858690388E-11</v>
      </c>
      <c r="V582">
        <v>2.2971672578715981E-9</v>
      </c>
      <c r="W582">
        <v>1.31472300733497E-7</v>
      </c>
      <c r="X582">
        <v>5.0407589561642556E-6</v>
      </c>
      <c r="Y582">
        <v>1.1637810553266112E-6</v>
      </c>
      <c r="Z582">
        <v>0.69868449880163819</v>
      </c>
      <c r="AA582">
        <v>6.995041027875909E-2</v>
      </c>
      <c r="AB582">
        <v>10.35946920001882</v>
      </c>
      <c r="AD582">
        <v>1.1605235495232988</v>
      </c>
      <c r="AE582">
        <v>0.36992822519410679</v>
      </c>
      <c r="AF582">
        <v>0.88118858527390431</v>
      </c>
      <c r="AG582">
        <v>2698831.2439904618</v>
      </c>
    </row>
    <row r="583" spans="2:33" ht="12.75" hidden="1" customHeight="1">
      <c r="B583">
        <f>-0.510079445388962*$F$42</f>
        <v>0</v>
      </c>
      <c r="C583">
        <f>-0.639314406909675*$F$43</f>
        <v>0</v>
      </c>
      <c r="D583">
        <f>-0.439126949519093*$F$44</f>
        <v>0</v>
      </c>
      <c r="E583">
        <f>-0.191150812468641*$F$45</f>
        <v>0</v>
      </c>
      <c r="F583">
        <f>-0.0263917062109441*$F$46</f>
        <v>0</v>
      </c>
      <c r="G583">
        <f>-0.0282728271887717*$F$47</f>
        <v>0</v>
      </c>
      <c r="H583">
        <f>-0.731190958540128*$F$48</f>
        <v>0</v>
      </c>
      <c r="I583">
        <f>0.429112690595975*$F$49</f>
        <v>0</v>
      </c>
      <c r="J583">
        <f>-0.0847356699742535*$F$50</f>
        <v>0</v>
      </c>
      <c r="K583">
        <f>-0.0247311623218184*$F$51</f>
        <v>0</v>
      </c>
      <c r="L583">
        <f>0.0949145772021318*$F$52</f>
        <v>0</v>
      </c>
      <c r="M583">
        <f>0.298485245944085*$F$53</f>
        <v>0</v>
      </c>
      <c r="N583">
        <f>-0.270784433408646*$F$54</f>
        <v>0</v>
      </c>
      <c r="P583">
        <v>913083.33487292216</v>
      </c>
      <c r="Q583">
        <v>-11981.677559155616</v>
      </c>
      <c r="R583">
        <v>338870.28743938595</v>
      </c>
      <c r="S583">
        <v>709994.32751004922</v>
      </c>
      <c r="T583">
        <v>6.9815258056523385E-7</v>
      </c>
      <c r="U583">
        <v>3.0912354235714811E-11</v>
      </c>
      <c r="V583">
        <v>2.1318260795357705E-9</v>
      </c>
      <c r="W583">
        <v>1.3557846497774767E-7</v>
      </c>
      <c r="X583">
        <v>4.9576321650128735E-6</v>
      </c>
      <c r="Y583">
        <v>1.2319457014532555E-6</v>
      </c>
      <c r="Z583">
        <v>0.7066440204041492</v>
      </c>
      <c r="AA583">
        <v>7.2089396721608592E-2</v>
      </c>
      <c r="AB583">
        <v>9.7292155665913533</v>
      </c>
      <c r="AD583">
        <v>1.1325127742188235</v>
      </c>
      <c r="AE583">
        <v>0.3551357147358784</v>
      </c>
      <c r="AF583">
        <v>0.90424090428838166</v>
      </c>
      <c r="AG583">
        <v>2534118.3406870975</v>
      </c>
    </row>
    <row r="584" spans="2:33" ht="12.75" hidden="1" customHeight="1">
      <c r="B584">
        <f>-0.126729830167957*$F$42</f>
        <v>0</v>
      </c>
      <c r="C584">
        <f>0.132202514054178*$F$43</f>
        <v>0</v>
      </c>
      <c r="D584">
        <f>-0.33303664398476*$F$44</f>
        <v>0</v>
      </c>
      <c r="E584">
        <f>0.0347468492807326*$F$45</f>
        <v>0</v>
      </c>
      <c r="F584">
        <f>-0.14307000826965*$F$46</f>
        <v>0</v>
      </c>
      <c r="G584">
        <f>0.48176897060258*$F$47</f>
        <v>0</v>
      </c>
      <c r="H584">
        <f>0.621546979390427*$F$48</f>
        <v>0</v>
      </c>
      <c r="I584">
        <f>-0.136896080922927*$F$49</f>
        <v>0</v>
      </c>
      <c r="J584">
        <f>-0.48073915454115*$F$50</f>
        <v>0</v>
      </c>
      <c r="K584">
        <f>-0.18213575982189*$F$51</f>
        <v>0</v>
      </c>
      <c r="L584">
        <f>-1.22260120083044*$F$52</f>
        <v>0</v>
      </c>
      <c r="M584">
        <f>-0.0452060818153106*$F$53</f>
        <v>0</v>
      </c>
      <c r="N584">
        <f>0.0849635062943418*$F$54</f>
        <v>0</v>
      </c>
      <c r="P584">
        <v>949967.74745298026</v>
      </c>
      <c r="Q584">
        <v>-12969.219217989348</v>
      </c>
      <c r="R584">
        <v>342630.49345207255</v>
      </c>
      <c r="S584">
        <v>726345.48709803808</v>
      </c>
      <c r="T584">
        <v>6.8998509942112446E-7</v>
      </c>
      <c r="U584">
        <v>3.2493483808868E-11</v>
      </c>
      <c r="V584">
        <v>2.4429558052597978E-9</v>
      </c>
      <c r="W584">
        <v>1.2822035094800194E-7</v>
      </c>
      <c r="X584">
        <v>4.7596304227294256E-6</v>
      </c>
      <c r="Y584">
        <v>1.2125062336619966E-6</v>
      </c>
      <c r="Z584">
        <v>0.61441791594186912</v>
      </c>
      <c r="AA584">
        <v>6.9683557427292833E-2</v>
      </c>
      <c r="AB584">
        <v>10.084963506294342</v>
      </c>
      <c r="AD584">
        <v>0.90475375783054379</v>
      </c>
      <c r="AE584">
        <v>0.36622473953662005</v>
      </c>
      <c r="AF584">
        <v>1.1337413125726905</v>
      </c>
      <c r="AG584">
        <v>2590507.3328263024</v>
      </c>
    </row>
    <row r="585" spans="2:33" ht="12.75" hidden="1" customHeight="1">
      <c r="B585">
        <f>0.254443177804285*$F$42</f>
        <v>0</v>
      </c>
      <c r="C585">
        <f>0.127725006033529*$F$43</f>
        <v>0</v>
      </c>
      <c r="D585">
        <f>0.0892093727300437*$F$44</f>
        <v>0</v>
      </c>
      <c r="E585">
        <f>0.112949847638552*$F$45</f>
        <v>0</v>
      </c>
      <c r="F585">
        <f>-0.252434707470014*$F$46</f>
        <v>0</v>
      </c>
      <c r="G585">
        <f>0.2080398000878*$F$47</f>
        <v>0</v>
      </c>
      <c r="H585">
        <f>-0.0996458057253433*$F$48</f>
        <v>0</v>
      </c>
      <c r="I585">
        <f>-0.272017636556412*$F$49</f>
        <v>0</v>
      </c>
      <c r="J585">
        <f>0.288523631640735*$F$50</f>
        <v>0</v>
      </c>
      <c r="K585">
        <f>-0.172831122434319*$F$51</f>
        <v>0</v>
      </c>
      <c r="L585">
        <f>0.231956256513696*$F$52</f>
        <v>0</v>
      </c>
      <c r="M585">
        <f>-0.0341036625222775*$F$53</f>
        <v>0</v>
      </c>
      <c r="N585">
        <f>0.571187769365521*$F$54</f>
        <v>0</v>
      </c>
      <c r="P585">
        <v>986642.7353287983</v>
      </c>
      <c r="Q585">
        <v>-12963.488007722919</v>
      </c>
      <c r="R585">
        <v>357596.34733369941</v>
      </c>
      <c r="S585">
        <v>732006.05789149145</v>
      </c>
      <c r="T585">
        <v>6.8232957047709896E-7</v>
      </c>
      <c r="U585">
        <v>3.1644923380272187E-11</v>
      </c>
      <c r="V585">
        <v>2.2770814646831708E-9</v>
      </c>
      <c r="W585">
        <v>1.2646377072476665E-7</v>
      </c>
      <c r="X585">
        <v>5.1442618158203685E-6</v>
      </c>
      <c r="Y585">
        <v>1.2136553563793617E-6</v>
      </c>
      <c r="Z585">
        <v>0.71623693795595877</v>
      </c>
      <c r="AA585">
        <v>6.9761274362344056E-2</v>
      </c>
      <c r="AB585">
        <v>10.571187769365519</v>
      </c>
      <c r="AD585">
        <v>1.0923993058968888</v>
      </c>
      <c r="AE585">
        <v>0.33168055869330909</v>
      </c>
      <c r="AF585">
        <v>0.93820485116428587</v>
      </c>
      <c r="AG585">
        <v>2516158.298807485</v>
      </c>
    </row>
    <row r="586" spans="2:33" ht="12.75" hidden="1" customHeight="1">
      <c r="B586">
        <f>0.0896426609698721*$F$42</f>
        <v>0</v>
      </c>
      <c r="C586">
        <f>-0.807374068693458*$F$43</f>
        <v>0</v>
      </c>
      <c r="D586">
        <f>-0.514217867776761*$F$44</f>
        <v>0</v>
      </c>
      <c r="E586">
        <f>-0.470235181916579*$F$45</f>
        <v>0</v>
      </c>
      <c r="F586">
        <f>-0.356516215589373*$F$46</f>
        <v>0</v>
      </c>
      <c r="G586">
        <f>-0.0654077732795814*$F$47</f>
        <v>0</v>
      </c>
      <c r="H586">
        <f>-0.416483244946126*$F$48</f>
        <v>0</v>
      </c>
      <c r="I586">
        <f>0.379022415912291*$F$49</f>
        <v>0</v>
      </c>
      <c r="J586">
        <f>0.0600484027675612*$F$50</f>
        <v>0</v>
      </c>
      <c r="K586">
        <f>-0.463576193658918*$F$51</f>
        <v>0</v>
      </c>
      <c r="L586">
        <f>0.136255309644376*$F$52</f>
        <v>0</v>
      </c>
      <c r="M586">
        <f>-0.186428581112418*$F$53</f>
        <v>0</v>
      </c>
      <c r="N586">
        <f>-0.539331097639577*$F$54</f>
        <v>0</v>
      </c>
      <c r="P586">
        <v>970786.26902499655</v>
      </c>
      <c r="Q586">
        <v>-11766.561192072373</v>
      </c>
      <c r="R586">
        <v>336208.80653490062</v>
      </c>
      <c r="S586">
        <v>689793.35230730753</v>
      </c>
      <c r="T586">
        <v>6.7504386490874383E-7</v>
      </c>
      <c r="U586">
        <v>3.0797235902833304E-11</v>
      </c>
      <c r="V586">
        <v>2.2042088536623908E-9</v>
      </c>
      <c r="W586">
        <v>1.3492729140685978E-7</v>
      </c>
      <c r="X586">
        <v>5.0300242013837806E-6</v>
      </c>
      <c r="Y586">
        <v>1.1777483400831238E-6</v>
      </c>
      <c r="Z586">
        <v>0.70953787167510618</v>
      </c>
      <c r="AA586">
        <v>6.8694999932213077E-2</v>
      </c>
      <c r="AB586">
        <v>9.4606689023604229</v>
      </c>
      <c r="AD586">
        <v>0.98996405358091777</v>
      </c>
      <c r="AE586">
        <v>0.31210008867965872</v>
      </c>
      <c r="AF586">
        <v>1.0384647618073162</v>
      </c>
      <c r="AG586">
        <v>2330254.5129198879</v>
      </c>
    </row>
    <row r="587" spans="2:33" ht="12.75" hidden="1" customHeight="1">
      <c r="B587">
        <f>0.0151849738103068*$F$42</f>
        <v>0</v>
      </c>
      <c r="C587">
        <f>0.0964414478682441*$F$43</f>
        <v>0</v>
      </c>
      <c r="D587">
        <f>0.612170004077522*$F$44</f>
        <v>0</v>
      </c>
      <c r="E587">
        <f>0.164565165433992*$F$45</f>
        <v>0</v>
      </c>
      <c r="F587">
        <f>0.0358967998219252*$F$46</f>
        <v>0</v>
      </c>
      <c r="G587">
        <f>0.35719545592475*$F$47</f>
        <v>0</v>
      </c>
      <c r="H587">
        <f>0.00193889431864484*$F$48</f>
        <v>0</v>
      </c>
      <c r="I587">
        <f>0.279819674812081*$F$49</f>
        <v>0</v>
      </c>
      <c r="J587">
        <f>-0.553624831390747*$F$50</f>
        <v>0</v>
      </c>
      <c r="K587">
        <f>-0.0217235048036622*$F$51</f>
        <v>0</v>
      </c>
      <c r="L587">
        <f>-0.210638147317334*$F$52</f>
        <v>0</v>
      </c>
      <c r="M587">
        <f>-0.232918340892132*$F$53</f>
        <v>0</v>
      </c>
      <c r="N587">
        <f>0.349095842833236*$F$54</f>
        <v>0</v>
      </c>
      <c r="P587">
        <v>963622.2392623293</v>
      </c>
      <c r="Q587">
        <v>-12923.445053271354</v>
      </c>
      <c r="R587">
        <v>376131.87421796116</v>
      </c>
      <c r="S587">
        <v>735742.13152732374</v>
      </c>
      <c r="T587">
        <v>7.0251277598753477E-7</v>
      </c>
      <c r="U587">
        <v>3.2107305913366727E-11</v>
      </c>
      <c r="V587">
        <v>2.3004459456932881E-9</v>
      </c>
      <c r="W587">
        <v>1.3363765577255706E-7</v>
      </c>
      <c r="X587">
        <v>4.7231875843046267E-6</v>
      </c>
      <c r="Y587">
        <v>1.2323171471567478E-6</v>
      </c>
      <c r="Z587">
        <v>0.68525532968778657</v>
      </c>
      <c r="AA587">
        <v>6.8369571613755079E-2</v>
      </c>
      <c r="AB587">
        <v>10.349095842833236</v>
      </c>
      <c r="AD587">
        <v>0.97897032937979367</v>
      </c>
      <c r="AE587">
        <v>0.32873492647046043</v>
      </c>
      <c r="AF587">
        <v>1.0485718328242779</v>
      </c>
      <c r="AG587">
        <v>2396525.6611398803</v>
      </c>
    </row>
    <row r="588" spans="2:33" ht="12.75" hidden="1" customHeight="1">
      <c r="B588">
        <f>0.233480363562937*$F$42</f>
        <v>0</v>
      </c>
      <c r="C588">
        <f>0.0143204674065619*$F$43</f>
        <v>0</v>
      </c>
      <c r="D588">
        <f>-0.300493076861703*$F$44</f>
        <v>0</v>
      </c>
      <c r="E588">
        <f>0.712750129988413*$F$45</f>
        <v>0</v>
      </c>
      <c r="F588">
        <f>0.0969727309613861*$F$46</f>
        <v>0</v>
      </c>
      <c r="G588">
        <f>-0.110879304096247*$F$47</f>
        <v>0</v>
      </c>
      <c r="H588">
        <f>-0.379760606187886*$F$48</f>
        <v>0</v>
      </c>
      <c r="I588">
        <f>0.128593201841353*$F$49</f>
        <v>0</v>
      </c>
      <c r="J588">
        <f>-0.0256537048289679*$F$50</f>
        <v>0</v>
      </c>
      <c r="K588">
        <f>0.0769167416430996*$F$51</f>
        <v>0</v>
      </c>
      <c r="L588">
        <f>0.034807204501134*$F$52</f>
        <v>0</v>
      </c>
      <c r="M588">
        <f>-0.220413753042259*$F$53</f>
        <v>0</v>
      </c>
      <c r="N588">
        <f>-0.0693569414485208*$F$54</f>
        <v>0</v>
      </c>
      <c r="P588">
        <v>984625.77467821515</v>
      </c>
      <c r="Q588">
        <v>-12818.330198280399</v>
      </c>
      <c r="R588">
        <v>343783.94961523527</v>
      </c>
      <c r="S588">
        <v>775421.42599080503</v>
      </c>
      <c r="T588">
        <v>7.06788091167297E-7</v>
      </c>
      <c r="U588">
        <v>3.0656274157301637E-11</v>
      </c>
      <c r="V588">
        <v>2.2126550605767864E-9</v>
      </c>
      <c r="W588">
        <v>1.316717116239376E-7</v>
      </c>
      <c r="X588">
        <v>4.9871731475855162E-6</v>
      </c>
      <c r="Y588">
        <v>1.244499217592923E-6</v>
      </c>
      <c r="Z588">
        <v>0.70243650431507942</v>
      </c>
      <c r="AA588">
        <v>6.8457103728704199E-2</v>
      </c>
      <c r="AB588">
        <v>9.93064305855148</v>
      </c>
      <c r="AD588">
        <v>1.237614606982349</v>
      </c>
      <c r="AE588">
        <v>0.38970535802354861</v>
      </c>
      <c r="AF588">
        <v>0.82510912044392204</v>
      </c>
      <c r="AG588">
        <v>3018590.4735075412</v>
      </c>
    </row>
    <row r="589" spans="2:33" ht="12.75" hidden="1" customHeight="1">
      <c r="B589">
        <f>-0.189562790642579*$F$42</f>
        <v>0</v>
      </c>
      <c r="C589">
        <f>0.0507871633430359*$F$43</f>
        <v>0</v>
      </c>
      <c r="D589">
        <f>0.0541241809641271*$F$44</f>
        <v>0</v>
      </c>
      <c r="E589">
        <f>0.464803492259513*$F$45</f>
        <v>0</v>
      </c>
      <c r="F589">
        <f>0.131703038242884*$F$46</f>
        <v>0</v>
      </c>
      <c r="G589">
        <f>0.122231883594005*$F$47</f>
        <v>0</v>
      </c>
      <c r="H589">
        <f>0.0765514327909208*$F$48</f>
        <v>0</v>
      </c>
      <c r="I589">
        <f>0.453336890195995*$F$49</f>
        <v>0</v>
      </c>
      <c r="J589">
        <f>0.112174338033717*$F$50</f>
        <v>0</v>
      </c>
      <c r="K589">
        <f>-0.164091166413391*$F$51</f>
        <v>0</v>
      </c>
      <c r="L589">
        <f>-0.476838628337998*$F$52</f>
        <v>0</v>
      </c>
      <c r="M589">
        <f>0.245790642881453*$F$53</f>
        <v>0</v>
      </c>
      <c r="N589">
        <f>-0.24764160086035*$F$54</f>
        <v>0</v>
      </c>
      <c r="P589">
        <v>943922.20378799865</v>
      </c>
      <c r="Q589">
        <v>-12865.007569079085</v>
      </c>
      <c r="R589">
        <v>356352.80723481864</v>
      </c>
      <c r="S589">
        <v>757474.29448260693</v>
      </c>
      <c r="T589">
        <v>7.0921921267700182E-7</v>
      </c>
      <c r="U589">
        <v>3.1378918839141413E-11</v>
      </c>
      <c r="V589">
        <v>2.3176068295419119E-9</v>
      </c>
      <c r="W589">
        <v>1.3589337957254793E-7</v>
      </c>
      <c r="X589">
        <v>5.0560871690168586E-6</v>
      </c>
      <c r="Y589">
        <v>1.2147347409479461E-6</v>
      </c>
      <c r="Z589">
        <v>0.66662129601634013</v>
      </c>
      <c r="AA589">
        <v>7.1720534500170185E-2</v>
      </c>
      <c r="AB589">
        <v>9.7523583991396503</v>
      </c>
      <c r="AD589">
        <v>1.0756824447031541</v>
      </c>
      <c r="AE589">
        <v>0.37916965510012801</v>
      </c>
      <c r="AF589">
        <v>0.95251419580300123</v>
      </c>
      <c r="AG589">
        <v>2767867.6561501394</v>
      </c>
    </row>
    <row r="590" spans="2:33" ht="12.75" hidden="1" customHeight="1">
      <c r="B590">
        <f>0.113783625768421*$F$42</f>
        <v>0</v>
      </c>
      <c r="C590">
        <f>-0.317533714938421*$F$43</f>
        <v>0</v>
      </c>
      <c r="D590">
        <f>0.521531891297546*$F$44</f>
        <v>0</v>
      </c>
      <c r="E590">
        <f>-0.335269490299389*$F$45</f>
        <v>0</v>
      </c>
      <c r="F590">
        <f>-0.0223067248940448*$F$46</f>
        <v>0</v>
      </c>
      <c r="G590">
        <f>0.303789836951096*$F$47</f>
        <v>0</v>
      </c>
      <c r="H590">
        <f>-0.50251198071999*$F$48</f>
        <v>0</v>
      </c>
      <c r="I590">
        <f>0.349356855829976*$F$49</f>
        <v>0</v>
      </c>
      <c r="J590">
        <f>0.441513001729847*$F$50</f>
        <v>0</v>
      </c>
      <c r="K590">
        <f>0.203473508232598*$F$51</f>
        <v>0</v>
      </c>
      <c r="L590">
        <f>-0.199026885259797*$F$52</f>
        <v>0</v>
      </c>
      <c r="M590">
        <f>0.24609852053571*$F$53</f>
        <v>0</v>
      </c>
      <c r="N590">
        <f>-0.0372836625804624*$F$54</f>
        <v>0</v>
      </c>
      <c r="P590">
        <v>973109.01899096929</v>
      </c>
      <c r="Q590">
        <v>-12393.556844878822</v>
      </c>
      <c r="R590">
        <v>372919.34716436028</v>
      </c>
      <c r="S590">
        <v>699562.5794230107</v>
      </c>
      <c r="T590">
        <v>6.9843852925741687E-7</v>
      </c>
      <c r="U590">
        <v>3.1941748494548401E-11</v>
      </c>
      <c r="V590">
        <v>2.1844222444344022E-9</v>
      </c>
      <c r="W590">
        <v>1.3454163912578969E-7</v>
      </c>
      <c r="X590">
        <v>5.2207565008649242E-6</v>
      </c>
      <c r="Y590">
        <v>1.2601289782667259E-6</v>
      </c>
      <c r="Z590">
        <v>0.68606811803181422</v>
      </c>
      <c r="AA590">
        <v>7.1722689643749976E-2</v>
      </c>
      <c r="AB590">
        <v>9.9627163374195362</v>
      </c>
      <c r="AD590">
        <v>0.84621678074922158</v>
      </c>
      <c r="AE590">
        <v>0.2895310552756879</v>
      </c>
      <c r="AF590">
        <v>1.2171375151557917</v>
      </c>
      <c r="AG590">
        <v>2108139.8498819089</v>
      </c>
    </row>
    <row r="591" spans="2:33" ht="12.75" hidden="1" customHeight="1">
      <c r="B591">
        <f>-0.595708573594008*$F$42</f>
        <v>0</v>
      </c>
      <c r="C591">
        <f>-0.139134388563201*$F$43</f>
        <v>0</v>
      </c>
      <c r="D591">
        <f>0.0103847734834922*$F$44</f>
        <v>0</v>
      </c>
      <c r="E591">
        <f>0.076536739879202*$F$45</f>
        <v>0</v>
      </c>
      <c r="F591">
        <f>0.289237957616218*$F$46</f>
        <v>0</v>
      </c>
      <c r="G591">
        <f>0.415870779152093*$F$47</f>
        <v>0</v>
      </c>
      <c r="H591">
        <f>0.66099566113232*$F$48</f>
        <v>0</v>
      </c>
      <c r="I591">
        <f>-0.0205633677277406*$F$49</f>
        <v>0</v>
      </c>
      <c r="J591">
        <f>-0.21498914878182*$F$50</f>
        <v>0</v>
      </c>
      <c r="K591">
        <f>0.249962396333529*$F$51</f>
        <v>0</v>
      </c>
      <c r="L591">
        <f>-0.242577110102339*$F$52</f>
        <v>0</v>
      </c>
      <c r="M591">
        <f>-0.0264931399489517*$F$53</f>
        <v>0</v>
      </c>
      <c r="N591">
        <f>-0.344452120108617*$F$54</f>
        <v>0</v>
      </c>
      <c r="P591">
        <v>904844.43239804998</v>
      </c>
      <c r="Q591">
        <v>-12621.907982639103</v>
      </c>
      <c r="R591">
        <v>354802.53190879634</v>
      </c>
      <c r="S591">
        <v>729370.36643963249</v>
      </c>
      <c r="T591">
        <v>7.2024665703313514E-7</v>
      </c>
      <c r="U591">
        <v>3.2289199415371487E-11</v>
      </c>
      <c r="V591">
        <v>2.4520290020604337E-9</v>
      </c>
      <c r="W591">
        <v>1.2973267621953938E-7</v>
      </c>
      <c r="X591">
        <v>4.8925054256090902E-6</v>
      </c>
      <c r="Y591">
        <v>1.2658703559471909E-6</v>
      </c>
      <c r="Z591">
        <v>0.6830196022928362</v>
      </c>
      <c r="AA591">
        <v>6.9814548020357345E-2</v>
      </c>
      <c r="AB591">
        <v>9.6555478798913832</v>
      </c>
      <c r="AD591">
        <v>1.0889307445902332</v>
      </c>
      <c r="AE591">
        <v>0.36670909112383754</v>
      </c>
      <c r="AF591">
        <v>0.94095185062549702</v>
      </c>
      <c r="AG591">
        <v>2573984.139774221</v>
      </c>
    </row>
    <row r="592" spans="2:33" ht="12.75" hidden="1" customHeight="1">
      <c r="B592">
        <f>0.191674013215621*$F$42</f>
        <v>0</v>
      </c>
      <c r="C592">
        <f>0.365467366598217*$F$43</f>
        <v>0</v>
      </c>
      <c r="D592">
        <f>0.273167102087417*$F$44</f>
        <v>0</v>
      </c>
      <c r="E592">
        <f>0.363245850792055*$F$45</f>
        <v>0</v>
      </c>
      <c r="F592">
        <f>0.152607652668405*$F$46</f>
        <v>0</v>
      </c>
      <c r="G592">
        <f>0.220949630138544*$F$47</f>
        <v>0</v>
      </c>
      <c r="H592">
        <f>-0.120602354200456*$F$48</f>
        <v>0</v>
      </c>
      <c r="I592">
        <f>0.256471856877723*$F$49</f>
        <v>0</v>
      </c>
      <c r="J592">
        <f>-0.304547039852983*$F$50</f>
        <v>0</v>
      </c>
      <c r="K592">
        <f>-0.19859166734792*$F$51</f>
        <v>0</v>
      </c>
      <c r="L592">
        <f>-0.163047823520958*$F$52</f>
        <v>0</v>
      </c>
      <c r="M592">
        <f>-0.291185682102595*$F$53</f>
        <v>0</v>
      </c>
      <c r="N592">
        <f>0.0386543038841322*$F$54</f>
        <v>0</v>
      </c>
      <c r="P592">
        <v>980603.32985643577</v>
      </c>
      <c r="Q592">
        <v>-13267.798229245718</v>
      </c>
      <c r="R592">
        <v>364116.44317587715</v>
      </c>
      <c r="S592">
        <v>750123.24361225078</v>
      </c>
      <c r="T592">
        <v>7.1068253568678828E-7</v>
      </c>
      <c r="U592">
        <v>3.1684943853429494E-11</v>
      </c>
      <c r="V592">
        <v>2.2722614585338948E-9</v>
      </c>
      <c r="W592">
        <v>1.333341341394104E-7</v>
      </c>
      <c r="X592">
        <v>4.8477264800735094E-6</v>
      </c>
      <c r="Y592">
        <v>1.2104739290825318E-6</v>
      </c>
      <c r="Z592">
        <v>0.68858665235353289</v>
      </c>
      <c r="AA592">
        <v>6.7961700225281849E-2</v>
      </c>
      <c r="AB592">
        <v>10.038654303884131</v>
      </c>
      <c r="AD592">
        <v>1.0488001662812845</v>
      </c>
      <c r="AE592">
        <v>0.34708814077560518</v>
      </c>
      <c r="AF592">
        <v>0.97786465137899325</v>
      </c>
      <c r="AG592">
        <v>2603243.2768979706</v>
      </c>
    </row>
    <row r="593" spans="2:33" ht="12.75" hidden="1" customHeight="1">
      <c r="B593">
        <f>-0.415362231663528*$F$42</f>
        <v>0</v>
      </c>
      <c r="C593">
        <f>-0.394421719155568*$F$43</f>
        <v>0</v>
      </c>
      <c r="D593">
        <f>-0.0771374990244753*$F$44</f>
        <v>0</v>
      </c>
      <c r="E593">
        <f>-0.391261554031437*$F$45</f>
        <v>0</v>
      </c>
      <c r="F593">
        <f>-0.613516338107813*$F$46</f>
        <v>0</v>
      </c>
      <c r="G593">
        <f>-0.059368372099778*$F$47</f>
        <v>0</v>
      </c>
      <c r="H593">
        <f>0.0517404668599863*$F$48</f>
        <v>0</v>
      </c>
      <c r="I593">
        <f>0.193633231723154*$F$49</f>
        <v>0</v>
      </c>
      <c r="J593">
        <f>-0.238635382070123*$F$50</f>
        <v>0</v>
      </c>
      <c r="K593">
        <f>-0.578357338946641*$F$51</f>
        <v>0</v>
      </c>
      <c r="L593">
        <f>0.232540962058117*$F$52</f>
        <v>0</v>
      </c>
      <c r="M593">
        <f>-0.187789490670192*$F$53</f>
        <v>0</v>
      </c>
      <c r="N593">
        <f>0.247691923076703*$F$54</f>
        <v>0</v>
      </c>
      <c r="P593">
        <v>922196.6576747942</v>
      </c>
      <c r="Q593">
        <v>-12295.140199480873</v>
      </c>
      <c r="R593">
        <v>351700.44097154337</v>
      </c>
      <c r="S593">
        <v>695509.70360900916</v>
      </c>
      <c r="T593">
        <v>6.5705385633245306E-7</v>
      </c>
      <c r="U593">
        <v>3.0815958046490687E-11</v>
      </c>
      <c r="V593">
        <v>2.3119003073777967E-9</v>
      </c>
      <c r="W593">
        <v>1.32517232012401E-7</v>
      </c>
      <c r="X593">
        <v>4.8806823089649394E-6</v>
      </c>
      <c r="Y593">
        <v>1.1635728686400899E-6</v>
      </c>
      <c r="Z593">
        <v>0.71627786734406806</v>
      </c>
      <c r="AA593">
        <v>6.8685473565308672E-2</v>
      </c>
      <c r="AB593">
        <v>10.247691923076703</v>
      </c>
      <c r="AD593">
        <v>1.0638895042968091</v>
      </c>
      <c r="AE593">
        <v>0.32389728136187595</v>
      </c>
      <c r="AF593">
        <v>0.96428023155280418</v>
      </c>
      <c r="AG593">
        <v>2291910.7039990919</v>
      </c>
    </row>
    <row r="594" spans="2:33" ht="12.75" hidden="1" customHeight="1">
      <c r="B594">
        <f>-0.278469585823721*$F$42</f>
        <v>0</v>
      </c>
      <c r="C594">
        <f>-0.0975753375507389*$F$43</f>
        <v>0</v>
      </c>
      <c r="D594">
        <f>0.186648434792832*$F$44</f>
        <v>0</v>
      </c>
      <c r="E594">
        <f>-0.0934059878320864*$F$45</f>
        <v>0</v>
      </c>
      <c r="F594">
        <f>-0.222266164254987*$F$46</f>
        <v>0</v>
      </c>
      <c r="G594">
        <f>0.199908504061255*$F$47</f>
        <v>0</v>
      </c>
      <c r="H594">
        <f>0.442851810641828*$F$48</f>
        <v>0</v>
      </c>
      <c r="I594">
        <f>0.635373804596733*$F$49</f>
        <v>0</v>
      </c>
      <c r="J594">
        <f>-0.467257215485071*$F$50</f>
        <v>0</v>
      </c>
      <c r="K594">
        <f>-0.396318215324299*$F$51</f>
        <v>0</v>
      </c>
      <c r="L594">
        <f>-0.170867977908348*$F$52</f>
        <v>0</v>
      </c>
      <c r="M594">
        <f>-0.521592541149563*$F$53</f>
        <v>0</v>
      </c>
      <c r="N594">
        <f>-0.070320251528866*$F$54</f>
        <v>0</v>
      </c>
      <c r="P594">
        <v>935367.93691403454</v>
      </c>
      <c r="Q594">
        <v>-12675.103567935053</v>
      </c>
      <c r="R594">
        <v>361049.92346578499</v>
      </c>
      <c r="S594">
        <v>717069.39510550536</v>
      </c>
      <c r="T594">
        <v>6.8444136850215088E-7</v>
      </c>
      <c r="U594">
        <v>3.1619716362589892E-11</v>
      </c>
      <c r="V594">
        <v>2.4018559164476206E-9</v>
      </c>
      <c r="W594">
        <v>1.3825985945975753E-7</v>
      </c>
      <c r="X594">
        <v>4.7663713922574652E-6</v>
      </c>
      <c r="Y594">
        <v>1.1860547004074491E-6</v>
      </c>
      <c r="Z594">
        <v>0.6880392415464156</v>
      </c>
      <c r="AA594">
        <v>6.6348852211953066E-2</v>
      </c>
      <c r="AB594">
        <v>9.9296797484711341</v>
      </c>
      <c r="AD594">
        <v>1.0052503880569834</v>
      </c>
      <c r="AE594">
        <v>0.3359115143375061</v>
      </c>
      <c r="AF594">
        <v>1.021410062170474</v>
      </c>
      <c r="AG594">
        <v>2407134.390680769</v>
      </c>
    </row>
    <row r="595" spans="2:33" ht="12.75" hidden="1" customHeight="1">
      <c r="B595">
        <f>0.194176203341423*$F$42</f>
        <v>0</v>
      </c>
      <c r="C595">
        <f>0.231432766889333*$F$43</f>
        <v>0</v>
      </c>
      <c r="D595">
        <f>0.335930249134256*$F$44</f>
        <v>0</v>
      </c>
      <c r="E595">
        <f>0.0225954720170707*$F$45</f>
        <v>0</v>
      </c>
      <c r="F595">
        <f>-0.193723836929001*$F$46</f>
        <v>0</v>
      </c>
      <c r="G595">
        <f>0.270939065983784*$F$47</f>
        <v>0</v>
      </c>
      <c r="H595">
        <f>-0.286772975911505*$F$48</f>
        <v>0</v>
      </c>
      <c r="I595">
        <f>0.606205540763529*$F$49</f>
        <v>0</v>
      </c>
      <c r="J595">
        <f>-0.29013496660682*$F$50</f>
        <v>0</v>
      </c>
      <c r="K595">
        <f>0.366499256693101*$F$51</f>
        <v>0</v>
      </c>
      <c r="L595">
        <f>-0.265594882903085*$F$52</f>
        <v>0</v>
      </c>
      <c r="M595">
        <f>0.56552365076845*$F$53</f>
        <v>0</v>
      </c>
      <c r="N595">
        <f>0.811426920165523*$F$54</f>
        <v>0</v>
      </c>
      <c r="P595">
        <v>980844.08088184264</v>
      </c>
      <c r="Q595">
        <v>-13096.233941618346</v>
      </c>
      <c r="R595">
        <v>366340.98538745823</v>
      </c>
      <c r="S595">
        <v>725465.93346603785</v>
      </c>
      <c r="T595">
        <v>6.8643933141496997E-7</v>
      </c>
      <c r="U595">
        <v>3.1839911104549733E-11</v>
      </c>
      <c r="V595">
        <v>2.234042215540354E-9</v>
      </c>
      <c r="W595">
        <v>1.3788067202992588E-7</v>
      </c>
      <c r="X595">
        <v>4.8549325166965903E-6</v>
      </c>
      <c r="Y595">
        <v>1.280262658201598E-6</v>
      </c>
      <c r="Z595">
        <v>0.68140835819678403</v>
      </c>
      <c r="AA595">
        <v>7.3958665555379152E-2</v>
      </c>
      <c r="AB595">
        <v>10.811426920165523</v>
      </c>
      <c r="AD595">
        <v>0.94733079090701622</v>
      </c>
      <c r="AE595">
        <v>0.32238555444080103</v>
      </c>
      <c r="AF595">
        <v>1.0838524173761472</v>
      </c>
      <c r="AG595">
        <v>2379835.7292928742</v>
      </c>
    </row>
    <row r="596" spans="2:33" ht="12.75" hidden="1" customHeight="1">
      <c r="B596">
        <f>-0.114130848921182*$F$42</f>
        <v>0</v>
      </c>
      <c r="C596">
        <f>0.105656147881338*$F$43</f>
        <v>0</v>
      </c>
      <c r="D596">
        <f>0.010272554455643*$F$44</f>
        <v>0</v>
      </c>
      <c r="E596">
        <f>-0.0684872921417305*$F$45</f>
        <v>0</v>
      </c>
      <c r="F596">
        <f>0.208452336008662*$F$46</f>
        <v>0</v>
      </c>
      <c r="G596">
        <f>-0.344932070228921*$F$47</f>
        <v>0</v>
      </c>
      <c r="H596">
        <f>-0.321466612202445*$F$48</f>
        <v>0</v>
      </c>
      <c r="I596">
        <f>-0.210154778754392*$F$49</f>
        <v>0</v>
      </c>
      <c r="J596">
        <f>0.262154780511505*$F$50</f>
        <v>0</v>
      </c>
      <c r="K596">
        <f>-0.366128191054128*$F$51</f>
        <v>0</v>
      </c>
      <c r="L596">
        <f>-0.343215707618436*$F$52</f>
        <v>0</v>
      </c>
      <c r="M596">
        <f>-0.0794023054125776*$F$53</f>
        <v>0</v>
      </c>
      <c r="N596">
        <f>0.319383193885172*$F$54</f>
        <v>0</v>
      </c>
      <c r="P596">
        <v>951179.97254449758</v>
      </c>
      <c r="Q596">
        <v>-12935.239869288114</v>
      </c>
      <c r="R596">
        <v>354798.55447974545</v>
      </c>
      <c r="S596">
        <v>718873.08606362413</v>
      </c>
      <c r="T596">
        <v>7.1459166352060629E-7</v>
      </c>
      <c r="U596">
        <v>2.9930710582290351E-11</v>
      </c>
      <c r="V596">
        <v>2.2260626791934377E-9</v>
      </c>
      <c r="W596">
        <v>1.2726798787619291E-7</v>
      </c>
      <c r="X596">
        <v>5.1310773902557534E-6</v>
      </c>
      <c r="Y596">
        <v>1.1897831684048152E-6</v>
      </c>
      <c r="Z596">
        <v>0.67597490046670938</v>
      </c>
      <c r="AA596">
        <v>6.9444183862111958E-2</v>
      </c>
      <c r="AB596">
        <v>10.319383193885173</v>
      </c>
      <c r="AD596">
        <v>0.98405548243467378</v>
      </c>
      <c r="AE596">
        <v>0.33893490482037236</v>
      </c>
      <c r="AF596">
        <v>1.0428699895267244</v>
      </c>
      <c r="AG596">
        <v>2440187.6933115129</v>
      </c>
    </row>
    <row r="597" spans="2:33" ht="12.75" hidden="1" customHeight="1">
      <c r="B597">
        <f>0.0276213709891342*$F$42</f>
        <v>0</v>
      </c>
      <c r="C597">
        <f>-0.336142862306273*$F$43</f>
        <v>0</v>
      </c>
      <c r="D597">
        <f>0.233022389508957*$F$44</f>
        <v>0</v>
      </c>
      <c r="E597">
        <f>-0.102193840819288*$F$45</f>
        <v>0</v>
      </c>
      <c r="F597">
        <f>-0.490377183075971*$F$46</f>
        <v>0</v>
      </c>
      <c r="G597">
        <f>0.190832819579935*$F$47</f>
        <v>0</v>
      </c>
      <c r="H597">
        <f>-0.371966506645486*$F$48</f>
        <v>0</v>
      </c>
      <c r="I597">
        <f>0.11478685242383*$F$49</f>
        <v>0</v>
      </c>
      <c r="J597">
        <f>-0.272827986945463*$F$50</f>
        <v>0</v>
      </c>
      <c r="K597">
        <f>-0.0572241333623642*$F$51</f>
        <v>0</v>
      </c>
      <c r="L597">
        <f>-0.277399544178343*$F$52</f>
        <v>0</v>
      </c>
      <c r="M597">
        <f>-0.192253287033319*$F$53</f>
        <v>0</v>
      </c>
      <c r="N597">
        <f>-0.266865588019864*$F$54</f>
        <v>0</v>
      </c>
      <c r="P597">
        <v>964818.82114565512</v>
      </c>
      <c r="Q597">
        <v>-12369.73713624797</v>
      </c>
      <c r="R597">
        <v>362693.57622441713</v>
      </c>
      <c r="S597">
        <v>716433.3035872631</v>
      </c>
      <c r="T597">
        <v>6.6567359718468206E-7</v>
      </c>
      <c r="U597">
        <v>3.1591581740697806E-11</v>
      </c>
      <c r="V597">
        <v>2.2144477034715381E-9</v>
      </c>
      <c r="W597">
        <v>1.3149222908150978E-7</v>
      </c>
      <c r="X597">
        <v>4.8635860065272693E-6</v>
      </c>
      <c r="Y597">
        <v>1.227932819529748E-6</v>
      </c>
      <c r="Z597">
        <v>0.68058203190751598</v>
      </c>
      <c r="AA597">
        <v>6.8654226990766773E-2</v>
      </c>
      <c r="AB597">
        <v>9.7331344119801351</v>
      </c>
      <c r="AD597">
        <v>0.93181801534868136</v>
      </c>
      <c r="AE597">
        <v>0.32034556145031168</v>
      </c>
      <c r="AF597">
        <v>1.1029194442071517</v>
      </c>
      <c r="AG597">
        <v>2346271.488001558</v>
      </c>
    </row>
    <row r="598" spans="2:33" ht="12.75" hidden="1" customHeight="1">
      <c r="B598">
        <f>0.29105545914573*$F$42</f>
        <v>0</v>
      </c>
      <c r="C598">
        <f>-0.0382319715528809*$F$43</f>
        <v>0</v>
      </c>
      <c r="D598">
        <f>-0.0579862510293366*$F$44</f>
        <v>0</v>
      </c>
      <c r="E598">
        <f>0.092643776874092*$F$45</f>
        <v>0</v>
      </c>
      <c r="F598">
        <f>-0.132718215813217*$F$46</f>
        <v>0</v>
      </c>
      <c r="G598">
        <f>-0.254460455185794*$F$47</f>
        <v>0</v>
      </c>
      <c r="H598">
        <f>-0.039093863386576*$F$48</f>
        <v>0</v>
      </c>
      <c r="I598">
        <f>0.0318558721097865*$F$49</f>
        <v>0</v>
      </c>
      <c r="J598">
        <f>0.0705871639536745*$F$50</f>
        <v>0</v>
      </c>
      <c r="K598">
        <f>-0.188753236917701*$F$51</f>
        <v>0</v>
      </c>
      <c r="L598">
        <f>-0.572748378079424*$F$52</f>
        <v>0</v>
      </c>
      <c r="M598">
        <f>0.116133186921078*$F$53</f>
        <v>0</v>
      </c>
      <c r="N598">
        <f>-0.23372312763065*$F$54</f>
        <v>0</v>
      </c>
      <c r="P598">
        <v>990165.42698382062</v>
      </c>
      <c r="Q598">
        <v>-12751.063076412313</v>
      </c>
      <c r="R598">
        <v>352379.2271952146</v>
      </c>
      <c r="S598">
        <v>730536.24274996493</v>
      </c>
      <c r="T598">
        <v>6.9070972489307483E-7</v>
      </c>
      <c r="U598">
        <v>3.0211172588924042E-11</v>
      </c>
      <c r="V598">
        <v>2.2910084114210877E-9</v>
      </c>
      <c r="W598">
        <v>1.3041412633742722E-7</v>
      </c>
      <c r="X598">
        <v>5.0352935819768376E-6</v>
      </c>
      <c r="Y598">
        <v>1.211688975240664E-6</v>
      </c>
      <c r="Z598">
        <v>0.65990761353444027</v>
      </c>
      <c r="AA598">
        <v>7.0812932308447554E-2</v>
      </c>
      <c r="AB598">
        <v>9.7662768723693496</v>
      </c>
      <c r="AD598">
        <v>0.92893069681782436</v>
      </c>
      <c r="AE598">
        <v>0.33729464325758945</v>
      </c>
      <c r="AF598">
        <v>1.1057271272590887</v>
      </c>
      <c r="AG598">
        <v>2530438.9273418607</v>
      </c>
    </row>
    <row r="599" spans="2:33" ht="12.75" hidden="1" customHeight="1">
      <c r="B599">
        <f>0.387095855828403*$F$42</f>
        <v>0</v>
      </c>
      <c r="C599">
        <f>0.0589159078304198*$F$43</f>
        <v>0</v>
      </c>
      <c r="D599">
        <f>-0.203672137074703*$F$44</f>
        <v>0</v>
      </c>
      <c r="E599">
        <f>-0.128078358323194*$F$45</f>
        <v>0</v>
      </c>
      <c r="F599">
        <f>-0.214974110843069*$F$46</f>
        <v>0</v>
      </c>
      <c r="G599">
        <f>-0.383039957574543*$F$47</f>
        <v>0</v>
      </c>
      <c r="H599">
        <f>0.0494936090454038*$F$48</f>
        <v>0</v>
      </c>
      <c r="I599">
        <f>-0.0807883766047699*$F$49</f>
        <v>0</v>
      </c>
      <c r="J599">
        <f>0.0271258352722305*$F$50</f>
        <v>0</v>
      </c>
      <c r="K599">
        <f>0.151009497990509*$F$51</f>
        <v>0</v>
      </c>
      <c r="L599">
        <f>0.229925361061251*$F$52</f>
        <v>0</v>
      </c>
      <c r="M599">
        <f>0.730514075702424*$F$53</f>
        <v>0</v>
      </c>
      <c r="N599">
        <f>0.5163566756633*$F$54</f>
        <v>0</v>
      </c>
      <c r="P599">
        <v>999406.06131588831</v>
      </c>
      <c r="Q599">
        <v>-12875.412362022937</v>
      </c>
      <c r="R599">
        <v>347215.61736383295</v>
      </c>
      <c r="S599">
        <v>714559.70350974647</v>
      </c>
      <c r="T599">
        <v>6.8495181224098512E-7</v>
      </c>
      <c r="U599">
        <v>2.9812576131518918E-11</v>
      </c>
      <c r="V599">
        <v>2.3113835300804426E-9</v>
      </c>
      <c r="W599">
        <v>1.2894975110413799E-7</v>
      </c>
      <c r="X599">
        <v>5.0135629176361156E-6</v>
      </c>
      <c r="Y599">
        <v>1.2536496730018279E-6</v>
      </c>
      <c r="Z599">
        <v>0.71609477527428755</v>
      </c>
      <c r="AA599">
        <v>7.5113598529916975E-2</v>
      </c>
      <c r="AB599">
        <v>10.516356675663301</v>
      </c>
      <c r="AD599">
        <v>1.038583297980969</v>
      </c>
      <c r="AE599">
        <v>0.31720035752898906</v>
      </c>
      <c r="AF599">
        <v>0.98867003845358203</v>
      </c>
      <c r="AG599">
        <v>2427341.021409845</v>
      </c>
    </row>
    <row r="600" spans="2:33" ht="12.75" hidden="1" customHeight="1">
      <c r="B600">
        <f>0.0525871701467759*$F$42</f>
        <v>0</v>
      </c>
      <c r="C600">
        <f>0.467137437429637*$F$43</f>
        <v>0</v>
      </c>
      <c r="D600">
        <f>0.231863558757193*$F$44</f>
        <v>0</v>
      </c>
      <c r="E600">
        <f>0.631565447480258*$F$45</f>
        <v>0</v>
      </c>
      <c r="F600">
        <f>0.364287782863892*$F$46</f>
        <v>0</v>
      </c>
      <c r="G600">
        <f>-0.397371867640946*$F$47</f>
        <v>0</v>
      </c>
      <c r="H600">
        <f>-0.317526492653408*$F$48</f>
        <v>0</v>
      </c>
      <c r="I600">
        <f>-0.200444143559085*$F$49</f>
        <v>0</v>
      </c>
      <c r="J600">
        <f>-0.550724920739134*$F$50</f>
        <v>0</v>
      </c>
      <c r="K600">
        <f>0.874882444287721*$F$51</f>
        <v>0</v>
      </c>
      <c r="L600">
        <f>-0.0564717753956074*$F$52</f>
        <v>0</v>
      </c>
      <c r="M600">
        <f>0.17778453978677*$F$53</f>
        <v>0</v>
      </c>
      <c r="N600">
        <f>-0.522896629899134*$F$54</f>
        <v>0</v>
      </c>
      <c r="P600">
        <v>967220.93347330263</v>
      </c>
      <c r="Q600">
        <v>-13397.935919909934</v>
      </c>
      <c r="R600">
        <v>362652.50326927268</v>
      </c>
      <c r="S600">
        <v>769545.03183288849</v>
      </c>
      <c r="T600">
        <v>7.2550014480047247E-7</v>
      </c>
      <c r="U600">
        <v>2.9768147210313069E-11</v>
      </c>
      <c r="V600">
        <v>2.226968906689716E-9</v>
      </c>
      <c r="W600">
        <v>1.273942261337319E-7</v>
      </c>
      <c r="X600">
        <v>4.7246375396304334E-6</v>
      </c>
      <c r="Y600">
        <v>1.3430479818695335E-6</v>
      </c>
      <c r="Z600">
        <v>0.69604697572230745</v>
      </c>
      <c r="AA600">
        <v>7.1244491778507391E-2</v>
      </c>
      <c r="AB600">
        <v>9.4771033701008651</v>
      </c>
      <c r="AD600">
        <v>1.1439823913276488</v>
      </c>
      <c r="AE600">
        <v>0.36986637723542215</v>
      </c>
      <c r="AF600">
        <v>0.89471038776767653</v>
      </c>
      <c r="AG600">
        <v>2799184.8253685478</v>
      </c>
    </row>
    <row r="601" spans="2:33" ht="12.75" hidden="1" customHeight="1">
      <c r="B601">
        <f>-0.17784522160967*$F$42</f>
        <v>0</v>
      </c>
      <c r="C601">
        <f>0.531265906932806*$F$43</f>
        <v>0</v>
      </c>
      <c r="D601">
        <f>-0.151290981093395*$F$44</f>
        <v>0</v>
      </c>
      <c r="E601">
        <f>0.20194768076822*$F$45</f>
        <v>0</v>
      </c>
      <c r="F601">
        <f>-0.314340787534253*$F$46</f>
        <v>0</v>
      </c>
      <c r="G601">
        <f>0.712466052417862*$F$47</f>
        <v>0</v>
      </c>
      <c r="H601">
        <f>-0.00786419475815289*$F$48</f>
        <v>0</v>
      </c>
      <c r="I601">
        <f>-0.3572300928935*$F$49</f>
        <v>0</v>
      </c>
      <c r="J601">
        <f>-0.391418479555874*$F$50</f>
        <v>0</v>
      </c>
      <c r="K601">
        <f>-0.34832526187334*$F$51</f>
        <v>0</v>
      </c>
      <c r="L601">
        <f>-0.396656928965943*$F$52</f>
        <v>0</v>
      </c>
      <c r="M601">
        <f>0.0771353235086634*$F$53</f>
        <v>0</v>
      </c>
      <c r="N601">
        <f>0.0842965264966508*$F$54</f>
        <v>0</v>
      </c>
      <c r="P601">
        <v>945049.62281617732</v>
      </c>
      <c r="Q601">
        <v>-13480.02036087399</v>
      </c>
      <c r="R601">
        <v>349072.18603596906</v>
      </c>
      <c r="S601">
        <v>738447.99164688773</v>
      </c>
      <c r="T601">
        <v>6.7799614487260222E-7</v>
      </c>
      <c r="U601">
        <v>3.3208644762495373E-11</v>
      </c>
      <c r="V601">
        <v>2.2981912352056248E-9</v>
      </c>
      <c r="W601">
        <v>1.253560087923845E-7</v>
      </c>
      <c r="X601">
        <v>4.8042907602220635E-6</v>
      </c>
      <c r="Y601">
        <v>1.1919818301586426E-6</v>
      </c>
      <c r="Z601">
        <v>0.672234014972384</v>
      </c>
      <c r="AA601">
        <v>7.0539947264560657E-2</v>
      </c>
      <c r="AB601">
        <v>10.084296526496651</v>
      </c>
      <c r="AD601">
        <v>1.0612306865524928</v>
      </c>
      <c r="AE601">
        <v>0.36731940848032013</v>
      </c>
      <c r="AF601">
        <v>0.96567914764393148</v>
      </c>
      <c r="AG601">
        <v>2657028.6561061088</v>
      </c>
    </row>
    <row r="602" spans="2:33" ht="12.75" hidden="1" customHeight="1">
      <c r="B602">
        <f>1.04444949037787*$F$42</f>
        <v>0</v>
      </c>
      <c r="C602">
        <f>0.506761707340564*$F$43</f>
        <v>0</v>
      </c>
      <c r="D602">
        <f>-0.350454717133395*$F$44</f>
        <v>0</v>
      </c>
      <c r="E602">
        <f>0.41713580144797*$F$45</f>
        <v>0</v>
      </c>
      <c r="F602">
        <f>0.0227244806156504*$F$46</f>
        <v>0</v>
      </c>
      <c r="G602">
        <f>-0.188743130542648*$F$47</f>
        <v>0</v>
      </c>
      <c r="H602">
        <f>-0.229625145619955*$F$48</f>
        <v>0</v>
      </c>
      <c r="I602">
        <f>-0.219664329091597*$F$49</f>
        <v>0</v>
      </c>
      <c r="J602">
        <f>-0.513955535495971*$F$50</f>
        <v>0</v>
      </c>
      <c r="K602">
        <f>-0.641857618662774*$F$51</f>
        <v>0</v>
      </c>
      <c r="L602">
        <f>0.277260292333387*$F$52</f>
        <v>0</v>
      </c>
      <c r="M602">
        <f>0.269031807880909*$F$53</f>
        <v>0</v>
      </c>
      <c r="N602">
        <f>1.02202013868126*$F$54</f>
        <v>0</v>
      </c>
      <c r="P602">
        <v>1062654.0775001359</v>
      </c>
      <c r="Q602">
        <v>-13448.654985395922</v>
      </c>
      <c r="R602">
        <v>342013.13691743882</v>
      </c>
      <c r="S602">
        <v>754023.96209043195</v>
      </c>
      <c r="T602">
        <v>7.0159071364309544E-7</v>
      </c>
      <c r="U602">
        <v>3.0414896295317797E-11</v>
      </c>
      <c r="V602">
        <v>2.2471862165074103E-9</v>
      </c>
      <c r="W602">
        <v>1.2714436372180925E-7</v>
      </c>
      <c r="X602">
        <v>4.7430222322520147E-6</v>
      </c>
      <c r="Y602">
        <v>1.1557305840951474E-6</v>
      </c>
      <c r="Z602">
        <v>0.71940822046333708</v>
      </c>
      <c r="AA602">
        <v>7.1883222655166362E-2</v>
      </c>
      <c r="AB602">
        <v>11.02202013868126</v>
      </c>
      <c r="AD602">
        <v>1.1369050255322208</v>
      </c>
      <c r="AE602">
        <v>0.33927162061294358</v>
      </c>
      <c r="AF602">
        <v>0.90028246902229647</v>
      </c>
      <c r="AG602">
        <v>2762795.0825996213</v>
      </c>
    </row>
    <row r="603" spans="2:33" ht="12.75" hidden="1" customHeight="1">
      <c r="B603">
        <f>0.167945621145523*$F$42</f>
        <v>0</v>
      </c>
      <c r="C603">
        <f>0.553469297836548*$F$43</f>
        <v>0</v>
      </c>
      <c r="D603">
        <f>0.134363744583254*$F$44</f>
        <v>0</v>
      </c>
      <c r="E603">
        <f>0.429323846830351*$F$45</f>
        <v>0</v>
      </c>
      <c r="F603">
        <f>-0.182106572897428*$F$46</f>
        <v>0</v>
      </c>
      <c r="G603">
        <f>-0.169920735063551*$F$47</f>
        <v>0</v>
      </c>
      <c r="H603">
        <f>0.353860346139135*$F$48</f>
        <v>0</v>
      </c>
      <c r="I603">
        <f>-0.753183070606457*$F$49</f>
        <v>0</v>
      </c>
      <c r="J603">
        <f>0.220357372123675*$F$50</f>
        <v>0</v>
      </c>
      <c r="K603">
        <f>-0.066964100588841*$F$51</f>
        <v>0</v>
      </c>
      <c r="L603">
        <f>0.0676783296585877*$F$52</f>
        <v>0</v>
      </c>
      <c r="M603">
        <f>0.299306211230218*$F$53</f>
        <v>0</v>
      </c>
      <c r="N603">
        <f>0.24149333633217*$F$54</f>
        <v>0</v>
      </c>
      <c r="P603">
        <v>978320.276037612</v>
      </c>
      <c r="Q603">
        <v>-13508.440701230782</v>
      </c>
      <c r="R603">
        <v>359196.77387301769</v>
      </c>
      <c r="S603">
        <v>754906.16987235262</v>
      </c>
      <c r="T603">
        <v>6.8725253989718001E-7</v>
      </c>
      <c r="U603">
        <v>3.0473245721302992E-11</v>
      </c>
      <c r="V603">
        <v>2.3813878796120009E-9</v>
      </c>
      <c r="W603">
        <v>1.2020862008211607E-7</v>
      </c>
      <c r="X603">
        <v>5.1101786860618374E-6</v>
      </c>
      <c r="Y603">
        <v>1.2267299335772783E-6</v>
      </c>
      <c r="Z603">
        <v>0.70473748307610107</v>
      </c>
      <c r="AA603">
        <v>7.2095143478611526E-2</v>
      </c>
      <c r="AB603">
        <v>10.241493336332169</v>
      </c>
      <c r="AD603">
        <v>1.1335817486755928</v>
      </c>
      <c r="AE603">
        <v>0.35563946097287136</v>
      </c>
      <c r="AF603">
        <v>0.90296918576389185</v>
      </c>
      <c r="AG603">
        <v>2691280.2908743927</v>
      </c>
    </row>
    <row r="604" spans="2:33" ht="12.75" hidden="1" customHeight="1">
      <c r="B604">
        <f>0.279099587538172*$F$42</f>
        <v>0</v>
      </c>
      <c r="C604">
        <f>0.204118188398501*$F$43</f>
        <v>0</v>
      </c>
      <c r="D604">
        <f>0.296856071784723*$F$44</f>
        <v>0</v>
      </c>
      <c r="E604">
        <f>-0.15969010053472*$F$45</f>
        <v>0</v>
      </c>
      <c r="F604">
        <f>-0.145899676126834*$F$46</f>
        <v>0</v>
      </c>
      <c r="G604">
        <f>-0.238463197167984*$F$47</f>
        <v>0</v>
      </c>
      <c r="H604">
        <f>0.364399710474541*$F$48</f>
        <v>0</v>
      </c>
      <c r="I604">
        <f>-0.0349788380494043*$F$49</f>
        <v>0</v>
      </c>
      <c r="J604">
        <f>-0.133254488356777*$F$50</f>
        <v>0</v>
      </c>
      <c r="K604">
        <f>-0.178359958364627*$F$51</f>
        <v>0</v>
      </c>
      <c r="L604">
        <f>0.303749149968269*$F$52</f>
        <v>0</v>
      </c>
      <c r="M604">
        <f>0.352757024921711*$F$53</f>
        <v>0</v>
      </c>
      <c r="N604">
        <f>0.0588435612053952*$F$54</f>
        <v>0</v>
      </c>
      <c r="P604">
        <v>989015.07940652315</v>
      </c>
      <c r="Q604">
        <v>-13061.271281150081</v>
      </c>
      <c r="R604">
        <v>364956.06189354911</v>
      </c>
      <c r="S604">
        <v>712271.54949455138</v>
      </c>
      <c r="T604">
        <v>6.8978702267112155E-7</v>
      </c>
      <c r="U604">
        <v>3.0260764088779255E-11</v>
      </c>
      <c r="V604">
        <v>2.3838119334091442E-9</v>
      </c>
      <c r="W604">
        <v>1.2954527510535775E-7</v>
      </c>
      <c r="X604">
        <v>4.9333727558216122E-6</v>
      </c>
      <c r="Y604">
        <v>1.2129725451419686E-6</v>
      </c>
      <c r="Z604">
        <v>0.72126244049777877</v>
      </c>
      <c r="AA604">
        <v>7.2469299174451982E-2</v>
      </c>
      <c r="AB604">
        <v>10.058843561205395</v>
      </c>
      <c r="AD604">
        <v>0.99013379521404399</v>
      </c>
      <c r="AE604">
        <v>0.29923709719040675</v>
      </c>
      <c r="AF604">
        <v>1.0381559791307553</v>
      </c>
      <c r="AG604">
        <v>2255848.5754670352</v>
      </c>
    </row>
    <row r="605" spans="2:33" ht="12.75" hidden="1" customHeight="1">
      <c r="B605">
        <f>0.0928075805530318*$F$42</f>
        <v>0</v>
      </c>
      <c r="C605">
        <f>0.228989196935884*$F$43</f>
        <v>0</v>
      </c>
      <c r="D605">
        <f>-0.568643750242432*$F$44</f>
        <v>0</v>
      </c>
      <c r="E605">
        <f>0.386166058422026*$F$45</f>
        <v>0</v>
      </c>
      <c r="F605">
        <f>-0.359349333604724*$F$46</f>
        <v>0</v>
      </c>
      <c r="G605">
        <f>0.248651851560694*$F$47</f>
        <v>0</v>
      </c>
      <c r="H605">
        <f>-0.0551218111959009*$F$48</f>
        <v>0</v>
      </c>
      <c r="I605">
        <f>-0.379346488420409*$F$49</f>
        <v>0</v>
      </c>
      <c r="J605">
        <f>-0.416190020665247*$F$50</f>
        <v>0</v>
      </c>
      <c r="K605">
        <f>0.0330465421356235*$F$51</f>
        <v>0</v>
      </c>
      <c r="L605">
        <f>0.239649311769239*$F$52</f>
        <v>0</v>
      </c>
      <c r="M605">
        <f>0.681245695179965*$F$53</f>
        <v>0</v>
      </c>
      <c r="N605">
        <f>0.800741213463376*$F$54</f>
        <v>0</v>
      </c>
      <c r="P605">
        <v>971090.78530740004</v>
      </c>
      <c r="Q605">
        <v>-13093.106172077933</v>
      </c>
      <c r="R605">
        <v>334279.76571008214</v>
      </c>
      <c r="S605">
        <v>751782.27792825573</v>
      </c>
      <c r="T605">
        <v>6.7484554664766926E-7</v>
      </c>
      <c r="U605">
        <v>3.1770820739838158E-11</v>
      </c>
      <c r="V605">
        <v>2.2873219834249426E-9</v>
      </c>
      <c r="W605">
        <v>1.2506849565053468E-7</v>
      </c>
      <c r="X605">
        <v>4.7919049896673773E-6</v>
      </c>
      <c r="Y605">
        <v>1.2390812479537495E-6</v>
      </c>
      <c r="Z605">
        <v>0.71677545182384672</v>
      </c>
      <c r="AA605">
        <v>7.4768719866259756E-2</v>
      </c>
      <c r="AB605">
        <v>10.800741213463375</v>
      </c>
      <c r="AD605">
        <v>1.2727562716054186</v>
      </c>
      <c r="AE605">
        <v>0.38108990598046355</v>
      </c>
      <c r="AF605">
        <v>0.8018171874593909</v>
      </c>
      <c r="AG605">
        <v>2896969.3213005508</v>
      </c>
    </row>
    <row r="606" spans="2:33" ht="12.75" hidden="1" customHeight="1">
      <c r="B606">
        <f>0.147165267668397*$F$42</f>
        <v>0</v>
      </c>
      <c r="C606">
        <f>-0.193312968428032*$F$43</f>
        <v>0</v>
      </c>
      <c r="D606">
        <f>0.127645238582298*$F$44</f>
        <v>0</v>
      </c>
      <c r="E606">
        <f>0.0944631238846404*$F$45</f>
        <v>0</v>
      </c>
      <c r="F606">
        <f>0.176833044409048*$F$46</f>
        <v>0</v>
      </c>
      <c r="G606">
        <f>0.134046514117132*$F$47</f>
        <v>0</v>
      </c>
      <c r="H606">
        <f>-0.272479568230474*$F$48</f>
        <v>0</v>
      </c>
      <c r="I606">
        <f>0.0166363769209793*$F$49</f>
        <v>0</v>
      </c>
      <c r="J606">
        <f>-0.0389846601758949*$F$50</f>
        <v>0</v>
      </c>
      <c r="K606">
        <f>0.175588503947299*$F$51</f>
        <v>0</v>
      </c>
      <c r="L606">
        <f>0.0945143537084223*$F$52</f>
        <v>0</v>
      </c>
      <c r="M606">
        <f>-0.735432519838418*$F$53</f>
        <v>0</v>
      </c>
      <c r="N606">
        <f>-0.376815887597682*$F$54</f>
        <v>0</v>
      </c>
      <c r="P606">
        <v>976320.87105381454</v>
      </c>
      <c r="Q606">
        <v>-12552.559400412119</v>
      </c>
      <c r="R606">
        <v>358958.64686853951</v>
      </c>
      <c r="S606">
        <v>730667.9326182222</v>
      </c>
      <c r="T606">
        <v>7.123783131086333E-7</v>
      </c>
      <c r="U606">
        <v>3.141554419376311E-11</v>
      </c>
      <c r="V606">
        <v>2.2373296993069911E-9</v>
      </c>
      <c r="W606">
        <v>1.3021627289997273E-7</v>
      </c>
      <c r="X606">
        <v>4.9805076699120527E-6</v>
      </c>
      <c r="Y606">
        <v>1.2566851802374915E-6</v>
      </c>
      <c r="Z606">
        <v>0.70661600475958941</v>
      </c>
      <c r="AA606">
        <v>6.4851972361131077E-2</v>
      </c>
      <c r="AB606">
        <v>9.623184112402317</v>
      </c>
      <c r="AD606">
        <v>1.0511943976443738</v>
      </c>
      <c r="AE606">
        <v>0.33181207214636071</v>
      </c>
      <c r="AF606">
        <v>0.97644726514290414</v>
      </c>
      <c r="AG606">
        <v>2503894.3547988911</v>
      </c>
    </row>
    <row r="607" spans="2:33" ht="12.75" hidden="1" customHeight="1">
      <c r="B607">
        <f>-0.260350937466044*$F$42</f>
        <v>0</v>
      </c>
      <c r="C607">
        <f>-0.0740988016017918*$F$43</f>
        <v>0</v>
      </c>
      <c r="D607">
        <f>-0.0938121626996342*$F$44</f>
        <v>0</v>
      </c>
      <c r="E607">
        <f>0.0732574874891571*$F$45</f>
        <v>0</v>
      </c>
      <c r="F607">
        <f>0.789266620621061*$F$46</f>
        <v>0</v>
      </c>
      <c r="G607">
        <f>0.684868291601658*$F$47</f>
        <v>0</v>
      </c>
      <c r="H607">
        <f>0.793555671677302*$F$48</f>
        <v>0</v>
      </c>
      <c r="I607">
        <f>-0.0555221652839316*$F$49</f>
        <v>0</v>
      </c>
      <c r="J607">
        <f>-0.269432995551915*$F$50</f>
        <v>0</v>
      </c>
      <c r="K607">
        <f>-0.336637324993561*$F$51</f>
        <v>0</v>
      </c>
      <c r="L607">
        <f>-0.390792331968287*$F$52</f>
        <v>0</v>
      </c>
      <c r="M607">
        <f>-0.887692310050483*$F$53</f>
        <v>0</v>
      </c>
      <c r="N607">
        <f>-0.057762931013621*$F$54</f>
        <v>0</v>
      </c>
      <c r="P607">
        <v>937111.24295865453</v>
      </c>
      <c r="Q607">
        <v>-12705.153533949706</v>
      </c>
      <c r="R607">
        <v>351109.43343042012</v>
      </c>
      <c r="S607">
        <v>729133.00418123777</v>
      </c>
      <c r="T607">
        <v>7.5524866344347417E-7</v>
      </c>
      <c r="U607">
        <v>3.3123091703965144E-11</v>
      </c>
      <c r="V607">
        <v>2.4825178044857793E-9</v>
      </c>
      <c r="W607">
        <v>1.292782118513089E-7</v>
      </c>
      <c r="X607">
        <v>4.8652835022240431E-6</v>
      </c>
      <c r="Y607">
        <v>1.1934252903632953E-6</v>
      </c>
      <c r="Z607">
        <v>0.67264453676221991</v>
      </c>
      <c r="AA607">
        <v>6.3786153829646627E-2</v>
      </c>
      <c r="AB607">
        <v>9.9422370689863797</v>
      </c>
      <c r="AD607">
        <v>1.0397114471036801</v>
      </c>
      <c r="AE607">
        <v>0.36121015169762805</v>
      </c>
      <c r="AF607">
        <v>0.98642226018817003</v>
      </c>
      <c r="AG607">
        <v>2598234.7136557926</v>
      </c>
    </row>
    <row r="608" spans="2:33" ht="12.75" hidden="1" customHeight="1">
      <c r="B608">
        <f>0.0678654280824201*$F$42</f>
        <v>0</v>
      </c>
      <c r="C608">
        <f>0.42021476487152*$F$43</f>
        <v>0</v>
      </c>
      <c r="D608">
        <f>0.508744254114218*$F$44</f>
        <v>0</v>
      </c>
      <c r="E608">
        <f>0.0366834960600985*$F$45</f>
        <v>0</v>
      </c>
      <c r="F608">
        <f>-0.0397197237550988*$F$46</f>
        <v>0</v>
      </c>
      <c r="G608">
        <f>0.303405490924718*$F$47</f>
        <v>0</v>
      </c>
      <c r="H608">
        <f>0.268958037060183*$F$48</f>
        <v>0</v>
      </c>
      <c r="I608">
        <f>0.190147129880197*$F$49</f>
        <v>0</v>
      </c>
      <c r="J608">
        <f>-0.676137336034884*$F$50</f>
        <v>0</v>
      </c>
      <c r="K608">
        <f>-0.424361386072388*$F$51</f>
        <v>0</v>
      </c>
      <c r="L608">
        <f>-0.0098249753167491*$F$52</f>
        <v>0</v>
      </c>
      <c r="M608">
        <f>-0.0974384439952335*$F$53</f>
        <v>0</v>
      </c>
      <c r="N608">
        <f>0.424046667101739*$F$54</f>
        <v>0</v>
      </c>
      <c r="P608">
        <v>968690.94817222957</v>
      </c>
      <c r="Q608">
        <v>-13337.874899035545</v>
      </c>
      <c r="R608">
        <v>372466.10923670395</v>
      </c>
      <c r="S608">
        <v>726485.66748020647</v>
      </c>
      <c r="T608">
        <v>6.9721961933714313E-7</v>
      </c>
      <c r="U608">
        <v>3.1940557021866629E-11</v>
      </c>
      <c r="V608">
        <v>2.3618603485238421E-9</v>
      </c>
      <c r="W608">
        <v>1.3247191268844254E-7</v>
      </c>
      <c r="X608">
        <v>4.6619313319825578E-6</v>
      </c>
      <c r="Y608">
        <v>1.1825913688200602E-6</v>
      </c>
      <c r="Z608">
        <v>0.69931225172782752</v>
      </c>
      <c r="AA608">
        <v>6.9317930892033378E-2</v>
      </c>
      <c r="AB608">
        <v>10.424046667101738</v>
      </c>
      <c r="AD608">
        <v>0.99254046174560218</v>
      </c>
      <c r="AE608">
        <v>0.31982409417311658</v>
      </c>
      <c r="AF608">
        <v>1.0345316028447848</v>
      </c>
      <c r="AG608">
        <v>2350813.4090930368</v>
      </c>
    </row>
    <row r="609" spans="2:33" ht="12.75" hidden="1" customHeight="1">
      <c r="B609">
        <f>0.138002996582385*$F$42</f>
        <v>0</v>
      </c>
      <c r="C609">
        <f>-0.145204403470008*$F$43</f>
        <v>0</v>
      </c>
      <c r="D609">
        <f>0.236727920809367*$F$44</f>
        <v>0</v>
      </c>
      <c r="E609">
        <f>0.57249097356903*$F$45</f>
        <v>0</v>
      </c>
      <c r="F609">
        <f>-0.428309690535181*$F$46</f>
        <v>0</v>
      </c>
      <c r="G609">
        <f>0.453166912292711*$F$47</f>
        <v>0</v>
      </c>
      <c r="H609">
        <f>-0.307814027827777*$F$48</f>
        <v>0</v>
      </c>
      <c r="I609">
        <f>0.388177817696923*$F$49</f>
        <v>0</v>
      </c>
      <c r="J609">
        <f>-0.109409611682442*$F$50</f>
        <v>0</v>
      </c>
      <c r="K609">
        <f>0.0260441165143367*$F$51</f>
        <v>0</v>
      </c>
      <c r="L609">
        <f>-0.656148496716059*$F$52</f>
        <v>0</v>
      </c>
      <c r="M609">
        <f>0.315597973005721*$F$53</f>
        <v>0</v>
      </c>
      <c r="N609">
        <f>-0.0550288987918576*$F$54</f>
        <v>0</v>
      </c>
      <c r="P609">
        <v>975439.31287953025</v>
      </c>
      <c r="Q609">
        <v>-12614.13836355839</v>
      </c>
      <c r="R609">
        <v>362824.91302287224</v>
      </c>
      <c r="S609">
        <v>765269.04179820349</v>
      </c>
      <c r="T609">
        <v>6.7001832166253732E-7</v>
      </c>
      <c r="U609">
        <v>3.2404817428107405E-11</v>
      </c>
      <c r="V609">
        <v>2.2292027735996111E-9</v>
      </c>
      <c r="W609">
        <v>1.3504631163006003E-7</v>
      </c>
      <c r="X609">
        <v>4.9452951941587798E-6</v>
      </c>
      <c r="Y609">
        <v>1.2382164483895206E-6</v>
      </c>
      <c r="Z609">
        <v>0.65406960522987578</v>
      </c>
      <c r="AA609">
        <v>7.220918581104005E-2</v>
      </c>
      <c r="AB609">
        <v>9.944971101208143</v>
      </c>
      <c r="AD609">
        <v>1.0075681815186897</v>
      </c>
      <c r="AE609">
        <v>0.36878812183512616</v>
      </c>
      <c r="AF609">
        <v>1.018231402698105</v>
      </c>
      <c r="AG609">
        <v>2753171.7971744849</v>
      </c>
    </row>
    <row r="610" spans="2:33" ht="12.75" hidden="1" customHeight="1">
      <c r="B610">
        <f>0.582944744918877*$F$42</f>
        <v>0</v>
      </c>
      <c r="C610">
        <f>-0.200671627696236*$F$43</f>
        <v>0</v>
      </c>
      <c r="D610">
        <f>0.867186759377059*$F$44</f>
        <v>0</v>
      </c>
      <c r="E610">
        <f>0.427416392117972*$F$45</f>
        <v>0</v>
      </c>
      <c r="F610">
        <f>0.787036202340058*$F$46</f>
        <v>0</v>
      </c>
      <c r="G610">
        <f>-0.0800730204856788*$F$47</f>
        <v>0</v>
      </c>
      <c r="H610">
        <f>-0.36679082987549*$F$48</f>
        <v>0</v>
      </c>
      <c r="I610">
        <f>-0.138706073383542*$F$49</f>
        <v>0</v>
      </c>
      <c r="J610">
        <f>-0.575062097640865*$F$50</f>
        <v>0</v>
      </c>
      <c r="K610">
        <f>0.427207836499945*$F$51</f>
        <v>0</v>
      </c>
      <c r="L610">
        <f>0.39086127903334*$F$52</f>
        <v>0</v>
      </c>
      <c r="M610">
        <f>0.0684227724844172*$F$53</f>
        <v>0</v>
      </c>
      <c r="N610">
        <f>-0.00538689279560983*$F$54</f>
        <v>0</v>
      </c>
      <c r="P610">
        <v>1018249.881530484</v>
      </c>
      <c r="Q610">
        <v>-12543.140316548817</v>
      </c>
      <c r="R610">
        <v>385170.54680716235</v>
      </c>
      <c r="S610">
        <v>754768.10250074964</v>
      </c>
      <c r="T610">
        <v>7.550925341638041E-7</v>
      </c>
      <c r="U610">
        <v>3.0751773636494394E-11</v>
      </c>
      <c r="V610">
        <v>2.2156381091286373E-9</v>
      </c>
      <c r="W610">
        <v>1.2819682104601396E-7</v>
      </c>
      <c r="X610">
        <v>4.7124689511795683E-6</v>
      </c>
      <c r="Y610">
        <v>1.2877601678077433E-6</v>
      </c>
      <c r="Z610">
        <v>0.72736028953233378</v>
      </c>
      <c r="AA610">
        <v>7.0478959407390934E-2</v>
      </c>
      <c r="AB610">
        <v>9.9946131072043904</v>
      </c>
      <c r="AD610">
        <v>1.0510430333658318</v>
      </c>
      <c r="AE610">
        <v>0.31158673887073035</v>
      </c>
      <c r="AF610">
        <v>0.97731072188094059</v>
      </c>
      <c r="AG610">
        <v>2456465.4208972575</v>
      </c>
    </row>
    <row r="611" spans="2:33" ht="12.75" hidden="1" customHeight="1">
      <c r="B611">
        <f>-0.21182595338747*$F$42</f>
        <v>0</v>
      </c>
      <c r="C611">
        <f>0.139627368215345*$F$43</f>
        <v>0</v>
      </c>
      <c r="D611">
        <f>-0.435937174697245*$F$44</f>
        <v>0</v>
      </c>
      <c r="E611">
        <f>0.530153369316662*$F$45</f>
        <v>0</v>
      </c>
      <c r="F611">
        <f>-0.442488501391191*$F$46</f>
        <v>0</v>
      </c>
      <c r="G611">
        <f>0.0220912036842071*$F$47</f>
        <v>0</v>
      </c>
      <c r="H611">
        <f>-0.0274622749048662*$F$48</f>
        <v>0</v>
      </c>
      <c r="I611">
        <f>0.528290447277513*$F$49</f>
        <v>0</v>
      </c>
      <c r="J611">
        <f>0.0980721281415353*$F$50</f>
        <v>0</v>
      </c>
      <c r="K611">
        <f>0.0435721470777787*$F$51</f>
        <v>0</v>
      </c>
      <c r="L611">
        <f>-0.0963236872384672*$F$52</f>
        <v>0</v>
      </c>
      <c r="M611">
        <f>-0.0524968973851728*$F$53</f>
        <v>0</v>
      </c>
      <c r="N611">
        <f>0.414760640799546*$F$54</f>
        <v>0</v>
      </c>
      <c r="P611">
        <v>941780.12864975678</v>
      </c>
      <c r="Q611">
        <v>-12978.723031315641</v>
      </c>
      <c r="R611">
        <v>338983.34405095683</v>
      </c>
      <c r="S611">
        <v>762204.51727704378</v>
      </c>
      <c r="T611">
        <v>6.690258049026166E-7</v>
      </c>
      <c r="U611">
        <v>3.1068482731421046E-11</v>
      </c>
      <c r="V611">
        <v>2.2936836767718807E-9</v>
      </c>
      <c r="W611">
        <v>1.3686777581460766E-7</v>
      </c>
      <c r="X611">
        <v>5.0490360640707677E-6</v>
      </c>
      <c r="Y611">
        <v>1.2403811601641057E-6</v>
      </c>
      <c r="Z611">
        <v>0.69325734189330723</v>
      </c>
      <c r="AA611">
        <v>6.9632521718303794E-2</v>
      </c>
      <c r="AB611">
        <v>10.414760640799546</v>
      </c>
      <c r="AD611">
        <v>1.2529394664532072</v>
      </c>
      <c r="AE611">
        <v>0.40365446827703944</v>
      </c>
      <c r="AF611">
        <v>0.81442267623126863</v>
      </c>
      <c r="AG611">
        <v>2965252.355781619</v>
      </c>
    </row>
    <row r="612" spans="2:33" ht="12.75" hidden="1" customHeight="1">
      <c r="B612">
        <f>-0.235764885288039*$F$42</f>
        <v>0</v>
      </c>
      <c r="C612">
        <f>-0.0180785012392258*$F$43</f>
        <v>0</v>
      </c>
      <c r="D612">
        <f>0.362515241510312*$F$44</f>
        <v>0</v>
      </c>
      <c r="E612">
        <f>-0.633409762934074*$F$45</f>
        <v>0</v>
      </c>
      <c r="F612">
        <f>-0.201510423827027*$F$46</f>
        <v>0</v>
      </c>
      <c r="G612">
        <f>-0.0127218593914527*$F$47</f>
        <v>0</v>
      </c>
      <c r="H612">
        <f>0.211430768631259*$F$48</f>
        <v>0</v>
      </c>
      <c r="I612">
        <f>0.331455149890116*$F$49</f>
        <v>0</v>
      </c>
      <c r="J612">
        <f>-0.154259148715758*$F$50</f>
        <v>0</v>
      </c>
      <c r="K612">
        <f>0.026564460894108*$F$51</f>
        <v>0</v>
      </c>
      <c r="L612">
        <f>-0.0902983805812131*$F$52</f>
        <v>0</v>
      </c>
      <c r="M612">
        <f>-0.331821403118899*$F$53</f>
        <v>0</v>
      </c>
      <c r="N612">
        <f>0.208709321620578*$F$54</f>
        <v>0</v>
      </c>
      <c r="P612">
        <v>939476.81750533974</v>
      </c>
      <c r="Q612">
        <v>-12776.85951841379</v>
      </c>
      <c r="R612">
        <v>367283.24912848714</v>
      </c>
      <c r="S612">
        <v>677982.28000908939</v>
      </c>
      <c r="T612">
        <v>6.8589427033210811E-7</v>
      </c>
      <c r="U612">
        <v>3.0960562235886498E-11</v>
      </c>
      <c r="V612">
        <v>2.3486290767851899E-9</v>
      </c>
      <c r="W612">
        <v>1.343089169485715E-7</v>
      </c>
      <c r="X612">
        <v>4.9228704256421209E-6</v>
      </c>
      <c r="Y612">
        <v>1.2382807109204222E-6</v>
      </c>
      <c r="Z612">
        <v>0.69367911335931509</v>
      </c>
      <c r="AA612">
        <v>6.7677250178167711E-2</v>
      </c>
      <c r="AB612">
        <v>10.208709321620578</v>
      </c>
      <c r="AD612">
        <v>0.86008222463416328</v>
      </c>
      <c r="AE612">
        <v>0.28548409856123141</v>
      </c>
      <c r="AF612">
        <v>1.1962833339679138</v>
      </c>
      <c r="AG612">
        <v>1992264.8512045038</v>
      </c>
    </row>
    <row r="613" spans="2:33" ht="12.75" hidden="1" customHeight="1">
      <c r="B613">
        <f>0.036786116206727*$F$42</f>
        <v>0</v>
      </c>
      <c r="C613">
        <f>0.0803493549519485*$F$43</f>
        <v>0</v>
      </c>
      <c r="D613">
        <f>-0.238889850896108*$F$44</f>
        <v>0</v>
      </c>
      <c r="E613">
        <f>-0.103855807795873*$F$45</f>
        <v>0</v>
      </c>
      <c r="F613">
        <f>0.37377103408758*$F$46</f>
        <v>0</v>
      </c>
      <c r="G613">
        <f>0.36010053127895*$F$47</f>
        <v>0</v>
      </c>
      <c r="H613">
        <f>0.836736813312387*$F$48</f>
        <v>0</v>
      </c>
      <c r="I613">
        <f>-0.472804689437975*$F$49</f>
        <v>0</v>
      </c>
      <c r="J613">
        <f>-0.207032258005002*$F$50</f>
        <v>0</v>
      </c>
      <c r="K613">
        <f>0.251109537696854*$F$51</f>
        <v>0</v>
      </c>
      <c r="L613">
        <f>-0.309857320553266*$F$52</f>
        <v>0</v>
      </c>
      <c r="M613">
        <f>-0.27411862708207*$F$53</f>
        <v>0</v>
      </c>
      <c r="N613">
        <f>0.177589063719023*$F$54</f>
        <v>0</v>
      </c>
      <c r="P613">
        <v>965700.61737128021</v>
      </c>
      <c r="Q613">
        <v>-12902.847174338496</v>
      </c>
      <c r="R613">
        <v>345967.38022663788</v>
      </c>
      <c r="S613">
        <v>716313.00536437018</v>
      </c>
      <c r="T613">
        <v>7.2616397238613055E-7</v>
      </c>
      <c r="U613">
        <v>3.2116311646964748E-11</v>
      </c>
      <c r="V613">
        <v>2.4924494670618486E-9</v>
      </c>
      <c r="W613">
        <v>1.2385353903730631E-7</v>
      </c>
      <c r="X613">
        <v>4.8964838709974996E-6</v>
      </c>
      <c r="Y613">
        <v>1.2660120279055616E-6</v>
      </c>
      <c r="Z613">
        <v>0.67830998756127137</v>
      </c>
      <c r="AA613">
        <v>6.8081169610425527E-2</v>
      </c>
      <c r="AB613">
        <v>10.177589063719024</v>
      </c>
      <c r="AD613">
        <v>0.99068190991802618</v>
      </c>
      <c r="AE613">
        <v>0.3388859390619261</v>
      </c>
      <c r="AF613">
        <v>1.035916598655175</v>
      </c>
      <c r="AG613">
        <v>2480441.5241571292</v>
      </c>
    </row>
    <row r="614" spans="2:33" ht="12.75" hidden="1" customHeight="1">
      <c r="B614">
        <f>-0.171525564126*$F$42</f>
        <v>0</v>
      </c>
      <c r="C614">
        <f>0.10096717660136*$F$43</f>
        <v>0</v>
      </c>
      <c r="D614">
        <f>0.0513024275614091*$F$44</f>
        <v>0</v>
      </c>
      <c r="E614">
        <f>-0.0273303436998277*$F$45</f>
        <v>0</v>
      </c>
      <c r="F614">
        <f>0.374710209415074*$F$46</f>
        <v>0</v>
      </c>
      <c r="G614">
        <f>0.419218775620745*$F$47</f>
        <v>0</v>
      </c>
      <c r="H614">
        <f>-0.450996373337823*$F$48</f>
        <v>0</v>
      </c>
      <c r="I614">
        <f>0.368177487077127*$F$49</f>
        <v>0</v>
      </c>
      <c r="J614">
        <f>-0.139768551846044*$F$50</f>
        <v>0</v>
      </c>
      <c r="K614">
        <f>-0.267055875656174*$F$51</f>
        <v>0</v>
      </c>
      <c r="L614">
        <f>0.113482686639439*$F$52</f>
        <v>0</v>
      </c>
      <c r="M614">
        <f>0.286024851039968*$F$53</f>
        <v>0</v>
      </c>
      <c r="N614">
        <f>0.0607684622741355*$F$54</f>
        <v>0</v>
      </c>
      <c r="P614">
        <v>945657.67573898495</v>
      </c>
      <c r="Q614">
        <v>-12929.237986049742</v>
      </c>
      <c r="R614">
        <v>356252.79457053432</v>
      </c>
      <c r="S614">
        <v>721852.1511274972</v>
      </c>
      <c r="T614">
        <v>7.2622971465905519E-7</v>
      </c>
      <c r="U614">
        <v>3.2299578204424308E-11</v>
      </c>
      <c r="V614">
        <v>2.1962708341323008E-9</v>
      </c>
      <c r="W614">
        <v>1.3478630733200264E-7</v>
      </c>
      <c r="X614">
        <v>4.9301157240769778E-6</v>
      </c>
      <c r="Y614">
        <v>1.2020185993564625E-6</v>
      </c>
      <c r="Z614">
        <v>0.70794378806476066</v>
      </c>
      <c r="AA614">
        <v>7.2002173957279786E-2</v>
      </c>
      <c r="AB614">
        <v>10.060768462274135</v>
      </c>
      <c r="AD614">
        <v>1.077767217424028</v>
      </c>
      <c r="AE614">
        <v>0.33641038465085638</v>
      </c>
      <c r="AF614">
        <v>0.95138033460632954</v>
      </c>
      <c r="AG614">
        <v>2448756.6378895207</v>
      </c>
    </row>
    <row r="615" spans="2:33" ht="12.75" hidden="1" customHeight="1">
      <c r="B615">
        <f>-0.283323670650738*$F$42</f>
        <v>0</v>
      </c>
      <c r="C615">
        <f>-0.169581181491755*$F$43</f>
        <v>0</v>
      </c>
      <c r="D615">
        <f>0.250389368166839*$F$44</f>
        <v>0</v>
      </c>
      <c r="E615">
        <f>0.240407329454658*$F$45</f>
        <v>0</v>
      </c>
      <c r="F615">
        <f>0.253890776332638*$F$46</f>
        <v>0</v>
      </c>
      <c r="G615">
        <f>0.586745855373756*$F$47</f>
        <v>0</v>
      </c>
      <c r="H615">
        <f>0.516437712285529*$F$48</f>
        <v>0</v>
      </c>
      <c r="I615">
        <f>-0.307798301140993*$F$49</f>
        <v>0</v>
      </c>
      <c r="J615">
        <f>-0.353952190492849*$F$50</f>
        <v>0</v>
      </c>
      <c r="K615">
        <f>0.112736744220701*$F$51</f>
        <v>0</v>
      </c>
      <c r="L615">
        <f>0.289741414542453*$F$52</f>
        <v>0</v>
      </c>
      <c r="M615">
        <f>0.279503042834073*$F$53</f>
        <v>0</v>
      </c>
      <c r="N615">
        <f>-0.199160935358044*$F$54</f>
        <v>0</v>
      </c>
      <c r="P615">
        <v>934900.89570582809</v>
      </c>
      <c r="Q615">
        <v>-12582.936087690554</v>
      </c>
      <c r="R615">
        <v>363309.12179422827</v>
      </c>
      <c r="S615">
        <v>741231.81795345491</v>
      </c>
      <c r="T615">
        <v>7.1777235434328458E-7</v>
      </c>
      <c r="U615">
        <v>3.2818912151658649E-11</v>
      </c>
      <c r="V615">
        <v>2.4187806738256715E-9</v>
      </c>
      <c r="W615">
        <v>1.2599862208516709E-7</v>
      </c>
      <c r="X615">
        <v>4.8230239047535761E-6</v>
      </c>
      <c r="Y615">
        <v>1.2489229879112565E-6</v>
      </c>
      <c r="Z615">
        <v>0.72028189901797168</v>
      </c>
      <c r="AA615">
        <v>7.1956521299838511E-2</v>
      </c>
      <c r="AB615">
        <v>9.8008390646419556</v>
      </c>
      <c r="AD615">
        <v>1.1747122297069055</v>
      </c>
      <c r="AE615">
        <v>0.35210824205471103</v>
      </c>
      <c r="AF615">
        <v>0.87109043392999097</v>
      </c>
      <c r="AG615">
        <v>2585329.5812097033</v>
      </c>
    </row>
    <row r="616" spans="2:33" ht="12.75" hidden="1" customHeight="1">
      <c r="B616">
        <f>0.3825100979389*$F$42</f>
        <v>0</v>
      </c>
      <c r="C616">
        <f>-0.367207480884904*$F$43</f>
        <v>0</v>
      </c>
      <c r="D616">
        <f>0.348563204263416*$F$44</f>
        <v>0</v>
      </c>
      <c r="E616">
        <f>0.350700381688988*$F$45</f>
        <v>0</v>
      </c>
      <c r="F616">
        <f>0.202847501316389*$F$46</f>
        <v>0</v>
      </c>
      <c r="G616">
        <f>-0.215168856225192*$F$47</f>
        <v>0</v>
      </c>
      <c r="H616">
        <f>0.87376086778051*$F$48</f>
        <v>0</v>
      </c>
      <c r="I616">
        <f>-0.182354107783955*$F$49</f>
        <v>0</v>
      </c>
      <c r="J616">
        <f>-0.122330318539758*$F$50</f>
        <v>0</v>
      </c>
      <c r="K616">
        <f>-0.142559642366966*$F$51</f>
        <v>0</v>
      </c>
      <c r="L616">
        <f>0.384406800887868*$F$52</f>
        <v>0</v>
      </c>
      <c r="M616">
        <f>-0.0817108155668234*$F$53</f>
        <v>0</v>
      </c>
      <c r="N616">
        <f>0.468849769403988*$F$54</f>
        <v>0</v>
      </c>
      <c r="P616">
        <v>998964.83748450084</v>
      </c>
      <c r="Q616">
        <v>-12329.974424467324</v>
      </c>
      <c r="R616">
        <v>366788.74085008434</v>
      </c>
      <c r="S616">
        <v>749215.16441469791</v>
      </c>
      <c r="T616">
        <v>7.141993250921473E-7</v>
      </c>
      <c r="U616">
        <v>3.0332976545701906E-11</v>
      </c>
      <c r="V616">
        <v>2.5009649995895174E-9</v>
      </c>
      <c r="W616">
        <v>1.2762939659880858E-7</v>
      </c>
      <c r="X616">
        <v>4.9388348407301214E-6</v>
      </c>
      <c r="Y616">
        <v>1.2173938841676797E-6</v>
      </c>
      <c r="Z616">
        <v>0.72690847606215081</v>
      </c>
      <c r="AA616">
        <v>6.9428024291032245E-2</v>
      </c>
      <c r="AB616">
        <v>10.468849769403988</v>
      </c>
      <c r="AD616">
        <v>1.1364526659536456</v>
      </c>
      <c r="AE616">
        <v>0.33250051942073139</v>
      </c>
      <c r="AF616">
        <v>0.90104012269580291</v>
      </c>
      <c r="AG616">
        <v>2569101.3116928786</v>
      </c>
    </row>
    <row r="617" spans="2:33" ht="12.75" hidden="1" customHeight="1">
      <c r="B617">
        <f>-0.27145806642753*$F$42</f>
        <v>0</v>
      </c>
      <c r="C617">
        <f>-0.037722313255912*$F$43</f>
        <v>0</v>
      </c>
      <c r="D617">
        <f>0.235813258609023*$F$44</f>
        <v>0</v>
      </c>
      <c r="E617">
        <f>-0.69128853825897*$F$45</f>
        <v>0</v>
      </c>
      <c r="F617">
        <f>0.242193920600846*$F$46</f>
        <v>0</v>
      </c>
      <c r="G617">
        <f>0.0985322644665532*$F$47</f>
        <v>0</v>
      </c>
      <c r="H617">
        <f>0.287858611618427*$F$48</f>
        <v>0</v>
      </c>
      <c r="I617">
        <f>-0.111584151010815*$F$49</f>
        <v>0</v>
      </c>
      <c r="J617">
        <f>-0.317937904310513*$F$50</f>
        <v>0</v>
      </c>
      <c r="K617">
        <f>-0.142640916506221*$F$51</f>
        <v>0</v>
      </c>
      <c r="L617">
        <f>-0.441987458702828*$F$52</f>
        <v>0</v>
      </c>
      <c r="M617">
        <f>0.332847651171173*$F$53</f>
        <v>0</v>
      </c>
      <c r="N617">
        <f>0.437824037624854*$F$54</f>
        <v>0</v>
      </c>
      <c r="P617">
        <v>936042.5581056407</v>
      </c>
      <c r="Q617">
        <v>-12751.715439032432</v>
      </c>
      <c r="R617">
        <v>362792.49424258887</v>
      </c>
      <c r="S617">
        <v>673792.83827354503</v>
      </c>
      <c r="T617">
        <v>7.1695357444205921E-7</v>
      </c>
      <c r="U617">
        <v>3.1305450019846315E-11</v>
      </c>
      <c r="V617">
        <v>2.3662074806722383E-9</v>
      </c>
      <c r="W617">
        <v>1.2854940603685939E-7</v>
      </c>
      <c r="X617">
        <v>4.8410310478447438E-6</v>
      </c>
      <c r="Y617">
        <v>1.2173838468114817E-6</v>
      </c>
      <c r="Z617">
        <v>0.66906087789080193</v>
      </c>
      <c r="AA617">
        <v>7.2329933558198223E-2</v>
      </c>
      <c r="AB617">
        <v>10.437824037624853</v>
      </c>
      <c r="AD617">
        <v>0.81117646195199777</v>
      </c>
      <c r="AE617">
        <v>0.28935545596602075</v>
      </c>
      <c r="AF617">
        <v>1.2690104184542017</v>
      </c>
      <c r="AG617">
        <v>1989291.1083881129</v>
      </c>
    </row>
    <row r="618" spans="2:33" ht="12.75" hidden="1" customHeight="1">
      <c r="B618">
        <f>-0.106417446931302*$F$42</f>
        <v>0</v>
      </c>
      <c r="C618">
        <f>-0.425598745422503*$F$43</f>
        <v>0</v>
      </c>
      <c r="D618">
        <f>0.0452888851558213*$F$44</f>
        <v>0</v>
      </c>
      <c r="E618">
        <f>-0.608699429976442*$F$45</f>
        <v>0</v>
      </c>
      <c r="F618">
        <f>0.172578735121552*$F$46</f>
        <v>0</v>
      </c>
      <c r="G618">
        <f>0.0000761561676002567*$F$47</f>
        <v>0</v>
      </c>
      <c r="H618">
        <f>-0.209767814137434*$F$48</f>
        <v>0</v>
      </c>
      <c r="I618">
        <f>0.491600618152921*$F$49</f>
        <v>0</v>
      </c>
      <c r="J618">
        <f>-0.672784726663907*$F$50</f>
        <v>0</v>
      </c>
      <c r="K618">
        <f>0.149429764048795*$F$51</f>
        <v>0</v>
      </c>
      <c r="L618">
        <f>0.256917075207245*$F$52</f>
        <v>0</v>
      </c>
      <c r="M618">
        <f>-0.321544491920245*$F$53</f>
        <v>0</v>
      </c>
      <c r="N618">
        <f>-0.279581882684063*$F$54</f>
        <v>0</v>
      </c>
      <c r="P618">
        <v>951922.12615596422</v>
      </c>
      <c r="Q618">
        <v>-12255.233605859195</v>
      </c>
      <c r="R618">
        <v>356039.653905163</v>
      </c>
      <c r="S618">
        <v>679770.88903909712</v>
      </c>
      <c r="T618">
        <v>7.1208051145850852E-7</v>
      </c>
      <c r="U618">
        <v>3.1000236084119567E-11</v>
      </c>
      <c r="V618">
        <v>2.2517534027483904E-9</v>
      </c>
      <c r="W618">
        <v>1.3639080803598798E-7</v>
      </c>
      <c r="X618">
        <v>4.6636076366680471E-6</v>
      </c>
      <c r="Y618">
        <v>1.253454575860026E-6</v>
      </c>
      <c r="Z618">
        <v>0.71798419526450719</v>
      </c>
      <c r="AA618">
        <v>6.7749188556558287E-2</v>
      </c>
      <c r="AB618">
        <v>9.720418117315937</v>
      </c>
      <c r="AD618">
        <v>0.93926452497165114</v>
      </c>
      <c r="AE618">
        <v>0.29032600248653273</v>
      </c>
      <c r="AF618">
        <v>1.0955573446634506</v>
      </c>
      <c r="AG618">
        <v>2107121.7744197981</v>
      </c>
    </row>
    <row r="619" spans="2:33" ht="12.75" hidden="1" customHeight="1">
      <c r="B619">
        <f>0.159376514255838*$F$42</f>
        <v>0</v>
      </c>
      <c r="C619">
        <f>0.220914501210378*$F$43</f>
        <v>0</v>
      </c>
      <c r="D619">
        <f>-0.0282861631002105*$F$44</f>
        <v>0</v>
      </c>
      <c r="E619">
        <f>-0.0995973127879509*$F$45</f>
        <v>0</v>
      </c>
      <c r="F619">
        <f>-0.125942207306294*$F$46</f>
        <v>0</v>
      </c>
      <c r="G619">
        <f>0.0171816147853857*$F$47</f>
        <v>0</v>
      </c>
      <c r="H619">
        <f>-0.178377581430728*$F$48</f>
        <v>0</v>
      </c>
      <c r="I619">
        <f>-0.285479068388516*$F$49</f>
        <v>0</v>
      </c>
      <c r="J619">
        <f>0.184125885133449*$F$50</f>
        <v>0</v>
      </c>
      <c r="K619">
        <f>-0.810314586083478*$F$51</f>
        <v>0</v>
      </c>
      <c r="L619">
        <f>-0.221731338450126*$F$52</f>
        <v>0</v>
      </c>
      <c r="M619">
        <f>-0.557644520856101*$F$53</f>
        <v>0</v>
      </c>
      <c r="N619">
        <f>0.163808401435708*$F$54</f>
        <v>0</v>
      </c>
      <c r="P619">
        <v>977495.78982082137</v>
      </c>
      <c r="Q619">
        <v>-13082.770561549285</v>
      </c>
      <c r="R619">
        <v>353431.90065718588</v>
      </c>
      <c r="S619">
        <v>716621.24818078522</v>
      </c>
      <c r="T619">
        <v>6.9118404548855937E-7</v>
      </c>
      <c r="U619">
        <v>3.1053263005834701E-11</v>
      </c>
      <c r="V619">
        <v>2.2589731562709326E-9</v>
      </c>
      <c r="W619">
        <v>1.2628877211094929E-7</v>
      </c>
      <c r="X619">
        <v>5.0920629425667247E-6</v>
      </c>
      <c r="Y619">
        <v>1.1349261486186906E-6</v>
      </c>
      <c r="Z619">
        <v>0.68447880630849112</v>
      </c>
      <c r="AA619">
        <v>6.6096488354007304E-2</v>
      </c>
      <c r="AB619">
        <v>10.163808401435707</v>
      </c>
      <c r="AD619">
        <v>0.97107069595092432</v>
      </c>
      <c r="AE619">
        <v>0.32702648705794396</v>
      </c>
      <c r="AF619">
        <v>1.0571805919845594</v>
      </c>
      <c r="AG619">
        <v>2415842.167512259</v>
      </c>
    </row>
    <row r="620" spans="2:33" ht="12.75" hidden="1" customHeight="1">
      <c r="B620">
        <f>0.147247701210426*$F$42</f>
        <v>0</v>
      </c>
      <c r="C620">
        <f>-0.0134956310162784*$F$43</f>
        <v>0</v>
      </c>
      <c r="D620">
        <f>-0.401690009465342*$F$44</f>
        <v>0</v>
      </c>
      <c r="E620">
        <f>0.0632885250984356*$F$45</f>
        <v>0</v>
      </c>
      <c r="F620">
        <f>-0.373522268621925*$F$46</f>
        <v>0</v>
      </c>
      <c r="G620">
        <f>-0.0314235118267415*$F$47</f>
        <v>0</v>
      </c>
      <c r="H620">
        <f>0.293239825978391*$F$48</f>
        <v>0</v>
      </c>
      <c r="I620">
        <f>0.244999506711633*$F$49</f>
        <v>0</v>
      </c>
      <c r="J620">
        <f>-0.110873117913648*$F$50</f>
        <v>0</v>
      </c>
      <c r="K620">
        <f>0.198226435996165*$F$51</f>
        <v>0</v>
      </c>
      <c r="L620">
        <f>-0.0729982377133162*$F$52</f>
        <v>0</v>
      </c>
      <c r="M620">
        <f>0.32237171413398*$F$53</f>
        <v>0</v>
      </c>
      <c r="N620">
        <f>-0.154598843824829*$F$54</f>
        <v>0</v>
      </c>
      <c r="P620">
        <v>976328.80248938652</v>
      </c>
      <c r="Q620">
        <v>-12782.725592299164</v>
      </c>
      <c r="R620">
        <v>340197.18160165363</v>
      </c>
      <c r="S620">
        <v>728411.42037326447</v>
      </c>
      <c r="T620">
        <v>6.7385344119646517E-7</v>
      </c>
      <c r="U620">
        <v>3.0902587113337107E-11</v>
      </c>
      <c r="V620">
        <v>2.36744515997503E-9</v>
      </c>
      <c r="W620">
        <v>1.3318499358725124E-7</v>
      </c>
      <c r="X620">
        <v>4.9445634410431766E-6</v>
      </c>
      <c r="Y620">
        <v>1.2594809648455264E-6</v>
      </c>
      <c r="Z620">
        <v>0.69489012336006784</v>
      </c>
      <c r="AA620">
        <v>7.2256601998937867E-2</v>
      </c>
      <c r="AB620">
        <v>9.8454011561751713</v>
      </c>
      <c r="AD620">
        <v>1.0685092838754158</v>
      </c>
      <c r="AE620">
        <v>0.34855939714695455</v>
      </c>
      <c r="AF620">
        <v>0.95983854847319927</v>
      </c>
      <c r="AG620">
        <v>2636505.4410500233</v>
      </c>
    </row>
    <row r="621" spans="2:33" ht="12.75" hidden="1" customHeight="1">
      <c r="B621">
        <f>-0.254135421660301*$F$42</f>
        <v>0</v>
      </c>
      <c r="C621">
        <f>0.217631566155176*$F$43</f>
        <v>0</v>
      </c>
      <c r="D621">
        <f>0.214264431127657*$F$44</f>
        <v>0</v>
      </c>
      <c r="E621">
        <f>0.115553758714542*$F$45</f>
        <v>0</v>
      </c>
      <c r="F621">
        <f>-0.0913109312486944*$F$46</f>
        <v>0</v>
      </c>
      <c r="G621">
        <f>-0.0826510031476636*$F$47</f>
        <v>0</v>
      </c>
      <c r="H621">
        <f>-0.467693166456085*$F$48</f>
        <v>0</v>
      </c>
      <c r="I621">
        <f>-0.823265730927765*$F$49</f>
        <v>0</v>
      </c>
      <c r="J621">
        <f>0.494444721601401*$F$50</f>
        <v>0</v>
      </c>
      <c r="K621">
        <f>-0.409082491879166*$F$51</f>
        <v>0</v>
      </c>
      <c r="L621">
        <f>-0.0690972050634362*$F$52</f>
        <v>0</v>
      </c>
      <c r="M621">
        <f>-0.664198461269485*$F$53</f>
        <v>0</v>
      </c>
      <c r="N621">
        <f>0.103563684952861*$F$54</f>
        <v>0</v>
      </c>
      <c r="P621">
        <v>937709.27577328181</v>
      </c>
      <c r="Q621">
        <v>-13078.568404678626</v>
      </c>
      <c r="R621">
        <v>362028.72953992663</v>
      </c>
      <c r="S621">
        <v>732194.5368922333</v>
      </c>
      <c r="T621">
        <v>6.9360823481259134E-7</v>
      </c>
      <c r="U621">
        <v>3.0743781890242245E-11</v>
      </c>
      <c r="V621">
        <v>2.1924305717151006E-9</v>
      </c>
      <c r="W621">
        <v>1.1929754549793907E-7</v>
      </c>
      <c r="X621">
        <v>5.2472223608007012E-6</v>
      </c>
      <c r="Y621">
        <v>1.1844783122529231E-6</v>
      </c>
      <c r="Z621">
        <v>0.6951631956455594</v>
      </c>
      <c r="AA621">
        <v>6.5350610771113607E-2</v>
      </c>
      <c r="AB621">
        <v>10.10356368495286</v>
      </c>
      <c r="AD621">
        <v>1.0781889584501501</v>
      </c>
      <c r="AE621">
        <v>0.34921945875341143</v>
      </c>
      <c r="AF621">
        <v>0.95045004459846716</v>
      </c>
      <c r="AG621">
        <v>2511657.2899226835</v>
      </c>
    </row>
    <row r="622" spans="2:33" ht="12.75" hidden="1" customHeight="1">
      <c r="B622">
        <f>-0.537189321366542*$F$42</f>
        <v>0</v>
      </c>
      <c r="C622">
        <f>-0.560926807976089*$F$43</f>
        <v>0</v>
      </c>
      <c r="D622">
        <f>-0.732589492122605*$F$44</f>
        <v>0</v>
      </c>
      <c r="E622">
        <f>-0.0404160533796024*$F$45</f>
        <v>0</v>
      </c>
      <c r="F622">
        <f>-0.353127365708624*$F$46</f>
        <v>0</v>
      </c>
      <c r="G622">
        <f>-0.353150567512903*$F$47</f>
        <v>0</v>
      </c>
      <c r="H622">
        <f>-0.426510437431968*$F$48</f>
        <v>0</v>
      </c>
      <c r="I622">
        <f>0.760899354542931*$F$49</f>
        <v>0</v>
      </c>
      <c r="J622">
        <f>-0.317636786703421*$F$50</f>
        <v>0</v>
      </c>
      <c r="K622">
        <f>0.201424775721217*$F$51</f>
        <v>0</v>
      </c>
      <c r="L622">
        <f>0.117128180464491*$F$52</f>
        <v>0</v>
      </c>
      <c r="M622">
        <f>-0.574791479824636*$F$53</f>
        <v>0</v>
      </c>
      <c r="N622">
        <f>-0.47948509751743*$F$54</f>
        <v>0</v>
      </c>
      <c r="P622">
        <v>910474.92779267812</v>
      </c>
      <c r="Q622">
        <v>-12082.013685790607</v>
      </c>
      <c r="R622">
        <v>328468.96366490668</v>
      </c>
      <c r="S622">
        <v>720904.96767442778</v>
      </c>
      <c r="T622">
        <v>6.752810844003963E-7</v>
      </c>
      <c r="U622">
        <v>2.9905233240710002E-11</v>
      </c>
      <c r="V622">
        <v>2.2019025993906471E-9</v>
      </c>
      <c r="W622">
        <v>1.3989169160905812E-7</v>
      </c>
      <c r="X622">
        <v>4.8411816066482901E-6</v>
      </c>
      <c r="Y622">
        <v>1.2598759598015703E-6</v>
      </c>
      <c r="Z622">
        <v>0.70819897263251441</v>
      </c>
      <c r="AA622">
        <v>6.5976459641227558E-2</v>
      </c>
      <c r="AB622">
        <v>9.520514902482569</v>
      </c>
      <c r="AD622">
        <v>1.2276504527112078</v>
      </c>
      <c r="AE622">
        <v>0.38031288792076368</v>
      </c>
      <c r="AF622">
        <v>0.83217484207893144</v>
      </c>
      <c r="AG622">
        <v>2727410.1974334964</v>
      </c>
    </row>
    <row r="623" spans="2:33" ht="12.75" hidden="1" customHeight="1">
      <c r="B623">
        <f>-0.158825206209629*$F$42</f>
        <v>0</v>
      </c>
      <c r="C623">
        <f>-0.713585187166795*$F$43</f>
        <v>0</v>
      </c>
      <c r="D623">
        <f>-0.352505578061093*$F$44</f>
        <v>0</v>
      </c>
      <c r="E623">
        <f>0.186320425656228*$F$45</f>
        <v>0</v>
      </c>
      <c r="F623">
        <f>-0.366100930287293*$F$46</f>
        <v>0</v>
      </c>
      <c r="G623">
        <f>0.233011905688638*$F$47</f>
        <v>0</v>
      </c>
      <c r="H623">
        <f>-0.674879151855688*$F$48</f>
        <v>0</v>
      </c>
      <c r="I623">
        <f>-0.21291777131759*$F$49</f>
        <v>0</v>
      </c>
      <c r="J623">
        <f>-0.220006851836354*$F$50</f>
        <v>0</v>
      </c>
      <c r="K623">
        <f>-0.00688327560784458*$F$51</f>
        <v>0</v>
      </c>
      <c r="L623">
        <f>-0.161507654637644*$F$52</f>
        <v>0</v>
      </c>
      <c r="M623">
        <f>0.32220768703869*$F$53</f>
        <v>0</v>
      </c>
      <c r="N623">
        <f>0.315666796250462*$F$54</f>
        <v>0</v>
      </c>
      <c r="P623">
        <v>946879.65490030963</v>
      </c>
      <c r="Q623">
        <v>-11886.610960426502</v>
      </c>
      <c r="R623">
        <v>341940.44733894552</v>
      </c>
      <c r="S623">
        <v>737316.84340799239</v>
      </c>
      <c r="T623">
        <v>6.7437293487988949E-7</v>
      </c>
      <c r="U623">
        <v>3.1722336907634783E-11</v>
      </c>
      <c r="V623">
        <v>2.1447777950731917E-9</v>
      </c>
      <c r="W623">
        <v>1.2723206897287133E-7</v>
      </c>
      <c r="X623">
        <v>4.8899965740818236E-6</v>
      </c>
      <c r="Y623">
        <v>1.2341499154624314E-6</v>
      </c>
      <c r="Z623">
        <v>0.68869446417536495</v>
      </c>
      <c r="AA623">
        <v>7.2255453809270828E-2</v>
      </c>
      <c r="AB623">
        <v>10.315666796250461</v>
      </c>
      <c r="AD623">
        <v>1.1234323860024709</v>
      </c>
      <c r="AE623">
        <v>0.36971385838750415</v>
      </c>
      <c r="AF623">
        <v>0.91097705168263465</v>
      </c>
      <c r="AG623">
        <v>2700523.2690586755</v>
      </c>
    </row>
    <row r="624" spans="2:33" ht="12.75" hidden="1" customHeight="1">
      <c r="B624">
        <f>-0.0104476454147502*$F$42</f>
        <v>0</v>
      </c>
      <c r="C624">
        <f>-0.375476788468295*$F$43</f>
        <v>0</v>
      </c>
      <c r="D624">
        <f>0.240309752027905*$F$44</f>
        <v>0</v>
      </c>
      <c r="E624">
        <f>-0.543590754836891*$F$45</f>
        <v>0</v>
      </c>
      <c r="F624">
        <f>-0.314349872404669*$F$46</f>
        <v>0</v>
      </c>
      <c r="G624">
        <f>-0.327539160387285*$F$47</f>
        <v>0</v>
      </c>
      <c r="H624">
        <f>0.142739632371782*$F$48</f>
        <v>0</v>
      </c>
      <c r="I624">
        <f>0.0244024035390362*$F$49</f>
        <v>0</v>
      </c>
      <c r="J624">
        <f>0.538283448701257*$F$50</f>
        <v>0</v>
      </c>
      <c r="K624">
        <f>0.26030310716372*$F$51</f>
        <v>0</v>
      </c>
      <c r="L624">
        <f>0.396939622738323*$F$52</f>
        <v>0</v>
      </c>
      <c r="M624">
        <f>-0.290541667571934*$F$53</f>
        <v>0</v>
      </c>
      <c r="N624">
        <f>-0.0268255670439649*$F$54</f>
        <v>0</v>
      </c>
      <c r="P624">
        <v>961155.96809505683</v>
      </c>
      <c r="Q624">
        <v>-12319.389710760583</v>
      </c>
      <c r="R624">
        <v>362951.86546415836</v>
      </c>
      <c r="S624">
        <v>684483.65290537593</v>
      </c>
      <c r="T624">
        <v>6.7799550893167316E-7</v>
      </c>
      <c r="U624">
        <v>2.9984628602799418E-11</v>
      </c>
      <c r="V624">
        <v>2.3328301154455099E-9</v>
      </c>
      <c r="W624">
        <v>1.3031723124600746E-7</v>
      </c>
      <c r="X624">
        <v>5.2691417243506295E-6</v>
      </c>
      <c r="Y624">
        <v>1.2671474337347195E-6</v>
      </c>
      <c r="Z624">
        <v>0.72778577359168262</v>
      </c>
      <c r="AA624">
        <v>6.7966208326996472E-2</v>
      </c>
      <c r="AB624">
        <v>9.9731744329560339</v>
      </c>
      <c r="AD624">
        <v>0.95253532772264138</v>
      </c>
      <c r="AE624">
        <v>0.28517369177750257</v>
      </c>
      <c r="AF624">
        <v>1.0803283736213414</v>
      </c>
      <c r="AG624">
        <v>2092390.1552368584</v>
      </c>
    </row>
    <row r="625" spans="2:33" ht="12.75" hidden="1" customHeight="1">
      <c r="B625">
        <f>-0.444049211162052*$F$42</f>
        <v>0</v>
      </c>
      <c r="C625">
        <f>-0.305225057703171*$F$43</f>
        <v>0</v>
      </c>
      <c r="D625">
        <f>0.162738884081499*$F$44</f>
        <v>0</v>
      </c>
      <c r="E625">
        <f>-0.32638886703892*$F$45</f>
        <v>0</v>
      </c>
      <c r="F625">
        <f>0.381685188540658*$F$46</f>
        <v>0</v>
      </c>
      <c r="G625">
        <f>-0.570053475934553*$F$47</f>
        <v>0</v>
      </c>
      <c r="H625">
        <f>-0.087480159367906*$F$48</f>
        <v>0</v>
      </c>
      <c r="I625">
        <f>-0.917370056889737*$F$49</f>
        <v>0</v>
      </c>
      <c r="J625">
        <f>-0.341413464539438*$F$50</f>
        <v>0</v>
      </c>
      <c r="K625">
        <f>-0.525847729481884*$F$51</f>
        <v>0</v>
      </c>
      <c r="L625">
        <f>-0.904961622909965*$F$52</f>
        <v>0</v>
      </c>
      <c r="M625">
        <f>0.0906098681712035*$F$53</f>
        <v>0</v>
      </c>
      <c r="N625">
        <f>-0.461744865014904*$F$54</f>
        <v>0</v>
      </c>
      <c r="P625">
        <v>919436.50781292666</v>
      </c>
      <c r="Q625">
        <v>-12409.311926139941</v>
      </c>
      <c r="R625">
        <v>360202.48659685929</v>
      </c>
      <c r="S625">
        <v>700205.38593569538</v>
      </c>
      <c r="T625">
        <v>7.2671796319784594E-7</v>
      </c>
      <c r="U625">
        <v>2.9232834224602885E-11</v>
      </c>
      <c r="V625">
        <v>2.2798795633453813E-9</v>
      </c>
      <c r="W625">
        <v>1.1807418926043342E-7</v>
      </c>
      <c r="X625">
        <v>4.8292932677302812E-6</v>
      </c>
      <c r="Y625">
        <v>1.1700578054089873E-6</v>
      </c>
      <c r="Z625">
        <v>0.63665268639630235</v>
      </c>
      <c r="AA625">
        <v>7.0634269077198428E-2</v>
      </c>
      <c r="AB625">
        <v>9.5382551349850964</v>
      </c>
      <c r="AD625">
        <v>0.84446394873938091</v>
      </c>
      <c r="AE625">
        <v>0.32759031375933628</v>
      </c>
      <c r="AF625">
        <v>1.2177720324831642</v>
      </c>
      <c r="AG625">
        <v>2246373.1028137677</v>
      </c>
    </row>
    <row r="626" spans="2:33" ht="12.75" hidden="1" customHeight="1">
      <c r="B626">
        <f>0.403528566469959*$F$42</f>
        <v>0</v>
      </c>
      <c r="C626">
        <f>0.177128673428076*$F$43</f>
        <v>0</v>
      </c>
      <c r="D626">
        <f>-0.169464187232173*$F$44</f>
        <v>0</v>
      </c>
      <c r="E626">
        <f>0.623518709426858*$F$45</f>
        <v>0</v>
      </c>
      <c r="F626">
        <f>-0.634301450513727*$F$46</f>
        <v>0</v>
      </c>
      <c r="G626">
        <f>0.00525149691439668*$F$47</f>
        <v>0</v>
      </c>
      <c r="H626">
        <f>0.173267647141102*$F$48</f>
        <v>0</v>
      </c>
      <c r="I626">
        <f>-0.120077505379409*$F$49</f>
        <v>0</v>
      </c>
      <c r="J626">
        <f>-0.570919028027035*$F$50</f>
        <v>0</v>
      </c>
      <c r="K626">
        <f>-0.232276970867332*$F$51</f>
        <v>0</v>
      </c>
      <c r="L626">
        <f>-0.206078206155065*$F$52</f>
        <v>0</v>
      </c>
      <c r="M626">
        <f>-0.0351961206705974*$F$53</f>
        <v>0</v>
      </c>
      <c r="N626">
        <f>0.156458449449799*$F$54</f>
        <v>0</v>
      </c>
      <c r="P626">
        <v>1000987.1529749016</v>
      </c>
      <c r="Q626">
        <v>-13026.724701987936</v>
      </c>
      <c r="R626">
        <v>348428.06498599512</v>
      </c>
      <c r="S626">
        <v>768962.58446687786</v>
      </c>
      <c r="T626">
        <v>6.5559889846403911E-7</v>
      </c>
      <c r="U626">
        <v>3.1016279640434628E-11</v>
      </c>
      <c r="V626">
        <v>2.3398515588424532E-9</v>
      </c>
      <c r="W626">
        <v>1.2843899243006769E-7</v>
      </c>
      <c r="X626">
        <v>4.7145404859864831E-6</v>
      </c>
      <c r="Y626">
        <v>1.2063137940978845E-6</v>
      </c>
      <c r="Z626">
        <v>0.68557452556914544</v>
      </c>
      <c r="AA626">
        <v>6.9753627155305822E-2</v>
      </c>
      <c r="AB626">
        <v>10.156458449449799</v>
      </c>
      <c r="AD626">
        <v>1.1239667154164206</v>
      </c>
      <c r="AE626">
        <v>0.37319107942233726</v>
      </c>
      <c r="AF626">
        <v>0.91045838318479366</v>
      </c>
      <c r="AG626">
        <v>2880869.5049626753</v>
      </c>
    </row>
    <row r="627" spans="2:33" ht="12.75" hidden="1" customHeight="1">
      <c r="B627">
        <f>0.00374571989348617*$F$42</f>
        <v>0</v>
      </c>
      <c r="C627">
        <f>-0.0847377532312062*$F$43</f>
        <v>0</v>
      </c>
      <c r="D627">
        <f>0.0115140485757083*$F$44</f>
        <v>0</v>
      </c>
      <c r="E627">
        <f>-0.299611749119913*$F$45</f>
        <v>0</v>
      </c>
      <c r="F627">
        <f>-0.0347533576953422*$F$46</f>
        <v>0</v>
      </c>
      <c r="G627">
        <f>-0.214024811802948*$F$47</f>
        <v>0</v>
      </c>
      <c r="H627">
        <f>0.367469202113271*$F$48</f>
        <v>0</v>
      </c>
      <c r="I627">
        <f>-0.602032767321605*$F$49</f>
        <v>0</v>
      </c>
      <c r="J627">
        <f>-0.236777912097813*$F$50</f>
        <v>0</v>
      </c>
      <c r="K627">
        <f>0.0883888662881311*$F$51</f>
        <v>0</v>
      </c>
      <c r="L627">
        <f>-0.132537476871783*$F$52</f>
        <v>0</v>
      </c>
      <c r="M627">
        <f>-0.0961091329316426*$F$53</f>
        <v>0</v>
      </c>
      <c r="N627">
        <f>-0.0536223819454133*$F$54</f>
        <v>0</v>
      </c>
      <c r="P627">
        <v>962521.59863475803</v>
      </c>
      <c r="Q627">
        <v>-12691.535675864056</v>
      </c>
      <c r="R627">
        <v>354842.55730951839</v>
      </c>
      <c r="S627">
        <v>702143.59514516406</v>
      </c>
      <c r="T627">
        <v>6.9756726496132601E-7</v>
      </c>
      <c r="U627">
        <v>3.0336523083410868E-11</v>
      </c>
      <c r="V627">
        <v>2.3845179164860522E-9</v>
      </c>
      <c r="W627">
        <v>1.2217357402481913E-7</v>
      </c>
      <c r="X627">
        <v>4.8816110439510938E-6</v>
      </c>
      <c r="Y627">
        <v>1.2459160249865843E-6</v>
      </c>
      <c r="Z627">
        <v>0.69072237661897506</v>
      </c>
      <c r="AA627">
        <v>6.9327236069478507E-2</v>
      </c>
      <c r="AB627">
        <v>9.9463776180545871</v>
      </c>
      <c r="AD627">
        <v>0.94283432651457522</v>
      </c>
      <c r="AE627">
        <v>0.31480336993659408</v>
      </c>
      <c r="AF627">
        <v>1.0901114475806384</v>
      </c>
      <c r="AG627">
        <v>2303907.1560401171</v>
      </c>
    </row>
    <row r="628" spans="2:33" ht="12.75" hidden="1" customHeight="1">
      <c r="B628">
        <f>0.174824621867999*$F$42</f>
        <v>0</v>
      </c>
      <c r="C628">
        <f>-0.462707112879626*$F$43</f>
        <v>0</v>
      </c>
      <c r="D628">
        <f>0.381959849787826*$F$44</f>
        <v>0</v>
      </c>
      <c r="E628">
        <f>-0.728374171861665*$F$45</f>
        <v>0</v>
      </c>
      <c r="F628">
        <f>0.0456224039770806*$F$46</f>
        <v>0</v>
      </c>
      <c r="G628">
        <f>-0.408767656686833*$F$47</f>
        <v>0</v>
      </c>
      <c r="H628">
        <f>-0.248022183757066*$F$48</f>
        <v>0</v>
      </c>
      <c r="I628">
        <f>-0.015502083304501*$F$49</f>
        <v>0</v>
      </c>
      <c r="J628">
        <f>0.210993528379329*$F$50</f>
        <v>0</v>
      </c>
      <c r="K628">
        <f>0.445049267950739*$F$51</f>
        <v>0</v>
      </c>
      <c r="L628">
        <f>-0.314593602524631*$F$52</f>
        <v>0</v>
      </c>
      <c r="M628">
        <f>0.228549140280135*$F$53</f>
        <v>0</v>
      </c>
      <c r="N628">
        <f>-0.107886711342629*$F$54</f>
        <v>0</v>
      </c>
      <c r="P628">
        <v>978982.14679660602</v>
      </c>
      <c r="Q628">
        <v>-12207.734895514079</v>
      </c>
      <c r="R628">
        <v>367972.43305147788</v>
      </c>
      <c r="S628">
        <v>671108.46735636343</v>
      </c>
      <c r="T628">
        <v>7.0319356827839565E-7</v>
      </c>
      <c r="U628">
        <v>2.9732820264270819E-11</v>
      </c>
      <c r="V628">
        <v>2.2429548977358746E-9</v>
      </c>
      <c r="W628">
        <v>1.2979847291704149E-7</v>
      </c>
      <c r="X628">
        <v>5.1054967641896644E-6</v>
      </c>
      <c r="Y628">
        <v>1.2899635845919163E-6</v>
      </c>
      <c r="Z628">
        <v>0.67797844782327576</v>
      </c>
      <c r="AA628">
        <v>7.1599843981960953E-2</v>
      </c>
      <c r="AB628">
        <v>9.8921132886573719</v>
      </c>
      <c r="AD628">
        <v>0.74612336887762643</v>
      </c>
      <c r="AE628">
        <v>0.26447411993429382</v>
      </c>
      <c r="AF628">
        <v>1.3856062072103872</v>
      </c>
      <c r="AG628">
        <v>1894681.9110534724</v>
      </c>
    </row>
    <row r="629" spans="2:33" ht="12.75" hidden="1" customHeight="1">
      <c r="B629">
        <f>-0.240497928864808*$F$42</f>
        <v>0</v>
      </c>
      <c r="C629">
        <f>0.229208008512704*$F$43</f>
        <v>0</v>
      </c>
      <c r="D629">
        <f>-0.156117764490914*$F$44</f>
        <v>0</v>
      </c>
      <c r="E629">
        <f>-0.0737652426568358*$F$45</f>
        <v>0</v>
      </c>
      <c r="F629">
        <f>0.218358876544305*$F$46</f>
        <v>0</v>
      </c>
      <c r="G629">
        <f>0.640103735407865*$F$47</f>
        <v>0</v>
      </c>
      <c r="H629">
        <f>0.261414227563551*$F$48</f>
        <v>0</v>
      </c>
      <c r="I629">
        <f>-0.37456081776954*$F$49</f>
        <v>0</v>
      </c>
      <c r="J629">
        <f>0.110981234288417*$F$50</f>
        <v>0</v>
      </c>
      <c r="K629">
        <f>0.138828809330871*$F$51</f>
        <v>0</v>
      </c>
      <c r="L629">
        <f>0.23711048551986*$F$52</f>
        <v>0</v>
      </c>
      <c r="M629">
        <f>-0.0747707964313105*$F$53</f>
        <v>0</v>
      </c>
      <c r="N629">
        <f>0.314033318788112*$F$54</f>
        <v>0</v>
      </c>
      <c r="P629">
        <v>939021.42241659213</v>
      </c>
      <c r="Q629">
        <v>-13093.386250896261</v>
      </c>
      <c r="R629">
        <v>348901.10819938564</v>
      </c>
      <c r="S629">
        <v>718491.05195799563</v>
      </c>
      <c r="T629">
        <v>7.1528512135810126E-7</v>
      </c>
      <c r="U629">
        <v>3.2984321579764382E-11</v>
      </c>
      <c r="V629">
        <v>2.3601252723396163E-9</v>
      </c>
      <c r="W629">
        <v>1.2513070936899597E-7</v>
      </c>
      <c r="X629">
        <v>5.0554906171442085E-6</v>
      </c>
      <c r="Y629">
        <v>1.2521453579523625E-6</v>
      </c>
      <c r="Z629">
        <v>0.71659773398639015</v>
      </c>
      <c r="AA629">
        <v>6.947660442498084E-2</v>
      </c>
      <c r="AB629">
        <v>10.314033318788113</v>
      </c>
      <c r="AD629">
        <v>1.1416162046020091</v>
      </c>
      <c r="AE629">
        <v>0.34504634903957543</v>
      </c>
      <c r="AF629">
        <v>0.89662854011975357</v>
      </c>
      <c r="AG629">
        <v>2507465.1777538746</v>
      </c>
    </row>
    <row r="630" spans="2:33" ht="12.75" hidden="1" customHeight="1">
      <c r="B630">
        <f>-0.115478651433048*$F$42</f>
        <v>0</v>
      </c>
      <c r="C630">
        <f>-0.193155956353938*$F$43</f>
        <v>0</v>
      </c>
      <c r="D630">
        <f>0.221587307417045*$F$44</f>
        <v>0</v>
      </c>
      <c r="E630">
        <f>0.276650519477695*$F$45</f>
        <v>0</v>
      </c>
      <c r="F630">
        <f>-0.192504178853546*$F$46</f>
        <v>0</v>
      </c>
      <c r="G630">
        <f>0.508680845204087*$F$47</f>
        <v>0</v>
      </c>
      <c r="H630">
        <f>-0.155763898632571*$F$48</f>
        <v>0</v>
      </c>
      <c r="I630">
        <f>0.409379858160575*$F$49</f>
        <v>0</v>
      </c>
      <c r="J630">
        <f>0.0270487646462289*$F$50</f>
        <v>0</v>
      </c>
      <c r="K630">
        <f>-0.517879152716264*$F$51</f>
        <v>0</v>
      </c>
      <c r="L630">
        <f>0.354358948827751*$F$52</f>
        <v>0</v>
      </c>
      <c r="M630">
        <f>0.176845462777267*$F$53</f>
        <v>0</v>
      </c>
      <c r="N630">
        <f>-0.0278433718989526*$F$54</f>
        <v>0</v>
      </c>
      <c r="P630">
        <v>951050.29221627966</v>
      </c>
      <c r="Q630">
        <v>-12552.760375866959</v>
      </c>
      <c r="R630">
        <v>362288.27751007181</v>
      </c>
      <c r="S630">
        <v>743855.21024293324</v>
      </c>
      <c r="T630">
        <v>6.8652470748025176E-7</v>
      </c>
      <c r="U630">
        <v>3.2576910620132677E-11</v>
      </c>
      <c r="V630">
        <v>2.2641743033145088E-9</v>
      </c>
      <c r="W630">
        <v>1.3532193815608746E-7</v>
      </c>
      <c r="X630">
        <v>5.0135243823231152E-6</v>
      </c>
      <c r="Y630">
        <v>1.1710419246395413E-6</v>
      </c>
      <c r="Z630">
        <v>0.72480512641794248</v>
      </c>
      <c r="AA630">
        <v>7.1237918239440867E-2</v>
      </c>
      <c r="AB630">
        <v>9.9721566281010467</v>
      </c>
      <c r="AD630">
        <v>1.184809029937989</v>
      </c>
      <c r="AE630">
        <v>0.34968719064383719</v>
      </c>
      <c r="AF630">
        <v>0.86348086350052711</v>
      </c>
      <c r="AG630">
        <v>2612083.3828521324</v>
      </c>
    </row>
    <row r="631" spans="2:33" ht="12.75" hidden="1" customHeight="1">
      <c r="B631">
        <f>0.205389324243154*$F$42</f>
        <v>0</v>
      </c>
      <c r="C631">
        <f>-0.130842691367791*$F$43</f>
        <v>0</v>
      </c>
      <c r="D631">
        <f>0.865200507627062*$F$44</f>
        <v>0</v>
      </c>
      <c r="E631">
        <f>0.427195665895817*$F$45</f>
        <v>0</v>
      </c>
      <c r="F631">
        <f>-0.322097410308435*$F$46</f>
        <v>0</v>
      </c>
      <c r="G631">
        <f>0.0351838545696101*$F$47</f>
        <v>0</v>
      </c>
      <c r="H631">
        <f>0.271328410025057*$F$48</f>
        <v>0</v>
      </c>
      <c r="I631">
        <f>0.166893157304596*$F$49</f>
        <v>0</v>
      </c>
      <c r="J631">
        <f>0.255670650087249*$F$50</f>
        <v>0</v>
      </c>
      <c r="K631">
        <f>-0.203283536789023*$F$51</f>
        <v>0</v>
      </c>
      <c r="L631">
        <f>-0.39669326218819*$F$52</f>
        <v>0</v>
      </c>
      <c r="M631">
        <f>-0.242144388869623*$F$53</f>
        <v>0</v>
      </c>
      <c r="N631">
        <f>-0.536340556040425*$F$54</f>
        <v>0</v>
      </c>
      <c r="P631">
        <v>981922.96386809822</v>
      </c>
      <c r="Q631">
        <v>-12632.521355049228</v>
      </c>
      <c r="R631">
        <v>385100.1472005684</v>
      </c>
      <c r="S631">
        <v>754752.12566568295</v>
      </c>
      <c r="T631">
        <v>6.7745318127840953E-7</v>
      </c>
      <c r="U631">
        <v>3.1109069949165792E-11</v>
      </c>
      <c r="V631">
        <v>2.3624055343057634E-9</v>
      </c>
      <c r="W631">
        <v>1.3216961104495973E-7</v>
      </c>
      <c r="X631">
        <v>5.1278353250436251E-6</v>
      </c>
      <c r="Y631">
        <v>1.2098944832065556E-6</v>
      </c>
      <c r="Z631">
        <v>0.67223147164682662</v>
      </c>
      <c r="AA631">
        <v>6.8304989277912648E-2</v>
      </c>
      <c r="AB631">
        <v>9.4636594439595747</v>
      </c>
      <c r="AD631">
        <v>0.93741121820763929</v>
      </c>
      <c r="AE631">
        <v>0.32950240599364622</v>
      </c>
      <c r="AF631">
        <v>1.0960794504009332</v>
      </c>
      <c r="AG631">
        <v>2460050.9553282969</v>
      </c>
    </row>
    <row r="632" spans="2:33" ht="12.75" hidden="1" customHeight="1">
      <c r="B632">
        <f>0.215455514993692*$F$42</f>
        <v>0</v>
      </c>
      <c r="C632">
        <f>0.583973685411263*$F$43</f>
        <v>0</v>
      </c>
      <c r="D632">
        <f>-0.0371226908832112*$F$44</f>
        <v>0</v>
      </c>
      <c r="E632">
        <f>-0.215071574109953*$F$45</f>
        <v>0</v>
      </c>
      <c r="F632">
        <f>0.157687973958017*$F$46</f>
        <v>0</v>
      </c>
      <c r="G632">
        <f>0.263154183542102*$F$47</f>
        <v>0</v>
      </c>
      <c r="H632">
        <f>-0.384014268343225*$F$48</f>
        <v>0</v>
      </c>
      <c r="I632">
        <f>0.416341290551497*$F$49</f>
        <v>0</v>
      </c>
      <c r="J632">
        <f>-0.257669898893208*$F$50</f>
        <v>0</v>
      </c>
      <c r="K632">
        <f>0.0141943148962513*$F$51</f>
        <v>0</v>
      </c>
      <c r="L632">
        <f>0.0469983571337392*$F$52</f>
        <v>0</v>
      </c>
      <c r="M632">
        <f>0.00234866725300435*$F$53</f>
        <v>0</v>
      </c>
      <c r="N632">
        <f>-0.205989491372354*$F$54</f>
        <v>0</v>
      </c>
      <c r="P632">
        <v>982891.49368529487</v>
      </c>
      <c r="Q632">
        <v>-13547.486317326417</v>
      </c>
      <c r="R632">
        <v>353118.70366210176</v>
      </c>
      <c r="S632">
        <v>708262.87005256885</v>
      </c>
      <c r="T632">
        <v>7.110381581770611E-7</v>
      </c>
      <c r="U632">
        <v>3.1815777968980519E-11</v>
      </c>
      <c r="V632">
        <v>2.2116767182810581E-9</v>
      </c>
      <c r="W632">
        <v>1.3541243677716945E-7</v>
      </c>
      <c r="X632">
        <v>4.8711650505533964E-6</v>
      </c>
      <c r="Y632">
        <v>1.2367529978896872E-6</v>
      </c>
      <c r="Z632">
        <v>0.70328988499936163</v>
      </c>
      <c r="AA632">
        <v>7.0016440670771035E-2</v>
      </c>
      <c r="AB632">
        <v>9.7940105086276468</v>
      </c>
      <c r="AD632">
        <v>0.97479969233431718</v>
      </c>
      <c r="AE632">
        <v>0.3132307959217277</v>
      </c>
      <c r="AF632">
        <v>1.054437813633698</v>
      </c>
      <c r="AG632">
        <v>2357551.6470160801</v>
      </c>
    </row>
    <row r="633" spans="2:33" ht="12.75" hidden="1" customHeight="1">
      <c r="B633">
        <f>-0.221356483827479*$F$42</f>
        <v>0</v>
      </c>
      <c r="C633">
        <f>-0.353594230682528*$F$43</f>
        <v>0</v>
      </c>
      <c r="D633">
        <f>-0.16327473288611*$F$44</f>
        <v>0</v>
      </c>
      <c r="E633">
        <f>-0.22127985288106*$F$45</f>
        <v>0</v>
      </c>
      <c r="F633">
        <f>0.211557206593478*$F$46</f>
        <v>0</v>
      </c>
      <c r="G633">
        <f>-0.99099514741318*$F$47</f>
        <v>0</v>
      </c>
      <c r="H633">
        <f>-0.0251686179972198*$F$48</f>
        <v>0</v>
      </c>
      <c r="I633">
        <f>0.447633847776895*$F$49</f>
        <v>0</v>
      </c>
      <c r="J633">
        <f>-0.378660079532176*$F$50</f>
        <v>0</v>
      </c>
      <c r="K633">
        <f>-0.282928696169504*$F$51</f>
        <v>0</v>
      </c>
      <c r="L633">
        <f>0.376396028037439*$F$52</f>
        <v>0</v>
      </c>
      <c r="M633">
        <f>-0.172378059774955*$F$53</f>
        <v>0</v>
      </c>
      <c r="N633">
        <f>-0.54105462125212*$F$54</f>
        <v>0</v>
      </c>
      <c r="P633">
        <v>940863.13798927714</v>
      </c>
      <c r="Q633">
        <v>-12347.399384726365</v>
      </c>
      <c r="R633">
        <v>348647.44057672512</v>
      </c>
      <c r="S633">
        <v>707813.49595915433</v>
      </c>
      <c r="T633">
        <v>7.1480900446154346E-7</v>
      </c>
      <c r="U633">
        <v>2.7927915043019142E-11</v>
      </c>
      <c r="V633">
        <v>2.2942112178606393E-9</v>
      </c>
      <c r="W633">
        <v>1.3581924002109965E-7</v>
      </c>
      <c r="X633">
        <v>4.8106699602339122E-6</v>
      </c>
      <c r="Y633">
        <v>1.2000583060230663E-6</v>
      </c>
      <c r="Z633">
        <v>0.72634772196262065</v>
      </c>
      <c r="AA633">
        <v>6.8793353581575317E-2</v>
      </c>
      <c r="AB633">
        <v>9.458945378747881</v>
      </c>
      <c r="AD633">
        <v>1.1083557907630626</v>
      </c>
      <c r="AE633">
        <v>0.32805851630333988</v>
      </c>
      <c r="AF633">
        <v>0.92521038100555375</v>
      </c>
      <c r="AG633">
        <v>2411879.1328459028</v>
      </c>
    </row>
    <row r="634" spans="2:33" ht="12.75" hidden="1" customHeight="1">
      <c r="B634">
        <f>0.137951095667018*$F$42</f>
        <v>0</v>
      </c>
      <c r="C634">
        <f>-0.0269076408574598*$F$43</f>
        <v>0</v>
      </c>
      <c r="D634">
        <f>0.159242873358998*$F$44</f>
        <v>0</v>
      </c>
      <c r="E634">
        <f>-0.282217271798423*$F$45</f>
        <v>0</v>
      </c>
      <c r="F634">
        <f>-0.0300600868225276*$F$46</f>
        <v>0</v>
      </c>
      <c r="G634">
        <f>0.404648732725824*$F$47</f>
        <v>0</v>
      </c>
      <c r="H634">
        <f>-0.308959499237553*$F$48</f>
        <v>0</v>
      </c>
      <c r="I634">
        <f>0.358894708167225*$F$49</f>
        <v>0</v>
      </c>
      <c r="J634">
        <f>0.0639703878373369*$F$50</f>
        <v>0</v>
      </c>
      <c r="K634">
        <f>-0.575562002009889*$F$51</f>
        <v>0</v>
      </c>
      <c r="L634">
        <f>0.294267523332418*$F$52</f>
        <v>0</v>
      </c>
      <c r="M634">
        <f>-0.328948150767828*$F$53</f>
        <v>0</v>
      </c>
      <c r="N634">
        <f>0.165579303359953*$F$54</f>
        <v>0</v>
      </c>
      <c r="P634">
        <v>975434.31917482917</v>
      </c>
      <c r="Q634">
        <v>-12765.558219702452</v>
      </c>
      <c r="R634">
        <v>360078.575929688</v>
      </c>
      <c r="S634">
        <v>703402.66030073399</v>
      </c>
      <c r="T634">
        <v>6.9789579392242302E-7</v>
      </c>
      <c r="U634">
        <v>3.2254411071450057E-11</v>
      </c>
      <c r="V634">
        <v>2.2289393151753626E-9</v>
      </c>
      <c r="W634">
        <v>1.3466563120617394E-7</v>
      </c>
      <c r="X634">
        <v>5.0319851939186693E-6</v>
      </c>
      <c r="Y634">
        <v>1.1639180927517788E-6</v>
      </c>
      <c r="Z634">
        <v>0.72059872663326929</v>
      </c>
      <c r="AA634">
        <v>6.7697362944625208E-2</v>
      </c>
      <c r="AB634">
        <v>10.165579303359953</v>
      </c>
      <c r="AD634">
        <v>1.001099153787401</v>
      </c>
      <c r="AE634">
        <v>0.30252029040445733</v>
      </c>
      <c r="AF634">
        <v>1.0264089455083212</v>
      </c>
      <c r="AG634">
        <v>2247069.4232968045</v>
      </c>
    </row>
    <row r="635" spans="2:33" ht="12.75" hidden="1" customHeight="1">
      <c r="B635">
        <f>0.650913807199545*$F$42</f>
        <v>0</v>
      </c>
      <c r="C635">
        <f>-0.0843777457651634*$F$43</f>
        <v>0</v>
      </c>
      <c r="D635">
        <f>0.329074520207788*$F$44</f>
        <v>0</v>
      </c>
      <c r="E635">
        <f>-0.19378226890638*$F$45</f>
        <v>0</v>
      </c>
      <c r="F635">
        <f>0.0530682297706819*$F$46</f>
        <v>0</v>
      </c>
      <c r="G635">
        <f>0.132670338277264*$F$47</f>
        <v>0</v>
      </c>
      <c r="H635">
        <f>0.534039343894196*$F$48</f>
        <v>0</v>
      </c>
      <c r="I635">
        <f>0.214586553176852*$F$49</f>
        <v>0</v>
      </c>
      <c r="J635">
        <f>-0.52278956313531*$F$50</f>
        <v>0</v>
      </c>
      <c r="K635">
        <f>0.310115898332812*$F$51</f>
        <v>0</v>
      </c>
      <c r="L635">
        <f>-0.949302217563925*$F$52</f>
        <v>0</v>
      </c>
      <c r="M635">
        <f>0.00163712142126687*$F$53</f>
        <v>0</v>
      </c>
      <c r="N635">
        <f>-0.316616338809894*$F$54</f>
        <v>0</v>
      </c>
      <c r="P635">
        <v>1024789.6009831682</v>
      </c>
      <c r="Q635">
        <v>-12691.996485420592</v>
      </c>
      <c r="R635">
        <v>366097.99472963315</v>
      </c>
      <c r="S635">
        <v>709803.85469227377</v>
      </c>
      <c r="T635">
        <v>7.0371477608394759E-7</v>
      </c>
      <c r="U635">
        <v>3.1411278048659519E-11</v>
      </c>
      <c r="V635">
        <v>2.4228290490956651E-9</v>
      </c>
      <c r="W635">
        <v>1.3278962519129909E-7</v>
      </c>
      <c r="X635">
        <v>4.7386052184323459E-6</v>
      </c>
      <c r="Y635">
        <v>1.2732993134441024E-6</v>
      </c>
      <c r="Z635">
        <v>0.6335488447705252</v>
      </c>
      <c r="AA635">
        <v>7.0011459849948873E-2</v>
      </c>
      <c r="AB635">
        <v>9.6833836611901063</v>
      </c>
      <c r="AD635">
        <v>0.74459610445232693</v>
      </c>
      <c r="AE635">
        <v>0.2941429877863499</v>
      </c>
      <c r="AF635">
        <v>1.3857963341975217</v>
      </c>
      <c r="AG635">
        <v>2195890.5744954948</v>
      </c>
    </row>
    <row r="636" spans="2:33" ht="12.75" hidden="1" customHeight="1">
      <c r="B636">
        <f>0.280279073803738*$F$42</f>
        <v>0</v>
      </c>
      <c r="C636">
        <f>0.413727508587589*$F$43</f>
        <v>0</v>
      </c>
      <c r="D636">
        <f>-0.117313113118126*$F$44</f>
        <v>0</v>
      </c>
      <c r="E636">
        <f>0.575900514812656*$F$45</f>
        <v>0</v>
      </c>
      <c r="F636">
        <f>-0.289257949782609*$F$46</f>
        <v>0</v>
      </c>
      <c r="G636">
        <f>0.241999903326312*$F$47</f>
        <v>0</v>
      </c>
      <c r="H636">
        <f>0.193496700554438*$F$48</f>
        <v>0</v>
      </c>
      <c r="I636">
        <f>0.281342403474363*$F$49</f>
        <v>0</v>
      </c>
      <c r="J636">
        <f>-0.737361625044453*$F$50</f>
        <v>0</v>
      </c>
      <c r="K636">
        <f>0.980162789881384*$F$51</f>
        <v>0</v>
      </c>
      <c r="L636">
        <f>0.25472479146089*$F$52</f>
        <v>0</v>
      </c>
      <c r="M636">
        <f>0.172978055224601*$F$53</f>
        <v>0</v>
      </c>
      <c r="N636">
        <f>0.0593612690270417*$F$54</f>
        <v>0</v>
      </c>
      <c r="P636">
        <v>989128.56499858922</v>
      </c>
      <c r="Q636">
        <v>-13329.571210992113</v>
      </c>
      <c r="R636">
        <v>350276.47876389913</v>
      </c>
      <c r="S636">
        <v>765515.83475995704</v>
      </c>
      <c r="T636">
        <v>6.7975194351521741E-7</v>
      </c>
      <c r="U636">
        <v>3.1750199700311565E-11</v>
      </c>
      <c r="V636">
        <v>2.344504241127521E-9</v>
      </c>
      <c r="W636">
        <v>1.3365745124516671E-7</v>
      </c>
      <c r="X636">
        <v>4.6313191874777743E-6</v>
      </c>
      <c r="Y636">
        <v>1.3560501045503511E-6</v>
      </c>
      <c r="Z636">
        <v>0.71783073540226228</v>
      </c>
      <c r="AA636">
        <v>7.1210846386572213E-2</v>
      </c>
      <c r="AB636">
        <v>10.05936126902704</v>
      </c>
      <c r="AD636">
        <v>1.2295176960335881</v>
      </c>
      <c r="AE636">
        <v>0.36812048692942934</v>
      </c>
      <c r="AF636">
        <v>0.83090996555954766</v>
      </c>
      <c r="AG636">
        <v>2846878.8094544634</v>
      </c>
    </row>
    <row r="637" spans="2:33" ht="12.75" hidden="1" customHeight="1">
      <c r="B637">
        <f>-0.0669778186601529*$F$42</f>
        <v>0</v>
      </c>
      <c r="C637">
        <f>-0.352332159617779*$F$43</f>
        <v>0</v>
      </c>
      <c r="D637">
        <f>0.3834438107928*$F$44</f>
        <v>0</v>
      </c>
      <c r="E637">
        <f>0.670919912615479*$F$45</f>
        <v>0</v>
      </c>
      <c r="F637">
        <f>0.0640246067563011*$F$46</f>
        <v>0</v>
      </c>
      <c r="G637">
        <f>-0.425859626249056*$F$47</f>
        <v>0</v>
      </c>
      <c r="H637">
        <f>0.291185509150419*$F$48</f>
        <v>0</v>
      </c>
      <c r="I637">
        <f>0.474511268067574*$F$49</f>
        <v>0</v>
      </c>
      <c r="J637">
        <f>-0.7546943925459*$F$50</f>
        <v>0</v>
      </c>
      <c r="K637">
        <f>-0.393569694603501*$F$51</f>
        <v>0</v>
      </c>
      <c r="L637">
        <f>-0.098534912444915*$F$52</f>
        <v>0</v>
      </c>
      <c r="M637">
        <f>0.329899143616101*$F$53</f>
        <v>0</v>
      </c>
      <c r="N637">
        <f>0.216532326795616*$F$54</f>
        <v>0</v>
      </c>
      <c r="P637">
        <v>955716.85416245635</v>
      </c>
      <c r="Q637">
        <v>-12349.014835689244</v>
      </c>
      <c r="R637">
        <v>368025.02974318684</v>
      </c>
      <c r="S637">
        <v>772393.62767466344</v>
      </c>
      <c r="T637">
        <v>7.0448172247294102E-7</v>
      </c>
      <c r="U637">
        <v>2.9679835158627925E-11</v>
      </c>
      <c r="V637">
        <v>2.3669726671045964E-9</v>
      </c>
      <c r="W637">
        <v>1.3616864648487847E-7</v>
      </c>
      <c r="X637">
        <v>4.6226528037270505E-6</v>
      </c>
      <c r="Y637">
        <v>1.1863941427164678E-6</v>
      </c>
      <c r="Z637">
        <v>0.69310255612885585</v>
      </c>
      <c r="AA637">
        <v>7.2309294005312719E-2</v>
      </c>
      <c r="AB637">
        <v>10.216532326795615</v>
      </c>
      <c r="AD637">
        <v>1.1546310427154038</v>
      </c>
      <c r="AE637">
        <v>0.37444272418909907</v>
      </c>
      <c r="AF637">
        <v>0.88578771739574058</v>
      </c>
      <c r="AG637">
        <v>2771743.8008000343</v>
      </c>
    </row>
    <row r="638" spans="2:33" ht="12.75" hidden="1" customHeight="1">
      <c r="B638">
        <f>-0.561904513469031*$F$42</f>
        <v>0</v>
      </c>
      <c r="C638">
        <f>-0.199413031194*$F$43</f>
        <v>0</v>
      </c>
      <c r="D638">
        <f>-0.246705302776188*$F$44</f>
        <v>0</v>
      </c>
      <c r="E638">
        <f>-0.0754459113195013*$F$45</f>
        <v>0</v>
      </c>
      <c r="F638">
        <f>-0.0392537325612592*$F$46</f>
        <v>0</v>
      </c>
      <c r="G638">
        <f>-0.30029613382423*$F$47</f>
        <v>0</v>
      </c>
      <c r="H638">
        <f>0.162117133947347*$F$48</f>
        <v>0</v>
      </c>
      <c r="I638">
        <f>0.206902412401582*$F$49</f>
        <v>0</v>
      </c>
      <c r="J638">
        <f>0.0290704427975188*$F$50</f>
        <v>0</v>
      </c>
      <c r="K638">
        <f>-0.379492225100642*$F$51</f>
        <v>0</v>
      </c>
      <c r="L638">
        <f>-0.0107207145718967*$F$52</f>
        <v>0</v>
      </c>
      <c r="M638">
        <f>0.236590171976689*$F$53</f>
        <v>0</v>
      </c>
      <c r="N638">
        <f>0.490699902284135*$F$54</f>
        <v>0</v>
      </c>
      <c r="P638">
        <v>908096.92790352204</v>
      </c>
      <c r="Q638">
        <v>-12544.75132007168</v>
      </c>
      <c r="R638">
        <v>345690.37368015538</v>
      </c>
      <c r="S638">
        <v>718369.40005020262</v>
      </c>
      <c r="T638">
        <v>6.9725223872071179E-7</v>
      </c>
      <c r="U638">
        <v>3.0069081985144889E-11</v>
      </c>
      <c r="V638">
        <v>2.3372869408078894E-9</v>
      </c>
      <c r="W638">
        <v>1.3268973136122057E-7</v>
      </c>
      <c r="X638">
        <v>5.01453522139876E-6</v>
      </c>
      <c r="Y638">
        <v>1.1881327102000708E-6</v>
      </c>
      <c r="Z638">
        <v>0.69924954997996713</v>
      </c>
      <c r="AA638">
        <v>7.1656131203836834E-2</v>
      </c>
      <c r="AB638">
        <v>10.490699902284135</v>
      </c>
      <c r="AD638">
        <v>1.1417563235308879</v>
      </c>
      <c r="AE638">
        <v>0.36378215301178607</v>
      </c>
      <c r="AF638">
        <v>0.89610005485502453</v>
      </c>
      <c r="AG638">
        <v>2552817.0506276535</v>
      </c>
    </row>
    <row r="639" spans="2:33" ht="12.75" hidden="1" customHeight="1">
      <c r="K639" s="321"/>
    </row>
    <row r="640" spans="2:33" ht="12.75" hidden="1" customHeight="1"/>
    <row r="641" spans="2:15" ht="12.75" hidden="1" customHeight="1"/>
    <row r="642" spans="2:15" ht="12.75" hidden="1" customHeight="1">
      <c r="B642" t="s">
        <v>1815</v>
      </c>
      <c r="E642" t="s">
        <v>4953</v>
      </c>
      <c r="H642" t="s">
        <v>5405</v>
      </c>
      <c r="K642" t="s">
        <v>3670</v>
      </c>
    </row>
    <row r="643" spans="2:15" ht="12.75" hidden="1" customHeight="1">
      <c r="B643" t="s">
        <v>4059</v>
      </c>
      <c r="C643" t="s">
        <v>1159</v>
      </c>
      <c r="D643" t="s">
        <v>2025</v>
      </c>
      <c r="E643" t="s">
        <v>4059</v>
      </c>
      <c r="F643" t="s">
        <v>1159</v>
      </c>
      <c r="G643" t="s">
        <v>2025</v>
      </c>
      <c r="H643" t="s">
        <v>4059</v>
      </c>
      <c r="I643" t="s">
        <v>1159</v>
      </c>
      <c r="J643" t="s">
        <v>2025</v>
      </c>
      <c r="K643" t="s">
        <v>4059</v>
      </c>
      <c r="L643" t="s">
        <v>1159</v>
      </c>
      <c r="M643" t="s">
        <v>2025</v>
      </c>
      <c r="N643" t="s">
        <v>1159</v>
      </c>
      <c r="O643" t="s">
        <v>2025</v>
      </c>
    </row>
    <row r="644" spans="2:15" ht="12.75" hidden="1" customHeight="1">
      <c r="B644" s="221">
        <f>AD134</f>
        <v>0.74459510445232691</v>
      </c>
      <c r="C644" s="231">
        <f t="array" ref="C644:C664">FREQUENCY($AD$139:$AD$638,$B$644:$B$664)/500</f>
        <v>0</v>
      </c>
      <c r="D644" s="221"/>
      <c r="E644" s="230">
        <f>AF134</f>
        <v>0</v>
      </c>
      <c r="F644" s="231">
        <f t="array" ref="F644:F664">FREQUENCY($AF$139:$AF$638,$E$644:$E$664)/500</f>
        <v>0</v>
      </c>
      <c r="G644" s="230"/>
      <c r="H644" s="204">
        <f>AG134</f>
        <v>1889732.7305447648</v>
      </c>
      <c r="I644" s="231">
        <f t="array" ref="I644:I664">FREQUENCY($AG$139:$AG$638,$H$644:$H$664)/500</f>
        <v>0</v>
      </c>
      <c r="J644" s="204"/>
      <c r="K644" s="221">
        <f>AE134</f>
        <v>0.25995974736196065</v>
      </c>
      <c r="L644" s="231">
        <f t="array" ref="L644:L664">FREQUENCY($AE$139:$AE$638,$K$644:$K$664)/500</f>
        <v>0</v>
      </c>
      <c r="N644" s="231">
        <f>IF($K$39=1,C644,IF($K$39=2,L644,IF($K$39=3,F644,I644)))</f>
        <v>0</v>
      </c>
      <c r="O644">
        <f>IF($K$39=1,D644,IF($K$39=2,M644,IF($K$39=3,G644,J644)))</f>
        <v>0</v>
      </c>
    </row>
    <row r="645" spans="2:15" ht="12.75" hidden="1" customHeight="1">
      <c r="B645" s="221">
        <f t="shared" ref="B645:B664" si="12">B644+$AD$136</f>
        <v>0.78547341324913544</v>
      </c>
      <c r="C645" s="231">
        <v>0.01</v>
      </c>
      <c r="D645" s="221">
        <f>(B645+B644)/2</f>
        <v>0.76503425885073117</v>
      </c>
      <c r="E645" s="230">
        <f t="shared" ref="E645:E664" si="13">E644+$AF$136</f>
        <v>6.9348163309659594E-2</v>
      </c>
      <c r="F645" s="231">
        <v>0</v>
      </c>
      <c r="G645" s="230">
        <f>(E645+E644)/2</f>
        <v>3.4674081654829797E-2</v>
      </c>
      <c r="H645" s="204">
        <f t="shared" ref="H645:H664" si="14">H644+$AG$136</f>
        <v>1950291.0022368007</v>
      </c>
      <c r="I645" s="231">
        <v>0.01</v>
      </c>
      <c r="J645" s="204">
        <f>(H645+H644)/2</f>
        <v>1920011.8663907829</v>
      </c>
      <c r="K645" s="221">
        <f t="shared" ref="K645:K664" si="15">K644+$AE$136</f>
        <v>0.2678542747952245</v>
      </c>
      <c r="L645" s="231">
        <v>4.0000000000000001E-3</v>
      </c>
      <c r="M645" s="221">
        <f>(K645+K644)/2</f>
        <v>0.2639070110785926</v>
      </c>
      <c r="N645" s="231">
        <f t="shared" ref="N645:N664" si="16">IF($K$39=1,C645,IF($K$39=2,L645,IF($K$39=3,F645,I645)))</f>
        <v>0.01</v>
      </c>
      <c r="O645" s="934">
        <f t="shared" ref="O645:O664" si="17">IF($K$39=1,D645,IF($K$39=2,M645,IF($K$39=3,G645,J645)))</f>
        <v>0.76503425885073117</v>
      </c>
    </row>
    <row r="646" spans="2:15" ht="12.75" hidden="1" customHeight="1">
      <c r="B646" s="221">
        <f t="shared" si="12"/>
        <v>0.82635172204594398</v>
      </c>
      <c r="C646" s="231">
        <v>8.0000000000000002E-3</v>
      </c>
      <c r="D646" s="221">
        <f t="shared" ref="D646:D664" si="18">(B646+B645)/2</f>
        <v>0.80591256764753971</v>
      </c>
      <c r="E646" s="230">
        <f t="shared" si="13"/>
        <v>0.13869632661931919</v>
      </c>
      <c r="F646" s="231">
        <v>0</v>
      </c>
      <c r="G646" s="230">
        <f t="shared" ref="G646:G664" si="19">(E646+E645)/2</f>
        <v>0.10402224496448939</v>
      </c>
      <c r="H646" s="204">
        <f t="shared" si="14"/>
        <v>2010849.2739288367</v>
      </c>
      <c r="I646" s="231">
        <v>6.0000000000000001E-3</v>
      </c>
      <c r="J646" s="204">
        <f t="shared" ref="J646:J664" si="20">(H646+H645)/2</f>
        <v>1980570.1380828186</v>
      </c>
      <c r="K646" s="221">
        <f t="shared" si="15"/>
        <v>0.27574880222848835</v>
      </c>
      <c r="L646" s="231">
        <v>6.0000000000000001E-3</v>
      </c>
      <c r="M646" s="221">
        <f t="shared" ref="M646:M664" si="21">(K646+K645)/2</f>
        <v>0.2718015385118564</v>
      </c>
      <c r="N646" s="231">
        <f t="shared" si="16"/>
        <v>8.0000000000000002E-3</v>
      </c>
      <c r="O646" s="934">
        <f t="shared" si="17"/>
        <v>0.80591256764753971</v>
      </c>
    </row>
    <row r="647" spans="2:15" ht="12.75" hidden="1" customHeight="1">
      <c r="B647" s="221">
        <f t="shared" si="12"/>
        <v>0.86723003084275252</v>
      </c>
      <c r="C647" s="231">
        <v>5.6000000000000001E-2</v>
      </c>
      <c r="D647" s="221">
        <f t="shared" si="18"/>
        <v>0.84679087644434825</v>
      </c>
      <c r="E647" s="230">
        <f t="shared" si="13"/>
        <v>0.20804448992897878</v>
      </c>
      <c r="F647" s="231">
        <v>0</v>
      </c>
      <c r="G647" s="230">
        <f t="shared" si="19"/>
        <v>0.17337040827414898</v>
      </c>
      <c r="H647" s="204">
        <f t="shared" si="14"/>
        <v>2071407.5456208726</v>
      </c>
      <c r="I647" s="231">
        <v>1.4E-2</v>
      </c>
      <c r="J647" s="204">
        <f t="shared" si="20"/>
        <v>2041128.4097748548</v>
      </c>
      <c r="K647" s="221">
        <f t="shared" si="15"/>
        <v>0.28364332966175221</v>
      </c>
      <c r="L647" s="231">
        <v>1.6E-2</v>
      </c>
      <c r="M647" s="221">
        <f t="shared" si="21"/>
        <v>0.27969606594512031</v>
      </c>
      <c r="N647" s="231">
        <f t="shared" si="16"/>
        <v>5.6000000000000001E-2</v>
      </c>
      <c r="O647" s="934">
        <f t="shared" si="17"/>
        <v>0.84679087644434825</v>
      </c>
    </row>
    <row r="648" spans="2:15" ht="12.75" hidden="1" customHeight="1">
      <c r="B648" s="221">
        <f t="shared" si="12"/>
        <v>0.90810833963956106</v>
      </c>
      <c r="C648" s="231">
        <v>6.6000000000000003E-2</v>
      </c>
      <c r="D648" s="221">
        <f t="shared" si="18"/>
        <v>0.88766918524115679</v>
      </c>
      <c r="E648" s="230">
        <f t="shared" si="13"/>
        <v>0.27739265323863838</v>
      </c>
      <c r="F648" s="231">
        <v>0</v>
      </c>
      <c r="G648" s="230">
        <f t="shared" si="19"/>
        <v>0.24271857158380858</v>
      </c>
      <c r="H648" s="204">
        <f t="shared" si="14"/>
        <v>2131965.8173129084</v>
      </c>
      <c r="I648" s="231">
        <v>3.4000000000000002E-2</v>
      </c>
      <c r="J648" s="204">
        <f t="shared" si="20"/>
        <v>2101686.6814668905</v>
      </c>
      <c r="K648" s="221">
        <f t="shared" si="15"/>
        <v>0.29153785709501606</v>
      </c>
      <c r="L648" s="231">
        <v>0.04</v>
      </c>
      <c r="M648" s="221">
        <f t="shared" si="21"/>
        <v>0.28759059337838411</v>
      </c>
      <c r="N648" s="231">
        <f t="shared" si="16"/>
        <v>6.6000000000000003E-2</v>
      </c>
      <c r="O648" s="934">
        <f t="shared" si="17"/>
        <v>0.88766918524115679</v>
      </c>
    </row>
    <row r="649" spans="2:15" ht="12.75" hidden="1" customHeight="1">
      <c r="B649" s="221">
        <f t="shared" si="12"/>
        <v>0.9489866484363696</v>
      </c>
      <c r="C649" s="231">
        <v>6.6000000000000003E-2</v>
      </c>
      <c r="D649" s="221">
        <f t="shared" si="18"/>
        <v>0.92854749403796533</v>
      </c>
      <c r="E649" s="230">
        <f t="shared" si="13"/>
        <v>0.34674081654829797</v>
      </c>
      <c r="F649" s="231">
        <v>0</v>
      </c>
      <c r="G649" s="230">
        <f t="shared" si="19"/>
        <v>0.31206673489346815</v>
      </c>
      <c r="H649" s="204">
        <f t="shared" si="14"/>
        <v>2192524.0890049441</v>
      </c>
      <c r="I649" s="231">
        <v>0.05</v>
      </c>
      <c r="J649" s="204">
        <f t="shared" si="20"/>
        <v>2162244.9531589262</v>
      </c>
      <c r="K649" s="221">
        <f t="shared" si="15"/>
        <v>0.29943238452827992</v>
      </c>
      <c r="L649" s="231">
        <v>5.1999999999999998E-2</v>
      </c>
      <c r="M649" s="221">
        <f t="shared" si="21"/>
        <v>0.29548512081164802</v>
      </c>
      <c r="N649" s="231">
        <f t="shared" si="16"/>
        <v>6.6000000000000003E-2</v>
      </c>
      <c r="O649" s="934">
        <f t="shared" si="17"/>
        <v>0.92854749403796533</v>
      </c>
    </row>
    <row r="650" spans="2:15" ht="12.75" hidden="1" customHeight="1">
      <c r="B650" s="221">
        <f t="shared" si="12"/>
        <v>0.98986495723317813</v>
      </c>
      <c r="C650" s="231">
        <v>0.122</v>
      </c>
      <c r="D650" s="221">
        <f t="shared" si="18"/>
        <v>0.96942580283477386</v>
      </c>
      <c r="E650" s="230">
        <f t="shared" si="13"/>
        <v>0.41608897985795756</v>
      </c>
      <c r="F650" s="231">
        <v>0</v>
      </c>
      <c r="G650" s="230">
        <f t="shared" si="19"/>
        <v>0.38141489820312779</v>
      </c>
      <c r="H650" s="204">
        <f t="shared" si="14"/>
        <v>2253082.3606969798</v>
      </c>
      <c r="I650" s="231">
        <v>5.6000000000000001E-2</v>
      </c>
      <c r="J650" s="204">
        <f t="shared" si="20"/>
        <v>2222803.2248509619</v>
      </c>
      <c r="K650" s="221">
        <f t="shared" si="15"/>
        <v>0.30732691196154377</v>
      </c>
      <c r="L650" s="231">
        <v>7.5999999999999998E-2</v>
      </c>
      <c r="M650" s="221">
        <f t="shared" si="21"/>
        <v>0.30337964824491181</v>
      </c>
      <c r="N650" s="231">
        <f t="shared" si="16"/>
        <v>0.122</v>
      </c>
      <c r="O650" s="934">
        <f t="shared" si="17"/>
        <v>0.96942580283477386</v>
      </c>
    </row>
    <row r="651" spans="2:15" ht="12.75" hidden="1" customHeight="1">
      <c r="B651" s="221">
        <f t="shared" si="12"/>
        <v>1.0307432660299867</v>
      </c>
      <c r="C651" s="231">
        <v>0.11799999999999999</v>
      </c>
      <c r="D651" s="221">
        <f t="shared" si="18"/>
        <v>1.0103041116315823</v>
      </c>
      <c r="E651" s="230">
        <f t="shared" si="13"/>
        <v>0.48543714316761716</v>
      </c>
      <c r="F651" s="231">
        <v>0</v>
      </c>
      <c r="G651" s="230">
        <f t="shared" si="19"/>
        <v>0.45076306151278733</v>
      </c>
      <c r="H651" s="204">
        <f t="shared" si="14"/>
        <v>2313640.6323890155</v>
      </c>
      <c r="I651" s="231">
        <v>6.4000000000000001E-2</v>
      </c>
      <c r="J651" s="204">
        <f t="shared" si="20"/>
        <v>2283361.4965429977</v>
      </c>
      <c r="K651" s="221">
        <f t="shared" si="15"/>
        <v>0.31522143939480762</v>
      </c>
      <c r="L651" s="231">
        <v>6.8000000000000005E-2</v>
      </c>
      <c r="M651" s="221">
        <f t="shared" si="21"/>
        <v>0.31127417567817572</v>
      </c>
      <c r="N651" s="231">
        <f t="shared" si="16"/>
        <v>0.11799999999999999</v>
      </c>
      <c r="O651" s="934">
        <f t="shared" si="17"/>
        <v>1.0103041116315823</v>
      </c>
    </row>
    <row r="652" spans="2:15" ht="12.75" hidden="1" customHeight="1">
      <c r="B652" s="221">
        <f t="shared" si="12"/>
        <v>1.0716215748267952</v>
      </c>
      <c r="C652" s="231">
        <v>0.126</v>
      </c>
      <c r="D652" s="221">
        <f t="shared" si="18"/>
        <v>1.0511824204283911</v>
      </c>
      <c r="E652" s="230">
        <f t="shared" si="13"/>
        <v>0.55478530647727675</v>
      </c>
      <c r="F652" s="231">
        <v>0</v>
      </c>
      <c r="G652" s="230">
        <f t="shared" si="19"/>
        <v>0.52011122482244698</v>
      </c>
      <c r="H652" s="204">
        <f t="shared" si="14"/>
        <v>2374198.9040810512</v>
      </c>
      <c r="I652" s="231">
        <v>0.11</v>
      </c>
      <c r="J652" s="204">
        <f t="shared" si="20"/>
        <v>2343919.7682350334</v>
      </c>
      <c r="K652" s="221">
        <f t="shared" si="15"/>
        <v>0.32311596682807148</v>
      </c>
      <c r="L652" s="231">
        <v>0.10199999999999999</v>
      </c>
      <c r="M652" s="221">
        <f t="shared" si="21"/>
        <v>0.31916870311143952</v>
      </c>
      <c r="N652" s="231">
        <f t="shared" si="16"/>
        <v>0.126</v>
      </c>
      <c r="O652" s="934">
        <f t="shared" si="17"/>
        <v>1.0511824204283911</v>
      </c>
    </row>
    <row r="653" spans="2:15" ht="12.75" hidden="1" customHeight="1">
      <c r="B653" s="221">
        <f t="shared" si="12"/>
        <v>1.1124998836236037</v>
      </c>
      <c r="C653" s="231">
        <v>0.126</v>
      </c>
      <c r="D653" s="221">
        <f t="shared" si="18"/>
        <v>1.0920607292251994</v>
      </c>
      <c r="E653" s="230">
        <f t="shared" si="13"/>
        <v>0.62413346978693629</v>
      </c>
      <c r="F653" s="231">
        <v>0</v>
      </c>
      <c r="G653" s="230">
        <f t="shared" si="19"/>
        <v>0.58945938813210652</v>
      </c>
      <c r="H653" s="204">
        <f t="shared" si="14"/>
        <v>2434757.175773087</v>
      </c>
      <c r="I653" s="231">
        <v>0.1</v>
      </c>
      <c r="J653" s="204">
        <f t="shared" si="20"/>
        <v>2404478.0399270691</v>
      </c>
      <c r="K653" s="221">
        <f t="shared" si="15"/>
        <v>0.33101049426133533</v>
      </c>
      <c r="L653" s="231">
        <v>0.104</v>
      </c>
      <c r="M653" s="221">
        <f t="shared" si="21"/>
        <v>0.32706323054470343</v>
      </c>
      <c r="N653" s="231">
        <f t="shared" si="16"/>
        <v>0.126</v>
      </c>
      <c r="O653" s="934">
        <f t="shared" si="17"/>
        <v>1.0920607292251994</v>
      </c>
    </row>
    <row r="654" spans="2:15" ht="12.75" hidden="1" customHeight="1">
      <c r="B654" s="221">
        <f t="shared" si="12"/>
        <v>1.1533781924204123</v>
      </c>
      <c r="C654" s="231">
        <v>0.10199999999999999</v>
      </c>
      <c r="D654" s="221">
        <f t="shared" si="18"/>
        <v>1.1329390380220081</v>
      </c>
      <c r="E654" s="230">
        <f t="shared" si="13"/>
        <v>0.69348163309659583</v>
      </c>
      <c r="F654" s="231">
        <v>6.0000000000000001E-3</v>
      </c>
      <c r="G654" s="230">
        <f t="shared" si="19"/>
        <v>0.65880755144176606</v>
      </c>
      <c r="H654" s="204">
        <f t="shared" si="14"/>
        <v>2495315.4474651227</v>
      </c>
      <c r="I654" s="231">
        <v>8.5999999999999993E-2</v>
      </c>
      <c r="J654" s="204">
        <f t="shared" si="20"/>
        <v>2465036.3116191048</v>
      </c>
      <c r="K654" s="221">
        <f t="shared" si="15"/>
        <v>0.33890502169459918</v>
      </c>
      <c r="L654" s="231">
        <v>0.10199999999999999</v>
      </c>
      <c r="M654" s="221">
        <f t="shared" si="21"/>
        <v>0.33495775797796723</v>
      </c>
      <c r="N654" s="231">
        <f t="shared" si="16"/>
        <v>0.10199999999999999</v>
      </c>
      <c r="O654" s="934">
        <f t="shared" si="17"/>
        <v>1.1329390380220081</v>
      </c>
    </row>
    <row r="655" spans="2:15" ht="12.75" hidden="1" customHeight="1">
      <c r="B655" s="221">
        <f t="shared" si="12"/>
        <v>1.1942565012172208</v>
      </c>
      <c r="C655" s="231">
        <v>7.5999999999999998E-2</v>
      </c>
      <c r="D655" s="221">
        <f t="shared" si="18"/>
        <v>1.1738173468188164</v>
      </c>
      <c r="E655" s="230">
        <f t="shared" si="13"/>
        <v>0.76282979640625537</v>
      </c>
      <c r="F655" s="231">
        <v>1.2E-2</v>
      </c>
      <c r="G655" s="230">
        <f t="shared" si="19"/>
        <v>0.7281557147514256</v>
      </c>
      <c r="H655" s="204">
        <f t="shared" si="14"/>
        <v>2555873.7191571584</v>
      </c>
      <c r="I655" s="231">
        <v>0.104</v>
      </c>
      <c r="J655" s="204">
        <f t="shared" si="20"/>
        <v>2525594.5833111405</v>
      </c>
      <c r="K655" s="221">
        <f t="shared" si="15"/>
        <v>0.34679954912786304</v>
      </c>
      <c r="L655" s="231">
        <v>7.3999999999999996E-2</v>
      </c>
      <c r="M655" s="221">
        <f t="shared" si="21"/>
        <v>0.34285228541123114</v>
      </c>
      <c r="N655" s="231">
        <f t="shared" si="16"/>
        <v>7.5999999999999998E-2</v>
      </c>
      <c r="O655" s="934">
        <f t="shared" si="17"/>
        <v>1.1738173468188164</v>
      </c>
    </row>
    <row r="656" spans="2:15" ht="12.75" hidden="1" customHeight="1">
      <c r="B656" s="221">
        <f t="shared" si="12"/>
        <v>1.2351348100140294</v>
      </c>
      <c r="C656" s="231">
        <v>4.8000000000000001E-2</v>
      </c>
      <c r="D656" s="221">
        <f t="shared" si="18"/>
        <v>1.2146956556156252</v>
      </c>
      <c r="E656" s="230">
        <f t="shared" si="13"/>
        <v>0.83217795971591491</v>
      </c>
      <c r="F656" s="231">
        <v>7.1999999999999995E-2</v>
      </c>
      <c r="G656" s="230">
        <f t="shared" si="19"/>
        <v>0.79750387806108514</v>
      </c>
      <c r="H656" s="204">
        <f t="shared" si="14"/>
        <v>2616431.9908491941</v>
      </c>
      <c r="I656" s="231">
        <v>9.4E-2</v>
      </c>
      <c r="J656" s="204">
        <f t="shared" si="20"/>
        <v>2586152.8550031763</v>
      </c>
      <c r="K656" s="221">
        <f t="shared" si="15"/>
        <v>0.35469407656112689</v>
      </c>
      <c r="L656" s="231">
        <v>5.8000000000000003E-2</v>
      </c>
      <c r="M656" s="221">
        <f t="shared" si="21"/>
        <v>0.35074681284449494</v>
      </c>
      <c r="N656" s="231">
        <f t="shared" si="16"/>
        <v>4.8000000000000001E-2</v>
      </c>
      <c r="O656" s="934">
        <f t="shared" si="17"/>
        <v>1.2146956556156252</v>
      </c>
    </row>
    <row r="657" spans="1:15" ht="12.75" hidden="1" customHeight="1">
      <c r="B657" s="221">
        <f t="shared" si="12"/>
        <v>1.2760131188108379</v>
      </c>
      <c r="C657" s="231">
        <v>0.03</v>
      </c>
      <c r="D657" s="221">
        <f t="shared" si="18"/>
        <v>1.2555739644124335</v>
      </c>
      <c r="E657" s="230">
        <f t="shared" si="13"/>
        <v>0.90152612302557444</v>
      </c>
      <c r="F657" s="231">
        <v>0.154</v>
      </c>
      <c r="G657" s="230">
        <f t="shared" si="19"/>
        <v>0.86685204137074467</v>
      </c>
      <c r="H657" s="204">
        <f t="shared" si="14"/>
        <v>2676990.2625412298</v>
      </c>
      <c r="I657" s="231">
        <v>0.06</v>
      </c>
      <c r="J657" s="204">
        <f t="shared" si="20"/>
        <v>2646711.126695212</v>
      </c>
      <c r="K657" s="221">
        <f t="shared" si="15"/>
        <v>0.36258860399439075</v>
      </c>
      <c r="L657" s="231">
        <v>7.8E-2</v>
      </c>
      <c r="M657" s="221">
        <f t="shared" si="21"/>
        <v>0.35864134027775885</v>
      </c>
      <c r="N657" s="231">
        <f t="shared" si="16"/>
        <v>0.03</v>
      </c>
      <c r="O657" s="934">
        <f t="shared" si="17"/>
        <v>1.2555739644124335</v>
      </c>
    </row>
    <row r="658" spans="1:15" ht="12.75" hidden="1" customHeight="1">
      <c r="B658" s="221">
        <f t="shared" si="12"/>
        <v>1.3168914276076464</v>
      </c>
      <c r="C658" s="231">
        <v>1.6E-2</v>
      </c>
      <c r="D658" s="221">
        <f t="shared" si="18"/>
        <v>1.2964522732092423</v>
      </c>
      <c r="E658" s="230">
        <f t="shared" si="13"/>
        <v>0.97087428633523398</v>
      </c>
      <c r="F658" s="231">
        <v>0.22600000000000001</v>
      </c>
      <c r="G658" s="230">
        <f t="shared" si="19"/>
        <v>0.93620020468040421</v>
      </c>
      <c r="H658" s="204">
        <f t="shared" si="14"/>
        <v>2737548.5342332656</v>
      </c>
      <c r="I658" s="231">
        <v>7.1999999999999995E-2</v>
      </c>
      <c r="J658" s="204">
        <f t="shared" si="20"/>
        <v>2707269.3983872477</v>
      </c>
      <c r="K658" s="221">
        <f t="shared" si="15"/>
        <v>0.3704831314276546</v>
      </c>
      <c r="L658" s="231">
        <v>0.09</v>
      </c>
      <c r="M658" s="221">
        <f t="shared" si="21"/>
        <v>0.36653586771102264</v>
      </c>
      <c r="N658" s="231">
        <f t="shared" si="16"/>
        <v>1.6E-2</v>
      </c>
      <c r="O658" s="934">
        <f t="shared" si="17"/>
        <v>1.2964522732092423</v>
      </c>
    </row>
    <row r="659" spans="1:15" ht="12.75" hidden="1" customHeight="1">
      <c r="B659" s="221">
        <f t="shared" si="12"/>
        <v>1.357769736404455</v>
      </c>
      <c r="C659" s="231">
        <v>0.02</v>
      </c>
      <c r="D659" s="221">
        <f t="shared" si="18"/>
        <v>1.3373305820060506</v>
      </c>
      <c r="E659" s="230">
        <f t="shared" si="13"/>
        <v>1.0402224496448935</v>
      </c>
      <c r="F659" s="231">
        <v>0.20799999999999999</v>
      </c>
      <c r="G659" s="230">
        <f t="shared" si="19"/>
        <v>1.0055483679900639</v>
      </c>
      <c r="H659" s="204">
        <f t="shared" si="14"/>
        <v>2798106.8059253013</v>
      </c>
      <c r="I659" s="231">
        <v>5.1999999999999998E-2</v>
      </c>
      <c r="J659" s="204">
        <f t="shared" si="20"/>
        <v>2767827.6700792834</v>
      </c>
      <c r="K659" s="221">
        <f t="shared" si="15"/>
        <v>0.37837765886091845</v>
      </c>
      <c r="L659" s="231">
        <v>0.05</v>
      </c>
      <c r="M659" s="221">
        <f t="shared" si="21"/>
        <v>0.37443039514428655</v>
      </c>
      <c r="N659" s="231">
        <f t="shared" si="16"/>
        <v>0.02</v>
      </c>
      <c r="O659" s="934">
        <f t="shared" si="17"/>
        <v>1.3373305820060506</v>
      </c>
    </row>
    <row r="660" spans="1:15" ht="12.75" hidden="1" customHeight="1">
      <c r="B660" s="221">
        <f t="shared" si="12"/>
        <v>1.3986480452012635</v>
      </c>
      <c r="C660" s="231">
        <v>2E-3</v>
      </c>
      <c r="D660" s="221">
        <f t="shared" si="18"/>
        <v>1.3782088908028594</v>
      </c>
      <c r="E660" s="230">
        <f t="shared" si="13"/>
        <v>1.1095706129545531</v>
      </c>
      <c r="F660" s="231">
        <v>0.16800000000000001</v>
      </c>
      <c r="G660" s="230">
        <f t="shared" si="19"/>
        <v>1.0748965312997232</v>
      </c>
      <c r="H660" s="204">
        <f t="shared" si="14"/>
        <v>2858665.077617337</v>
      </c>
      <c r="I660" s="231">
        <v>0.04</v>
      </c>
      <c r="J660" s="204">
        <f t="shared" si="20"/>
        <v>2828385.9417713191</v>
      </c>
      <c r="K660" s="221">
        <f t="shared" si="15"/>
        <v>0.38627218629418231</v>
      </c>
      <c r="L660" s="231">
        <v>3.2000000000000001E-2</v>
      </c>
      <c r="M660" s="221">
        <f t="shared" si="21"/>
        <v>0.38232492257755035</v>
      </c>
      <c r="N660" s="231">
        <f t="shared" si="16"/>
        <v>2E-3</v>
      </c>
      <c r="O660" s="934">
        <f t="shared" si="17"/>
        <v>1.3782088908028594</v>
      </c>
    </row>
    <row r="661" spans="1:15" ht="12.75" hidden="1" customHeight="1">
      <c r="B661" s="221">
        <f t="shared" si="12"/>
        <v>1.4395263539980721</v>
      </c>
      <c r="C661" s="231">
        <v>2E-3</v>
      </c>
      <c r="D661" s="221">
        <f t="shared" si="18"/>
        <v>1.4190871995996677</v>
      </c>
      <c r="E661" s="230">
        <f t="shared" si="13"/>
        <v>1.1789187762642126</v>
      </c>
      <c r="F661" s="231">
        <v>7.3999999999999996E-2</v>
      </c>
      <c r="G661" s="230">
        <f t="shared" si="19"/>
        <v>1.1442446946093829</v>
      </c>
      <c r="H661" s="204">
        <f t="shared" si="14"/>
        <v>2919223.3493093727</v>
      </c>
      <c r="I661" s="231">
        <v>2.4E-2</v>
      </c>
      <c r="J661" s="204">
        <f t="shared" si="20"/>
        <v>2888944.2134633549</v>
      </c>
      <c r="K661" s="221">
        <f t="shared" si="15"/>
        <v>0.39416671372744616</v>
      </c>
      <c r="L661" s="231">
        <v>2.8000000000000001E-2</v>
      </c>
      <c r="M661" s="221">
        <f t="shared" si="21"/>
        <v>0.39021945001081426</v>
      </c>
      <c r="N661" s="231">
        <f t="shared" si="16"/>
        <v>2E-3</v>
      </c>
      <c r="O661" s="934">
        <f t="shared" si="17"/>
        <v>1.4190871995996677</v>
      </c>
    </row>
    <row r="662" spans="1:15" ht="12.75" hidden="1" customHeight="1">
      <c r="B662" s="221">
        <f t="shared" si="12"/>
        <v>1.4804046627948806</v>
      </c>
      <c r="C662" s="231">
        <v>2E-3</v>
      </c>
      <c r="D662" s="221">
        <f t="shared" si="18"/>
        <v>1.4599655083964764</v>
      </c>
      <c r="E662" s="230">
        <f t="shared" si="13"/>
        <v>1.2482669395738721</v>
      </c>
      <c r="F662" s="231">
        <v>6.2E-2</v>
      </c>
      <c r="G662" s="230">
        <f t="shared" si="19"/>
        <v>1.2135928579190423</v>
      </c>
      <c r="H662" s="204">
        <f t="shared" si="14"/>
        <v>2979781.6210014084</v>
      </c>
      <c r="I662" s="231">
        <v>1.6E-2</v>
      </c>
      <c r="J662" s="204">
        <f t="shared" si="20"/>
        <v>2949502.4851553906</v>
      </c>
      <c r="K662" s="221">
        <f t="shared" si="15"/>
        <v>0.40206124116071001</v>
      </c>
      <c r="L662" s="231">
        <v>0.01</v>
      </c>
      <c r="M662" s="221">
        <f t="shared" si="21"/>
        <v>0.39811397744407806</v>
      </c>
      <c r="N662" s="231">
        <f t="shared" si="16"/>
        <v>2E-3</v>
      </c>
      <c r="O662" s="934">
        <f t="shared" si="17"/>
        <v>1.4599655083964764</v>
      </c>
    </row>
    <row r="663" spans="1:15" ht="12.75" hidden="1" customHeight="1">
      <c r="B663" s="221">
        <f t="shared" si="12"/>
        <v>1.5212829715916891</v>
      </c>
      <c r="C663" s="231">
        <v>0</v>
      </c>
      <c r="D663" s="221">
        <f t="shared" si="18"/>
        <v>1.5008438171932847</v>
      </c>
      <c r="E663" s="230">
        <f t="shared" si="13"/>
        <v>1.3176151028835317</v>
      </c>
      <c r="F663" s="231">
        <v>8.0000000000000002E-3</v>
      </c>
      <c r="G663" s="230">
        <f t="shared" si="19"/>
        <v>1.282941021228702</v>
      </c>
      <c r="H663" s="204">
        <f t="shared" si="14"/>
        <v>3040339.8926934442</v>
      </c>
      <c r="I663" s="231">
        <v>6.0000000000000001E-3</v>
      </c>
      <c r="J663" s="204">
        <f t="shared" si="20"/>
        <v>3010060.7568474263</v>
      </c>
      <c r="K663" s="221">
        <f t="shared" si="15"/>
        <v>0.40995576859397387</v>
      </c>
      <c r="L663" s="231">
        <v>6.0000000000000001E-3</v>
      </c>
      <c r="M663" s="221">
        <f t="shared" si="21"/>
        <v>0.40600850487734197</v>
      </c>
      <c r="N663" s="231">
        <f t="shared" si="16"/>
        <v>0</v>
      </c>
      <c r="O663" s="934">
        <f t="shared" si="17"/>
        <v>1.5008438171932847</v>
      </c>
    </row>
    <row r="664" spans="1:15" ht="12.75" hidden="1" customHeight="1">
      <c r="B664" s="221">
        <f t="shared" si="12"/>
        <v>1.5621612803884977</v>
      </c>
      <c r="C664" s="231">
        <v>4.0000000000000001E-3</v>
      </c>
      <c r="D664" s="221">
        <f t="shared" si="18"/>
        <v>1.5417221259900935</v>
      </c>
      <c r="E664" s="230">
        <f t="shared" si="13"/>
        <v>1.3869632661931912</v>
      </c>
      <c r="F664" s="231">
        <v>8.0000000000000002E-3</v>
      </c>
      <c r="G664" s="230">
        <f t="shared" si="19"/>
        <v>1.3522891845383613</v>
      </c>
      <c r="H664" s="204">
        <f t="shared" si="14"/>
        <v>3100898.1643854799</v>
      </c>
      <c r="I664" s="231">
        <v>0</v>
      </c>
      <c r="J664" s="204">
        <f t="shared" si="20"/>
        <v>3070619.028539462</v>
      </c>
      <c r="K664" s="221">
        <f t="shared" si="15"/>
        <v>0.41785029602723772</v>
      </c>
      <c r="L664" s="231">
        <v>4.0000000000000001E-3</v>
      </c>
      <c r="M664" s="221">
        <f t="shared" si="21"/>
        <v>0.41390303231060577</v>
      </c>
      <c r="N664" s="231">
        <f t="shared" si="16"/>
        <v>4.0000000000000001E-3</v>
      </c>
      <c r="O664" s="934">
        <f t="shared" si="17"/>
        <v>1.5417221259900935</v>
      </c>
    </row>
    <row r="665" spans="1:15" ht="12.75" hidden="1" customHeight="1"/>
    <row r="666" spans="1:15" ht="12.75" hidden="1" customHeight="1">
      <c r="B666" t="s">
        <v>298</v>
      </c>
      <c r="D666" t="s">
        <v>1342</v>
      </c>
      <c r="H666" t="s">
        <v>1724</v>
      </c>
    </row>
    <row r="667" spans="1:15" ht="12.75" hidden="1" customHeight="1">
      <c r="A667" t="s">
        <v>3348</v>
      </c>
      <c r="B667" t="s">
        <v>1518</v>
      </c>
      <c r="D667" t="s">
        <v>1815</v>
      </c>
      <c r="E667" t="s">
        <v>3670</v>
      </c>
      <c r="F667" t="s">
        <v>4953</v>
      </c>
      <c r="G667" t="s">
        <v>5405</v>
      </c>
      <c r="H667" t="s">
        <v>1474</v>
      </c>
      <c r="J667" t="s">
        <v>5076</v>
      </c>
    </row>
    <row r="668" spans="1:15" ht="12.75" hidden="1" customHeight="1">
      <c r="A668">
        <v>1</v>
      </c>
      <c r="B668">
        <f ca="1">RANK(H668,$H$668:$H$680,1)</f>
        <v>1</v>
      </c>
      <c r="C668" t="str">
        <f ca="1">IF(K42=1,B42,"")</f>
        <v>Custos iniciais</v>
      </c>
      <c r="D668">
        <f ca="1">IF(OR(F42=0,K42=0),0,$AB$126*$P$133/$AD$133)</f>
        <v>0</v>
      </c>
      <c r="E668">
        <f ca="1">IF(OR(F42=0,K42=0),0,$AB$129*$P$133/$AE$133)</f>
        <v>0</v>
      </c>
      <c r="F668">
        <f ca="1">IF(OR(F42=0,K42=0),0,$AB$127*$P$133/$AF$133)</f>
        <v>0</v>
      </c>
      <c r="G668">
        <f ca="1">IF(OR(F42=0,K42=0),0,$AB$128*$P$133/$AG$133)</f>
        <v>0</v>
      </c>
      <c r="H668">
        <f t="shared" ref="H668:H680" ca="1" si="22">ABS(IF($K$39=1,D668,IF($K$39=2,E668,IF($K$39=3,F668,IF($K$39=4,G668,0)))))</f>
        <v>0</v>
      </c>
      <c r="I668" t="str">
        <f ca="1">IF(ISERROR(VLOOKUP(A668,$B$668:$H$680,2,FALSE)),"",VLOOKUP(A668,$B$668:$H$680,2,FALSE))</f>
        <v>Custos iniciais</v>
      </c>
      <c r="J668">
        <f t="shared" ref="J668:J680" ca="1" si="23">VLOOKUP(A668,$B$668:$H$680,2+$K$39,FALSE)</f>
        <v>0</v>
      </c>
    </row>
    <row r="669" spans="1:15" ht="12.75" hidden="1" customHeight="1">
      <c r="A669">
        <v>2</v>
      </c>
      <c r="B669">
        <f ca="1">RANK(H669,$H$668:$H$680,1)+COUNTIF($H$668:$H668,H669)</f>
        <v>2</v>
      </c>
      <c r="C669" t="str">
        <f t="shared" ref="C669:C680" si="24">IF(K43=1,B43,"")</f>
        <v>O&amp;M</v>
      </c>
      <c r="D669">
        <f>IF(OR(F43=0,K43=0),0,$AA$126*$Q$133/$AD$133)</f>
        <v>0</v>
      </c>
      <c r="E669">
        <f>IF(OR(F43=0,K43=0),0,$AA$129*$Q$133/$AE$133)</f>
        <v>0</v>
      </c>
      <c r="F669">
        <f>IF(OR(F43=0,K43=0),0,$AA$127*$Q$133/$AF$133)</f>
        <v>0</v>
      </c>
      <c r="G669">
        <f>IF(OR(F43=0,K43=0),0,$AA$128*$Q$133/$AG$133)</f>
        <v>0</v>
      </c>
      <c r="H669">
        <f t="shared" si="22"/>
        <v>0</v>
      </c>
      <c r="I669" t="str">
        <f t="shared" ref="I669:I680" ca="1" si="25">IF(ISERROR(VLOOKUP(A669,$B$668:$H$680,2,FALSE)),"",VLOOKUP(A669,$B$668:$H$680,2,FALSE))</f>
        <v>O&amp;M</v>
      </c>
      <c r="J669">
        <f t="shared" ca="1" si="23"/>
        <v>0</v>
      </c>
    </row>
    <row r="670" spans="1:15" ht="12.75" hidden="1" customHeight="1">
      <c r="A670">
        <v>3</v>
      </c>
      <c r="B670">
        <f ca="1">RANK(H670,$H$668:$H$680,1)+COUNTIF($H$668:$H669,H670)</f>
        <v>3</v>
      </c>
      <c r="C670" t="str">
        <f t="shared" si="24"/>
        <v/>
      </c>
      <c r="D670">
        <f>IF(OR(F44=0,K44=0),0,$Z$126*$R$133/$AD$133)</f>
        <v>0</v>
      </c>
      <c r="E670">
        <f>IF(OR(F44=0,K44=0),0,$Z$129*$R$133/$AE$133)</f>
        <v>0</v>
      </c>
      <c r="F670">
        <f>IF(OR(F44=0,K44=0),0,$Z$127*$R$133/$AF$133)</f>
        <v>0</v>
      </c>
      <c r="G670">
        <f>IF(OR(F44=0,K44=0),0,$Z$128*$R$133/$AG$133)</f>
        <v>0</v>
      </c>
      <c r="H670">
        <f t="shared" si="22"/>
        <v>0</v>
      </c>
      <c r="I670" t="str">
        <f t="shared" ca="1" si="25"/>
        <v/>
      </c>
      <c r="J670">
        <f t="shared" ca="1" si="23"/>
        <v>0</v>
      </c>
    </row>
    <row r="671" spans="1:15" ht="12.75" hidden="1" customHeight="1">
      <c r="A671">
        <v>4</v>
      </c>
      <c r="B671">
        <f ca="1">RANK(H671,$H$668:$H$680,1)+COUNTIF($H$668:$H670,H671)</f>
        <v>4</v>
      </c>
      <c r="C671" t="str">
        <f t="shared" si="24"/>
        <v/>
      </c>
      <c r="D671">
        <f>IF(OR(F45=0,K45=0),0,$Y$126*$S$133/$AD$133)</f>
        <v>0</v>
      </c>
      <c r="E671">
        <f>IF(OR(F45=0,K45=0),0,$Y$129*$S$133/$AE$133)</f>
        <v>0</v>
      </c>
      <c r="F671">
        <f>IF(OR(F45=0,K45=0),0,$Y$127*$S$133/$AF$133)</f>
        <v>0</v>
      </c>
      <c r="G671">
        <f>IF(OR(F45=0,K45=0),0,$Y$128*$S$133/$AG$133)</f>
        <v>0</v>
      </c>
      <c r="H671">
        <f t="shared" si="22"/>
        <v>0</v>
      </c>
      <c r="I671" t="str">
        <f t="shared" ca="1" si="25"/>
        <v/>
      </c>
      <c r="J671">
        <f t="shared" ca="1" si="23"/>
        <v>0</v>
      </c>
    </row>
    <row r="672" spans="1:15" ht="12.75" hidden="1" customHeight="1">
      <c r="A672">
        <v>5</v>
      </c>
      <c r="B672">
        <f ca="1">RANK(H672,$H$668:$H$680,1)+COUNTIF($H$668:$H671,H672)</f>
        <v>5</v>
      </c>
      <c r="C672" t="str">
        <f t="shared" si="24"/>
        <v>Preço eletricidade exportada</v>
      </c>
      <c r="D672">
        <f>IF(OR(F46=0,K46=0),0,$X$126*$T$133/$AD$133)</f>
        <v>0</v>
      </c>
      <c r="E672">
        <f>IF(OR(F46=0,K46=0),0,$X$129*$T$133/$AE$133)</f>
        <v>0</v>
      </c>
      <c r="F672">
        <f>IF(OR(F46=0,K46=0),0,$X$127*$T$133/$AF$133)</f>
        <v>0</v>
      </c>
      <c r="G672">
        <f>IF(OR(F46=0,K46=0),0,$X$128*$T$133/$AG$133)</f>
        <v>0</v>
      </c>
      <c r="H672">
        <f t="shared" si="22"/>
        <v>0</v>
      </c>
      <c r="I672" t="str">
        <f t="shared" ca="1" si="25"/>
        <v>Preço eletricidade exportada</v>
      </c>
      <c r="J672">
        <f t="shared" ca="1" si="23"/>
        <v>0</v>
      </c>
    </row>
    <row r="673" spans="1:34" ht="12.75" hidden="1" customHeight="1">
      <c r="A673">
        <v>6</v>
      </c>
      <c r="B673">
        <f ca="1">RANK(H673,$H$668:$H$680,1)+COUNTIF($H$668:$H672,H673)</f>
        <v>6</v>
      </c>
      <c r="C673" t="str">
        <f t="shared" si="24"/>
        <v/>
      </c>
      <c r="D673">
        <f>IF(OR(F47=0,K47=0),0,$W$126*$U$133/$AD$133)</f>
        <v>0</v>
      </c>
      <c r="E673">
        <f>IF(OR(F47=0,K47=0),0,$W$129*$U$133/$AE$133)</f>
        <v>0</v>
      </c>
      <c r="F673">
        <f>IF(OR(F47=0,K47=0),0,$W$127*$U$133/$AF$133)</f>
        <v>0</v>
      </c>
      <c r="G673">
        <f>IF(OR(F47=0,K47=0),0,$W$128*$U$133/$AG$133)</f>
        <v>0</v>
      </c>
      <c r="H673">
        <f t="shared" si="22"/>
        <v>0</v>
      </c>
      <c r="I673" t="str">
        <f t="shared" ca="1" si="25"/>
        <v/>
      </c>
      <c r="J673">
        <f t="shared" ca="1" si="23"/>
        <v>0</v>
      </c>
    </row>
    <row r="674" spans="1:34" ht="12.75" hidden="1" customHeight="1">
      <c r="A674">
        <v>7</v>
      </c>
      <c r="B674">
        <f ca="1">RANK(H674,$H$668:$H$680,1)+COUNTIF($H$668:$H673,H674)</f>
        <v>7</v>
      </c>
      <c r="C674" t="str">
        <f t="shared" si="24"/>
        <v/>
      </c>
      <c r="D674">
        <f>IF(OR(F48=0,K48=0),0,$V$126*$V$133/$AD$133)</f>
        <v>0</v>
      </c>
      <c r="E674">
        <f>IF(OR(F48=0,K48=0),0,$V$129*$V$133/$AE$133)</f>
        <v>0</v>
      </c>
      <c r="F674">
        <f>IF(OR(F48=0,K48=0),0,$V$127*$V$133/$AF$133)</f>
        <v>0</v>
      </c>
      <c r="G674">
        <f>IF(OR(F48=0,K48=0),0,$V$128*$V$133/$AG$133)</f>
        <v>0</v>
      </c>
      <c r="H674">
        <f t="shared" si="22"/>
        <v>0</v>
      </c>
      <c r="I674" t="str">
        <f t="shared" ca="1" si="25"/>
        <v/>
      </c>
      <c r="J674">
        <f t="shared" ca="1" si="23"/>
        <v>0</v>
      </c>
    </row>
    <row r="675" spans="1:34" ht="12.75" hidden="1" customHeight="1">
      <c r="A675">
        <v>8</v>
      </c>
      <c r="B675">
        <f ca="1">RANK(H675,$H$668:$H$680,1)+COUNTIF($H$668:$H674,H675)</f>
        <v>8</v>
      </c>
      <c r="C675" t="str">
        <f t="shared" si="24"/>
        <v/>
      </c>
      <c r="D675">
        <f>IF(OR(F49=0,K49=0),0,$U$126*$W$133/$AD$133)</f>
        <v>0</v>
      </c>
      <c r="E675">
        <f>IF(OR(F49=0,K49=0),0,$U$129*$W$133/$AE$133)</f>
        <v>0</v>
      </c>
      <c r="F675">
        <f>IF(OR(F49=0,K49=0),0,$U$127*$W$133/$AF$133)</f>
        <v>0</v>
      </c>
      <c r="G675">
        <f>IF(OR(F49=0,K49=0),0,$U$128*$W$133/$AG$133)</f>
        <v>0</v>
      </c>
      <c r="H675">
        <f t="shared" si="22"/>
        <v>0</v>
      </c>
      <c r="I675" t="str">
        <f t="shared" ca="1" si="25"/>
        <v/>
      </c>
      <c r="J675">
        <f t="shared" ca="1" si="23"/>
        <v>0</v>
      </c>
    </row>
    <row r="676" spans="1:34" ht="12.75" hidden="1" customHeight="1">
      <c r="A676">
        <v>9</v>
      </c>
      <c r="B676">
        <f ca="1">RANK(H676,$H$668:$H$680,1)+COUNTIF($H$668:$H675,H676)</f>
        <v>9</v>
      </c>
      <c r="C676" t="str">
        <f t="shared" si="24"/>
        <v/>
      </c>
      <c r="D676">
        <f>IF(OR(F50=0,K50=0),0,$T$126*$X$133/$AD$133)</f>
        <v>0</v>
      </c>
      <c r="E676">
        <f>IF(OR(F50=0,K50=0),0,$T$129*$X$133/$AE$133)</f>
        <v>0</v>
      </c>
      <c r="F676">
        <f>IF(OR(F50=0,K50=0),0,$T$127*$X$133/$AF$133)</f>
        <v>0</v>
      </c>
      <c r="G676">
        <f>IF(OR(F50=0,K50=0),0,$T$128*$X$133/$AG$133)</f>
        <v>0</v>
      </c>
      <c r="H676">
        <f t="shared" si="22"/>
        <v>0</v>
      </c>
      <c r="I676" t="str">
        <f t="shared" ca="1" si="25"/>
        <v/>
      </c>
      <c r="J676">
        <f t="shared" ca="1" si="23"/>
        <v>0</v>
      </c>
    </row>
    <row r="677" spans="1:34" ht="12.75" hidden="1" customHeight="1">
      <c r="A677">
        <v>10</v>
      </c>
      <c r="B677">
        <f ca="1">RANK(H677,$H$668:$H$680,1)+COUNTIF($H$668:$H676,H677)</f>
        <v>10</v>
      </c>
      <c r="C677" t="str">
        <f t="shared" si="24"/>
        <v/>
      </c>
      <c r="D677">
        <f>IF(OR(F51=0,K51=0),0,$S$126*$Y$133/$AD$133)</f>
        <v>0</v>
      </c>
      <c r="E677">
        <f>IF(OR(F51=0,K51=0),0,$S$129*$Y$133/$AE$133)</f>
        <v>0</v>
      </c>
      <c r="F677">
        <f>IF(OR(F51=0,K51=0),0,$S$127*$Y$133/$AF$133)</f>
        <v>0</v>
      </c>
      <c r="G677">
        <f>IF(OR(F51=0,K51=0),0,$S$128*$Y$133/$AG$133)</f>
        <v>0</v>
      </c>
      <c r="H677">
        <f t="shared" si="22"/>
        <v>0</v>
      </c>
      <c r="I677" t="str">
        <f t="shared" ca="1" si="25"/>
        <v/>
      </c>
      <c r="J677">
        <f t="shared" ca="1" si="23"/>
        <v>0</v>
      </c>
    </row>
    <row r="678" spans="1:34" ht="12.75" hidden="1" customHeight="1">
      <c r="A678">
        <v>11</v>
      </c>
      <c r="B678">
        <f ca="1">RANK(H678,$H$668:$H$680,1)+COUNTIF($H$668:$H677,H678)</f>
        <v>11</v>
      </c>
      <c r="C678" t="str">
        <f t="shared" si="24"/>
        <v/>
      </c>
      <c r="D678">
        <f>IF(OR(F52=0,K52=0),0,$R$126*$Z$133/$AD$133)</f>
        <v>0</v>
      </c>
      <c r="E678">
        <f>IF(OR(F52=0,K52=0),0,$R$129*$Z$133/$AE$133)</f>
        <v>0</v>
      </c>
      <c r="F678">
        <f>IF(OR(F52=0,K52=0),0,$R$127*$Z$133/$AF$133)</f>
        <v>0</v>
      </c>
      <c r="G678">
        <f>IF(OR(F52=0,K52=0),0,$R$128*$Z$133/$AG$133)</f>
        <v>0</v>
      </c>
      <c r="H678">
        <f t="shared" si="22"/>
        <v>0</v>
      </c>
      <c r="I678" t="str">
        <f t="shared" ca="1" si="25"/>
        <v/>
      </c>
      <c r="J678">
        <f t="shared" ca="1" si="23"/>
        <v>0</v>
      </c>
    </row>
    <row r="679" spans="1:34" ht="12.75" hidden="1" customHeight="1">
      <c r="A679">
        <v>12</v>
      </c>
      <c r="B679">
        <f ca="1">RANK(H679,$H$668:$H$680,1)+COUNTIF($H$668:$H678,H679)</f>
        <v>12</v>
      </c>
      <c r="C679" t="str">
        <f t="shared" si="24"/>
        <v/>
      </c>
      <c r="D679">
        <f>IF(OR(F53=0,K53=0),0,$Q$126*$AA$133/$AD$133)</f>
        <v>0</v>
      </c>
      <c r="E679">
        <f>IF(OR(F53=0,K53=0),0,$Q$129*$AA$133/$AE$133)</f>
        <v>0</v>
      </c>
      <c r="F679">
        <f>IF(OR(F53=0,K53=0),0,$Q$127*$AA$133/$AF$133)</f>
        <v>0</v>
      </c>
      <c r="G679">
        <f>IF(OR(F53=0,K53=0),0,$Q$128*$AA$133/$AG$133)</f>
        <v>0</v>
      </c>
      <c r="H679">
        <f t="shared" si="22"/>
        <v>0</v>
      </c>
      <c r="I679" t="str">
        <f t="shared" ca="1" si="25"/>
        <v/>
      </c>
      <c r="J679">
        <f t="shared" ca="1" si="23"/>
        <v>0</v>
      </c>
    </row>
    <row r="680" spans="1:34" ht="12.75" hidden="1" customHeight="1">
      <c r="A680">
        <v>13</v>
      </c>
      <c r="B680">
        <f ca="1">RANK(H680,$H$668:$H$680,1)+COUNTIF($H$668:$H679,H680)</f>
        <v>13</v>
      </c>
      <c r="C680" t="str">
        <f t="shared" si="24"/>
        <v/>
      </c>
      <c r="D680">
        <f>IF(OR(F54=0,K54=0),0,$P$126*$AB$133/$AD$133)</f>
        <v>0</v>
      </c>
      <c r="E680">
        <f>IF(OR(F54=0,K54=0),0,$P$129*$AB$133/$AE$133)</f>
        <v>0</v>
      </c>
      <c r="F680">
        <f>IF(OR(F54=0,K54=0),0,$P$127*$AB$133/$AF$133)</f>
        <v>0</v>
      </c>
      <c r="G680">
        <f>IF(OR(F54=0,K54=0),0,$P$128*$AB$133/$AG$133)</f>
        <v>0</v>
      </c>
      <c r="H680">
        <f t="shared" si="22"/>
        <v>0</v>
      </c>
      <c r="I680" t="str">
        <f t="shared" ca="1" si="25"/>
        <v/>
      </c>
      <c r="J680">
        <f t="shared" ca="1" si="23"/>
        <v>0</v>
      </c>
      <c r="AE680" t="s">
        <v>4122</v>
      </c>
      <c r="AF680" t="str">
        <f>Language!C704</f>
        <v>imediato</v>
      </c>
    </row>
    <row r="681" spans="1:34" ht="12.75" hidden="1" customHeight="1">
      <c r="B681" t="s">
        <v>1860</v>
      </c>
      <c r="AF681" t="str">
        <f>Language!C705</f>
        <v>&gt; projeto</v>
      </c>
    </row>
    <row r="682" spans="1:34" ht="12.75" hidden="1" customHeight="1">
      <c r="AE682" t="s">
        <v>1815</v>
      </c>
      <c r="AF682" t="str">
        <f>Language!C706</f>
        <v xml:space="preserve">negativo </v>
      </c>
    </row>
    <row r="683" spans="1:34" ht="12.75" hidden="1" customHeight="1">
      <c r="AF683" t="str">
        <f>Language!C707</f>
        <v xml:space="preserve">positivo </v>
      </c>
    </row>
    <row r="684" spans="1:34" ht="12.75" hidden="1" customHeight="1">
      <c r="B684" t="s">
        <v>5577</v>
      </c>
    </row>
    <row r="685" spans="1:34" ht="39" hidden="1" customHeight="1">
      <c r="B685" t="str">
        <f>P42</f>
        <v>Custos iniciais</v>
      </c>
      <c r="C685" t="str">
        <f>P43</f>
        <v>O&amp;M</v>
      </c>
      <c r="D685" t="str">
        <f>P44</f>
        <v>Custo combustível - caso proposto</v>
      </c>
      <c r="E685" t="str">
        <f>P45</f>
        <v>Custo combustível - caso de referência</v>
      </c>
      <c r="F685" t="str">
        <f>P46</f>
        <v>Preço eletricidade exportada</v>
      </c>
      <c r="G685" t="str">
        <f>P47</f>
        <v>Crédito para redução de GEE</v>
      </c>
      <c r="H685" t="str">
        <f>P48</f>
        <v>Redução líq. de GEE-duração do crédito</v>
      </c>
      <c r="I685" t="str">
        <f>P49</f>
        <v>Receita (ou desconto) adicional do consumidor</v>
      </c>
      <c r="J685" t="str">
        <f>P50</f>
        <v>Outras receitas ( custo)</v>
      </c>
      <c r="K685" t="str">
        <f>P51</f>
        <v>Crédito de produção de EL</v>
      </c>
      <c r="L685" t="str">
        <f>P52</f>
        <v>Razão da dívida</v>
      </c>
      <c r="M685" t="str">
        <f>P53</f>
        <v>Taxa de juros da dívida</v>
      </c>
      <c r="N685" t="str">
        <f>P54</f>
        <v>Duração da dívida</v>
      </c>
      <c r="AB685" s="219" t="s">
        <v>1815</v>
      </c>
      <c r="AC685" s="219" t="s">
        <v>3670</v>
      </c>
      <c r="AD685" s="219" t="s">
        <v>4122</v>
      </c>
      <c r="AE685" s="219" t="s">
        <v>5405</v>
      </c>
      <c r="AF685" s="219" t="s">
        <v>4122</v>
      </c>
      <c r="AG685" s="219" t="s">
        <v>3670</v>
      </c>
      <c r="AH685" s="219" t="s">
        <v>1815</v>
      </c>
    </row>
    <row r="686" spans="1:34" ht="12.75" hidden="1" customHeight="1">
      <c r="B686">
        <v>0</v>
      </c>
      <c r="C686">
        <v>0</v>
      </c>
      <c r="D686">
        <v>0</v>
      </c>
      <c r="E686">
        <v>0</v>
      </c>
      <c r="F686">
        <v>0</v>
      </c>
      <c r="G686">
        <v>0</v>
      </c>
      <c r="H686" s="321">
        <v>0</v>
      </c>
      <c r="I686">
        <v>0</v>
      </c>
      <c r="J686">
        <v>0</v>
      </c>
      <c r="K686">
        <v>0</v>
      </c>
      <c r="L686">
        <v>0</v>
      </c>
      <c r="M686">
        <v>0</v>
      </c>
      <c r="N686">
        <v>0</v>
      </c>
      <c r="O686" s="289" t="s">
        <v>5026</v>
      </c>
      <c r="Z686" t="s">
        <v>458</v>
      </c>
      <c r="AA686" t="s">
        <v>1238</v>
      </c>
      <c r="AF686">
        <f>IF(AND(AD686="",AE686&gt;0),$AF$680,IF(AND(AD686="",AE686&lt;0),$AF$681,AD686))</f>
        <v>0</v>
      </c>
      <c r="AG686">
        <f>IF(AND(AC686="",AE686&lt;0),AF$682,IF(AND(AC686="",AE686&gt;0),$AF$683,AC686))</f>
        <v>0</v>
      </c>
      <c r="AH686">
        <f>IF(AND(AB686="",AE686&lt;0),AF$682,IF(AND(AB686="",AE686&gt;0),$AF$683,AB686))</f>
        <v>0</v>
      </c>
    </row>
    <row r="687" spans="1:34" ht="12.75" hidden="1" customHeight="1">
      <c r="B687">
        <f t="shared" ref="B687:N687" si="26">IF($E$9=$B$10,0,IF($E$9=B$685,$C$6*$Q687,IF($B$10=B$685,$C$6*$P687,0)))</f>
        <v>0</v>
      </c>
      <c r="C687">
        <f t="shared" si="26"/>
        <v>0</v>
      </c>
      <c r="D687">
        <f t="shared" si="26"/>
        <v>0</v>
      </c>
      <c r="E687">
        <f t="shared" si="26"/>
        <v>0</v>
      </c>
      <c r="F687">
        <f t="shared" si="26"/>
        <v>0</v>
      </c>
      <c r="G687">
        <f t="shared" si="26"/>
        <v>0</v>
      </c>
      <c r="H687">
        <f t="shared" si="26"/>
        <v>0</v>
      </c>
      <c r="I687">
        <f t="shared" si="26"/>
        <v>0</v>
      </c>
      <c r="J687">
        <f t="shared" si="26"/>
        <v>0</v>
      </c>
      <c r="K687">
        <f t="shared" si="26"/>
        <v>0</v>
      </c>
      <c r="L687">
        <f t="shared" si="26"/>
        <v>0</v>
      </c>
      <c r="M687">
        <f t="shared" si="26"/>
        <v>0</v>
      </c>
      <c r="N687">
        <f t="shared" si="26"/>
        <v>0</v>
      </c>
      <c r="P687">
        <v>-1</v>
      </c>
      <c r="Q687">
        <v>-1</v>
      </c>
      <c r="AA687">
        <v>1</v>
      </c>
      <c r="AB687" s="319"/>
      <c r="AC687" s="319"/>
      <c r="AD687" s="319"/>
      <c r="AE687" s="494"/>
      <c r="AF687">
        <v>0</v>
      </c>
      <c r="AG687">
        <v>0</v>
      </c>
      <c r="AH687">
        <v>0</v>
      </c>
    </row>
    <row r="688" spans="1:34" ht="12.75" hidden="1" customHeight="1">
      <c r="P688">
        <v>-0.5</v>
      </c>
      <c r="Q688">
        <v>-1</v>
      </c>
      <c r="AA688">
        <v>2</v>
      </c>
      <c r="AB688" s="319"/>
      <c r="AC688" s="319"/>
      <c r="AD688" s="319"/>
      <c r="AE688" s="494"/>
      <c r="AF688">
        <v>0</v>
      </c>
      <c r="AG688">
        <v>0</v>
      </c>
      <c r="AH688">
        <v>0</v>
      </c>
    </row>
    <row r="689" spans="16:34" ht="12.75" hidden="1" customHeight="1">
      <c r="P689">
        <v>0</v>
      </c>
      <c r="Q689">
        <v>-1</v>
      </c>
      <c r="AA689">
        <v>3</v>
      </c>
      <c r="AB689" s="319"/>
      <c r="AC689" s="319"/>
      <c r="AD689" s="319"/>
      <c r="AE689" s="494"/>
      <c r="AF689">
        <v>0</v>
      </c>
      <c r="AG689">
        <v>0</v>
      </c>
      <c r="AH689">
        <v>0</v>
      </c>
    </row>
    <row r="690" spans="16:34" ht="12.75" hidden="1" customHeight="1">
      <c r="P690">
        <v>0.5</v>
      </c>
      <c r="Q690">
        <v>-1</v>
      </c>
      <c r="AA690">
        <v>4</v>
      </c>
      <c r="AB690" s="319"/>
      <c r="AC690" s="319"/>
      <c r="AD690" s="319"/>
      <c r="AE690" s="494"/>
      <c r="AF690">
        <v>0</v>
      </c>
      <c r="AG690">
        <v>0</v>
      </c>
      <c r="AH690">
        <v>0</v>
      </c>
    </row>
    <row r="691" spans="16:34" ht="12.75" hidden="1" customHeight="1">
      <c r="P691">
        <v>1</v>
      </c>
      <c r="Q691">
        <v>-1</v>
      </c>
      <c r="AA691">
        <v>5</v>
      </c>
      <c r="AB691" s="319"/>
      <c r="AC691" s="319"/>
      <c r="AD691" s="319"/>
      <c r="AE691" s="494"/>
      <c r="AF691">
        <v>0</v>
      </c>
      <c r="AG691">
        <v>0</v>
      </c>
      <c r="AH691">
        <v>0</v>
      </c>
    </row>
    <row r="692" spans="16:34" ht="12.75" hidden="1" customHeight="1">
      <c r="P692">
        <v>-1</v>
      </c>
      <c r="Q692">
        <v>-0.5</v>
      </c>
      <c r="AA692">
        <v>6</v>
      </c>
      <c r="AB692" s="319"/>
      <c r="AC692" s="319"/>
      <c r="AD692" s="319"/>
      <c r="AE692" s="494"/>
      <c r="AF692">
        <v>0</v>
      </c>
      <c r="AG692">
        <v>0</v>
      </c>
      <c r="AH692">
        <v>0</v>
      </c>
    </row>
    <row r="693" spans="16:34" ht="12.75" hidden="1" customHeight="1">
      <c r="P693">
        <v>-0.5</v>
      </c>
      <c r="Q693">
        <v>-0.5</v>
      </c>
      <c r="AA693">
        <v>7</v>
      </c>
      <c r="AB693" s="319"/>
      <c r="AC693" s="319"/>
      <c r="AD693" s="319"/>
      <c r="AE693" s="494"/>
      <c r="AF693">
        <v>0</v>
      </c>
      <c r="AG693">
        <v>0</v>
      </c>
      <c r="AH693">
        <v>0</v>
      </c>
    </row>
    <row r="694" spans="16:34" ht="12.75" hidden="1" customHeight="1">
      <c r="P694">
        <v>0</v>
      </c>
      <c r="Q694">
        <v>-0.5</v>
      </c>
      <c r="AA694">
        <v>8</v>
      </c>
      <c r="AB694" s="319"/>
      <c r="AC694" s="319"/>
      <c r="AD694" s="319"/>
      <c r="AE694" s="494"/>
      <c r="AF694">
        <v>0</v>
      </c>
      <c r="AG694">
        <v>0</v>
      </c>
      <c r="AH694">
        <v>0</v>
      </c>
    </row>
    <row r="695" spans="16:34" ht="12.75" hidden="1" customHeight="1">
      <c r="P695">
        <v>0.5</v>
      </c>
      <c r="Q695">
        <v>-0.5</v>
      </c>
      <c r="AA695">
        <v>9</v>
      </c>
      <c r="AB695" s="319"/>
      <c r="AC695" s="319"/>
      <c r="AD695" s="319"/>
      <c r="AE695" s="494"/>
      <c r="AF695">
        <v>0</v>
      </c>
      <c r="AG695">
        <v>0</v>
      </c>
      <c r="AH695">
        <v>0</v>
      </c>
    </row>
    <row r="696" spans="16:34" ht="12.75" hidden="1" customHeight="1">
      <c r="P696">
        <v>1</v>
      </c>
      <c r="Q696">
        <v>-0.5</v>
      </c>
      <c r="AA696">
        <v>10</v>
      </c>
      <c r="AB696" s="319"/>
      <c r="AC696" s="319"/>
      <c r="AD696" s="319"/>
      <c r="AE696" s="494"/>
      <c r="AF696">
        <v>0</v>
      </c>
      <c r="AG696">
        <v>0</v>
      </c>
      <c r="AH696">
        <v>0</v>
      </c>
    </row>
    <row r="697" spans="16:34" ht="12.75" hidden="1" customHeight="1">
      <c r="P697">
        <v>-1</v>
      </c>
      <c r="Q697">
        <v>0</v>
      </c>
      <c r="AA697">
        <v>11</v>
      </c>
      <c r="AB697" s="319"/>
      <c r="AC697" s="319"/>
      <c r="AD697" s="319"/>
      <c r="AE697" s="494"/>
      <c r="AF697">
        <v>0</v>
      </c>
      <c r="AG697">
        <v>0</v>
      </c>
      <c r="AH697">
        <v>0</v>
      </c>
    </row>
    <row r="698" spans="16:34" ht="12.75" hidden="1" customHeight="1">
      <c r="P698">
        <v>-0.5</v>
      </c>
      <c r="Q698">
        <v>0</v>
      </c>
      <c r="AA698">
        <v>12</v>
      </c>
      <c r="AB698" s="319"/>
      <c r="AC698" s="319"/>
      <c r="AD698" s="319"/>
      <c r="AE698" s="494"/>
      <c r="AF698">
        <v>0</v>
      </c>
      <c r="AG698">
        <v>0</v>
      </c>
      <c r="AH698">
        <v>0</v>
      </c>
    </row>
    <row r="699" spans="16:34" ht="12.75" hidden="1" customHeight="1">
      <c r="P699">
        <v>0</v>
      </c>
      <c r="Q699">
        <v>0</v>
      </c>
      <c r="AA699">
        <v>13</v>
      </c>
      <c r="AB699" s="319"/>
      <c r="AC699" s="319"/>
      <c r="AD699" s="319"/>
      <c r="AE699" s="494"/>
      <c r="AF699">
        <v>0</v>
      </c>
      <c r="AG699">
        <v>0</v>
      </c>
      <c r="AH699">
        <v>0</v>
      </c>
    </row>
    <row r="700" spans="16:34" ht="12.75" hidden="1" customHeight="1">
      <c r="P700">
        <v>0.5</v>
      </c>
      <c r="Q700">
        <v>0</v>
      </c>
      <c r="AA700">
        <v>14</v>
      </c>
      <c r="AB700" s="319"/>
      <c r="AC700" s="319"/>
      <c r="AD700" s="319"/>
      <c r="AE700" s="494"/>
      <c r="AF700">
        <v>0</v>
      </c>
      <c r="AG700">
        <v>0</v>
      </c>
      <c r="AH700">
        <v>0</v>
      </c>
    </row>
    <row r="701" spans="16:34" ht="12.75" hidden="1" customHeight="1">
      <c r="P701">
        <v>1</v>
      </c>
      <c r="Q701">
        <v>0</v>
      </c>
      <c r="AA701">
        <v>15</v>
      </c>
      <c r="AB701" s="319"/>
      <c r="AC701" s="319"/>
      <c r="AD701" s="319"/>
      <c r="AE701" s="494"/>
      <c r="AF701">
        <v>0</v>
      </c>
      <c r="AG701">
        <v>0</v>
      </c>
      <c r="AH701">
        <v>0</v>
      </c>
    </row>
    <row r="702" spans="16:34" ht="12.75" hidden="1" customHeight="1">
      <c r="P702">
        <v>-1</v>
      </c>
      <c r="Q702">
        <v>0.5</v>
      </c>
      <c r="AA702">
        <v>16</v>
      </c>
      <c r="AB702" s="319"/>
      <c r="AC702" s="319"/>
      <c r="AD702" s="319"/>
      <c r="AE702" s="494"/>
      <c r="AF702">
        <v>0</v>
      </c>
      <c r="AG702">
        <v>0</v>
      </c>
      <c r="AH702">
        <v>0</v>
      </c>
    </row>
    <row r="703" spans="16:34" ht="12.75" hidden="1" customHeight="1">
      <c r="P703">
        <v>-0.5</v>
      </c>
      <c r="Q703">
        <v>0.5</v>
      </c>
      <c r="AA703">
        <v>17</v>
      </c>
      <c r="AB703" s="319"/>
      <c r="AC703" s="319"/>
      <c r="AD703" s="319"/>
      <c r="AE703" s="494"/>
      <c r="AF703">
        <v>0</v>
      </c>
      <c r="AG703">
        <v>0</v>
      </c>
      <c r="AH703">
        <v>0</v>
      </c>
    </row>
    <row r="704" spans="16:34" ht="12.75" hidden="1" customHeight="1">
      <c r="P704">
        <v>0</v>
      </c>
      <c r="Q704">
        <v>0.5</v>
      </c>
      <c r="AA704">
        <v>18</v>
      </c>
      <c r="AB704" s="319"/>
      <c r="AC704" s="319"/>
      <c r="AD704" s="319"/>
      <c r="AE704" s="494"/>
      <c r="AF704">
        <v>0</v>
      </c>
      <c r="AG704">
        <v>0</v>
      </c>
      <c r="AH704">
        <v>0</v>
      </c>
    </row>
    <row r="705" spans="2:34" ht="12.75" hidden="1" customHeight="1">
      <c r="P705">
        <v>0.5</v>
      </c>
      <c r="Q705">
        <v>0.5</v>
      </c>
      <c r="AA705">
        <v>19</v>
      </c>
      <c r="AB705" s="319"/>
      <c r="AC705" s="319"/>
      <c r="AD705" s="319"/>
      <c r="AE705" s="494"/>
      <c r="AF705">
        <v>0</v>
      </c>
      <c r="AG705">
        <v>0</v>
      </c>
      <c r="AH705">
        <v>0</v>
      </c>
    </row>
    <row r="706" spans="2:34" ht="12.75" hidden="1" customHeight="1">
      <c r="P706">
        <v>1</v>
      </c>
      <c r="Q706">
        <v>0.5</v>
      </c>
      <c r="AA706">
        <v>20</v>
      </c>
      <c r="AB706" s="319"/>
      <c r="AC706" s="319"/>
      <c r="AD706" s="319"/>
      <c r="AE706" s="494"/>
      <c r="AF706">
        <v>0</v>
      </c>
      <c r="AG706">
        <v>0</v>
      </c>
      <c r="AH706">
        <v>0</v>
      </c>
    </row>
    <row r="707" spans="2:34" ht="12.75" hidden="1" customHeight="1">
      <c r="P707">
        <v>-1</v>
      </c>
      <c r="Q707">
        <v>1</v>
      </c>
      <c r="AA707">
        <v>21</v>
      </c>
      <c r="AB707" s="319"/>
      <c r="AC707" s="319"/>
      <c r="AD707" s="319"/>
      <c r="AE707" s="494"/>
      <c r="AF707">
        <v>0</v>
      </c>
      <c r="AG707">
        <v>0</v>
      </c>
      <c r="AH707">
        <v>0</v>
      </c>
    </row>
    <row r="708" spans="2:34" ht="12.75" hidden="1" customHeight="1">
      <c r="P708">
        <v>-0.5</v>
      </c>
      <c r="Q708">
        <v>1</v>
      </c>
      <c r="AA708">
        <v>22</v>
      </c>
      <c r="AB708" s="319"/>
      <c r="AC708" s="319"/>
      <c r="AD708" s="319"/>
      <c r="AE708" s="494"/>
      <c r="AF708">
        <v>0</v>
      </c>
      <c r="AG708">
        <v>0</v>
      </c>
      <c r="AH708">
        <v>0</v>
      </c>
    </row>
    <row r="709" spans="2:34" ht="12.75" hidden="1" customHeight="1">
      <c r="P709">
        <v>0</v>
      </c>
      <c r="Q709">
        <v>1</v>
      </c>
      <c r="AA709">
        <v>23</v>
      </c>
      <c r="AB709" s="319"/>
      <c r="AC709" s="319"/>
      <c r="AD709" s="319"/>
      <c r="AE709" s="494"/>
      <c r="AF709">
        <v>0</v>
      </c>
      <c r="AG709">
        <v>0</v>
      </c>
      <c r="AH709">
        <v>0</v>
      </c>
    </row>
    <row r="710" spans="2:34" ht="12.75" hidden="1" customHeight="1">
      <c r="P710">
        <v>0.5</v>
      </c>
      <c r="Q710">
        <v>1</v>
      </c>
      <c r="AA710">
        <v>24</v>
      </c>
      <c r="AB710" s="319"/>
      <c r="AC710" s="319"/>
      <c r="AD710" s="319"/>
      <c r="AE710" s="494"/>
      <c r="AF710">
        <v>0</v>
      </c>
      <c r="AG710">
        <v>0</v>
      </c>
      <c r="AH710">
        <v>0</v>
      </c>
    </row>
    <row r="711" spans="2:34" ht="12.75" hidden="1" customHeight="1">
      <c r="P711">
        <v>1</v>
      </c>
      <c r="Q711">
        <v>1</v>
      </c>
      <c r="AA711">
        <v>25</v>
      </c>
      <c r="AB711" s="319"/>
      <c r="AC711" s="319"/>
      <c r="AD711" s="319"/>
      <c r="AE711" s="494"/>
      <c r="AF711">
        <v>0</v>
      </c>
      <c r="AG711">
        <v>0</v>
      </c>
      <c r="AH711">
        <v>0</v>
      </c>
    </row>
    <row r="712" spans="2:34" ht="12.75" hidden="1" customHeight="1">
      <c r="B712">
        <f t="shared" ref="B712:N712" si="27">IF($E$18=$B$19,0,IF($E$18=B$685,$C$6*$Q687,IF($B$19=B$685,$C$6*$P687,0)))</f>
        <v>0</v>
      </c>
      <c r="C712">
        <f t="shared" si="27"/>
        <v>0</v>
      </c>
      <c r="D712">
        <f t="shared" si="27"/>
        <v>0</v>
      </c>
      <c r="E712">
        <f t="shared" si="27"/>
        <v>0</v>
      </c>
      <c r="F712">
        <f t="shared" si="27"/>
        <v>0</v>
      </c>
      <c r="G712">
        <f t="shared" si="27"/>
        <v>0</v>
      </c>
      <c r="H712">
        <f t="shared" si="27"/>
        <v>0</v>
      </c>
      <c r="I712">
        <f t="shared" si="27"/>
        <v>0</v>
      </c>
      <c r="J712">
        <f t="shared" si="27"/>
        <v>0</v>
      </c>
      <c r="K712">
        <f t="shared" si="27"/>
        <v>0</v>
      </c>
      <c r="L712">
        <f t="shared" si="27"/>
        <v>0</v>
      </c>
      <c r="M712">
        <f t="shared" si="27"/>
        <v>0</v>
      </c>
      <c r="N712">
        <f t="shared" si="27"/>
        <v>0</v>
      </c>
      <c r="AA712">
        <v>1</v>
      </c>
      <c r="AB712" s="319"/>
      <c r="AC712" s="319"/>
      <c r="AD712" s="319"/>
      <c r="AE712" s="494"/>
      <c r="AF712">
        <v>0</v>
      </c>
      <c r="AG712">
        <v>0</v>
      </c>
      <c r="AH712">
        <v>0</v>
      </c>
    </row>
    <row r="713" spans="2:34" ht="12.75" hidden="1" customHeight="1">
      <c r="AA713">
        <v>2</v>
      </c>
      <c r="AB713" s="319"/>
      <c r="AC713" s="319"/>
      <c r="AD713" s="319"/>
      <c r="AE713" s="494"/>
      <c r="AF713">
        <v>0</v>
      </c>
      <c r="AG713">
        <v>0</v>
      </c>
      <c r="AH713">
        <v>0</v>
      </c>
    </row>
    <row r="714" spans="2:34" ht="12.75" hidden="1" customHeight="1">
      <c r="AA714">
        <v>3</v>
      </c>
      <c r="AB714" s="319"/>
      <c r="AC714" s="319"/>
      <c r="AD714" s="319"/>
      <c r="AE714" s="494"/>
      <c r="AF714">
        <v>0</v>
      </c>
      <c r="AG714">
        <v>0</v>
      </c>
      <c r="AH714">
        <v>0</v>
      </c>
    </row>
    <row r="715" spans="2:34" ht="12.75" hidden="1" customHeight="1">
      <c r="AA715">
        <v>4</v>
      </c>
      <c r="AB715" s="319"/>
      <c r="AC715" s="319"/>
      <c r="AD715" s="319"/>
      <c r="AE715" s="494"/>
      <c r="AF715">
        <v>0</v>
      </c>
      <c r="AG715">
        <v>0</v>
      </c>
      <c r="AH715">
        <v>0</v>
      </c>
    </row>
    <row r="716" spans="2:34" ht="12.75" hidden="1" customHeight="1">
      <c r="AA716">
        <v>5</v>
      </c>
      <c r="AB716" s="319"/>
      <c r="AC716" s="319"/>
      <c r="AD716" s="319"/>
      <c r="AE716" s="494"/>
      <c r="AF716">
        <v>0</v>
      </c>
      <c r="AG716">
        <v>0</v>
      </c>
      <c r="AH716">
        <v>0</v>
      </c>
    </row>
    <row r="717" spans="2:34" ht="12.75" hidden="1" customHeight="1">
      <c r="AA717">
        <v>6</v>
      </c>
      <c r="AB717" s="319"/>
      <c r="AC717" s="319"/>
      <c r="AD717" s="319"/>
      <c r="AE717" s="494"/>
      <c r="AF717">
        <v>0</v>
      </c>
      <c r="AG717">
        <v>0</v>
      </c>
      <c r="AH717">
        <v>0</v>
      </c>
    </row>
    <row r="718" spans="2:34" ht="12.75" hidden="1" customHeight="1">
      <c r="AA718">
        <v>7</v>
      </c>
      <c r="AB718" s="319"/>
      <c r="AC718" s="319"/>
      <c r="AD718" s="319"/>
      <c r="AE718" s="494"/>
      <c r="AF718">
        <v>0</v>
      </c>
      <c r="AG718">
        <v>0</v>
      </c>
      <c r="AH718">
        <v>0</v>
      </c>
    </row>
    <row r="719" spans="2:34" ht="12.75" hidden="1" customHeight="1">
      <c r="AA719">
        <v>8</v>
      </c>
      <c r="AB719" s="319"/>
      <c r="AC719" s="319"/>
      <c r="AD719" s="319"/>
      <c r="AE719" s="494"/>
      <c r="AF719">
        <v>0</v>
      </c>
      <c r="AG719">
        <v>0</v>
      </c>
      <c r="AH719">
        <v>0</v>
      </c>
    </row>
    <row r="720" spans="2:34" ht="12.75" hidden="1" customHeight="1">
      <c r="AA720">
        <v>9</v>
      </c>
      <c r="AB720" s="319"/>
      <c r="AC720" s="319"/>
      <c r="AD720" s="319"/>
      <c r="AE720" s="494"/>
      <c r="AF720">
        <v>0</v>
      </c>
      <c r="AG720">
        <v>0</v>
      </c>
      <c r="AH720">
        <v>0</v>
      </c>
    </row>
    <row r="721" spans="27:34" ht="12.75" hidden="1" customHeight="1">
      <c r="AA721">
        <v>10</v>
      </c>
      <c r="AB721" s="319"/>
      <c r="AC721" s="319"/>
      <c r="AD721" s="319"/>
      <c r="AE721" s="494"/>
      <c r="AF721">
        <v>0</v>
      </c>
      <c r="AG721">
        <v>0</v>
      </c>
      <c r="AH721">
        <v>0</v>
      </c>
    </row>
    <row r="722" spans="27:34" ht="12.75" hidden="1" customHeight="1">
      <c r="AA722">
        <v>11</v>
      </c>
      <c r="AB722" s="319"/>
      <c r="AC722" s="319"/>
      <c r="AD722" s="319"/>
      <c r="AE722" s="494"/>
      <c r="AF722">
        <v>0</v>
      </c>
      <c r="AG722">
        <v>0</v>
      </c>
      <c r="AH722">
        <v>0</v>
      </c>
    </row>
    <row r="723" spans="27:34" ht="12.75" hidden="1" customHeight="1">
      <c r="AA723">
        <v>12</v>
      </c>
      <c r="AB723" s="319"/>
      <c r="AC723" s="319"/>
      <c r="AD723" s="319"/>
      <c r="AE723" s="494"/>
      <c r="AF723">
        <v>0</v>
      </c>
      <c r="AG723">
        <v>0</v>
      </c>
      <c r="AH723">
        <v>0</v>
      </c>
    </row>
    <row r="724" spans="27:34" ht="12.75" hidden="1" customHeight="1">
      <c r="AA724">
        <v>13</v>
      </c>
      <c r="AB724" s="319"/>
      <c r="AC724" s="319"/>
      <c r="AD724" s="319"/>
      <c r="AE724" s="494"/>
      <c r="AF724">
        <v>0</v>
      </c>
      <c r="AG724">
        <v>0</v>
      </c>
      <c r="AH724">
        <v>0</v>
      </c>
    </row>
    <row r="725" spans="27:34" ht="12.75" hidden="1" customHeight="1">
      <c r="AA725">
        <v>14</v>
      </c>
      <c r="AB725" s="319"/>
      <c r="AC725" s="319"/>
      <c r="AD725" s="319"/>
      <c r="AE725" s="494"/>
      <c r="AF725">
        <v>0</v>
      </c>
      <c r="AG725">
        <v>0</v>
      </c>
      <c r="AH725">
        <v>0</v>
      </c>
    </row>
    <row r="726" spans="27:34" ht="12.75" hidden="1" customHeight="1">
      <c r="AA726">
        <v>15</v>
      </c>
      <c r="AB726" s="319"/>
      <c r="AC726" s="319"/>
      <c r="AD726" s="319"/>
      <c r="AE726" s="494"/>
      <c r="AF726">
        <v>0</v>
      </c>
      <c r="AG726">
        <v>0</v>
      </c>
      <c r="AH726">
        <v>0</v>
      </c>
    </row>
    <row r="727" spans="27:34" ht="12.75" hidden="1" customHeight="1">
      <c r="AA727">
        <v>16</v>
      </c>
      <c r="AB727" s="319"/>
      <c r="AC727" s="319"/>
      <c r="AD727" s="319"/>
      <c r="AE727" s="494"/>
      <c r="AF727">
        <v>0</v>
      </c>
      <c r="AG727">
        <v>0</v>
      </c>
      <c r="AH727">
        <v>0</v>
      </c>
    </row>
    <row r="728" spans="27:34" ht="12.75" hidden="1" customHeight="1">
      <c r="AA728">
        <v>17</v>
      </c>
      <c r="AB728" s="319"/>
      <c r="AC728" s="319"/>
      <c r="AD728" s="319"/>
      <c r="AE728" s="494"/>
      <c r="AF728">
        <v>0</v>
      </c>
      <c r="AG728">
        <v>0</v>
      </c>
      <c r="AH728">
        <v>0</v>
      </c>
    </row>
    <row r="729" spans="27:34" ht="12.75" hidden="1" customHeight="1">
      <c r="AA729">
        <v>18</v>
      </c>
      <c r="AB729" s="319"/>
      <c r="AC729" s="319"/>
      <c r="AD729" s="319"/>
      <c r="AE729" s="494"/>
      <c r="AF729">
        <v>0</v>
      </c>
      <c r="AG729">
        <v>0</v>
      </c>
      <c r="AH729">
        <v>0</v>
      </c>
    </row>
    <row r="730" spans="27:34" ht="12.75" hidden="1" customHeight="1">
      <c r="AA730">
        <v>19</v>
      </c>
      <c r="AB730" s="319"/>
      <c r="AC730" s="319"/>
      <c r="AD730" s="319"/>
      <c r="AE730" s="494"/>
      <c r="AF730">
        <v>0</v>
      </c>
      <c r="AG730">
        <v>0</v>
      </c>
      <c r="AH730">
        <v>0</v>
      </c>
    </row>
    <row r="731" spans="27:34" ht="12.75" hidden="1" customHeight="1">
      <c r="AA731">
        <v>20</v>
      </c>
      <c r="AB731" s="319"/>
      <c r="AC731" s="319"/>
      <c r="AD731" s="319"/>
      <c r="AE731" s="494"/>
      <c r="AF731">
        <v>0</v>
      </c>
      <c r="AG731">
        <v>0</v>
      </c>
      <c r="AH731">
        <v>0</v>
      </c>
    </row>
    <row r="732" spans="27:34" ht="12.75" hidden="1" customHeight="1">
      <c r="AA732">
        <v>21</v>
      </c>
      <c r="AB732" s="319"/>
      <c r="AC732" s="319"/>
      <c r="AD732" s="319"/>
      <c r="AE732" s="494"/>
      <c r="AF732">
        <v>0</v>
      </c>
      <c r="AG732">
        <v>0</v>
      </c>
      <c r="AH732">
        <v>0</v>
      </c>
    </row>
    <row r="733" spans="27:34" ht="12.75" hidden="1" customHeight="1">
      <c r="AA733">
        <v>22</v>
      </c>
      <c r="AB733" s="319"/>
      <c r="AC733" s="319"/>
      <c r="AD733" s="319"/>
      <c r="AE733" s="494"/>
      <c r="AF733">
        <v>0</v>
      </c>
      <c r="AG733">
        <v>0</v>
      </c>
      <c r="AH733">
        <v>0</v>
      </c>
    </row>
    <row r="734" spans="27:34" ht="12.75" hidden="1" customHeight="1">
      <c r="AA734">
        <v>23</v>
      </c>
      <c r="AB734" s="319"/>
      <c r="AC734" s="319"/>
      <c r="AD734" s="319"/>
      <c r="AE734" s="494"/>
      <c r="AF734">
        <v>0</v>
      </c>
      <c r="AG734">
        <v>0</v>
      </c>
      <c r="AH734">
        <v>0</v>
      </c>
    </row>
    <row r="735" spans="27:34" ht="12.75" hidden="1" customHeight="1">
      <c r="AA735">
        <v>24</v>
      </c>
      <c r="AB735" s="319"/>
      <c r="AC735" s="319"/>
      <c r="AD735" s="319"/>
      <c r="AE735" s="494"/>
      <c r="AF735">
        <v>0</v>
      </c>
      <c r="AG735">
        <v>0</v>
      </c>
      <c r="AH735">
        <v>0</v>
      </c>
    </row>
    <row r="736" spans="27:34" ht="12.75" hidden="1" customHeight="1">
      <c r="AA736">
        <v>25</v>
      </c>
      <c r="AB736" s="319"/>
      <c r="AC736" s="319"/>
      <c r="AD736" s="319"/>
      <c r="AE736" s="494"/>
      <c r="AF736">
        <v>0</v>
      </c>
      <c r="AG736">
        <v>0</v>
      </c>
      <c r="AH736">
        <v>0</v>
      </c>
    </row>
    <row r="737" spans="2:34" ht="12.75" hidden="1" customHeight="1">
      <c r="B737">
        <f t="shared" ref="B737:O737" si="28">IF($E$27=$B$28,0,IF($E$27=B$685,$C$6*$Q687,IF($B$28=B$685,$C$6*$P687,0)))</f>
        <v>0</v>
      </c>
      <c r="C737">
        <f t="shared" si="28"/>
        <v>0</v>
      </c>
      <c r="D737">
        <f t="shared" si="28"/>
        <v>0</v>
      </c>
      <c r="E737">
        <f t="shared" si="28"/>
        <v>0</v>
      </c>
      <c r="F737">
        <f t="shared" si="28"/>
        <v>0</v>
      </c>
      <c r="G737">
        <f t="shared" si="28"/>
        <v>0</v>
      </c>
      <c r="H737">
        <f t="shared" si="28"/>
        <v>0</v>
      </c>
      <c r="I737">
        <f t="shared" si="28"/>
        <v>0</v>
      </c>
      <c r="J737">
        <f t="shared" si="28"/>
        <v>0</v>
      </c>
      <c r="K737">
        <f t="shared" si="28"/>
        <v>0</v>
      </c>
      <c r="L737">
        <f t="shared" si="28"/>
        <v>0</v>
      </c>
      <c r="M737">
        <f t="shared" si="28"/>
        <v>0</v>
      </c>
      <c r="N737">
        <f t="shared" si="28"/>
        <v>0</v>
      </c>
      <c r="O737">
        <f t="shared" si="28"/>
        <v>0</v>
      </c>
      <c r="AA737">
        <v>1</v>
      </c>
      <c r="AB737" s="319"/>
      <c r="AC737" s="319"/>
      <c r="AD737" s="319"/>
      <c r="AE737" s="494"/>
      <c r="AF737">
        <v>0</v>
      </c>
      <c r="AG737">
        <v>0</v>
      </c>
      <c r="AH737">
        <v>0</v>
      </c>
    </row>
    <row r="738" spans="2:34" ht="12.75" hidden="1" customHeight="1">
      <c r="AA738">
        <v>2</v>
      </c>
      <c r="AB738" s="319"/>
      <c r="AC738" s="319"/>
      <c r="AD738" s="319"/>
      <c r="AE738" s="494"/>
      <c r="AF738">
        <v>0</v>
      </c>
      <c r="AG738">
        <v>0</v>
      </c>
      <c r="AH738">
        <v>0</v>
      </c>
    </row>
    <row r="739" spans="2:34" ht="12.75" hidden="1" customHeight="1">
      <c r="AA739">
        <v>3</v>
      </c>
      <c r="AB739" s="319"/>
      <c r="AC739" s="319"/>
      <c r="AD739" s="319"/>
      <c r="AE739" s="494"/>
      <c r="AF739">
        <v>0</v>
      </c>
      <c r="AG739">
        <v>0</v>
      </c>
      <c r="AH739">
        <v>0</v>
      </c>
    </row>
    <row r="740" spans="2:34" ht="12.75" hidden="1" customHeight="1">
      <c r="AA740">
        <v>4</v>
      </c>
      <c r="AB740" s="319"/>
      <c r="AC740" s="319"/>
      <c r="AD740" s="319"/>
      <c r="AE740" s="494"/>
      <c r="AF740">
        <v>0</v>
      </c>
      <c r="AG740">
        <v>0</v>
      </c>
      <c r="AH740">
        <v>0</v>
      </c>
    </row>
    <row r="741" spans="2:34" ht="12.75" hidden="1" customHeight="1">
      <c r="AA741">
        <v>5</v>
      </c>
      <c r="AB741" s="319"/>
      <c r="AC741" s="319"/>
      <c r="AD741" s="319"/>
      <c r="AE741" s="494"/>
      <c r="AF741">
        <v>0</v>
      </c>
      <c r="AG741">
        <v>0</v>
      </c>
      <c r="AH741">
        <v>0</v>
      </c>
    </row>
    <row r="742" spans="2:34" ht="12.75" hidden="1" customHeight="1">
      <c r="AA742">
        <v>6</v>
      </c>
      <c r="AB742" s="319"/>
      <c r="AC742" s="319"/>
      <c r="AD742" s="319"/>
      <c r="AE742" s="494"/>
      <c r="AF742">
        <v>0</v>
      </c>
      <c r="AG742">
        <v>0</v>
      </c>
      <c r="AH742">
        <v>0</v>
      </c>
    </row>
    <row r="743" spans="2:34" ht="12.75" hidden="1" customHeight="1">
      <c r="AA743">
        <v>7</v>
      </c>
      <c r="AB743" s="319"/>
      <c r="AC743" s="319"/>
      <c r="AD743" s="319"/>
      <c r="AE743" s="494"/>
      <c r="AF743">
        <v>0</v>
      </c>
      <c r="AG743">
        <v>0</v>
      </c>
      <c r="AH743">
        <v>0</v>
      </c>
    </row>
    <row r="744" spans="2:34" ht="12.75" hidden="1" customHeight="1">
      <c r="AA744">
        <v>8</v>
      </c>
      <c r="AB744" s="319"/>
      <c r="AC744" s="319"/>
      <c r="AD744" s="319"/>
      <c r="AE744" s="494"/>
      <c r="AF744">
        <v>0</v>
      </c>
      <c r="AG744">
        <v>0</v>
      </c>
      <c r="AH744">
        <v>0</v>
      </c>
    </row>
    <row r="745" spans="2:34" ht="12.75" hidden="1" customHeight="1">
      <c r="AA745">
        <v>9</v>
      </c>
      <c r="AB745" s="319"/>
      <c r="AC745" s="319"/>
      <c r="AD745" s="319"/>
      <c r="AE745" s="494"/>
      <c r="AF745">
        <v>0</v>
      </c>
      <c r="AG745">
        <v>0</v>
      </c>
      <c r="AH745">
        <v>0</v>
      </c>
    </row>
    <row r="746" spans="2:34" ht="12.75" hidden="1" customHeight="1">
      <c r="AA746">
        <v>10</v>
      </c>
      <c r="AB746" s="319"/>
      <c r="AC746" s="319"/>
      <c r="AD746" s="319"/>
      <c r="AE746" s="494"/>
      <c r="AF746">
        <v>0</v>
      </c>
      <c r="AG746">
        <v>0</v>
      </c>
      <c r="AH746">
        <v>0</v>
      </c>
    </row>
    <row r="747" spans="2:34" ht="12.75" hidden="1" customHeight="1">
      <c r="AA747">
        <v>11</v>
      </c>
      <c r="AB747" s="319"/>
      <c r="AC747" s="319"/>
      <c r="AD747" s="319"/>
      <c r="AE747" s="494"/>
      <c r="AF747">
        <v>0</v>
      </c>
      <c r="AG747">
        <v>0</v>
      </c>
      <c r="AH747">
        <v>0</v>
      </c>
    </row>
    <row r="748" spans="2:34" ht="12.75" hidden="1" customHeight="1">
      <c r="AA748">
        <v>12</v>
      </c>
      <c r="AB748" s="319"/>
      <c r="AC748" s="319"/>
      <c r="AD748" s="319"/>
      <c r="AE748" s="494"/>
      <c r="AF748">
        <v>0</v>
      </c>
      <c r="AG748">
        <v>0</v>
      </c>
      <c r="AH748">
        <v>0</v>
      </c>
    </row>
    <row r="749" spans="2:34" ht="12.75" hidden="1" customHeight="1">
      <c r="AA749">
        <v>13</v>
      </c>
      <c r="AB749" s="319"/>
      <c r="AC749" s="319"/>
      <c r="AD749" s="319"/>
      <c r="AE749" s="494"/>
      <c r="AF749">
        <v>0</v>
      </c>
      <c r="AG749">
        <v>0</v>
      </c>
      <c r="AH749">
        <v>0</v>
      </c>
    </row>
    <row r="750" spans="2:34" ht="12.75" hidden="1" customHeight="1">
      <c r="AA750">
        <v>14</v>
      </c>
      <c r="AB750" s="319"/>
      <c r="AC750" s="319"/>
      <c r="AD750" s="319"/>
      <c r="AE750" s="494"/>
      <c r="AF750">
        <v>0</v>
      </c>
      <c r="AG750">
        <v>0</v>
      </c>
      <c r="AH750">
        <v>0</v>
      </c>
    </row>
    <row r="751" spans="2:34" ht="12.75" hidden="1" customHeight="1">
      <c r="AA751">
        <v>15</v>
      </c>
      <c r="AB751" s="319"/>
      <c r="AC751" s="319"/>
      <c r="AD751" s="319"/>
      <c r="AE751" s="494"/>
      <c r="AF751">
        <v>0</v>
      </c>
      <c r="AG751">
        <v>0</v>
      </c>
      <c r="AH751">
        <v>0</v>
      </c>
    </row>
    <row r="752" spans="2:34" ht="12.75" hidden="1" customHeight="1">
      <c r="AA752">
        <v>16</v>
      </c>
      <c r="AB752" s="319"/>
      <c r="AC752" s="319"/>
      <c r="AD752" s="319"/>
      <c r="AE752" s="494"/>
      <c r="AF752">
        <v>0</v>
      </c>
      <c r="AG752">
        <v>0</v>
      </c>
      <c r="AH752">
        <v>0</v>
      </c>
    </row>
    <row r="753" spans="27:34" ht="12.75" hidden="1" customHeight="1">
      <c r="AA753">
        <v>17</v>
      </c>
      <c r="AB753" s="319"/>
      <c r="AC753" s="319"/>
      <c r="AD753" s="319"/>
      <c r="AE753" s="494"/>
      <c r="AF753">
        <v>0</v>
      </c>
      <c r="AG753">
        <v>0</v>
      </c>
      <c r="AH753">
        <v>0</v>
      </c>
    </row>
    <row r="754" spans="27:34" ht="12.75" hidden="1" customHeight="1">
      <c r="AA754">
        <v>18</v>
      </c>
      <c r="AB754" s="319"/>
      <c r="AC754" s="319"/>
      <c r="AD754" s="319"/>
      <c r="AE754" s="494"/>
      <c r="AF754">
        <v>0</v>
      </c>
      <c r="AG754">
        <v>0</v>
      </c>
      <c r="AH754">
        <v>0</v>
      </c>
    </row>
    <row r="755" spans="27:34" ht="12.75" hidden="1" customHeight="1">
      <c r="AA755">
        <v>19</v>
      </c>
      <c r="AB755" s="319"/>
      <c r="AC755" s="319"/>
      <c r="AD755" s="319"/>
      <c r="AE755" s="494"/>
      <c r="AF755">
        <v>0</v>
      </c>
      <c r="AG755">
        <v>0</v>
      </c>
      <c r="AH755">
        <v>0</v>
      </c>
    </row>
    <row r="756" spans="27:34" ht="12.75" hidden="1" customHeight="1">
      <c r="AA756">
        <v>20</v>
      </c>
      <c r="AB756" s="319"/>
      <c r="AC756" s="319"/>
      <c r="AD756" s="319"/>
      <c r="AE756" s="494"/>
      <c r="AF756">
        <v>0</v>
      </c>
      <c r="AG756">
        <v>0</v>
      </c>
      <c r="AH756">
        <v>0</v>
      </c>
    </row>
    <row r="757" spans="27:34" ht="12.75" hidden="1" customHeight="1">
      <c r="AA757">
        <v>21</v>
      </c>
      <c r="AB757" s="319"/>
      <c r="AC757" s="319"/>
      <c r="AD757" s="319"/>
      <c r="AE757" s="494"/>
      <c r="AF757">
        <v>0</v>
      </c>
      <c r="AG757">
        <v>0</v>
      </c>
      <c r="AH757">
        <v>0</v>
      </c>
    </row>
    <row r="758" spans="27:34" ht="12.75" hidden="1" customHeight="1">
      <c r="AA758">
        <v>22</v>
      </c>
      <c r="AB758" s="319"/>
      <c r="AC758" s="319"/>
      <c r="AD758" s="319"/>
      <c r="AE758" s="494"/>
      <c r="AF758">
        <v>0</v>
      </c>
      <c r="AG758">
        <v>0</v>
      </c>
      <c r="AH758">
        <v>0</v>
      </c>
    </row>
    <row r="759" spans="27:34" ht="12.75" hidden="1" customHeight="1">
      <c r="AA759">
        <v>23</v>
      </c>
      <c r="AB759" s="319"/>
      <c r="AC759" s="319"/>
      <c r="AD759" s="319"/>
      <c r="AE759" s="494"/>
      <c r="AF759">
        <v>0</v>
      </c>
      <c r="AG759">
        <v>0</v>
      </c>
      <c r="AH759">
        <v>0</v>
      </c>
    </row>
    <row r="760" spans="27:34" ht="12.75" hidden="1" customHeight="1">
      <c r="AA760">
        <v>24</v>
      </c>
      <c r="AB760" s="319"/>
      <c r="AC760" s="319"/>
      <c r="AD760" s="319"/>
      <c r="AE760" s="494"/>
      <c r="AF760">
        <v>0</v>
      </c>
      <c r="AG760">
        <v>0</v>
      </c>
      <c r="AH760">
        <v>0</v>
      </c>
    </row>
    <row r="761" spans="27:34" ht="12.75" hidden="1" customHeight="1">
      <c r="AA761">
        <v>25</v>
      </c>
      <c r="AB761" s="319"/>
      <c r="AC761" s="319"/>
      <c r="AD761" s="319"/>
      <c r="AE761" s="494"/>
      <c r="AF761">
        <v>0</v>
      </c>
      <c r="AG761">
        <v>0</v>
      </c>
      <c r="AH761">
        <v>0</v>
      </c>
    </row>
  </sheetData>
  <scenarios current="0" show="0">
    <scenario name="Risk" locked="1" count="13" user="RETScreen" comment="Created by Urban Ziegler on 09/11/2005_x000a_Modified by Urban Ziegler on 11/9/2005_x000a_Modified by Urban Ziegler on 11/10/2005_x000a_Modified by Urban Ziegler on 11/21/2005_x000a_Modified by Urban Ziegler on 11/23/2005_x000a_Modified by Urban Ziegler on 12/12/2005_x000a_Modified by D">
      <inputCells r="I109" val="0"/>
      <inputCells r="I110" val="0"/>
      <inputCells r="I111" val="0"/>
      <inputCells r="I112" val="0"/>
      <inputCells r="I113" val="0"/>
      <inputCells r="I114" val="0"/>
      <inputCells r="I115" val="0"/>
      <inputCells r="I116" val="0"/>
      <inputCells r="I117" val="0"/>
      <inputCells r="I118" val="0"/>
      <inputCells r="I119" val="0"/>
      <inputCells r="I120" val="0"/>
      <inputCells r="I121" val="0"/>
    </scenario>
  </scenarios>
  <mergeCells count="17">
    <mergeCell ref="B28:C28"/>
    <mergeCell ref="C39:D39"/>
    <mergeCell ref="B99:H99"/>
    <mergeCell ref="I82:I98"/>
    <mergeCell ref="B82:H98"/>
    <mergeCell ref="I59:I75"/>
    <mergeCell ref="B75:H75"/>
    <mergeCell ref="F56:G57"/>
    <mergeCell ref="B59:H74"/>
    <mergeCell ref="B10:C10"/>
    <mergeCell ref="E18:G18"/>
    <mergeCell ref="B19:C19"/>
    <mergeCell ref="E27:G27"/>
    <mergeCell ref="A1:I2"/>
    <mergeCell ref="C5:D5"/>
    <mergeCell ref="C6:D6"/>
    <mergeCell ref="E9:G9"/>
  </mergeCells>
  <phoneticPr fontId="0" type="noConversion"/>
  <conditionalFormatting sqref="H54">
    <cfRule type="expression" dxfId="38" priority="1" stopIfTrue="1">
      <formula>$H$54&gt;$C$115</formula>
    </cfRule>
  </conditionalFormatting>
  <conditionalFormatting sqref="G52:G54">
    <cfRule type="expression" dxfId="37" priority="2" stopIfTrue="1">
      <formula>G52&lt;0</formula>
    </cfRule>
  </conditionalFormatting>
  <conditionalFormatting sqref="H52:H53">
    <cfRule type="expression" dxfId="36" priority="3" stopIfTrue="1">
      <formula>H52&gt;1</formula>
    </cfRule>
  </conditionalFormatting>
  <conditionalFormatting sqref="C5">
    <cfRule type="expression" dxfId="35" priority="4" stopIfTrue="1">
      <formula>$L$1=2</formula>
    </cfRule>
  </conditionalFormatting>
  <conditionalFormatting sqref="F14 F23 F32">
    <cfRule type="expression" dxfId="34" priority="5" stopIfTrue="1">
      <formula>OR(AND(SensParam&lt;3,F14&lt;ParamThresh/100),AND(SensParam=3,F14&lt;&gt;$AF$680,F14&gt;ParamThresh),AND(SensParam=4,F14&lt;ParamThresh))</formula>
    </cfRule>
    <cfRule type="expression" dxfId="33" priority="6" stopIfTrue="1">
      <formula>F14=$AF$682</formula>
    </cfRule>
  </conditionalFormatting>
  <conditionalFormatting sqref="F30:F31 F33:F34 D30:E34 G30:H34">
    <cfRule type="expression" dxfId="32" priority="7" stopIfTrue="1">
      <formula>OR(AND(SensParam&lt;3,D30&lt;ParamThresh/100),AND(SensParam=3,D30&lt;&gt;$AF$680,D30&gt;ParamThresh),AND(SensParam=4,D30&lt;ParamThresh))</formula>
    </cfRule>
    <cfRule type="expression" dxfId="31" priority="8" stopIfTrue="1">
      <formula>D30=$AF$682</formula>
    </cfRule>
    <cfRule type="expression" dxfId="30" priority="9" stopIfTrue="1">
      <formula>$B$28=$E$27</formula>
    </cfRule>
  </conditionalFormatting>
  <conditionalFormatting sqref="D12:E16 G12:H16 F12:F13 F15:F16">
    <cfRule type="expression" dxfId="29" priority="10" stopIfTrue="1">
      <formula>OR(AND(SensParam&lt;3,D12&lt;ParamThresh/100),AND(SensParam=3,D12&lt;&gt;$AF$680,D12&gt;ParamThresh),AND(SensParam=4,D12&lt;ParamThresh))</formula>
    </cfRule>
    <cfRule type="expression" dxfId="28" priority="11" stopIfTrue="1">
      <formula>D12=$AF$682</formula>
    </cfRule>
    <cfRule type="expression" dxfId="27" priority="12" stopIfTrue="1">
      <formula>$B$10=$E$9</formula>
    </cfRule>
  </conditionalFormatting>
  <conditionalFormatting sqref="D21:E25 G21:H25 F21:F22 F24:F25">
    <cfRule type="expression" dxfId="26" priority="13" stopIfTrue="1">
      <formula>OR(AND(SensParam&lt;3,D21&lt;ParamThresh/100),AND(SensParam=3,D21&lt;&gt;$AF$680,D21&gt;ParamThresh),AND(SensParam=4,D21&lt;ParamThresh))</formula>
    </cfRule>
    <cfRule type="expression" dxfId="25" priority="14" stopIfTrue="1">
      <formula>D21=$AF$682</formula>
    </cfRule>
    <cfRule type="expression" dxfId="24" priority="15" stopIfTrue="1">
      <formula>$B$19=$E$18</formula>
    </cfRule>
  </conditionalFormatting>
  <conditionalFormatting sqref="F77 F79:F80">
    <cfRule type="expression" dxfId="23" priority="16" stopIfTrue="1">
      <formula>RiskRecalc=TRUE</formula>
    </cfRule>
  </conditionalFormatting>
  <dataValidations count="2">
    <dataValidation type="list" allowBlank="1" showInputMessage="1" showErrorMessage="1" sqref="B28:C28 B19:C19 E18:G18 E9:G9 E27:G27 B10:C10" xr:uid="{DA864538-1B8F-4F33-B60F-82CD5B76AC2A}">
      <formula1>$P$42:$P$54</formula1>
    </dataValidation>
    <dataValidation type="list" allowBlank="1" showInputMessage="1" showErrorMessage="1" sqref="C39:D39 C5:D5" xr:uid="{60EB781E-7B59-4068-AC10-8A4E44A363DF}">
      <formula1>$B$109:$B$112</formula1>
    </dataValidation>
  </dataValidations>
  <printOptions horizontalCentered="1"/>
  <pageMargins left="0.51181102362204722" right="0.51181102362204722" top="0.51181102362204722" bottom="0.51181102362204722" header="0.51181102362204722" footer="0.31496062992125984"/>
  <pageSetup scale="73" orientation="portrait" r:id="rId1"/>
  <headerFooter alignWithMargins="0">
    <oddFooter>&amp;L_x000D_&amp;R2007-09-27_x000D_RETScreen4-v182-45.xls</oddFooter>
  </headerFooter>
  <drawing r:id="rId2"/>
  <legacyDrawing r:id="rId3"/>
  <controls>
    <mc:AlternateContent xmlns:mc="http://schemas.openxmlformats.org/markup-compatibility/2006">
      <mc:Choice Requires="x14">
        <control shapeId="13319" r:id="rId4" name="RiskChkBox">
          <controlPr defaultSize="0" print="0" autoLine="0" linkedCell="$K$2" r:id="rId5">
            <anchor moveWithCells="1" sizeWithCells="1">
              <from>
                <xdr:col>0</xdr:col>
                <xdr:colOff>0</xdr:colOff>
                <xdr:row>36</xdr:row>
                <xdr:rowOff>0</xdr:rowOff>
              </from>
              <to>
                <xdr:col>1</xdr:col>
                <xdr:colOff>0</xdr:colOff>
                <xdr:row>36</xdr:row>
                <xdr:rowOff>152400</xdr:rowOff>
              </to>
            </anchor>
          </controlPr>
        </control>
      </mc:Choice>
      <mc:Fallback>
        <control shapeId="13319" r:id="rId4" name="RiskChkBox"/>
      </mc:Fallback>
    </mc:AlternateContent>
    <mc:AlternateContent xmlns:mc="http://schemas.openxmlformats.org/markup-compatibility/2006">
      <mc:Choice Requires="x14">
        <control shapeId="13318" r:id="rId6" name="SensChkBox">
          <controlPr defaultSize="0" print="0" autoLine="0" linkedCell="$K$1" r:id="rId5">
            <anchor moveWithCells="1" sizeWithCells="1">
              <from>
                <xdr:col>0</xdr:col>
                <xdr:colOff>0</xdr:colOff>
                <xdr:row>2</xdr:row>
                <xdr:rowOff>0</xdr:rowOff>
              </from>
              <to>
                <xdr:col>1</xdr:col>
                <xdr:colOff>0</xdr:colOff>
                <xdr:row>2</xdr:row>
                <xdr:rowOff>160020</xdr:rowOff>
              </to>
            </anchor>
          </controlPr>
        </control>
      </mc:Choice>
      <mc:Fallback>
        <control shapeId="13318" r:id="rId6" name="SensChkBox"/>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C788B-390B-41F4-8173-D9F020532801}">
  <sheetPr codeName="CHP_Tools">
    <pageSetUpPr fitToPage="1"/>
  </sheetPr>
  <dimension ref="A1:AM1069"/>
  <sheetViews>
    <sheetView showRowColHeaders="0" zoomScale="80" zoomScaleNormal="80" workbookViewId="0">
      <selection sqref="A1:J2"/>
    </sheetView>
  </sheetViews>
  <sheetFormatPr defaultColWidth="0" defaultRowHeight="13.35" customHeight="1" zeroHeight="1"/>
  <cols>
    <col min="1" max="1" width="3.77734375" customWidth="1"/>
    <col min="2" max="2" width="46.88671875" customWidth="1"/>
    <col min="3" max="3" width="18.33203125" customWidth="1"/>
    <col min="4" max="4" width="17.77734375" customWidth="1"/>
    <col min="5" max="5" width="18.33203125" customWidth="1"/>
    <col min="6" max="10" width="15.77734375" customWidth="1"/>
    <col min="11" max="11" width="3.77734375" customWidth="1"/>
    <col min="12" max="12" width="20" hidden="1" customWidth="1"/>
    <col min="13" max="13" width="12.6640625" hidden="1" customWidth="1"/>
    <col min="14" max="14" width="9.6640625" hidden="1" customWidth="1"/>
    <col min="15" max="15" width="30.6640625" hidden="1" customWidth="1"/>
    <col min="16" max="16" width="9.44140625" hidden="1" customWidth="1"/>
    <col min="17" max="17" width="2.33203125" hidden="1" customWidth="1"/>
    <col min="18" max="18" width="18.109375" hidden="1" customWidth="1"/>
    <col min="19" max="19" width="32.6640625" hidden="1" customWidth="1"/>
    <col min="20" max="20" width="36" hidden="1" customWidth="1"/>
    <col min="21" max="21" width="18" hidden="1" customWidth="1"/>
    <col min="22" max="22" width="26.5546875" hidden="1" customWidth="1"/>
    <col min="23" max="23" width="24.6640625" hidden="1" customWidth="1"/>
    <col min="24" max="27" width="9.109375" hidden="1" customWidth="1"/>
    <col min="28" max="28" width="10.6640625" hidden="1" customWidth="1"/>
    <col min="29" max="16384" width="9.109375" hidden="1"/>
  </cols>
  <sheetData>
    <row r="1" spans="1:39" ht="12.75" customHeight="1">
      <c r="A1" s="1194" t="str">
        <f>Language!C873&amp;'Análise de Emissões'!B188</f>
        <v>RETScreen Ferram. - Projeto produção de Eletricidade</v>
      </c>
      <c r="B1" s="1194"/>
      <c r="C1" s="1194"/>
      <c r="D1" s="1194"/>
      <c r="E1" s="1194"/>
      <c r="F1" s="1194"/>
      <c r="G1" s="1194"/>
      <c r="H1" s="1194"/>
      <c r="I1" s="1194"/>
      <c r="J1" s="1194"/>
      <c r="K1" s="1"/>
      <c r="L1" s="319" t="s">
        <v>2570</v>
      </c>
      <c r="M1" s="319" t="s">
        <v>2571</v>
      </c>
      <c r="N1" s="319"/>
      <c r="O1" s="319" t="s">
        <v>2572</v>
      </c>
      <c r="P1" s="319" t="s">
        <v>2571</v>
      </c>
      <c r="Q1" s="319"/>
      <c r="R1" s="319"/>
      <c r="S1" s="319"/>
      <c r="T1" s="319"/>
      <c r="U1" s="319"/>
      <c r="V1" s="319"/>
      <c r="W1" s="319">
        <v>110000</v>
      </c>
      <c r="Y1" t="s">
        <v>2451</v>
      </c>
      <c r="AB1" t="s">
        <v>2463</v>
      </c>
      <c r="AH1" t="s">
        <v>5636</v>
      </c>
    </row>
    <row r="2" spans="1:39" ht="12.75" customHeight="1">
      <c r="A2" s="1219"/>
      <c r="B2" s="1219"/>
      <c r="C2" s="1219"/>
      <c r="D2" s="1219"/>
      <c r="E2" s="1219"/>
      <c r="F2" s="1219"/>
      <c r="G2" s="1219"/>
      <c r="H2" s="1219"/>
      <c r="I2" s="1219"/>
      <c r="J2" s="1219"/>
      <c r="K2" s="1"/>
      <c r="L2" s="3" t="b">
        <v>0</v>
      </c>
      <c r="M2" s="3" t="b">
        <v>0</v>
      </c>
      <c r="N2" s="3" t="b">
        <v>0</v>
      </c>
      <c r="O2" s="3" t="b">
        <v>0</v>
      </c>
      <c r="P2" s="319" t="b">
        <v>0</v>
      </c>
      <c r="Q2" s="319"/>
      <c r="R2" s="319"/>
      <c r="S2" s="319"/>
      <c r="T2" s="319"/>
      <c r="U2" s="319"/>
      <c r="V2" s="319"/>
      <c r="W2" s="319">
        <v>110000</v>
      </c>
      <c r="Y2" t="s">
        <v>2452</v>
      </c>
      <c r="Z2" t="s">
        <v>2453</v>
      </c>
      <c r="AA2" t="s">
        <v>2455</v>
      </c>
      <c r="AB2" t="s">
        <v>2454</v>
      </c>
      <c r="AC2" t="s">
        <v>2456</v>
      </c>
      <c r="AD2" t="s">
        <v>2457</v>
      </c>
      <c r="AH2" s="1013" t="s">
        <v>2452</v>
      </c>
      <c r="AI2" s="1013" t="s">
        <v>2453</v>
      </c>
      <c r="AJ2" s="1013" t="s">
        <v>2455</v>
      </c>
      <c r="AK2" s="1013" t="s">
        <v>2454</v>
      </c>
      <c r="AL2" s="1013" t="s">
        <v>4185</v>
      </c>
      <c r="AM2" s="1013" t="s">
        <v>4186</v>
      </c>
    </row>
    <row r="3" spans="1:39" ht="12.75" customHeight="1">
      <c r="A3" s="1203" t="str">
        <f>'Análise de Custos'!A4</f>
        <v>Opções</v>
      </c>
      <c r="B3" s="1204"/>
      <c r="C3" s="964"/>
      <c r="D3" s="964"/>
      <c r="E3" s="964"/>
      <c r="F3" s="964"/>
      <c r="G3" s="964"/>
      <c r="H3" s="964"/>
      <c r="I3" s="964"/>
      <c r="J3" s="966"/>
      <c r="K3" s="1"/>
      <c r="L3" s="3" t="b">
        <v>0</v>
      </c>
      <c r="M3" s="3" t="b">
        <v>0</v>
      </c>
      <c r="N3" s="319"/>
      <c r="O3" s="3" t="b">
        <v>0</v>
      </c>
      <c r="P3" s="319" t="b">
        <v>0</v>
      </c>
      <c r="Q3" s="319"/>
      <c r="R3" s="319"/>
      <c r="S3" s="319"/>
      <c r="T3" s="319"/>
      <c r="U3" s="319"/>
      <c r="V3" s="319"/>
      <c r="W3" s="319">
        <v>110100</v>
      </c>
      <c r="Y3" s="1004">
        <v>137</v>
      </c>
      <c r="Z3" s="1004">
        <v>1</v>
      </c>
      <c r="AA3" s="1004">
        <v>137</v>
      </c>
      <c r="AB3" s="1004">
        <v>13</v>
      </c>
      <c r="AC3" s="1004" t="b">
        <v>1</v>
      </c>
      <c r="AD3" s="1004" t="s">
        <v>2458</v>
      </c>
      <c r="AH3" s="1004">
        <v>5</v>
      </c>
      <c r="AI3" s="1004">
        <v>1</v>
      </c>
      <c r="AJ3" s="1004">
        <v>2</v>
      </c>
      <c r="AK3" s="1004">
        <v>12</v>
      </c>
      <c r="AL3" s="1004">
        <v>5</v>
      </c>
      <c r="AM3" s="1004">
        <v>2</v>
      </c>
    </row>
    <row r="4" spans="1:39" ht="12.75" customHeight="1">
      <c r="A4" s="283"/>
      <c r="B4" s="153"/>
      <c r="C4" s="153"/>
      <c r="D4" s="153"/>
      <c r="E4" s="153"/>
      <c r="F4" s="153"/>
      <c r="G4" s="153"/>
      <c r="H4" s="153"/>
      <c r="I4" s="153"/>
      <c r="J4" s="136"/>
      <c r="K4" s="1"/>
      <c r="L4" s="3" t="b">
        <v>0</v>
      </c>
      <c r="M4" s="3" t="b">
        <v>0</v>
      </c>
      <c r="N4" s="319"/>
      <c r="O4" s="3" t="b">
        <v>0</v>
      </c>
      <c r="P4" s="319" t="b">
        <v>0</v>
      </c>
      <c r="Q4" s="319"/>
      <c r="R4" s="319"/>
      <c r="S4" s="319"/>
      <c r="T4" s="319"/>
      <c r="U4" s="319"/>
      <c r="V4" s="319"/>
      <c r="W4" s="319">
        <v>110100</v>
      </c>
      <c r="Y4" s="1004">
        <v>138</v>
      </c>
      <c r="Z4" s="1004">
        <v>1</v>
      </c>
      <c r="AA4" s="1004">
        <v>138</v>
      </c>
      <c r="AB4" s="1004">
        <v>13</v>
      </c>
      <c r="AC4" s="1004" t="b">
        <v>1</v>
      </c>
      <c r="AD4" s="1004" t="s">
        <v>2458</v>
      </c>
      <c r="AH4" s="1004">
        <v>6</v>
      </c>
      <c r="AI4" s="1004">
        <v>1</v>
      </c>
      <c r="AJ4" s="1004">
        <v>3</v>
      </c>
      <c r="AK4" s="1004">
        <v>12</v>
      </c>
      <c r="AL4" s="1004">
        <v>6</v>
      </c>
      <c r="AM4" s="1004">
        <v>2</v>
      </c>
    </row>
    <row r="5" spans="1:39" ht="12.75" customHeight="1">
      <c r="A5" s="1009" t="s">
        <v>4189</v>
      </c>
      <c r="B5" s="383" t="str">
        <f>A14</f>
        <v>Combustível húmido</v>
      </c>
      <c r="C5" s="1025" t="s">
        <v>4189</v>
      </c>
      <c r="D5" s="1324" t="str">
        <f>A250</f>
        <v>Trocador de calor com o solo</v>
      </c>
      <c r="E5" s="1324"/>
      <c r="F5" s="1010" t="s">
        <v>4189</v>
      </c>
      <c r="G5" s="1324" t="str">
        <f>A469</f>
        <v>Combustível definido pelo usuário - gás</v>
      </c>
      <c r="H5" s="1324"/>
      <c r="I5" s="1325"/>
      <c r="J5" s="136"/>
      <c r="K5" s="1"/>
      <c r="L5" s="3" t="b">
        <v>0</v>
      </c>
      <c r="M5" s="3" t="b">
        <v>0</v>
      </c>
      <c r="N5" s="319"/>
      <c r="O5" s="3" t="b">
        <v>0</v>
      </c>
      <c r="P5" s="319" t="b">
        <v>0</v>
      </c>
      <c r="Q5" s="319"/>
      <c r="R5" s="319"/>
      <c r="S5" s="319"/>
      <c r="T5" s="319"/>
      <c r="U5" s="319"/>
      <c r="V5" s="319"/>
      <c r="W5" s="319">
        <v>110100</v>
      </c>
      <c r="Y5" s="1004">
        <v>453</v>
      </c>
      <c r="Z5" s="1004">
        <v>3</v>
      </c>
      <c r="AA5" s="1004">
        <v>450</v>
      </c>
      <c r="AB5" s="1004">
        <v>13</v>
      </c>
      <c r="AC5" s="1004" t="b">
        <v>1</v>
      </c>
      <c r="AD5" s="1004" t="s">
        <v>2459</v>
      </c>
      <c r="AH5" s="1004">
        <v>7</v>
      </c>
      <c r="AI5" s="1004">
        <v>1</v>
      </c>
      <c r="AJ5" s="1004">
        <v>4</v>
      </c>
      <c r="AK5" s="1004">
        <v>12</v>
      </c>
      <c r="AL5" s="1004">
        <v>7</v>
      </c>
      <c r="AM5" s="1004">
        <v>2</v>
      </c>
    </row>
    <row r="6" spans="1:39" ht="12.75" customHeight="1">
      <c r="A6" s="1009" t="s">
        <v>4189</v>
      </c>
      <c r="B6" s="383" t="str">
        <f>A29</f>
        <v>Biogás</v>
      </c>
      <c r="C6" s="1010" t="s">
        <v>4189</v>
      </c>
      <c r="D6" s="1324" t="str">
        <f>A291</f>
        <v>Preço do calor</v>
      </c>
      <c r="E6" s="1324"/>
      <c r="F6" s="1010" t="s">
        <v>4189</v>
      </c>
      <c r="G6" s="1324" t="str">
        <f>A500</f>
        <v>Combustível definido pelo usuário - sólido</v>
      </c>
      <c r="H6" s="1324"/>
      <c r="I6" s="1325"/>
      <c r="J6" s="136"/>
      <c r="K6" s="1"/>
      <c r="L6" s="3" t="b">
        <v>0</v>
      </c>
      <c r="M6" s="3" t="b">
        <v>0</v>
      </c>
      <c r="N6" s="319"/>
      <c r="O6" s="3" t="b">
        <v>0</v>
      </c>
      <c r="P6" s="319" t="b">
        <v>0</v>
      </c>
      <c r="Q6" s="319"/>
      <c r="R6" s="319"/>
      <c r="S6" s="319"/>
      <c r="T6" s="319"/>
      <c r="U6" s="319"/>
      <c r="V6" s="319"/>
      <c r="W6" s="319">
        <v>110100</v>
      </c>
      <c r="Y6" s="1004">
        <v>454</v>
      </c>
      <c r="Z6" s="1004">
        <v>3</v>
      </c>
      <c r="AA6" s="1004">
        <v>451</v>
      </c>
      <c r="AB6" s="1004">
        <v>13</v>
      </c>
      <c r="AC6" s="1004" t="b">
        <v>1</v>
      </c>
      <c r="AD6" s="1004" t="s">
        <v>2459</v>
      </c>
      <c r="AH6" s="1004">
        <v>8</v>
      </c>
      <c r="AI6" s="1004">
        <v>1</v>
      </c>
      <c r="AJ6" s="1004">
        <v>5</v>
      </c>
      <c r="AK6" s="1004">
        <v>12</v>
      </c>
      <c r="AL6" s="1004">
        <v>8</v>
      </c>
      <c r="AM6" s="1004">
        <v>2</v>
      </c>
    </row>
    <row r="7" spans="1:39" ht="12.75" customHeight="1">
      <c r="A7" s="1009" t="s">
        <v>4189</v>
      </c>
      <c r="B7" s="265" t="str">
        <f>Language!C1510</f>
        <v>Propriedades do invólucro do prédio</v>
      </c>
      <c r="C7" s="1010" t="s">
        <v>4189</v>
      </c>
      <c r="D7" s="1324" t="str">
        <f>A301</f>
        <v>Poder calorífico e preço do combustível</v>
      </c>
      <c r="E7" s="1324"/>
      <c r="F7" s="1011" t="s">
        <v>4189</v>
      </c>
      <c r="G7" s="1324" t="str">
        <f>A526</f>
        <v>Água &amp; Vapor</v>
      </c>
      <c r="H7" s="1324"/>
      <c r="I7" s="1325"/>
      <c r="J7" s="136"/>
      <c r="K7" s="1"/>
      <c r="L7" s="3" t="b">
        <v>0</v>
      </c>
      <c r="M7" s="3" t="b">
        <v>0</v>
      </c>
      <c r="N7" s="319"/>
      <c r="O7" s="3" t="b">
        <v>0</v>
      </c>
      <c r="P7" s="319" t="b">
        <v>0</v>
      </c>
      <c r="Q7" s="319"/>
      <c r="R7" s="319"/>
      <c r="S7" s="319"/>
      <c r="T7" s="319"/>
      <c r="U7" s="319"/>
      <c r="V7" s="319"/>
      <c r="W7" s="319">
        <v>110100</v>
      </c>
      <c r="Y7" s="1004">
        <v>474</v>
      </c>
      <c r="Z7" s="1004">
        <v>3</v>
      </c>
      <c r="AA7" s="1004">
        <v>472</v>
      </c>
      <c r="AB7" s="1004">
        <v>13</v>
      </c>
      <c r="AC7" s="1004" t="b">
        <v>1</v>
      </c>
      <c r="AD7" s="1004" t="s">
        <v>2460</v>
      </c>
      <c r="AH7" s="1004">
        <v>9</v>
      </c>
      <c r="AI7" s="1004">
        <v>1</v>
      </c>
      <c r="AJ7" s="1004">
        <v>6</v>
      </c>
      <c r="AK7" s="1004">
        <v>12</v>
      </c>
      <c r="AL7" s="1004">
        <v>9</v>
      </c>
      <c r="AM7" s="1004">
        <v>2</v>
      </c>
    </row>
    <row r="8" spans="1:39" ht="12.75" customHeight="1">
      <c r="A8" s="1009" t="s">
        <v>4189</v>
      </c>
      <c r="B8" s="265" t="str">
        <f>Language!C2322</f>
        <v>Aparelhos &amp; equipamentos</v>
      </c>
      <c r="C8" s="1010" t="s">
        <v>4189</v>
      </c>
      <c r="D8" s="1326" t="str">
        <f>Language!C1741</f>
        <v>Método de custeio de hidro por fórmula</v>
      </c>
      <c r="E8" s="1326"/>
      <c r="F8" s="1011" t="s">
        <v>4189</v>
      </c>
      <c r="G8" s="1326" t="str">
        <f>Language!C2071</f>
        <v>Bombeamento de água</v>
      </c>
      <c r="H8" s="1326"/>
      <c r="I8" s="1325"/>
      <c r="J8" s="136"/>
      <c r="K8" s="1"/>
      <c r="L8" s="3" t="b">
        <v>0</v>
      </c>
      <c r="M8" s="3" t="b">
        <v>0</v>
      </c>
      <c r="N8" s="319"/>
      <c r="O8" s="3" t="b">
        <v>0</v>
      </c>
      <c r="P8" s="319" t="b">
        <v>0</v>
      </c>
      <c r="Q8" s="319"/>
      <c r="R8" s="319"/>
      <c r="S8" s="319"/>
      <c r="T8" s="319"/>
      <c r="U8" s="319"/>
      <c r="V8" s="319"/>
      <c r="W8" s="319">
        <v>110100</v>
      </c>
      <c r="Y8" s="1004">
        <v>475</v>
      </c>
      <c r="Z8" s="1004">
        <v>3</v>
      </c>
      <c r="AA8" s="1004">
        <v>473</v>
      </c>
      <c r="AB8" s="1004">
        <v>13</v>
      </c>
      <c r="AC8" s="1004" t="b">
        <v>1</v>
      </c>
      <c r="AD8" s="1004" t="s">
        <v>2460</v>
      </c>
      <c r="AH8" s="1004">
        <v>10</v>
      </c>
      <c r="AI8" s="1004">
        <v>1</v>
      </c>
      <c r="AJ8" s="1004">
        <v>7</v>
      </c>
      <c r="AK8" s="1004">
        <v>12</v>
      </c>
      <c r="AL8" s="1004">
        <v>10</v>
      </c>
      <c r="AM8" s="1004">
        <v>2</v>
      </c>
    </row>
    <row r="9" spans="1:39" ht="12.75" customHeight="1">
      <c r="A9" s="1009" t="s">
        <v>4189</v>
      </c>
      <c r="B9" s="383" t="str">
        <f>A108</f>
        <v>Preço da eletricidade - mensal</v>
      </c>
      <c r="C9" s="1010" t="s">
        <v>4189</v>
      </c>
      <c r="D9" s="1324" t="str">
        <f>A385</f>
        <v>Gás de Lixo (Biogás)</v>
      </c>
      <c r="E9" s="1324"/>
      <c r="F9" s="1010" t="s">
        <v>4189</v>
      </c>
      <c r="G9" s="1326" t="str">
        <f>Language!C2093</f>
        <v>Características da janela</v>
      </c>
      <c r="H9" s="1326"/>
      <c r="I9" s="1325"/>
      <c r="J9" s="136"/>
      <c r="K9" s="1"/>
      <c r="L9" s="3" t="b">
        <v>0</v>
      </c>
      <c r="M9" s="3" t="b">
        <v>0</v>
      </c>
      <c r="N9" s="319"/>
      <c r="O9" s="3" t="b">
        <v>0</v>
      </c>
      <c r="P9" s="319" t="b">
        <v>0</v>
      </c>
      <c r="Q9" s="319"/>
      <c r="R9" s="319"/>
      <c r="S9" s="319"/>
      <c r="T9" s="319"/>
      <c r="U9" s="319"/>
      <c r="V9" s="319"/>
      <c r="W9" s="319">
        <v>110100</v>
      </c>
      <c r="Y9" s="1004">
        <v>504</v>
      </c>
      <c r="Z9" s="1004">
        <v>3</v>
      </c>
      <c r="AA9" s="1004">
        <v>503</v>
      </c>
      <c r="AB9" s="1004">
        <v>13</v>
      </c>
      <c r="AC9" s="1004" t="b">
        <v>1</v>
      </c>
      <c r="AD9" s="1004" t="s">
        <v>2461</v>
      </c>
      <c r="AH9" s="1004">
        <v>11</v>
      </c>
      <c r="AI9" s="1004">
        <v>1</v>
      </c>
      <c r="AJ9" s="1004">
        <v>8</v>
      </c>
      <c r="AK9" s="1004">
        <v>12</v>
      </c>
      <c r="AL9" s="1004">
        <v>11</v>
      </c>
      <c r="AM9" s="1004">
        <v>2</v>
      </c>
    </row>
    <row r="10" spans="1:39" ht="12.75" customHeight="1">
      <c r="A10" s="1009" t="s">
        <v>4189</v>
      </c>
      <c r="B10" s="383" t="str">
        <f>A135</f>
        <v>Tarifa de energia - por período de utilização</v>
      </c>
      <c r="C10" s="1010" t="s">
        <v>4189</v>
      </c>
      <c r="D10" s="1324" t="str">
        <f>A426</f>
        <v>Conversão de unidades</v>
      </c>
      <c r="E10" s="1324"/>
      <c r="F10" s="1010" t="s">
        <v>4189</v>
      </c>
      <c r="G10" s="1324" t="str">
        <f>A587</f>
        <v>Padrão 1</v>
      </c>
      <c r="H10" s="1324"/>
      <c r="I10" s="1325"/>
      <c r="J10" s="136"/>
      <c r="K10" s="1"/>
      <c r="L10" s="3" t="b">
        <v>0</v>
      </c>
      <c r="M10" s="3" t="b">
        <v>0</v>
      </c>
      <c r="N10" s="319"/>
      <c r="O10" s="3" t="b">
        <v>0</v>
      </c>
      <c r="P10" s="319" t="b">
        <v>0</v>
      </c>
      <c r="Q10" s="319"/>
      <c r="R10" s="319"/>
      <c r="S10" s="319"/>
      <c r="T10" s="319"/>
      <c r="U10" s="319"/>
      <c r="V10" s="319"/>
      <c r="W10" s="319">
        <v>110100</v>
      </c>
      <c r="Y10" s="1004">
        <v>505</v>
      </c>
      <c r="Z10" s="1004">
        <v>3</v>
      </c>
      <c r="AA10" s="1004">
        <v>504</v>
      </c>
      <c r="AB10" s="1004">
        <v>13</v>
      </c>
      <c r="AC10" s="1004" t="b">
        <v>1</v>
      </c>
      <c r="AD10" s="1004" t="s">
        <v>2461</v>
      </c>
      <c r="AH10" s="1004">
        <v>5</v>
      </c>
      <c r="AI10" s="1004">
        <v>3</v>
      </c>
      <c r="AJ10" s="1004">
        <v>9</v>
      </c>
      <c r="AK10" s="1004">
        <v>12</v>
      </c>
      <c r="AL10" s="1004">
        <v>5</v>
      </c>
      <c r="AM10" s="1004">
        <v>4</v>
      </c>
    </row>
    <row r="11" spans="1:39" ht="12.75" customHeight="1">
      <c r="A11" s="1009" t="s">
        <v>4189</v>
      </c>
      <c r="B11" s="383" t="str">
        <f>A245</f>
        <v>Equivalência de GEE</v>
      </c>
      <c r="C11" s="1010" t="s">
        <v>4189</v>
      </c>
      <c r="D11" s="1324" t="str">
        <f>A448</f>
        <v>Combustível definido pelo usuário</v>
      </c>
      <c r="E11" s="1324"/>
      <c r="F11" s="1010" t="s">
        <v>4189</v>
      </c>
      <c r="G11" s="1324" t="str">
        <f>Language!C1120</f>
        <v>Padrão 2</v>
      </c>
      <c r="H11" s="1324"/>
      <c r="I11" s="1325"/>
      <c r="J11" s="136"/>
      <c r="K11" s="1"/>
      <c r="L11" s="3" t="b">
        <v>0</v>
      </c>
      <c r="M11" s="3" t="b">
        <v>0</v>
      </c>
      <c r="N11" s="319"/>
      <c r="O11" s="319"/>
      <c r="P11" s="319"/>
      <c r="Q11" s="319"/>
      <c r="R11" s="319"/>
      <c r="S11" s="319"/>
      <c r="T11" s="319"/>
      <c r="U11" s="319"/>
      <c r="V11" s="319"/>
      <c r="W11" s="319">
        <v>110100</v>
      </c>
      <c r="Y11" s="1004">
        <v>545</v>
      </c>
      <c r="Z11" s="1004">
        <v>3</v>
      </c>
      <c r="AA11" s="1004">
        <v>546</v>
      </c>
      <c r="AB11" s="1004">
        <v>12</v>
      </c>
      <c r="AC11" s="1004" t="b">
        <v>1</v>
      </c>
      <c r="AD11" s="1004" t="s">
        <v>2462</v>
      </c>
      <c r="AH11" s="1004">
        <v>6</v>
      </c>
      <c r="AI11" s="1004">
        <v>3</v>
      </c>
      <c r="AJ11" s="1004">
        <v>10</v>
      </c>
      <c r="AK11" s="1004">
        <v>12</v>
      </c>
      <c r="AL11" s="1004">
        <v>6</v>
      </c>
      <c r="AM11" s="1004">
        <v>4</v>
      </c>
    </row>
    <row r="12" spans="1:39" ht="12.75" customHeight="1">
      <c r="A12" s="14"/>
      <c r="B12" s="15"/>
      <c r="C12" s="15"/>
      <c r="D12" s="15"/>
      <c r="E12" s="15"/>
      <c r="F12" s="15"/>
      <c r="G12" s="15"/>
      <c r="H12" s="15"/>
      <c r="I12" s="15"/>
      <c r="J12" s="11"/>
      <c r="K12" s="1"/>
      <c r="L12" s="3" t="b">
        <v>0</v>
      </c>
      <c r="M12" s="3" t="b">
        <v>0</v>
      </c>
      <c r="N12" s="319"/>
      <c r="O12" s="319"/>
      <c r="P12" s="319"/>
      <c r="Q12" s="319"/>
      <c r="R12" s="319"/>
      <c r="S12" s="319"/>
      <c r="T12" s="319"/>
      <c r="U12" s="319"/>
      <c r="V12" s="319"/>
      <c r="W12" s="319">
        <v>110100</v>
      </c>
      <c r="Y12" s="1004">
        <v>546</v>
      </c>
      <c r="Z12" s="1004">
        <v>3</v>
      </c>
      <c r="AA12" s="1004">
        <v>547</v>
      </c>
      <c r="AB12" s="1004">
        <v>12</v>
      </c>
      <c r="AC12" s="1004" t="b">
        <v>1</v>
      </c>
      <c r="AD12" s="1004" t="s">
        <v>2462</v>
      </c>
      <c r="AH12" s="1004">
        <v>7</v>
      </c>
      <c r="AI12" s="1004">
        <v>3</v>
      </c>
      <c r="AJ12" s="1004">
        <v>11</v>
      </c>
      <c r="AK12" s="1004">
        <v>12</v>
      </c>
      <c r="AL12" s="1004">
        <v>7</v>
      </c>
      <c r="AM12" s="1004">
        <v>4</v>
      </c>
    </row>
    <row r="13" spans="1:39" ht="12.75" customHeight="1">
      <c r="A13" s="1"/>
      <c r="B13" s="1"/>
      <c r="C13" s="1"/>
      <c r="D13" s="1"/>
      <c r="E13" s="1"/>
      <c r="F13" s="1"/>
      <c r="G13" s="1"/>
      <c r="H13" s="1"/>
      <c r="I13" s="1"/>
      <c r="J13" s="1"/>
      <c r="K13" s="1"/>
      <c r="L13" s="3" t="b">
        <v>0</v>
      </c>
      <c r="M13" s="3" t="b">
        <v>0</v>
      </c>
      <c r="N13" s="319"/>
      <c r="O13" s="3"/>
      <c r="P13" s="319"/>
      <c r="Q13" s="319"/>
      <c r="R13" s="319"/>
      <c r="S13" s="319"/>
      <c r="T13" s="319"/>
      <c r="U13" s="319"/>
      <c r="V13" s="319"/>
      <c r="W13" s="319">
        <v>110000</v>
      </c>
      <c r="AH13" s="1004">
        <v>8</v>
      </c>
      <c r="AI13" s="1004">
        <v>3</v>
      </c>
      <c r="AJ13" s="1004">
        <v>12</v>
      </c>
      <c r="AK13" s="1004">
        <v>12</v>
      </c>
      <c r="AL13" s="1004">
        <v>8</v>
      </c>
      <c r="AM13" s="1004">
        <v>4</v>
      </c>
    </row>
    <row r="14" spans="1:39" ht="12.75" hidden="1" customHeight="1">
      <c r="A14" s="1203" t="str">
        <f>Language!C1446</f>
        <v>Combustível húmido</v>
      </c>
      <c r="B14" s="1204"/>
      <c r="C14" s="147"/>
      <c r="D14" s="147"/>
      <c r="E14" s="147"/>
      <c r="F14" s="147"/>
      <c r="G14" s="147"/>
      <c r="H14" s="147"/>
      <c r="I14" s="147"/>
      <c r="J14" s="148"/>
      <c r="K14" s="1"/>
      <c r="L14" s="319"/>
      <c r="M14" s="319"/>
      <c r="N14" s="319"/>
      <c r="O14" s="319"/>
      <c r="P14" s="319"/>
      <c r="Q14" s="319"/>
      <c r="R14" s="319"/>
      <c r="S14" s="319"/>
      <c r="T14" s="319"/>
      <c r="U14" s="319"/>
      <c r="V14" s="319"/>
      <c r="W14" s="319">
        <v>110200</v>
      </c>
      <c r="AH14" s="1004">
        <v>9</v>
      </c>
      <c r="AI14" s="1004">
        <v>3</v>
      </c>
      <c r="AJ14" s="1004">
        <v>13</v>
      </c>
      <c r="AK14" s="1004">
        <v>12</v>
      </c>
      <c r="AL14" s="1004">
        <v>9</v>
      </c>
      <c r="AM14" s="1004">
        <v>4</v>
      </c>
    </row>
    <row r="15" spans="1:39" ht="12.75" hidden="1" customHeight="1">
      <c r="A15" s="12"/>
      <c r="B15" s="8"/>
      <c r="C15" s="8"/>
      <c r="D15" s="8"/>
      <c r="E15" s="8"/>
      <c r="F15" s="8"/>
      <c r="G15" s="8"/>
      <c r="H15" s="8"/>
      <c r="I15" s="8"/>
      <c r="J15" s="9"/>
      <c r="K15" s="1"/>
      <c r="L15" s="319"/>
      <c r="M15" s="319"/>
      <c r="N15" s="319"/>
      <c r="O15" s="319"/>
      <c r="P15" s="319"/>
      <c r="Q15" s="319"/>
      <c r="R15" s="319"/>
      <c r="S15" s="319"/>
      <c r="T15" s="319"/>
      <c r="U15" s="319"/>
      <c r="V15" s="319"/>
      <c r="W15" s="319">
        <v>110200</v>
      </c>
      <c r="AH15" s="1004">
        <v>10</v>
      </c>
      <c r="AI15" s="1004">
        <v>3</v>
      </c>
      <c r="AJ15" s="1004">
        <v>2</v>
      </c>
      <c r="AK15" s="1004">
        <v>15</v>
      </c>
      <c r="AL15" s="1004">
        <v>10</v>
      </c>
      <c r="AM15" s="1004">
        <v>4</v>
      </c>
    </row>
    <row r="16" spans="1:39" ht="38.25" hidden="1" customHeight="1">
      <c r="A16" s="12"/>
      <c r="B16" s="49" t="str">
        <f>B502</f>
        <v>Tipo de Combustível</v>
      </c>
      <c r="C16" s="142" t="str">
        <f>Language!C357</f>
        <v>Consumo de combustível - unitário</v>
      </c>
      <c r="D16" s="142" t="str">
        <f>Language!C413</f>
        <v>Consumo de combustível</v>
      </c>
      <c r="E16" s="142" t="str">
        <f>Language!C212</f>
        <v>Preço do combustível</v>
      </c>
      <c r="F16" s="142" t="str">
        <f>Language!C287</f>
        <v>Custo do combustível</v>
      </c>
      <c r="G16" s="142" t="str">
        <f>Language!C802</f>
        <v>Conteúdo de água na mistura</v>
      </c>
      <c r="H16" s="142" t="str">
        <f>Language!C173</f>
        <v>Consumo do combustível</v>
      </c>
      <c r="I16" s="142" t="str">
        <f>Language!C174</f>
        <v>Preço do combustível</v>
      </c>
      <c r="J16" s="9"/>
      <c r="K16" s="1"/>
      <c r="L16" s="319">
        <f>SUM(HideT_Fuel)</f>
        <v>10</v>
      </c>
      <c r="M16" s="319">
        <v>8</v>
      </c>
      <c r="N16" s="319"/>
      <c r="O16" s="319"/>
      <c r="P16" s="319"/>
      <c r="Q16" s="319"/>
      <c r="R16" s="319"/>
      <c r="S16" s="319"/>
      <c r="T16" s="319"/>
      <c r="U16" s="319"/>
      <c r="V16" s="319"/>
      <c r="W16" s="319">
        <v>110200</v>
      </c>
      <c r="AH16" s="1004">
        <v>11</v>
      </c>
      <c r="AI16" s="1004">
        <v>3</v>
      </c>
      <c r="AJ16" s="1004">
        <v>3</v>
      </c>
      <c r="AK16" s="1004">
        <v>15</v>
      </c>
      <c r="AL16" s="1004">
        <v>11</v>
      </c>
      <c r="AM16" s="1004">
        <v>4</v>
      </c>
    </row>
    <row r="17" spans="1:39" ht="12.75" hidden="1" customHeight="1">
      <c r="A17" s="12"/>
      <c r="B17" s="8" t="str">
        <f>'Modelo Energético'!B1155</f>
        <v xml:space="preserve">Biomassa </v>
      </c>
      <c r="C17" s="21" t="str">
        <f>'Modelo Energético'!C1155</f>
        <v>t</v>
      </c>
      <c r="D17" s="88">
        <f>'Modelo Energético'!D1155</f>
        <v>0</v>
      </c>
      <c r="E17" s="1363" t="e">
        <f t="shared" ref="E17:E26" si="0">F17/D17</f>
        <v>#DIV/0!</v>
      </c>
      <c r="F17" s="1347">
        <f>'Modelo Energético'!E1155</f>
        <v>0</v>
      </c>
      <c r="G17" s="159"/>
      <c r="H17" s="88">
        <f t="shared" ref="H17:H26" si="1">D17/(1-G17)</f>
        <v>0</v>
      </c>
      <c r="I17" s="1363" t="e">
        <f t="shared" ref="I17:I26" si="2">F17/H17</f>
        <v>#DIV/0!</v>
      </c>
      <c r="J17" s="9"/>
      <c r="K17" s="1"/>
      <c r="L17" s="319">
        <f>IF(ISERROR(D17),1,IF(D17&lt;0.00001,1,0))</f>
        <v>1</v>
      </c>
      <c r="M17" s="319"/>
      <c r="N17" s="319"/>
      <c r="O17" s="319"/>
      <c r="P17" s="319"/>
      <c r="Q17" s="319"/>
      <c r="R17" s="319"/>
      <c r="S17" s="319"/>
      <c r="T17" s="319"/>
      <c r="U17" s="319"/>
      <c r="V17" s="319"/>
      <c r="W17" s="319">
        <v>110200</v>
      </c>
      <c r="AH17" s="1004">
        <v>5</v>
      </c>
      <c r="AI17" s="1004">
        <v>6</v>
      </c>
      <c r="AJ17" s="1004">
        <v>4</v>
      </c>
      <c r="AK17" s="1004">
        <v>15</v>
      </c>
      <c r="AL17" s="1004">
        <v>5</v>
      </c>
      <c r="AM17" s="1004">
        <v>7</v>
      </c>
    </row>
    <row r="18" spans="1:39" ht="12.75" hidden="1" customHeight="1">
      <c r="A18" s="12"/>
      <c r="B18" s="8" t="str">
        <f>'Modelo Energético'!B1156</f>
        <v>Gás Natural</v>
      </c>
      <c r="C18" s="21" t="e">
        <f>'Modelo Energético'!C1156</f>
        <v>#N/A</v>
      </c>
      <c r="D18" s="88" t="e">
        <f>'Modelo Energético'!D1156</f>
        <v>#N/A</v>
      </c>
      <c r="E18" s="1363" t="e">
        <f t="shared" si="0"/>
        <v>#N/A</v>
      </c>
      <c r="F18" s="1347" t="e">
        <f>'Modelo Energético'!E1156</f>
        <v>#N/A</v>
      </c>
      <c r="G18" s="159"/>
      <c r="H18" s="88" t="e">
        <f t="shared" si="1"/>
        <v>#N/A</v>
      </c>
      <c r="I18" s="1363" t="e">
        <f t="shared" si="2"/>
        <v>#N/A</v>
      </c>
      <c r="J18" s="9"/>
      <c r="K18" s="1"/>
      <c r="L18" s="319">
        <f t="shared" ref="L18:L26" si="3">IF(ISERROR(D18),1,IF(D18&lt;0.00001,1,0))</f>
        <v>1</v>
      </c>
      <c r="M18" s="319"/>
      <c r="N18" s="319"/>
      <c r="O18" s="319"/>
      <c r="P18" s="319"/>
      <c r="Q18" s="319"/>
      <c r="R18" s="319"/>
      <c r="S18" s="319"/>
      <c r="T18" s="319"/>
      <c r="U18" s="319"/>
      <c r="V18" s="319"/>
      <c r="W18" s="319">
        <v>110200</v>
      </c>
      <c r="AH18" s="1004">
        <v>6</v>
      </c>
      <c r="AI18" s="1004">
        <v>6</v>
      </c>
      <c r="AJ18" s="1004">
        <v>5</v>
      </c>
      <c r="AK18" s="1004">
        <v>15</v>
      </c>
      <c r="AL18" s="1004">
        <v>6</v>
      </c>
      <c r="AM18" s="1004">
        <v>7</v>
      </c>
    </row>
    <row r="19" spans="1:39" ht="12.75" hidden="1" customHeight="1">
      <c r="A19" s="12"/>
      <c r="B19" s="8" t="str">
        <f>'Modelo Energético'!B1157</f>
        <v>Gás Natural</v>
      </c>
      <c r="C19" s="21" t="e">
        <f>'Modelo Energético'!C1157</f>
        <v>#N/A</v>
      </c>
      <c r="D19" s="88" t="e">
        <f>'Modelo Energético'!D1157</f>
        <v>#N/A</v>
      </c>
      <c r="E19" s="1363" t="e">
        <f t="shared" si="0"/>
        <v>#N/A</v>
      </c>
      <c r="F19" s="1347" t="e">
        <f>'Modelo Energético'!E1157</f>
        <v>#N/A</v>
      </c>
      <c r="G19" s="159"/>
      <c r="H19" s="88" t="e">
        <f t="shared" si="1"/>
        <v>#N/A</v>
      </c>
      <c r="I19" s="1363" t="e">
        <f t="shared" si="2"/>
        <v>#N/A</v>
      </c>
      <c r="J19" s="9"/>
      <c r="K19" s="1"/>
      <c r="L19" s="319">
        <f t="shared" si="3"/>
        <v>1</v>
      </c>
      <c r="M19" s="319"/>
      <c r="N19" s="319"/>
      <c r="O19" s="319"/>
      <c r="P19" s="319"/>
      <c r="Q19" s="319"/>
      <c r="R19" s="319"/>
      <c r="S19" s="319"/>
      <c r="T19" s="319"/>
      <c r="U19" s="319"/>
      <c r="V19" s="319"/>
      <c r="W19" s="319">
        <v>110200</v>
      </c>
      <c r="AH19" s="1004">
        <v>7</v>
      </c>
      <c r="AI19" s="1004">
        <v>6</v>
      </c>
      <c r="AJ19" s="1004">
        <v>6</v>
      </c>
      <c r="AK19" s="1004">
        <v>15</v>
      </c>
      <c r="AL19" s="1004">
        <v>7</v>
      </c>
      <c r="AM19" s="1004">
        <v>7</v>
      </c>
    </row>
    <row r="20" spans="1:39" ht="12.75" hidden="1" customHeight="1">
      <c r="A20" s="12"/>
      <c r="B20" s="8" t="str">
        <f>'Modelo Energético'!B1158</f>
        <v>Gás Natural</v>
      </c>
      <c r="C20" s="21" t="e">
        <f>'Modelo Energético'!C1158</f>
        <v>#N/A</v>
      </c>
      <c r="D20" s="88" t="e">
        <f>'Modelo Energético'!D1158</f>
        <v>#N/A</v>
      </c>
      <c r="E20" s="1363" t="e">
        <f t="shared" si="0"/>
        <v>#N/A</v>
      </c>
      <c r="F20" s="1347" t="e">
        <f>'Modelo Energético'!E1158</f>
        <v>#N/A</v>
      </c>
      <c r="G20" s="159"/>
      <c r="H20" s="88" t="e">
        <f t="shared" si="1"/>
        <v>#N/A</v>
      </c>
      <c r="I20" s="1363" t="e">
        <f t="shared" si="2"/>
        <v>#N/A</v>
      </c>
      <c r="J20" s="9"/>
      <c r="K20" s="1"/>
      <c r="L20" s="319">
        <f t="shared" si="3"/>
        <v>1</v>
      </c>
      <c r="M20" s="319"/>
      <c r="N20" s="319"/>
      <c r="O20" s="319"/>
      <c r="P20" s="319"/>
      <c r="Q20" s="319"/>
      <c r="R20" s="319"/>
      <c r="S20" s="319"/>
      <c r="T20" s="319"/>
      <c r="U20" s="319"/>
      <c r="V20" s="319"/>
      <c r="W20" s="319">
        <v>110200</v>
      </c>
      <c r="AH20" s="1004">
        <v>8</v>
      </c>
      <c r="AI20" s="1004">
        <v>6</v>
      </c>
      <c r="AJ20" s="1004">
        <v>7</v>
      </c>
      <c r="AK20" s="1004">
        <v>15</v>
      </c>
      <c r="AL20" s="1004">
        <v>8</v>
      </c>
      <c r="AM20" s="1004">
        <v>7</v>
      </c>
    </row>
    <row r="21" spans="1:39" ht="12.75" hidden="1" customHeight="1">
      <c r="A21" s="12"/>
      <c r="B21" s="8" t="str">
        <f>'Modelo Energético'!B1159</f>
        <v>Gás Natural</v>
      </c>
      <c r="C21" s="21" t="e">
        <f>'Modelo Energético'!C1159</f>
        <v>#N/A</v>
      </c>
      <c r="D21" s="88" t="e">
        <f>'Modelo Energético'!D1159</f>
        <v>#N/A</v>
      </c>
      <c r="E21" s="1363" t="e">
        <f t="shared" si="0"/>
        <v>#N/A</v>
      </c>
      <c r="F21" s="1347" t="e">
        <f>'Modelo Energético'!E1159</f>
        <v>#N/A</v>
      </c>
      <c r="G21" s="159"/>
      <c r="H21" s="88" t="e">
        <f t="shared" si="1"/>
        <v>#N/A</v>
      </c>
      <c r="I21" s="1363" t="e">
        <f t="shared" si="2"/>
        <v>#N/A</v>
      </c>
      <c r="J21" s="9"/>
      <c r="K21" s="1"/>
      <c r="L21" s="319">
        <f t="shared" si="3"/>
        <v>1</v>
      </c>
      <c r="M21" s="319"/>
      <c r="N21" s="319"/>
      <c r="O21" s="319"/>
      <c r="P21" s="319"/>
      <c r="Q21" s="319"/>
      <c r="R21" s="319"/>
      <c r="S21" s="319"/>
      <c r="T21" s="319"/>
      <c r="U21" s="319"/>
      <c r="V21" s="319"/>
      <c r="W21" s="319">
        <v>110200</v>
      </c>
      <c r="AH21" s="1004">
        <v>9</v>
      </c>
      <c r="AI21" s="1004">
        <v>6</v>
      </c>
      <c r="AJ21" s="1004">
        <v>8</v>
      </c>
      <c r="AK21" s="1004">
        <v>15</v>
      </c>
      <c r="AL21" s="1004">
        <v>9</v>
      </c>
      <c r="AM21" s="1004">
        <v>7</v>
      </c>
    </row>
    <row r="22" spans="1:39" ht="12.75" hidden="1" customHeight="1">
      <c r="A22" s="12"/>
      <c r="B22" s="8" t="str">
        <f>'Modelo Energético'!B1160</f>
        <v>Gás Natural</v>
      </c>
      <c r="C22" s="21" t="e">
        <f>'Modelo Energético'!C1160</f>
        <v>#N/A</v>
      </c>
      <c r="D22" s="88" t="e">
        <f>'Modelo Energético'!D1160</f>
        <v>#N/A</v>
      </c>
      <c r="E22" s="1363" t="e">
        <f t="shared" si="0"/>
        <v>#N/A</v>
      </c>
      <c r="F22" s="1347" t="e">
        <f>'Modelo Energético'!E1160</f>
        <v>#N/A</v>
      </c>
      <c r="G22" s="159"/>
      <c r="H22" s="88" t="e">
        <f t="shared" si="1"/>
        <v>#N/A</v>
      </c>
      <c r="I22" s="1363" t="e">
        <f t="shared" si="2"/>
        <v>#N/A</v>
      </c>
      <c r="J22" s="9"/>
      <c r="K22" s="1"/>
      <c r="L22" s="319">
        <f t="shared" si="3"/>
        <v>1</v>
      </c>
      <c r="M22" s="319"/>
      <c r="N22" s="319"/>
      <c r="O22" s="319"/>
      <c r="P22" s="319"/>
      <c r="Q22" s="319"/>
      <c r="R22" s="319"/>
      <c r="S22" s="319"/>
      <c r="T22" s="319"/>
      <c r="U22" s="319"/>
      <c r="V22" s="319"/>
      <c r="W22" s="319">
        <v>110200</v>
      </c>
      <c r="AH22" s="1004">
        <v>10</v>
      </c>
      <c r="AI22" s="1004">
        <v>6</v>
      </c>
      <c r="AJ22" s="1004">
        <v>9</v>
      </c>
      <c r="AK22" s="1004">
        <v>15</v>
      </c>
      <c r="AL22" s="1004">
        <v>10</v>
      </c>
      <c r="AM22" s="1004">
        <v>7</v>
      </c>
    </row>
    <row r="23" spans="1:39" ht="12.75" hidden="1" customHeight="1">
      <c r="A23" s="12"/>
      <c r="B23" s="8" t="str">
        <f>'Modelo Energético'!B1161</f>
        <v>Gás Natural</v>
      </c>
      <c r="C23" s="21" t="e">
        <f>'Modelo Energético'!C1161</f>
        <v>#N/A</v>
      </c>
      <c r="D23" s="88" t="e">
        <f>'Modelo Energético'!D1161</f>
        <v>#N/A</v>
      </c>
      <c r="E23" s="1363" t="e">
        <f t="shared" si="0"/>
        <v>#N/A</v>
      </c>
      <c r="F23" s="1347" t="e">
        <f>'Modelo Energético'!E1161</f>
        <v>#N/A</v>
      </c>
      <c r="G23" s="159"/>
      <c r="H23" s="88" t="e">
        <f t="shared" si="1"/>
        <v>#N/A</v>
      </c>
      <c r="I23" s="1363" t="e">
        <f t="shared" si="2"/>
        <v>#N/A</v>
      </c>
      <c r="J23" s="9"/>
      <c r="K23" s="1"/>
      <c r="L23" s="319">
        <f t="shared" si="3"/>
        <v>1</v>
      </c>
      <c r="M23" s="319"/>
      <c r="N23" s="319"/>
      <c r="O23" s="319"/>
      <c r="P23" s="319"/>
      <c r="Q23" s="319"/>
      <c r="R23" s="319"/>
      <c r="S23" s="319"/>
      <c r="T23" s="319"/>
      <c r="U23" s="319"/>
      <c r="V23" s="319"/>
      <c r="W23" s="319">
        <v>110200</v>
      </c>
      <c r="AH23" s="1004">
        <v>11</v>
      </c>
      <c r="AI23" s="1004">
        <v>6</v>
      </c>
      <c r="AJ23" s="1004">
        <v>10</v>
      </c>
      <c r="AK23" s="1004">
        <v>15</v>
      </c>
      <c r="AL23" s="1004">
        <v>11</v>
      </c>
      <c r="AM23" s="1004">
        <v>7</v>
      </c>
    </row>
    <row r="24" spans="1:39" ht="12.75" hidden="1" customHeight="1">
      <c r="A24" s="12"/>
      <c r="B24" s="8" t="str">
        <f>'Modelo Energético'!B1162</f>
        <v>Gás Natural</v>
      </c>
      <c r="C24" s="21" t="e">
        <f>'Modelo Energético'!C1162</f>
        <v>#N/A</v>
      </c>
      <c r="D24" s="88" t="e">
        <f>'Modelo Energético'!D1162</f>
        <v>#N/A</v>
      </c>
      <c r="E24" s="1363" t="e">
        <f t="shared" si="0"/>
        <v>#N/A</v>
      </c>
      <c r="F24" s="1347" t="e">
        <f>'Modelo Energético'!E1162</f>
        <v>#N/A</v>
      </c>
      <c r="G24" s="159"/>
      <c r="H24" s="88" t="e">
        <f t="shared" si="1"/>
        <v>#N/A</v>
      </c>
      <c r="I24" s="1363" t="e">
        <f t="shared" si="2"/>
        <v>#N/A</v>
      </c>
      <c r="J24" s="9"/>
      <c r="K24" s="1"/>
      <c r="L24" s="319">
        <f t="shared" si="3"/>
        <v>1</v>
      </c>
      <c r="M24" s="319"/>
      <c r="N24" s="319"/>
      <c r="O24" s="319"/>
      <c r="P24" s="319"/>
      <c r="Q24" s="319"/>
      <c r="R24" s="319"/>
      <c r="S24" s="319"/>
      <c r="T24" s="319"/>
      <c r="U24" s="319"/>
      <c r="V24" s="319"/>
      <c r="W24" s="319">
        <v>110200</v>
      </c>
      <c r="AH24" s="1004">
        <v>337</v>
      </c>
      <c r="AI24" s="1004">
        <v>1</v>
      </c>
      <c r="AJ24" s="1004">
        <v>337</v>
      </c>
      <c r="AK24" s="1004">
        <v>12</v>
      </c>
      <c r="AL24" s="1004">
        <v>337</v>
      </c>
      <c r="AM24" s="1004">
        <v>2</v>
      </c>
    </row>
    <row r="25" spans="1:39" ht="12.75" hidden="1" customHeight="1">
      <c r="A25" s="12"/>
      <c r="B25" s="8" t="str">
        <f>'Modelo Energético'!B1163</f>
        <v>Gás Natural</v>
      </c>
      <c r="C25" s="21" t="e">
        <f>'Modelo Energético'!C1163</f>
        <v>#N/A</v>
      </c>
      <c r="D25" s="88" t="e">
        <f>'Modelo Energético'!D1163</f>
        <v>#N/A</v>
      </c>
      <c r="E25" s="1363" t="e">
        <f t="shared" si="0"/>
        <v>#N/A</v>
      </c>
      <c r="F25" s="1347" t="e">
        <f>'Modelo Energético'!E1163</f>
        <v>#N/A</v>
      </c>
      <c r="G25" s="159"/>
      <c r="H25" s="88" t="e">
        <f t="shared" si="1"/>
        <v>#N/A</v>
      </c>
      <c r="I25" s="1363" t="e">
        <f t="shared" si="2"/>
        <v>#N/A</v>
      </c>
      <c r="J25" s="9"/>
      <c r="K25" s="1"/>
      <c r="L25" s="319">
        <f t="shared" si="3"/>
        <v>1</v>
      </c>
      <c r="M25" s="319"/>
      <c r="N25" s="319"/>
      <c r="O25" s="319"/>
      <c r="P25" s="319"/>
      <c r="Q25" s="319"/>
      <c r="R25" s="319"/>
      <c r="S25" s="319"/>
      <c r="T25" s="319"/>
      <c r="U25" s="319"/>
      <c r="V25" s="319"/>
      <c r="W25" s="319">
        <v>110200</v>
      </c>
      <c r="AH25" s="1004">
        <v>341</v>
      </c>
      <c r="AI25" s="1004">
        <v>1</v>
      </c>
      <c r="AJ25" s="1004">
        <v>341</v>
      </c>
      <c r="AK25" s="1004">
        <v>12</v>
      </c>
      <c r="AL25" s="1004">
        <v>341</v>
      </c>
      <c r="AM25" s="1004">
        <v>2</v>
      </c>
    </row>
    <row r="26" spans="1:39" ht="12.75" hidden="1" customHeight="1">
      <c r="A26" s="12"/>
      <c r="B26" s="8" t="str">
        <f>'Modelo Energético'!B1164</f>
        <v>Gás Natural</v>
      </c>
      <c r="C26" s="21" t="e">
        <f>'Modelo Energético'!C1164</f>
        <v>#N/A</v>
      </c>
      <c r="D26" s="88" t="e">
        <f>'Modelo Energético'!D1164</f>
        <v>#N/A</v>
      </c>
      <c r="E26" s="1363" t="e">
        <f t="shared" si="0"/>
        <v>#N/A</v>
      </c>
      <c r="F26" s="1347" t="e">
        <f>'Modelo Energético'!E1164</f>
        <v>#N/A</v>
      </c>
      <c r="G26" s="159"/>
      <c r="H26" s="88" t="e">
        <f t="shared" si="1"/>
        <v>#N/A</v>
      </c>
      <c r="I26" s="1363" t="e">
        <f t="shared" si="2"/>
        <v>#N/A</v>
      </c>
      <c r="J26" s="9"/>
      <c r="K26" s="1"/>
      <c r="L26" s="319">
        <f t="shared" si="3"/>
        <v>1</v>
      </c>
      <c r="M26" s="319"/>
      <c r="N26" s="319"/>
      <c r="O26" s="319"/>
      <c r="P26" s="319"/>
      <c r="Q26" s="319"/>
      <c r="R26" s="319"/>
      <c r="S26" s="319"/>
      <c r="T26" s="319"/>
      <c r="U26" s="319"/>
      <c r="V26" s="319"/>
      <c r="W26" s="319">
        <v>110200</v>
      </c>
      <c r="AH26" s="1004">
        <v>347</v>
      </c>
      <c r="AI26" s="1004">
        <v>1</v>
      </c>
      <c r="AJ26" s="1004">
        <v>347</v>
      </c>
      <c r="AK26" s="1004">
        <v>12</v>
      </c>
      <c r="AL26" s="1004">
        <v>347</v>
      </c>
      <c r="AM26" s="1004">
        <v>2</v>
      </c>
    </row>
    <row r="27" spans="1:39" ht="12.75" hidden="1" customHeight="1">
      <c r="A27" s="14"/>
      <c r="B27" s="15"/>
      <c r="C27" s="15"/>
      <c r="D27" s="15"/>
      <c r="E27" s="15"/>
      <c r="F27" s="15"/>
      <c r="G27" s="15"/>
      <c r="H27" s="15"/>
      <c r="I27" s="15"/>
      <c r="J27" s="11"/>
      <c r="K27" s="1"/>
      <c r="L27" s="319"/>
      <c r="M27" s="319"/>
      <c r="N27" s="319"/>
      <c r="O27" s="319"/>
      <c r="P27" s="319"/>
      <c r="Q27" s="319"/>
      <c r="R27" s="319"/>
      <c r="S27" s="319"/>
      <c r="T27" s="319"/>
      <c r="U27" s="319"/>
      <c r="V27" s="319"/>
      <c r="W27" s="319">
        <v>110200</v>
      </c>
      <c r="AH27" s="1004">
        <v>353</v>
      </c>
      <c r="AI27" s="1004">
        <v>1</v>
      </c>
      <c r="AJ27" s="1004">
        <v>353</v>
      </c>
      <c r="AK27" s="1004">
        <v>12</v>
      </c>
      <c r="AL27" s="1004">
        <v>353</v>
      </c>
      <c r="AM27" s="1004">
        <v>2</v>
      </c>
    </row>
    <row r="28" spans="1:39" ht="12.75" hidden="1" customHeight="1">
      <c r="A28" s="1"/>
      <c r="B28" s="1"/>
      <c r="C28" s="1"/>
      <c r="D28" s="1"/>
      <c r="E28" s="1"/>
      <c r="F28" s="1"/>
      <c r="G28" s="1"/>
      <c r="H28" s="1"/>
      <c r="I28" s="1"/>
      <c r="J28" s="1"/>
      <c r="K28" s="1"/>
      <c r="L28" s="319"/>
      <c r="M28" s="319"/>
      <c r="N28" s="319"/>
      <c r="O28" s="319"/>
      <c r="P28" s="319"/>
      <c r="Q28" s="319"/>
      <c r="R28" s="319"/>
      <c r="S28" s="319"/>
      <c r="T28" s="319"/>
      <c r="U28" s="319"/>
      <c r="V28" s="319"/>
      <c r="W28" s="319">
        <v>110000</v>
      </c>
    </row>
    <row r="29" spans="1:39" ht="12.75" hidden="1" customHeight="1">
      <c r="A29" s="1203" t="str">
        <f>Language!C1196</f>
        <v>Biogás</v>
      </c>
      <c r="B29" s="1204"/>
      <c r="C29" s="192"/>
      <c r="D29" s="192"/>
      <c r="E29" s="192"/>
      <c r="F29" s="192"/>
      <c r="G29" s="192"/>
      <c r="H29" s="192"/>
      <c r="I29" s="192"/>
      <c r="J29" s="193"/>
      <c r="K29" s="1"/>
      <c r="L29" s="319"/>
      <c r="M29" s="319"/>
      <c r="N29" s="319"/>
      <c r="O29" s="319"/>
      <c r="P29" s="319"/>
      <c r="Q29" s="319"/>
      <c r="R29" s="319"/>
      <c r="S29" s="319"/>
      <c r="T29" s="319"/>
      <c r="U29" s="319"/>
      <c r="V29" s="319"/>
      <c r="W29" s="319">
        <v>110300</v>
      </c>
    </row>
    <row r="30" spans="1:39" ht="12.75" hidden="1" customHeight="1">
      <c r="A30" s="12"/>
      <c r="B30" s="8"/>
      <c r="C30" s="8"/>
      <c r="D30" s="8"/>
      <c r="E30" s="8"/>
      <c r="F30" s="8"/>
      <c r="G30" s="8"/>
      <c r="H30" s="8"/>
      <c r="I30" s="8"/>
      <c r="J30" s="9"/>
      <c r="K30" s="1"/>
      <c r="L30" s="319"/>
      <c r="M30" s="319"/>
      <c r="N30" s="319"/>
      <c r="O30" s="319"/>
      <c r="P30" s="319"/>
      <c r="Q30" s="319"/>
      <c r="R30" s="319"/>
      <c r="S30" s="319"/>
      <c r="T30" s="319"/>
      <c r="U30" s="319"/>
      <c r="V30" s="319"/>
      <c r="W30" s="319">
        <v>110300</v>
      </c>
    </row>
    <row r="31" spans="1:39" ht="38.25" hidden="1" customHeight="1">
      <c r="A31" s="12"/>
      <c r="B31" s="8"/>
      <c r="C31" s="20" t="str">
        <f>Language!C1495</f>
        <v>Peso médio por unidade</v>
      </c>
      <c r="D31" s="196" t="str">
        <f>Language!C501</f>
        <v>Quantidade</v>
      </c>
      <c r="E31" s="20" t="str">
        <f>Language!C1611</f>
        <v>Matéria seca</v>
      </c>
      <c r="F31" s="20" t="str">
        <f>Language!C1612</f>
        <v>Matéria seca - sólidos voláteis</v>
      </c>
      <c r="G31" s="20" t="str">
        <f>Language!C1506</f>
        <v>Fator de produção do biogás</v>
      </c>
      <c r="H31" s="20" t="str">
        <f>Language!C1507</f>
        <v>Produção de biogás - anual</v>
      </c>
      <c r="I31" s="20" t="str">
        <f>Language!C1810</f>
        <v>Conteúdo de Metano</v>
      </c>
      <c r="J31" s="9"/>
      <c r="K31" s="1"/>
      <c r="L31" s="319"/>
      <c r="M31" s="319"/>
      <c r="N31" s="319"/>
      <c r="O31" s="319"/>
      <c r="P31" s="319"/>
      <c r="Q31" s="319"/>
      <c r="R31" s="319"/>
      <c r="S31" s="319"/>
      <c r="T31" s="319"/>
      <c r="U31" s="319"/>
      <c r="V31" s="319"/>
      <c r="W31" s="319">
        <v>110300</v>
      </c>
    </row>
    <row r="32" spans="1:39" ht="12.75" hidden="1" customHeight="1">
      <c r="A32" s="12"/>
      <c r="B32" s="266" t="str">
        <f>C426</f>
        <v>Unidade</v>
      </c>
      <c r="C32" s="308" t="s">
        <v>987</v>
      </c>
      <c r="D32" s="8"/>
      <c r="E32" s="128" t="str">
        <f>$C$418</f>
        <v>%</v>
      </c>
      <c r="F32" s="128" t="str">
        <f>$C$418</f>
        <v>%</v>
      </c>
      <c r="G32" s="128" t="str">
        <f>Language!C2237</f>
        <v>m³/kg</v>
      </c>
      <c r="H32" s="128" t="str">
        <f>E779</f>
        <v>m³</v>
      </c>
      <c r="I32" s="128" t="str">
        <f>$C$418</f>
        <v>%</v>
      </c>
      <c r="J32" s="9"/>
      <c r="K32" s="1"/>
      <c r="L32" s="319"/>
      <c r="M32" s="319"/>
      <c r="N32" s="319"/>
      <c r="O32" s="319"/>
      <c r="P32" s="319"/>
      <c r="Q32" s="319"/>
      <c r="R32" s="319"/>
      <c r="S32" s="319"/>
      <c r="T32" s="319"/>
      <c r="U32" s="319"/>
      <c r="V32" s="319"/>
      <c r="W32" s="319">
        <v>110300</v>
      </c>
    </row>
    <row r="33" spans="1:23" ht="12.75" hidden="1" customHeight="1">
      <c r="A33" s="12"/>
      <c r="B33" s="890"/>
      <c r="C33" s="307"/>
      <c r="D33" s="307"/>
      <c r="E33" s="55" t="str">
        <f>IF(B33="","",VLOOKUP(B33,$L$659:$R$694,4,FALSE))</f>
        <v/>
      </c>
      <c r="F33" s="55" t="str">
        <f>IF(B33="","",VLOOKUP(B33,$L$659:$R$694,5,FALSE))</f>
        <v/>
      </c>
      <c r="G33" s="217" t="str">
        <f>IF(B33="","",VLOOKUP(B33,$L$659:$R$694,6,FALSE))</f>
        <v/>
      </c>
      <c r="H33" s="88" t="str">
        <f>IF(B33="","",IF($C$32=$D$681,C33,C33/$F$719)*D33*E33*F33*G33*VLOOKUP(B33,$L$659:$R$694,7,FALSE)*VLOOKUP(B33,$L$659:$R$694,3,FALSE))</f>
        <v/>
      </c>
      <c r="I33" s="223" t="str">
        <f>IF(B33="","",VLOOKUP(B33,$L$659:$P$694,2,FALSE))</f>
        <v/>
      </c>
      <c r="J33" s="9"/>
      <c r="K33" s="1"/>
      <c r="L33" s="319"/>
      <c r="M33" s="319"/>
      <c r="N33" s="319"/>
      <c r="O33" s="319"/>
      <c r="P33" s="319"/>
      <c r="Q33" s="319"/>
      <c r="R33" s="319"/>
      <c r="S33" s="319"/>
      <c r="T33" s="319"/>
      <c r="U33" s="319"/>
      <c r="V33" s="319"/>
      <c r="W33" s="319">
        <v>110300</v>
      </c>
    </row>
    <row r="34" spans="1:23" ht="12.75" hidden="1" customHeight="1">
      <c r="A34" s="12"/>
      <c r="B34" s="890"/>
      <c r="C34" s="307"/>
      <c r="D34" s="307"/>
      <c r="E34" s="55" t="str">
        <f>IF(B34="","",VLOOKUP(B34,$L$659:$R$694,4,FALSE))</f>
        <v/>
      </c>
      <c r="F34" s="55" t="str">
        <f>IF(B34="","",VLOOKUP(B34,$L$659:$R$694,5,FALSE))</f>
        <v/>
      </c>
      <c r="G34" s="217" t="str">
        <f>IF(B34="","",VLOOKUP(B34,$L$659:$R$694,6,FALSE))</f>
        <v/>
      </c>
      <c r="H34" s="88" t="str">
        <f>IF(B34="","",IF($C$32=$D$681,C34,C34/$F$719)*D34*E34*F34*G34*VLOOKUP(B34,$L$659:$R$694,7,FALSE)*VLOOKUP(B34,$L$659:$R$694,3,FALSE))</f>
        <v/>
      </c>
      <c r="I34" s="223" t="str">
        <f>IF(B34="","",VLOOKUP(B34,$L$659:$P$694,2,FALSE))</f>
        <v/>
      </c>
      <c r="J34" s="9"/>
      <c r="K34" s="1"/>
      <c r="L34" s="319"/>
      <c r="M34" s="319"/>
      <c r="N34" s="319"/>
      <c r="O34" s="319"/>
      <c r="P34" s="319"/>
      <c r="Q34" s="319"/>
      <c r="R34" s="319"/>
      <c r="S34" s="319"/>
      <c r="T34" s="319"/>
      <c r="U34" s="319"/>
      <c r="V34" s="319"/>
      <c r="W34" s="319">
        <v>110300</v>
      </c>
    </row>
    <row r="35" spans="1:23" ht="12.75" hidden="1" customHeight="1">
      <c r="A35" s="12"/>
      <c r="B35" s="890"/>
      <c r="C35" s="307"/>
      <c r="D35" s="307"/>
      <c r="E35" s="55" t="str">
        <f>IF(B35="","",VLOOKUP(B35,$L$659:$R$694,4,FALSE))</f>
        <v/>
      </c>
      <c r="F35" s="55" t="str">
        <f>IF(B35="","",VLOOKUP(B35,$L$659:$R$694,5,FALSE))</f>
        <v/>
      </c>
      <c r="G35" s="217" t="str">
        <f>IF(B35="","",VLOOKUP(B35,$L$659:$R$694,6,FALSE))</f>
        <v/>
      </c>
      <c r="H35" s="88" t="str">
        <f>IF(B35="","",IF($C$32=$D$681,C35,C35/$F$719)*D35*E35*F35*G35*VLOOKUP(B35,$L$659:$R$694,7,FALSE)*VLOOKUP(B35,$L$659:$R$694,3,FALSE))</f>
        <v/>
      </c>
      <c r="I35" s="223" t="str">
        <f>IF(B35="","",VLOOKUP(B35,$L$659:$P$694,2,FALSE))</f>
        <v/>
      </c>
      <c r="J35" s="9"/>
      <c r="K35" s="1"/>
      <c r="L35" s="319"/>
      <c r="M35" s="319"/>
      <c r="N35" s="319"/>
      <c r="O35" s="319"/>
      <c r="P35" s="319"/>
      <c r="Q35" s="319"/>
      <c r="R35" s="319"/>
      <c r="S35" s="319"/>
      <c r="T35" s="319"/>
      <c r="U35" s="319"/>
      <c r="V35" s="319"/>
      <c r="W35" s="319">
        <v>110300</v>
      </c>
    </row>
    <row r="36" spans="1:23" ht="12.75" hidden="1" customHeight="1">
      <c r="A36" s="12"/>
      <c r="B36" s="890"/>
      <c r="C36" s="307"/>
      <c r="D36" s="307"/>
      <c r="E36" s="55" t="str">
        <f>IF(B36="","",VLOOKUP(B36,$L$659:$R$694,4,FALSE))</f>
        <v/>
      </c>
      <c r="F36" s="55" t="str">
        <f>IF(B36="","",VLOOKUP(B36,$L$659:$R$694,5,FALSE))</f>
        <v/>
      </c>
      <c r="G36" s="217" t="str">
        <f>IF(B36="","",VLOOKUP(B36,$L$659:$R$694,6,FALSE))</f>
        <v/>
      </c>
      <c r="H36" s="88" t="str">
        <f>IF(B36="","",IF($C$32=$D$681,C36,C36/$F$719)*D36*E36*F36*G36*VLOOKUP(B36,$L$659:$R$694,7,FALSE)*VLOOKUP(B36,$L$659:$R$694,3,FALSE))</f>
        <v/>
      </c>
      <c r="I36" s="223" t="str">
        <f>IF(B36="","",VLOOKUP(B36,$L$659:$P$694,2,FALSE))</f>
        <v/>
      </c>
      <c r="J36" s="9"/>
      <c r="K36" s="1"/>
      <c r="L36" s="319"/>
      <c r="M36" s="319"/>
      <c r="N36" s="319"/>
      <c r="O36" s="319"/>
      <c r="P36" s="319"/>
      <c r="Q36" s="319"/>
      <c r="R36" s="319"/>
      <c r="S36" s="319"/>
      <c r="T36" s="319"/>
      <c r="U36" s="319"/>
      <c r="V36" s="319"/>
      <c r="W36" s="319">
        <v>110300</v>
      </c>
    </row>
    <row r="37" spans="1:23" ht="12.75" hidden="1" customHeight="1">
      <c r="A37" s="12"/>
      <c r="B37" s="890"/>
      <c r="C37" s="307"/>
      <c r="D37" s="307"/>
      <c r="E37" s="55" t="str">
        <f>IF(B37="","",VLOOKUP(B37,$L$659:$R$694,4,FALSE))</f>
        <v/>
      </c>
      <c r="F37" s="55" t="str">
        <f>IF(B37="","",VLOOKUP(B37,$L$659:$R$694,5,FALSE))</f>
        <v/>
      </c>
      <c r="G37" s="217" t="str">
        <f>IF(B37="","",VLOOKUP(B37,$L$659:$R$694,6,FALSE))</f>
        <v/>
      </c>
      <c r="H37" s="88" t="str">
        <f>IF(B37="","",IF($C$32=$D$681,C37,C37/$F$719)*D37*E37*F37*G37*VLOOKUP(B37,$L$659:$R$694,7,FALSE)*VLOOKUP(B37,$L$659:$R$694,3,FALSE))</f>
        <v/>
      </c>
      <c r="I37" s="223" t="str">
        <f>IF(B37="","",VLOOKUP(B37,$L$659:$P$694,2,FALSE))</f>
        <v/>
      </c>
      <c r="J37" s="9"/>
      <c r="K37" s="1"/>
      <c r="L37" s="319"/>
      <c r="M37" s="319"/>
      <c r="N37" s="319"/>
      <c r="O37" s="319"/>
      <c r="P37" s="319"/>
      <c r="Q37" s="319"/>
      <c r="R37" s="319"/>
      <c r="S37" s="319"/>
      <c r="T37" s="319"/>
      <c r="U37" s="319"/>
      <c r="V37" s="319"/>
      <c r="W37" s="319">
        <v>110300</v>
      </c>
    </row>
    <row r="38" spans="1:23" ht="12.75" hidden="1" customHeight="1">
      <c r="A38" s="12"/>
      <c r="B38" s="334" t="str">
        <f>I979</f>
        <v>Definido pelo usuário</v>
      </c>
      <c r="C38" s="307"/>
      <c r="D38" s="307"/>
      <c r="E38" s="366"/>
      <c r="F38" s="366"/>
      <c r="G38" s="367"/>
      <c r="H38" s="88">
        <f>IF($C$32=$D$681,C38,C38/$F$719)*D38*E38*F38*G38</f>
        <v>0</v>
      </c>
      <c r="I38" s="159"/>
      <c r="J38" s="9"/>
      <c r="K38" s="1"/>
      <c r="L38" s="319"/>
      <c r="M38" s="319"/>
      <c r="N38" s="319"/>
      <c r="O38" s="319"/>
      <c r="P38" s="319"/>
      <c r="Q38" s="319"/>
      <c r="R38" s="319"/>
      <c r="S38" s="319"/>
      <c r="T38" s="319"/>
      <c r="U38" s="319"/>
      <c r="V38" s="319"/>
      <c r="W38" s="319">
        <v>110300</v>
      </c>
    </row>
    <row r="39" spans="1:23" ht="12.75" hidden="1" customHeight="1">
      <c r="A39" s="12"/>
      <c r="B39" s="334" t="str">
        <f>I979</f>
        <v>Definido pelo usuário</v>
      </c>
      <c r="C39" s="307"/>
      <c r="D39" s="307"/>
      <c r="E39" s="159"/>
      <c r="F39" s="159"/>
      <c r="G39" s="367"/>
      <c r="H39" s="115">
        <f>IF($C$32=$D$681,C39,C39/$F$719)*D39*E39*F39*G39</f>
        <v>0</v>
      </c>
      <c r="I39" s="159"/>
      <c r="J39" s="9"/>
      <c r="K39" s="1"/>
      <c r="L39" s="319"/>
      <c r="M39" s="319"/>
      <c r="N39" s="319"/>
      <c r="O39" s="319"/>
      <c r="P39" s="319"/>
      <c r="Q39" s="319"/>
      <c r="R39" s="319"/>
      <c r="S39" s="319"/>
      <c r="T39" s="319"/>
      <c r="U39" s="319"/>
      <c r="V39" s="319"/>
      <c r="W39" s="319">
        <v>110300</v>
      </c>
    </row>
    <row r="40" spans="1:23" ht="12.75" hidden="1" customHeight="1">
      <c r="A40" s="12"/>
      <c r="B40" s="8" t="str">
        <f>C513</f>
        <v>Total</v>
      </c>
      <c r="C40" s="8"/>
      <c r="D40" s="88">
        <f>SUM(D33:D39)</f>
        <v>0</v>
      </c>
      <c r="E40" s="1"/>
      <c r="F40" s="1"/>
      <c r="G40" s="8"/>
      <c r="H40" s="88">
        <f>SUM(H33:H39)</f>
        <v>0</v>
      </c>
      <c r="I40" s="223">
        <f>IF(ISERROR(SUMPRODUCT(H33:H39,I33:I39)/H40),0,SUMPRODUCT(H33:H39,I33:I39)/H40)</f>
        <v>0</v>
      </c>
      <c r="J40" s="9"/>
      <c r="K40" s="1"/>
      <c r="L40" s="319"/>
      <c r="M40" s="319"/>
      <c r="N40" s="319"/>
      <c r="O40" s="319"/>
      <c r="P40" s="319"/>
      <c r="Q40" s="319"/>
      <c r="R40" s="319"/>
      <c r="S40" s="319"/>
      <c r="T40" s="319"/>
      <c r="U40" s="319"/>
      <c r="V40" s="319"/>
      <c r="W40" s="319">
        <v>110300</v>
      </c>
    </row>
    <row r="41" spans="1:23" ht="12.75" hidden="1" customHeight="1">
      <c r="A41" s="14"/>
      <c r="B41" s="15"/>
      <c r="C41" s="15"/>
      <c r="D41" s="15"/>
      <c r="E41" s="15"/>
      <c r="F41" s="15"/>
      <c r="G41" s="15"/>
      <c r="H41" s="15"/>
      <c r="I41" s="15"/>
      <c r="J41" s="11"/>
      <c r="K41" s="1"/>
      <c r="L41" s="319"/>
      <c r="M41" s="319"/>
      <c r="N41" s="319"/>
      <c r="O41" s="319"/>
      <c r="P41" s="319"/>
      <c r="Q41" s="319"/>
      <c r="R41" s="319"/>
      <c r="S41" s="319"/>
      <c r="T41" s="319"/>
      <c r="U41" s="319"/>
      <c r="V41" s="319"/>
      <c r="W41" s="319">
        <v>110300</v>
      </c>
    </row>
    <row r="42" spans="1:23" ht="12.75" hidden="1" customHeight="1">
      <c r="A42" s="1"/>
      <c r="B42" s="1"/>
      <c r="C42" s="1"/>
      <c r="D42" s="1"/>
      <c r="E42" s="1"/>
      <c r="F42" s="1"/>
      <c r="G42" s="1"/>
      <c r="H42" s="1"/>
      <c r="I42" s="1"/>
      <c r="J42" s="1"/>
      <c r="K42" s="1"/>
      <c r="L42" s="319"/>
      <c r="M42" s="319"/>
      <c r="N42" s="319"/>
      <c r="O42" s="319"/>
      <c r="P42" s="319"/>
      <c r="Q42" s="319"/>
      <c r="R42" s="319"/>
      <c r="S42" s="319"/>
      <c r="T42" s="319"/>
      <c r="U42" s="319"/>
      <c r="V42" s="319"/>
      <c r="W42" s="319">
        <v>110000</v>
      </c>
    </row>
    <row r="43" spans="1:23" ht="12.75" hidden="1" customHeight="1">
      <c r="A43" s="1203" t="str">
        <f>B7</f>
        <v>Propriedades do invólucro do prédio</v>
      </c>
      <c r="B43" s="1204"/>
      <c r="C43" s="192"/>
      <c r="D43" s="192"/>
      <c r="E43" s="192"/>
      <c r="F43" s="192"/>
      <c r="G43" s="192"/>
      <c r="H43" s="192"/>
      <c r="I43" s="192"/>
      <c r="J43" s="193"/>
      <c r="K43" s="1"/>
      <c r="L43" s="319"/>
      <c r="M43" s="319"/>
      <c r="N43" s="319"/>
      <c r="O43" s="319"/>
      <c r="P43" s="319"/>
      <c r="Q43" s="319"/>
      <c r="R43" s="319"/>
      <c r="S43" s="319"/>
      <c r="T43" s="319"/>
      <c r="U43" s="319"/>
      <c r="V43" s="319"/>
      <c r="W43" s="319">
        <v>110400</v>
      </c>
    </row>
    <row r="44" spans="1:23" ht="12.75" hidden="1" customHeight="1">
      <c r="A44" s="12"/>
      <c r="B44" s="8"/>
      <c r="C44" s="8"/>
      <c r="D44" s="8"/>
      <c r="E44" s="8"/>
      <c r="F44" s="8"/>
      <c r="G44" s="8"/>
      <c r="H44" s="8"/>
      <c r="I44" s="8"/>
      <c r="J44" s="9"/>
      <c r="K44" s="1"/>
      <c r="L44" s="319"/>
      <c r="M44" s="319"/>
      <c r="N44" s="319"/>
      <c r="O44" s="319"/>
      <c r="P44" s="319"/>
      <c r="Q44" s="319"/>
      <c r="R44" s="319"/>
      <c r="S44" s="319"/>
      <c r="T44" s="319"/>
      <c r="U44" s="319"/>
      <c r="V44" s="319"/>
      <c r="W44" s="319">
        <v>110400</v>
      </c>
    </row>
    <row r="45" spans="1:23" ht="12.75" hidden="1" customHeight="1">
      <c r="A45" s="12"/>
      <c r="B45" s="8" t="str">
        <f>B268</f>
        <v>Tipo</v>
      </c>
      <c r="C45" s="1133" t="s">
        <v>7874</v>
      </c>
      <c r="D45" s="1134"/>
      <c r="E45" s="1135"/>
      <c r="F45" s="8"/>
      <c r="G45" s="8"/>
      <c r="H45" s="8"/>
      <c r="I45" s="8"/>
      <c r="J45" s="9"/>
      <c r="K45" s="1"/>
      <c r="L45" s="319">
        <f>MATCH(C45,U69:U72,0)</f>
        <v>1</v>
      </c>
      <c r="M45" s="319"/>
      <c r="N45" s="319"/>
      <c r="O45" s="319"/>
      <c r="P45" s="319"/>
      <c r="Q45" s="319"/>
      <c r="R45" s="319"/>
      <c r="S45" s="319"/>
      <c r="T45" s="319"/>
      <c r="U45" s="319"/>
      <c r="V45" s="319"/>
      <c r="W45" s="319">
        <v>110402</v>
      </c>
    </row>
    <row r="46" spans="1:23" ht="12.75" hidden="1" customHeight="1">
      <c r="A46" s="12"/>
      <c r="B46" s="8" t="str">
        <f>$B$550</f>
        <v>Descrição</v>
      </c>
      <c r="C46" s="1152"/>
      <c r="D46" s="1153"/>
      <c r="E46" s="1154"/>
      <c r="F46" s="8"/>
      <c r="G46" s="8"/>
      <c r="H46" s="8"/>
      <c r="I46" s="8"/>
      <c r="J46" s="9"/>
      <c r="K46" s="1"/>
      <c r="L46" s="319"/>
      <c r="M46" s="319"/>
      <c r="N46" s="319"/>
      <c r="O46" s="319"/>
      <c r="P46" s="319"/>
      <c r="Q46" s="319"/>
      <c r="R46" s="319"/>
      <c r="S46" s="319"/>
      <c r="T46" s="319"/>
      <c r="U46" s="319"/>
      <c r="V46" s="319"/>
      <c r="W46" s="319">
        <v>110404</v>
      </c>
    </row>
    <row r="47" spans="1:23" ht="12.75" hidden="1" customHeight="1">
      <c r="A47" s="12"/>
      <c r="B47" s="8" t="str">
        <f>B409</f>
        <v>Unidades</v>
      </c>
      <c r="C47" s="419" t="s">
        <v>4592</v>
      </c>
      <c r="D47" s="895" t="str">
        <f>IF(L47&lt;3,R71,R72)</f>
        <v>Valor - R</v>
      </c>
      <c r="E47" s="8"/>
      <c r="F47" s="8"/>
      <c r="G47" s="8"/>
      <c r="H47" s="8"/>
      <c r="I47" s="8"/>
      <c r="J47" s="9"/>
      <c r="K47" s="1"/>
      <c r="L47" s="319">
        <f>MATCH(C47,T75:T78,0)</f>
        <v>1</v>
      </c>
      <c r="M47" s="319"/>
      <c r="N47" s="319"/>
      <c r="O47" s="319"/>
      <c r="P47" s="319"/>
      <c r="Q47" s="319"/>
      <c r="R47" s="319"/>
      <c r="S47" s="319"/>
      <c r="T47" s="319"/>
      <c r="U47" s="319"/>
      <c r="V47" s="319"/>
      <c r="W47" s="319">
        <v>110406</v>
      </c>
    </row>
    <row r="48" spans="1:23" ht="12.75" hidden="1" customHeight="1">
      <c r="A48" s="12"/>
      <c r="B48" s="153"/>
      <c r="C48" s="196"/>
      <c r="D48" s="1"/>
      <c r="E48" s="196" t="str">
        <f>Language!C2592</f>
        <v>Espessura</v>
      </c>
      <c r="F48" s="20" t="str">
        <f>Language!C2104</f>
        <v>Condutividade</v>
      </c>
      <c r="G48" s="196" t="str">
        <f>IF(L47&lt;3,P73,P74)</f>
        <v>Resistência</v>
      </c>
      <c r="H48" s="8"/>
      <c r="I48" s="8"/>
      <c r="J48" s="9"/>
      <c r="K48" s="1"/>
      <c r="L48" s="319"/>
      <c r="M48" s="319"/>
      <c r="N48" s="475"/>
      <c r="O48" s="319"/>
      <c r="P48" s="319"/>
      <c r="Q48" s="319"/>
      <c r="R48" s="319"/>
      <c r="S48" s="319"/>
      <c r="T48" s="319"/>
      <c r="U48" s="319"/>
      <c r="V48" s="319"/>
      <c r="W48" s="319">
        <v>110408</v>
      </c>
    </row>
    <row r="49" spans="1:23" ht="12.75" hidden="1" customHeight="1">
      <c r="A49" s="12"/>
      <c r="B49" s="153" t="str">
        <f>$B$550</f>
        <v>Descrição</v>
      </c>
      <c r="C49" s="142" t="str">
        <f>Language!C2109</f>
        <v>Camada</v>
      </c>
      <c r="D49" s="128"/>
      <c r="E49" s="308" t="s">
        <v>5370</v>
      </c>
      <c r="F49" s="128" t="str">
        <f>IF(OR(L47=1,L47=3),Q71,Q72)</f>
        <v>W/m - °C</v>
      </c>
      <c r="G49" s="142" t="str">
        <f>C47</f>
        <v>m² - ºC/W</v>
      </c>
      <c r="H49" s="8"/>
      <c r="I49" s="8"/>
      <c r="J49" s="9"/>
      <c r="K49" s="1"/>
      <c r="L49" s="393" t="s">
        <v>4452</v>
      </c>
      <c r="M49" s="319" t="s">
        <v>6007</v>
      </c>
      <c r="N49" s="319"/>
      <c r="O49" s="319"/>
      <c r="P49" s="319"/>
      <c r="Q49" s="319"/>
      <c r="R49" s="319"/>
      <c r="S49" s="319"/>
      <c r="T49" s="319"/>
      <c r="U49" s="319"/>
      <c r="V49" s="319"/>
      <c r="W49" s="319">
        <v>110408</v>
      </c>
    </row>
    <row r="50" spans="1:23" ht="12.75" hidden="1" customHeight="1">
      <c r="A50" s="12"/>
      <c r="B50" s="46" t="str">
        <f>Language!C2105</f>
        <v>Coeficiente de transmissão externa</v>
      </c>
      <c r="C50" s="8"/>
      <c r="D50" s="8"/>
      <c r="E50" s="8"/>
      <c r="F50" s="1"/>
      <c r="G50" s="312">
        <v>2.9938731225991999E-2</v>
      </c>
      <c r="H50" s="8"/>
      <c r="I50" s="8"/>
      <c r="J50" s="9"/>
      <c r="K50" s="1"/>
      <c r="L50" s="476">
        <f>IF($L$47&lt;3,IF(B50="","",VLOOKUP(B50,P63:T64,L45+1,FALSE)),1/IF(B50="","",VLOOKUP(B50,P63:T64,L45+1,FALSE)))*IF(OR($L$47=1,$L$47=3),1,IF($L$47=2,1/$U$76,$U$76))</f>
        <v>2.9938731225991999E-2</v>
      </c>
      <c r="M50" s="476">
        <f>IF(L47=1,T_BuildEnvType3,IF(L47=2,T_BuildEnvType3*U76,1/T_BuildEnvType3)*IF(L47=4,U76,1))</f>
        <v>2.9938731225991999E-2</v>
      </c>
      <c r="N50" s="319"/>
      <c r="O50" s="319"/>
      <c r="P50" s="319"/>
      <c r="Q50" s="319"/>
      <c r="R50" s="319"/>
      <c r="S50" s="319"/>
      <c r="T50" s="319"/>
      <c r="U50" s="319"/>
      <c r="V50" s="319"/>
      <c r="W50" s="319">
        <v>110408</v>
      </c>
    </row>
    <row r="51" spans="1:23" ht="12.75" hidden="1" customHeight="1">
      <c r="A51" s="12"/>
      <c r="B51" s="890"/>
      <c r="C51" s="21">
        <v>1</v>
      </c>
      <c r="D51" s="21"/>
      <c r="E51" s="395"/>
      <c r="F51" s="312"/>
      <c r="G51" s="242">
        <f>IF(OR(M51="",M51=0),0,IF($L$47&lt;3,M51,1/M51)*IF(OR($L$47=1,$L$47=3),1,IF($L$47=2,1/$U$76,$U$76)))</f>
        <v>0</v>
      </c>
      <c r="H51" s="8"/>
      <c r="I51" s="8"/>
      <c r="J51" s="9"/>
      <c r="K51" s="1"/>
      <c r="L51" s="476" t="str">
        <f>IF(B51="","",IF(OR($L$47=2,$L$47=4),1/VLOOKUP(B51,$H$659:$I$706,2,FALSE)/$U$76*0.0254,VLOOKUP(B51,$H$659:$I$706,2,FALSE)))</f>
        <v/>
      </c>
      <c r="M51" s="476" t="str">
        <f>IF(E51="","",IF($E$49=$P$71,E51,E51/$F$722*1000)/1000/IF(OR($L$47=2,$L$47=4),1/F51/$U$76*0.0254,F51))</f>
        <v/>
      </c>
      <c r="N51" s="319"/>
      <c r="O51" s="476"/>
      <c r="P51" s="319"/>
      <c r="Q51" s="319"/>
      <c r="R51" s="319"/>
      <c r="S51" s="319"/>
      <c r="T51" s="319"/>
      <c r="U51" s="319"/>
      <c r="V51" s="319"/>
      <c r="W51" s="319">
        <v>110408</v>
      </c>
    </row>
    <row r="52" spans="1:23" ht="12.75" hidden="1" customHeight="1">
      <c r="A52" s="12"/>
      <c r="B52" s="890"/>
      <c r="C52" s="21">
        <v>2</v>
      </c>
      <c r="D52" s="21"/>
      <c r="E52" s="395"/>
      <c r="F52" s="312"/>
      <c r="G52" s="242">
        <f t="shared" ref="G52:G58" si="4">IF(OR(M52="",M52=0),0,IF($L$47&lt;3,M52,1/M52)*IF(OR($L$47=1,$L$47=3),1,IF($L$47=2,1/$U$76,$U$76)))</f>
        <v>0</v>
      </c>
      <c r="H52" s="8"/>
      <c r="I52" s="8"/>
      <c r="J52" s="9"/>
      <c r="K52" s="1"/>
      <c r="L52" s="476" t="str">
        <f t="shared" ref="L52:L58" si="5">IF(B52="","",IF(OR($L$47=2,$L$47=4),1/VLOOKUP(B52,$H$659:$I$706,2,FALSE)/$U$76*0.0254,VLOOKUP(B52,$H$659:$I$706,2,FALSE)))</f>
        <v/>
      </c>
      <c r="M52" s="476" t="str">
        <f t="shared" ref="M52:M58" si="6">IF(E52="","",IF($E$49=$P$71,E52,E52/$F$722*1000)/1000/IF(OR($L$47=2,$L$47=4),1/F52/$U$76*0.0254,F52))</f>
        <v/>
      </c>
      <c r="N52" s="319"/>
      <c r="O52" s="476"/>
      <c r="P52" s="319"/>
      <c r="Q52" s="319"/>
      <c r="R52" s="319"/>
      <c r="S52" s="319"/>
      <c r="T52" s="319"/>
      <c r="U52" s="319"/>
      <c r="V52" s="319"/>
      <c r="W52" s="319">
        <v>110408</v>
      </c>
    </row>
    <row r="53" spans="1:23" ht="12.75" hidden="1" customHeight="1">
      <c r="A53" s="12"/>
      <c r="B53" s="890"/>
      <c r="C53" s="21">
        <v>3</v>
      </c>
      <c r="D53" s="21"/>
      <c r="E53" s="395"/>
      <c r="F53" s="312"/>
      <c r="G53" s="242">
        <f t="shared" si="4"/>
        <v>0</v>
      </c>
      <c r="H53" s="8"/>
      <c r="I53" s="8"/>
      <c r="J53" s="9"/>
      <c r="K53" s="1"/>
      <c r="L53" s="476" t="str">
        <f t="shared" si="5"/>
        <v/>
      </c>
      <c r="M53" s="476" t="str">
        <f t="shared" si="6"/>
        <v/>
      </c>
      <c r="N53" s="319"/>
      <c r="O53" s="476"/>
      <c r="P53" s="319"/>
      <c r="Q53" s="319"/>
      <c r="R53" s="319"/>
      <c r="S53" s="319"/>
      <c r="T53" s="319"/>
      <c r="U53" s="319"/>
      <c r="V53" s="319"/>
      <c r="W53" s="319">
        <v>110408</v>
      </c>
    </row>
    <row r="54" spans="1:23" ht="12.75" hidden="1" customHeight="1">
      <c r="A54" s="12"/>
      <c r="B54" s="890"/>
      <c r="C54" s="21">
        <v>4</v>
      </c>
      <c r="D54" s="21"/>
      <c r="E54" s="395"/>
      <c r="F54" s="312"/>
      <c r="G54" s="242">
        <f t="shared" si="4"/>
        <v>0</v>
      </c>
      <c r="H54" s="8"/>
      <c r="I54" s="8"/>
      <c r="J54" s="9"/>
      <c r="K54" s="1"/>
      <c r="L54" s="476" t="str">
        <f t="shared" si="5"/>
        <v/>
      </c>
      <c r="M54" s="476" t="str">
        <f t="shared" si="6"/>
        <v/>
      </c>
      <c r="N54" s="319"/>
      <c r="O54" s="476"/>
      <c r="P54" s="319"/>
      <c r="Q54" s="319"/>
      <c r="R54" s="319"/>
      <c r="S54" s="319"/>
      <c r="T54" s="319"/>
      <c r="U54" s="319"/>
      <c r="V54" s="319"/>
      <c r="W54" s="319">
        <v>110408</v>
      </c>
    </row>
    <row r="55" spans="1:23" ht="12.75" hidden="1" customHeight="1">
      <c r="A55" s="12"/>
      <c r="B55" s="890"/>
      <c r="C55" s="21">
        <v>5</v>
      </c>
      <c r="D55" s="21"/>
      <c r="E55" s="395"/>
      <c r="F55" s="312"/>
      <c r="G55" s="242">
        <f t="shared" si="4"/>
        <v>0</v>
      </c>
      <c r="H55" s="8"/>
      <c r="I55" s="8"/>
      <c r="J55" s="9"/>
      <c r="K55" s="1"/>
      <c r="L55" s="476" t="str">
        <f t="shared" si="5"/>
        <v/>
      </c>
      <c r="M55" s="476" t="str">
        <f t="shared" si="6"/>
        <v/>
      </c>
      <c r="N55" s="319"/>
      <c r="O55" s="476"/>
      <c r="P55" s="319"/>
      <c r="Q55" s="319"/>
      <c r="R55" s="319"/>
      <c r="S55" s="319"/>
      <c r="T55" s="319"/>
      <c r="U55" s="319"/>
      <c r="V55" s="319"/>
      <c r="W55" s="319">
        <v>110408</v>
      </c>
    </row>
    <row r="56" spans="1:23" ht="12.75" hidden="1" customHeight="1">
      <c r="A56" s="12"/>
      <c r="B56" s="890"/>
      <c r="C56" s="21">
        <v>6</v>
      </c>
      <c r="D56" s="21"/>
      <c r="E56" s="395"/>
      <c r="F56" s="312"/>
      <c r="G56" s="242">
        <f t="shared" si="4"/>
        <v>0</v>
      </c>
      <c r="H56" s="8"/>
      <c r="I56" s="8"/>
      <c r="J56" s="9"/>
      <c r="K56" s="1"/>
      <c r="L56" s="476" t="str">
        <f t="shared" si="5"/>
        <v/>
      </c>
      <c r="M56" s="476" t="str">
        <f t="shared" si="6"/>
        <v/>
      </c>
      <c r="N56" s="319" t="s">
        <v>1883</v>
      </c>
      <c r="O56" s="476"/>
      <c r="P56" s="319"/>
      <c r="Q56" s="319"/>
      <c r="R56" s="319"/>
      <c r="S56" s="319"/>
      <c r="T56" s="319"/>
      <c r="U56" s="319"/>
      <c r="V56" s="319"/>
      <c r="W56" s="319">
        <v>110408</v>
      </c>
    </row>
    <row r="57" spans="1:23" ht="12.75" hidden="1" customHeight="1">
      <c r="A57" s="12"/>
      <c r="B57" s="890"/>
      <c r="C57" s="21">
        <v>7</v>
      </c>
      <c r="D57" s="21"/>
      <c r="E57" s="395"/>
      <c r="F57" s="312"/>
      <c r="G57" s="242">
        <f t="shared" si="4"/>
        <v>0</v>
      </c>
      <c r="H57" s="8"/>
      <c r="I57" s="8"/>
      <c r="J57" s="9"/>
      <c r="K57" s="1"/>
      <c r="L57" s="476" t="str">
        <f t="shared" si="5"/>
        <v/>
      </c>
      <c r="M57" s="476" t="str">
        <f t="shared" si="6"/>
        <v/>
      </c>
      <c r="N57" s="319" t="s">
        <v>1883</v>
      </c>
      <c r="O57" s="319"/>
      <c r="P57" s="319"/>
      <c r="Q57" s="319"/>
      <c r="R57" s="319"/>
      <c r="S57" s="319"/>
      <c r="T57" s="319"/>
      <c r="U57" s="319"/>
      <c r="V57" s="319"/>
      <c r="W57" s="319">
        <v>110408</v>
      </c>
    </row>
    <row r="58" spans="1:23" ht="12.75" hidden="1" customHeight="1">
      <c r="A58" s="12"/>
      <c r="B58" s="890"/>
      <c r="C58" s="21">
        <v>8</v>
      </c>
      <c r="D58" s="21"/>
      <c r="E58" s="395"/>
      <c r="F58" s="312"/>
      <c r="G58" s="242">
        <f t="shared" si="4"/>
        <v>0</v>
      </c>
      <c r="H58" s="8"/>
      <c r="I58" s="8"/>
      <c r="J58" s="9"/>
      <c r="K58" s="1"/>
      <c r="L58" s="476" t="str">
        <f t="shared" si="5"/>
        <v/>
      </c>
      <c r="M58" s="476" t="str">
        <f t="shared" si="6"/>
        <v/>
      </c>
      <c r="N58" s="319" t="s">
        <v>1883</v>
      </c>
      <c r="O58" s="319"/>
      <c r="P58" s="319"/>
      <c r="Q58" s="319"/>
      <c r="R58" s="319"/>
      <c r="S58" s="319"/>
      <c r="T58" s="319"/>
      <c r="U58" s="319"/>
      <c r="V58" s="319"/>
      <c r="W58" s="319">
        <v>110408</v>
      </c>
    </row>
    <row r="59" spans="1:23" ht="12.75" hidden="1" customHeight="1">
      <c r="A59" s="12"/>
      <c r="B59" s="46" t="str">
        <f>Language!C2108</f>
        <v>Coeficiente de transmissão interna</v>
      </c>
      <c r="C59" s="15"/>
      <c r="D59" s="15"/>
      <c r="E59" s="15"/>
      <c r="F59" s="15"/>
      <c r="G59" s="312">
        <v>0.119754924903968</v>
      </c>
      <c r="H59" s="8"/>
      <c r="I59" s="8"/>
      <c r="J59" s="9"/>
      <c r="K59" s="1"/>
      <c r="L59" s="476">
        <f>IF($L$47&lt;3,IF(B59="","",VLOOKUP(B59,P63:T64,L45+1,FALSE)),1/IF(B59="","",VLOOKUP(B59,P63:T64,L45+1,FALSE)))*IF(OR($L$47=1,$L$47=3),1,IF($L$47=2,1/$U$76,$U$76))</f>
        <v>0.119754924903968</v>
      </c>
      <c r="M59" s="476">
        <f>IF(L47=1,T_BuildEnvType4,IF(L47=2,T_BuildEnvType4*U76,1/T_BuildEnvType4)*IF(L47=4,U76,1))</f>
        <v>0.119754924903968</v>
      </c>
      <c r="N59" s="475"/>
      <c r="O59" s="319"/>
      <c r="P59" s="319"/>
      <c r="Q59" s="319"/>
      <c r="R59" s="319"/>
      <c r="S59" s="319"/>
      <c r="T59" s="319"/>
      <c r="U59" s="319"/>
      <c r="V59" s="319"/>
      <c r="W59" s="319">
        <v>110408</v>
      </c>
    </row>
    <row r="60" spans="1:23" ht="12.75" hidden="1" customHeight="1">
      <c r="A60" s="12"/>
      <c r="B60" s="8" t="str">
        <f>IF(L47&lt;3,S71,S72)</f>
        <v>Valor de R - nominal</v>
      </c>
      <c r="C60" s="1"/>
      <c r="D60" s="21"/>
      <c r="E60" s="8"/>
      <c r="F60" s="21" t="str">
        <f>C47</f>
        <v>m² - ºC/W</v>
      </c>
      <c r="G60" s="242">
        <f>IF(L47&lt;3,SUM(G50:G59),IF(L47=4,$U$76,1)/M60)</f>
        <v>0.14969365612996</v>
      </c>
      <c r="H60" s="8"/>
      <c r="I60" s="8"/>
      <c r="J60" s="9"/>
      <c r="K60" s="1"/>
      <c r="L60" s="319"/>
      <c r="M60" s="476">
        <f>SUM(M50:M59)</f>
        <v>0.14969365612996</v>
      </c>
      <c r="N60" s="319" t="s">
        <v>5551</v>
      </c>
      <c r="O60" s="319"/>
      <c r="P60" s="319"/>
      <c r="Q60" s="319"/>
      <c r="R60" s="319"/>
      <c r="S60" s="319"/>
      <c r="T60" s="319"/>
      <c r="U60" s="319"/>
      <c r="V60" s="319"/>
      <c r="W60" s="319">
        <v>110410</v>
      </c>
    </row>
    <row r="61" spans="1:23" ht="12.75" hidden="1" customHeight="1">
      <c r="A61" s="12"/>
      <c r="B61" s="8"/>
      <c r="C61" s="8"/>
      <c r="D61" s="8"/>
      <c r="E61" s="8"/>
      <c r="F61" s="8"/>
      <c r="G61" s="8"/>
      <c r="H61" s="8"/>
      <c r="I61" s="8"/>
      <c r="J61" s="9"/>
      <c r="K61" s="1"/>
      <c r="L61" s="319"/>
      <c r="M61" s="319">
        <f>1/M60</f>
        <v>6.6803098130746905</v>
      </c>
      <c r="N61" s="319" t="s">
        <v>5552</v>
      </c>
      <c r="O61" s="319"/>
      <c r="P61" s="319"/>
      <c r="Q61" s="319"/>
      <c r="R61" s="319"/>
      <c r="S61" s="319"/>
      <c r="T61" s="319"/>
      <c r="U61" s="319"/>
      <c r="V61" s="319"/>
      <c r="W61" s="319">
        <v>110400</v>
      </c>
    </row>
    <row r="62" spans="1:23" ht="25.5" hidden="1" customHeight="1">
      <c r="A62" s="12"/>
      <c r="B62" s="153"/>
      <c r="C62" s="196"/>
      <c r="D62" s="1"/>
      <c r="E62" s="1"/>
      <c r="F62" s="196" t="str">
        <f>B429</f>
        <v>Área</v>
      </c>
      <c r="G62" s="20" t="str">
        <f>IF(L47&lt;3,R73,R74)</f>
        <v>Valor de R - redução</v>
      </c>
      <c r="H62" s="8"/>
      <c r="I62" s="8"/>
      <c r="J62" s="9"/>
      <c r="K62" s="1"/>
      <c r="L62" s="319"/>
      <c r="M62" s="319"/>
      <c r="N62" s="319"/>
      <c r="O62" s="319"/>
      <c r="P62" s="468"/>
      <c r="Q62" s="469" t="s">
        <v>2659</v>
      </c>
      <c r="R62" s="469" t="s">
        <v>1991</v>
      </c>
      <c r="S62" s="469" t="s">
        <v>5961</v>
      </c>
      <c r="T62" s="470" t="s">
        <v>3025</v>
      </c>
      <c r="U62" s="319"/>
      <c r="V62" s="319"/>
      <c r="W62" s="319">
        <v>110412</v>
      </c>
    </row>
    <row r="63" spans="1:23" ht="12.75" hidden="1" customHeight="1">
      <c r="A63" s="12"/>
      <c r="B63" s="49" t="str">
        <f>$B$550</f>
        <v>Descrição</v>
      </c>
      <c r="C63" s="142" t="str">
        <f>C49</f>
        <v>Camada</v>
      </c>
      <c r="D63" s="1275" t="str">
        <f>Language!C2107</f>
        <v>Moldura</v>
      </c>
      <c r="E63" s="1275"/>
      <c r="F63" s="128" t="str">
        <f>$C$418</f>
        <v>%</v>
      </c>
      <c r="G63" s="142" t="str">
        <f>C47</f>
        <v>m² - ºC/W</v>
      </c>
      <c r="H63" s="8"/>
      <c r="I63" s="8"/>
      <c r="J63" s="9"/>
      <c r="K63" s="1"/>
      <c r="L63" s="319" t="s">
        <v>5553</v>
      </c>
      <c r="M63" s="319" t="s">
        <v>5554</v>
      </c>
      <c r="N63" s="319" t="s">
        <v>3890</v>
      </c>
      <c r="O63" s="319" t="s">
        <v>625</v>
      </c>
      <c r="P63" s="450" t="str">
        <f>Language!C2105</f>
        <v>Coeficiente de transmissão externa</v>
      </c>
      <c r="Q63" s="463">
        <v>2.9938731225991999E-2</v>
      </c>
      <c r="R63" s="463">
        <v>2.1555886482714235</v>
      </c>
      <c r="S63" s="463">
        <v>1.7611018368230587E-2</v>
      </c>
      <c r="T63" s="471">
        <v>8.1010684493860702E-2</v>
      </c>
      <c r="U63" s="319"/>
      <c r="V63" s="319"/>
      <c r="W63" s="319">
        <v>110412</v>
      </c>
    </row>
    <row r="64" spans="1:23" ht="12.75" hidden="1" customHeight="1">
      <c r="A64" s="12"/>
      <c r="B64" s="8">
        <f>B51</f>
        <v>0</v>
      </c>
      <c r="C64" s="21">
        <v>1</v>
      </c>
      <c r="D64" s="1133"/>
      <c r="E64" s="1135"/>
      <c r="F64" s="159"/>
      <c r="G64" s="242">
        <f>IF(L64="",0,IF($L$47&lt;3,L64,L64/$L$79*(1/$L$80-1/$M$60))*IF(OR($L$47=1,$L$47=3),1,IF($L$47=2,1/$U$76,$U$76)))</f>
        <v>0</v>
      </c>
      <c r="H64" s="8"/>
      <c r="I64" s="8"/>
      <c r="J64" s="9"/>
      <c r="K64" s="1"/>
      <c r="L64" s="477" t="str">
        <f>IF(OR(D64="",F64="",F64=0,F64&gt;1),"",($M$60-M64)*F64)</f>
        <v/>
      </c>
      <c r="M64" s="476" t="e">
        <f>$M$60-M51+N64</f>
        <v>#VALUE!</v>
      </c>
      <c r="N64" s="477" t="str">
        <f>IF(OR(E51="",E51=0,F64=0),"",IF($E$49=$P$71,E51,E51/$F$722*1000)/1000/O64)</f>
        <v/>
      </c>
      <c r="O64" s="319">
        <f t="shared" ref="O64:O71" si="7">IF(D64="",0,VLOOKUP(D64,$L$696:$M$705,2,FALSE))</f>
        <v>0</v>
      </c>
      <c r="P64" s="450" t="str">
        <f>Language!C2108</f>
        <v>Coeficiente de transmissão interna</v>
      </c>
      <c r="Q64" s="394">
        <v>0.119754924903968</v>
      </c>
      <c r="R64" s="394">
        <v>0.119754924903968</v>
      </c>
      <c r="S64" s="394">
        <v>0.10742721204620657</v>
      </c>
      <c r="T64" s="473">
        <v>0.1408881469458447</v>
      </c>
      <c r="U64" s="319"/>
      <c r="V64" s="319"/>
      <c r="W64" s="319">
        <v>110412</v>
      </c>
    </row>
    <row r="65" spans="1:23" ht="12.75" hidden="1" customHeight="1">
      <c r="A65" s="12"/>
      <c r="B65" s="8">
        <f t="shared" ref="B65:B71" si="8">B52</f>
        <v>0</v>
      </c>
      <c r="C65" s="21">
        <v>2</v>
      </c>
      <c r="D65" s="1133"/>
      <c r="E65" s="1135"/>
      <c r="F65" s="159"/>
      <c r="G65" s="242">
        <f t="shared" ref="G65:G71" si="9">IF(L65="",0,IF($L$47&lt;3,L65,L65/$L$79*(1/$L$80-1/$M$60))*IF(OR($L$47=1,$L$47=3),1,IF($L$47=2,1/$U$76,$U$76)))</f>
        <v>0</v>
      </c>
      <c r="H65" s="8"/>
      <c r="I65" s="8"/>
      <c r="J65" s="9"/>
      <c r="K65" s="1"/>
      <c r="L65" s="477" t="str">
        <f t="shared" ref="L65:L71" si="10">IF(OR(D65="",F65="",F65=0,F65&gt;1),"",($M$60-M65)*F65)</f>
        <v/>
      </c>
      <c r="M65" s="476" t="e">
        <f t="shared" ref="M65:M71" si="11">$M$60-M52+N65</f>
        <v>#VALUE!</v>
      </c>
      <c r="N65" s="477" t="str">
        <f t="shared" ref="N65:N71" si="12">IF(OR(E52="",E52=0,F65=0),"",IF($E$49=$P$71,E52,E52/$F$722*1000)/1000/O65)</f>
        <v/>
      </c>
      <c r="O65" s="319">
        <f t="shared" si="7"/>
        <v>0</v>
      </c>
      <c r="P65" s="468"/>
      <c r="Q65" s="470"/>
      <c r="R65" s="468"/>
      <c r="S65" s="470"/>
      <c r="T65" s="468" t="str">
        <f>Language!C2100</f>
        <v>Varandas de concreto - sem barreira térmica</v>
      </c>
      <c r="U65" s="470"/>
      <c r="V65" s="319"/>
      <c r="W65" s="319">
        <v>110412</v>
      </c>
    </row>
    <row r="66" spans="1:23" ht="12.75" hidden="1" customHeight="1">
      <c r="A66" s="12"/>
      <c r="B66" s="8">
        <f t="shared" si="8"/>
        <v>0</v>
      </c>
      <c r="C66" s="21">
        <v>3</v>
      </c>
      <c r="D66" s="1133"/>
      <c r="E66" s="1135"/>
      <c r="F66" s="159"/>
      <c r="G66" s="242">
        <f t="shared" si="9"/>
        <v>0</v>
      </c>
      <c r="H66" s="8"/>
      <c r="I66" s="8"/>
      <c r="J66" s="9"/>
      <c r="K66" s="1"/>
      <c r="L66" s="477" t="str">
        <f t="shared" si="10"/>
        <v/>
      </c>
      <c r="M66" s="476" t="e">
        <f t="shared" si="11"/>
        <v>#VALUE!</v>
      </c>
      <c r="N66" s="477" t="str">
        <f t="shared" si="12"/>
        <v/>
      </c>
      <c r="O66" s="319">
        <f t="shared" si="7"/>
        <v>0</v>
      </c>
      <c r="P66" s="450"/>
      <c r="Q66" s="471"/>
      <c r="R66" s="450"/>
      <c r="S66" s="471"/>
      <c r="T66" s="450" t="str">
        <f>Language!C2101</f>
        <v>Forma do piso de concreto - exposta</v>
      </c>
      <c r="U66" s="471"/>
      <c r="V66" s="319"/>
      <c r="W66" s="319">
        <v>110412</v>
      </c>
    </row>
    <row r="67" spans="1:23" ht="12.75" hidden="1" customHeight="1">
      <c r="A67" s="12"/>
      <c r="B67" s="8">
        <f t="shared" si="8"/>
        <v>0</v>
      </c>
      <c r="C67" s="21">
        <v>4</v>
      </c>
      <c r="D67" s="1133"/>
      <c r="E67" s="1135"/>
      <c r="F67" s="159"/>
      <c r="G67" s="242">
        <f t="shared" si="9"/>
        <v>0</v>
      </c>
      <c r="H67" s="8"/>
      <c r="I67" s="8"/>
      <c r="J67" s="9"/>
      <c r="K67" s="1"/>
      <c r="L67" s="477" t="str">
        <f t="shared" si="10"/>
        <v/>
      </c>
      <c r="M67" s="476" t="e">
        <f>$M$60-M54+N67</f>
        <v>#VALUE!</v>
      </c>
      <c r="N67" s="477" t="str">
        <f t="shared" si="12"/>
        <v/>
      </c>
      <c r="O67" s="319">
        <f t="shared" si="7"/>
        <v>0</v>
      </c>
      <c r="P67" s="450"/>
      <c r="Q67" s="471"/>
      <c r="R67" s="450"/>
      <c r="S67" s="471"/>
      <c r="T67" s="450" t="str">
        <f>Language!C2102</f>
        <v>Parede de concreto - exposta</v>
      </c>
      <c r="U67" s="471"/>
      <c r="V67" s="319"/>
      <c r="W67" s="319">
        <v>110412</v>
      </c>
    </row>
    <row r="68" spans="1:23" ht="12.75" hidden="1" customHeight="1">
      <c r="A68" s="12"/>
      <c r="B68" s="8">
        <f t="shared" si="8"/>
        <v>0</v>
      </c>
      <c r="C68" s="21">
        <v>5</v>
      </c>
      <c r="D68" s="1133"/>
      <c r="E68" s="1135"/>
      <c r="F68" s="159"/>
      <c r="G68" s="242">
        <f t="shared" si="9"/>
        <v>0</v>
      </c>
      <c r="H68" s="8"/>
      <c r="I68" s="8"/>
      <c r="J68" s="9"/>
      <c r="K68" s="1"/>
      <c r="L68" s="477" t="str">
        <f t="shared" si="10"/>
        <v/>
      </c>
      <c r="M68" s="476" t="e">
        <f t="shared" si="11"/>
        <v>#VALUE!</v>
      </c>
      <c r="N68" s="477" t="str">
        <f t="shared" si="12"/>
        <v/>
      </c>
      <c r="O68" s="319">
        <f t="shared" si="7"/>
        <v>0</v>
      </c>
      <c r="P68" s="450"/>
      <c r="Q68" s="471"/>
      <c r="R68" s="472"/>
      <c r="S68" s="473"/>
      <c r="T68" s="472" t="str">
        <f>$I$979</f>
        <v>Definido pelo usuário</v>
      </c>
      <c r="U68" s="471"/>
      <c r="V68" s="319"/>
      <c r="W68" s="319">
        <v>110412</v>
      </c>
    </row>
    <row r="69" spans="1:23" ht="12.75" hidden="1" customHeight="1">
      <c r="A69" s="12"/>
      <c r="B69" s="8">
        <f t="shared" si="8"/>
        <v>0</v>
      </c>
      <c r="C69" s="21">
        <v>6</v>
      </c>
      <c r="D69" s="1133"/>
      <c r="E69" s="1135"/>
      <c r="F69" s="159"/>
      <c r="G69" s="242">
        <f t="shared" si="9"/>
        <v>0</v>
      </c>
      <c r="H69" s="8"/>
      <c r="I69" s="8"/>
      <c r="J69" s="9"/>
      <c r="K69" s="1"/>
      <c r="L69" s="477" t="str">
        <f t="shared" si="10"/>
        <v/>
      </c>
      <c r="M69" s="476" t="e">
        <f t="shared" si="11"/>
        <v>#VALUE!</v>
      </c>
      <c r="N69" s="477" t="str">
        <f t="shared" si="12"/>
        <v/>
      </c>
      <c r="O69" s="319">
        <f t="shared" si="7"/>
        <v>0</v>
      </c>
      <c r="P69" s="450"/>
      <c r="Q69" s="471"/>
      <c r="R69" s="319"/>
      <c r="S69" s="319" t="str">
        <f>Language!C2114</f>
        <v>Valor de R - efetivo</v>
      </c>
      <c r="T69" s="319"/>
      <c r="U69" s="468" t="str">
        <f>Language!C2123</f>
        <v>Muro acima do solo</v>
      </c>
      <c r="V69" s="470"/>
      <c r="W69" s="319">
        <v>110412</v>
      </c>
    </row>
    <row r="70" spans="1:23" ht="12.75" hidden="1" customHeight="1">
      <c r="A70" s="12"/>
      <c r="B70" s="8">
        <f t="shared" si="8"/>
        <v>0</v>
      </c>
      <c r="C70" s="21">
        <v>7</v>
      </c>
      <c r="D70" s="1133"/>
      <c r="E70" s="1135"/>
      <c r="F70" s="159"/>
      <c r="G70" s="242">
        <f t="shared" si="9"/>
        <v>0</v>
      </c>
      <c r="H70" s="8"/>
      <c r="I70" s="8"/>
      <c r="J70" s="9"/>
      <c r="K70" s="1"/>
      <c r="L70" s="477" t="str">
        <f t="shared" si="10"/>
        <v/>
      </c>
      <c r="M70" s="476" t="e">
        <f t="shared" si="11"/>
        <v>#VALUE!</v>
      </c>
      <c r="N70" s="477" t="str">
        <f t="shared" si="12"/>
        <v/>
      </c>
      <c r="O70" s="319">
        <f t="shared" si="7"/>
        <v>0</v>
      </c>
      <c r="P70" s="472"/>
      <c r="Q70" s="473"/>
      <c r="R70" s="319"/>
      <c r="S70" s="319" t="str">
        <f>Language!C2120</f>
        <v>Valor U - efetivo</v>
      </c>
      <c r="T70" s="319"/>
      <c r="U70" s="450" t="str">
        <f>Language!C2124</f>
        <v>Muro abaixo do solo</v>
      </c>
      <c r="V70" s="471"/>
      <c r="W70" s="319">
        <v>110412</v>
      </c>
    </row>
    <row r="71" spans="1:23" ht="12.75" hidden="1" customHeight="1">
      <c r="A71" s="12"/>
      <c r="B71" s="15">
        <f t="shared" si="8"/>
        <v>0</v>
      </c>
      <c r="C71" s="33">
        <v>8</v>
      </c>
      <c r="D71" s="1133"/>
      <c r="E71" s="1135"/>
      <c r="F71" s="159"/>
      <c r="G71" s="242">
        <f t="shared" si="9"/>
        <v>0</v>
      </c>
      <c r="H71" s="8"/>
      <c r="I71" s="8"/>
      <c r="J71" s="9"/>
      <c r="K71" s="1"/>
      <c r="L71" s="477" t="str">
        <f t="shared" si="10"/>
        <v/>
      </c>
      <c r="M71" s="476" t="e">
        <f t="shared" si="11"/>
        <v>#VALUE!</v>
      </c>
      <c r="N71" s="477" t="str">
        <f t="shared" si="12"/>
        <v/>
      </c>
      <c r="O71" s="319">
        <f t="shared" si="7"/>
        <v>0</v>
      </c>
      <c r="P71" s="478" t="str">
        <f>C661</f>
        <v>mm</v>
      </c>
      <c r="Q71" s="478" t="str">
        <f>Language!C2259</f>
        <v>W/m - °C</v>
      </c>
      <c r="R71" s="478" t="str">
        <f>Language!C1926</f>
        <v>Valor - R</v>
      </c>
      <c r="S71" s="319" t="str">
        <f>Language!C2116</f>
        <v>Valor de R - nominal</v>
      </c>
      <c r="T71" s="319"/>
      <c r="U71" s="450" t="str">
        <f>Language!C2113</f>
        <v>Telhado</v>
      </c>
      <c r="V71" s="471"/>
      <c r="W71" s="319">
        <v>110412</v>
      </c>
    </row>
    <row r="72" spans="1:23" ht="12.75" hidden="1" customHeight="1">
      <c r="A72" s="12"/>
      <c r="B72" s="8"/>
      <c r="C72" s="8"/>
      <c r="D72" s="8"/>
      <c r="E72" s="1"/>
      <c r="F72" s="8"/>
      <c r="G72" s="5"/>
      <c r="H72" s="8"/>
      <c r="I72" s="8"/>
      <c r="J72" s="9"/>
      <c r="K72" s="1"/>
      <c r="L72" s="477"/>
      <c r="M72" s="319"/>
      <c r="N72" s="319"/>
      <c r="O72" s="319"/>
      <c r="P72" s="479" t="str">
        <f>E722</f>
        <v>po</v>
      </c>
      <c r="Q72" s="479" t="str">
        <f>Language!C2247</f>
        <v>R/pol</v>
      </c>
      <c r="R72" s="480" t="str">
        <f>Language!C2055</f>
        <v>Valor - U</v>
      </c>
      <c r="S72" s="319" t="str">
        <f>Language!C2122</f>
        <v>Valor U - nominal</v>
      </c>
      <c r="T72" s="319"/>
      <c r="U72" s="472" t="str">
        <f>Language!C2106</f>
        <v>Piso</v>
      </c>
      <c r="V72" s="473"/>
      <c r="W72" s="319">
        <v>110400</v>
      </c>
    </row>
    <row r="73" spans="1:23" ht="12.75" hidden="1" customHeight="1">
      <c r="A73" s="12"/>
      <c r="B73" s="8"/>
      <c r="C73" s="8"/>
      <c r="D73" s="8"/>
      <c r="E73" s="1"/>
      <c r="F73" s="8"/>
      <c r="G73" s="8"/>
      <c r="H73" s="8"/>
      <c r="I73" s="8"/>
      <c r="J73" s="9"/>
      <c r="K73" s="1"/>
      <c r="L73" s="477"/>
      <c r="M73" s="319"/>
      <c r="N73" s="319"/>
      <c r="O73" s="319"/>
      <c r="P73" s="468" t="str">
        <f>Language!C2112</f>
        <v>Resistência</v>
      </c>
      <c r="Q73" s="470"/>
      <c r="R73" s="468" t="str">
        <f>Language!C2115</f>
        <v>Valor de R - redução</v>
      </c>
      <c r="S73" s="470"/>
      <c r="T73" s="319"/>
      <c r="U73" s="319"/>
      <c r="V73" s="319"/>
      <c r="W73" s="319">
        <v>110400</v>
      </c>
    </row>
    <row r="74" spans="1:23" ht="25.5" hidden="1" customHeight="1">
      <c r="A74" s="12"/>
      <c r="B74" s="1"/>
      <c r="C74" s="8"/>
      <c r="D74" s="8"/>
      <c r="E74" s="1"/>
      <c r="F74" s="196" t="str">
        <f>F62</f>
        <v>Área</v>
      </c>
      <c r="G74" s="20" t="str">
        <f>G62</f>
        <v>Valor de R - redução</v>
      </c>
      <c r="H74" s="8"/>
      <c r="I74" s="8"/>
      <c r="J74" s="9"/>
      <c r="K74" s="1"/>
      <c r="L74" s="477"/>
      <c r="M74" s="319"/>
      <c r="N74" s="319"/>
      <c r="O74" s="319"/>
      <c r="P74" s="472" t="str">
        <f>Language!C2103</f>
        <v>Condutância</v>
      </c>
      <c r="Q74" s="473"/>
      <c r="R74" s="472" t="str">
        <f>Language!C2121</f>
        <v>Valor U - aumento</v>
      </c>
      <c r="S74" s="473"/>
      <c r="T74" s="319"/>
      <c r="U74" s="319"/>
      <c r="V74" s="319"/>
      <c r="W74" s="319">
        <v>110414</v>
      </c>
    </row>
    <row r="75" spans="1:23" ht="12.75" hidden="1" customHeight="1">
      <c r="A75" s="12"/>
      <c r="B75" s="153" t="str">
        <f>Language!C2111</f>
        <v>Outras penetrações do envelope</v>
      </c>
      <c r="C75" s="15"/>
      <c r="D75" s="1238" t="str">
        <f>$B$550</f>
        <v>Descrição</v>
      </c>
      <c r="E75" s="1238"/>
      <c r="F75" s="128" t="str">
        <f>$C$418</f>
        <v>%</v>
      </c>
      <c r="G75" s="142" t="str">
        <f>C47</f>
        <v>m² - ºC/W</v>
      </c>
      <c r="H75" s="8"/>
      <c r="I75" s="8"/>
      <c r="J75" s="9"/>
      <c r="K75" s="1"/>
      <c r="L75" s="477"/>
      <c r="M75" s="319"/>
      <c r="N75" s="319"/>
      <c r="O75" s="319">
        <f>IF(E49=P71,1/1000,0.0254)*SUM(E51:E58)</f>
        <v>0</v>
      </c>
      <c r="P75" s="319"/>
      <c r="Q75" s="319"/>
      <c r="R75" s="319"/>
      <c r="S75" s="319"/>
      <c r="T75" s="468" t="str">
        <f>Language!C2233</f>
        <v>m² - ºC/W</v>
      </c>
      <c r="U75" s="470"/>
      <c r="V75" s="319"/>
      <c r="W75" s="319">
        <v>110414</v>
      </c>
    </row>
    <row r="76" spans="1:23" ht="12.75" hidden="1" customHeight="1">
      <c r="A76" s="12"/>
      <c r="B76" s="890"/>
      <c r="C76" s="8"/>
      <c r="D76" s="1133"/>
      <c r="E76" s="1135"/>
      <c r="F76" s="159"/>
      <c r="G76" s="242">
        <f>IF(L76="",0,IF($L$47&lt;3,L76,L76/$L$79*(1/$L$80-1/$M$60))*IF(OR($L$47=1,$L$47=3),1,IF($L$47=2,1/$U$76,$U$76)))</f>
        <v>0</v>
      </c>
      <c r="H76" s="8"/>
      <c r="I76" s="8"/>
      <c r="J76" s="9"/>
      <c r="K76" s="1"/>
      <c r="L76" s="477" t="str">
        <f>IF(OR(D76="",F76="",F76=0,F76&gt;1,SUM($F$76:$F$78)&gt;1),"",F76*(($M$60-SUM($L$64:$L$71))-M76))</f>
        <v/>
      </c>
      <c r="M76" s="476">
        <f>IF(ISERROR($M$60-SUM($M$51:$M$58)+N76),$M$81,$M$60-SUM($M$51:$M$58)+N76)</f>
        <v>0.14969365612996</v>
      </c>
      <c r="N76" s="319" t="str">
        <f>IF(OR(D76="",D76=0,F76=0),"",$O$75/VLOOKUP(D76,$L$696:$M$705,2,FALSE))</f>
        <v/>
      </c>
      <c r="O76" s="319"/>
      <c r="P76" s="319"/>
      <c r="Q76" s="319"/>
      <c r="R76" s="319"/>
      <c r="S76" s="319"/>
      <c r="T76" s="450" t="str">
        <f>Language!C2201</f>
        <v>pé² - ºF/(Btu/h)</v>
      </c>
      <c r="U76" s="471">
        <f>(0.0254*12)^2*F749/1000/1.8</f>
        <v>0.17611018368230585</v>
      </c>
      <c r="V76" s="319"/>
      <c r="W76" s="319">
        <v>110414</v>
      </c>
    </row>
    <row r="77" spans="1:23" ht="12.75" hidden="1" customHeight="1">
      <c r="A77" s="12"/>
      <c r="B77" s="299"/>
      <c r="C77" s="8"/>
      <c r="D77" s="1133"/>
      <c r="E77" s="1135"/>
      <c r="F77" s="159"/>
      <c r="G77" s="242">
        <f>IF(L77="",0,IF($L$47&lt;3,L77,L77/$L$79*(1/$L$80-1/$M$60))*IF(OR($L$47=1,$L$47=3),1,IF($L$47=2,1/$U$76,$U$76)))</f>
        <v>0</v>
      </c>
      <c r="H77" s="8"/>
      <c r="I77" s="8"/>
      <c r="J77" s="9"/>
      <c r="K77" s="1"/>
      <c r="L77" s="477" t="str">
        <f>IF(OR(D77="",F77="",F77=0,F77&gt;1,SUM($F$76:$F$78)&gt;1),"",F77*(($M$60-SUM($L$64:$L$71))-M77))</f>
        <v/>
      </c>
      <c r="M77" s="476">
        <f>IF(ISERROR($M$60-SUM($M$51:$M$58)+N77),$M$81,$M$60-SUM($M$51:$M$58)+N77)</f>
        <v>0.14969365612996</v>
      </c>
      <c r="N77" s="319" t="str">
        <f>IF(OR(D77="",D77=0,F77=0),"",$O$75/VLOOKUP(D77,$L$696:$M$705,2,FALSE))</f>
        <v/>
      </c>
      <c r="O77" s="319"/>
      <c r="P77" s="319"/>
      <c r="Q77" s="319"/>
      <c r="R77" s="319"/>
      <c r="S77" s="319"/>
      <c r="T77" s="450" t="str">
        <f>Language!C2189</f>
        <v>(W/m²)/°C</v>
      </c>
      <c r="U77" s="471"/>
      <c r="V77" s="319"/>
      <c r="W77" s="319">
        <v>110414</v>
      </c>
    </row>
    <row r="78" spans="1:23" ht="12.75" hidden="1" customHeight="1">
      <c r="A78" s="12"/>
      <c r="B78" s="299"/>
      <c r="C78" s="14"/>
      <c r="D78" s="1133"/>
      <c r="E78" s="1135"/>
      <c r="F78" s="159"/>
      <c r="G78" s="242">
        <f>IF(L78="",0,IF($L$47&lt;3,L78,L78/$L$79*(1/$L$80-1/$M$60))*IF(OR($L$47=1,$L$47=3),1,IF($L$47=2,1/$U$76,$U$76)))</f>
        <v>0</v>
      </c>
      <c r="H78" s="8"/>
      <c r="I78" s="8"/>
      <c r="J78" s="9"/>
      <c r="K78" s="1"/>
      <c r="L78" s="477" t="str">
        <f>IF(OR(D78="",F78="",F78=0,F78&gt;1,SUM($F$76:$F$78)&gt;1),"",F78*(($M$60-SUM($L$64:$L$71))-M78))</f>
        <v/>
      </c>
      <c r="M78" s="476">
        <f>IF(ISERROR($M$60-SUM($M$51:$M$58)+N78),$M$81,$M$60-SUM($M$51:$M$58)+N78)</f>
        <v>0.14969365612996</v>
      </c>
      <c r="N78" s="319" t="str">
        <f>IF(OR(D78="",D78=0,F78=0),"",$O$75/VLOOKUP(D78,$L$696:$M$705,2,FALSE))</f>
        <v/>
      </c>
      <c r="O78" s="319"/>
      <c r="P78" s="319"/>
      <c r="Q78" s="319"/>
      <c r="R78" s="319"/>
      <c r="S78" s="319"/>
      <c r="T78" s="472" t="str">
        <f>Language!C2185</f>
        <v>(Btu/h)/pé²/°F</v>
      </c>
      <c r="U78" s="473"/>
      <c r="V78" s="319"/>
      <c r="W78" s="319">
        <v>110414</v>
      </c>
    </row>
    <row r="79" spans="1:23" ht="12.75" hidden="1" customHeight="1">
      <c r="A79" s="12"/>
      <c r="B79" s="8"/>
      <c r="C79" s="8"/>
      <c r="D79" s="8"/>
      <c r="E79" s="1"/>
      <c r="F79" s="8"/>
      <c r="G79" s="5"/>
      <c r="H79" s="8"/>
      <c r="I79" s="8"/>
      <c r="J79" s="9"/>
      <c r="K79" s="1"/>
      <c r="L79" s="477">
        <f>SUM(L64:L78)</f>
        <v>0</v>
      </c>
      <c r="M79" s="319"/>
      <c r="N79" s="477">
        <f>SUM(N64:N78)+M59+M50</f>
        <v>0.14969365612996</v>
      </c>
      <c r="O79" s="319" t="s">
        <v>5555</v>
      </c>
      <c r="P79" s="319"/>
      <c r="Q79" s="319"/>
      <c r="R79" s="319"/>
      <c r="S79" s="319"/>
      <c r="T79" s="319"/>
      <c r="U79" s="319"/>
      <c r="V79" s="319"/>
      <c r="W79" s="319">
        <v>110400</v>
      </c>
    </row>
    <row r="80" spans="1:23" ht="12.75" hidden="1" customHeight="1">
      <c r="A80" s="12"/>
      <c r="B80" s="8" t="str">
        <f>IF(L47&lt;3,S69,S70)</f>
        <v>Valor de R - efetivo</v>
      </c>
      <c r="C80" s="1"/>
      <c r="D80" s="8"/>
      <c r="E80" s="1"/>
      <c r="F80" s="29" t="str">
        <f>C47</f>
        <v>m² - ºC/W</v>
      </c>
      <c r="G80" s="242">
        <f>IF(OR(M80&lt;0,SUM(F76:F78)&gt;1),"",M80)</f>
        <v>0.14969365612996</v>
      </c>
      <c r="H80" s="8"/>
      <c r="I80" s="8"/>
      <c r="J80" s="9"/>
      <c r="K80" s="1"/>
      <c r="L80" s="203">
        <f>M60-L79</f>
        <v>0.14969365612996</v>
      </c>
      <c r="M80" s="319">
        <f>IF(L47&lt;=2,G60-SUM(G64:G71)-SUM(G76:G78),G60+SUM(G64:G71)+SUM(G76:G78))</f>
        <v>0.14969365612996</v>
      </c>
      <c r="N80" s="319">
        <f>1/N79</f>
        <v>6.6803098130746905</v>
      </c>
      <c r="O80" s="319" t="s">
        <v>5556</v>
      </c>
      <c r="P80" s="319"/>
      <c r="Q80" s="319"/>
      <c r="R80" s="319"/>
      <c r="S80" s="319"/>
      <c r="T80" s="319"/>
      <c r="U80" s="319"/>
      <c r="V80" s="319"/>
      <c r="W80" s="319">
        <v>110416</v>
      </c>
    </row>
    <row r="81" spans="1:23" ht="12.75" hidden="1" customHeight="1">
      <c r="A81" s="14"/>
      <c r="B81" s="15"/>
      <c r="C81" s="15"/>
      <c r="D81" s="15"/>
      <c r="E81" s="15"/>
      <c r="F81" s="15"/>
      <c r="G81" s="15"/>
      <c r="H81" s="15"/>
      <c r="I81" s="15"/>
      <c r="J81" s="11"/>
      <c r="K81" s="1"/>
      <c r="M81" s="476">
        <f>M60-SUM(L64:L71)</f>
        <v>0.14969365612996</v>
      </c>
      <c r="N81" s="841">
        <f>1-IF(SUM(F76:F78)&gt;1,1,SUM(F76:F78))</f>
        <v>1</v>
      </c>
      <c r="O81" s="319" t="s">
        <v>6009</v>
      </c>
      <c r="P81" s="319"/>
      <c r="Q81" s="319"/>
      <c r="R81" s="319"/>
      <c r="S81" s="319"/>
      <c r="T81" s="319"/>
      <c r="U81" s="319"/>
      <c r="V81" s="319"/>
      <c r="W81" s="319">
        <v>110400</v>
      </c>
    </row>
    <row r="82" spans="1:23" ht="12.75" hidden="1" customHeight="1">
      <c r="A82" s="1"/>
      <c r="B82" s="1"/>
      <c r="C82" s="1"/>
      <c r="D82" s="1"/>
      <c r="E82" s="1"/>
      <c r="F82" s="1"/>
      <c r="G82" s="1"/>
      <c r="H82" s="1"/>
      <c r="I82" s="1"/>
      <c r="J82" s="1"/>
      <c r="K82" s="1"/>
      <c r="L82" s="319">
        <f>SUMPRODUCT(F76:F78,1/M76:M78)</f>
        <v>0</v>
      </c>
      <c r="M82" s="319">
        <f>M81-1/(1/M76*F76+1/M77*F77+1/M78*F78+1/M81*N81)</f>
        <v>0</v>
      </c>
      <c r="N82" s="319"/>
      <c r="O82" s="319" t="s">
        <v>6008</v>
      </c>
      <c r="P82" s="319"/>
      <c r="Q82" s="319"/>
      <c r="R82" s="319"/>
      <c r="S82" s="319"/>
      <c r="T82" s="319"/>
      <c r="U82" s="319"/>
      <c r="V82" s="319"/>
      <c r="W82" s="319">
        <v>110000</v>
      </c>
    </row>
    <row r="83" spans="1:23" ht="12.75" hidden="1" customHeight="1">
      <c r="A83" s="1203" t="str">
        <f>B8</f>
        <v>Aparelhos &amp; equipamentos</v>
      </c>
      <c r="B83" s="1204"/>
      <c r="C83" s="192"/>
      <c r="D83" s="192"/>
      <c r="E83" s="192"/>
      <c r="F83" s="192"/>
      <c r="G83" s="192"/>
      <c r="H83" s="192"/>
      <c r="I83" s="192"/>
      <c r="J83" s="193"/>
      <c r="K83" s="1"/>
      <c r="L83" s="319"/>
      <c r="M83" s="319"/>
      <c r="N83" s="319"/>
      <c r="O83" s="319"/>
      <c r="P83" s="319"/>
      <c r="Q83" s="319"/>
      <c r="R83" s="319"/>
      <c r="S83" s="319"/>
      <c r="T83" s="319"/>
      <c r="U83" s="319"/>
      <c r="V83" s="319"/>
      <c r="W83" s="319">
        <v>110500</v>
      </c>
    </row>
    <row r="84" spans="1:23" ht="12.75" hidden="1" customHeight="1">
      <c r="A84" s="12"/>
      <c r="B84" s="8"/>
      <c r="C84" s="8"/>
      <c r="D84" s="88"/>
      <c r="E84" s="1"/>
      <c r="F84" s="1"/>
      <c r="G84" s="8"/>
      <c r="H84" s="125"/>
      <c r="I84" s="223"/>
      <c r="J84" s="9"/>
      <c r="K84" s="1"/>
      <c r="L84" s="319"/>
      <c r="M84" s="319"/>
      <c r="N84" s="319"/>
      <c r="O84" s="319"/>
      <c r="P84" s="319"/>
      <c r="Q84" s="319"/>
      <c r="R84" s="319"/>
      <c r="S84" s="319"/>
      <c r="T84" s="319"/>
      <c r="U84" s="319"/>
      <c r="V84" s="319"/>
      <c r="W84" s="319">
        <v>110500</v>
      </c>
    </row>
    <row r="85" spans="1:23" ht="12.75" hidden="1" customHeight="1">
      <c r="A85" s="12"/>
      <c r="B85" s="8"/>
      <c r="C85" s="196"/>
      <c r="D85" s="88"/>
      <c r="E85" s="1"/>
      <c r="F85" s="1"/>
      <c r="G85" s="8"/>
      <c r="H85" s="125"/>
      <c r="I85" s="223"/>
      <c r="J85" s="9"/>
      <c r="K85" s="1"/>
      <c r="L85" s="319"/>
      <c r="M85" s="319"/>
      <c r="N85" s="319"/>
      <c r="O85" s="319"/>
      <c r="P85" s="319"/>
      <c r="Q85" s="319"/>
      <c r="R85" s="319"/>
      <c r="S85" s="319"/>
      <c r="T85" s="319"/>
      <c r="U85" s="319"/>
      <c r="V85" s="319"/>
      <c r="W85" s="319">
        <v>110500</v>
      </c>
    </row>
    <row r="86" spans="1:23" ht="25.5" hidden="1" customHeight="1">
      <c r="A86" s="12"/>
      <c r="B86" s="1"/>
      <c r="C86" s="390" t="str">
        <f>Language!C2616</f>
        <v>Carga elétrica - típico</v>
      </c>
      <c r="D86" s="45" t="str">
        <f>D31</f>
        <v>Quantidade</v>
      </c>
      <c r="E86" s="390" t="str">
        <f>Language!C1858</f>
        <v>Horas de operação</v>
      </c>
      <c r="F86" s="390" t="str">
        <f>Language!C1621</f>
        <v>Carga elétrica</v>
      </c>
      <c r="G86" s="82" t="str">
        <f>Language!C2353</f>
        <v>Fator de utilização</v>
      </c>
      <c r="H86" s="390" t="str">
        <f>I139</f>
        <v>Demanda de eletricidade</v>
      </c>
      <c r="I86" s="223"/>
      <c r="J86" s="9"/>
      <c r="K86" s="1"/>
      <c r="L86" s="556"/>
      <c r="M86" s="319">
        <f>VLOOKUP(E87,M87:N90,2,FALSE)</f>
        <v>12</v>
      </c>
      <c r="N86" s="319"/>
      <c r="O86" s="319"/>
      <c r="P86" s="319"/>
      <c r="Q86" s="319"/>
      <c r="R86" s="319"/>
      <c r="S86" s="319"/>
      <c r="T86" s="319"/>
      <c r="U86" s="319"/>
      <c r="V86" s="319"/>
      <c r="W86" s="319">
        <v>110500</v>
      </c>
    </row>
    <row r="87" spans="1:23" ht="12.75" hidden="1" customHeight="1">
      <c r="A87" s="12"/>
      <c r="B87" s="153" t="str">
        <f>Language!C461</f>
        <v>Descrição</v>
      </c>
      <c r="C87" s="128" t="str">
        <f>Language!C1414</f>
        <v>W</v>
      </c>
      <c r="D87" s="1"/>
      <c r="E87" s="308" t="s">
        <v>85</v>
      </c>
      <c r="F87" s="45" t="str">
        <f>C87</f>
        <v>W</v>
      </c>
      <c r="G87" s="45" t="str">
        <f>C418</f>
        <v>%</v>
      </c>
      <c r="H87" s="548" t="str">
        <f>I140</f>
        <v>kWh</v>
      </c>
      <c r="I87" s="1327" t="str">
        <f>Language!C1550</f>
        <v>Comentários</v>
      </c>
      <c r="J87" s="1328"/>
      <c r="K87" s="1"/>
      <c r="L87" s="556"/>
      <c r="M87" s="319" t="str">
        <f>Language!C2208</f>
        <v>h/d</v>
      </c>
      <c r="N87" s="319">
        <v>365</v>
      </c>
      <c r="O87" s="319"/>
      <c r="P87" s="319"/>
      <c r="Q87" s="319"/>
      <c r="R87" s="319"/>
      <c r="S87" s="319"/>
      <c r="T87" s="319"/>
      <c r="U87" s="319"/>
      <c r="V87" s="319"/>
      <c r="W87" s="319">
        <v>110500</v>
      </c>
    </row>
    <row r="88" spans="1:23" ht="12.75" hidden="1" customHeight="1">
      <c r="A88" s="12"/>
      <c r="B88" s="299"/>
      <c r="C88" s="88" t="str">
        <f t="shared" ref="C88:C102" si="13">IF(B88="","",VLOOKUP($B88,$T$659:$U$699,2,FALSE))</f>
        <v/>
      </c>
      <c r="D88" s="307"/>
      <c r="E88" s="307"/>
      <c r="F88" s="307"/>
      <c r="G88" s="159"/>
      <c r="H88" s="88">
        <f t="shared" ref="H88:H104" si="14">G88*D88*F88*IF(E88*$M$86&gt;8760,8760,$M$86*E88)/1000</f>
        <v>0</v>
      </c>
      <c r="I88" s="1329"/>
      <c r="J88" s="1329"/>
      <c r="K88" s="1"/>
      <c r="L88" s="556"/>
      <c r="M88" s="319" t="str">
        <f>Language!C2211</f>
        <v>h/sem</v>
      </c>
      <c r="N88" s="319">
        <v>52.142857142857146</v>
      </c>
      <c r="O88" s="319"/>
      <c r="P88" s="319"/>
      <c r="Q88" s="319"/>
      <c r="R88" s="319"/>
      <c r="S88" s="319"/>
      <c r="T88" s="319"/>
      <c r="U88" s="319"/>
      <c r="V88" s="319"/>
      <c r="W88" s="319">
        <v>110500</v>
      </c>
    </row>
    <row r="89" spans="1:23" ht="12.75" hidden="1" customHeight="1">
      <c r="A89" s="12"/>
      <c r="B89" s="299"/>
      <c r="C89" s="88" t="str">
        <f t="shared" si="13"/>
        <v/>
      </c>
      <c r="D89" s="307"/>
      <c r="E89" s="307"/>
      <c r="F89" s="307"/>
      <c r="G89" s="159"/>
      <c r="H89" s="88">
        <f t="shared" si="14"/>
        <v>0</v>
      </c>
      <c r="I89" s="1329"/>
      <c r="J89" s="1329"/>
      <c r="K89" s="1"/>
      <c r="L89" s="556"/>
      <c r="M89" s="319" t="str">
        <f>Language!C2209</f>
        <v>h/m</v>
      </c>
      <c r="N89" s="319">
        <v>12</v>
      </c>
      <c r="O89" s="319"/>
      <c r="P89" s="319"/>
      <c r="Q89" s="319"/>
      <c r="R89" s="319"/>
      <c r="S89" s="319"/>
      <c r="T89" s="319"/>
      <c r="U89" s="319"/>
      <c r="V89" s="319"/>
      <c r="W89" s="319">
        <v>110500</v>
      </c>
    </row>
    <row r="90" spans="1:23" ht="12.75" hidden="1" customHeight="1">
      <c r="A90" s="12"/>
      <c r="B90" s="299"/>
      <c r="C90" s="88" t="str">
        <f t="shared" si="13"/>
        <v/>
      </c>
      <c r="D90" s="307"/>
      <c r="E90" s="307"/>
      <c r="F90" s="307"/>
      <c r="G90" s="159"/>
      <c r="H90" s="88">
        <f t="shared" si="14"/>
        <v>0</v>
      </c>
      <c r="I90" s="1329"/>
      <c r="J90" s="1329"/>
      <c r="K90" s="1"/>
      <c r="L90" s="556"/>
      <c r="M90" s="319" t="str">
        <f>Language!C2210</f>
        <v>h/ano</v>
      </c>
      <c r="N90" s="319">
        <v>1</v>
      </c>
      <c r="O90" s="319"/>
      <c r="P90" s="319"/>
      <c r="Q90" s="319"/>
      <c r="R90" s="319"/>
      <c r="S90" s="319"/>
      <c r="T90" s="319"/>
      <c r="U90" s="319"/>
      <c r="V90" s="319"/>
      <c r="W90" s="319">
        <v>110500</v>
      </c>
    </row>
    <row r="91" spans="1:23" ht="12.75" hidden="1" customHeight="1">
      <c r="A91" s="12"/>
      <c r="B91" s="299"/>
      <c r="C91" s="88" t="str">
        <f t="shared" si="13"/>
        <v/>
      </c>
      <c r="D91" s="307"/>
      <c r="E91" s="307"/>
      <c r="F91" s="307"/>
      <c r="G91" s="159"/>
      <c r="H91" s="88">
        <f t="shared" si="14"/>
        <v>0</v>
      </c>
      <c r="I91" s="1336"/>
      <c r="J91" s="1337"/>
      <c r="K91" s="1"/>
      <c r="L91" s="556"/>
      <c r="M91" s="319"/>
      <c r="N91" s="319"/>
      <c r="O91" s="319"/>
      <c r="P91" s="319"/>
      <c r="Q91" s="319"/>
      <c r="R91" s="319"/>
      <c r="S91" s="319"/>
      <c r="T91" s="319"/>
      <c r="U91" s="319"/>
      <c r="V91" s="319"/>
      <c r="W91" s="319">
        <v>110500</v>
      </c>
    </row>
    <row r="92" spans="1:23" ht="12.75" hidden="1" customHeight="1">
      <c r="A92" s="12"/>
      <c r="B92" s="299"/>
      <c r="C92" s="88" t="str">
        <f t="shared" si="13"/>
        <v/>
      </c>
      <c r="D92" s="307"/>
      <c r="E92" s="307"/>
      <c r="F92" s="307"/>
      <c r="G92" s="159"/>
      <c r="H92" s="88">
        <f t="shared" si="14"/>
        <v>0</v>
      </c>
      <c r="I92" s="1336"/>
      <c r="J92" s="1337"/>
      <c r="K92" s="1"/>
      <c r="L92" s="556"/>
      <c r="M92" s="319"/>
      <c r="N92" s="319"/>
      <c r="O92" s="319"/>
      <c r="P92" s="319"/>
      <c r="Q92" s="319"/>
      <c r="R92" s="319"/>
      <c r="S92" s="319"/>
      <c r="T92" s="319"/>
      <c r="U92" s="319"/>
      <c r="V92" s="319"/>
      <c r="W92" s="319">
        <v>110500</v>
      </c>
    </row>
    <row r="93" spans="1:23" ht="12.75" hidden="1" customHeight="1">
      <c r="A93" s="12"/>
      <c r="B93" s="299"/>
      <c r="C93" s="88" t="str">
        <f t="shared" si="13"/>
        <v/>
      </c>
      <c r="D93" s="307"/>
      <c r="E93" s="307"/>
      <c r="F93" s="307"/>
      <c r="G93" s="159"/>
      <c r="H93" s="88">
        <f t="shared" si="14"/>
        <v>0</v>
      </c>
      <c r="I93" s="1336"/>
      <c r="J93" s="1337"/>
      <c r="K93" s="1"/>
      <c r="L93" s="556"/>
      <c r="M93" s="319"/>
      <c r="N93" s="319"/>
      <c r="O93" s="319"/>
      <c r="P93" s="319"/>
      <c r="Q93" s="319"/>
      <c r="R93" s="319"/>
      <c r="S93" s="319"/>
      <c r="T93" s="319"/>
      <c r="U93" s="319"/>
      <c r="V93" s="319"/>
      <c r="W93" s="319">
        <v>110500</v>
      </c>
    </row>
    <row r="94" spans="1:23" ht="12.75" hidden="1" customHeight="1">
      <c r="A94" s="12"/>
      <c r="B94" s="299"/>
      <c r="C94" s="88" t="str">
        <f t="shared" si="13"/>
        <v/>
      </c>
      <c r="D94" s="307"/>
      <c r="E94" s="307"/>
      <c r="F94" s="307"/>
      <c r="G94" s="159"/>
      <c r="H94" s="88">
        <f t="shared" si="14"/>
        <v>0</v>
      </c>
      <c r="I94" s="1336"/>
      <c r="J94" s="1337"/>
      <c r="K94" s="1"/>
      <c r="L94" s="556"/>
      <c r="M94" s="319"/>
      <c r="N94" s="319"/>
      <c r="O94" s="319"/>
      <c r="P94" s="319"/>
      <c r="Q94" s="319"/>
      <c r="R94" s="319"/>
      <c r="S94" s="319"/>
      <c r="T94" s="319"/>
      <c r="U94" s="319"/>
      <c r="V94" s="319"/>
      <c r="W94" s="319">
        <v>110500</v>
      </c>
    </row>
    <row r="95" spans="1:23" ht="12.75" hidden="1" customHeight="1">
      <c r="A95" s="12"/>
      <c r="B95" s="299"/>
      <c r="C95" s="88" t="str">
        <f t="shared" si="13"/>
        <v/>
      </c>
      <c r="D95" s="307"/>
      <c r="E95" s="307"/>
      <c r="F95" s="307"/>
      <c r="G95" s="159"/>
      <c r="H95" s="88">
        <f t="shared" si="14"/>
        <v>0</v>
      </c>
      <c r="I95" s="1336"/>
      <c r="J95" s="1337"/>
      <c r="K95" s="1"/>
      <c r="L95" s="556"/>
      <c r="M95" s="319"/>
      <c r="N95" s="319"/>
      <c r="O95" s="319"/>
      <c r="P95" s="319"/>
      <c r="Q95" s="319"/>
      <c r="R95" s="319"/>
      <c r="S95" s="319"/>
      <c r="T95" s="319"/>
      <c r="U95" s="319"/>
      <c r="V95" s="319"/>
      <c r="W95" s="319">
        <v>110500</v>
      </c>
    </row>
    <row r="96" spans="1:23" ht="12.75" hidden="1" customHeight="1">
      <c r="A96" s="12"/>
      <c r="B96" s="299"/>
      <c r="C96" s="88" t="str">
        <f t="shared" si="13"/>
        <v/>
      </c>
      <c r="D96" s="307"/>
      <c r="E96" s="307"/>
      <c r="F96" s="307"/>
      <c r="G96" s="159"/>
      <c r="H96" s="88">
        <f t="shared" si="14"/>
        <v>0</v>
      </c>
      <c r="I96" s="1336"/>
      <c r="J96" s="1337"/>
      <c r="K96" s="1"/>
      <c r="L96" s="556"/>
      <c r="M96" s="319"/>
      <c r="N96" s="319"/>
      <c r="O96" s="319"/>
      <c r="P96" s="319"/>
      <c r="Q96" s="319"/>
      <c r="R96" s="319"/>
      <c r="S96" s="319"/>
      <c r="T96" s="319"/>
      <c r="U96" s="319"/>
      <c r="V96" s="319"/>
      <c r="W96" s="319">
        <v>110500</v>
      </c>
    </row>
    <row r="97" spans="1:23" ht="12.75" hidden="1" customHeight="1">
      <c r="A97" s="12"/>
      <c r="B97" s="299"/>
      <c r="C97" s="88" t="str">
        <f t="shared" si="13"/>
        <v/>
      </c>
      <c r="D97" s="307"/>
      <c r="E97" s="307"/>
      <c r="F97" s="307"/>
      <c r="G97" s="159"/>
      <c r="H97" s="88">
        <f t="shared" si="14"/>
        <v>0</v>
      </c>
      <c r="I97" s="1336"/>
      <c r="J97" s="1337"/>
      <c r="K97" s="1"/>
      <c r="L97" s="556"/>
      <c r="M97" s="319"/>
      <c r="N97" s="319"/>
      <c r="O97" s="319"/>
      <c r="P97" s="319"/>
      <c r="Q97" s="319"/>
      <c r="R97" s="319"/>
      <c r="S97" s="319"/>
      <c r="T97" s="319"/>
      <c r="U97" s="319"/>
      <c r="V97" s="319"/>
      <c r="W97" s="319">
        <v>110500</v>
      </c>
    </row>
    <row r="98" spans="1:23" ht="12.75" hidden="1" customHeight="1">
      <c r="A98" s="12"/>
      <c r="B98" s="299"/>
      <c r="C98" s="88" t="str">
        <f t="shared" si="13"/>
        <v/>
      </c>
      <c r="D98" s="307"/>
      <c r="E98" s="307"/>
      <c r="F98" s="307"/>
      <c r="G98" s="159"/>
      <c r="H98" s="88">
        <f t="shared" si="14"/>
        <v>0</v>
      </c>
      <c r="I98" s="1329"/>
      <c r="J98" s="1329"/>
      <c r="K98" s="1"/>
      <c r="L98" s="556"/>
      <c r="M98" s="319"/>
      <c r="N98" s="319"/>
      <c r="O98" s="319"/>
      <c r="P98" s="319"/>
      <c r="Q98" s="319"/>
      <c r="R98" s="319"/>
      <c r="S98" s="319"/>
      <c r="T98" s="319"/>
      <c r="U98" s="319"/>
      <c r="V98" s="319"/>
      <c r="W98" s="319">
        <v>110500</v>
      </c>
    </row>
    <row r="99" spans="1:23" ht="12.75" hidden="1" customHeight="1">
      <c r="A99" s="12"/>
      <c r="B99" s="299"/>
      <c r="C99" s="88" t="str">
        <f t="shared" si="13"/>
        <v/>
      </c>
      <c r="D99" s="307"/>
      <c r="E99" s="307"/>
      <c r="F99" s="307"/>
      <c r="G99" s="159"/>
      <c r="H99" s="88">
        <f t="shared" si="14"/>
        <v>0</v>
      </c>
      <c r="I99" s="1329"/>
      <c r="J99" s="1329"/>
      <c r="K99" s="1"/>
      <c r="L99" s="556"/>
      <c r="M99" s="319"/>
      <c r="N99" s="319"/>
      <c r="O99" s="319"/>
      <c r="P99" s="319"/>
      <c r="Q99" s="319"/>
      <c r="R99" s="319"/>
      <c r="S99" s="319"/>
      <c r="T99" s="319"/>
      <c r="U99" s="319"/>
      <c r="V99" s="319"/>
      <c r="W99" s="319">
        <v>110500</v>
      </c>
    </row>
    <row r="100" spans="1:23" ht="12.75" hidden="1" customHeight="1">
      <c r="A100" s="12"/>
      <c r="B100" s="299"/>
      <c r="C100" s="88" t="str">
        <f t="shared" si="13"/>
        <v/>
      </c>
      <c r="D100" s="307"/>
      <c r="E100" s="307"/>
      <c r="F100" s="307"/>
      <c r="G100" s="159"/>
      <c r="H100" s="88">
        <f t="shared" si="14"/>
        <v>0</v>
      </c>
      <c r="I100" s="1329"/>
      <c r="J100" s="1329"/>
      <c r="K100" s="1"/>
      <c r="L100" s="556"/>
      <c r="M100" s="319"/>
      <c r="N100" s="319"/>
      <c r="O100" s="319"/>
      <c r="P100" s="319"/>
      <c r="Q100" s="319"/>
      <c r="R100" s="319"/>
      <c r="S100" s="319"/>
      <c r="T100" s="319"/>
      <c r="U100" s="319"/>
      <c r="V100" s="319"/>
      <c r="W100" s="319">
        <v>110500</v>
      </c>
    </row>
    <row r="101" spans="1:23" ht="12.75" hidden="1" customHeight="1">
      <c r="A101" s="12"/>
      <c r="B101" s="299"/>
      <c r="C101" s="88" t="str">
        <f t="shared" si="13"/>
        <v/>
      </c>
      <c r="D101" s="307"/>
      <c r="E101" s="307"/>
      <c r="F101" s="307"/>
      <c r="G101" s="159"/>
      <c r="H101" s="88">
        <f t="shared" si="14"/>
        <v>0</v>
      </c>
      <c r="I101" s="1329"/>
      <c r="J101" s="1329"/>
      <c r="K101" s="1"/>
      <c r="L101" s="556"/>
      <c r="M101" s="319"/>
      <c r="N101" s="319"/>
      <c r="O101" s="319"/>
      <c r="P101" s="319"/>
      <c r="Q101" s="319"/>
      <c r="R101" s="319"/>
      <c r="S101" s="319"/>
      <c r="T101" s="319"/>
      <c r="U101" s="319"/>
      <c r="V101" s="319"/>
      <c r="W101" s="319">
        <v>110500</v>
      </c>
    </row>
    <row r="102" spans="1:23" ht="12.75" hidden="1" customHeight="1">
      <c r="A102" s="12"/>
      <c r="B102" s="299"/>
      <c r="C102" s="113" t="str">
        <f t="shared" si="13"/>
        <v/>
      </c>
      <c r="D102" s="307"/>
      <c r="E102" s="307"/>
      <c r="F102" s="307"/>
      <c r="G102" s="159"/>
      <c r="H102" s="113">
        <f t="shared" si="14"/>
        <v>0</v>
      </c>
      <c r="I102" s="1329"/>
      <c r="J102" s="1329"/>
      <c r="K102" s="1"/>
      <c r="L102" s="556"/>
      <c r="M102" s="319"/>
      <c r="N102" s="319"/>
      <c r="O102" s="319"/>
      <c r="P102" s="319"/>
      <c r="Q102" s="319"/>
      <c r="R102" s="319"/>
      <c r="S102" s="319"/>
      <c r="T102" s="319"/>
      <c r="U102" s="319"/>
      <c r="V102" s="319"/>
      <c r="W102" s="319">
        <v>110500</v>
      </c>
    </row>
    <row r="103" spans="1:23" ht="12.75" hidden="1" customHeight="1">
      <c r="A103" s="12"/>
      <c r="B103" s="334" t="str">
        <f>I979</f>
        <v>Definido pelo usuário</v>
      </c>
      <c r="C103" s="88"/>
      <c r="D103" s="307"/>
      <c r="E103" s="307"/>
      <c r="F103" s="307"/>
      <c r="G103" s="159"/>
      <c r="H103" s="113">
        <f t="shared" si="14"/>
        <v>0</v>
      </c>
      <c r="I103" s="1329"/>
      <c r="J103" s="1329"/>
      <c r="K103" s="1"/>
      <c r="L103" s="556"/>
      <c r="M103" s="319"/>
      <c r="N103" s="319"/>
      <c r="O103" s="319"/>
      <c r="P103" s="319"/>
      <c r="Q103" s="319"/>
      <c r="R103" s="319"/>
      <c r="S103" s="319"/>
      <c r="T103" s="319"/>
      <c r="U103" s="319"/>
      <c r="V103" s="319"/>
      <c r="W103" s="319">
        <v>110500</v>
      </c>
    </row>
    <row r="104" spans="1:23" ht="12.75" hidden="1" customHeight="1">
      <c r="A104" s="12"/>
      <c r="B104" s="334" t="str">
        <f>I979</f>
        <v>Definido pelo usuário</v>
      </c>
      <c r="C104" s="291"/>
      <c r="D104" s="307"/>
      <c r="E104" s="307"/>
      <c r="F104" s="307"/>
      <c r="G104" s="159"/>
      <c r="H104" s="115">
        <f t="shared" si="14"/>
        <v>0</v>
      </c>
      <c r="I104" s="1329"/>
      <c r="J104" s="1329"/>
      <c r="K104" s="1"/>
      <c r="L104" s="556"/>
      <c r="M104" s="319"/>
      <c r="N104" s="319"/>
      <c r="O104" s="319"/>
      <c r="P104" s="319"/>
      <c r="Q104" s="319"/>
      <c r="R104" s="319"/>
      <c r="S104" s="319"/>
      <c r="T104" s="319"/>
      <c r="U104" s="319"/>
      <c r="V104" s="319"/>
      <c r="W104" s="319">
        <v>110500</v>
      </c>
    </row>
    <row r="105" spans="1:23" ht="12.75" hidden="1" customHeight="1">
      <c r="A105" s="12"/>
      <c r="B105" s="8" t="str">
        <f>C513</f>
        <v>Total</v>
      </c>
      <c r="C105" s="8"/>
      <c r="D105" s="30">
        <f>SUM(D88:D104)</f>
        <v>0</v>
      </c>
      <c r="E105" s="39"/>
      <c r="F105" s="30">
        <f>SUM(F88:F104)</f>
        <v>0</v>
      </c>
      <c r="G105" s="1"/>
      <c r="H105" s="88">
        <f>SUM(H88:H104)</f>
        <v>0</v>
      </c>
      <c r="I105" s="223"/>
      <c r="J105" s="9"/>
      <c r="K105" s="1"/>
      <c r="L105" s="556"/>
      <c r="M105" s="319"/>
      <c r="N105" s="319"/>
      <c r="O105" s="319"/>
      <c r="P105" s="319"/>
      <c r="Q105" s="319"/>
      <c r="R105" s="319"/>
      <c r="S105" s="319"/>
      <c r="T105" s="319"/>
      <c r="U105" s="319"/>
      <c r="V105" s="319"/>
      <c r="W105" s="319">
        <v>110500</v>
      </c>
    </row>
    <row r="106" spans="1:23" ht="12.75" hidden="1" customHeight="1">
      <c r="A106" s="14"/>
      <c r="B106" s="15"/>
      <c r="C106" s="15"/>
      <c r="D106" s="15"/>
      <c r="E106" s="15"/>
      <c r="F106" s="15"/>
      <c r="G106" s="15"/>
      <c r="H106" s="15"/>
      <c r="I106" s="15"/>
      <c r="J106" s="11"/>
      <c r="K106" s="1"/>
      <c r="L106" s="319"/>
      <c r="M106" s="319"/>
      <c r="N106" s="319"/>
      <c r="O106" s="319"/>
      <c r="P106" s="319"/>
      <c r="Q106" s="319"/>
      <c r="R106" s="319"/>
      <c r="S106" s="319"/>
      <c r="T106" s="319"/>
      <c r="U106" s="319"/>
      <c r="V106" s="319"/>
      <c r="W106" s="319">
        <v>110500</v>
      </c>
    </row>
    <row r="107" spans="1:23" ht="12.75" hidden="1" customHeight="1">
      <c r="A107" s="1"/>
      <c r="B107" s="1"/>
      <c r="C107" s="1"/>
      <c r="D107" s="1"/>
      <c r="E107" s="1"/>
      <c r="F107" s="1"/>
      <c r="G107" s="1"/>
      <c r="H107" s="1"/>
      <c r="I107" s="1"/>
      <c r="J107" s="1"/>
      <c r="K107" s="1"/>
      <c r="L107" s="319"/>
      <c r="M107" s="319"/>
      <c r="N107" s="319"/>
      <c r="O107" s="319"/>
      <c r="P107" s="319"/>
      <c r="Q107" s="319"/>
      <c r="R107" s="319"/>
      <c r="S107" s="319"/>
      <c r="T107" s="319"/>
      <c r="U107" s="319"/>
      <c r="V107" s="319"/>
      <c r="W107" s="319">
        <v>110000</v>
      </c>
    </row>
    <row r="108" spans="1:23" ht="12.75" hidden="1" customHeight="1">
      <c r="A108" s="1203" t="str">
        <f>Language!C1450</f>
        <v>Preço da eletricidade - mensal</v>
      </c>
      <c r="B108" s="1204"/>
      <c r="C108" s="192"/>
      <c r="D108" s="192"/>
      <c r="E108" s="192"/>
      <c r="F108" s="192"/>
      <c r="G108" s="192"/>
      <c r="H108" s="192"/>
      <c r="I108" s="192"/>
      <c r="J108" s="193"/>
      <c r="K108" s="1"/>
      <c r="L108" s="319"/>
      <c r="M108" s="319"/>
      <c r="N108" s="319"/>
      <c r="O108" s="319"/>
      <c r="P108" s="319"/>
      <c r="Q108" s="319"/>
      <c r="R108" s="319"/>
      <c r="S108" s="319"/>
      <c r="T108" s="319"/>
      <c r="U108" s="319"/>
      <c r="V108" s="319"/>
      <c r="W108" s="319">
        <v>110600</v>
      </c>
    </row>
    <row r="109" spans="1:23" ht="12.75" hidden="1" customHeight="1">
      <c r="A109" s="12"/>
      <c r="B109" s="8"/>
      <c r="C109" s="8"/>
      <c r="D109" s="8"/>
      <c r="E109" s="8"/>
      <c r="F109" s="8"/>
      <c r="G109" s="8"/>
      <c r="H109" s="8"/>
      <c r="I109" s="8"/>
      <c r="J109" s="9"/>
      <c r="K109" s="1"/>
      <c r="L109" s="319"/>
      <c r="M109" s="319"/>
      <c r="N109" s="319"/>
      <c r="O109" s="319"/>
      <c r="P109" s="319"/>
      <c r="Q109" s="319"/>
      <c r="R109" s="319"/>
      <c r="S109" s="319"/>
      <c r="T109" s="319"/>
      <c r="U109" s="319"/>
      <c r="V109" s="319"/>
      <c r="W109" s="319">
        <v>110600</v>
      </c>
    </row>
    <row r="110" spans="1:23" ht="12.75" hidden="1" customHeight="1">
      <c r="A110" s="12"/>
      <c r="B110" s="8"/>
      <c r="C110" s="1223" t="str">
        <f>B241</f>
        <v>Demanda de eletricidade</v>
      </c>
      <c r="D110" s="1338"/>
      <c r="E110" s="1338"/>
      <c r="F110" s="1338"/>
      <c r="G110" s="8"/>
      <c r="H110" s="8"/>
      <c r="I110" s="8"/>
      <c r="J110" s="9"/>
      <c r="K110" s="1"/>
      <c r="L110" s="319"/>
      <c r="M110" s="319"/>
      <c r="N110" s="319"/>
      <c r="O110" s="319"/>
      <c r="P110" s="319"/>
      <c r="Q110" s="319"/>
      <c r="R110" s="319"/>
      <c r="S110" s="319"/>
      <c r="T110" s="319"/>
      <c r="U110" s="319"/>
      <c r="V110" s="319"/>
      <c r="W110" s="319">
        <v>110600</v>
      </c>
    </row>
    <row r="111" spans="1:23" ht="25.5" hidden="1" customHeight="1">
      <c r="A111" s="12"/>
      <c r="B111" s="8"/>
      <c r="C111" s="20" t="str">
        <f>Language!$C$833&amp;" 1"</f>
        <v>Preço 1</v>
      </c>
      <c r="D111" s="20" t="str">
        <f>Language!$C$833&amp;" 2"</f>
        <v>Preço 2</v>
      </c>
      <c r="E111" s="20" t="str">
        <f>Language!$C$833&amp;" 3"</f>
        <v>Preço 3</v>
      </c>
      <c r="F111" s="20" t="str">
        <f>Language!$C$833&amp;" 4"</f>
        <v>Preço 4</v>
      </c>
      <c r="G111" s="20" t="str">
        <f>Language!C232</f>
        <v>Carga de Ponta</v>
      </c>
      <c r="H111" s="20" t="str">
        <f>B167</f>
        <v>Tarifa fixa - mensal</v>
      </c>
      <c r="I111" s="20" t="str">
        <f>B240</f>
        <v>Custo total de eletricidade</v>
      </c>
      <c r="J111" s="127" t="str">
        <f>H139</f>
        <v>Carga média</v>
      </c>
      <c r="K111" s="1"/>
      <c r="L111" s="319" t="s">
        <v>1249</v>
      </c>
      <c r="M111" s="319"/>
      <c r="N111" s="319"/>
      <c r="O111" s="319"/>
      <c r="P111" s="319"/>
      <c r="Q111" s="319"/>
      <c r="R111" s="319"/>
      <c r="S111" s="319"/>
      <c r="T111" s="319"/>
      <c r="U111" s="319"/>
      <c r="V111" s="319"/>
      <c r="W111" s="319">
        <v>110600</v>
      </c>
    </row>
    <row r="112" spans="1:23" ht="12.75" hidden="1" customHeight="1">
      <c r="A112" s="12"/>
      <c r="B112" s="153" t="str">
        <f>Language!C250</f>
        <v>Mês</v>
      </c>
      <c r="C112" s="196" t="str">
        <f>Language!$C$1365</f>
        <v>kWh</v>
      </c>
      <c r="D112" s="196" t="str">
        <f>C112</f>
        <v>kWh</v>
      </c>
      <c r="E112" s="196" t="str">
        <f>D112</f>
        <v>kWh</v>
      </c>
      <c r="F112" s="196" t="str">
        <f>E112</f>
        <v>kWh</v>
      </c>
      <c r="G112" s="196" t="str">
        <f>C128</f>
        <v>kW</v>
      </c>
      <c r="H112" s="196" t="str">
        <f>J140</f>
        <v>€</v>
      </c>
      <c r="I112" s="196" t="str">
        <f>J140</f>
        <v>€</v>
      </c>
      <c r="J112" s="197" t="str">
        <f>H140</f>
        <v>kW</v>
      </c>
      <c r="K112" s="1"/>
      <c r="L112" s="319"/>
      <c r="M112" s="319"/>
      <c r="N112" s="319"/>
      <c r="O112" s="319"/>
      <c r="P112" s="319"/>
      <c r="Q112" s="319"/>
      <c r="R112" s="319"/>
      <c r="S112" s="319"/>
      <c r="T112" s="319"/>
      <c r="U112" s="319"/>
      <c r="V112" s="319"/>
      <c r="W112" s="319">
        <v>110600</v>
      </c>
    </row>
    <row r="113" spans="1:23" ht="12.75" hidden="1" customHeight="1">
      <c r="A113" s="12"/>
      <c r="B113" s="5" t="str">
        <f>Language!C251</f>
        <v>Janeiro</v>
      </c>
      <c r="C113" s="307">
        <v>100</v>
      </c>
      <c r="D113" s="307"/>
      <c r="E113" s="307"/>
      <c r="F113" s="307"/>
      <c r="G113" s="307"/>
      <c r="H113" s="750"/>
      <c r="I113" s="750"/>
      <c r="J113" s="90">
        <f t="shared" ref="J113:J124" si="15">(SUM(C113:F113)-$D$131*$D$128)/(24*L113-$D$131)</f>
        <v>0.13440860215053763</v>
      </c>
      <c r="K113" s="1"/>
      <c r="L113" s="319">
        <v>31</v>
      </c>
      <c r="M113" s="319"/>
      <c r="N113" s="319"/>
      <c r="O113" s="319"/>
      <c r="P113" s="319"/>
      <c r="Q113" s="319"/>
      <c r="R113" s="319"/>
      <c r="S113" s="319"/>
      <c r="T113" s="319"/>
      <c r="U113" s="319"/>
      <c r="V113" s="319"/>
      <c r="W113" s="319">
        <v>110600</v>
      </c>
    </row>
    <row r="114" spans="1:23" ht="12.75" hidden="1" customHeight="1">
      <c r="A114" s="12"/>
      <c r="B114" s="8" t="str">
        <f>Language!C252</f>
        <v>Fevereiro</v>
      </c>
      <c r="C114" s="307"/>
      <c r="D114" s="307"/>
      <c r="E114" s="307"/>
      <c r="F114" s="307"/>
      <c r="G114" s="307"/>
      <c r="H114" s="750"/>
      <c r="I114" s="750"/>
      <c r="J114" s="37">
        <f t="shared" si="15"/>
        <v>0</v>
      </c>
      <c r="K114" s="1"/>
      <c r="L114" s="319">
        <v>28</v>
      </c>
      <c r="M114" s="319"/>
      <c r="N114" s="319"/>
      <c r="O114" s="319"/>
      <c r="P114" s="319"/>
      <c r="Q114" s="319"/>
      <c r="R114" s="319"/>
      <c r="S114" s="319"/>
      <c r="T114" s="319"/>
      <c r="U114" s="319"/>
      <c r="V114" s="319"/>
      <c r="W114" s="319">
        <v>110600</v>
      </c>
    </row>
    <row r="115" spans="1:23" ht="12.75" hidden="1" customHeight="1">
      <c r="A115" s="12"/>
      <c r="B115" s="8" t="str">
        <f>Language!C253</f>
        <v>Março</v>
      </c>
      <c r="C115" s="307"/>
      <c r="D115" s="307"/>
      <c r="E115" s="307"/>
      <c r="F115" s="307"/>
      <c r="G115" s="307"/>
      <c r="H115" s="750"/>
      <c r="I115" s="750"/>
      <c r="J115" s="37">
        <f t="shared" si="15"/>
        <v>0</v>
      </c>
      <c r="K115" s="1"/>
      <c r="L115" s="319">
        <v>31</v>
      </c>
      <c r="M115" s="319"/>
      <c r="N115" s="319"/>
      <c r="O115" s="319"/>
      <c r="P115" s="319"/>
      <c r="Q115" s="319"/>
      <c r="R115" s="319"/>
      <c r="S115" s="319"/>
      <c r="T115" s="319"/>
      <c r="U115" s="319"/>
      <c r="V115" s="319"/>
      <c r="W115" s="319">
        <v>110600</v>
      </c>
    </row>
    <row r="116" spans="1:23" ht="12.75" hidden="1" customHeight="1">
      <c r="A116" s="12"/>
      <c r="B116" s="8" t="str">
        <f>Language!C254</f>
        <v>Abril</v>
      </c>
      <c r="C116" s="307"/>
      <c r="D116" s="307"/>
      <c r="E116" s="307"/>
      <c r="F116" s="307"/>
      <c r="G116" s="307"/>
      <c r="H116" s="750"/>
      <c r="I116" s="750"/>
      <c r="J116" s="37">
        <f t="shared" si="15"/>
        <v>0</v>
      </c>
      <c r="K116" s="1"/>
      <c r="L116" s="319">
        <v>30</v>
      </c>
      <c r="M116" s="319"/>
      <c r="N116" s="319"/>
      <c r="O116" s="319"/>
      <c r="P116" s="319"/>
      <c r="Q116" s="319"/>
      <c r="R116" s="319"/>
      <c r="S116" s="319"/>
      <c r="T116" s="319"/>
      <c r="U116" s="319"/>
      <c r="V116" s="319"/>
      <c r="W116" s="319">
        <v>110600</v>
      </c>
    </row>
    <row r="117" spans="1:23" ht="12.75" hidden="1" customHeight="1">
      <c r="A117" s="12"/>
      <c r="B117" s="8" t="str">
        <f>Language!C255</f>
        <v>Maio</v>
      </c>
      <c r="C117" s="307"/>
      <c r="D117" s="307"/>
      <c r="E117" s="307"/>
      <c r="F117" s="307"/>
      <c r="G117" s="307"/>
      <c r="H117" s="750"/>
      <c r="I117" s="750"/>
      <c r="J117" s="37">
        <f t="shared" si="15"/>
        <v>0</v>
      </c>
      <c r="K117" s="1"/>
      <c r="L117" s="319">
        <v>31</v>
      </c>
      <c r="M117" s="319"/>
      <c r="N117" s="319"/>
      <c r="O117" s="319"/>
      <c r="P117" s="319"/>
      <c r="Q117" s="319"/>
      <c r="R117" s="319"/>
      <c r="S117" s="319"/>
      <c r="T117" s="319"/>
      <c r="U117" s="319"/>
      <c r="V117" s="319"/>
      <c r="W117" s="319">
        <v>110600</v>
      </c>
    </row>
    <row r="118" spans="1:23" ht="12.75" hidden="1" customHeight="1">
      <c r="A118" s="12"/>
      <c r="B118" s="8" t="str">
        <f>Language!C256</f>
        <v>Junho</v>
      </c>
      <c r="C118" s="307"/>
      <c r="D118" s="307"/>
      <c r="E118" s="307"/>
      <c r="F118" s="307"/>
      <c r="G118" s="307"/>
      <c r="H118" s="750"/>
      <c r="I118" s="750"/>
      <c r="J118" s="37">
        <f t="shared" si="15"/>
        <v>0</v>
      </c>
      <c r="K118" s="1"/>
      <c r="L118" s="319">
        <v>30</v>
      </c>
      <c r="M118" s="319"/>
      <c r="N118" s="319"/>
      <c r="O118" s="319"/>
      <c r="P118" s="319"/>
      <c r="Q118" s="319"/>
      <c r="R118" s="319"/>
      <c r="S118" s="319"/>
      <c r="T118" s="319"/>
      <c r="U118" s="319"/>
      <c r="V118" s="319"/>
      <c r="W118" s="319">
        <v>110600</v>
      </c>
    </row>
    <row r="119" spans="1:23" ht="12.75" hidden="1" customHeight="1">
      <c r="A119" s="12"/>
      <c r="B119" s="8" t="str">
        <f>Language!C257</f>
        <v>Julho</v>
      </c>
      <c r="C119" s="307"/>
      <c r="D119" s="307"/>
      <c r="E119" s="307"/>
      <c r="F119" s="307"/>
      <c r="G119" s="307"/>
      <c r="H119" s="750"/>
      <c r="I119" s="750"/>
      <c r="J119" s="37">
        <f t="shared" si="15"/>
        <v>0</v>
      </c>
      <c r="K119" s="1"/>
      <c r="L119" s="319">
        <v>31</v>
      </c>
      <c r="M119" s="319"/>
      <c r="N119" s="319"/>
      <c r="O119" s="319"/>
      <c r="P119" s="319"/>
      <c r="Q119" s="319"/>
      <c r="R119" s="319"/>
      <c r="S119" s="319"/>
      <c r="T119" s="319"/>
      <c r="U119" s="319"/>
      <c r="V119" s="319"/>
      <c r="W119" s="319">
        <v>110600</v>
      </c>
    </row>
    <row r="120" spans="1:23" ht="12.75" hidden="1" customHeight="1">
      <c r="A120" s="12"/>
      <c r="B120" s="8" t="str">
        <f>Language!C258</f>
        <v>Agosto</v>
      </c>
      <c r="C120" s="307"/>
      <c r="D120" s="307"/>
      <c r="E120" s="307"/>
      <c r="F120" s="307"/>
      <c r="G120" s="307"/>
      <c r="H120" s="750"/>
      <c r="I120" s="750"/>
      <c r="J120" s="37">
        <f t="shared" si="15"/>
        <v>0</v>
      </c>
      <c r="K120" s="1"/>
      <c r="L120" s="319">
        <v>31</v>
      </c>
      <c r="M120" s="319"/>
      <c r="N120" s="319"/>
      <c r="O120" s="319"/>
      <c r="P120" s="319"/>
      <c r="Q120" s="319"/>
      <c r="R120" s="319"/>
      <c r="S120" s="319"/>
      <c r="T120" s="319"/>
      <c r="U120" s="319"/>
      <c r="V120" s="319"/>
      <c r="W120" s="319">
        <v>110600</v>
      </c>
    </row>
    <row r="121" spans="1:23" ht="12.75" hidden="1" customHeight="1">
      <c r="A121" s="12"/>
      <c r="B121" s="8" t="str">
        <f>Language!C259</f>
        <v>Setembro</v>
      </c>
      <c r="C121" s="307"/>
      <c r="D121" s="307"/>
      <c r="E121" s="307"/>
      <c r="F121" s="307"/>
      <c r="G121" s="307"/>
      <c r="H121" s="750"/>
      <c r="I121" s="750"/>
      <c r="J121" s="37">
        <f t="shared" si="15"/>
        <v>0</v>
      </c>
      <c r="K121" s="1"/>
      <c r="L121" s="319">
        <v>30</v>
      </c>
      <c r="M121" s="319"/>
      <c r="N121" s="319"/>
      <c r="O121" s="319"/>
      <c r="P121" s="319"/>
      <c r="Q121" s="319"/>
      <c r="R121" s="319"/>
      <c r="S121" s="319"/>
      <c r="T121" s="319"/>
      <c r="U121" s="319"/>
      <c r="V121" s="319"/>
      <c r="W121" s="319">
        <v>110600</v>
      </c>
    </row>
    <row r="122" spans="1:23" ht="12.75" hidden="1" customHeight="1">
      <c r="A122" s="12"/>
      <c r="B122" s="8" t="str">
        <f>Language!C260</f>
        <v>Outubro</v>
      </c>
      <c r="C122" s="307"/>
      <c r="D122" s="307"/>
      <c r="E122" s="307"/>
      <c r="F122" s="307"/>
      <c r="G122" s="307"/>
      <c r="H122" s="750"/>
      <c r="I122" s="750"/>
      <c r="J122" s="37">
        <f t="shared" si="15"/>
        <v>0</v>
      </c>
      <c r="K122" s="1"/>
      <c r="L122" s="319">
        <v>31</v>
      </c>
      <c r="M122" s="319"/>
      <c r="N122" s="319"/>
      <c r="O122" s="319"/>
      <c r="P122" s="319"/>
      <c r="Q122" s="319"/>
      <c r="R122" s="319"/>
      <c r="S122" s="319"/>
      <c r="T122" s="319"/>
      <c r="U122" s="319"/>
      <c r="V122" s="319"/>
      <c r="W122" s="319">
        <v>110600</v>
      </c>
    </row>
    <row r="123" spans="1:23" ht="12.75" hidden="1" customHeight="1">
      <c r="A123" s="12"/>
      <c r="B123" s="8" t="str">
        <f>Language!C261</f>
        <v>Novembro</v>
      </c>
      <c r="C123" s="307"/>
      <c r="D123" s="307"/>
      <c r="E123" s="307"/>
      <c r="F123" s="307"/>
      <c r="G123" s="307"/>
      <c r="H123" s="750"/>
      <c r="I123" s="750"/>
      <c r="J123" s="37">
        <f t="shared" si="15"/>
        <v>0</v>
      </c>
      <c r="K123" s="1"/>
      <c r="L123" s="319">
        <v>30</v>
      </c>
      <c r="M123" s="319"/>
      <c r="N123" s="319"/>
      <c r="O123" s="319"/>
      <c r="P123" s="319"/>
      <c r="Q123" s="319"/>
      <c r="R123" s="319"/>
      <c r="S123" s="319"/>
      <c r="T123" s="319"/>
      <c r="U123" s="319"/>
      <c r="V123" s="319"/>
      <c r="W123" s="319">
        <v>110600</v>
      </c>
    </row>
    <row r="124" spans="1:23" ht="12.75" hidden="1" customHeight="1">
      <c r="A124" s="12"/>
      <c r="B124" s="15" t="str">
        <f>Language!C262</f>
        <v>Dezembro</v>
      </c>
      <c r="C124" s="307"/>
      <c r="D124" s="307"/>
      <c r="E124" s="307"/>
      <c r="F124" s="307"/>
      <c r="G124" s="307"/>
      <c r="H124" s="750"/>
      <c r="I124" s="750"/>
      <c r="J124" s="42">
        <f t="shared" si="15"/>
        <v>0</v>
      </c>
      <c r="K124" s="1"/>
      <c r="L124" s="319">
        <v>31</v>
      </c>
      <c r="M124" s="319"/>
      <c r="N124" s="319"/>
      <c r="O124" s="319"/>
      <c r="P124" s="319"/>
      <c r="Q124" s="319"/>
      <c r="R124" s="319"/>
      <c r="S124" s="319"/>
      <c r="T124" s="319"/>
      <c r="U124" s="319"/>
      <c r="V124" s="319"/>
      <c r="W124" s="319">
        <v>110600</v>
      </c>
    </row>
    <row r="125" spans="1:23" ht="12.75" hidden="1" customHeight="1">
      <c r="A125" s="12"/>
      <c r="B125" s="8" t="str">
        <f>C513</f>
        <v>Total</v>
      </c>
      <c r="C125" s="88">
        <f>SUM(C113:C124)</f>
        <v>100</v>
      </c>
      <c r="D125" s="88">
        <f>SUM(D113:D124)</f>
        <v>0</v>
      </c>
      <c r="E125" s="88">
        <f>SUM(E113:E124)</f>
        <v>0</v>
      </c>
      <c r="F125" s="88">
        <f>SUM(F113:F124)</f>
        <v>0</v>
      </c>
      <c r="G125" s="88"/>
      <c r="H125" s="746">
        <f>SUM(H113:H124)</f>
        <v>0</v>
      </c>
      <c r="I125" s="746">
        <f>SUM(I113:I124)</f>
        <v>0</v>
      </c>
      <c r="J125" s="9"/>
      <c r="K125" s="1"/>
      <c r="L125" s="319">
        <v>365</v>
      </c>
      <c r="M125" s="319"/>
      <c r="N125" s="319"/>
      <c r="O125" s="319"/>
      <c r="P125" s="319"/>
      <c r="Q125" s="319"/>
      <c r="R125" s="319"/>
      <c r="S125" s="319"/>
      <c r="T125" s="319"/>
      <c r="U125" s="319"/>
      <c r="V125" s="319"/>
      <c r="W125" s="319">
        <v>110600</v>
      </c>
    </row>
    <row r="126" spans="1:23" ht="12.75" hidden="1" customHeight="1">
      <c r="A126" s="12"/>
      <c r="B126" s="8"/>
      <c r="C126" s="8"/>
      <c r="D126" s="8"/>
      <c r="E126" s="8"/>
      <c r="F126" s="8"/>
      <c r="G126" s="8"/>
      <c r="H126" s="8"/>
      <c r="I126" s="8"/>
      <c r="J126" s="9"/>
      <c r="K126" s="1"/>
      <c r="L126" s="319">
        <f>MAX(J113:J124)</f>
        <v>0.13440860215053763</v>
      </c>
      <c r="M126" s="319"/>
      <c r="N126" s="319"/>
      <c r="O126" s="319"/>
      <c r="P126" s="319"/>
      <c r="Q126" s="319"/>
      <c r="R126" s="319"/>
      <c r="S126" s="319"/>
      <c r="T126" s="319"/>
      <c r="U126" s="319"/>
      <c r="V126" s="319"/>
      <c r="W126" s="319">
        <v>110600</v>
      </c>
    </row>
    <row r="127" spans="1:23" ht="12.75" hidden="1" customHeight="1">
      <c r="A127" s="12"/>
      <c r="B127" s="795" t="str">
        <f>B168</f>
        <v>Carga de ponta sist. elétrico acima da média mensal máxima</v>
      </c>
      <c r="C127" s="8"/>
      <c r="D127" s="233">
        <f>D128/L126-1</f>
        <v>-1</v>
      </c>
      <c r="E127" s="8"/>
      <c r="F127" s="8"/>
      <c r="G127" s="8"/>
      <c r="H127" s="8"/>
      <c r="I127" s="8"/>
      <c r="J127" s="9"/>
      <c r="K127" s="1"/>
      <c r="L127" s="319">
        <f>SUMPRODUCT(J113:J124*L113:L124)*24+D128*'Modelo Energético'!C1151</f>
        <v>99.999999999999986</v>
      </c>
      <c r="M127" s="319"/>
      <c r="N127" s="319"/>
      <c r="O127" s="319"/>
      <c r="P127" s="319"/>
      <c r="Q127" s="319"/>
      <c r="R127" s="319"/>
      <c r="S127" s="319"/>
      <c r="T127" s="319"/>
      <c r="U127" s="319"/>
      <c r="V127" s="319"/>
      <c r="W127" s="319">
        <v>110612</v>
      </c>
    </row>
    <row r="128" spans="1:23" ht="12.75" hidden="1" customHeight="1">
      <c r="A128" s="12"/>
      <c r="B128" s="8" t="str">
        <f>Language!C386</f>
        <v>Carga de pico - anual</v>
      </c>
      <c r="C128" s="21" t="str">
        <f>J112</f>
        <v>kW</v>
      </c>
      <c r="D128" s="88">
        <f>MAX(G113:G124)</f>
        <v>0</v>
      </c>
      <c r="E128" s="8"/>
      <c r="F128" s="8"/>
      <c r="G128" s="8"/>
      <c r="H128" s="8"/>
      <c r="I128" s="8"/>
      <c r="J128" s="9"/>
      <c r="K128" s="1"/>
      <c r="L128" s="319"/>
      <c r="M128" s="319"/>
      <c r="N128" s="319"/>
      <c r="O128" s="319"/>
      <c r="P128" s="319"/>
      <c r="Q128" s="319"/>
      <c r="R128" s="319"/>
      <c r="S128" s="319"/>
      <c r="T128" s="319"/>
      <c r="U128" s="319"/>
      <c r="V128" s="319"/>
      <c r="W128" s="319">
        <v>46016</v>
      </c>
    </row>
    <row r="129" spans="1:23" ht="12.75" hidden="1" customHeight="1">
      <c r="A129" s="12"/>
      <c r="B129" s="8" t="str">
        <f>B241</f>
        <v>Demanda de eletricidade</v>
      </c>
      <c r="C129" s="21" t="str">
        <f>C112</f>
        <v>kWh</v>
      </c>
      <c r="D129" s="88">
        <f>SUM(C125:F125)</f>
        <v>100</v>
      </c>
      <c r="E129" s="8"/>
      <c r="F129" s="8"/>
      <c r="G129" s="8"/>
      <c r="H129" s="8"/>
      <c r="I129" s="8"/>
      <c r="J129" s="9"/>
      <c r="K129" s="1"/>
      <c r="L129" s="319"/>
      <c r="M129" s="319"/>
      <c r="N129" s="319"/>
      <c r="O129" s="319"/>
      <c r="P129" s="319"/>
      <c r="Q129" s="319"/>
      <c r="R129" s="319"/>
      <c r="S129" s="319"/>
      <c r="T129" s="319"/>
      <c r="U129" s="319"/>
      <c r="V129" s="319"/>
      <c r="W129" s="319">
        <v>46018</v>
      </c>
    </row>
    <row r="130" spans="1:23" ht="12.75" hidden="1" customHeight="1">
      <c r="A130" s="12"/>
      <c r="B130" s="8" t="str">
        <f>Language!C832</f>
        <v>Diferença da Demanda de eletricidade</v>
      </c>
      <c r="C130" s="21" t="str">
        <f>C418</f>
        <v>%</v>
      </c>
      <c r="D130" s="243">
        <f>L127/(SUM(C125:F125))-1</f>
        <v>0</v>
      </c>
      <c r="E130" s="8"/>
      <c r="F130" s="8"/>
      <c r="G130" s="8"/>
      <c r="H130" s="8"/>
      <c r="I130" s="8"/>
      <c r="J130" s="9"/>
      <c r="K130" s="1"/>
      <c r="L130" s="319"/>
      <c r="M130" s="319"/>
      <c r="N130" s="319"/>
      <c r="O130" s="319"/>
      <c r="P130" s="319"/>
      <c r="Q130" s="319"/>
      <c r="R130" s="319"/>
      <c r="S130" s="319"/>
      <c r="T130" s="319"/>
      <c r="U130" s="319"/>
      <c r="V130" s="319"/>
      <c r="W130" s="319">
        <v>110618</v>
      </c>
    </row>
    <row r="131" spans="1:23" ht="12.75" hidden="1" customHeight="1">
      <c r="A131" s="12"/>
      <c r="B131" s="8" t="str">
        <f>Language!C831</f>
        <v>Fator de correção da demanda de eletricidade</v>
      </c>
      <c r="C131" s="21" t="str">
        <f>Language!C1339</f>
        <v>h</v>
      </c>
      <c r="D131" s="303"/>
      <c r="E131" s="8"/>
      <c r="F131" s="8"/>
      <c r="G131" s="8"/>
      <c r="H131" s="8"/>
      <c r="I131" s="8"/>
      <c r="J131" s="9"/>
      <c r="K131" s="1"/>
      <c r="L131" s="319"/>
      <c r="M131" s="319"/>
      <c r="N131" s="319"/>
      <c r="O131" s="319"/>
      <c r="P131" s="319"/>
      <c r="Q131" s="319"/>
      <c r="R131" s="319"/>
      <c r="S131" s="319"/>
      <c r="T131" s="319"/>
      <c r="U131" s="319"/>
      <c r="V131" s="319"/>
      <c r="W131" s="319">
        <v>110620</v>
      </c>
    </row>
    <row r="132" spans="1:23" ht="12.75" hidden="1" customHeight="1">
      <c r="A132" s="12"/>
      <c r="B132" s="8" t="str">
        <f>Language!C466</f>
        <v>Preço da eletricidade - caso de referência</v>
      </c>
      <c r="C132" s="21" t="str">
        <f>C242</f>
        <v>€/kWh</v>
      </c>
      <c r="D132" s="242">
        <f>I125/(SUM(C125:F125))</f>
        <v>0</v>
      </c>
      <c r="E132" s="8"/>
      <c r="F132" s="8"/>
      <c r="G132" s="8"/>
      <c r="H132" s="8"/>
      <c r="I132" s="8"/>
      <c r="J132" s="9"/>
      <c r="K132" s="1"/>
      <c r="L132" s="319"/>
      <c r="M132" s="319"/>
      <c r="N132" s="319"/>
      <c r="O132" s="319"/>
      <c r="P132" s="319"/>
      <c r="Q132" s="319"/>
      <c r="R132" s="319"/>
      <c r="S132" s="319"/>
      <c r="T132" s="319"/>
      <c r="U132" s="319"/>
      <c r="V132" s="319"/>
      <c r="W132" s="319">
        <v>110622</v>
      </c>
    </row>
    <row r="133" spans="1:23" ht="12.75" hidden="1" customHeight="1">
      <c r="A133" s="14"/>
      <c r="B133" s="15"/>
      <c r="C133" s="15"/>
      <c r="D133" s="15"/>
      <c r="E133" s="15"/>
      <c r="F133" s="15"/>
      <c r="G133" s="15"/>
      <c r="H133" s="15"/>
      <c r="I133" s="15"/>
      <c r="J133" s="11"/>
      <c r="K133" s="1"/>
      <c r="L133" s="319"/>
      <c r="M133" s="319"/>
      <c r="N133" s="319"/>
      <c r="O133" s="319"/>
      <c r="P133" s="319"/>
      <c r="Q133" s="319"/>
      <c r="R133" s="319"/>
      <c r="S133" s="319"/>
      <c r="T133" s="319"/>
      <c r="U133" s="319"/>
      <c r="V133" s="319"/>
      <c r="W133" s="319">
        <v>110600</v>
      </c>
    </row>
    <row r="134" spans="1:23" ht="12.75" hidden="1" customHeight="1">
      <c r="A134" s="1"/>
      <c r="B134" s="1"/>
      <c r="C134" s="1"/>
      <c r="D134" s="1"/>
      <c r="E134" s="1"/>
      <c r="F134" s="1"/>
      <c r="G134" s="1"/>
      <c r="H134" s="1"/>
      <c r="I134" s="1"/>
      <c r="J134" s="1"/>
      <c r="K134" s="1"/>
      <c r="L134" s="319"/>
      <c r="M134" s="319"/>
      <c r="N134" s="319"/>
      <c r="O134" s="319"/>
      <c r="P134" s="319"/>
      <c r="Q134" s="319"/>
      <c r="R134" s="319"/>
      <c r="S134" s="319"/>
      <c r="T134" s="319"/>
      <c r="U134" s="319"/>
      <c r="V134" s="319"/>
      <c r="W134" s="319">
        <v>110000</v>
      </c>
    </row>
    <row r="135" spans="1:23" ht="12.75" hidden="1" customHeight="1">
      <c r="A135" s="1203" t="str">
        <f>Language!C1449</f>
        <v>Tarifa de energia - por período de utilização</v>
      </c>
      <c r="B135" s="1204"/>
      <c r="C135" s="192"/>
      <c r="D135" s="192"/>
      <c r="E135" s="192"/>
      <c r="F135" s="192"/>
      <c r="G135" s="192"/>
      <c r="H135" s="192"/>
      <c r="I135" s="192"/>
      <c r="J135" s="193"/>
      <c r="K135" s="1"/>
      <c r="L135" s="319"/>
      <c r="M135" s="319"/>
      <c r="N135" s="319"/>
      <c r="O135" s="319"/>
      <c r="P135" s="319"/>
      <c r="Q135" s="319"/>
      <c r="R135" s="319"/>
      <c r="S135" s="319"/>
      <c r="T135" s="319"/>
      <c r="U135" s="319"/>
      <c r="V135" s="319"/>
      <c r="W135" s="319">
        <v>110700</v>
      </c>
    </row>
    <row r="136" spans="1:23" ht="12.75" hidden="1" customHeight="1">
      <c r="A136" s="12"/>
      <c r="B136" s="8"/>
      <c r="C136" s="8"/>
      <c r="D136" s="8"/>
      <c r="E136" s="8"/>
      <c r="F136" s="8"/>
      <c r="G136" s="8"/>
      <c r="H136" s="8"/>
      <c r="I136" s="8"/>
      <c r="J136" s="9"/>
      <c r="K136" s="1"/>
      <c r="L136" s="319"/>
      <c r="M136" s="319"/>
      <c r="N136" s="319"/>
      <c r="O136" s="319"/>
      <c r="P136" s="319"/>
      <c r="Q136" s="319"/>
      <c r="R136" s="319"/>
      <c r="S136" s="319"/>
      <c r="T136" s="319"/>
      <c r="U136" s="319"/>
      <c r="V136" s="319"/>
      <c r="W136" s="319">
        <v>110700</v>
      </c>
    </row>
    <row r="137" spans="1:23" ht="12.75" hidden="1" customHeight="1">
      <c r="A137" s="1009" t="s">
        <v>943</v>
      </c>
      <c r="B137" s="971" t="str">
        <f>D545</f>
        <v xml:space="preserve">Método 1 </v>
      </c>
      <c r="C137" s="8"/>
      <c r="D137" s="8"/>
      <c r="E137" s="8"/>
      <c r="F137" s="8"/>
      <c r="G137" s="8"/>
      <c r="H137" s="8"/>
      <c r="I137" s="8"/>
      <c r="J137" s="9"/>
      <c r="K137" s="1"/>
      <c r="L137" s="319"/>
      <c r="M137" s="3" t="b">
        <v>0</v>
      </c>
      <c r="N137" s="319"/>
      <c r="O137" s="319"/>
      <c r="P137" s="319"/>
      <c r="Q137" s="319"/>
      <c r="R137" s="319"/>
      <c r="S137" s="319"/>
      <c r="T137" s="319"/>
      <c r="U137" s="319"/>
      <c r="V137" s="319"/>
      <c r="W137" s="319">
        <v>110702</v>
      </c>
    </row>
    <row r="138" spans="1:23" ht="12.75" hidden="1" customHeight="1">
      <c r="A138" s="1009" t="s">
        <v>943</v>
      </c>
      <c r="B138" s="330" t="str">
        <f>D546</f>
        <v xml:space="preserve">Método 2 </v>
      </c>
      <c r="C138" s="8"/>
      <c r="D138" s="8"/>
      <c r="E138" s="8"/>
      <c r="F138" s="8"/>
      <c r="G138" s="8"/>
      <c r="H138" s="8"/>
      <c r="I138" s="8"/>
      <c r="J138" s="9"/>
      <c r="K138" s="1"/>
      <c r="L138" s="319"/>
      <c r="M138" s="3" t="b">
        <v>0</v>
      </c>
      <c r="N138" s="319"/>
      <c r="O138" s="319"/>
      <c r="P138" s="319"/>
      <c r="Q138" s="319"/>
      <c r="R138" s="319"/>
      <c r="S138" s="319"/>
      <c r="T138" s="319"/>
      <c r="U138" s="319"/>
      <c r="V138" s="319"/>
      <c r="W138" s="319">
        <v>110702</v>
      </c>
    </row>
    <row r="139" spans="1:23" ht="25.5" hidden="1" customHeight="1">
      <c r="A139" s="12"/>
      <c r="B139" s="8"/>
      <c r="C139" s="8"/>
      <c r="D139" s="8"/>
      <c r="E139" s="8"/>
      <c r="F139" s="20" t="str">
        <f>Language!C818</f>
        <v>Custo da potência</v>
      </c>
      <c r="G139" s="20" t="str">
        <f>Language!C819</f>
        <v>Custo da energia</v>
      </c>
      <c r="H139" s="20" t="str">
        <f>Language!C820</f>
        <v>Carga média</v>
      </c>
      <c r="I139" s="20" t="str">
        <f>B241</f>
        <v>Demanda de eletricidade</v>
      </c>
      <c r="J139" s="127" t="str">
        <f>Language!C389</f>
        <v>Custo de eletricidade</v>
      </c>
      <c r="K139" s="1"/>
      <c r="L139" s="319"/>
      <c r="M139" s="319"/>
      <c r="N139" s="319"/>
      <c r="O139" s="319"/>
      <c r="P139" s="319"/>
      <c r="Q139" s="319"/>
      <c r="R139" s="319"/>
      <c r="S139" s="319"/>
      <c r="T139" s="319"/>
      <c r="U139" s="319"/>
      <c r="V139" s="319"/>
      <c r="W139" s="319">
        <v>110704</v>
      </c>
    </row>
    <row r="140" spans="1:23" ht="12.75" hidden="1" customHeight="1">
      <c r="A140" s="12"/>
      <c r="B140" s="49" t="str">
        <f>B550</f>
        <v>Descrição</v>
      </c>
      <c r="C140" s="128" t="str">
        <f>Language!C816</f>
        <v>Início</v>
      </c>
      <c r="D140" s="128" t="str">
        <f>Language!C817</f>
        <v>Fim</v>
      </c>
      <c r="E140" s="128" t="str">
        <f>Language!C1341</f>
        <v>Horas</v>
      </c>
      <c r="F140" s="128" t="str">
        <f>Currency&amp;"/"&amp;Language!C1364</f>
        <v>€/kW</v>
      </c>
      <c r="G140" s="128" t="str">
        <f>Currency&amp;Language!C1297</f>
        <v>€/kWh</v>
      </c>
      <c r="H140" s="128" t="str">
        <f>Language!C1364</f>
        <v>kW</v>
      </c>
      <c r="I140" s="128" t="str">
        <f>Language!C1365</f>
        <v>kWh</v>
      </c>
      <c r="J140" s="129" t="str">
        <f>Currency</f>
        <v>€</v>
      </c>
      <c r="K140" s="1"/>
      <c r="L140" s="319"/>
      <c r="M140" s="319"/>
      <c r="N140" s="319"/>
      <c r="O140" s="319"/>
      <c r="P140" s="319"/>
      <c r="Q140" s="319"/>
      <c r="R140" s="319"/>
      <c r="S140" s="319"/>
      <c r="T140" s="319"/>
      <c r="U140" s="319"/>
      <c r="V140" s="319"/>
      <c r="W140" s="319">
        <v>110704</v>
      </c>
    </row>
    <row r="141" spans="1:23" ht="12.75" hidden="1" customHeight="1">
      <c r="A141" s="12"/>
      <c r="B141" s="153" t="str">
        <f>Language!C821</f>
        <v>Estação 1(dd-mm)</v>
      </c>
      <c r="C141" s="396">
        <v>38412</v>
      </c>
      <c r="D141" s="396">
        <v>38596</v>
      </c>
      <c r="E141" s="8"/>
      <c r="F141" s="8"/>
      <c r="G141" s="8"/>
      <c r="H141" s="9"/>
      <c r="I141" s="8"/>
      <c r="J141" s="386">
        <f>TRUNC((D141-C141)/30)</f>
        <v>6</v>
      </c>
      <c r="K141" s="1"/>
      <c r="L141" s="319"/>
      <c r="M141" s="319"/>
      <c r="N141" s="319"/>
      <c r="O141" s="319"/>
      <c r="P141" s="319"/>
      <c r="Q141" s="319"/>
      <c r="R141" s="319"/>
      <c r="S141" s="319"/>
      <c r="T141" s="319"/>
      <c r="U141" s="319"/>
      <c r="V141" s="319"/>
      <c r="W141" s="319">
        <v>110704</v>
      </c>
    </row>
    <row r="142" spans="1:23" ht="12.75" hidden="1" customHeight="1">
      <c r="A142" s="12"/>
      <c r="B142" s="153" t="str">
        <f>Language!C823</f>
        <v>Dias úteis - de dia</v>
      </c>
      <c r="C142" s="397">
        <v>0.29166666666666702</v>
      </c>
      <c r="D142" s="397">
        <v>0.83333333333333304</v>
      </c>
      <c r="E142" s="217">
        <f>(D142-C142)*24</f>
        <v>12.999999999999986</v>
      </c>
      <c r="F142" s="8"/>
      <c r="G142" s="8"/>
      <c r="H142" s="9"/>
      <c r="I142" s="8"/>
      <c r="J142" s="9"/>
      <c r="K142" s="1"/>
      <c r="L142" s="319"/>
      <c r="M142" s="319"/>
      <c r="N142" s="319"/>
      <c r="O142" s="319"/>
      <c r="P142" s="319"/>
      <c r="Q142" s="319"/>
      <c r="R142" s="319"/>
      <c r="S142" s="319"/>
      <c r="T142" s="319"/>
      <c r="U142" s="319"/>
      <c r="V142" s="319"/>
      <c r="W142" s="319">
        <v>110704</v>
      </c>
    </row>
    <row r="143" spans="1:23" ht="12.75" hidden="1" customHeight="1">
      <c r="A143" s="12"/>
      <c r="B143" s="8" t="str">
        <f>Language!C824</f>
        <v>Tarifa na ponta</v>
      </c>
      <c r="C143" s="397">
        <v>0.375</v>
      </c>
      <c r="D143" s="397">
        <v>0.58333333333333304</v>
      </c>
      <c r="E143" s="217">
        <f>(D143-C143)*24</f>
        <v>4.9999999999999929</v>
      </c>
      <c r="F143" s="398"/>
      <c r="G143" s="399"/>
      <c r="H143" s="307"/>
      <c r="I143" s="88">
        <f>H143*E143*5</f>
        <v>0</v>
      </c>
      <c r="J143" s="1370">
        <f>H143*E143*G143*5</f>
        <v>0</v>
      </c>
      <c r="K143" s="1"/>
      <c r="L143" s="319"/>
      <c r="M143" s="319"/>
      <c r="N143" s="319"/>
      <c r="O143" s="319"/>
      <c r="P143" s="319"/>
      <c r="Q143" s="319"/>
      <c r="R143" s="319"/>
      <c r="S143" s="319"/>
      <c r="T143" s="319"/>
      <c r="U143" s="319"/>
      <c r="V143" s="319"/>
      <c r="W143" s="319">
        <v>110704</v>
      </c>
    </row>
    <row r="144" spans="1:23" ht="12.75" hidden="1" customHeight="1">
      <c r="A144" s="12"/>
      <c r="B144" s="8" t="str">
        <f>Language!C825</f>
        <v>Tarifa fora ponta</v>
      </c>
      <c r="C144" s="8"/>
      <c r="D144" s="8"/>
      <c r="E144" s="217">
        <f>E142-E143</f>
        <v>7.9999999999999929</v>
      </c>
      <c r="F144" s="8"/>
      <c r="G144" s="399"/>
      <c r="H144" s="307"/>
      <c r="I144" s="88">
        <f>H144*E144*5</f>
        <v>0</v>
      </c>
      <c r="J144" s="1370">
        <f>H144*E144*G144*5</f>
        <v>0</v>
      </c>
      <c r="K144" s="1"/>
      <c r="L144" s="319"/>
      <c r="M144" s="319"/>
      <c r="N144" s="319"/>
      <c r="O144" s="319"/>
      <c r="P144" s="319"/>
      <c r="Q144" s="319"/>
      <c r="R144" s="319"/>
      <c r="S144" s="319"/>
      <c r="T144" s="319"/>
      <c r="U144" s="319"/>
      <c r="V144" s="319"/>
      <c r="W144" s="319">
        <v>110704</v>
      </c>
    </row>
    <row r="145" spans="1:23" ht="12.75" hidden="1" customHeight="1">
      <c r="A145" s="12"/>
      <c r="B145" s="153" t="str">
        <f>Language!C826</f>
        <v>Dias úteis - de noite</v>
      </c>
      <c r="C145" s="8"/>
      <c r="D145" s="8"/>
      <c r="E145" s="217">
        <f>24-E142</f>
        <v>11.000000000000014</v>
      </c>
      <c r="F145" s="8"/>
      <c r="G145" s="8"/>
      <c r="H145" s="9"/>
      <c r="I145" s="8"/>
      <c r="J145" s="1370"/>
      <c r="K145" s="1"/>
      <c r="L145" s="319"/>
      <c r="M145" s="319"/>
      <c r="N145" s="319"/>
      <c r="O145" s="319"/>
      <c r="P145" s="319"/>
      <c r="Q145" s="319"/>
      <c r="R145" s="319"/>
      <c r="S145" s="319"/>
      <c r="T145" s="319"/>
      <c r="U145" s="319"/>
      <c r="V145" s="319"/>
      <c r="W145" s="319">
        <v>110704</v>
      </c>
    </row>
    <row r="146" spans="1:23" ht="12.75" hidden="1" customHeight="1">
      <c r="A146" s="12"/>
      <c r="B146" s="8" t="str">
        <f>$B$143</f>
        <v>Tarifa na ponta</v>
      </c>
      <c r="C146" s="397"/>
      <c r="D146" s="397"/>
      <c r="E146" s="217">
        <f>IF(D146&lt;C146,(D146-C146)*24+24,(D146-C146)*24)</f>
        <v>0</v>
      </c>
      <c r="F146" s="398"/>
      <c r="G146" s="399"/>
      <c r="H146" s="307"/>
      <c r="I146" s="88">
        <f>H146*E146*5</f>
        <v>0</v>
      </c>
      <c r="J146" s="1370">
        <f>H146*E146*G146*5</f>
        <v>0</v>
      </c>
      <c r="K146" s="1"/>
      <c r="L146" s="319"/>
      <c r="M146" s="319"/>
      <c r="N146" s="319"/>
      <c r="O146" s="319"/>
      <c r="P146" s="319"/>
      <c r="Q146" s="319"/>
      <c r="R146" s="319"/>
      <c r="S146" s="319"/>
      <c r="T146" s="319"/>
      <c r="U146" s="319"/>
      <c r="V146" s="319"/>
      <c r="W146" s="319">
        <v>110704</v>
      </c>
    </row>
    <row r="147" spans="1:23" ht="12.75" hidden="1" customHeight="1">
      <c r="A147" s="12"/>
      <c r="B147" s="8" t="str">
        <f>$B$144</f>
        <v>Tarifa fora ponta</v>
      </c>
      <c r="C147" s="8"/>
      <c r="D147" s="8"/>
      <c r="E147" s="217">
        <f>E145-E146</f>
        <v>11.000000000000014</v>
      </c>
      <c r="F147" s="8"/>
      <c r="G147" s="399"/>
      <c r="H147" s="307"/>
      <c r="I147" s="88">
        <f>H147*E147*5</f>
        <v>0</v>
      </c>
      <c r="J147" s="1370">
        <f>H147*E147*G147*5</f>
        <v>0</v>
      </c>
      <c r="K147" s="1"/>
      <c r="L147" s="319"/>
      <c r="M147" s="319"/>
      <c r="N147" s="319"/>
      <c r="O147" s="319"/>
      <c r="P147" s="319"/>
      <c r="Q147" s="319"/>
      <c r="R147" s="319"/>
      <c r="S147" s="319"/>
      <c r="T147" s="319"/>
      <c r="U147" s="319"/>
      <c r="V147" s="319"/>
      <c r="W147" s="319">
        <v>110704</v>
      </c>
    </row>
    <row r="148" spans="1:23" ht="12.75" hidden="1" customHeight="1">
      <c r="A148" s="12"/>
      <c r="B148" s="153" t="str">
        <f>Language!C827</f>
        <v>Fins de semana - de dia</v>
      </c>
      <c r="C148" s="397"/>
      <c r="D148" s="397"/>
      <c r="E148" s="217">
        <f>(D148-C148)*24</f>
        <v>0</v>
      </c>
      <c r="F148" s="8"/>
      <c r="G148" s="8"/>
      <c r="H148" s="9"/>
      <c r="I148" s="8"/>
      <c r="J148" s="1370"/>
      <c r="K148" s="1"/>
      <c r="L148" s="319"/>
      <c r="M148" s="319"/>
      <c r="N148" s="319"/>
      <c r="O148" s="319"/>
      <c r="P148" s="319"/>
      <c r="Q148" s="319"/>
      <c r="R148" s="319"/>
      <c r="S148" s="319"/>
      <c r="T148" s="319"/>
      <c r="U148" s="319"/>
      <c r="V148" s="319"/>
      <c r="W148" s="319">
        <v>110704</v>
      </c>
    </row>
    <row r="149" spans="1:23" ht="12.75" hidden="1" customHeight="1">
      <c r="A149" s="12"/>
      <c r="B149" s="8" t="str">
        <f>$B$143</f>
        <v>Tarifa na ponta</v>
      </c>
      <c r="C149" s="397"/>
      <c r="D149" s="397"/>
      <c r="E149" s="217">
        <f>(D149-C149)*24</f>
        <v>0</v>
      </c>
      <c r="F149" s="398"/>
      <c r="G149" s="399"/>
      <c r="H149" s="307"/>
      <c r="I149" s="88">
        <f>H149*E149*2</f>
        <v>0</v>
      </c>
      <c r="J149" s="1370">
        <f>H149*E149*G149*2</f>
        <v>0</v>
      </c>
      <c r="K149" s="1"/>
      <c r="L149" s="319"/>
      <c r="M149" s="319"/>
      <c r="N149" s="319"/>
      <c r="O149" s="319"/>
      <c r="P149" s="319"/>
      <c r="Q149" s="319"/>
      <c r="R149" s="319"/>
      <c r="S149" s="319"/>
      <c r="T149" s="319"/>
      <c r="U149" s="319"/>
      <c r="V149" s="319"/>
      <c r="W149" s="319">
        <v>110704</v>
      </c>
    </row>
    <row r="150" spans="1:23" ht="12.75" hidden="1" customHeight="1">
      <c r="A150" s="12"/>
      <c r="B150" s="8" t="str">
        <f>$B$144</f>
        <v>Tarifa fora ponta</v>
      </c>
      <c r="C150" s="8"/>
      <c r="D150" s="8"/>
      <c r="E150" s="217">
        <f>E148-E149</f>
        <v>0</v>
      </c>
      <c r="F150" s="8"/>
      <c r="G150" s="399"/>
      <c r="H150" s="307"/>
      <c r="I150" s="88">
        <f>H150*E150*2</f>
        <v>0</v>
      </c>
      <c r="J150" s="1370">
        <f>H150*E150*G150*2</f>
        <v>0</v>
      </c>
      <c r="K150" s="1"/>
      <c r="L150" s="319"/>
      <c r="M150" s="319"/>
      <c r="N150" s="319"/>
      <c r="O150" s="319"/>
      <c r="P150" s="319"/>
      <c r="Q150" s="319"/>
      <c r="R150" s="319"/>
      <c r="S150" s="319"/>
      <c r="T150" s="319"/>
      <c r="U150" s="319"/>
      <c r="V150" s="319"/>
      <c r="W150" s="319">
        <v>110704</v>
      </c>
    </row>
    <row r="151" spans="1:23" ht="12.75" hidden="1" customHeight="1">
      <c r="A151" s="12"/>
      <c r="B151" s="153" t="str">
        <f>Language!C828</f>
        <v>Fins de semana - de noite</v>
      </c>
      <c r="C151" s="8"/>
      <c r="D151" s="8"/>
      <c r="E151" s="217">
        <f>24-E148</f>
        <v>24</v>
      </c>
      <c r="F151" s="8"/>
      <c r="G151" s="8"/>
      <c r="H151" s="9"/>
      <c r="I151" s="8"/>
      <c r="J151" s="1370"/>
      <c r="K151" s="1"/>
      <c r="L151" s="319"/>
      <c r="M151" s="319"/>
      <c r="N151" s="319"/>
      <c r="O151" s="319"/>
      <c r="P151" s="319"/>
      <c r="Q151" s="319"/>
      <c r="R151" s="319"/>
      <c r="S151" s="319"/>
      <c r="T151" s="319"/>
      <c r="U151" s="319"/>
      <c r="V151" s="319"/>
      <c r="W151" s="319">
        <v>110704</v>
      </c>
    </row>
    <row r="152" spans="1:23" ht="12.75" hidden="1" customHeight="1">
      <c r="A152" s="12"/>
      <c r="B152" s="8" t="str">
        <f>$B$143</f>
        <v>Tarifa na ponta</v>
      </c>
      <c r="C152" s="397"/>
      <c r="D152" s="397"/>
      <c r="E152" s="217">
        <f>IF(D152&lt;C152,(D152-C152)*24+24,(D152-C152)*24)</f>
        <v>0</v>
      </c>
      <c r="F152" s="398"/>
      <c r="G152" s="399"/>
      <c r="H152" s="307"/>
      <c r="I152" s="88">
        <f>H152*E152*2</f>
        <v>0</v>
      </c>
      <c r="J152" s="1370">
        <f>H152*E152*G152*2</f>
        <v>0</v>
      </c>
      <c r="K152" s="1"/>
      <c r="L152" s="319"/>
      <c r="M152" s="319"/>
      <c r="N152" s="319"/>
      <c r="O152" s="319"/>
      <c r="P152" s="319"/>
      <c r="Q152" s="319"/>
      <c r="R152" s="319"/>
      <c r="S152" s="319"/>
      <c r="T152" s="319"/>
      <c r="U152" s="319"/>
      <c r="V152" s="319"/>
      <c r="W152" s="319">
        <v>110704</v>
      </c>
    </row>
    <row r="153" spans="1:23" ht="12.75" hidden="1" customHeight="1">
      <c r="A153" s="12"/>
      <c r="B153" s="15" t="str">
        <f>$B$144</f>
        <v>Tarifa fora ponta</v>
      </c>
      <c r="C153" s="15"/>
      <c r="D153" s="15"/>
      <c r="E153" s="218">
        <f>E151-E152</f>
        <v>24</v>
      </c>
      <c r="F153" s="15"/>
      <c r="G153" s="399"/>
      <c r="H153" s="307"/>
      <c r="I153" s="34">
        <f>H153*E153*2</f>
        <v>0</v>
      </c>
      <c r="J153" s="1383">
        <f>H153*E153*G153*2</f>
        <v>0</v>
      </c>
      <c r="K153" s="1"/>
      <c r="L153" s="319"/>
      <c r="M153" s="319"/>
      <c r="N153" s="319"/>
      <c r="O153" s="319"/>
      <c r="P153" s="319"/>
      <c r="Q153" s="319"/>
      <c r="R153" s="319"/>
      <c r="S153" s="319"/>
      <c r="T153" s="319"/>
      <c r="U153" s="319"/>
      <c r="V153" s="319"/>
      <c r="W153" s="319">
        <v>110704</v>
      </c>
    </row>
    <row r="154" spans="1:23" ht="12.75" hidden="1" customHeight="1">
      <c r="A154" s="12"/>
      <c r="B154" s="153" t="str">
        <f>Language!C822</f>
        <v>Estação 2</v>
      </c>
      <c r="C154" s="8"/>
      <c r="D154" s="8"/>
      <c r="E154" s="8"/>
      <c r="F154" s="8"/>
      <c r="G154" s="8"/>
      <c r="H154" s="9"/>
      <c r="I154" s="8"/>
      <c r="J154" s="1384">
        <f>12-J141</f>
        <v>6</v>
      </c>
      <c r="K154" s="1"/>
      <c r="L154" s="319"/>
      <c r="M154" s="319"/>
      <c r="N154" s="319"/>
      <c r="O154" s="319"/>
      <c r="P154" s="319"/>
      <c r="Q154" s="319"/>
      <c r="R154" s="319"/>
      <c r="S154" s="319"/>
      <c r="T154" s="319"/>
      <c r="U154" s="319"/>
      <c r="V154" s="319"/>
      <c r="W154" s="319">
        <v>110704</v>
      </c>
    </row>
    <row r="155" spans="1:23" ht="12.75" hidden="1" customHeight="1">
      <c r="A155" s="12"/>
      <c r="B155" s="153" t="str">
        <f>Language!C823</f>
        <v>Dias úteis - de dia</v>
      </c>
      <c r="C155" s="397"/>
      <c r="D155" s="397"/>
      <c r="E155" s="217">
        <f>(D155-C155)*24</f>
        <v>0</v>
      </c>
      <c r="F155" s="8"/>
      <c r="G155" s="8"/>
      <c r="H155" s="9"/>
      <c r="I155" s="8"/>
      <c r="J155" s="1370"/>
      <c r="K155" s="1"/>
      <c r="L155" s="319"/>
      <c r="M155" s="319"/>
      <c r="N155" s="319"/>
      <c r="O155" s="319"/>
      <c r="P155" s="319"/>
      <c r="Q155" s="319"/>
      <c r="R155" s="319"/>
      <c r="S155" s="319"/>
      <c r="T155" s="319"/>
      <c r="U155" s="319"/>
      <c r="V155" s="319"/>
      <c r="W155" s="319">
        <v>110704</v>
      </c>
    </row>
    <row r="156" spans="1:23" ht="12.75" hidden="1" customHeight="1">
      <c r="A156" s="12"/>
      <c r="B156" s="8" t="str">
        <f>$B$143</f>
        <v>Tarifa na ponta</v>
      </c>
      <c r="C156" s="397"/>
      <c r="D156" s="397"/>
      <c r="E156" s="217">
        <f>(D156-C156)*24</f>
        <v>0</v>
      </c>
      <c r="F156" s="398"/>
      <c r="G156" s="399"/>
      <c r="H156" s="307"/>
      <c r="I156" s="88">
        <f>H156*E156*5</f>
        <v>0</v>
      </c>
      <c r="J156" s="1370">
        <f>H156*E156*G156*5</f>
        <v>0</v>
      </c>
      <c r="K156" s="1"/>
      <c r="L156" s="319"/>
      <c r="M156" s="319"/>
      <c r="N156" s="319"/>
      <c r="O156" s="319"/>
      <c r="P156" s="319"/>
      <c r="Q156" s="319"/>
      <c r="R156" s="319"/>
      <c r="S156" s="319"/>
      <c r="T156" s="319"/>
      <c r="U156" s="319"/>
      <c r="V156" s="319"/>
      <c r="W156" s="319">
        <v>110704</v>
      </c>
    </row>
    <row r="157" spans="1:23" ht="12.75" hidden="1" customHeight="1">
      <c r="A157" s="12"/>
      <c r="B157" s="8" t="str">
        <f>$B$144</f>
        <v>Tarifa fora ponta</v>
      </c>
      <c r="C157" s="8"/>
      <c r="D157" s="8"/>
      <c r="E157" s="217">
        <f>E155-E156</f>
        <v>0</v>
      </c>
      <c r="F157" s="8"/>
      <c r="G157" s="399"/>
      <c r="H157" s="307"/>
      <c r="I157" s="88">
        <f>H157*E157*5</f>
        <v>0</v>
      </c>
      <c r="J157" s="1370">
        <f>H157*E157*G157*5</f>
        <v>0</v>
      </c>
      <c r="K157" s="1"/>
      <c r="L157" s="319"/>
      <c r="M157" s="319"/>
      <c r="N157" s="319"/>
      <c r="O157" s="319"/>
      <c r="P157" s="319"/>
      <c r="Q157" s="319"/>
      <c r="R157" s="319"/>
      <c r="S157" s="319"/>
      <c r="T157" s="319"/>
      <c r="U157" s="319"/>
      <c r="V157" s="319"/>
      <c r="W157" s="319">
        <v>110704</v>
      </c>
    </row>
    <row r="158" spans="1:23" ht="12.75" hidden="1" customHeight="1">
      <c r="A158" s="12"/>
      <c r="B158" s="153" t="str">
        <f>Language!C826</f>
        <v>Dias úteis - de noite</v>
      </c>
      <c r="C158" s="8"/>
      <c r="D158" s="8"/>
      <c r="E158" s="217">
        <f>24-E155</f>
        <v>24</v>
      </c>
      <c r="F158" s="8"/>
      <c r="G158" s="8"/>
      <c r="H158" s="9"/>
      <c r="I158" s="8"/>
      <c r="J158" s="1370"/>
      <c r="K158" s="1"/>
      <c r="L158" s="319"/>
      <c r="M158" s="319"/>
      <c r="N158" s="319"/>
      <c r="O158" s="319"/>
      <c r="P158" s="319"/>
      <c r="Q158" s="319"/>
      <c r="R158" s="319"/>
      <c r="S158" s="319"/>
      <c r="T158" s="319"/>
      <c r="U158" s="319"/>
      <c r="V158" s="319"/>
      <c r="W158" s="319">
        <v>110704</v>
      </c>
    </row>
    <row r="159" spans="1:23" ht="12.75" hidden="1" customHeight="1">
      <c r="A159" s="12"/>
      <c r="B159" s="8" t="str">
        <f>$B$143</f>
        <v>Tarifa na ponta</v>
      </c>
      <c r="C159" s="397"/>
      <c r="D159" s="397"/>
      <c r="E159" s="217">
        <f>IF(D159&lt;C159,(D159-C159)*24+24,(D159-C159)*24)</f>
        <v>0</v>
      </c>
      <c r="F159" s="398"/>
      <c r="G159" s="399"/>
      <c r="H159" s="307"/>
      <c r="I159" s="88">
        <f>H159*E159*5</f>
        <v>0</v>
      </c>
      <c r="J159" s="1370">
        <f>H159*E159*G159*5</f>
        <v>0</v>
      </c>
      <c r="K159" s="1"/>
      <c r="L159" s="319"/>
      <c r="M159" s="319"/>
      <c r="N159" s="319"/>
      <c r="O159" s="319"/>
      <c r="P159" s="319"/>
      <c r="Q159" s="319"/>
      <c r="R159" s="319"/>
      <c r="S159" s="319"/>
      <c r="T159" s="319"/>
      <c r="U159" s="319"/>
      <c r="V159" s="319"/>
      <c r="W159" s="319">
        <v>110704</v>
      </c>
    </row>
    <row r="160" spans="1:23" ht="12.75" hidden="1" customHeight="1">
      <c r="A160" s="12"/>
      <c r="B160" s="8" t="str">
        <f>$B$144</f>
        <v>Tarifa fora ponta</v>
      </c>
      <c r="C160" s="8"/>
      <c r="D160" s="8"/>
      <c r="E160" s="217">
        <f>E158-E159</f>
        <v>24</v>
      </c>
      <c r="F160" s="8"/>
      <c r="G160" s="399"/>
      <c r="H160" s="307"/>
      <c r="I160" s="88">
        <f>H160*E160*5</f>
        <v>0</v>
      </c>
      <c r="J160" s="1370">
        <f>H160*E160*G160*5</f>
        <v>0</v>
      </c>
      <c r="K160" s="1"/>
      <c r="L160" s="319"/>
      <c r="M160" s="319"/>
      <c r="N160" s="319"/>
      <c r="O160" s="319"/>
      <c r="P160" s="319"/>
      <c r="Q160" s="319"/>
      <c r="R160" s="319"/>
      <c r="S160" s="319"/>
      <c r="T160" s="319"/>
      <c r="U160" s="319"/>
      <c r="V160" s="319"/>
      <c r="W160" s="319">
        <v>110704</v>
      </c>
    </row>
    <row r="161" spans="1:23" ht="12.75" hidden="1" customHeight="1">
      <c r="A161" s="12"/>
      <c r="B161" s="153" t="str">
        <f>Language!C827</f>
        <v>Fins de semana - de dia</v>
      </c>
      <c r="C161" s="397"/>
      <c r="D161" s="397"/>
      <c r="E161" s="217">
        <f>(D161-C161)*24</f>
        <v>0</v>
      </c>
      <c r="F161" s="8"/>
      <c r="G161" s="8"/>
      <c r="H161" s="9"/>
      <c r="I161" s="8"/>
      <c r="J161" s="1370"/>
      <c r="K161" s="1"/>
      <c r="L161" s="319"/>
      <c r="M161" s="319"/>
      <c r="N161" s="319"/>
      <c r="O161" s="319"/>
      <c r="P161" s="319"/>
      <c r="Q161" s="319"/>
      <c r="R161" s="319"/>
      <c r="S161" s="319"/>
      <c r="T161" s="319"/>
      <c r="U161" s="319"/>
      <c r="V161" s="319"/>
      <c r="W161" s="319">
        <v>110704</v>
      </c>
    </row>
    <row r="162" spans="1:23" ht="12.75" hidden="1" customHeight="1">
      <c r="A162" s="12"/>
      <c r="B162" s="8" t="str">
        <f>$B$143</f>
        <v>Tarifa na ponta</v>
      </c>
      <c r="C162" s="397"/>
      <c r="D162" s="397"/>
      <c r="E162" s="217">
        <f>(D162-C162)*24</f>
        <v>0</v>
      </c>
      <c r="F162" s="398"/>
      <c r="G162" s="399"/>
      <c r="H162" s="307"/>
      <c r="I162" s="88">
        <f>H162*E162*2</f>
        <v>0</v>
      </c>
      <c r="J162" s="1370">
        <f>H162*E162*G162*2</f>
        <v>0</v>
      </c>
      <c r="K162" s="1"/>
      <c r="L162" s="319"/>
      <c r="M162" s="319"/>
      <c r="N162" s="319"/>
      <c r="O162" s="319"/>
      <c r="P162" s="319"/>
      <c r="Q162" s="319"/>
      <c r="R162" s="319"/>
      <c r="S162" s="319"/>
      <c r="T162" s="319"/>
      <c r="U162" s="319"/>
      <c r="V162" s="319"/>
      <c r="W162" s="319">
        <v>110704</v>
      </c>
    </row>
    <row r="163" spans="1:23" ht="12.75" hidden="1" customHeight="1">
      <c r="A163" s="12"/>
      <c r="B163" s="8" t="str">
        <f>$B$144</f>
        <v>Tarifa fora ponta</v>
      </c>
      <c r="C163" s="8"/>
      <c r="D163" s="8"/>
      <c r="E163" s="217">
        <f>E161-E162</f>
        <v>0</v>
      </c>
      <c r="F163" s="8"/>
      <c r="G163" s="399"/>
      <c r="H163" s="307"/>
      <c r="I163" s="88">
        <f>H163*E163*2</f>
        <v>0</v>
      </c>
      <c r="J163" s="1370">
        <f>H163*E163*G163*2</f>
        <v>0</v>
      </c>
      <c r="K163" s="1"/>
      <c r="L163" s="319"/>
      <c r="M163" s="319"/>
      <c r="N163" s="319"/>
      <c r="O163" s="319"/>
      <c r="P163" s="319"/>
      <c r="Q163" s="319"/>
      <c r="R163" s="319"/>
      <c r="S163" s="319"/>
      <c r="T163" s="319"/>
      <c r="U163" s="319"/>
      <c r="V163" s="319"/>
      <c r="W163" s="319">
        <v>110704</v>
      </c>
    </row>
    <row r="164" spans="1:23" ht="12.75" hidden="1" customHeight="1">
      <c r="A164" s="12"/>
      <c r="B164" s="153" t="str">
        <f>Language!C828</f>
        <v>Fins de semana - de noite</v>
      </c>
      <c r="C164" s="8"/>
      <c r="D164" s="8"/>
      <c r="E164" s="217">
        <f>24-E161</f>
        <v>24</v>
      </c>
      <c r="F164" s="8"/>
      <c r="G164" s="8"/>
      <c r="H164" s="9"/>
      <c r="I164" s="8"/>
      <c r="J164" s="1370"/>
      <c r="K164" s="1"/>
      <c r="L164" s="319"/>
      <c r="M164" s="319"/>
      <c r="N164" s="319"/>
      <c r="O164" s="319"/>
      <c r="P164" s="319"/>
      <c r="Q164" s="319"/>
      <c r="R164" s="319"/>
      <c r="S164" s="319"/>
      <c r="T164" s="319"/>
      <c r="U164" s="319"/>
      <c r="V164" s="319"/>
      <c r="W164" s="319">
        <v>110704</v>
      </c>
    </row>
    <row r="165" spans="1:23" ht="12.75" hidden="1" customHeight="1">
      <c r="A165" s="12"/>
      <c r="B165" s="8" t="str">
        <f>$B$143</f>
        <v>Tarifa na ponta</v>
      </c>
      <c r="C165" s="397"/>
      <c r="D165" s="397"/>
      <c r="E165" s="217">
        <f>IF(D165&lt;C165,(D165-C165)*24+24,(D165-C165)*24)</f>
        <v>0</v>
      </c>
      <c r="F165" s="398"/>
      <c r="G165" s="399"/>
      <c r="H165" s="307"/>
      <c r="I165" s="88">
        <f>H165*E165*2</f>
        <v>0</v>
      </c>
      <c r="J165" s="1370">
        <f>H165*E165*G165*2</f>
        <v>0</v>
      </c>
      <c r="K165" s="1"/>
      <c r="L165" s="319"/>
      <c r="M165" s="319"/>
      <c r="N165" s="319"/>
      <c r="O165" s="319"/>
      <c r="P165" s="319"/>
      <c r="Q165" s="319"/>
      <c r="R165" s="319"/>
      <c r="S165" s="319"/>
      <c r="T165" s="319"/>
      <c r="U165" s="319"/>
      <c r="V165" s="319"/>
      <c r="W165" s="319">
        <v>110704</v>
      </c>
    </row>
    <row r="166" spans="1:23" ht="12.75" hidden="1" customHeight="1">
      <c r="A166" s="12"/>
      <c r="B166" s="15" t="str">
        <f>$B$144</f>
        <v>Tarifa fora ponta</v>
      </c>
      <c r="C166" s="15"/>
      <c r="D166" s="15"/>
      <c r="E166" s="218">
        <f>E164-E165</f>
        <v>24</v>
      </c>
      <c r="F166" s="15"/>
      <c r="G166" s="399"/>
      <c r="H166" s="307"/>
      <c r="I166" s="34">
        <f>H166*E166*2</f>
        <v>0</v>
      </c>
      <c r="J166" s="1383">
        <f>H166*E166*G166*2</f>
        <v>0</v>
      </c>
      <c r="K166" s="1"/>
      <c r="L166" s="319"/>
      <c r="M166" s="319"/>
      <c r="N166" s="319"/>
      <c r="O166" s="319"/>
      <c r="P166" s="319"/>
      <c r="Q166" s="319"/>
      <c r="R166" s="319"/>
      <c r="S166" s="319"/>
      <c r="T166" s="319"/>
      <c r="U166" s="319"/>
      <c r="V166" s="319"/>
      <c r="W166" s="319">
        <v>110704</v>
      </c>
    </row>
    <row r="167" spans="1:23" ht="12.75" hidden="1" customHeight="1">
      <c r="A167" s="12"/>
      <c r="B167" s="8" t="str">
        <f>Language!C829</f>
        <v>Tarifa fixa - mensal</v>
      </c>
      <c r="C167" s="8"/>
      <c r="D167" s="1387"/>
      <c r="E167" s="8"/>
      <c r="F167" s="8"/>
      <c r="G167" s="8"/>
      <c r="H167" s="8"/>
      <c r="I167" s="8"/>
      <c r="J167" s="9"/>
      <c r="K167" s="1"/>
      <c r="L167" s="319"/>
      <c r="M167" s="319"/>
      <c r="N167" s="319"/>
      <c r="O167" s="319"/>
      <c r="P167" s="319"/>
      <c r="Q167" s="319"/>
      <c r="R167" s="319"/>
      <c r="S167" s="319"/>
      <c r="T167" s="319"/>
      <c r="U167" s="319"/>
      <c r="V167" s="319"/>
      <c r="W167" s="319">
        <v>110724</v>
      </c>
    </row>
    <row r="168" spans="1:23" ht="12.75" hidden="1" customHeight="1">
      <c r="A168" s="12"/>
      <c r="B168" s="1334" t="str">
        <f>Language!C385</f>
        <v>Carga de ponta sist. elétrico acima da média mensal máxima</v>
      </c>
      <c r="C168" s="1335"/>
      <c r="D168" s="159"/>
      <c r="E168" s="8"/>
      <c r="F168" s="8"/>
      <c r="G168" s="8"/>
      <c r="H168" s="8"/>
      <c r="I168" s="8"/>
      <c r="J168" s="9"/>
      <c r="K168" s="1"/>
      <c r="L168" s="319"/>
      <c r="M168" s="319"/>
      <c r="N168" s="319"/>
      <c r="O168" s="319"/>
      <c r="P168" s="319"/>
      <c r="Q168" s="319"/>
      <c r="R168" s="319"/>
      <c r="S168" s="319"/>
      <c r="T168" s="319"/>
      <c r="U168" s="319"/>
      <c r="V168" s="319"/>
      <c r="W168" s="319">
        <v>110726</v>
      </c>
    </row>
    <row r="169" spans="1:23" ht="12.75" hidden="1" customHeight="1">
      <c r="A169" s="12"/>
      <c r="B169" s="8"/>
      <c r="C169" s="21"/>
      <c r="D169" s="88"/>
      <c r="E169" s="8"/>
      <c r="F169" s="8"/>
      <c r="G169" s="8"/>
      <c r="H169" s="8"/>
      <c r="I169" s="8"/>
      <c r="J169" s="9"/>
      <c r="K169" s="1"/>
      <c r="L169" s="319"/>
      <c r="M169" s="319"/>
      <c r="N169" s="319"/>
      <c r="O169" s="319"/>
      <c r="P169" s="319"/>
      <c r="Q169" s="319"/>
      <c r="R169" s="319"/>
      <c r="S169" s="319"/>
      <c r="T169" s="319"/>
      <c r="U169" s="319"/>
      <c r="V169" s="319"/>
      <c r="W169" s="319">
        <v>110700</v>
      </c>
    </row>
    <row r="170" spans="1:23" ht="12.75" hidden="1" customHeight="1">
      <c r="A170" s="12"/>
      <c r="B170" s="196" t="str">
        <f>B242</f>
        <v>Preço da eletricidade</v>
      </c>
      <c r="C170" s="196" t="str">
        <f>Language!C2429</f>
        <v>Segunda Feira</v>
      </c>
      <c r="D170" s="196" t="str">
        <f>Language!$C2502</f>
        <v>Terça feira</v>
      </c>
      <c r="E170" s="196" t="str">
        <f>Language!$C2519</f>
        <v>Quarta feira</v>
      </c>
      <c r="F170" s="196" t="str">
        <f>Language!$C2500</f>
        <v>Quinta feira</v>
      </c>
      <c r="G170" s="196" t="str">
        <f>Language!$C2379</f>
        <v>Sexta feira</v>
      </c>
      <c r="H170" s="196" t="str">
        <f>Language!$C2468</f>
        <v>Sábado</v>
      </c>
      <c r="I170" s="196" t="str">
        <f>Language!$C2492</f>
        <v>Domingo</v>
      </c>
      <c r="J170" s="9"/>
      <c r="K170" s="1"/>
      <c r="L170" s="319"/>
      <c r="M170" s="319"/>
      <c r="N170" s="319"/>
      <c r="O170" s="319"/>
      <c r="P170" s="319"/>
      <c r="Q170" s="319"/>
      <c r="R170" s="319"/>
      <c r="S170" s="319"/>
      <c r="T170" s="319"/>
      <c r="U170" s="319"/>
      <c r="V170" s="319"/>
      <c r="W170" s="319">
        <v>110736</v>
      </c>
    </row>
    <row r="171" spans="1:23" ht="12.75" hidden="1" customHeight="1">
      <c r="A171" s="12"/>
      <c r="B171" s="228" t="str">
        <f>Language!C2573</f>
        <v>Hora</v>
      </c>
      <c r="C171" s="45" t="str">
        <f t="shared" ref="C171:I171" si="16">$C$242</f>
        <v>€/kWh</v>
      </c>
      <c r="D171" s="45" t="str">
        <f t="shared" si="16"/>
        <v>€/kWh</v>
      </c>
      <c r="E171" s="45" t="str">
        <f t="shared" si="16"/>
        <v>€/kWh</v>
      </c>
      <c r="F171" s="45" t="str">
        <f t="shared" si="16"/>
        <v>€/kWh</v>
      </c>
      <c r="G171" s="45" t="str">
        <f t="shared" si="16"/>
        <v>€/kWh</v>
      </c>
      <c r="H171" s="45" t="str">
        <f t="shared" si="16"/>
        <v>€/kWh</v>
      </c>
      <c r="I171" s="45" t="str">
        <f t="shared" si="16"/>
        <v>€/kWh</v>
      </c>
      <c r="J171" s="9"/>
      <c r="K171" s="1"/>
      <c r="L171" s="319"/>
      <c r="M171" s="319"/>
      <c r="N171" s="319"/>
      <c r="O171" s="319"/>
      <c r="P171" s="319"/>
      <c r="Q171" s="319"/>
      <c r="R171" s="319"/>
      <c r="S171" s="319"/>
      <c r="T171" s="319"/>
      <c r="U171" s="319"/>
      <c r="V171" s="319"/>
      <c r="W171" s="319">
        <v>110736</v>
      </c>
    </row>
    <row r="172" spans="1:23" ht="12.75" hidden="1" customHeight="1">
      <c r="A172" s="12"/>
      <c r="B172" s="385">
        <v>1</v>
      </c>
      <c r="C172" s="400">
        <v>0.1</v>
      </c>
      <c r="D172" s="400"/>
      <c r="E172" s="400"/>
      <c r="F172" s="400"/>
      <c r="G172" s="400"/>
      <c r="H172" s="400"/>
      <c r="I172" s="400"/>
      <c r="J172" s="9"/>
      <c r="K172" s="1"/>
      <c r="L172" s="319"/>
      <c r="M172" s="319"/>
      <c r="N172" s="319"/>
      <c r="O172" s="319"/>
      <c r="P172" s="319"/>
      <c r="Q172" s="319"/>
      <c r="R172" s="319"/>
      <c r="S172" s="319"/>
      <c r="T172" s="319"/>
      <c r="U172" s="319"/>
      <c r="V172" s="319"/>
      <c r="W172" s="319">
        <v>110738</v>
      </c>
    </row>
    <row r="173" spans="1:23" ht="12.75" hidden="1" customHeight="1">
      <c r="A173" s="12"/>
      <c r="B173" s="385">
        <v>2</v>
      </c>
      <c r="C173" s="400"/>
      <c r="D173" s="400"/>
      <c r="E173" s="400"/>
      <c r="F173" s="400"/>
      <c r="G173" s="400"/>
      <c r="H173" s="400"/>
      <c r="I173" s="400"/>
      <c r="J173" s="9"/>
      <c r="K173" s="1"/>
      <c r="L173" s="319"/>
      <c r="M173" s="319"/>
      <c r="N173" s="319"/>
      <c r="O173" s="319"/>
      <c r="P173" s="319"/>
      <c r="Q173" s="319"/>
      <c r="R173" s="319"/>
      <c r="S173" s="319"/>
      <c r="T173" s="319"/>
      <c r="U173" s="319"/>
      <c r="V173" s="319"/>
      <c r="W173" s="319">
        <v>110738</v>
      </c>
    </row>
    <row r="174" spans="1:23" ht="12.75" hidden="1" customHeight="1">
      <c r="A174" s="12"/>
      <c r="B174" s="385">
        <v>3</v>
      </c>
      <c r="C174" s="400"/>
      <c r="D174" s="400"/>
      <c r="E174" s="400"/>
      <c r="F174" s="400"/>
      <c r="G174" s="400"/>
      <c r="H174" s="400"/>
      <c r="I174" s="400"/>
      <c r="J174" s="9"/>
      <c r="K174" s="1"/>
      <c r="L174" s="319"/>
      <c r="M174" s="319"/>
      <c r="N174" s="319"/>
      <c r="O174" s="319"/>
      <c r="P174" s="319"/>
      <c r="Q174" s="319"/>
      <c r="R174" s="319"/>
      <c r="S174" s="319"/>
      <c r="T174" s="319"/>
      <c r="U174" s="319"/>
      <c r="V174" s="319"/>
      <c r="W174" s="319">
        <v>110738</v>
      </c>
    </row>
    <row r="175" spans="1:23" ht="12.75" hidden="1" customHeight="1">
      <c r="A175" s="12"/>
      <c r="B175" s="385">
        <v>4</v>
      </c>
      <c r="C175" s="400"/>
      <c r="D175" s="400"/>
      <c r="E175" s="400"/>
      <c r="F175" s="400"/>
      <c r="G175" s="400"/>
      <c r="H175" s="400"/>
      <c r="I175" s="400"/>
      <c r="J175" s="9"/>
      <c r="K175" s="1"/>
      <c r="L175" s="319"/>
      <c r="M175" s="319"/>
      <c r="N175" s="319"/>
      <c r="O175" s="319"/>
      <c r="P175" s="319"/>
      <c r="Q175" s="319"/>
      <c r="R175" s="319"/>
      <c r="S175" s="319"/>
      <c r="T175" s="319"/>
      <c r="U175" s="319"/>
      <c r="V175" s="319"/>
      <c r="W175" s="319">
        <v>110738</v>
      </c>
    </row>
    <row r="176" spans="1:23" ht="12.75" hidden="1" customHeight="1">
      <c r="A176" s="12"/>
      <c r="B176" s="385">
        <v>5</v>
      </c>
      <c r="C176" s="400"/>
      <c r="D176" s="400"/>
      <c r="E176" s="400"/>
      <c r="F176" s="400"/>
      <c r="G176" s="400"/>
      <c r="H176" s="400"/>
      <c r="I176" s="400"/>
      <c r="J176" s="9"/>
      <c r="K176" s="1"/>
      <c r="L176" s="319"/>
      <c r="M176" s="319"/>
      <c r="N176" s="319"/>
      <c r="O176" s="319"/>
      <c r="P176" s="319"/>
      <c r="Q176" s="319"/>
      <c r="R176" s="319"/>
      <c r="S176" s="319"/>
      <c r="T176" s="319"/>
      <c r="U176" s="319"/>
      <c r="V176" s="319"/>
      <c r="W176" s="319">
        <v>110738</v>
      </c>
    </row>
    <row r="177" spans="1:23" ht="12.75" hidden="1" customHeight="1">
      <c r="A177" s="12"/>
      <c r="B177" s="385">
        <v>6</v>
      </c>
      <c r="C177" s="400"/>
      <c r="D177" s="400"/>
      <c r="E177" s="400"/>
      <c r="F177" s="400"/>
      <c r="G177" s="400"/>
      <c r="H177" s="400"/>
      <c r="I177" s="400"/>
      <c r="J177" s="9"/>
      <c r="K177" s="1"/>
      <c r="L177" s="319"/>
      <c r="M177" s="319"/>
      <c r="N177" s="319"/>
      <c r="O177" s="319"/>
      <c r="P177" s="319"/>
      <c r="Q177" s="319"/>
      <c r="R177" s="319"/>
      <c r="S177" s="319"/>
      <c r="T177" s="319"/>
      <c r="U177" s="319"/>
      <c r="V177" s="319"/>
      <c r="W177" s="319">
        <v>110738</v>
      </c>
    </row>
    <row r="178" spans="1:23" ht="12.75" hidden="1" customHeight="1">
      <c r="A178" s="12"/>
      <c r="B178" s="385">
        <v>7</v>
      </c>
      <c r="C178" s="400"/>
      <c r="D178" s="400"/>
      <c r="E178" s="400"/>
      <c r="F178" s="400"/>
      <c r="G178" s="400"/>
      <c r="H178" s="400"/>
      <c r="I178" s="400"/>
      <c r="J178" s="9"/>
      <c r="K178" s="1"/>
      <c r="L178" s="319"/>
      <c r="M178" s="319"/>
      <c r="N178" s="319"/>
      <c r="O178" s="319"/>
      <c r="P178" s="319"/>
      <c r="Q178" s="319"/>
      <c r="R178" s="319"/>
      <c r="S178" s="319"/>
      <c r="T178" s="319"/>
      <c r="U178" s="319"/>
      <c r="V178" s="319"/>
      <c r="W178" s="319">
        <v>110738</v>
      </c>
    </row>
    <row r="179" spans="1:23" ht="12.75" hidden="1" customHeight="1">
      <c r="A179" s="12"/>
      <c r="B179" s="385">
        <v>8</v>
      </c>
      <c r="C179" s="400"/>
      <c r="D179" s="400"/>
      <c r="E179" s="400"/>
      <c r="F179" s="400"/>
      <c r="G179" s="400"/>
      <c r="H179" s="400"/>
      <c r="I179" s="400"/>
      <c r="J179" s="9"/>
      <c r="K179" s="1"/>
      <c r="L179" s="319"/>
      <c r="M179" s="319"/>
      <c r="N179" s="319"/>
      <c r="O179" s="319"/>
      <c r="P179" s="319"/>
      <c r="Q179" s="319"/>
      <c r="R179" s="319"/>
      <c r="S179" s="319"/>
      <c r="T179" s="319"/>
      <c r="U179" s="319"/>
      <c r="V179" s="319"/>
      <c r="W179" s="319">
        <v>110738</v>
      </c>
    </row>
    <row r="180" spans="1:23" ht="12.75" hidden="1" customHeight="1">
      <c r="A180" s="12"/>
      <c r="B180" s="385">
        <v>9</v>
      </c>
      <c r="C180" s="400"/>
      <c r="D180" s="400"/>
      <c r="E180" s="400"/>
      <c r="F180" s="400"/>
      <c r="G180" s="400"/>
      <c r="H180" s="400"/>
      <c r="I180" s="400"/>
      <c r="J180" s="9"/>
      <c r="K180" s="1"/>
      <c r="L180" s="319"/>
      <c r="M180" s="319"/>
      <c r="N180" s="319"/>
      <c r="O180" s="319"/>
      <c r="P180" s="319"/>
      <c r="Q180" s="319"/>
      <c r="R180" s="319"/>
      <c r="S180" s="319"/>
      <c r="T180" s="319"/>
      <c r="U180" s="319"/>
      <c r="V180" s="319"/>
      <c r="W180" s="319">
        <v>110738</v>
      </c>
    </row>
    <row r="181" spans="1:23" ht="12.75" hidden="1" customHeight="1">
      <c r="A181" s="12"/>
      <c r="B181" s="385">
        <v>10</v>
      </c>
      <c r="C181" s="400"/>
      <c r="D181" s="400"/>
      <c r="E181" s="400"/>
      <c r="F181" s="400"/>
      <c r="G181" s="400"/>
      <c r="H181" s="400"/>
      <c r="I181" s="400"/>
      <c r="J181" s="9"/>
      <c r="K181" s="1"/>
      <c r="L181" s="319"/>
      <c r="M181" s="319"/>
      <c r="N181" s="319"/>
      <c r="O181" s="319"/>
      <c r="P181" s="319"/>
      <c r="Q181" s="319"/>
      <c r="R181" s="319"/>
      <c r="S181" s="319"/>
      <c r="T181" s="319"/>
      <c r="U181" s="319"/>
      <c r="V181" s="319"/>
      <c r="W181" s="319">
        <v>110738</v>
      </c>
    </row>
    <row r="182" spans="1:23" ht="12.75" hidden="1" customHeight="1">
      <c r="A182" s="12"/>
      <c r="B182" s="385">
        <v>11</v>
      </c>
      <c r="C182" s="400"/>
      <c r="D182" s="400"/>
      <c r="E182" s="400"/>
      <c r="F182" s="400"/>
      <c r="G182" s="400"/>
      <c r="H182" s="400"/>
      <c r="I182" s="400"/>
      <c r="J182" s="9"/>
      <c r="K182" s="1"/>
      <c r="L182" s="319"/>
      <c r="M182" s="319"/>
      <c r="N182" s="319"/>
      <c r="O182" s="319"/>
      <c r="P182" s="319"/>
      <c r="Q182" s="319"/>
      <c r="R182" s="319"/>
      <c r="S182" s="319"/>
      <c r="T182" s="319"/>
      <c r="U182" s="319"/>
      <c r="V182" s="319"/>
      <c r="W182" s="319">
        <v>110738</v>
      </c>
    </row>
    <row r="183" spans="1:23" ht="12.75" hidden="1" customHeight="1">
      <c r="A183" s="12"/>
      <c r="B183" s="385">
        <v>12</v>
      </c>
      <c r="C183" s="400"/>
      <c r="D183" s="400"/>
      <c r="E183" s="400"/>
      <c r="F183" s="400"/>
      <c r="G183" s="400"/>
      <c r="H183" s="400"/>
      <c r="I183" s="400"/>
      <c r="J183" s="9"/>
      <c r="K183" s="1"/>
      <c r="L183" s="319"/>
      <c r="M183" s="319"/>
      <c r="N183" s="319"/>
      <c r="O183" s="319"/>
      <c r="P183" s="319"/>
      <c r="Q183" s="319"/>
      <c r="R183" s="319"/>
      <c r="S183" s="319"/>
      <c r="T183" s="319"/>
      <c r="U183" s="319"/>
      <c r="V183" s="319"/>
      <c r="W183" s="319">
        <v>110738</v>
      </c>
    </row>
    <row r="184" spans="1:23" ht="12.75" hidden="1" customHeight="1">
      <c r="A184" s="12"/>
      <c r="B184" s="385">
        <v>13</v>
      </c>
      <c r="C184" s="400"/>
      <c r="D184" s="400"/>
      <c r="E184" s="400"/>
      <c r="F184" s="400"/>
      <c r="G184" s="400"/>
      <c r="H184" s="400"/>
      <c r="I184" s="400"/>
      <c r="J184" s="9"/>
      <c r="K184" s="1"/>
      <c r="L184" s="319"/>
      <c r="M184" s="319"/>
      <c r="N184" s="319"/>
      <c r="O184" s="319"/>
      <c r="P184" s="319"/>
      <c r="Q184" s="319"/>
      <c r="R184" s="319"/>
      <c r="S184" s="319"/>
      <c r="T184" s="319"/>
      <c r="U184" s="319"/>
      <c r="V184" s="319"/>
      <c r="W184" s="319">
        <v>110738</v>
      </c>
    </row>
    <row r="185" spans="1:23" ht="12.75" hidden="1" customHeight="1">
      <c r="A185" s="12"/>
      <c r="B185" s="385">
        <v>14</v>
      </c>
      <c r="C185" s="400"/>
      <c r="D185" s="400"/>
      <c r="E185" s="400"/>
      <c r="F185" s="400"/>
      <c r="G185" s="400"/>
      <c r="H185" s="400"/>
      <c r="I185" s="400"/>
      <c r="J185" s="9"/>
      <c r="K185" s="1"/>
      <c r="L185" s="319"/>
      <c r="M185" s="319"/>
      <c r="N185" s="319"/>
      <c r="O185" s="319"/>
      <c r="P185" s="319"/>
      <c r="Q185" s="319"/>
      <c r="R185" s="319"/>
      <c r="S185" s="319"/>
      <c r="T185" s="319"/>
      <c r="U185" s="319"/>
      <c r="V185" s="319"/>
      <c r="W185" s="319">
        <v>110738</v>
      </c>
    </row>
    <row r="186" spans="1:23" ht="12.75" hidden="1" customHeight="1">
      <c r="A186" s="12"/>
      <c r="B186" s="385">
        <v>15</v>
      </c>
      <c r="C186" s="400"/>
      <c r="D186" s="400"/>
      <c r="E186" s="400"/>
      <c r="F186" s="400"/>
      <c r="G186" s="400"/>
      <c r="H186" s="400"/>
      <c r="I186" s="400"/>
      <c r="J186" s="9"/>
      <c r="K186" s="1"/>
      <c r="L186" s="319"/>
      <c r="M186" s="319"/>
      <c r="N186" s="319"/>
      <c r="O186" s="319"/>
      <c r="P186" s="319"/>
      <c r="Q186" s="319"/>
      <c r="R186" s="319"/>
      <c r="S186" s="319"/>
      <c r="T186" s="319"/>
      <c r="U186" s="319"/>
      <c r="V186" s="319"/>
      <c r="W186" s="319">
        <v>110738</v>
      </c>
    </row>
    <row r="187" spans="1:23" ht="12.75" hidden="1" customHeight="1">
      <c r="A187" s="12"/>
      <c r="B187" s="385">
        <v>16</v>
      </c>
      <c r="C187" s="400"/>
      <c r="D187" s="400"/>
      <c r="E187" s="400"/>
      <c r="F187" s="400"/>
      <c r="G187" s="400"/>
      <c r="H187" s="400"/>
      <c r="I187" s="400"/>
      <c r="J187" s="9"/>
      <c r="K187" s="1"/>
      <c r="L187" s="319"/>
      <c r="M187" s="319"/>
      <c r="N187" s="319"/>
      <c r="O187" s="319"/>
      <c r="P187" s="319"/>
      <c r="Q187" s="319"/>
      <c r="R187" s="319"/>
      <c r="S187" s="319"/>
      <c r="T187" s="319"/>
      <c r="U187" s="319"/>
      <c r="V187" s="319"/>
      <c r="W187" s="319">
        <v>110738</v>
      </c>
    </row>
    <row r="188" spans="1:23" ht="12.75" hidden="1" customHeight="1">
      <c r="A188" s="12"/>
      <c r="B188" s="385">
        <v>17</v>
      </c>
      <c r="C188" s="400"/>
      <c r="D188" s="400"/>
      <c r="E188" s="400"/>
      <c r="F188" s="400"/>
      <c r="G188" s="400"/>
      <c r="H188" s="400"/>
      <c r="I188" s="400"/>
      <c r="J188" s="9"/>
      <c r="K188" s="1"/>
      <c r="L188" s="319"/>
      <c r="M188" s="319"/>
      <c r="N188" s="319"/>
      <c r="O188" s="319"/>
      <c r="P188" s="319"/>
      <c r="Q188" s="319"/>
      <c r="R188" s="319"/>
      <c r="S188" s="319"/>
      <c r="T188" s="319"/>
      <c r="U188" s="319"/>
      <c r="V188" s="319"/>
      <c r="W188" s="319">
        <v>110738</v>
      </c>
    </row>
    <row r="189" spans="1:23" ht="12.75" hidden="1" customHeight="1">
      <c r="A189" s="12"/>
      <c r="B189" s="385">
        <v>18</v>
      </c>
      <c r="C189" s="400"/>
      <c r="D189" s="400"/>
      <c r="E189" s="400"/>
      <c r="F189" s="400"/>
      <c r="G189" s="400"/>
      <c r="H189" s="400"/>
      <c r="I189" s="400"/>
      <c r="J189" s="9"/>
      <c r="K189" s="1"/>
      <c r="L189" s="319"/>
      <c r="M189" s="319"/>
      <c r="N189" s="319"/>
      <c r="O189" s="319"/>
      <c r="P189" s="319"/>
      <c r="Q189" s="319"/>
      <c r="R189" s="319"/>
      <c r="S189" s="319"/>
      <c r="T189" s="319"/>
      <c r="U189" s="319"/>
      <c r="V189" s="319"/>
      <c r="W189" s="319">
        <v>110738</v>
      </c>
    </row>
    <row r="190" spans="1:23" ht="12.75" hidden="1" customHeight="1">
      <c r="A190" s="12"/>
      <c r="B190" s="385">
        <v>19</v>
      </c>
      <c r="C190" s="400"/>
      <c r="D190" s="400"/>
      <c r="E190" s="400"/>
      <c r="F190" s="400"/>
      <c r="G190" s="400"/>
      <c r="H190" s="400"/>
      <c r="I190" s="400"/>
      <c r="J190" s="9"/>
      <c r="K190" s="1"/>
      <c r="L190" s="319"/>
      <c r="M190" s="319"/>
      <c r="N190" s="319"/>
      <c r="O190" s="319"/>
      <c r="P190" s="319"/>
      <c r="Q190" s="319"/>
      <c r="R190" s="319"/>
      <c r="S190" s="319"/>
      <c r="T190" s="319"/>
      <c r="U190" s="319"/>
      <c r="V190" s="319"/>
      <c r="W190" s="319">
        <v>110738</v>
      </c>
    </row>
    <row r="191" spans="1:23" ht="12.75" hidden="1" customHeight="1">
      <c r="A191" s="12"/>
      <c r="B191" s="385">
        <v>20</v>
      </c>
      <c r="C191" s="400"/>
      <c r="D191" s="400"/>
      <c r="E191" s="400"/>
      <c r="F191" s="400"/>
      <c r="G191" s="400"/>
      <c r="H191" s="400"/>
      <c r="I191" s="400"/>
      <c r="J191" s="9"/>
      <c r="K191" s="1"/>
      <c r="L191" s="319"/>
      <c r="M191" s="319"/>
      <c r="N191" s="319"/>
      <c r="O191" s="319"/>
      <c r="P191" s="319"/>
      <c r="Q191" s="319"/>
      <c r="R191" s="319"/>
      <c r="S191" s="319"/>
      <c r="T191" s="319"/>
      <c r="U191" s="319"/>
      <c r="V191" s="319"/>
      <c r="W191" s="319">
        <v>110738</v>
      </c>
    </row>
    <row r="192" spans="1:23" ht="12.75" hidden="1" customHeight="1">
      <c r="A192" s="12"/>
      <c r="B192" s="385">
        <v>21</v>
      </c>
      <c r="C192" s="400"/>
      <c r="D192" s="400"/>
      <c r="E192" s="400"/>
      <c r="F192" s="400"/>
      <c r="G192" s="400"/>
      <c r="H192" s="400"/>
      <c r="I192" s="400"/>
      <c r="J192" s="9"/>
      <c r="K192" s="1"/>
      <c r="L192" s="319"/>
      <c r="M192" s="319"/>
      <c r="N192" s="319"/>
      <c r="O192" s="319"/>
      <c r="P192" s="319"/>
      <c r="Q192" s="319"/>
      <c r="R192" s="319"/>
      <c r="S192" s="319"/>
      <c r="T192" s="319"/>
      <c r="U192" s="319"/>
      <c r="V192" s="319"/>
      <c r="W192" s="319">
        <v>110738</v>
      </c>
    </row>
    <row r="193" spans="1:23" ht="12.75" hidden="1" customHeight="1">
      <c r="A193" s="12"/>
      <c r="B193" s="385">
        <v>22</v>
      </c>
      <c r="C193" s="400"/>
      <c r="D193" s="400"/>
      <c r="E193" s="400"/>
      <c r="F193" s="400"/>
      <c r="G193" s="400"/>
      <c r="H193" s="400"/>
      <c r="I193" s="400"/>
      <c r="J193" s="9"/>
      <c r="K193" s="1"/>
      <c r="L193" s="319"/>
      <c r="M193" s="319"/>
      <c r="N193" s="319"/>
      <c r="O193" s="319"/>
      <c r="P193" s="319"/>
      <c r="Q193" s="319"/>
      <c r="R193" s="319"/>
      <c r="S193" s="319"/>
      <c r="T193" s="319"/>
      <c r="U193" s="319"/>
      <c r="V193" s="319"/>
      <c r="W193" s="319">
        <v>110738</v>
      </c>
    </row>
    <row r="194" spans="1:23" ht="12.75" hidden="1" customHeight="1">
      <c r="A194" s="12"/>
      <c r="B194" s="385">
        <v>23</v>
      </c>
      <c r="C194" s="400"/>
      <c r="D194" s="400"/>
      <c r="E194" s="400"/>
      <c r="F194" s="400"/>
      <c r="G194" s="400"/>
      <c r="H194" s="400"/>
      <c r="I194" s="400"/>
      <c r="J194" s="9"/>
      <c r="K194" s="1"/>
      <c r="L194" s="319"/>
      <c r="M194" s="319"/>
      <c r="N194" s="319"/>
      <c r="O194" s="319"/>
      <c r="P194" s="319"/>
      <c r="Q194" s="319"/>
      <c r="R194" s="319"/>
      <c r="S194" s="319"/>
      <c r="T194" s="319"/>
      <c r="U194" s="319"/>
      <c r="V194" s="319"/>
      <c r="W194" s="319">
        <v>110738</v>
      </c>
    </row>
    <row r="195" spans="1:23" ht="12.75" hidden="1" customHeight="1">
      <c r="A195" s="12"/>
      <c r="B195" s="385">
        <v>24</v>
      </c>
      <c r="C195" s="400"/>
      <c r="D195" s="400"/>
      <c r="E195" s="400"/>
      <c r="F195" s="400"/>
      <c r="G195" s="400"/>
      <c r="H195" s="400"/>
      <c r="I195" s="400"/>
      <c r="J195" s="9"/>
      <c r="K195" s="1"/>
      <c r="L195" s="319"/>
      <c r="M195" s="319"/>
      <c r="N195" s="319"/>
      <c r="O195" s="319"/>
      <c r="P195" s="319"/>
      <c r="Q195" s="319"/>
      <c r="R195" s="319"/>
      <c r="S195" s="319"/>
      <c r="T195" s="319"/>
      <c r="U195" s="319"/>
      <c r="V195" s="319"/>
      <c r="W195" s="319">
        <v>110738</v>
      </c>
    </row>
    <row r="196" spans="1:23" ht="12.75" hidden="1" customHeight="1">
      <c r="A196" s="12"/>
      <c r="B196" s="8"/>
      <c r="C196" s="21"/>
      <c r="D196" s="88"/>
      <c r="E196" s="8"/>
      <c r="F196" s="8"/>
      <c r="G196" s="8"/>
      <c r="H196" s="8"/>
      <c r="I196" s="8"/>
      <c r="J196" s="9"/>
      <c r="K196" s="1"/>
      <c r="L196" s="319"/>
      <c r="M196" s="319"/>
      <c r="N196" s="319"/>
      <c r="O196" s="319"/>
      <c r="P196" s="319"/>
      <c r="Q196" s="319"/>
      <c r="R196" s="319"/>
      <c r="S196" s="319"/>
      <c r="T196" s="319"/>
      <c r="U196" s="319"/>
      <c r="V196" s="319"/>
      <c r="W196" s="319">
        <v>110736</v>
      </c>
    </row>
    <row r="197" spans="1:23" ht="12.75" hidden="1" customHeight="1">
      <c r="A197" s="12"/>
      <c r="B197" s="196" t="str">
        <f>B241</f>
        <v>Demanda de eletricidade</v>
      </c>
      <c r="C197" s="196" t="str">
        <f t="shared" ref="C197:I197" si="17">C170</f>
        <v>Segunda Feira</v>
      </c>
      <c r="D197" s="196" t="str">
        <f t="shared" si="17"/>
        <v>Terça feira</v>
      </c>
      <c r="E197" s="196" t="str">
        <f t="shared" si="17"/>
        <v>Quarta feira</v>
      </c>
      <c r="F197" s="196" t="str">
        <f t="shared" si="17"/>
        <v>Quinta feira</v>
      </c>
      <c r="G197" s="196" t="str">
        <f t="shared" si="17"/>
        <v>Sexta feira</v>
      </c>
      <c r="H197" s="196" t="str">
        <f t="shared" si="17"/>
        <v>Sábado</v>
      </c>
      <c r="I197" s="196" t="str">
        <f t="shared" si="17"/>
        <v>Domingo</v>
      </c>
      <c r="J197" s="9"/>
      <c r="K197" s="1"/>
      <c r="L197" s="319"/>
      <c r="M197" s="319"/>
      <c r="N197" s="319"/>
      <c r="O197" s="319"/>
      <c r="P197" s="319"/>
      <c r="Q197" s="319"/>
      <c r="R197" s="319"/>
      <c r="S197" s="319"/>
      <c r="T197" s="319"/>
      <c r="U197" s="319"/>
      <c r="V197" s="319"/>
      <c r="W197" s="319">
        <v>110736</v>
      </c>
    </row>
    <row r="198" spans="1:23" ht="12.75" hidden="1" customHeight="1">
      <c r="A198" s="12"/>
      <c r="B198" s="389" t="str">
        <f>B171</f>
        <v>Hora</v>
      </c>
      <c r="C198" s="196" t="str">
        <f t="shared" ref="C198:I198" si="18">$C$241</f>
        <v>kWh</v>
      </c>
      <c r="D198" s="196" t="str">
        <f t="shared" si="18"/>
        <v>kWh</v>
      </c>
      <c r="E198" s="196" t="str">
        <f t="shared" si="18"/>
        <v>kWh</v>
      </c>
      <c r="F198" s="196" t="str">
        <f t="shared" si="18"/>
        <v>kWh</v>
      </c>
      <c r="G198" s="196" t="str">
        <f t="shared" si="18"/>
        <v>kWh</v>
      </c>
      <c r="H198" s="196" t="str">
        <f t="shared" si="18"/>
        <v>kWh</v>
      </c>
      <c r="I198" s="196" t="str">
        <f t="shared" si="18"/>
        <v>kWh</v>
      </c>
      <c r="J198" s="9"/>
      <c r="K198" s="1"/>
      <c r="L198" s="319"/>
      <c r="M198" s="319"/>
      <c r="N198" s="319"/>
      <c r="O198" s="319"/>
      <c r="P198" s="319"/>
      <c r="Q198" s="319"/>
      <c r="R198" s="319"/>
      <c r="S198" s="319"/>
      <c r="T198" s="319"/>
      <c r="U198" s="319"/>
      <c r="V198" s="319"/>
      <c r="W198" s="319">
        <v>110736</v>
      </c>
    </row>
    <row r="199" spans="1:23" ht="12.75" hidden="1" customHeight="1">
      <c r="A199" s="12"/>
      <c r="B199" s="385">
        <v>1</v>
      </c>
      <c r="C199" s="401">
        <v>10</v>
      </c>
      <c r="D199" s="401"/>
      <c r="E199" s="401"/>
      <c r="F199" s="401"/>
      <c r="G199" s="401"/>
      <c r="H199" s="401"/>
      <c r="I199" s="401"/>
      <c r="J199" s="9"/>
      <c r="K199" s="1"/>
      <c r="L199" s="319"/>
      <c r="M199" s="319"/>
      <c r="N199" s="319"/>
      <c r="O199" s="319"/>
      <c r="P199" s="319"/>
      <c r="Q199" s="319"/>
      <c r="R199" s="319"/>
      <c r="S199" s="319"/>
      <c r="T199" s="319"/>
      <c r="U199" s="319"/>
      <c r="V199" s="319"/>
      <c r="W199" s="319">
        <v>110740</v>
      </c>
    </row>
    <row r="200" spans="1:23" ht="12.75" hidden="1" customHeight="1">
      <c r="A200" s="12"/>
      <c r="B200" s="385">
        <v>2</v>
      </c>
      <c r="C200" s="401"/>
      <c r="D200" s="401"/>
      <c r="E200" s="401"/>
      <c r="F200" s="401"/>
      <c r="G200" s="401"/>
      <c r="H200" s="401"/>
      <c r="I200" s="401"/>
      <c r="J200" s="9"/>
      <c r="K200" s="1"/>
      <c r="L200" s="319"/>
      <c r="M200" s="319"/>
      <c r="N200" s="319"/>
      <c r="O200" s="319"/>
      <c r="P200" s="319"/>
      <c r="Q200" s="319"/>
      <c r="R200" s="319"/>
      <c r="S200" s="319"/>
      <c r="T200" s="319"/>
      <c r="U200" s="319"/>
      <c r="V200" s="319"/>
      <c r="W200" s="319">
        <v>110740</v>
      </c>
    </row>
    <row r="201" spans="1:23" ht="12.75" hidden="1" customHeight="1">
      <c r="A201" s="12"/>
      <c r="B201" s="385">
        <v>3</v>
      </c>
      <c r="C201" s="401"/>
      <c r="D201" s="401"/>
      <c r="E201" s="401"/>
      <c r="F201" s="401"/>
      <c r="G201" s="401"/>
      <c r="H201" s="401"/>
      <c r="I201" s="401"/>
      <c r="J201" s="9"/>
      <c r="K201" s="1"/>
      <c r="L201" s="319"/>
      <c r="M201" s="319"/>
      <c r="N201" s="319"/>
      <c r="O201" s="319"/>
      <c r="P201" s="319"/>
      <c r="Q201" s="319"/>
      <c r="R201" s="319"/>
      <c r="S201" s="319"/>
      <c r="T201" s="319"/>
      <c r="U201" s="319"/>
      <c r="V201" s="319"/>
      <c r="W201" s="319">
        <v>110740</v>
      </c>
    </row>
    <row r="202" spans="1:23" ht="12.75" hidden="1" customHeight="1">
      <c r="A202" s="12"/>
      <c r="B202" s="385">
        <v>4</v>
      </c>
      <c r="C202" s="401"/>
      <c r="D202" s="401"/>
      <c r="E202" s="401"/>
      <c r="F202" s="401"/>
      <c r="G202" s="401"/>
      <c r="H202" s="401"/>
      <c r="I202" s="401"/>
      <c r="J202" s="9"/>
      <c r="K202" s="1"/>
      <c r="L202" s="319"/>
      <c r="M202" s="319"/>
      <c r="N202" s="319"/>
      <c r="O202" s="319"/>
      <c r="P202" s="319"/>
      <c r="Q202" s="319"/>
      <c r="R202" s="319"/>
      <c r="S202" s="319"/>
      <c r="T202" s="319"/>
      <c r="U202" s="319"/>
      <c r="V202" s="319"/>
      <c r="W202" s="319">
        <v>110740</v>
      </c>
    </row>
    <row r="203" spans="1:23" ht="12.75" hidden="1" customHeight="1">
      <c r="A203" s="12"/>
      <c r="B203" s="385">
        <v>5</v>
      </c>
      <c r="C203" s="401"/>
      <c r="D203" s="401"/>
      <c r="E203" s="401"/>
      <c r="F203" s="401"/>
      <c r="G203" s="401"/>
      <c r="H203" s="401"/>
      <c r="I203" s="401"/>
      <c r="J203" s="9"/>
      <c r="K203" s="1"/>
      <c r="L203" s="319"/>
      <c r="M203" s="319"/>
      <c r="N203" s="319"/>
      <c r="O203" s="319"/>
      <c r="P203" s="319"/>
      <c r="Q203" s="319"/>
      <c r="R203" s="319"/>
      <c r="S203" s="319"/>
      <c r="T203" s="319"/>
      <c r="U203" s="319"/>
      <c r="V203" s="319"/>
      <c r="W203" s="319">
        <v>110740</v>
      </c>
    </row>
    <row r="204" spans="1:23" ht="12.75" hidden="1" customHeight="1">
      <c r="A204" s="12"/>
      <c r="B204" s="385">
        <v>6</v>
      </c>
      <c r="C204" s="401"/>
      <c r="D204" s="401"/>
      <c r="E204" s="401"/>
      <c r="F204" s="401"/>
      <c r="G204" s="401"/>
      <c r="H204" s="401"/>
      <c r="I204" s="401"/>
      <c r="J204" s="9"/>
      <c r="K204" s="1"/>
      <c r="L204" s="319"/>
      <c r="M204" s="319"/>
      <c r="N204" s="319"/>
      <c r="O204" s="319"/>
      <c r="P204" s="319"/>
      <c r="Q204" s="319"/>
      <c r="R204" s="319"/>
      <c r="S204" s="319"/>
      <c r="T204" s="319"/>
      <c r="U204" s="319"/>
      <c r="V204" s="319"/>
      <c r="W204" s="319">
        <v>110740</v>
      </c>
    </row>
    <row r="205" spans="1:23" ht="12.75" hidden="1" customHeight="1">
      <c r="A205" s="12"/>
      <c r="B205" s="385">
        <v>7</v>
      </c>
      <c r="C205" s="401"/>
      <c r="D205" s="401"/>
      <c r="E205" s="401"/>
      <c r="F205" s="401"/>
      <c r="G205" s="401"/>
      <c r="H205" s="401"/>
      <c r="I205" s="401"/>
      <c r="J205" s="9"/>
      <c r="K205" s="1"/>
      <c r="L205" s="319"/>
      <c r="M205" s="319"/>
      <c r="N205" s="319"/>
      <c r="O205" s="319"/>
      <c r="P205" s="319"/>
      <c r="Q205" s="319"/>
      <c r="R205" s="319"/>
      <c r="S205" s="319"/>
      <c r="T205" s="319"/>
      <c r="U205" s="319"/>
      <c r="V205" s="319"/>
      <c r="W205" s="319">
        <v>110740</v>
      </c>
    </row>
    <row r="206" spans="1:23" ht="12.75" hidden="1" customHeight="1">
      <c r="A206" s="12"/>
      <c r="B206" s="385">
        <v>8</v>
      </c>
      <c r="C206" s="401"/>
      <c r="D206" s="401"/>
      <c r="E206" s="401"/>
      <c r="F206" s="401"/>
      <c r="G206" s="401"/>
      <c r="H206" s="401"/>
      <c r="I206" s="401"/>
      <c r="J206" s="9"/>
      <c r="K206" s="1"/>
      <c r="L206" s="319"/>
      <c r="M206" s="319"/>
      <c r="N206" s="319"/>
      <c r="O206" s="319"/>
      <c r="P206" s="319"/>
      <c r="Q206" s="319"/>
      <c r="R206" s="319"/>
      <c r="S206" s="319"/>
      <c r="T206" s="319"/>
      <c r="U206" s="319"/>
      <c r="V206" s="319"/>
      <c r="W206" s="319">
        <v>110740</v>
      </c>
    </row>
    <row r="207" spans="1:23" ht="12.75" hidden="1" customHeight="1">
      <c r="A207" s="12"/>
      <c r="B207" s="385">
        <v>9</v>
      </c>
      <c r="C207" s="401"/>
      <c r="D207" s="401"/>
      <c r="E207" s="401"/>
      <c r="F207" s="401"/>
      <c r="G207" s="401"/>
      <c r="H207" s="401"/>
      <c r="I207" s="401"/>
      <c r="J207" s="9"/>
      <c r="K207" s="1"/>
      <c r="L207" s="319"/>
      <c r="M207" s="319"/>
      <c r="N207" s="319"/>
      <c r="O207" s="319"/>
      <c r="P207" s="319"/>
      <c r="Q207" s="319"/>
      <c r="R207" s="319"/>
      <c r="S207" s="319"/>
      <c r="T207" s="319"/>
      <c r="U207" s="319"/>
      <c r="V207" s="319"/>
      <c r="W207" s="319">
        <v>110740</v>
      </c>
    </row>
    <row r="208" spans="1:23" ht="12.75" hidden="1" customHeight="1">
      <c r="A208" s="12"/>
      <c r="B208" s="385">
        <v>10</v>
      </c>
      <c r="C208" s="401"/>
      <c r="D208" s="401"/>
      <c r="E208" s="401"/>
      <c r="F208" s="401"/>
      <c r="G208" s="401"/>
      <c r="H208" s="401"/>
      <c r="I208" s="401"/>
      <c r="J208" s="9"/>
      <c r="K208" s="1"/>
      <c r="L208" s="319"/>
      <c r="M208" s="319"/>
      <c r="N208" s="319"/>
      <c r="O208" s="319"/>
      <c r="P208" s="319"/>
      <c r="Q208" s="319"/>
      <c r="R208" s="319"/>
      <c r="S208" s="319"/>
      <c r="T208" s="319"/>
      <c r="U208" s="319"/>
      <c r="V208" s="319"/>
      <c r="W208" s="319">
        <v>110740</v>
      </c>
    </row>
    <row r="209" spans="1:23" ht="12.75" hidden="1" customHeight="1">
      <c r="A209" s="12"/>
      <c r="B209" s="385">
        <v>11</v>
      </c>
      <c r="C209" s="401"/>
      <c r="D209" s="401"/>
      <c r="E209" s="401"/>
      <c r="F209" s="401"/>
      <c r="G209" s="401"/>
      <c r="H209" s="401"/>
      <c r="I209" s="401"/>
      <c r="J209" s="9"/>
      <c r="K209" s="1"/>
      <c r="L209" s="319"/>
      <c r="M209" s="319"/>
      <c r="N209" s="319"/>
      <c r="O209" s="319"/>
      <c r="P209" s="319"/>
      <c r="Q209" s="319"/>
      <c r="R209" s="319"/>
      <c r="S209" s="319"/>
      <c r="T209" s="319"/>
      <c r="U209" s="319"/>
      <c r="V209" s="319"/>
      <c r="W209" s="319">
        <v>110740</v>
      </c>
    </row>
    <row r="210" spans="1:23" ht="12.75" hidden="1" customHeight="1">
      <c r="A210" s="12"/>
      <c r="B210" s="385">
        <v>12</v>
      </c>
      <c r="C210" s="401"/>
      <c r="D210" s="401"/>
      <c r="E210" s="401"/>
      <c r="F210" s="401"/>
      <c r="G210" s="401"/>
      <c r="H210" s="401"/>
      <c r="I210" s="401"/>
      <c r="J210" s="9"/>
      <c r="K210" s="1"/>
      <c r="L210" s="319"/>
      <c r="M210" s="319"/>
      <c r="N210" s="319"/>
      <c r="O210" s="319"/>
      <c r="P210" s="319"/>
      <c r="Q210" s="319"/>
      <c r="R210" s="319"/>
      <c r="S210" s="319"/>
      <c r="T210" s="319"/>
      <c r="U210" s="319"/>
      <c r="V210" s="319"/>
      <c r="W210" s="319">
        <v>110740</v>
      </c>
    </row>
    <row r="211" spans="1:23" ht="12.75" hidden="1" customHeight="1">
      <c r="A211" s="12"/>
      <c r="B211" s="385">
        <v>13</v>
      </c>
      <c r="C211" s="401"/>
      <c r="D211" s="401"/>
      <c r="E211" s="401"/>
      <c r="F211" s="401"/>
      <c r="G211" s="401"/>
      <c r="H211" s="401"/>
      <c r="I211" s="401"/>
      <c r="J211" s="9"/>
      <c r="K211" s="1"/>
      <c r="L211" s="319"/>
      <c r="M211" s="319"/>
      <c r="N211" s="319"/>
      <c r="O211" s="319"/>
      <c r="P211" s="319"/>
      <c r="Q211" s="319"/>
      <c r="R211" s="319"/>
      <c r="S211" s="319"/>
      <c r="T211" s="319"/>
      <c r="U211" s="319"/>
      <c r="V211" s="319"/>
      <c r="W211" s="319">
        <v>110740</v>
      </c>
    </row>
    <row r="212" spans="1:23" ht="12.75" hidden="1" customHeight="1">
      <c r="A212" s="12"/>
      <c r="B212" s="385">
        <v>14</v>
      </c>
      <c r="C212" s="401"/>
      <c r="D212" s="401"/>
      <c r="E212" s="401"/>
      <c r="F212" s="401"/>
      <c r="G212" s="401"/>
      <c r="H212" s="401"/>
      <c r="I212" s="401"/>
      <c r="J212" s="9"/>
      <c r="K212" s="1"/>
      <c r="L212" s="319"/>
      <c r="M212" s="319"/>
      <c r="N212" s="319"/>
      <c r="O212" s="319"/>
      <c r="P212" s="319"/>
      <c r="Q212" s="319"/>
      <c r="R212" s="319"/>
      <c r="S212" s="319"/>
      <c r="T212" s="319"/>
      <c r="U212" s="319"/>
      <c r="V212" s="319"/>
      <c r="W212" s="319">
        <v>110740</v>
      </c>
    </row>
    <row r="213" spans="1:23" ht="12.75" hidden="1" customHeight="1">
      <c r="A213" s="12"/>
      <c r="B213" s="385">
        <v>15</v>
      </c>
      <c r="C213" s="401"/>
      <c r="D213" s="401"/>
      <c r="E213" s="401"/>
      <c r="F213" s="401"/>
      <c r="G213" s="401"/>
      <c r="H213" s="401"/>
      <c r="I213" s="401"/>
      <c r="J213" s="9"/>
      <c r="K213" s="1"/>
      <c r="L213" s="319"/>
      <c r="M213" s="319"/>
      <c r="N213" s="319"/>
      <c r="O213" s="319"/>
      <c r="P213" s="319"/>
      <c r="Q213" s="319"/>
      <c r="R213" s="319"/>
      <c r="S213" s="319"/>
      <c r="T213" s="319"/>
      <c r="U213" s="319"/>
      <c r="V213" s="319"/>
      <c r="W213" s="319">
        <v>110740</v>
      </c>
    </row>
    <row r="214" spans="1:23" ht="12.75" hidden="1" customHeight="1">
      <c r="A214" s="12"/>
      <c r="B214" s="385">
        <v>16</v>
      </c>
      <c r="C214" s="401"/>
      <c r="D214" s="401"/>
      <c r="E214" s="401"/>
      <c r="F214" s="401"/>
      <c r="G214" s="401"/>
      <c r="H214" s="401"/>
      <c r="I214" s="401"/>
      <c r="J214" s="9"/>
      <c r="K214" s="1"/>
      <c r="L214" s="319"/>
      <c r="M214" s="319"/>
      <c r="N214" s="319"/>
      <c r="O214" s="319"/>
      <c r="P214" s="319"/>
      <c r="Q214" s="319"/>
      <c r="R214" s="319"/>
      <c r="S214" s="319"/>
      <c r="T214" s="319"/>
      <c r="U214" s="319"/>
      <c r="V214" s="319"/>
      <c r="W214" s="319">
        <v>110740</v>
      </c>
    </row>
    <row r="215" spans="1:23" ht="12.75" hidden="1" customHeight="1">
      <c r="A215" s="12"/>
      <c r="B215" s="385">
        <v>17</v>
      </c>
      <c r="C215" s="401"/>
      <c r="D215" s="401"/>
      <c r="E215" s="401"/>
      <c r="F215" s="401"/>
      <c r="G215" s="401"/>
      <c r="H215" s="401"/>
      <c r="I215" s="401"/>
      <c r="J215" s="9"/>
      <c r="K215" s="1"/>
      <c r="L215" s="319"/>
      <c r="M215" s="319"/>
      <c r="N215" s="319"/>
      <c r="O215" s="319"/>
      <c r="P215" s="319"/>
      <c r="Q215" s="319"/>
      <c r="R215" s="319"/>
      <c r="S215" s="319"/>
      <c r="T215" s="319"/>
      <c r="U215" s="319"/>
      <c r="V215" s="319"/>
      <c r="W215" s="319">
        <v>110740</v>
      </c>
    </row>
    <row r="216" spans="1:23" ht="12.75" hidden="1" customHeight="1">
      <c r="A216" s="12"/>
      <c r="B216" s="385">
        <v>18</v>
      </c>
      <c r="C216" s="401"/>
      <c r="D216" s="401"/>
      <c r="E216" s="401"/>
      <c r="F216" s="401"/>
      <c r="G216" s="401"/>
      <c r="H216" s="401"/>
      <c r="I216" s="401"/>
      <c r="J216" s="9"/>
      <c r="K216" s="1"/>
      <c r="L216" s="319"/>
      <c r="M216" s="319"/>
      <c r="N216" s="319"/>
      <c r="O216" s="319"/>
      <c r="P216" s="319"/>
      <c r="Q216" s="319"/>
      <c r="R216" s="319"/>
      <c r="S216" s="319"/>
      <c r="T216" s="319"/>
      <c r="U216" s="319"/>
      <c r="V216" s="319"/>
      <c r="W216" s="319">
        <v>110740</v>
      </c>
    </row>
    <row r="217" spans="1:23" ht="12.75" hidden="1" customHeight="1">
      <c r="A217" s="12"/>
      <c r="B217" s="385">
        <v>19</v>
      </c>
      <c r="C217" s="401"/>
      <c r="D217" s="401"/>
      <c r="E217" s="401"/>
      <c r="F217" s="401"/>
      <c r="G217" s="401"/>
      <c r="H217" s="401"/>
      <c r="I217" s="401"/>
      <c r="J217" s="9"/>
      <c r="K217" s="1"/>
      <c r="L217" s="319"/>
      <c r="M217" s="319"/>
      <c r="N217" s="319"/>
      <c r="O217" s="319"/>
      <c r="P217" s="319"/>
      <c r="Q217" s="319"/>
      <c r="R217" s="319"/>
      <c r="S217" s="319"/>
      <c r="T217" s="319"/>
      <c r="U217" s="319"/>
      <c r="V217" s="319"/>
      <c r="W217" s="319">
        <v>110740</v>
      </c>
    </row>
    <row r="218" spans="1:23" ht="12.75" hidden="1" customHeight="1">
      <c r="A218" s="12"/>
      <c r="B218" s="385">
        <v>20</v>
      </c>
      <c r="C218" s="401"/>
      <c r="D218" s="401"/>
      <c r="E218" s="401"/>
      <c r="F218" s="401"/>
      <c r="G218" s="401"/>
      <c r="H218" s="401"/>
      <c r="I218" s="401"/>
      <c r="J218" s="9"/>
      <c r="K218" s="1"/>
      <c r="L218" s="319"/>
      <c r="M218" s="319"/>
      <c r="N218" s="319"/>
      <c r="O218" s="319"/>
      <c r="P218" s="319"/>
      <c r="Q218" s="319"/>
      <c r="R218" s="319"/>
      <c r="S218" s="319"/>
      <c r="T218" s="319"/>
      <c r="U218" s="319"/>
      <c r="V218" s="319"/>
      <c r="W218" s="319">
        <v>110740</v>
      </c>
    </row>
    <row r="219" spans="1:23" ht="12.75" hidden="1" customHeight="1">
      <c r="A219" s="12"/>
      <c r="B219" s="385">
        <v>21</v>
      </c>
      <c r="C219" s="401"/>
      <c r="D219" s="401"/>
      <c r="E219" s="401"/>
      <c r="F219" s="401"/>
      <c r="G219" s="401"/>
      <c r="H219" s="401"/>
      <c r="I219" s="401"/>
      <c r="J219" s="9"/>
      <c r="K219" s="1"/>
      <c r="L219" s="319"/>
      <c r="M219" s="319"/>
      <c r="N219" s="319"/>
      <c r="O219" s="319"/>
      <c r="P219" s="319"/>
      <c r="Q219" s="319"/>
      <c r="R219" s="319"/>
      <c r="S219" s="319"/>
      <c r="T219" s="319"/>
      <c r="U219" s="319"/>
      <c r="V219" s="319"/>
      <c r="W219" s="319">
        <v>110740</v>
      </c>
    </row>
    <row r="220" spans="1:23" ht="12.75" hidden="1" customHeight="1">
      <c r="A220" s="12"/>
      <c r="B220" s="385">
        <v>22</v>
      </c>
      <c r="C220" s="401"/>
      <c r="D220" s="401"/>
      <c r="E220" s="401"/>
      <c r="F220" s="401"/>
      <c r="G220" s="401"/>
      <c r="H220" s="401"/>
      <c r="I220" s="401"/>
      <c r="J220" s="9"/>
      <c r="K220" s="1"/>
      <c r="L220" s="319"/>
      <c r="M220" s="319"/>
      <c r="N220" s="319"/>
      <c r="O220" s="319"/>
      <c r="P220" s="319"/>
      <c r="Q220" s="319"/>
      <c r="R220" s="319"/>
      <c r="S220" s="319"/>
      <c r="T220" s="319"/>
      <c r="U220" s="319"/>
      <c r="V220" s="319"/>
      <c r="W220" s="319">
        <v>110740</v>
      </c>
    </row>
    <row r="221" spans="1:23" ht="12.75" hidden="1" customHeight="1">
      <c r="A221" s="12"/>
      <c r="B221" s="385">
        <v>23</v>
      </c>
      <c r="C221" s="401"/>
      <c r="D221" s="401"/>
      <c r="E221" s="401"/>
      <c r="F221" s="401"/>
      <c r="G221" s="401"/>
      <c r="H221" s="401"/>
      <c r="I221" s="401"/>
      <c r="J221" s="9"/>
      <c r="K221" s="1"/>
      <c r="L221" s="319"/>
      <c r="M221" s="319"/>
      <c r="N221" s="319"/>
      <c r="O221" s="319"/>
      <c r="P221" s="319"/>
      <c r="Q221" s="319"/>
      <c r="R221" s="319"/>
      <c r="S221" s="319"/>
      <c r="T221" s="319"/>
      <c r="U221" s="319"/>
      <c r="V221" s="319"/>
      <c r="W221" s="319">
        <v>110740</v>
      </c>
    </row>
    <row r="222" spans="1:23" ht="12.75" hidden="1" customHeight="1">
      <c r="A222" s="12"/>
      <c r="B222" s="385">
        <v>24</v>
      </c>
      <c r="C222" s="401"/>
      <c r="D222" s="401"/>
      <c r="E222" s="401"/>
      <c r="F222" s="401"/>
      <c r="G222" s="401"/>
      <c r="H222" s="401"/>
      <c r="I222" s="401"/>
      <c r="J222" s="9"/>
      <c r="K222" s="1"/>
      <c r="L222" s="319"/>
      <c r="M222" s="319"/>
      <c r="N222" s="319"/>
      <c r="O222" s="319"/>
      <c r="P222" s="319"/>
      <c r="Q222" s="319"/>
      <c r="R222" s="319"/>
      <c r="S222" s="319"/>
      <c r="T222" s="319"/>
      <c r="U222" s="319"/>
      <c r="V222" s="319"/>
      <c r="W222" s="319">
        <v>110740</v>
      </c>
    </row>
    <row r="223" spans="1:23" ht="12.75" hidden="1" customHeight="1">
      <c r="A223" s="12"/>
      <c r="B223" s="8"/>
      <c r="C223" s="21"/>
      <c r="D223" s="88"/>
      <c r="E223" s="8"/>
      <c r="F223" s="8"/>
      <c r="G223" s="8"/>
      <c r="H223" s="8"/>
      <c r="I223" s="8"/>
      <c r="J223" s="9"/>
      <c r="K223" s="1"/>
      <c r="L223" s="319"/>
      <c r="M223" s="319"/>
      <c r="N223" s="319"/>
      <c r="O223" s="319"/>
      <c r="P223" s="319"/>
      <c r="Q223" s="319"/>
      <c r="R223" s="319"/>
      <c r="S223" s="319"/>
      <c r="T223" s="319"/>
      <c r="U223" s="319"/>
      <c r="V223" s="319"/>
      <c r="W223" s="319">
        <v>110736</v>
      </c>
    </row>
    <row r="224" spans="1:23" ht="25.5" hidden="1" customHeight="1">
      <c r="A224" s="12"/>
      <c r="B224" s="8"/>
      <c r="C224" s="698" t="str">
        <f>$B$242</f>
        <v>Preço da eletricidade</v>
      </c>
      <c r="D224" s="698" t="str">
        <f>$B$242</f>
        <v>Preço da eletricidade</v>
      </c>
      <c r="E224" s="20" t="str">
        <f>$B$241</f>
        <v>Demanda de eletricidade</v>
      </c>
      <c r="F224" s="20" t="str">
        <f>$B$241</f>
        <v>Demanda de eletricidade</v>
      </c>
      <c r="G224" s="20" t="str">
        <f>J139</f>
        <v>Custo de eletricidade</v>
      </c>
      <c r="H224" s="8"/>
      <c r="I224" s="8"/>
      <c r="J224" s="9"/>
      <c r="K224" s="1"/>
      <c r="L224" s="319"/>
      <c r="M224" s="319"/>
      <c r="N224" s="319"/>
      <c r="O224" s="319"/>
      <c r="P224" s="319"/>
      <c r="Q224" s="319"/>
      <c r="R224" s="319"/>
      <c r="S224" s="319"/>
      <c r="T224" s="319"/>
      <c r="U224" s="319"/>
      <c r="V224" s="319"/>
      <c r="W224" s="319">
        <v>110736</v>
      </c>
    </row>
    <row r="225" spans="1:23" ht="12.75" hidden="1" customHeight="1">
      <c r="A225" s="12"/>
      <c r="B225" s="45" t="str">
        <f>B112</f>
        <v>Mês</v>
      </c>
      <c r="C225" s="196" t="str">
        <f>$C$418</f>
        <v>%</v>
      </c>
      <c r="D225" s="191" t="str">
        <f>C242</f>
        <v>€/kWh</v>
      </c>
      <c r="E225" s="196" t="str">
        <f>$C$418</f>
        <v>%</v>
      </c>
      <c r="F225" s="128" t="str">
        <f>C241</f>
        <v>kWh</v>
      </c>
      <c r="G225" s="128" t="str">
        <f>Currency</f>
        <v>€</v>
      </c>
      <c r="H225" s="8"/>
      <c r="I225" s="8"/>
      <c r="J225" s="9"/>
      <c r="K225" s="1"/>
      <c r="L225" s="319"/>
      <c r="M225" s="319"/>
      <c r="N225" s="319"/>
      <c r="O225" s="319"/>
      <c r="P225" s="319"/>
      <c r="Q225" s="319"/>
      <c r="R225" s="319"/>
      <c r="S225" s="319"/>
      <c r="T225" s="319"/>
      <c r="U225" s="319"/>
      <c r="V225" s="319"/>
      <c r="W225" s="319">
        <v>110736</v>
      </c>
    </row>
    <row r="226" spans="1:23" ht="12.75" hidden="1" customHeight="1">
      <c r="A226" s="12"/>
      <c r="B226" s="385" t="str">
        <f>Language!C251</f>
        <v>Janeiro</v>
      </c>
      <c r="C226" s="159">
        <v>1</v>
      </c>
      <c r="D226" s="384">
        <f t="shared" ref="D226:D237" si="19">C226*$N$227</f>
        <v>0.1</v>
      </c>
      <c r="E226" s="159">
        <v>0.5</v>
      </c>
      <c r="F226" s="88">
        <f>SUM($C$199:$I$222)*E226*M226/7</f>
        <v>22.142857142857142</v>
      </c>
      <c r="G226" s="1385">
        <f>F226*D226</f>
        <v>2.2142857142857144</v>
      </c>
      <c r="H226" s="8"/>
      <c r="I226" s="8"/>
      <c r="J226" s="9"/>
      <c r="K226" s="1"/>
      <c r="L226" s="319"/>
      <c r="M226" s="319">
        <v>31</v>
      </c>
      <c r="N226" s="319">
        <f>SUMPRODUCT(C172:I195,C199:I222)</f>
        <v>1</v>
      </c>
      <c r="O226" s="319" t="s">
        <v>709</v>
      </c>
      <c r="P226" s="319"/>
      <c r="Q226" s="319"/>
      <c r="R226" s="319"/>
      <c r="S226" s="319"/>
      <c r="T226" s="319"/>
      <c r="U226" s="319"/>
      <c r="V226" s="319"/>
      <c r="W226" s="319">
        <v>110742</v>
      </c>
    </row>
    <row r="227" spans="1:23" ht="12.75" hidden="1" customHeight="1">
      <c r="A227" s="12"/>
      <c r="B227" s="385" t="str">
        <f>Language!C252</f>
        <v>Fevereiro</v>
      </c>
      <c r="C227" s="159"/>
      <c r="D227" s="384">
        <f t="shared" si="19"/>
        <v>0</v>
      </c>
      <c r="E227" s="159"/>
      <c r="F227" s="88">
        <f t="shared" ref="F227:F237" si="20">SUM($C$199:$I$222)*E227*M227/7</f>
        <v>0</v>
      </c>
      <c r="G227" s="1385">
        <f t="shared" ref="G227:G237" si="21">F227*D227</f>
        <v>0</v>
      </c>
      <c r="H227" s="8"/>
      <c r="I227" s="8"/>
      <c r="J227" s="9"/>
      <c r="K227" s="1"/>
      <c r="L227" s="319"/>
      <c r="M227" s="319">
        <v>28</v>
      </c>
      <c r="N227" s="319">
        <f>N226/SUM($C$199:$I$222)</f>
        <v>0.1</v>
      </c>
      <c r="O227" s="319" t="s">
        <v>5400</v>
      </c>
      <c r="P227" s="319"/>
      <c r="Q227" s="319"/>
      <c r="R227" s="319"/>
      <c r="S227" s="319"/>
      <c r="T227" s="319"/>
      <c r="U227" s="319"/>
      <c r="V227" s="319"/>
      <c r="W227" s="319">
        <v>110742</v>
      </c>
    </row>
    <row r="228" spans="1:23" ht="12.75" hidden="1" customHeight="1">
      <c r="A228" s="12"/>
      <c r="B228" s="385" t="str">
        <f>Language!C253</f>
        <v>Março</v>
      </c>
      <c r="C228" s="159"/>
      <c r="D228" s="384">
        <f t="shared" si="19"/>
        <v>0</v>
      </c>
      <c r="E228" s="159"/>
      <c r="F228" s="88">
        <f t="shared" si="20"/>
        <v>0</v>
      </c>
      <c r="G228" s="1385">
        <f t="shared" si="21"/>
        <v>0</v>
      </c>
      <c r="H228" s="8"/>
      <c r="I228" s="8"/>
      <c r="J228" s="9"/>
      <c r="K228" s="1"/>
      <c r="L228" s="319"/>
      <c r="M228" s="319">
        <v>31</v>
      </c>
      <c r="N228" s="319"/>
      <c r="O228" s="319"/>
      <c r="P228" s="319"/>
      <c r="Q228" s="319"/>
      <c r="R228" s="319"/>
      <c r="S228" s="319"/>
      <c r="T228" s="319"/>
      <c r="U228" s="319"/>
      <c r="V228" s="319"/>
      <c r="W228" s="319">
        <v>110742</v>
      </c>
    </row>
    <row r="229" spans="1:23" ht="12.75" hidden="1" customHeight="1">
      <c r="A229" s="12"/>
      <c r="B229" s="385" t="str">
        <f>Language!C254</f>
        <v>Abril</v>
      </c>
      <c r="C229" s="159"/>
      <c r="D229" s="384">
        <f t="shared" si="19"/>
        <v>0</v>
      </c>
      <c r="E229" s="159"/>
      <c r="F229" s="88">
        <f t="shared" si="20"/>
        <v>0</v>
      </c>
      <c r="G229" s="1385">
        <f t="shared" si="21"/>
        <v>0</v>
      </c>
      <c r="H229" s="8"/>
      <c r="I229" s="8"/>
      <c r="J229" s="9"/>
      <c r="K229" s="1"/>
      <c r="L229" s="319"/>
      <c r="M229" s="319">
        <v>30</v>
      </c>
      <c r="N229" s="319"/>
      <c r="O229" s="319"/>
      <c r="P229" s="319"/>
      <c r="Q229" s="319"/>
      <c r="R229" s="319"/>
      <c r="S229" s="319"/>
      <c r="T229" s="319"/>
      <c r="U229" s="319"/>
      <c r="V229" s="319"/>
      <c r="W229" s="319">
        <v>110742</v>
      </c>
    </row>
    <row r="230" spans="1:23" ht="12.75" hidden="1" customHeight="1">
      <c r="A230" s="12"/>
      <c r="B230" s="385" t="str">
        <f>Language!C255</f>
        <v>Maio</v>
      </c>
      <c r="C230" s="159"/>
      <c r="D230" s="384">
        <f t="shared" si="19"/>
        <v>0</v>
      </c>
      <c r="E230" s="159"/>
      <c r="F230" s="88">
        <f t="shared" si="20"/>
        <v>0</v>
      </c>
      <c r="G230" s="1385">
        <f t="shared" si="21"/>
        <v>0</v>
      </c>
      <c r="H230" s="8"/>
      <c r="I230" s="8"/>
      <c r="J230" s="9"/>
      <c r="K230" s="1"/>
      <c r="L230" s="319"/>
      <c r="M230" s="319">
        <v>31</v>
      </c>
      <c r="N230" s="319"/>
      <c r="O230" s="319"/>
      <c r="P230" s="319"/>
      <c r="Q230" s="319"/>
      <c r="R230" s="319"/>
      <c r="S230" s="319"/>
      <c r="T230" s="319"/>
      <c r="U230" s="319"/>
      <c r="V230" s="319"/>
      <c r="W230" s="319">
        <v>110742</v>
      </c>
    </row>
    <row r="231" spans="1:23" ht="12.75" hidden="1" customHeight="1">
      <c r="A231" s="12"/>
      <c r="B231" s="385" t="str">
        <f>Language!C256</f>
        <v>Junho</v>
      </c>
      <c r="C231" s="159"/>
      <c r="D231" s="384">
        <f t="shared" si="19"/>
        <v>0</v>
      </c>
      <c r="E231" s="159"/>
      <c r="F231" s="88">
        <f t="shared" si="20"/>
        <v>0</v>
      </c>
      <c r="G231" s="1385">
        <f t="shared" si="21"/>
        <v>0</v>
      </c>
      <c r="H231" s="8"/>
      <c r="I231" s="8"/>
      <c r="J231" s="9"/>
      <c r="K231" s="1"/>
      <c r="L231" s="319"/>
      <c r="M231" s="319">
        <v>30</v>
      </c>
      <c r="N231" s="319"/>
      <c r="O231" s="319"/>
      <c r="P231" s="319"/>
      <c r="Q231" s="319"/>
      <c r="R231" s="319"/>
      <c r="S231" s="319"/>
      <c r="T231" s="319"/>
      <c r="U231" s="319"/>
      <c r="V231" s="319"/>
      <c r="W231" s="319">
        <v>110742</v>
      </c>
    </row>
    <row r="232" spans="1:23" ht="12.75" hidden="1" customHeight="1">
      <c r="A232" s="12"/>
      <c r="B232" s="385" t="str">
        <f>Language!C257</f>
        <v>Julho</v>
      </c>
      <c r="C232" s="159"/>
      <c r="D232" s="384">
        <f t="shared" si="19"/>
        <v>0</v>
      </c>
      <c r="E232" s="159"/>
      <c r="F232" s="88">
        <f t="shared" si="20"/>
        <v>0</v>
      </c>
      <c r="G232" s="1385">
        <f t="shared" si="21"/>
        <v>0</v>
      </c>
      <c r="H232" s="8"/>
      <c r="I232" s="8"/>
      <c r="J232" s="9"/>
      <c r="K232" s="1"/>
      <c r="L232" s="319"/>
      <c r="M232" s="319">
        <v>31</v>
      </c>
      <c r="N232" s="319"/>
      <c r="O232" s="319"/>
      <c r="P232" s="319"/>
      <c r="Q232" s="319"/>
      <c r="R232" s="319"/>
      <c r="S232" s="319"/>
      <c r="T232" s="319"/>
      <c r="U232" s="319"/>
      <c r="V232" s="319"/>
      <c r="W232" s="319">
        <v>110742</v>
      </c>
    </row>
    <row r="233" spans="1:23" ht="12.75" hidden="1" customHeight="1">
      <c r="A233" s="12"/>
      <c r="B233" s="385" t="str">
        <f>Language!C258</f>
        <v>Agosto</v>
      </c>
      <c r="C233" s="159"/>
      <c r="D233" s="384">
        <f t="shared" si="19"/>
        <v>0</v>
      </c>
      <c r="E233" s="159"/>
      <c r="F233" s="88">
        <f t="shared" si="20"/>
        <v>0</v>
      </c>
      <c r="G233" s="1385">
        <f t="shared" si="21"/>
        <v>0</v>
      </c>
      <c r="H233" s="8"/>
      <c r="I233" s="8"/>
      <c r="J233" s="9"/>
      <c r="K233" s="1"/>
      <c r="L233" s="319"/>
      <c r="M233" s="319">
        <v>31</v>
      </c>
      <c r="N233" s="319"/>
      <c r="O233" s="319"/>
      <c r="P233" s="319"/>
      <c r="Q233" s="319"/>
      <c r="R233" s="319"/>
      <c r="S233" s="319"/>
      <c r="T233" s="319"/>
      <c r="U233" s="319"/>
      <c r="V233" s="319"/>
      <c r="W233" s="319">
        <v>110742</v>
      </c>
    </row>
    <row r="234" spans="1:23" ht="12.75" hidden="1" customHeight="1">
      <c r="A234" s="12"/>
      <c r="B234" s="385" t="str">
        <f>Language!C259</f>
        <v>Setembro</v>
      </c>
      <c r="C234" s="159"/>
      <c r="D234" s="384">
        <f t="shared" si="19"/>
        <v>0</v>
      </c>
      <c r="E234" s="159"/>
      <c r="F234" s="88">
        <f t="shared" si="20"/>
        <v>0</v>
      </c>
      <c r="G234" s="1385">
        <f t="shared" si="21"/>
        <v>0</v>
      </c>
      <c r="H234" s="8"/>
      <c r="I234" s="8"/>
      <c r="J234" s="9"/>
      <c r="K234" s="1"/>
      <c r="L234" s="319"/>
      <c r="M234" s="319">
        <v>30</v>
      </c>
      <c r="N234" s="319"/>
      <c r="O234" s="319"/>
      <c r="P234" s="319"/>
      <c r="Q234" s="319"/>
      <c r="R234" s="319"/>
      <c r="S234" s="319"/>
      <c r="T234" s="319"/>
      <c r="U234" s="319"/>
      <c r="V234" s="319"/>
      <c r="W234" s="319">
        <v>110742</v>
      </c>
    </row>
    <row r="235" spans="1:23" ht="12.75" hidden="1" customHeight="1">
      <c r="A235" s="12"/>
      <c r="B235" s="385" t="str">
        <f>Language!C260</f>
        <v>Outubro</v>
      </c>
      <c r="C235" s="159"/>
      <c r="D235" s="384">
        <f t="shared" si="19"/>
        <v>0</v>
      </c>
      <c r="E235" s="159"/>
      <c r="F235" s="88">
        <f t="shared" si="20"/>
        <v>0</v>
      </c>
      <c r="G235" s="1385">
        <f t="shared" si="21"/>
        <v>0</v>
      </c>
      <c r="H235" s="8"/>
      <c r="I235" s="8"/>
      <c r="J235" s="9"/>
      <c r="K235" s="1"/>
      <c r="L235" s="319"/>
      <c r="M235" s="319">
        <v>31</v>
      </c>
      <c r="N235" s="319"/>
      <c r="O235" s="319"/>
      <c r="P235" s="319"/>
      <c r="Q235" s="319"/>
      <c r="R235" s="319"/>
      <c r="S235" s="319"/>
      <c r="T235" s="319"/>
      <c r="U235" s="319"/>
      <c r="V235" s="319"/>
      <c r="W235" s="319">
        <v>110742</v>
      </c>
    </row>
    <row r="236" spans="1:23" ht="12.75" hidden="1" customHeight="1">
      <c r="A236" s="12"/>
      <c r="B236" s="385" t="str">
        <f>Language!C261</f>
        <v>Novembro</v>
      </c>
      <c r="C236" s="159"/>
      <c r="D236" s="384">
        <f t="shared" si="19"/>
        <v>0</v>
      </c>
      <c r="E236" s="159"/>
      <c r="F236" s="88">
        <f t="shared" si="20"/>
        <v>0</v>
      </c>
      <c r="G236" s="1385">
        <f t="shared" si="21"/>
        <v>0</v>
      </c>
      <c r="H236" s="8"/>
      <c r="I236" s="8"/>
      <c r="J236" s="9"/>
      <c r="K236" s="1"/>
      <c r="L236" s="319"/>
      <c r="M236" s="319">
        <v>30</v>
      </c>
      <c r="N236" s="319"/>
      <c r="O236" s="319"/>
      <c r="P236" s="319"/>
      <c r="Q236" s="319"/>
      <c r="R236" s="319"/>
      <c r="S236" s="319"/>
      <c r="T236" s="319"/>
      <c r="U236" s="319"/>
      <c r="V236" s="319"/>
      <c r="W236" s="319">
        <v>110742</v>
      </c>
    </row>
    <row r="237" spans="1:23" ht="12.75" hidden="1" customHeight="1">
      <c r="A237" s="12"/>
      <c r="B237" s="385" t="str">
        <f>Language!C262</f>
        <v>Dezembro</v>
      </c>
      <c r="C237" s="159"/>
      <c r="D237" s="387">
        <f t="shared" si="19"/>
        <v>0</v>
      </c>
      <c r="E237" s="159"/>
      <c r="F237" s="34">
        <f t="shared" si="20"/>
        <v>0</v>
      </c>
      <c r="G237" s="1386">
        <f t="shared" si="21"/>
        <v>0</v>
      </c>
      <c r="H237" s="8"/>
      <c r="I237" s="8"/>
      <c r="J237" s="9"/>
      <c r="K237" s="1"/>
      <c r="L237" s="319"/>
      <c r="M237" s="319">
        <v>31</v>
      </c>
      <c r="N237" s="319"/>
      <c r="O237" s="319"/>
      <c r="P237" s="319"/>
      <c r="Q237" s="319"/>
      <c r="R237" s="319"/>
      <c r="S237" s="319"/>
      <c r="T237" s="319"/>
      <c r="U237" s="319"/>
      <c r="V237" s="319"/>
      <c r="W237" s="319">
        <v>110742</v>
      </c>
    </row>
    <row r="238" spans="1:23" ht="12.75" hidden="1" customHeight="1">
      <c r="A238" s="12"/>
      <c r="B238" s="389"/>
      <c r="C238" s="196"/>
      <c r="D238" s="388"/>
      <c r="E238" s="153"/>
      <c r="F238" s="31"/>
      <c r="G238" s="31"/>
      <c r="H238" s="8"/>
      <c r="I238" s="8"/>
      <c r="J238" s="9"/>
      <c r="K238" s="1"/>
      <c r="L238" s="319"/>
      <c r="M238" s="319"/>
      <c r="N238" s="319"/>
      <c r="O238" s="319"/>
      <c r="P238" s="319"/>
      <c r="Q238" s="319"/>
      <c r="R238" s="319"/>
      <c r="S238" s="319"/>
      <c r="T238" s="319"/>
      <c r="U238" s="319"/>
      <c r="V238" s="319"/>
      <c r="W238" s="319">
        <v>110736</v>
      </c>
    </row>
    <row r="239" spans="1:23" ht="12.75" hidden="1" customHeight="1">
      <c r="A239" s="12"/>
      <c r="B239" s="28" t="str">
        <f>B577</f>
        <v>Resumo</v>
      </c>
      <c r="C239" s="1"/>
      <c r="D239" s="1"/>
      <c r="E239" s="1"/>
      <c r="F239" s="1"/>
      <c r="G239" s="1"/>
      <c r="H239" s="8"/>
      <c r="I239" s="8"/>
      <c r="J239" s="9"/>
      <c r="K239" s="1"/>
      <c r="L239" s="319"/>
      <c r="M239" s="319"/>
      <c r="N239" s="319"/>
      <c r="O239" s="319"/>
      <c r="P239" s="319"/>
      <c r="Q239" s="319"/>
      <c r="R239" s="319"/>
      <c r="S239" s="319"/>
      <c r="T239" s="319"/>
      <c r="U239" s="319"/>
      <c r="V239" s="319"/>
      <c r="W239" s="319">
        <v>110744</v>
      </c>
    </row>
    <row r="240" spans="1:23" ht="12.75" hidden="1" customHeight="1">
      <c r="A240" s="12"/>
      <c r="B240" s="8" t="str">
        <f>Language!C388</f>
        <v>Custo total de eletricidade</v>
      </c>
      <c r="C240" s="21" t="str">
        <f>J140</f>
        <v>€</v>
      </c>
      <c r="D240" s="88">
        <f>IF(M137=TRUE,(SUM(J143:J153)*30.4/7+MAX(H143:H144)*F143*(1+D168)+MAX(H152:H153)*F152*(1+D168)+MAX(H146:H147)*F146*(1+D168)+MAX(H149:H150)*F149*(1+D168)+D167)*J141+(SUM(J156:J166)*30.4/7+MAX(H156:H157)*(1+D168)*F156+MAX(H159:H160)*(1+D168)*F159+MAX(H162:H163)*(1+D168)*F162+MAX(H165:H166)*(1+D168)*F165+D167)*J154,SUM(G226:G237))</f>
        <v>2.2142857142857144</v>
      </c>
      <c r="E240" s="1"/>
      <c r="F240" s="1"/>
      <c r="G240" s="1"/>
      <c r="H240" s="8"/>
      <c r="I240" s="8"/>
      <c r="J240" s="9"/>
      <c r="K240" s="1"/>
      <c r="L240" s="319"/>
      <c r="M240" s="319"/>
      <c r="N240" s="319"/>
      <c r="O240" s="319"/>
      <c r="P240" s="319"/>
      <c r="Q240" s="319"/>
      <c r="R240" s="319"/>
      <c r="S240" s="319"/>
      <c r="T240" s="319"/>
      <c r="U240" s="319"/>
      <c r="V240" s="319"/>
      <c r="W240" s="319">
        <v>110730</v>
      </c>
    </row>
    <row r="241" spans="1:23" ht="12.75" hidden="1" customHeight="1">
      <c r="A241" s="12"/>
      <c r="B241" s="8" t="str">
        <f>Language!C387</f>
        <v>Demanda de eletricidade</v>
      </c>
      <c r="C241" s="21" t="str">
        <f>I140</f>
        <v>kWh</v>
      </c>
      <c r="D241" s="88">
        <f>IF(M137=TRUE,SUM(I143:I153)*30.4/7*J141+SUM(I156:I166)*30.4/7*J154,SUM(F226:F237))</f>
        <v>22.142857142857142</v>
      </c>
      <c r="E241" s="1"/>
      <c r="F241" s="1"/>
      <c r="G241" s="1"/>
      <c r="H241" s="8"/>
      <c r="I241" s="8"/>
      <c r="J241" s="9"/>
      <c r="K241" s="1"/>
      <c r="L241" s="319"/>
      <c r="M241" s="319"/>
      <c r="N241" s="319"/>
      <c r="O241" s="319"/>
      <c r="P241" s="319"/>
      <c r="Q241" s="319"/>
      <c r="R241" s="319"/>
      <c r="S241" s="319"/>
      <c r="T241" s="319"/>
      <c r="U241" s="319"/>
      <c r="V241" s="319"/>
      <c r="W241" s="319">
        <v>46018</v>
      </c>
    </row>
    <row r="242" spans="1:23" ht="12.75" hidden="1" customHeight="1">
      <c r="A242" s="12"/>
      <c r="B242" s="8" t="str">
        <f>Language!C467</f>
        <v>Preço da eletricidade</v>
      </c>
      <c r="C242" s="21" t="str">
        <f>Currency&amp;Language!C1297</f>
        <v>€/kWh</v>
      </c>
      <c r="D242" s="242">
        <f>D240/D241</f>
        <v>0.1</v>
      </c>
      <c r="E242" s="1"/>
      <c r="F242" s="1"/>
      <c r="G242" s="1"/>
      <c r="H242" s="8"/>
      <c r="I242" s="8"/>
      <c r="J242" s="9"/>
      <c r="K242" s="1"/>
      <c r="L242" s="319"/>
      <c r="M242" s="319"/>
      <c r="N242" s="319"/>
      <c r="O242" s="319"/>
      <c r="P242" s="319"/>
      <c r="Q242" s="319"/>
      <c r="R242" s="319"/>
      <c r="S242" s="319"/>
      <c r="T242" s="319"/>
      <c r="U242" s="319"/>
      <c r="V242" s="319"/>
      <c r="W242" s="319">
        <v>110734</v>
      </c>
    </row>
    <row r="243" spans="1:23" ht="12.75" hidden="1" customHeight="1">
      <c r="A243" s="14"/>
      <c r="B243" s="15"/>
      <c r="C243" s="15"/>
      <c r="D243" s="15"/>
      <c r="E243" s="15"/>
      <c r="F243" s="15"/>
      <c r="G243" s="15"/>
      <c r="H243" s="15"/>
      <c r="I243" s="15"/>
      <c r="J243" s="11"/>
      <c r="K243" s="1"/>
      <c r="L243" s="319"/>
      <c r="M243" s="319"/>
      <c r="N243" s="319"/>
      <c r="O243" s="319"/>
      <c r="P243" s="319"/>
      <c r="Q243" s="319"/>
      <c r="R243" s="319"/>
      <c r="S243" s="319"/>
      <c r="T243" s="319"/>
      <c r="U243" s="319"/>
      <c r="V243" s="319"/>
      <c r="W243" s="319">
        <v>110700</v>
      </c>
    </row>
    <row r="244" spans="1:23" ht="12.75" hidden="1" customHeight="1">
      <c r="A244" s="1"/>
      <c r="B244" s="1"/>
      <c r="C244" s="1"/>
      <c r="D244" s="1"/>
      <c r="E244" s="1"/>
      <c r="F244" s="1"/>
      <c r="G244" s="1"/>
      <c r="H244" s="1"/>
      <c r="I244" s="1"/>
      <c r="J244" s="1"/>
      <c r="K244" s="1"/>
      <c r="L244" s="319"/>
      <c r="M244" s="319"/>
      <c r="N244" s="319"/>
      <c r="O244" s="319"/>
      <c r="P244" s="319"/>
      <c r="Q244" s="319"/>
      <c r="R244" s="319"/>
      <c r="S244" s="319"/>
      <c r="T244" s="319"/>
      <c r="U244" s="319"/>
      <c r="V244" s="319"/>
      <c r="W244" s="319">
        <v>110000</v>
      </c>
    </row>
    <row r="245" spans="1:23" ht="12.75" hidden="1" customHeight="1">
      <c r="A245" s="1203" t="str">
        <f>Language!C1452</f>
        <v>Equivalência de GEE</v>
      </c>
      <c r="B245" s="1204"/>
      <c r="C245" s="192"/>
      <c r="D245" s="192"/>
      <c r="E245" s="192"/>
      <c r="F245" s="192"/>
      <c r="G245" s="192"/>
      <c r="H245" s="192"/>
      <c r="I245" s="192"/>
      <c r="J245" s="193"/>
      <c r="K245" s="1"/>
      <c r="L245" s="319"/>
      <c r="M245" s="319"/>
      <c r="N245" s="319"/>
      <c r="O245" s="319"/>
      <c r="P245" s="319"/>
      <c r="Q245" s="319"/>
      <c r="R245" s="319"/>
      <c r="S245" s="319"/>
      <c r="T245" s="319"/>
      <c r="U245" s="319"/>
      <c r="V245" s="319"/>
      <c r="W245" s="319">
        <v>110800</v>
      </c>
    </row>
    <row r="246" spans="1:23" ht="12.75" hidden="1" customHeight="1">
      <c r="A246" s="12"/>
      <c r="B246" s="8"/>
      <c r="C246" s="8"/>
      <c r="D246" s="8"/>
      <c r="E246" s="8"/>
      <c r="F246" s="8"/>
      <c r="G246" s="8"/>
      <c r="H246" s="8"/>
      <c r="I246" s="8"/>
      <c r="J246" s="9"/>
      <c r="K246" s="1"/>
      <c r="L246" s="319"/>
      <c r="M246" s="319"/>
      <c r="N246" s="319"/>
      <c r="O246" s="319"/>
      <c r="P246" s="319"/>
      <c r="Q246" s="319"/>
      <c r="R246" s="319"/>
      <c r="S246" s="319"/>
      <c r="T246" s="319"/>
      <c r="U246" s="319"/>
      <c r="V246" s="319"/>
      <c r="W246" s="319">
        <v>110800</v>
      </c>
    </row>
    <row r="247" spans="1:23" ht="12.75" hidden="1" customHeight="1">
      <c r="A247" s="12"/>
      <c r="B247" s="8" t="str">
        <f>Language!C619</f>
        <v>Redução anual líquida de emissões de GEE</v>
      </c>
      <c r="C247" s="303">
        <v>1</v>
      </c>
      <c r="D247" s="21" t="str">
        <f>Language!C1409</f>
        <v>tCO2</v>
      </c>
      <c r="E247" s="8" t="str">
        <f>Language!C839</f>
        <v>é equivalente a</v>
      </c>
      <c r="F247" s="236">
        <f>VLOOKUP(G247,$E$691:$F$698,2,FALSE)/VLOOKUP(D247,$E$691:$F$698,2,FALSE)*C247</f>
        <v>0.18315018315018314</v>
      </c>
      <c r="G247" s="1339" t="s">
        <v>6805</v>
      </c>
      <c r="H247" s="1340"/>
      <c r="I247" s="1340"/>
      <c r="J247" s="1341"/>
      <c r="K247" s="1"/>
      <c r="L247" s="319"/>
      <c r="M247" s="319"/>
      <c r="N247" s="319"/>
      <c r="O247" s="319"/>
      <c r="P247" s="319"/>
      <c r="Q247" s="319"/>
      <c r="R247" s="319"/>
      <c r="S247" s="319"/>
      <c r="T247" s="319"/>
      <c r="U247" s="319"/>
      <c r="V247" s="319"/>
      <c r="W247" s="319">
        <v>110800</v>
      </c>
    </row>
    <row r="248" spans="1:23" ht="12.75" hidden="1" customHeight="1">
      <c r="A248" s="14"/>
      <c r="B248" s="15"/>
      <c r="C248" s="15"/>
      <c r="D248" s="15"/>
      <c r="E248" s="15"/>
      <c r="F248" s="15"/>
      <c r="G248" s="15"/>
      <c r="H248" s="15"/>
      <c r="I248" s="15"/>
      <c r="J248" s="11"/>
      <c r="K248" s="1"/>
      <c r="L248" s="319"/>
      <c r="M248" s="319"/>
      <c r="N248" s="319"/>
      <c r="O248" s="319"/>
      <c r="P248" s="319"/>
      <c r="Q248" s="319"/>
      <c r="R248" s="319"/>
      <c r="S248" s="319"/>
      <c r="T248" s="319"/>
      <c r="U248" s="319"/>
      <c r="V248" s="319"/>
      <c r="W248" s="319">
        <v>110800</v>
      </c>
    </row>
    <row r="249" spans="1:23" ht="12.75" hidden="1" customHeight="1">
      <c r="A249" s="46"/>
      <c r="B249" s="8"/>
      <c r="C249" s="8"/>
      <c r="D249" s="8"/>
      <c r="E249" s="8"/>
      <c r="F249" s="8"/>
      <c r="G249" s="8"/>
      <c r="H249" s="8"/>
      <c r="I249" s="8"/>
      <c r="J249" s="8"/>
      <c r="K249" s="1"/>
      <c r="L249" s="319"/>
      <c r="M249" s="319"/>
      <c r="N249" s="319"/>
      <c r="O249" s="319"/>
      <c r="P249" s="319"/>
      <c r="Q249" s="319"/>
      <c r="R249" s="319"/>
      <c r="S249" s="319"/>
      <c r="T249" s="319"/>
      <c r="U249" s="319"/>
      <c r="V249" s="319"/>
      <c r="W249" s="319">
        <v>110000</v>
      </c>
    </row>
    <row r="250" spans="1:23" ht="12.75" hidden="1" customHeight="1">
      <c r="A250" s="1203" t="str">
        <f>Language!C1706</f>
        <v>Trocador de calor com o solo</v>
      </c>
      <c r="B250" s="1204"/>
      <c r="C250" s="147"/>
      <c r="D250" s="147"/>
      <c r="E250" s="147"/>
      <c r="F250" s="147"/>
      <c r="G250" s="147"/>
      <c r="H250" s="147"/>
      <c r="I250" s="147"/>
      <c r="J250" s="148"/>
      <c r="K250" s="1"/>
      <c r="L250" s="319"/>
      <c r="M250" s="319"/>
      <c r="N250" s="319"/>
      <c r="O250" s="319"/>
      <c r="P250" s="319"/>
      <c r="Q250" s="319"/>
      <c r="R250" s="319"/>
      <c r="S250" s="319"/>
      <c r="T250" s="319"/>
      <c r="U250" s="319"/>
      <c r="V250" s="319"/>
      <c r="W250" s="319">
        <v>110900</v>
      </c>
    </row>
    <row r="251" spans="1:23" ht="12.75" hidden="1" customHeight="1">
      <c r="A251" s="12"/>
      <c r="B251" s="8"/>
      <c r="C251" s="8"/>
      <c r="D251" s="8"/>
      <c r="E251" s="8"/>
      <c r="F251" s="8"/>
      <c r="G251" s="8"/>
      <c r="H251" s="8"/>
      <c r="I251" s="8"/>
      <c r="J251" s="9"/>
      <c r="K251" s="1"/>
      <c r="L251" s="319"/>
      <c r="M251" s="319"/>
      <c r="N251" s="319"/>
      <c r="O251" s="319"/>
      <c r="P251" s="319"/>
      <c r="Q251" s="319"/>
      <c r="R251" s="319"/>
      <c r="S251" s="319"/>
      <c r="T251" s="319"/>
      <c r="U251" s="319"/>
      <c r="V251" s="319"/>
      <c r="W251" s="319">
        <v>110900</v>
      </c>
    </row>
    <row r="252" spans="1:23" ht="12.75" hidden="1" customHeight="1">
      <c r="A252" s="12"/>
      <c r="B252" s="153" t="str">
        <f>Lang_ES_HeatPump</f>
        <v>Bomba de calor</v>
      </c>
      <c r="C252" s="45" t="str">
        <f>C426</f>
        <v>Unidade</v>
      </c>
      <c r="D252" s="45" t="str">
        <f>G981</f>
        <v>Aquecimento</v>
      </c>
      <c r="E252" s="196" t="str">
        <f>G982</f>
        <v>Refrigeração</v>
      </c>
      <c r="F252" s="8"/>
      <c r="G252" s="8"/>
      <c r="H252" s="8"/>
      <c r="I252" s="8"/>
      <c r="J252" s="9"/>
      <c r="K252" s="1"/>
      <c r="L252" s="319"/>
      <c r="M252" s="319"/>
      <c r="N252" s="319"/>
      <c r="O252" s="319"/>
      <c r="P252" s="319"/>
      <c r="Q252" s="319"/>
      <c r="R252" s="319"/>
      <c r="S252" s="319"/>
      <c r="T252" s="319"/>
      <c r="U252" s="319"/>
      <c r="V252" s="319"/>
      <c r="W252" s="319">
        <v>110902</v>
      </c>
    </row>
    <row r="253" spans="1:23" ht="12.75" hidden="1" customHeight="1">
      <c r="A253" s="12"/>
      <c r="B253" s="8" t="str">
        <f>Capacity</f>
        <v>Capacidade</v>
      </c>
      <c r="C253" s="303" t="s">
        <v>5700</v>
      </c>
      <c r="D253" s="427"/>
      <c r="E253" s="427"/>
      <c r="F253" s="8"/>
      <c r="G253" s="8"/>
      <c r="H253" s="8"/>
      <c r="I253" s="1248" t="str">
        <f>Language!C61</f>
        <v>Ver banco de dados de produtos</v>
      </c>
      <c r="J253" s="1249"/>
      <c r="K253" s="1"/>
      <c r="L253" s="959"/>
      <c r="M253" s="319"/>
      <c r="N253" s="319" t="s">
        <v>5700</v>
      </c>
      <c r="O253" s="319">
        <f>IF(C253=$C$685,D253,IF(C253=$C$686,D253/$F$750,D253/$F$748))</f>
        <v>0</v>
      </c>
      <c r="P253" s="319">
        <f>IF(C253=$C$685,E253,IF(C253=$C$686,E253/$F$750,E253/$F$748))</f>
        <v>0</v>
      </c>
      <c r="Q253" s="319"/>
      <c r="R253" s="319"/>
      <c r="S253" s="319"/>
      <c r="T253" s="319"/>
      <c r="U253" s="319"/>
      <c r="V253" s="319"/>
      <c r="W253" s="319">
        <v>110904</v>
      </c>
    </row>
    <row r="254" spans="1:23" ht="12.75" hidden="1" customHeight="1">
      <c r="A254" s="12"/>
      <c r="B254" s="8" t="str">
        <f>H139</f>
        <v>Carga média</v>
      </c>
      <c r="C254" s="303" t="s">
        <v>5700</v>
      </c>
      <c r="D254" s="395"/>
      <c r="E254" s="395"/>
      <c r="F254" s="8"/>
      <c r="G254" s="8"/>
      <c r="H254" s="8"/>
      <c r="I254" s="8"/>
      <c r="J254" s="9"/>
      <c r="K254" s="1"/>
      <c r="L254" s="467" t="s">
        <v>3792</v>
      </c>
      <c r="M254" s="556"/>
      <c r="N254" s="319" t="s">
        <v>5700</v>
      </c>
      <c r="O254" s="319">
        <f>IF(C254=$C$685,D254,IF(C254=$C$686,D254/$F$750,D254/$F$748))</f>
        <v>0</v>
      </c>
      <c r="P254" s="319">
        <f>IF(C254=$C$685,E254,IF(C254=$C$686,E254/$F$750,E254/$F$748))</f>
        <v>0</v>
      </c>
      <c r="Q254" s="556"/>
      <c r="R254" s="556"/>
      <c r="S254" s="556"/>
      <c r="T254" s="556"/>
      <c r="U254" s="556"/>
      <c r="V254" s="556"/>
      <c r="W254" s="319">
        <v>110906</v>
      </c>
    </row>
    <row r="255" spans="1:23" ht="12.75" hidden="1" customHeight="1">
      <c r="A255" s="12"/>
      <c r="B255" s="8" t="str">
        <f>PDLabel2</f>
        <v>Fabricante</v>
      </c>
      <c r="C255" s="1152"/>
      <c r="D255" s="1235"/>
      <c r="E255" s="1236"/>
      <c r="F255" s="8"/>
      <c r="G255" s="8"/>
      <c r="H255" s="8"/>
      <c r="I255" s="8"/>
      <c r="J255" s="9"/>
      <c r="K255" s="1"/>
      <c r="L255" s="960"/>
      <c r="M255" s="319"/>
      <c r="N255" s="319"/>
      <c r="O255" s="319"/>
      <c r="P255" s="319"/>
      <c r="Q255" s="319"/>
      <c r="R255" s="319"/>
      <c r="S255" s="319"/>
      <c r="T255" s="319"/>
      <c r="U255" s="319"/>
      <c r="V255" s="319"/>
      <c r="W255" s="319">
        <v>2050012</v>
      </c>
    </row>
    <row r="256" spans="1:23" ht="12.75" hidden="1" customHeight="1">
      <c r="A256" s="12"/>
      <c r="B256" s="8" t="str">
        <f>PDLabelModel</f>
        <v>Modelo</v>
      </c>
      <c r="C256" s="1152"/>
      <c r="D256" s="1235"/>
      <c r="E256" s="1236"/>
      <c r="F256" s="8" t="str">
        <f>L253  &amp; Lang_Unit</f>
        <v xml:space="preserve"> unidade(s)</v>
      </c>
      <c r="G256" s="8"/>
      <c r="H256" s="8"/>
      <c r="I256" s="8"/>
      <c r="J256" s="9"/>
      <c r="K256" s="1"/>
      <c r="L256" s="319"/>
      <c r="M256" s="319"/>
      <c r="N256" s="319"/>
      <c r="O256" s="319"/>
      <c r="P256" s="319"/>
      <c r="Q256" s="319"/>
      <c r="R256" s="319"/>
      <c r="S256" s="319"/>
      <c r="T256" s="319"/>
      <c r="U256" s="319"/>
      <c r="V256" s="319"/>
      <c r="W256" s="319">
        <v>2050014</v>
      </c>
    </row>
    <row r="257" spans="1:23" ht="12.75" hidden="1" customHeight="1">
      <c r="A257" s="12"/>
      <c r="B257" s="8" t="str">
        <f>B298</f>
        <v>Eficiência</v>
      </c>
      <c r="C257" s="419" t="s">
        <v>7491</v>
      </c>
      <c r="D257" s="1"/>
      <c r="E257" s="8"/>
      <c r="F257" s="8"/>
      <c r="G257" s="8"/>
      <c r="H257" s="8"/>
      <c r="I257" s="8"/>
      <c r="J257" s="9"/>
      <c r="K257" s="1"/>
      <c r="L257" s="319"/>
      <c r="M257" s="319">
        <f>MATCH(C257,I976:I979,0)</f>
        <v>3</v>
      </c>
      <c r="N257" s="319"/>
      <c r="O257" s="319"/>
      <c r="P257" s="319"/>
      <c r="Q257" s="319"/>
      <c r="R257" s="319"/>
      <c r="S257" s="319"/>
      <c r="T257" s="319"/>
      <c r="U257" s="319"/>
      <c r="V257" s="319"/>
      <c r="W257" s="319">
        <v>110912</v>
      </c>
    </row>
    <row r="258" spans="1:23" ht="12.75" hidden="1" customHeight="1">
      <c r="A258" s="12"/>
      <c r="B258" s="8" t="str">
        <f>Language!C1543</f>
        <v>Coeficiente de desempenho - projeto</v>
      </c>
      <c r="C258" s="21"/>
      <c r="D258" s="550">
        <f>B1007</f>
        <v>4</v>
      </c>
      <c r="E258" s="550">
        <f>C1007</f>
        <v>5.5</v>
      </c>
      <c r="F258" s="8"/>
      <c r="G258" s="8"/>
      <c r="H258" s="8"/>
      <c r="I258" s="8"/>
      <c r="J258" s="9"/>
      <c r="K258" s="1"/>
      <c r="L258" s="319"/>
      <c r="M258" s="556"/>
      <c r="N258" s="319"/>
      <c r="O258" s="319"/>
      <c r="P258" s="319"/>
      <c r="Q258" s="319"/>
      <c r="R258" s="319"/>
      <c r="S258" s="319"/>
      <c r="T258" s="319"/>
      <c r="U258" s="319"/>
      <c r="V258" s="319"/>
      <c r="W258" s="319">
        <v>110914</v>
      </c>
    </row>
    <row r="259" spans="1:23" ht="12.75" hidden="1" customHeight="1">
      <c r="A259" s="12"/>
      <c r="B259" s="8" t="str">
        <f>B258</f>
        <v>Coeficiente de desempenho - projeto</v>
      </c>
      <c r="C259" s="21"/>
      <c r="D259" s="452"/>
      <c r="E259" s="452"/>
      <c r="F259" s="8"/>
      <c r="G259" s="8"/>
      <c r="H259" s="8"/>
      <c r="I259" s="8"/>
      <c r="J259" s="9"/>
      <c r="K259" s="1"/>
      <c r="L259" s="319"/>
      <c r="M259" s="319"/>
      <c r="N259" s="319"/>
      <c r="O259" s="319"/>
      <c r="P259" s="319"/>
      <c r="Q259" s="319"/>
      <c r="R259" s="319"/>
      <c r="S259" s="319"/>
      <c r="T259" s="319"/>
      <c r="U259" s="319"/>
      <c r="V259" s="319"/>
      <c r="W259" s="319">
        <v>110914</v>
      </c>
    </row>
    <row r="260" spans="1:23" ht="12.75" hidden="1" customHeight="1">
      <c r="A260" s="12"/>
      <c r="B260" s="8"/>
      <c r="C260" s="21"/>
      <c r="D260" s="1"/>
      <c r="E260" s="8"/>
      <c r="F260" s="8"/>
      <c r="G260" s="8"/>
      <c r="H260" s="8"/>
      <c r="I260" s="8"/>
      <c r="J260" s="9"/>
      <c r="K260" s="1"/>
      <c r="L260" s="319"/>
      <c r="M260" s="319"/>
      <c r="N260" s="319"/>
      <c r="O260" s="319"/>
      <c r="P260" s="319"/>
      <c r="Q260" s="319"/>
      <c r="R260" s="319"/>
      <c r="S260" s="319"/>
      <c r="T260" s="319"/>
      <c r="U260" s="319"/>
      <c r="V260" s="319"/>
      <c r="W260" s="319">
        <v>110902</v>
      </c>
    </row>
    <row r="261" spans="1:23" ht="38.25" hidden="1" customHeight="1">
      <c r="A261" s="12"/>
      <c r="B261" s="153" t="str">
        <f>Language!C1974</f>
        <v>Condições do site</v>
      </c>
      <c r="C261" s="196" t="str">
        <f>C426</f>
        <v>Unidade</v>
      </c>
      <c r="D261" s="20" t="str">
        <f>Language!C182</f>
        <v>Localização do Projeto</v>
      </c>
      <c r="E261" s="20" t="str">
        <f>Language!C1538</f>
        <v>Localização dos dados climáticos</v>
      </c>
      <c r="F261" s="8"/>
      <c r="G261" s="8"/>
      <c r="H261" s="8"/>
      <c r="I261" s="8"/>
      <c r="J261" s="9"/>
      <c r="K261" s="1"/>
      <c r="L261" s="319"/>
      <c r="M261" s="319"/>
      <c r="N261" s="319"/>
      <c r="O261" s="319"/>
      <c r="P261" s="319"/>
      <c r="Q261" s="319"/>
      <c r="R261" s="319"/>
      <c r="S261" s="319"/>
      <c r="T261" s="319"/>
      <c r="U261" s="319"/>
      <c r="V261" s="319"/>
      <c r="W261" s="319">
        <v>110918</v>
      </c>
    </row>
    <row r="262" spans="1:23" ht="12.75" hidden="1" customHeight="1">
      <c r="A262" s="12"/>
      <c r="B262" s="8" t="str">
        <f>Language!C1978</f>
        <v>Tipo de Solo</v>
      </c>
      <c r="C262" s="8"/>
      <c r="D262" s="419" t="s">
        <v>7559</v>
      </c>
      <c r="E262" s="21"/>
      <c r="F262" s="8"/>
      <c r="G262" s="8"/>
      <c r="H262" s="8"/>
      <c r="I262" s="8"/>
      <c r="J262" s="9"/>
      <c r="K262" s="1"/>
      <c r="L262" s="319"/>
      <c r="M262" s="319">
        <f>MATCH(D262,B987:B994,0)</f>
        <v>1</v>
      </c>
      <c r="N262" s="319"/>
      <c r="O262" s="319"/>
      <c r="P262" s="319"/>
      <c r="Q262" s="319"/>
      <c r="R262" s="319"/>
      <c r="S262" s="319"/>
      <c r="T262" s="319"/>
      <c r="U262" s="319"/>
      <c r="V262" s="319"/>
      <c r="W262" s="319">
        <v>110920</v>
      </c>
    </row>
    <row r="263" spans="1:23" ht="12.75" hidden="1" customHeight="1">
      <c r="A263" s="12"/>
      <c r="B263" s="8" t="str">
        <f>Language!C1149</f>
        <v>Temperatura do Solo</v>
      </c>
      <c r="C263" s="303" t="s">
        <v>5568</v>
      </c>
      <c r="D263" s="382"/>
      <c r="E263" s="236">
        <f>1/(IF(C263="",1,VLOOKUP(C263,$C$672:$D$673,2,FALSE)))*(Iniciar!S70+40)-40</f>
        <v>16.866465753424656</v>
      </c>
      <c r="F263" s="8"/>
      <c r="G263" s="8"/>
      <c r="H263" s="8"/>
      <c r="I263" s="8"/>
      <c r="J263" s="9"/>
      <c r="K263" s="1"/>
      <c r="L263" s="319"/>
      <c r="M263" s="319"/>
      <c r="N263" s="319" t="s">
        <v>144</v>
      </c>
      <c r="O263" s="319">
        <f>IF(C263=$C$672,D263,(D263-32)/1.8)</f>
        <v>0</v>
      </c>
      <c r="P263" s="319"/>
      <c r="Q263" s="319"/>
      <c r="R263" s="319"/>
      <c r="S263" s="319"/>
      <c r="T263" s="319"/>
      <c r="U263" s="319"/>
      <c r="V263" s="319"/>
      <c r="W263" s="319">
        <v>110922</v>
      </c>
    </row>
    <row r="264" spans="1:23" ht="12.75" hidden="1" customHeight="1">
      <c r="A264" s="12"/>
      <c r="B264" s="8" t="str">
        <f>Language!C1150</f>
        <v>Amplitude da Temperatura do Solo</v>
      </c>
      <c r="C264" s="303" t="s">
        <v>5568</v>
      </c>
      <c r="D264" s="382"/>
      <c r="E264" s="236">
        <f>1/(IF(C264="",1,VLOOKUP(C264,$C$672:$D$673,2,FALSE)))*(Iniciar!P54)</f>
        <v>18.43</v>
      </c>
      <c r="F264" s="8"/>
      <c r="G264" s="8"/>
      <c r="H264" s="8"/>
      <c r="I264" s="8"/>
      <c r="J264" s="9"/>
      <c r="K264" s="1"/>
      <c r="L264" s="319"/>
      <c r="M264" s="319"/>
      <c r="N264" s="319" t="s">
        <v>144</v>
      </c>
      <c r="O264" s="319">
        <f>IF(C264=$C$672,D264,(D264-32)/1.8)</f>
        <v>0</v>
      </c>
      <c r="P264" s="319"/>
      <c r="Q264" s="319"/>
      <c r="R264" s="319"/>
      <c r="S264" s="319"/>
      <c r="T264" s="319"/>
      <c r="U264" s="319"/>
      <c r="V264" s="319"/>
      <c r="W264" s="319">
        <v>110924</v>
      </c>
    </row>
    <row r="265" spans="1:23" ht="12.75" hidden="1" customHeight="1">
      <c r="A265" s="12"/>
      <c r="B265" s="8" t="str">
        <f>Language!C1804</f>
        <v>Medido a</v>
      </c>
      <c r="C265" s="303" t="s">
        <v>5569</v>
      </c>
      <c r="D265" s="395"/>
      <c r="E265" s="236">
        <f>IF(C265=$C$683,Iniciar!Q71,Iniciar!Q71*$F$723)</f>
        <v>0</v>
      </c>
      <c r="F265" s="8"/>
      <c r="G265" s="8"/>
      <c r="H265" s="8"/>
      <c r="I265" s="8"/>
      <c r="J265" s="9"/>
      <c r="K265" s="1"/>
      <c r="L265" s="319"/>
      <c r="M265" s="319"/>
      <c r="N265" s="319" t="s">
        <v>5569</v>
      </c>
      <c r="O265" s="319">
        <f>IF(C265=$C$683,D265,D265/F723)</f>
        <v>0</v>
      </c>
      <c r="P265" s="319"/>
      <c r="Q265" s="319"/>
      <c r="R265" s="319"/>
      <c r="S265" s="319"/>
      <c r="T265" s="319"/>
      <c r="U265" s="319"/>
      <c r="V265" s="319"/>
      <c r="W265" s="319">
        <v>110926</v>
      </c>
    </row>
    <row r="266" spans="1:23" ht="12.75" hidden="1" customHeight="1">
      <c r="A266" s="12"/>
      <c r="B266" s="8"/>
      <c r="C266" s="21"/>
      <c r="D266" s="1"/>
      <c r="E266" s="8"/>
      <c r="F266" s="8"/>
      <c r="G266" s="8"/>
      <c r="H266" s="8"/>
      <c r="I266" s="8"/>
      <c r="J266" s="9"/>
      <c r="K266" s="1"/>
      <c r="L266" s="319"/>
      <c r="M266" s="319"/>
      <c r="N266" s="319"/>
      <c r="O266" s="319"/>
      <c r="P266" s="319"/>
      <c r="Q266" s="319"/>
      <c r="R266" s="319"/>
      <c r="S266" s="319"/>
      <c r="T266" s="319"/>
      <c r="U266" s="319"/>
      <c r="V266" s="319"/>
      <c r="W266" s="319">
        <v>110918</v>
      </c>
    </row>
    <row r="267" spans="1:23" ht="12.75" hidden="1" customHeight="1">
      <c r="A267" s="12"/>
      <c r="B267" s="153" t="str">
        <f>A250</f>
        <v>Trocador de calor com o solo</v>
      </c>
      <c r="C267" s="21"/>
      <c r="D267" s="8"/>
      <c r="E267" s="8"/>
      <c r="F267" s="8"/>
      <c r="G267" s="8"/>
      <c r="H267" s="8"/>
      <c r="I267" s="8"/>
      <c r="J267" s="9"/>
      <c r="K267" s="1"/>
      <c r="L267" s="319"/>
      <c r="M267" s="319"/>
      <c r="N267" s="319"/>
      <c r="O267" s="319"/>
      <c r="P267" s="319"/>
      <c r="Q267" s="319"/>
      <c r="R267" s="319"/>
      <c r="S267" s="319"/>
      <c r="T267" s="319"/>
      <c r="U267" s="319"/>
      <c r="V267" s="319"/>
      <c r="W267" s="319">
        <v>110928</v>
      </c>
    </row>
    <row r="268" spans="1:23" ht="12.75" hidden="1" customHeight="1">
      <c r="A268" s="12"/>
      <c r="B268" s="8" t="str">
        <f>Language!C200</f>
        <v>Tipo</v>
      </c>
      <c r="C268" s="1133" t="s">
        <v>7494</v>
      </c>
      <c r="D268" s="1134"/>
      <c r="E268" s="1135"/>
      <c r="F268" s="8"/>
      <c r="G268" s="8"/>
      <c r="H268" s="8"/>
      <c r="I268" s="8"/>
      <c r="J268" s="9"/>
      <c r="K268" s="1"/>
      <c r="L268" s="319">
        <f>IF(C268="",0, IF(C268 = B976, 1,MATCH(C268,B976:B978,0)))</f>
        <v>2</v>
      </c>
      <c r="M268" s="319">
        <f>MATCH(D269,G981:G982,0)</f>
        <v>1</v>
      </c>
      <c r="N268" s="319"/>
      <c r="O268" s="319"/>
      <c r="P268" s="319"/>
      <c r="Q268" s="319"/>
      <c r="R268" s="319"/>
      <c r="S268" s="319"/>
      <c r="T268" s="319"/>
      <c r="U268" s="319"/>
      <c r="V268" s="319"/>
      <c r="W268" s="319">
        <v>110928</v>
      </c>
    </row>
    <row r="269" spans="1:23" ht="12.75" hidden="1" customHeight="1">
      <c r="A269" s="12"/>
      <c r="B269" s="8" t="str">
        <f>Language!C1591</f>
        <v>Critério de projeto</v>
      </c>
      <c r="C269" s="21"/>
      <c r="D269" s="306" t="s">
        <v>6084</v>
      </c>
      <c r="E269" s="8"/>
      <c r="F269" s="8"/>
      <c r="G269" s="8"/>
      <c r="H269" s="8"/>
      <c r="I269" s="8"/>
      <c r="J269" s="9"/>
      <c r="K269" s="1"/>
      <c r="L269" s="319"/>
      <c r="M269" s="319"/>
      <c r="N269" s="319"/>
      <c r="O269" s="319"/>
      <c r="P269" s="319"/>
      <c r="Q269" s="319"/>
      <c r="R269" s="319"/>
      <c r="S269" s="319"/>
      <c r="T269" s="319"/>
      <c r="U269" s="319"/>
      <c r="V269" s="319"/>
      <c r="W269" s="319">
        <v>110928</v>
      </c>
    </row>
    <row r="270" spans="1:23" ht="12.75" hidden="1" customHeight="1">
      <c r="A270" s="12"/>
      <c r="B270" s="8" t="str">
        <f>Language!C1768</f>
        <v>Área do terreno</v>
      </c>
      <c r="C270" s="303" t="s">
        <v>5430</v>
      </c>
      <c r="D270" s="307"/>
      <c r="E270" s="88" t="e">
        <f ca="1">IF(L268=1,(INDEX(G1025:K1025,0,5-M274+IF(L268=1,1,0))/12*0.3048)^2/4*PI()*MAX(1,INT(N275/100)),IF(L268=2,N275/2*INDEX(G1025:J1025,0,4-M274+IF(L268=1,1,0))/12*0.3048,N275/2*113*2))*IF(C270=E727,1,F728)</f>
        <v>#DIV/0!</v>
      </c>
      <c r="F270" s="551" t="e">
        <f ca="1">IF(E270&gt;D270,B982,"")</f>
        <v>#DIV/0!</v>
      </c>
      <c r="G270" s="8"/>
      <c r="H270" s="8"/>
      <c r="I270" s="8"/>
      <c r="J270" s="9"/>
      <c r="K270" s="1"/>
      <c r="L270" s="319"/>
      <c r="M270" s="319"/>
      <c r="N270" s="319" t="s">
        <v>2575</v>
      </c>
      <c r="O270" s="319">
        <f>IF(C270=D683,D270,D270/F728)</f>
        <v>0</v>
      </c>
      <c r="P270" s="319"/>
      <c r="Q270" s="319"/>
      <c r="R270" s="319"/>
      <c r="S270" s="319"/>
      <c r="T270" s="319"/>
      <c r="U270" s="319"/>
      <c r="V270" s="319"/>
      <c r="W270" s="319">
        <v>110928</v>
      </c>
    </row>
    <row r="271" spans="1:23" ht="12.75" hidden="1" customHeight="1">
      <c r="A271" s="12"/>
      <c r="B271" s="8" t="str">
        <f>Language!C1921</f>
        <v>Altura de bombeamento</v>
      </c>
      <c r="C271" s="303" t="s">
        <v>5569</v>
      </c>
      <c r="D271" s="303"/>
      <c r="E271" s="88"/>
      <c r="F271" s="8"/>
      <c r="G271" s="8"/>
      <c r="H271" s="8"/>
      <c r="I271" s="8"/>
      <c r="J271" s="9"/>
      <c r="K271" s="1"/>
      <c r="L271" s="319">
        <f>IF(L268=3,1,0)</f>
        <v>0</v>
      </c>
      <c r="M271" s="319"/>
      <c r="N271" s="319" t="s">
        <v>5569</v>
      </c>
      <c r="O271" s="319">
        <f>IF(C271=$C$683,D271,D271/$F$723)</f>
        <v>0</v>
      </c>
      <c r="P271" s="319"/>
      <c r="Q271" s="319"/>
      <c r="R271" s="319"/>
      <c r="S271" s="319"/>
      <c r="T271" s="319"/>
      <c r="U271" s="319"/>
      <c r="V271" s="319"/>
      <c r="W271" s="319">
        <v>110928</v>
      </c>
    </row>
    <row r="272" spans="1:23" ht="12.75" hidden="1" customHeight="1">
      <c r="A272" s="12"/>
      <c r="B272" s="8" t="str">
        <f>Language!C1773</f>
        <v>Configuração</v>
      </c>
      <c r="C272" s="21"/>
      <c r="D272" s="303" t="s">
        <v>6129</v>
      </c>
      <c r="E272" s="8"/>
      <c r="F272" s="1"/>
      <c r="G272" s="8"/>
      <c r="H272" s="8"/>
      <c r="I272" s="8"/>
      <c r="J272" s="9"/>
      <c r="K272" s="1"/>
      <c r="L272" s="319">
        <f>IF(L268=3,0,1)</f>
        <v>1</v>
      </c>
      <c r="M272" s="319"/>
      <c r="N272" s="319"/>
      <c r="O272" s="319"/>
      <c r="P272" s="319"/>
      <c r="Q272" s="319"/>
      <c r="R272" s="319"/>
      <c r="S272" s="319"/>
      <c r="T272" s="319"/>
      <c r="U272" s="319"/>
      <c r="V272" s="319"/>
      <c r="W272" s="319">
        <v>110928</v>
      </c>
    </row>
    <row r="273" spans="1:23" ht="12.75" hidden="1" customHeight="1">
      <c r="A273" s="12"/>
      <c r="B273" s="8" t="str">
        <f>Language!C2078</f>
        <v>Profundidade do poço</v>
      </c>
      <c r="C273" s="303" t="s">
        <v>5569</v>
      </c>
      <c r="D273" s="307"/>
      <c r="E273" s="1"/>
      <c r="F273" s="1"/>
      <c r="G273" s="8"/>
      <c r="H273" s="1"/>
      <c r="I273" s="1"/>
      <c r="J273" s="9"/>
      <c r="K273" s="1"/>
      <c r="L273" s="319">
        <f>IF(L268=3,1,0)</f>
        <v>0</v>
      </c>
      <c r="M273" s="319"/>
      <c r="N273" s="319" t="s">
        <v>5569</v>
      </c>
      <c r="O273" s="319">
        <f>IF(C273=$C$683,D273,D273/$F$723)</f>
        <v>0</v>
      </c>
      <c r="P273" s="319"/>
      <c r="Q273" s="319"/>
      <c r="R273" s="319"/>
      <c r="S273" s="319"/>
      <c r="T273" s="319"/>
      <c r="U273" s="319"/>
      <c r="V273" s="319"/>
      <c r="W273" s="319">
        <v>110928</v>
      </c>
    </row>
    <row r="274" spans="1:23" ht="12.75" hidden="1" customHeight="1">
      <c r="A274" s="12"/>
      <c r="B274" s="8" t="str">
        <f>Language!C1801</f>
        <v>Vazão máxima do poço</v>
      </c>
      <c r="C274" s="303" t="s">
        <v>314</v>
      </c>
      <c r="D274" s="399"/>
      <c r="E274" s="8"/>
      <c r="F274" s="1"/>
      <c r="G274" s="1"/>
      <c r="H274" s="1"/>
      <c r="I274" s="1"/>
      <c r="J274" s="9"/>
      <c r="K274" s="1"/>
      <c r="L274" s="319">
        <f>IF(L268=3,1,0)</f>
        <v>0</v>
      </c>
      <c r="M274" s="319">
        <f>MATCH(D272,H976:H978,0)</f>
        <v>1</v>
      </c>
      <c r="N274" s="319" t="s">
        <v>314</v>
      </c>
      <c r="O274" s="319">
        <f>IF(C274=D685,D274,IF(C274=D686,D274/F779,D274/F783))</f>
        <v>0</v>
      </c>
      <c r="P274" s="319"/>
      <c r="Q274" s="319"/>
      <c r="R274" s="319"/>
      <c r="S274" s="319"/>
      <c r="T274" s="319"/>
      <c r="U274" s="319"/>
      <c r="V274" s="319"/>
      <c r="W274" s="319">
        <v>110928</v>
      </c>
    </row>
    <row r="275" spans="1:23" ht="12.75" hidden="1" customHeight="1">
      <c r="A275" s="12"/>
      <c r="B275" s="8" t="str">
        <f>IF(C268=B976,F976,VLOOKUP(C268,B976:H978,5,FALSE))</f>
        <v>Comprimento do circuito</v>
      </c>
      <c r="C275" s="29" t="str">
        <f>IF(L268=3,C274,IF(C270=D683,H981,E723))</f>
        <v>m</v>
      </c>
      <c r="D275" s="88" t="e">
        <f ca="1">N275*IF(L268=3,VLOOKUP(C275,E793:F802,2,FALSE),VLOOKUP(C275,E721:F725,2,FALSE))</f>
        <v>#DIV/0!</v>
      </c>
      <c r="E275" s="8"/>
      <c r="F275" s="1"/>
      <c r="G275" s="8"/>
      <c r="H275" s="1"/>
      <c r="I275" s="1"/>
      <c r="J275" s="9"/>
      <c r="K275" s="1"/>
      <c r="L275" s="319">
        <v>1</v>
      </c>
      <c r="M275" s="319"/>
      <c r="N275" s="871" t="e">
        <f ca="1">IF(L268=3,C1060*0.0631,IF(C1046&gt;0,C1046,0))</f>
        <v>#DIV/0!</v>
      </c>
      <c r="O275" s="319" t="s">
        <v>314</v>
      </c>
      <c r="P275" s="319"/>
      <c r="Q275" s="319"/>
      <c r="R275" s="319"/>
      <c r="S275" s="319"/>
      <c r="T275" s="319"/>
      <c r="U275" s="319"/>
      <c r="V275" s="319"/>
      <c r="W275" s="319">
        <v>110928</v>
      </c>
    </row>
    <row r="276" spans="1:23" ht="12.75" hidden="1" customHeight="1">
      <c r="A276" s="12"/>
      <c r="B276" s="363" t="str">
        <f>IF(C268=B976,H976,VLOOKUP(C268,B976:H978,6,FALSE))</f>
        <v>Comprimento da trincheira</v>
      </c>
      <c r="C276" s="21" t="str">
        <f>IF($L268=3,"",IF(C270=D683,H981,E723))</f>
        <v>m</v>
      </c>
      <c r="D276" s="88" t="e">
        <f ca="1">IF(L268=3,ROUND(N275/O274+0.5,0),IF(N275/2&gt;0,N275/2,0)*VLOOKUP(C276,E721:F725,2,FALSE))</f>
        <v>#DIV/0!</v>
      </c>
      <c r="E276" s="8"/>
      <c r="F276" s="8"/>
      <c r="G276" s="8"/>
      <c r="H276" s="8"/>
      <c r="I276" s="8"/>
      <c r="J276" s="9"/>
      <c r="K276" s="1"/>
      <c r="L276" s="319">
        <f>IF(L268=1,0,1)</f>
        <v>1</v>
      </c>
      <c r="M276" s="319"/>
      <c r="N276" s="319"/>
      <c r="O276" s="319"/>
      <c r="P276" s="319"/>
      <c r="Q276" s="319"/>
      <c r="R276" s="319"/>
      <c r="S276" s="319"/>
      <c r="T276" s="319"/>
      <c r="U276" s="319"/>
      <c r="V276" s="319"/>
      <c r="W276" s="319">
        <v>110928</v>
      </c>
    </row>
    <row r="277" spans="1:23" ht="12.75" hidden="1" customHeight="1">
      <c r="A277" s="12"/>
      <c r="B277" s="8"/>
      <c r="C277" s="8"/>
      <c r="D277" s="8"/>
      <c r="E277" s="8"/>
      <c r="F277" s="8"/>
      <c r="G277" s="8"/>
      <c r="H277" s="8"/>
      <c r="I277" s="8"/>
      <c r="J277" s="9"/>
      <c r="K277" s="1"/>
      <c r="L277" s="319">
        <v>1</v>
      </c>
      <c r="M277" s="319"/>
      <c r="N277" s="319"/>
      <c r="O277" s="319"/>
      <c r="P277" s="319"/>
      <c r="Q277" s="319"/>
      <c r="R277" s="319"/>
      <c r="S277" s="319"/>
      <c r="T277" s="319"/>
      <c r="U277" s="319"/>
      <c r="V277" s="319"/>
      <c r="W277" s="319">
        <v>110928</v>
      </c>
    </row>
    <row r="278" spans="1:23" ht="12.75" hidden="1" customHeight="1">
      <c r="A278" s="12"/>
      <c r="B278" s="8"/>
      <c r="C278" s="8"/>
      <c r="D278" s="8"/>
      <c r="E278" s="196" t="str">
        <f>Language!C502</f>
        <v>Custo unitário</v>
      </c>
      <c r="F278" s="196" t="str">
        <f>C366</f>
        <v>Quantidade</v>
      </c>
      <c r="G278" s="8"/>
      <c r="H278" s="8"/>
      <c r="I278" s="8"/>
      <c r="J278" s="9"/>
      <c r="K278" s="1"/>
      <c r="L278" s="319">
        <v>1</v>
      </c>
      <c r="M278" s="319"/>
      <c r="N278" s="319"/>
      <c r="O278" s="319"/>
      <c r="P278" s="319"/>
      <c r="Q278" s="319"/>
      <c r="R278" s="319"/>
      <c r="S278" s="319"/>
      <c r="T278" s="319"/>
      <c r="U278" s="319"/>
      <c r="V278" s="319"/>
      <c r="W278" s="319">
        <v>110954</v>
      </c>
    </row>
    <row r="279" spans="1:23" ht="12.75" hidden="1" customHeight="1">
      <c r="A279" s="12"/>
      <c r="B279" s="49" t="str">
        <f>Language!C546</f>
        <v>Custos específicos do projeto</v>
      </c>
      <c r="C279" s="33"/>
      <c r="D279" s="128" t="str">
        <f>D31</f>
        <v>Quantidade</v>
      </c>
      <c r="E279" s="128" t="str">
        <f>J140</f>
        <v>€</v>
      </c>
      <c r="F279" s="128" t="str">
        <f>J140</f>
        <v>€</v>
      </c>
      <c r="G279" s="8"/>
      <c r="H279" s="8"/>
      <c r="I279" s="8"/>
      <c r="J279" s="9"/>
      <c r="K279" s="1"/>
      <c r="L279" s="319">
        <v>1</v>
      </c>
      <c r="M279" s="319"/>
      <c r="N279" s="319"/>
      <c r="O279" s="319"/>
      <c r="P279" s="319"/>
      <c r="Q279" s="319"/>
      <c r="R279" s="319"/>
      <c r="S279" s="319"/>
      <c r="T279" s="319"/>
      <c r="U279" s="319"/>
      <c r="V279" s="319"/>
      <c r="W279" s="319">
        <v>110954</v>
      </c>
    </row>
    <row r="280" spans="1:23" ht="12.75" hidden="1" customHeight="1">
      <c r="A280" s="12"/>
      <c r="B280" s="8" t="str">
        <f>Language!C2077</f>
        <v>Bomba do poço</v>
      </c>
      <c r="C280" s="21" t="str">
        <f>$E$745</f>
        <v>kW</v>
      </c>
      <c r="D280" s="550">
        <f>IF(L268=3,C1062,0)</f>
        <v>0</v>
      </c>
      <c r="E280" s="1388"/>
      <c r="F280" s="1385">
        <f>D280*E280</f>
        <v>0</v>
      </c>
      <c r="G280" s="8"/>
      <c r="H280" s="8"/>
      <c r="I280" s="8"/>
      <c r="J280" s="9"/>
      <c r="K280" s="1"/>
      <c r="L280" s="319">
        <f t="shared" ref="L280:L286" si="22">IF(D280=0,0,1)</f>
        <v>0</v>
      </c>
      <c r="M280" s="319"/>
      <c r="N280" s="319"/>
      <c r="O280" s="319"/>
      <c r="P280" s="319"/>
      <c r="Q280" s="319"/>
      <c r="R280" s="319"/>
      <c r="S280" s="319"/>
      <c r="T280" s="319"/>
      <c r="U280" s="319"/>
      <c r="V280" s="319"/>
      <c r="W280" s="319">
        <v>110956</v>
      </c>
    </row>
    <row r="281" spans="1:23" ht="12.75" hidden="1" customHeight="1">
      <c r="A281" s="12"/>
      <c r="B281" s="8" t="str">
        <f>Language!C1529</f>
        <v>Bomba de circulação</v>
      </c>
      <c r="C281" s="21" t="str">
        <f>E745</f>
        <v>kW</v>
      </c>
      <c r="D281" s="236">
        <f>E1019*0.017</f>
        <v>0</v>
      </c>
      <c r="E281" s="1368"/>
      <c r="F281" s="1385">
        <f t="shared" ref="F281:F287" si="23">D281*E281</f>
        <v>0</v>
      </c>
      <c r="G281" s="8"/>
      <c r="H281" s="8"/>
      <c r="I281" s="8"/>
      <c r="J281" s="9"/>
      <c r="K281" s="1"/>
      <c r="L281" s="319">
        <v>1</v>
      </c>
      <c r="M281" s="319"/>
      <c r="N281" s="319"/>
      <c r="O281" s="319"/>
      <c r="P281" s="319"/>
      <c r="Q281" s="319"/>
      <c r="R281" s="319"/>
      <c r="S281" s="319"/>
      <c r="T281" s="319"/>
      <c r="U281" s="319"/>
      <c r="V281" s="319"/>
      <c r="W281" s="319">
        <v>110958</v>
      </c>
    </row>
    <row r="282" spans="1:23" ht="12.75" hidden="1" customHeight="1">
      <c r="A282" s="12"/>
      <c r="B282" s="8" t="str">
        <f>Language!C1528</f>
        <v>Fluido circulante</v>
      </c>
      <c r="C282" s="21" t="str">
        <f>IF(C270=D683,$E$779,E781)</f>
        <v>m³</v>
      </c>
      <c r="D282" s="217">
        <f ca="1">IF(ISERROR(IF(L268&lt;&gt;3,N275*0.03^2*PI()/4*0.25,0)*IF(C282=E779,1,1000/G781)),0,IF(L268&lt;&gt;3,N275*0.03^2*PI()/4*0.25,0)*IF(C282=E779,1,1000/G781))</f>
        <v>0</v>
      </c>
      <c r="E282" s="1368"/>
      <c r="F282" s="1385">
        <f t="shared" ca="1" si="23"/>
        <v>0</v>
      </c>
      <c r="G282" s="8"/>
      <c r="H282" s="8"/>
      <c r="I282" s="8"/>
      <c r="J282" s="9"/>
      <c r="K282" s="1"/>
      <c r="L282" s="319">
        <f t="shared" ca="1" si="22"/>
        <v>0</v>
      </c>
      <c r="M282" s="319"/>
      <c r="N282" s="319"/>
      <c r="O282" s="319"/>
      <c r="P282" s="319"/>
      <c r="Q282" s="319"/>
      <c r="R282" s="319"/>
      <c r="S282" s="319"/>
      <c r="T282" s="319"/>
      <c r="U282" s="319"/>
      <c r="V282" s="319"/>
      <c r="W282" s="319">
        <v>110960</v>
      </c>
    </row>
    <row r="283" spans="1:23" ht="12.75" hidden="1" customHeight="1">
      <c r="A283" s="12"/>
      <c r="B283" s="8" t="str">
        <f>Language!C1718</f>
        <v>Trocador de calor</v>
      </c>
      <c r="C283" s="21" t="str">
        <f>C287</f>
        <v>kW</v>
      </c>
      <c r="D283" s="550">
        <f>IF(L268=3,D287,0)</f>
        <v>0</v>
      </c>
      <c r="E283" s="1368"/>
      <c r="F283" s="1385">
        <f t="shared" si="23"/>
        <v>0</v>
      </c>
      <c r="G283" s="8"/>
      <c r="H283" s="8"/>
      <c r="I283" s="8"/>
      <c r="J283" s="9"/>
      <c r="K283" s="1"/>
      <c r="L283" s="319">
        <f t="shared" si="22"/>
        <v>0</v>
      </c>
      <c r="M283" s="319"/>
      <c r="N283" s="319"/>
      <c r="O283" s="319"/>
      <c r="P283" s="319"/>
      <c r="Q283" s="319"/>
      <c r="R283" s="319"/>
      <c r="S283" s="319"/>
      <c r="T283" s="319"/>
      <c r="U283" s="319"/>
      <c r="V283" s="319"/>
      <c r="W283" s="319">
        <v>110962</v>
      </c>
    </row>
    <row r="284" spans="1:23" ht="12.75" hidden="1" customHeight="1">
      <c r="A284" s="12"/>
      <c r="B284" s="8" t="str">
        <f>Language!C2040</f>
        <v>Escavação &amp; aterramento</v>
      </c>
      <c r="C284" s="21" t="str">
        <f>C276</f>
        <v>m</v>
      </c>
      <c r="D284" s="88">
        <f ca="1">IF(ISERROR(D276),0,IF(L268=2,D276,0))</f>
        <v>0</v>
      </c>
      <c r="E284" s="1368"/>
      <c r="F284" s="1385">
        <f t="shared" ca="1" si="23"/>
        <v>0</v>
      </c>
      <c r="G284" s="8"/>
      <c r="H284" s="8"/>
      <c r="I284" s="8"/>
      <c r="J284" s="9"/>
      <c r="K284" s="1"/>
      <c r="L284" s="319">
        <f t="shared" ca="1" si="22"/>
        <v>0</v>
      </c>
      <c r="M284" s="319"/>
      <c r="N284" s="319"/>
      <c r="O284" s="319"/>
      <c r="P284" s="319"/>
      <c r="Q284" s="319"/>
      <c r="R284" s="319"/>
      <c r="S284" s="319"/>
      <c r="T284" s="319"/>
      <c r="U284" s="319"/>
      <c r="V284" s="319"/>
      <c r="W284" s="319">
        <v>110964</v>
      </c>
    </row>
    <row r="285" spans="1:23" ht="12.75" hidden="1" customHeight="1">
      <c r="A285" s="12"/>
      <c r="B285" s="8" t="str">
        <f>Language!C1610</f>
        <v>Furação &amp; nivelamento</v>
      </c>
      <c r="C285" s="21" t="str">
        <f>C275</f>
        <v>m</v>
      </c>
      <c r="D285" s="88">
        <f>IF(ISERROR(IF(L268&lt;&gt;2,IF(L268=1,D275,D276*O273*2),0)),0,IF(L268&lt;&gt;2,IF(L268=1,D275,D276*O273*2),0))</f>
        <v>0</v>
      </c>
      <c r="E285" s="1368"/>
      <c r="F285" s="1385">
        <f t="shared" si="23"/>
        <v>0</v>
      </c>
      <c r="G285" s="8"/>
      <c r="H285" s="8"/>
      <c r="I285" s="8"/>
      <c r="J285" s="9"/>
      <c r="K285" s="1"/>
      <c r="L285" s="319">
        <f t="shared" si="22"/>
        <v>0</v>
      </c>
      <c r="M285" s="319"/>
      <c r="N285" s="319"/>
      <c r="O285" s="319"/>
      <c r="P285" s="319"/>
      <c r="Q285" s="319"/>
      <c r="R285" s="319"/>
      <c r="S285" s="319"/>
      <c r="T285" s="319"/>
      <c r="U285" s="319"/>
      <c r="V285" s="319"/>
      <c r="W285" s="319">
        <v>110966</v>
      </c>
    </row>
    <row r="286" spans="1:23" ht="12.75" hidden="1" customHeight="1">
      <c r="A286" s="12"/>
      <c r="B286" s="8" t="str">
        <f>Language!C1792</f>
        <v>Tubo do circuito</v>
      </c>
      <c r="C286" s="21" t="str">
        <f>C275</f>
        <v>m</v>
      </c>
      <c r="D286" s="88">
        <f ca="1">IF(ISERROR(IF(L268&lt;&gt;2,IF(L268=1,D275*2,0),D275)),0,IF(L268&lt;&gt;2,IF(L268=1,D275*2,0),D275))</f>
        <v>0</v>
      </c>
      <c r="E286" s="1368"/>
      <c r="F286" s="1385">
        <f t="shared" ca="1" si="23"/>
        <v>0</v>
      </c>
      <c r="G286" s="8"/>
      <c r="H286" s="8"/>
      <c r="I286" s="8"/>
      <c r="J286" s="9"/>
      <c r="K286" s="1"/>
      <c r="L286" s="319">
        <f t="shared" ca="1" si="22"/>
        <v>0</v>
      </c>
      <c r="M286" s="319"/>
      <c r="N286" s="319"/>
      <c r="O286" s="319"/>
      <c r="P286" s="319"/>
      <c r="Q286" s="319"/>
      <c r="R286" s="319"/>
      <c r="S286" s="319"/>
      <c r="T286" s="319"/>
      <c r="U286" s="319"/>
      <c r="V286" s="319"/>
      <c r="W286" s="319">
        <v>110968</v>
      </c>
    </row>
    <row r="287" spans="1:23" ht="12.75" hidden="1" customHeight="1">
      <c r="A287" s="12"/>
      <c r="B287" s="15" t="str">
        <f>Language!C1662</f>
        <v>Válvulas &amp; acessórios</v>
      </c>
      <c r="C287" s="33" t="str">
        <f>C254</f>
        <v>kW</v>
      </c>
      <c r="D287" s="697">
        <f>IF(C287=$C$685,1,IF(C254=$C$686,$F$750,$F$748))*E1019</f>
        <v>0</v>
      </c>
      <c r="E287" s="1368"/>
      <c r="F287" s="1386">
        <f t="shared" si="23"/>
        <v>0</v>
      </c>
      <c r="G287" s="8"/>
      <c r="H287" s="8"/>
      <c r="I287" s="8"/>
      <c r="J287" s="9"/>
      <c r="K287" s="1"/>
      <c r="L287" s="319"/>
      <c r="M287" s="319"/>
      <c r="N287" s="319"/>
      <c r="O287" s="319"/>
      <c r="P287" s="319"/>
      <c r="Q287" s="319"/>
      <c r="R287" s="319"/>
      <c r="S287" s="319"/>
      <c r="T287" s="319"/>
      <c r="U287" s="319"/>
      <c r="V287" s="319"/>
      <c r="W287" s="319">
        <v>110970</v>
      </c>
    </row>
    <row r="288" spans="1:23" ht="12.75" hidden="1" customHeight="1">
      <c r="A288" s="12"/>
      <c r="B288" s="153" t="str">
        <f>C513</f>
        <v>Total</v>
      </c>
      <c r="C288" s="21"/>
      <c r="D288" s="8"/>
      <c r="E288" s="8"/>
      <c r="F288" s="1385">
        <f ca="1">SUM(F280:F287)</f>
        <v>0</v>
      </c>
      <c r="G288" s="8"/>
      <c r="H288" s="8"/>
      <c r="I288" s="8"/>
      <c r="J288" s="9"/>
      <c r="K288" s="1"/>
      <c r="L288" s="319"/>
      <c r="M288" s="319"/>
      <c r="N288" s="319"/>
      <c r="O288" s="319"/>
      <c r="P288" s="319"/>
      <c r="Q288" s="319"/>
      <c r="R288" s="319"/>
      <c r="S288" s="319"/>
      <c r="T288" s="319"/>
      <c r="U288" s="319"/>
      <c r="V288" s="319"/>
      <c r="W288" s="319">
        <v>110972</v>
      </c>
    </row>
    <row r="289" spans="1:23" ht="12.75" hidden="1" customHeight="1">
      <c r="A289" s="14"/>
      <c r="B289" s="15"/>
      <c r="C289" s="15"/>
      <c r="D289" s="15"/>
      <c r="E289" s="15"/>
      <c r="F289" s="15"/>
      <c r="G289" s="15"/>
      <c r="H289" s="15"/>
      <c r="I289" s="15"/>
      <c r="J289" s="11"/>
      <c r="K289" s="1"/>
      <c r="L289" s="319"/>
      <c r="M289" s="319"/>
      <c r="N289" s="319"/>
      <c r="O289" s="319"/>
      <c r="P289" s="319"/>
      <c r="Q289" s="319"/>
      <c r="R289" s="319"/>
      <c r="S289" s="319"/>
      <c r="T289" s="319"/>
      <c r="U289" s="319"/>
      <c r="V289" s="319"/>
      <c r="W289" s="319">
        <v>110900</v>
      </c>
    </row>
    <row r="290" spans="1:23" ht="12.75" hidden="1" customHeight="1">
      <c r="A290" s="5"/>
      <c r="B290" s="8"/>
      <c r="C290" s="8"/>
      <c r="D290" s="8"/>
      <c r="E290" s="8"/>
      <c r="F290" s="8"/>
      <c r="G290" s="8"/>
      <c r="H290" s="8"/>
      <c r="I290" s="8"/>
      <c r="J290" s="8"/>
      <c r="K290" s="1"/>
      <c r="L290" s="319"/>
      <c r="M290" s="319"/>
      <c r="N290" s="319"/>
      <c r="O290" s="319"/>
      <c r="P290" s="319"/>
      <c r="Q290" s="319"/>
      <c r="R290" s="319"/>
      <c r="S290" s="319"/>
      <c r="T290" s="319"/>
      <c r="U290" s="319"/>
      <c r="V290" s="319"/>
      <c r="W290" s="319">
        <v>110000</v>
      </c>
    </row>
    <row r="291" spans="1:23" ht="12.75" hidden="1" customHeight="1">
      <c r="A291" s="1203" t="str">
        <f>B296</f>
        <v>Preço do calor</v>
      </c>
      <c r="B291" s="1204"/>
      <c r="C291" s="1332" t="str">
        <f>Language!C814&amp;" 1"</f>
        <v>Método 1</v>
      </c>
      <c r="D291" s="1332"/>
      <c r="E291" s="147"/>
      <c r="F291" s="1332" t="str">
        <f>Language!C814&amp;" 2"</f>
        <v>Método 2</v>
      </c>
      <c r="G291" s="1332"/>
      <c r="H291" s="147"/>
      <c r="I291" s="1332" t="str">
        <f>Language!C814&amp;" 3"</f>
        <v>Método 3</v>
      </c>
      <c r="J291" s="1333"/>
      <c r="K291" s="1"/>
      <c r="L291" s="319"/>
      <c r="M291" s="319"/>
      <c r="N291" s="319"/>
      <c r="O291" s="319"/>
      <c r="P291" s="319"/>
      <c r="Q291" s="319"/>
      <c r="R291" s="319"/>
      <c r="S291" s="319"/>
      <c r="T291" s="319"/>
      <c r="U291" s="319"/>
      <c r="V291" s="319"/>
      <c r="W291" s="319">
        <v>111000</v>
      </c>
    </row>
    <row r="292" spans="1:23" ht="12.75" hidden="1" customHeight="1">
      <c r="A292" s="12"/>
      <c r="B292" s="8"/>
      <c r="C292" s="8"/>
      <c r="D292" s="8"/>
      <c r="E292" s="8"/>
      <c r="F292" s="8"/>
      <c r="G292" s="8"/>
      <c r="H292" s="8"/>
      <c r="I292" s="8"/>
      <c r="J292" s="9"/>
      <c r="K292" s="1"/>
      <c r="L292" s="319"/>
      <c r="M292" s="319"/>
      <c r="N292" s="319"/>
      <c r="O292" s="319"/>
      <c r="P292" s="319"/>
      <c r="Q292" s="319"/>
      <c r="R292" s="319"/>
      <c r="S292" s="319"/>
      <c r="T292" s="319"/>
      <c r="U292" s="319"/>
      <c r="V292" s="319"/>
      <c r="W292" s="319">
        <v>111000</v>
      </c>
    </row>
    <row r="293" spans="1:23" ht="12.75" hidden="1" customHeight="1">
      <c r="A293" s="12"/>
      <c r="B293" s="8" t="str">
        <f>Language!C427</f>
        <v>Potência elétrica</v>
      </c>
      <c r="C293" s="21" t="str">
        <f>I293</f>
        <v>kW</v>
      </c>
      <c r="D293" s="307"/>
      <c r="E293" s="8"/>
      <c r="F293" s="21" t="str">
        <f>I293</f>
        <v>kW</v>
      </c>
      <c r="G293" s="307"/>
      <c r="H293" s="8"/>
      <c r="I293" s="21" t="str">
        <f>Language!C1364</f>
        <v>kW</v>
      </c>
      <c r="J293" s="307"/>
      <c r="K293" s="1"/>
      <c r="L293" s="319" t="s">
        <v>4241</v>
      </c>
      <c r="M293" s="319" t="s">
        <v>969</v>
      </c>
      <c r="N293" s="319" t="s">
        <v>2576</v>
      </c>
      <c r="O293" s="319"/>
      <c r="P293" s="319"/>
      <c r="Q293" s="319"/>
      <c r="R293" s="319"/>
      <c r="S293" s="319"/>
      <c r="T293" s="319"/>
      <c r="U293" s="319"/>
      <c r="V293" s="319"/>
      <c r="W293" s="319">
        <v>111002</v>
      </c>
    </row>
    <row r="294" spans="1:23" ht="12.75" hidden="1" customHeight="1">
      <c r="A294" s="12"/>
      <c r="B294" s="8" t="str">
        <f>Language!C426</f>
        <v>Combustível necessário</v>
      </c>
      <c r="C294" s="303" t="s">
        <v>5700</v>
      </c>
      <c r="D294" s="307"/>
      <c r="E294" s="8"/>
      <c r="F294" s="303" t="s">
        <v>5700</v>
      </c>
      <c r="G294" s="88">
        <f>IF(F294=$C$666,M294,IF(F294=$C$667,M294*3600,M294*3600/H749))</f>
        <v>0</v>
      </c>
      <c r="H294" s="8"/>
      <c r="I294" s="303" t="s">
        <v>5700</v>
      </c>
      <c r="J294" s="37">
        <f>IF(I294=$C$666,N294,IF(I294=$C$667,N294*3600,N294*3600/$H$749))</f>
        <v>0</v>
      </c>
      <c r="K294" s="1"/>
      <c r="L294" s="319">
        <f>IF(C294=$C$666,D294,IF(C294=$C$667,D294/3600,D294/3600*$H$749))</f>
        <v>0</v>
      </c>
      <c r="M294" s="319">
        <f>M296*G293/3600</f>
        <v>0</v>
      </c>
      <c r="N294" s="319">
        <f>N296*J293/3600</f>
        <v>0</v>
      </c>
      <c r="O294" s="319" t="s">
        <v>5700</v>
      </c>
      <c r="P294" s="319"/>
      <c r="Q294" s="319"/>
      <c r="R294" s="319"/>
      <c r="S294" s="319"/>
      <c r="T294" s="319"/>
      <c r="U294" s="319"/>
      <c r="V294" s="319"/>
      <c r="W294" s="319">
        <v>111004</v>
      </c>
    </row>
    <row r="295" spans="1:23" ht="12.75" hidden="1" customHeight="1">
      <c r="A295" s="12"/>
      <c r="B295" s="8" t="str">
        <f>Language!C431</f>
        <v>Capacidade térmica</v>
      </c>
      <c r="C295" s="303" t="s">
        <v>5700</v>
      </c>
      <c r="D295" s="307"/>
      <c r="E295" s="8"/>
      <c r="F295" s="303" t="s">
        <v>5700</v>
      </c>
      <c r="G295" s="307"/>
      <c r="H295" s="8"/>
      <c r="I295" s="303" t="s">
        <v>5700</v>
      </c>
      <c r="J295" s="37">
        <f>IF(I295=$C$666,N295,IF(I295=$C$667,N295*3600,N295*3600/$H$749))</f>
        <v>0</v>
      </c>
      <c r="K295" s="1"/>
      <c r="L295" s="319">
        <f>IF(C295=$C$666,D295,IF(C295=$C$667,D295/3600,D295/3600*$H$749))</f>
        <v>0</v>
      </c>
      <c r="M295" s="319">
        <f>IF(F295=$C$666,G295,IF(F295=$C$667,G295/3600,G295/3600*$H$749))</f>
        <v>0</v>
      </c>
      <c r="N295" s="319">
        <f>(N294-J293)*J297</f>
        <v>0</v>
      </c>
      <c r="O295" s="319" t="s">
        <v>5700</v>
      </c>
      <c r="P295" s="319"/>
      <c r="Q295" s="319"/>
      <c r="R295" s="319"/>
      <c r="S295" s="319"/>
      <c r="T295" s="319"/>
      <c r="U295" s="319"/>
      <c r="V295" s="319"/>
      <c r="W295" s="319">
        <v>111006</v>
      </c>
    </row>
    <row r="296" spans="1:23" ht="12.75" hidden="1" customHeight="1">
      <c r="A296" s="12"/>
      <c r="B296" s="8" t="str">
        <f>Language!C216</f>
        <v>Preço do calor</v>
      </c>
      <c r="C296" s="303" t="s">
        <v>4213</v>
      </c>
      <c r="D296" s="88" t="str">
        <f>IF(ISERROR(L296/$H$749),"",IF(C296=$C$664,L296,L296/$H$749))</f>
        <v/>
      </c>
      <c r="E296" s="8"/>
      <c r="F296" s="303" t="s">
        <v>4213</v>
      </c>
      <c r="G296" s="307"/>
      <c r="H296" s="8"/>
      <c r="I296" s="303" t="s">
        <v>4213</v>
      </c>
      <c r="J296" s="307"/>
      <c r="K296" s="1"/>
      <c r="L296" s="319" t="e">
        <f>IF(C294=C666,D294*3600/D293,IF(C294=C667,D294/D293,D294*$H$749/D293))</f>
        <v>#DIV/0!</v>
      </c>
      <c r="M296" s="319">
        <f>IF(F296=$C$664,G296,G296*$H$749)</f>
        <v>0</v>
      </c>
      <c r="N296" s="319">
        <f>IF(I296=$C$664,J296,J296*$H$749)</f>
        <v>0</v>
      </c>
      <c r="O296" s="319"/>
      <c r="P296" s="319"/>
      <c r="Q296" s="319"/>
      <c r="R296" s="319"/>
      <c r="S296" s="319"/>
      <c r="T296" s="319"/>
      <c r="U296" s="319"/>
      <c r="V296" s="319"/>
      <c r="W296" s="319">
        <v>111008</v>
      </c>
    </row>
    <row r="297" spans="1:23" ht="12.75" hidden="1" customHeight="1">
      <c r="A297" s="12"/>
      <c r="B297" s="8" t="str">
        <f>Language!C430</f>
        <v>Taxa de recuperação de calor</v>
      </c>
      <c r="C297" s="21" t="str">
        <f>$C$418</f>
        <v>%</v>
      </c>
      <c r="D297" s="227" t="str">
        <f>IF(ISERROR(L295/(L294-D293)),"",L295/(L294-D293))</f>
        <v/>
      </c>
      <c r="E297" s="8"/>
      <c r="F297" s="21" t="str">
        <f>$C$418</f>
        <v>%</v>
      </c>
      <c r="G297" s="227" t="str">
        <f>IF(ISERROR(M295/(M294-G293)),"",M295/(M294-G293))</f>
        <v/>
      </c>
      <c r="H297" s="8"/>
      <c r="I297" s="21" t="str">
        <f>$C$418</f>
        <v>%</v>
      </c>
      <c r="J297" s="422"/>
      <c r="K297" s="1"/>
      <c r="L297" s="319"/>
      <c r="M297" s="319"/>
      <c r="N297" s="319"/>
      <c r="O297" s="319"/>
      <c r="P297" s="319"/>
      <c r="Q297" s="319"/>
      <c r="R297" s="319"/>
      <c r="S297" s="319"/>
      <c r="T297" s="319"/>
      <c r="U297" s="319"/>
      <c r="V297" s="319"/>
      <c r="W297" s="319">
        <v>111010</v>
      </c>
    </row>
    <row r="298" spans="1:23" ht="12.75" hidden="1" customHeight="1">
      <c r="A298" s="12"/>
      <c r="B298" s="8" t="str">
        <f>Language!C476</f>
        <v>Eficiência</v>
      </c>
      <c r="C298" s="21" t="str">
        <f>$C$418</f>
        <v>%</v>
      </c>
      <c r="D298" s="227" t="str">
        <f>IF(ISERROR((D293+L295)/L294),"",(D293+L295)/L294)</f>
        <v/>
      </c>
      <c r="E298" s="8"/>
      <c r="F298" s="21" t="str">
        <f>$C$418</f>
        <v>%</v>
      </c>
      <c r="G298" s="227" t="str">
        <f>IF(ISERROR((G293+M295)/M294),"",(G293+M295)/M294)</f>
        <v/>
      </c>
      <c r="H298" s="8"/>
      <c r="I298" s="21" t="str">
        <f>$C$418</f>
        <v>%</v>
      </c>
      <c r="J298" s="131" t="str">
        <f>IF(ISERROR((J293+N295)/N294),"",(J293+N295)/N294)</f>
        <v/>
      </c>
      <c r="K298" s="1"/>
      <c r="L298" s="319"/>
      <c r="M298" s="319"/>
      <c r="N298" s="319"/>
      <c r="O298" s="319"/>
      <c r="P298" s="319"/>
      <c r="Q298" s="319"/>
      <c r="R298" s="319"/>
      <c r="S298" s="319"/>
      <c r="T298" s="319"/>
      <c r="U298" s="319"/>
      <c r="V298" s="319"/>
      <c r="W298" s="319">
        <v>111012</v>
      </c>
    </row>
    <row r="299" spans="1:23" ht="12.75" hidden="1" customHeight="1">
      <c r="A299" s="14"/>
      <c r="B299" s="15"/>
      <c r="C299" s="33"/>
      <c r="D299" s="81"/>
      <c r="E299" s="15"/>
      <c r="F299" s="33"/>
      <c r="G299" s="81"/>
      <c r="H299" s="15"/>
      <c r="I299" s="33"/>
      <c r="J299" s="549"/>
      <c r="K299" s="1"/>
      <c r="L299" s="319"/>
      <c r="M299" s="319"/>
      <c r="N299" s="319"/>
      <c r="O299" s="319"/>
      <c r="P299" s="319"/>
      <c r="Q299" s="319"/>
      <c r="R299" s="319"/>
      <c r="S299" s="319"/>
      <c r="T299" s="319"/>
      <c r="U299" s="319"/>
      <c r="V299" s="319"/>
      <c r="W299" s="319">
        <v>111000</v>
      </c>
    </row>
    <row r="300" spans="1:23" ht="12.75" hidden="1" customHeight="1">
      <c r="A300" s="5"/>
      <c r="B300" s="5"/>
      <c r="C300" s="5"/>
      <c r="D300" s="5"/>
      <c r="E300" s="5"/>
      <c r="F300" s="5"/>
      <c r="G300" s="5"/>
      <c r="H300" s="5"/>
      <c r="I300" s="5"/>
      <c r="J300" s="5"/>
      <c r="K300" s="1"/>
      <c r="L300" s="319"/>
      <c r="M300" s="319"/>
      <c r="N300" s="319"/>
      <c r="O300" s="319"/>
      <c r="P300" s="319"/>
      <c r="Q300" s="319"/>
      <c r="R300" s="319"/>
      <c r="S300" s="319"/>
      <c r="T300" s="319"/>
      <c r="U300" s="319"/>
      <c r="V300" s="319"/>
      <c r="W300" s="319">
        <v>110000</v>
      </c>
    </row>
    <row r="301" spans="1:23" ht="12.75" hidden="1" customHeight="1">
      <c r="A301" s="1174" t="str">
        <f>F676</f>
        <v>Poder calorífico e preço do combustível</v>
      </c>
      <c r="B301" s="1175"/>
      <c r="C301" s="192"/>
      <c r="D301" s="192"/>
      <c r="E301" s="192"/>
      <c r="F301" s="192"/>
      <c r="G301" s="192"/>
      <c r="H301" s="192"/>
      <c r="I301" s="192"/>
      <c r="J301" s="193"/>
      <c r="K301" s="1"/>
      <c r="L301" s="319"/>
      <c r="M301" s="319"/>
      <c r="N301" s="319"/>
      <c r="O301" s="319"/>
      <c r="P301" s="319"/>
      <c r="Q301" s="319"/>
      <c r="R301" s="319"/>
      <c r="S301" s="319"/>
      <c r="T301" s="319"/>
      <c r="U301" s="319"/>
      <c r="V301" s="319"/>
      <c r="W301" s="319">
        <v>111100</v>
      </c>
    </row>
    <row r="302" spans="1:23" ht="12.75" hidden="1" customHeight="1">
      <c r="A302" s="12"/>
      <c r="B302" s="8"/>
      <c r="C302" s="8"/>
      <c r="D302" s="8"/>
      <c r="E302" s="8"/>
      <c r="F302" s="8"/>
      <c r="G302" s="8"/>
      <c r="H302" s="8"/>
      <c r="I302" s="8"/>
      <c r="J302" s="9"/>
      <c r="K302" s="1"/>
      <c r="L302" s="319"/>
      <c r="M302" s="319"/>
      <c r="N302" s="319"/>
      <c r="O302" s="319"/>
      <c r="P302" s="319"/>
      <c r="Q302" s="319"/>
      <c r="R302" s="319"/>
      <c r="S302" s="319"/>
      <c r="T302" s="319"/>
      <c r="U302" s="319"/>
      <c r="V302" s="319"/>
      <c r="W302" s="319">
        <v>111100</v>
      </c>
    </row>
    <row r="303" spans="1:23" ht="12.75" hidden="1" customHeight="1">
      <c r="A303" s="12"/>
      <c r="B303" s="8" t="str">
        <f>B16</f>
        <v>Tipo de Combustível</v>
      </c>
      <c r="C303" s="1133" t="s">
        <v>7152</v>
      </c>
      <c r="D303" s="1135"/>
      <c r="E303" s="8"/>
      <c r="F303" s="8"/>
      <c r="G303" s="8"/>
      <c r="H303" s="8"/>
      <c r="I303" s="8"/>
      <c r="J303" s="9"/>
      <c r="K303" s="1"/>
      <c r="L303" s="319"/>
      <c r="M303" s="319"/>
      <c r="N303" s="319"/>
      <c r="O303" s="319"/>
      <c r="P303" s="319"/>
      <c r="Q303" s="319"/>
      <c r="R303" s="319"/>
      <c r="S303" s="319"/>
      <c r="T303" s="319"/>
      <c r="U303" s="319"/>
      <c r="V303" s="319"/>
      <c r="W303" s="319">
        <v>111102</v>
      </c>
    </row>
    <row r="304" spans="1:23" ht="12.75" hidden="1" customHeight="1">
      <c r="A304" s="12"/>
      <c r="B304" s="8"/>
      <c r="C304" s="8"/>
      <c r="D304" s="8"/>
      <c r="E304" s="8"/>
      <c r="F304" s="8"/>
      <c r="G304" s="8"/>
      <c r="H304" s="8"/>
      <c r="I304" s="8"/>
      <c r="J304" s="9"/>
      <c r="K304" s="1"/>
      <c r="L304" s="319"/>
      <c r="M304" s="319"/>
      <c r="N304" s="319"/>
      <c r="O304" s="319"/>
      <c r="P304" s="319"/>
      <c r="Q304" s="319"/>
      <c r="R304" s="319"/>
      <c r="S304" s="319"/>
      <c r="T304" s="319"/>
      <c r="U304" s="319"/>
      <c r="V304" s="319"/>
      <c r="W304" s="319">
        <v>111100</v>
      </c>
    </row>
    <row r="305" spans="1:23" ht="12.75" hidden="1" customHeight="1">
      <c r="A305" s="12"/>
      <c r="B305" s="8" t="str">
        <f>Language!C805</f>
        <v>Poder calorífico</v>
      </c>
      <c r="C305" s="21" t="str">
        <f>Language!C1388</f>
        <v>MJ/kg</v>
      </c>
      <c r="D305" s="236">
        <f>VLOOKUP(C303,ES_Fuel_All,4,FALSE)</f>
        <v>18.444143599999997</v>
      </c>
      <c r="E305" s="8"/>
      <c r="F305" s="8"/>
      <c r="G305" s="8"/>
      <c r="H305" s="8"/>
      <c r="I305" s="8"/>
      <c r="J305" s="9"/>
      <c r="K305" s="1"/>
      <c r="L305" s="319"/>
      <c r="M305" s="319"/>
      <c r="N305" s="319"/>
      <c r="O305" s="319"/>
      <c r="P305" s="319"/>
      <c r="Q305" s="319"/>
      <c r="R305" s="319"/>
      <c r="S305" s="319"/>
      <c r="T305" s="319"/>
      <c r="U305" s="319"/>
      <c r="V305" s="319"/>
      <c r="W305" s="319">
        <v>111104</v>
      </c>
    </row>
    <row r="306" spans="1:23" ht="12.75" hidden="1" customHeight="1">
      <c r="A306" s="12"/>
      <c r="B306" s="8"/>
      <c r="C306" s="419" t="s">
        <v>5376</v>
      </c>
      <c r="D306" s="88">
        <f>VLOOKUP(C306,E704:F706,2,FALSE)*D305</f>
        <v>18.444143599999997</v>
      </c>
      <c r="E306" s="8"/>
      <c r="F306" s="8"/>
      <c r="G306" s="8"/>
      <c r="H306" s="8"/>
      <c r="I306" s="8"/>
      <c r="J306" s="9"/>
      <c r="K306" s="1"/>
      <c r="L306" s="319"/>
      <c r="M306" s="319"/>
      <c r="N306" s="319"/>
      <c r="O306" s="319"/>
      <c r="P306" s="319"/>
      <c r="Q306" s="319"/>
      <c r="R306" s="319"/>
      <c r="S306" s="319"/>
      <c r="T306" s="319"/>
      <c r="U306" s="319"/>
      <c r="V306" s="319"/>
      <c r="W306" s="319">
        <v>111104</v>
      </c>
    </row>
    <row r="307" spans="1:23" ht="12.75" hidden="1" customHeight="1">
      <c r="A307" s="12"/>
      <c r="B307" s="8"/>
      <c r="C307" s="8"/>
      <c r="D307" s="8"/>
      <c r="E307" s="8"/>
      <c r="F307" s="8"/>
      <c r="G307" s="8"/>
      <c r="H307" s="8"/>
      <c r="I307" s="8"/>
      <c r="J307" s="9"/>
      <c r="K307" s="1"/>
      <c r="L307" s="319"/>
      <c r="M307" s="319"/>
      <c r="N307" s="319"/>
      <c r="O307" s="319"/>
      <c r="P307" s="319"/>
      <c r="Q307" s="319"/>
      <c r="R307" s="319"/>
      <c r="S307" s="319"/>
      <c r="T307" s="319"/>
      <c r="U307" s="319"/>
      <c r="V307" s="319"/>
      <c r="W307" s="319">
        <v>111100</v>
      </c>
    </row>
    <row r="308" spans="1:23" ht="12.75" hidden="1" customHeight="1">
      <c r="A308" s="12"/>
      <c r="B308" s="8" t="str">
        <f>E16</f>
        <v>Preço do combustível</v>
      </c>
      <c r="C308" s="21" t="str">
        <f>VLOOKUP(C303,ES_Fuel_All,3,FALSE)</f>
        <v>€/t</v>
      </c>
      <c r="D308" s="310"/>
      <c r="E308" s="8"/>
      <c r="F308" s="8"/>
      <c r="G308" s="8"/>
      <c r="H308" s="8"/>
      <c r="I308" s="8"/>
      <c r="J308" s="9"/>
      <c r="K308" s="1"/>
      <c r="L308" s="319"/>
      <c r="M308" s="319"/>
      <c r="N308" s="319"/>
      <c r="O308" s="319"/>
      <c r="P308" s="319"/>
      <c r="Q308" s="319"/>
      <c r="R308" s="319"/>
      <c r="S308" s="319"/>
      <c r="T308" s="319"/>
      <c r="U308" s="319"/>
      <c r="V308" s="319"/>
      <c r="W308" s="319">
        <v>111106</v>
      </c>
    </row>
    <row r="309" spans="1:23" ht="12.75" hidden="1" customHeight="1">
      <c r="A309" s="12"/>
      <c r="B309" s="8"/>
      <c r="C309" s="21" t="str">
        <f>Currency&amp;Language!C1297</f>
        <v>€/kWh</v>
      </c>
      <c r="D309" s="237">
        <f>D310/1000</f>
        <v>0</v>
      </c>
      <c r="E309" s="8"/>
      <c r="F309" s="8"/>
      <c r="G309" s="8"/>
      <c r="H309" s="8"/>
      <c r="I309" s="8"/>
      <c r="J309" s="9"/>
      <c r="K309" s="1"/>
      <c r="L309" s="319"/>
      <c r="M309" s="319"/>
      <c r="N309" s="319"/>
      <c r="O309" s="319"/>
      <c r="P309" s="319"/>
      <c r="Q309" s="319"/>
      <c r="R309" s="319"/>
      <c r="S309" s="319"/>
      <c r="T309" s="319"/>
      <c r="U309" s="319"/>
      <c r="V309" s="319"/>
      <c r="W309" s="319">
        <v>111106</v>
      </c>
    </row>
    <row r="310" spans="1:23" ht="12.75" hidden="1" customHeight="1">
      <c r="A310" s="12"/>
      <c r="B310" s="8"/>
      <c r="C310" s="21" t="str">
        <f>E683</f>
        <v>€/MWh</v>
      </c>
      <c r="D310" s="238">
        <f>$D$308/(VLOOKUP($C$303,ES_Fuel_All,5,FALSE))/$D$305*1000/VLOOKUP(C310,$E$683:$F$685,2,FALSE)</f>
        <v>0</v>
      </c>
      <c r="E310" s="8"/>
      <c r="F310" s="8"/>
      <c r="G310" s="8"/>
      <c r="H310" s="8"/>
      <c r="I310" s="8"/>
      <c r="J310" s="9"/>
      <c r="K310" s="1"/>
      <c r="L310" s="319"/>
      <c r="M310" s="319"/>
      <c r="N310" s="319"/>
      <c r="O310" s="319"/>
      <c r="P310" s="319"/>
      <c r="Q310" s="319"/>
      <c r="R310" s="319"/>
      <c r="S310" s="319"/>
      <c r="T310" s="319"/>
      <c r="U310" s="319"/>
      <c r="V310" s="319"/>
      <c r="W310" s="319">
        <v>111106</v>
      </c>
    </row>
    <row r="311" spans="1:23" ht="12.75" hidden="1" customHeight="1">
      <c r="A311" s="12"/>
      <c r="B311" s="8"/>
      <c r="C311" s="21" t="str">
        <f>E684</f>
        <v>€/GJ</v>
      </c>
      <c r="D311" s="238">
        <f>$D$308/(VLOOKUP($C$303,ES_Fuel_All,5,FALSE))/$D$305*1000/VLOOKUP(C311,$E$683:$F$685,2,FALSE)</f>
        <v>0</v>
      </c>
      <c r="E311" s="8"/>
      <c r="F311" s="8"/>
      <c r="G311" s="8"/>
      <c r="H311" s="1"/>
      <c r="I311" s="1"/>
      <c r="J311" s="9"/>
      <c r="K311" s="1"/>
      <c r="L311" s="319"/>
      <c r="M311" s="319"/>
      <c r="N311" s="319"/>
      <c r="O311" s="319"/>
      <c r="P311" s="319"/>
      <c r="Q311" s="319"/>
      <c r="R311" s="319"/>
      <c r="S311" s="319"/>
      <c r="T311" s="319"/>
      <c r="U311" s="319"/>
      <c r="V311" s="319"/>
      <c r="W311" s="319">
        <v>111106</v>
      </c>
    </row>
    <row r="312" spans="1:23" ht="12.75" hidden="1" customHeight="1">
      <c r="A312" s="12"/>
      <c r="B312" s="8"/>
      <c r="C312" s="21" t="str">
        <f>E685</f>
        <v>€/mmBtu</v>
      </c>
      <c r="D312" s="238">
        <f>$D$308/(VLOOKUP($C$303,ES_Fuel_All,5,FALSE))/$D$305*1000/VLOOKUP(C312,$E$683:$F$685,2,FALSE)</f>
        <v>0</v>
      </c>
      <c r="E312" s="8"/>
      <c r="F312" s="8"/>
      <c r="G312" s="8"/>
      <c r="H312" s="8"/>
      <c r="I312" s="8"/>
      <c r="J312" s="9"/>
      <c r="K312" s="1"/>
      <c r="L312" s="319"/>
      <c r="M312" s="319"/>
      <c r="N312" s="319"/>
      <c r="O312" s="319"/>
      <c r="P312" s="319"/>
      <c r="Q312" s="319"/>
      <c r="R312" s="319"/>
      <c r="S312" s="319"/>
      <c r="T312" s="319"/>
      <c r="U312" s="319"/>
      <c r="V312" s="319"/>
      <c r="W312" s="319">
        <v>111106</v>
      </c>
    </row>
    <row r="313" spans="1:23" ht="12.75" hidden="1" customHeight="1">
      <c r="A313" s="14"/>
      <c r="B313" s="15"/>
      <c r="C313" s="33" t="str">
        <f>Currency&amp;"/"&amp;E768</f>
        <v>€/térm.</v>
      </c>
      <c r="D313" s="218">
        <f>$D$308/(VLOOKUP($C$303,ES_Fuel_All,5,FALSE))/$D$305*1000/VLOOKUP(C313,$E$683:$F$686,2,FALSE)</f>
        <v>0</v>
      </c>
      <c r="E313" s="15"/>
      <c r="F313" s="15"/>
      <c r="G313" s="15"/>
      <c r="H313" s="15"/>
      <c r="I313" s="15"/>
      <c r="J313" s="11"/>
      <c r="K313" s="1"/>
      <c r="L313" s="319"/>
      <c r="M313" s="319"/>
      <c r="N313" s="319"/>
      <c r="O313" s="319"/>
      <c r="P313" s="319"/>
      <c r="Q313" s="319"/>
      <c r="R313" s="319"/>
      <c r="S313" s="319"/>
      <c r="T313" s="319"/>
      <c r="U313" s="319"/>
      <c r="V313" s="319"/>
      <c r="W313" s="319">
        <v>111106</v>
      </c>
    </row>
    <row r="314" spans="1:23" ht="12.75" hidden="1" customHeight="1">
      <c r="A314" s="1"/>
      <c r="B314" s="1"/>
      <c r="C314" s="1"/>
      <c r="D314" s="1"/>
      <c r="E314" s="1"/>
      <c r="F314" s="1"/>
      <c r="G314" s="1"/>
      <c r="H314" s="1"/>
      <c r="I314" s="1"/>
      <c r="J314" s="1"/>
      <c r="K314" s="1"/>
      <c r="L314" s="319"/>
      <c r="M314" s="319"/>
      <c r="N314" s="319"/>
      <c r="O314" s="319"/>
      <c r="P314" s="319"/>
      <c r="Q314" s="319"/>
      <c r="R314" s="319"/>
      <c r="S314" s="319"/>
      <c r="T314" s="319"/>
      <c r="U314" s="319"/>
      <c r="V314" s="319"/>
      <c r="W314" s="319">
        <v>110000</v>
      </c>
    </row>
    <row r="315" spans="1:23" ht="12.75" hidden="1" customHeight="1">
      <c r="A315" s="1203" t="str">
        <f>D8</f>
        <v>Método de custeio de hidro por fórmula</v>
      </c>
      <c r="B315" s="1204"/>
      <c r="C315" s="192"/>
      <c r="D315" s="192"/>
      <c r="E315" s="192"/>
      <c r="F315" s="192"/>
      <c r="G315" s="192"/>
      <c r="H315" s="192"/>
      <c r="I315" s="192"/>
      <c r="J315" s="193"/>
      <c r="K315" s="1"/>
      <c r="L315" s="319"/>
      <c r="M315" s="319"/>
      <c r="N315" s="319"/>
      <c r="O315" s="319"/>
      <c r="P315" s="319"/>
      <c r="Q315" s="319"/>
      <c r="R315" s="319"/>
      <c r="S315" s="319"/>
      <c r="T315" s="319"/>
      <c r="U315" s="319"/>
      <c r="V315" s="319"/>
      <c r="W315" s="319">
        <v>111200</v>
      </c>
    </row>
    <row r="316" spans="1:23" ht="12.75" hidden="1" customHeight="1">
      <c r="A316" s="12"/>
      <c r="B316" s="8"/>
      <c r="C316" s="8"/>
      <c r="D316" s="8"/>
      <c r="E316" s="8"/>
      <c r="F316" s="8"/>
      <c r="G316" s="8"/>
      <c r="H316" s="8"/>
      <c r="I316" s="8"/>
      <c r="J316" s="9"/>
      <c r="K316" s="1"/>
      <c r="L316" s="319">
        <f>SUM(L317:L345)</f>
        <v>3</v>
      </c>
      <c r="M316" s="319">
        <v>3</v>
      </c>
      <c r="N316" s="319"/>
      <c r="O316" s="319" t="s">
        <v>4162</v>
      </c>
      <c r="P316" s="319"/>
      <c r="Q316" s="319"/>
      <c r="R316" s="319"/>
      <c r="S316" s="319"/>
      <c r="T316" s="319"/>
      <c r="U316" s="319"/>
      <c r="V316" s="319"/>
      <c r="W316" s="319">
        <v>111200</v>
      </c>
    </row>
    <row r="317" spans="1:23" ht="12.75" hidden="1" customHeight="1">
      <c r="A317" s="12"/>
      <c r="B317" s="153" t="str">
        <f>Language!C1126</f>
        <v>País</v>
      </c>
      <c r="C317" s="1133" t="s">
        <v>5312</v>
      </c>
      <c r="D317" s="1134"/>
      <c r="E317" s="1135"/>
      <c r="F317" s="8"/>
      <c r="G317" s="8"/>
      <c r="H317" s="8"/>
      <c r="I317" s="8"/>
      <c r="J317" s="9"/>
      <c r="K317" s="1"/>
      <c r="L317" s="319">
        <f>IF(C317=O328,1,3)</f>
        <v>1</v>
      </c>
      <c r="M317" s="319"/>
      <c r="N317" s="319"/>
      <c r="O317" s="319" t="s">
        <v>1961</v>
      </c>
      <c r="P317" s="319"/>
      <c r="Q317" s="319" t="s">
        <v>5765</v>
      </c>
      <c r="R317" s="319"/>
      <c r="S317" s="319"/>
      <c r="T317" s="319"/>
      <c r="U317" s="319"/>
      <c r="V317" s="319"/>
      <c r="W317" s="319">
        <v>111201</v>
      </c>
    </row>
    <row r="318" spans="1:23" ht="12.75" hidden="1" customHeight="1">
      <c r="A318" s="12"/>
      <c r="B318" s="8" t="str">
        <f>Language!C1787</f>
        <v>Razão custo dos equipamentos local vs canadense</v>
      </c>
      <c r="C318" s="21"/>
      <c r="D318" s="310"/>
      <c r="E318" s="8"/>
      <c r="F318" s="8"/>
      <c r="G318" s="8"/>
      <c r="H318" s="8"/>
      <c r="I318" s="8"/>
      <c r="J318" s="9"/>
      <c r="K318" s="1"/>
      <c r="L318" s="319"/>
      <c r="M318" s="319"/>
      <c r="N318" s="319"/>
      <c r="O318" s="319" t="str">
        <f>Language!C124</f>
        <v>Rede Central</v>
      </c>
      <c r="P318" s="319"/>
      <c r="Q318" s="319" t="str">
        <f>Language!C1715</f>
        <v>Manual</v>
      </c>
      <c r="R318" s="319"/>
      <c r="S318" s="319"/>
      <c r="T318" s="319"/>
      <c r="U318" s="319"/>
      <c r="V318" s="319"/>
      <c r="W318" s="319">
        <v>111202</v>
      </c>
    </row>
    <row r="319" spans="1:23" ht="12.75" hidden="1" customHeight="1">
      <c r="A319" s="12"/>
      <c r="B319" s="8" t="str">
        <f>Language!C1788</f>
        <v>Razão custo do combustível local vs canadense</v>
      </c>
      <c r="C319" s="21"/>
      <c r="D319" s="310"/>
      <c r="E319" s="8"/>
      <c r="F319" s="8"/>
      <c r="G319" s="8"/>
      <c r="H319" s="8"/>
      <c r="I319" s="8"/>
      <c r="J319" s="9"/>
      <c r="K319" s="1"/>
      <c r="L319" s="319"/>
      <c r="M319" s="319"/>
      <c r="N319" s="319"/>
      <c r="O319" s="319" t="str">
        <f>Language!C125</f>
        <v>Rede Isolada</v>
      </c>
      <c r="P319" s="319"/>
      <c r="Q319" s="319" t="str">
        <f>Language!C1808</f>
        <v>Mecanizado</v>
      </c>
      <c r="R319" s="319"/>
      <c r="S319" s="319"/>
      <c r="T319" s="319"/>
      <c r="U319" s="319"/>
      <c r="V319" s="319"/>
      <c r="W319" s="319">
        <v>111203</v>
      </c>
    </row>
    <row r="320" spans="1:23" ht="12.75" hidden="1" customHeight="1">
      <c r="A320" s="12"/>
      <c r="B320" s="8" t="str">
        <f>Language!C1789</f>
        <v>Razão custo de mão de obra local vs canadense</v>
      </c>
      <c r="C320" s="21"/>
      <c r="D320" s="310"/>
      <c r="E320" s="8"/>
      <c r="F320" s="8"/>
      <c r="G320" s="8"/>
      <c r="H320" s="8"/>
      <c r="I320" s="8"/>
      <c r="J320" s="9"/>
      <c r="K320" s="1"/>
      <c r="L320" s="319"/>
      <c r="M320" s="319"/>
      <c r="N320" s="319"/>
      <c r="O320" s="319" t="str">
        <f>Language!C126</f>
        <v>Fora da Rede</v>
      </c>
      <c r="P320" s="319"/>
      <c r="Q320" s="319"/>
      <c r="R320" s="319"/>
      <c r="S320" s="319"/>
      <c r="T320" s="319"/>
      <c r="U320" s="319"/>
      <c r="V320" s="319"/>
      <c r="W320" s="319">
        <v>111204</v>
      </c>
    </row>
    <row r="321" spans="1:23" ht="12.75" hidden="1" customHeight="1">
      <c r="A321" s="12"/>
      <c r="B321" s="8" t="str">
        <f>Language!C1640</f>
        <v>Coeficiente de custo de fabricação dos equipamentos</v>
      </c>
      <c r="C321" s="21"/>
      <c r="D321" s="310"/>
      <c r="E321" s="8"/>
      <c r="F321" s="8"/>
      <c r="G321" s="8"/>
      <c r="H321" s="8"/>
      <c r="I321" s="8"/>
      <c r="J321" s="9"/>
      <c r="K321" s="1"/>
      <c r="L321" s="319"/>
      <c r="M321" s="319"/>
      <c r="N321" s="319"/>
      <c r="O321" s="319"/>
      <c r="P321" s="319"/>
      <c r="Q321" s="319"/>
      <c r="R321" s="319"/>
      <c r="S321" s="319"/>
      <c r="T321" s="319"/>
      <c r="U321" s="319"/>
      <c r="V321" s="319"/>
      <c r="W321" s="319">
        <v>111205</v>
      </c>
    </row>
    <row r="322" spans="1:23" ht="12.75" hidden="1" customHeight="1">
      <c r="A322" s="12"/>
      <c r="B322" s="8" t="str">
        <f>Language!C326</f>
        <v>Taxa de câmbio</v>
      </c>
      <c r="C322" s="21" t="str">
        <f>Currency&amp;Language!C1292</f>
        <v>€/CAD</v>
      </c>
      <c r="D322" s="310"/>
      <c r="E322" s="8"/>
      <c r="F322" s="8"/>
      <c r="G322" s="8"/>
      <c r="H322" s="8"/>
      <c r="I322" s="8"/>
      <c r="J322" s="9"/>
      <c r="K322" s="1"/>
      <c r="L322" s="319"/>
      <c r="M322" s="319"/>
      <c r="N322" s="319"/>
      <c r="O322" s="319" t="s">
        <v>2591</v>
      </c>
      <c r="P322" s="319"/>
      <c r="Q322" s="319"/>
      <c r="R322" s="319"/>
      <c r="S322" s="319"/>
      <c r="T322" s="319"/>
      <c r="U322" s="319"/>
      <c r="V322" s="319"/>
      <c r="W322" s="319">
        <v>42414</v>
      </c>
    </row>
    <row r="323" spans="1:23" ht="12.75" hidden="1" customHeight="1">
      <c r="A323" s="12"/>
      <c r="B323" s="8" t="str">
        <f>Language!C1546</f>
        <v>Clima frio</v>
      </c>
      <c r="C323" s="21" t="str">
        <f>Language!C1418</f>
        <v>sim/não</v>
      </c>
      <c r="D323" s="303" t="s">
        <v>6131</v>
      </c>
      <c r="E323" s="8"/>
      <c r="F323" s="8"/>
      <c r="G323" s="8"/>
      <c r="H323" s="8"/>
      <c r="I323" s="8"/>
      <c r="J323" s="9"/>
      <c r="K323" s="1"/>
      <c r="L323" s="556"/>
      <c r="M323" s="319"/>
      <c r="N323" s="319"/>
      <c r="O323" s="319" t="str">
        <f>Language!C1816</f>
        <v>Micro</v>
      </c>
      <c r="P323" s="319"/>
      <c r="Q323" s="319"/>
      <c r="R323" s="319"/>
      <c r="S323" s="319"/>
      <c r="T323" s="319"/>
      <c r="U323" s="319"/>
      <c r="V323" s="319"/>
      <c r="W323" s="319">
        <v>111207</v>
      </c>
    </row>
    <row r="324" spans="1:23" ht="12.75" hidden="1" customHeight="1">
      <c r="A324" s="12"/>
      <c r="B324" s="8" t="str">
        <f>Language!C1682</f>
        <v>Dias congelados na planta</v>
      </c>
      <c r="C324" s="21" t="str">
        <f>Language!C2198</f>
        <v>dia</v>
      </c>
      <c r="D324" s="303"/>
      <c r="E324" s="8"/>
      <c r="F324" s="8"/>
      <c r="G324" s="8"/>
      <c r="H324" s="8"/>
      <c r="I324" s="8"/>
      <c r="J324" s="784" t="str">
        <f>Language!C1961</f>
        <v>Veja mapas</v>
      </c>
      <c r="K324" s="1"/>
      <c r="L324" s="319">
        <f>IF(D323=lang_yes,1,0)</f>
        <v>1</v>
      </c>
      <c r="M324" s="319"/>
      <c r="N324" s="319"/>
      <c r="O324" s="319" t="str">
        <f>Language!C1819</f>
        <v>Mini</v>
      </c>
      <c r="P324" s="319"/>
      <c r="Q324" s="319"/>
      <c r="R324" s="319"/>
      <c r="S324" s="319"/>
      <c r="T324" s="319"/>
      <c r="U324" s="319"/>
      <c r="V324" s="319"/>
      <c r="W324" s="319">
        <v>111208</v>
      </c>
    </row>
    <row r="325" spans="1:23" ht="12.75" hidden="1" customHeight="1">
      <c r="A325" s="12"/>
      <c r="B325" s="8" t="str">
        <f>Language!C1592</f>
        <v>Fluxo de projeto</v>
      </c>
      <c r="C325" s="303" t="s">
        <v>142</v>
      </c>
      <c r="D325" s="303"/>
      <c r="E325" s="21">
        <f>IF(C325=C657,'Modelo Energético'!D367,'Modelo Energético'!D367*F783/F779)</f>
        <v>0</v>
      </c>
      <c r="F325" s="8"/>
      <c r="G325" s="8"/>
      <c r="H325" s="8"/>
      <c r="I325" s="8"/>
      <c r="J325" s="9"/>
      <c r="K325" s="1"/>
      <c r="L325" s="319"/>
      <c r="M325" s="319">
        <f>IF(C325=C657,D325,D325*F779/F783)</f>
        <v>0</v>
      </c>
      <c r="N325" s="319"/>
      <c r="O325" s="319" t="str">
        <f>Language!C1977</f>
        <v>Pequeno</v>
      </c>
      <c r="P325" s="319"/>
      <c r="Q325" s="319"/>
      <c r="R325" s="319"/>
      <c r="S325" s="319"/>
      <c r="T325" s="319"/>
      <c r="U325" s="319"/>
      <c r="V325" s="319"/>
      <c r="W325" s="319">
        <v>111209</v>
      </c>
    </row>
    <row r="326" spans="1:23" ht="12.75" hidden="1" customHeight="1">
      <c r="A326" s="12"/>
      <c r="B326" s="8" t="str">
        <f>Language!C1712</f>
        <v>Altura bruta</v>
      </c>
      <c r="C326" s="303" t="s">
        <v>5569</v>
      </c>
      <c r="D326" s="303"/>
      <c r="E326" s="21">
        <f>IF(C326=C683,'Modelo Energético'!D320,'Modelo Energético'!D320*F723)</f>
        <v>0</v>
      </c>
      <c r="F326" s="8"/>
      <c r="G326" s="8"/>
      <c r="H326" s="8"/>
      <c r="I326" s="8"/>
      <c r="J326" s="9"/>
      <c r="K326" s="1"/>
      <c r="L326" s="319"/>
      <c r="M326" s="319">
        <f>IF(C326=C683,D326,D326/F723)</f>
        <v>0</v>
      </c>
      <c r="N326" s="319"/>
      <c r="O326" s="319"/>
      <c r="P326" s="319"/>
      <c r="Q326" s="319"/>
      <c r="R326" s="319"/>
      <c r="S326" s="319"/>
      <c r="T326" s="319"/>
      <c r="U326" s="319"/>
      <c r="V326" s="319"/>
      <c r="W326" s="319">
        <v>111210</v>
      </c>
    </row>
    <row r="327" spans="1:23" ht="12.75" hidden="1" customHeight="1">
      <c r="A327" s="12"/>
      <c r="B327" s="8" t="str">
        <f>Language!C1843</f>
        <v>Número de turbinas</v>
      </c>
      <c r="C327" s="21" t="str">
        <f>Language!C2043</f>
        <v>turbina</v>
      </c>
      <c r="D327" s="303"/>
      <c r="E327" s="21">
        <f>'Modelo Energético'!D371</f>
        <v>0</v>
      </c>
      <c r="F327" s="8"/>
      <c r="G327" s="8"/>
      <c r="H327" s="8"/>
      <c r="I327" s="8"/>
      <c r="J327" s="9"/>
      <c r="K327" s="1"/>
      <c r="L327" s="319"/>
      <c r="M327" s="319"/>
      <c r="N327" s="319"/>
      <c r="O327" s="319"/>
      <c r="P327" s="319"/>
      <c r="Q327" s="319"/>
      <c r="R327" s="319"/>
      <c r="S327" s="319"/>
      <c r="T327" s="319"/>
      <c r="U327" s="319"/>
      <c r="V327" s="319"/>
      <c r="W327" s="319">
        <v>111211</v>
      </c>
    </row>
    <row r="328" spans="1:23" ht="12.75" hidden="1" customHeight="1">
      <c r="A328" s="12"/>
      <c r="B328" s="8" t="str">
        <f>B268</f>
        <v>Tipo</v>
      </c>
      <c r="C328" s="21"/>
      <c r="D328" s="419" t="s">
        <v>5654</v>
      </c>
      <c r="E328" s="21" t="str">
        <f>'Modelo Energético'!P367</f>
        <v>Kaplan</v>
      </c>
      <c r="F328" s="8"/>
      <c r="G328" s="8"/>
      <c r="H328" s="8"/>
      <c r="I328" s="8"/>
      <c r="J328" s="9"/>
      <c r="K328" s="1"/>
      <c r="L328" s="319"/>
      <c r="M328" s="319"/>
      <c r="N328" s="319"/>
      <c r="O328" s="319" t="str">
        <f>Language!C919</f>
        <v>Canada</v>
      </c>
      <c r="P328" s="319"/>
      <c r="Q328" s="319"/>
      <c r="R328" s="319"/>
      <c r="S328" s="319"/>
      <c r="T328" s="319"/>
      <c r="U328" s="319"/>
      <c r="V328" s="319"/>
      <c r="W328" s="319">
        <v>111212</v>
      </c>
    </row>
    <row r="329" spans="1:23" ht="12.75" hidden="1" customHeight="1">
      <c r="A329" s="12"/>
      <c r="B329" s="8" t="str">
        <f>Language!C1667</f>
        <v>Fluxo por turbina</v>
      </c>
      <c r="C329" s="21" t="str">
        <f>IF(Unit=TRUE,C657,C658)</f>
        <v>m³/s</v>
      </c>
      <c r="D329" s="217" t="str">
        <f>IF(ISERROR(M329*F783/F779),"",IF(Unit=TRUE,M329,M329*F783/F779))</f>
        <v/>
      </c>
      <c r="E329" s="8"/>
      <c r="F329" s="8"/>
      <c r="G329" s="8"/>
      <c r="H329" s="8"/>
      <c r="I329" s="8"/>
      <c r="J329" s="9"/>
      <c r="K329" s="1"/>
      <c r="L329" s="319"/>
      <c r="M329" s="319" t="e">
        <f>M325/D327</f>
        <v>#DIV/0!</v>
      </c>
      <c r="N329" s="319"/>
      <c r="O329" s="319"/>
      <c r="P329" s="319"/>
      <c r="Q329" s="319"/>
      <c r="R329" s="319"/>
      <c r="S329" s="319"/>
      <c r="T329" s="319"/>
      <c r="U329" s="319"/>
      <c r="V329" s="319"/>
      <c r="W329" s="319">
        <v>111213</v>
      </c>
    </row>
    <row r="330" spans="1:23" ht="12.75" hidden="1" customHeight="1">
      <c r="A330" s="12"/>
      <c r="B330" s="795" t="str">
        <f>Language!C2049</f>
        <v>Diâmetro do rotor da turbina por unidade</v>
      </c>
      <c r="C330" s="21" t="str">
        <f>IF(Unit=TRUE,C683,C684)</f>
        <v>m</v>
      </c>
      <c r="D330" s="217" t="str">
        <f>IF(ISERROR(M330),"",IF(Unit=TRUE,M330,M330*F723))</f>
        <v/>
      </c>
      <c r="E330" s="8"/>
      <c r="F330" s="8"/>
      <c r="G330" s="8"/>
      <c r="H330" s="8"/>
      <c r="I330" s="8"/>
      <c r="J330" s="9"/>
      <c r="K330" s="1"/>
      <c r="L330" s="319"/>
      <c r="M330" s="319" t="e">
        <f>0.482*M329^0.45</f>
        <v>#DIV/0!</v>
      </c>
      <c r="N330" s="319"/>
      <c r="O330" s="319"/>
      <c r="P330" s="319"/>
      <c r="Q330" s="319"/>
      <c r="R330" s="319"/>
      <c r="S330" s="319"/>
      <c r="T330" s="319"/>
      <c r="U330" s="319"/>
      <c r="V330" s="319"/>
      <c r="W330" s="319">
        <v>111214</v>
      </c>
    </row>
    <row r="331" spans="1:23" ht="12.75" hidden="1" customHeight="1">
      <c r="A331" s="12"/>
      <c r="B331" s="8" t="str">
        <f>Language!C1647</f>
        <v>Tipo de instalação</v>
      </c>
      <c r="C331" s="21"/>
      <c r="D331" s="303" t="s">
        <v>7738</v>
      </c>
      <c r="E331" s="21" t="str">
        <f>IF(M325&gt;12.88,O325,IF(M325&lt;=0.4,O323,O324))</f>
        <v>Micro</v>
      </c>
      <c r="F331" s="8"/>
      <c r="G331" s="8"/>
      <c r="H331" s="8"/>
      <c r="I331" s="8"/>
      <c r="J331" s="9"/>
      <c r="K331" s="1"/>
      <c r="L331" s="319">
        <f>IF(R333=1,0,1)</f>
        <v>1</v>
      </c>
      <c r="M331" s="319"/>
      <c r="N331" s="319"/>
      <c r="O331" s="319" t="s">
        <v>1147</v>
      </c>
      <c r="P331" s="319"/>
      <c r="Q331" s="319"/>
      <c r="R331" s="319" t="e">
        <f>IF(R333=3,8.22*M329*M326/1000,IF(R333=2,7.79*M329*M326/1000,7.53*M329*M326/1000))</f>
        <v>#DIV/0!</v>
      </c>
      <c r="S331" s="319"/>
      <c r="T331" s="319"/>
      <c r="U331" s="319"/>
      <c r="V331" s="319"/>
      <c r="W331" s="319">
        <v>111215</v>
      </c>
    </row>
    <row r="332" spans="1:23" ht="12.75" hidden="1" customHeight="1">
      <c r="A332" s="12"/>
      <c r="B332" s="8" t="str">
        <f>Language!C1645</f>
        <v>Barragem existente</v>
      </c>
      <c r="C332" s="21" t="str">
        <f>$C$323</f>
        <v>sim/não</v>
      </c>
      <c r="D332" s="303" t="s">
        <v>6131</v>
      </c>
      <c r="E332" s="8"/>
      <c r="F332" s="8"/>
      <c r="G332" s="8"/>
      <c r="H332" s="8"/>
      <c r="I332" s="8"/>
      <c r="J332" s="9"/>
      <c r="K332" s="1"/>
      <c r="L332" s="319"/>
      <c r="M332" s="319"/>
      <c r="N332" s="319"/>
      <c r="O332" s="319" t="s">
        <v>3880</v>
      </c>
      <c r="P332" s="319"/>
      <c r="Q332" s="319"/>
      <c r="R332" s="319" t="e">
        <f>R331*D327</f>
        <v>#DIV/0!</v>
      </c>
      <c r="S332" s="319"/>
      <c r="T332" s="319"/>
      <c r="U332" s="319"/>
      <c r="V332" s="319"/>
      <c r="W332" s="319">
        <v>111216</v>
      </c>
    </row>
    <row r="333" spans="1:23" ht="12.75" hidden="1" customHeight="1">
      <c r="A333" s="12"/>
      <c r="B333" s="8" t="str">
        <f>Language!C1830</f>
        <v>Comprimento do crista da nova barragem</v>
      </c>
      <c r="C333" s="303" t="s">
        <v>5569</v>
      </c>
      <c r="D333" s="303"/>
      <c r="E333" s="8"/>
      <c r="F333" s="8"/>
      <c r="G333" s="8"/>
      <c r="H333" s="8"/>
      <c r="I333" s="8"/>
      <c r="J333" s="9"/>
      <c r="K333" s="1"/>
      <c r="L333" s="319"/>
      <c r="M333" s="319">
        <f>IF(C333=$C$683,D333,D333/$F$723)</f>
        <v>0</v>
      </c>
      <c r="N333" s="319"/>
      <c r="O333" s="319" t="s">
        <v>3672</v>
      </c>
      <c r="P333" s="319"/>
      <c r="Q333" s="319"/>
      <c r="R333" s="319">
        <f>IF(ISERROR(MATCH(D331,O323:O325,0))=TRUE,3,MATCH(D331,O323:O325,0))</f>
        <v>3</v>
      </c>
      <c r="S333" s="319"/>
      <c r="T333" s="319"/>
      <c r="U333" s="319"/>
      <c r="V333" s="319"/>
      <c r="W333" s="319">
        <v>111217</v>
      </c>
    </row>
    <row r="334" spans="1:23" ht="12.75" hidden="1" customHeight="1">
      <c r="A334" s="12"/>
      <c r="B334" s="8" t="str">
        <f>Language!C1943</f>
        <v>Rochas na área da barragem</v>
      </c>
      <c r="C334" s="21" t="str">
        <f>C323</f>
        <v>sim/não</v>
      </c>
      <c r="D334" s="303" t="s">
        <v>6131</v>
      </c>
      <c r="E334" s="8"/>
      <c r="F334" s="8"/>
      <c r="G334" s="8"/>
      <c r="H334" s="8"/>
      <c r="I334" s="8"/>
      <c r="J334" s="9"/>
      <c r="K334" s="1"/>
      <c r="L334" s="319"/>
      <c r="M334" s="319">
        <f>IF(D332=lang_yes,0,M333)</f>
        <v>0</v>
      </c>
      <c r="N334" s="319"/>
      <c r="O334" s="319" t="s">
        <v>5628</v>
      </c>
      <c r="P334" s="319"/>
      <c r="Q334" s="319"/>
      <c r="R334" s="319" t="e">
        <f>0.4734*(M325^2*M342/(D343*M326))^0.1875</f>
        <v>#DIV/0!</v>
      </c>
      <c r="S334" s="319"/>
      <c r="T334" s="319"/>
      <c r="U334" s="319"/>
      <c r="V334" s="319"/>
      <c r="W334" s="319">
        <v>111218</v>
      </c>
    </row>
    <row r="335" spans="1:23" ht="12.75" hidden="1" customHeight="1">
      <c r="A335" s="12"/>
      <c r="B335" s="8" t="str">
        <f>Language!C1799</f>
        <v>Perdas hidráulicas máximas</v>
      </c>
      <c r="C335" s="21" t="str">
        <f>$C$418</f>
        <v>%</v>
      </c>
      <c r="D335" s="366"/>
      <c r="E335" s="233">
        <f>'Modelo Energético'!D428</f>
        <v>0</v>
      </c>
      <c r="F335" s="551" t="str">
        <f>IF(D335-D336-IF(HideT_Hydro_tunnel_index=TRUE,D343,0)-IF(HideT_Hydro_Penstock_Index=TRUE,D356,0)&lt;-0.005,Language!C533,"")</f>
        <v/>
      </c>
      <c r="G335" s="8"/>
      <c r="H335" s="8"/>
      <c r="I335" s="8"/>
      <c r="J335" s="9"/>
      <c r="K335" s="1"/>
      <c r="L335" s="319"/>
      <c r="M335" s="319"/>
      <c r="N335" s="319"/>
      <c r="O335" s="319" t="s">
        <v>4799</v>
      </c>
      <c r="P335" s="319"/>
      <c r="Q335" s="319"/>
      <c r="R335" s="319">
        <f>PI()*M346^2/4*M342</f>
        <v>0</v>
      </c>
      <c r="S335" s="319"/>
      <c r="T335" s="319"/>
      <c r="U335" s="319"/>
      <c r="V335" s="319"/>
      <c r="W335" s="319">
        <v>111219</v>
      </c>
    </row>
    <row r="336" spans="1:23" ht="12.75" hidden="1" customHeight="1">
      <c r="A336" s="12"/>
      <c r="B336" s="8" t="str">
        <f>Language!C1820</f>
        <v>Perdas diversas</v>
      </c>
      <c r="C336" s="21" t="str">
        <f>$C$418</f>
        <v>%</v>
      </c>
      <c r="D336" s="366"/>
      <c r="E336" s="8"/>
      <c r="F336" s="8"/>
      <c r="G336" s="8"/>
      <c r="H336" s="8"/>
      <c r="I336" s="8"/>
      <c r="J336" s="9"/>
      <c r="K336" s="1"/>
      <c r="L336" s="319"/>
      <c r="M336" s="319"/>
      <c r="N336" s="319"/>
      <c r="O336" s="319" t="s">
        <v>1703</v>
      </c>
      <c r="P336" s="319"/>
      <c r="Q336" s="319"/>
      <c r="R336" s="319">
        <f>0.306*R335*D344</f>
        <v>0</v>
      </c>
      <c r="S336" s="319"/>
      <c r="T336" s="319"/>
      <c r="U336" s="319"/>
      <c r="V336" s="319"/>
      <c r="W336" s="319">
        <v>111220</v>
      </c>
    </row>
    <row r="337" spans="1:23" ht="12.75" hidden="1" customHeight="1">
      <c r="A337" s="1009" t="s">
        <v>4189</v>
      </c>
      <c r="B337" s="153" t="str">
        <f>Language!C536</f>
        <v>Construção de estrada</v>
      </c>
      <c r="C337" s="21"/>
      <c r="D337" s="21"/>
      <c r="E337" s="8"/>
      <c r="F337" s="8"/>
      <c r="G337" s="8"/>
      <c r="H337" s="8"/>
      <c r="I337" s="8"/>
      <c r="J337" s="9"/>
      <c r="K337" s="1"/>
      <c r="L337" s="3" t="b">
        <v>0</v>
      </c>
      <c r="M337" s="319"/>
      <c r="N337" s="319"/>
      <c r="O337" s="319" t="s">
        <v>332</v>
      </c>
      <c r="P337" s="319"/>
      <c r="Q337" s="319"/>
      <c r="R337" s="319">
        <f>(1.5+0.016*D349^2)*M325*M348</f>
        <v>0</v>
      </c>
      <c r="S337" s="319"/>
      <c r="T337" s="319"/>
      <c r="U337" s="319"/>
      <c r="V337" s="319"/>
      <c r="W337" s="319">
        <v>111221</v>
      </c>
    </row>
    <row r="338" spans="1:23" ht="12.75" hidden="1" customHeight="1">
      <c r="A338" s="12"/>
      <c r="B338" s="8" t="str">
        <f>Language!C310</f>
        <v>Comprimento</v>
      </c>
      <c r="C338" s="303" t="s">
        <v>1182</v>
      </c>
      <c r="D338" s="382"/>
      <c r="E338" s="8"/>
      <c r="F338" s="8"/>
      <c r="G338" s="8"/>
      <c r="H338" s="8"/>
      <c r="I338" s="8"/>
      <c r="J338" s="9"/>
      <c r="K338" s="1"/>
      <c r="L338" s="319"/>
      <c r="M338" s="319">
        <f>IF(C338=$C$659,D338,D338*$F$724/$F$725)</f>
        <v>0</v>
      </c>
      <c r="N338" s="319"/>
      <c r="O338" s="319" t="s">
        <v>2772</v>
      </c>
      <c r="P338" s="319"/>
      <c r="Q338" s="319"/>
      <c r="R338" s="319">
        <f>(1.5+0.01*D351^1.5)*M325*M350</f>
        <v>0</v>
      </c>
      <c r="S338" s="319"/>
      <c r="T338" s="319"/>
      <c r="U338" s="319"/>
      <c r="V338" s="319"/>
      <c r="W338" s="319">
        <v>111222</v>
      </c>
    </row>
    <row r="339" spans="1:23" ht="12.75" hidden="1" customHeight="1">
      <c r="A339" s="12"/>
      <c r="B339" s="8" t="str">
        <f>Language!C2036</f>
        <v>Caminho somente para obras</v>
      </c>
      <c r="C339" s="21" t="str">
        <f>C323</f>
        <v>sim/não</v>
      </c>
      <c r="D339" s="303" t="s">
        <v>6131</v>
      </c>
      <c r="E339" s="8"/>
      <c r="F339" s="8"/>
      <c r="G339" s="8"/>
      <c r="H339" s="8"/>
      <c r="I339" s="8"/>
      <c r="J339" s="9"/>
      <c r="K339" s="1"/>
      <c r="L339" s="319"/>
      <c r="M339" s="319"/>
      <c r="N339" s="319"/>
      <c r="O339" s="319" t="s">
        <v>693</v>
      </c>
      <c r="P339" s="319"/>
      <c r="Q339" s="319"/>
      <c r="R339" s="319" t="e">
        <f>M357^1.3+6</f>
        <v>#DIV/0!</v>
      </c>
      <c r="S339" s="319"/>
      <c r="T339" s="319"/>
      <c r="U339" s="319"/>
      <c r="V339" s="319"/>
      <c r="W339" s="319">
        <v>111223</v>
      </c>
    </row>
    <row r="340" spans="1:23" ht="12.75" hidden="1" customHeight="1">
      <c r="A340" s="12"/>
      <c r="B340" s="8" t="str">
        <f>Language!C1598</f>
        <v>Dificuldade do terreno</v>
      </c>
      <c r="C340" s="21"/>
      <c r="D340" s="382"/>
      <c r="E340" s="8"/>
      <c r="F340" s="1"/>
      <c r="G340" s="8"/>
      <c r="H340" s="8"/>
      <c r="I340" s="8"/>
      <c r="J340" s="9"/>
      <c r="K340" s="1"/>
      <c r="L340" s="319"/>
      <c r="M340" s="319"/>
      <c r="N340" s="319"/>
      <c r="O340" s="319" t="s">
        <v>3773</v>
      </c>
      <c r="P340" s="319"/>
      <c r="Q340" s="319"/>
      <c r="R340" s="319" t="e">
        <f>IF(0.0375*M357*(M326*(1-D335))+1.5&lt;R339,R339,0.0375*M357*(M326*(1-D335))+1.5)</f>
        <v>#DIV/0!</v>
      </c>
      <c r="S340" s="319"/>
      <c r="T340" s="319"/>
      <c r="U340" s="319"/>
      <c r="V340" s="319"/>
      <c r="W340" s="319">
        <v>111224</v>
      </c>
    </row>
    <row r="341" spans="1:23" ht="12.75" hidden="1" customHeight="1">
      <c r="A341" s="1009" t="s">
        <v>4189</v>
      </c>
      <c r="B341" s="153" t="str">
        <f>Language!C2042</f>
        <v>Tunel</v>
      </c>
      <c r="C341" s="21"/>
      <c r="D341" s="21"/>
      <c r="E341" s="8"/>
      <c r="F341" s="8"/>
      <c r="G341" s="8"/>
      <c r="H341" s="8"/>
      <c r="I341" s="8"/>
      <c r="J341" s="9"/>
      <c r="K341" s="1"/>
      <c r="L341" s="3" t="b">
        <v>0</v>
      </c>
      <c r="M341" s="319"/>
      <c r="N341" s="319"/>
      <c r="O341" s="319" t="s">
        <v>5492</v>
      </c>
      <c r="P341" s="319"/>
      <c r="Q341" s="319"/>
      <c r="R341" s="319">
        <f>IF(OR(D324&lt;180,D323&lt;&gt;lang_yes),180,D324)</f>
        <v>180</v>
      </c>
      <c r="S341" s="319"/>
      <c r="T341" s="319"/>
      <c r="U341" s="319"/>
      <c r="V341" s="319"/>
      <c r="W341" s="319">
        <v>111225</v>
      </c>
    </row>
    <row r="342" spans="1:23" ht="12.75" hidden="1" customHeight="1">
      <c r="A342" s="12"/>
      <c r="B342" s="8" t="str">
        <f>B338</f>
        <v>Comprimento</v>
      </c>
      <c r="C342" s="303" t="s">
        <v>5569</v>
      </c>
      <c r="D342" s="307"/>
      <c r="E342" s="8"/>
      <c r="F342" s="8"/>
      <c r="G342" s="8"/>
      <c r="H342" s="8"/>
      <c r="I342" s="8"/>
      <c r="J342" s="9"/>
      <c r="K342" s="1"/>
      <c r="L342" s="319">
        <f>IF(AND(L331=1,L341=TRUE),1,0)</f>
        <v>0</v>
      </c>
      <c r="M342" s="319">
        <f>IF(C342=$C$683,D342,D342/$F$723)</f>
        <v>0</v>
      </c>
      <c r="N342" s="319"/>
      <c r="O342" s="319" t="s">
        <v>5493</v>
      </c>
      <c r="P342" s="319"/>
      <c r="Q342" s="319"/>
      <c r="R342" s="319">
        <f>IF(OR(D324=0,D323=lang_no),1,110/(365-R341)^0.9)</f>
        <v>1</v>
      </c>
      <c r="S342" s="319"/>
      <c r="T342" s="319"/>
      <c r="U342" s="319"/>
      <c r="V342" s="319"/>
      <c r="W342" s="319">
        <v>111226</v>
      </c>
    </row>
    <row r="343" spans="1:23" ht="12.75" hidden="1" customHeight="1">
      <c r="A343" s="12"/>
      <c r="B343" s="8" t="str">
        <f>Language!C1473</f>
        <v>Fator de perdas permitidas na cabeceira do tunel</v>
      </c>
      <c r="C343" s="21" t="str">
        <f>C335</f>
        <v>%</v>
      </c>
      <c r="D343" s="366"/>
      <c r="E343" s="8"/>
      <c r="F343" s="8"/>
      <c r="G343" s="8"/>
      <c r="H343" s="8"/>
      <c r="I343" s="8"/>
      <c r="J343" s="9"/>
      <c r="K343" s="1"/>
      <c r="L343" s="319">
        <f>IF(L341=TRUE,1,0)</f>
        <v>0</v>
      </c>
      <c r="M343" s="319"/>
      <c r="N343" s="319"/>
      <c r="O343" s="319" t="s">
        <v>2726</v>
      </c>
      <c r="P343" s="319" t="s">
        <v>4324</v>
      </c>
      <c r="Q343" s="319" t="s">
        <v>2059</v>
      </c>
      <c r="R343" s="319" t="s">
        <v>2060</v>
      </c>
      <c r="S343" s="319"/>
      <c r="T343" s="319"/>
      <c r="U343" s="319"/>
      <c r="V343" s="319"/>
      <c r="W343" s="319">
        <v>111227</v>
      </c>
    </row>
    <row r="344" spans="1:23" ht="12.75" hidden="1" customHeight="1">
      <c r="A344" s="12"/>
      <c r="B344" s="8" t="str">
        <f>Language!C1875</f>
        <v>Percentual do comprimento do tunel com revestimento</v>
      </c>
      <c r="C344" s="21" t="str">
        <f>C335</f>
        <v>%</v>
      </c>
      <c r="D344" s="159"/>
      <c r="E344" s="8"/>
      <c r="F344" s="8"/>
      <c r="G344" s="8"/>
      <c r="H344" s="8"/>
      <c r="I344" s="8"/>
      <c r="J344" s="9"/>
      <c r="K344" s="1"/>
      <c r="L344" s="319"/>
      <c r="M344" s="319"/>
      <c r="N344" s="319"/>
      <c r="O344" s="319" t="str">
        <f>Language!C1766</f>
        <v>Kaplan</v>
      </c>
      <c r="P344" s="319" t="e">
        <f xml:space="preserve"> 0.82 * (IF(R332&lt;10,0.75,1)) * (IF(R332&lt;1.5,R354,1)) * (R332/M326^0.28)^0.9 * D327^0.96 * 10^6</f>
        <v>#DIV/0!</v>
      </c>
      <c r="Q344" s="319" t="e">
        <f>0.27 * (IF(M326&gt;25,1.1,1)) * (IF(M330&lt;1.8,0.9,1)) * (1.17*M326^0.12+2) * M330^1.47 * D327^0.96 * 10^6</f>
        <v>#DIV/0!</v>
      </c>
      <c r="R344" s="319" t="e">
        <f t="shared" ref="R344:R349" si="24">SUM(P344:Q344)</f>
        <v>#DIV/0!</v>
      </c>
      <c r="S344" s="319"/>
      <c r="T344" s="319"/>
      <c r="U344" s="319"/>
      <c r="V344" s="319"/>
      <c r="W344" s="319">
        <v>111228</v>
      </c>
    </row>
    <row r="345" spans="1:23" ht="12.75" hidden="1" customHeight="1">
      <c r="A345" s="12"/>
      <c r="B345" s="8" t="str">
        <f>Language!C1644</f>
        <v>Método de excavação</v>
      </c>
      <c r="C345" s="21"/>
      <c r="D345" s="419" t="s">
        <v>7437</v>
      </c>
      <c r="E345" s="8"/>
      <c r="F345" s="8"/>
      <c r="G345" s="8"/>
      <c r="H345" s="8"/>
      <c r="I345" s="8"/>
      <c r="J345" s="9"/>
      <c r="K345" s="1"/>
      <c r="L345" s="319">
        <f>IF(AND(L341=TRUE,L331=1,L317&lt;&gt;1),1,0)</f>
        <v>0</v>
      </c>
      <c r="M345" s="319"/>
      <c r="N345" s="319"/>
      <c r="O345" s="319" t="str">
        <f>Language!C1678</f>
        <v>Francis</v>
      </c>
      <c r="P345" s="319" t="e">
        <f xml:space="preserve"> 0.82 * (IF(R332&lt;10,0.75,1)) * (IF(R332&lt;1.5,R354,1)) * (R332/M326^0.28)^0.9 * D327^0.96 * 10^6</f>
        <v>#DIV/0!</v>
      </c>
      <c r="Q345" s="319" t="e">
        <f>0.17 * (IF(M326&gt;25,1.1,1)) * (IF(M330&lt;1.8,0.9,1)) * ((13+0.01*M326)^0.3+3) * M330^1.47 * D327^0.96 * 10^6</f>
        <v>#DIV/0!</v>
      </c>
      <c r="R345" s="319" t="e">
        <f t="shared" si="24"/>
        <v>#DIV/0!</v>
      </c>
      <c r="S345" s="319"/>
      <c r="T345" s="319"/>
      <c r="U345" s="319"/>
      <c r="V345" s="319"/>
      <c r="W345" s="319">
        <v>111229</v>
      </c>
    </row>
    <row r="346" spans="1:23" ht="12.75" hidden="1" customHeight="1">
      <c r="A346" s="12"/>
      <c r="B346" s="8" t="str">
        <f>Language!C1597</f>
        <v>Diâmetro</v>
      </c>
      <c r="C346" s="21" t="str">
        <f>IF(Unit=TRUE,C683,C684)</f>
        <v>m</v>
      </c>
      <c r="D346" s="217">
        <f>IF(Unit=TRUE,M346,M346*F723)</f>
        <v>0</v>
      </c>
      <c r="E346" s="8"/>
      <c r="F346" s="8"/>
      <c r="G346" s="8"/>
      <c r="H346" s="8"/>
      <c r="I346" s="8"/>
      <c r="J346" s="9"/>
      <c r="K346" s="1"/>
      <c r="L346" s="319"/>
      <c r="M346" s="319">
        <f>IF(M342&gt;0,IF(AND(L317&gt;1,MATCH(D345,Q318:Q319,0)=1),IF(R334&lt;1.8,1.8,R334),IF(R334&lt;2.4,2.4,R334)),0)</f>
        <v>0</v>
      </c>
      <c r="N346" s="319"/>
      <c r="O346" s="319" t="str">
        <f>Language!C1915</f>
        <v>Hélice</v>
      </c>
      <c r="P346" s="319" t="e">
        <f xml:space="preserve"> 0.82 * (IF(R332&lt;10,0.75,1)) * (IF(R332&lt;1.5,R354,1)) * (R332/M326^0.28)^0.9 * D327^0.96 * 10^6</f>
        <v>#DIV/0!</v>
      </c>
      <c r="Q346" s="319" t="e">
        <f>0.125 * (IF(M326&gt;25,1.1,1)) * (IF(M330&lt;1.8,0.9,1)) * (1.17*M326^0.12+4) * M330^1.47 * D327^0.96 * 10^6</f>
        <v>#DIV/0!</v>
      </c>
      <c r="R346" s="319" t="e">
        <f t="shared" si="24"/>
        <v>#DIV/0!</v>
      </c>
      <c r="S346" s="319"/>
      <c r="T346" s="319"/>
      <c r="U346" s="319"/>
      <c r="V346" s="319"/>
      <c r="W346" s="319">
        <v>111230</v>
      </c>
    </row>
    <row r="347" spans="1:23" ht="12.75" hidden="1" customHeight="1">
      <c r="A347" s="1009" t="s">
        <v>4189</v>
      </c>
      <c r="B347" s="153" t="str">
        <f>Language!C1514</f>
        <v>Canal</v>
      </c>
      <c r="C347" s="21"/>
      <c r="D347" s="21"/>
      <c r="E347" s="8"/>
      <c r="F347" s="8"/>
      <c r="G347" s="8"/>
      <c r="H347" s="8"/>
      <c r="I347" s="8"/>
      <c r="J347" s="9"/>
      <c r="K347" s="1"/>
      <c r="L347" s="3" t="b">
        <v>0</v>
      </c>
      <c r="M347" s="319"/>
      <c r="N347" s="319"/>
      <c r="O347" s="319" t="str">
        <f>Language!C1871</f>
        <v>Pelton</v>
      </c>
      <c r="P347" s="319" t="e">
        <f xml:space="preserve"> 0.82 * (IF(R332&lt;10,0.75,1)) * (IF(R332&lt;1.5,R354,1)) * (R332/M326^0.28)^0.9 * D327^0.96 * 10^6</f>
        <v>#DIV/0!</v>
      </c>
      <c r="Q347" s="319" t="e">
        <f>IF(R331/M326^0.5&gt;0.4, 3.47*(R331/M326^0.5)^0.44, 5.34*(R331/M326^0.5)^0.91) * D327^0.96 * 10^6</f>
        <v>#DIV/0!</v>
      </c>
      <c r="R347" s="319" t="e">
        <f t="shared" si="24"/>
        <v>#DIV/0!</v>
      </c>
      <c r="S347" s="319"/>
      <c r="T347" s="319"/>
      <c r="U347" s="319"/>
      <c r="V347" s="319"/>
      <c r="W347" s="319">
        <v>111231</v>
      </c>
    </row>
    <row r="348" spans="1:23" ht="12.75" hidden="1" customHeight="1">
      <c r="A348" s="12"/>
      <c r="B348" s="8" t="str">
        <f>Language!C1777</f>
        <v>Comprimento na rocha</v>
      </c>
      <c r="C348" s="303" t="s">
        <v>5569</v>
      </c>
      <c r="D348" s="307"/>
      <c r="E348" s="8"/>
      <c r="F348" s="8"/>
      <c r="G348" s="8"/>
      <c r="H348" s="8"/>
      <c r="I348" s="8"/>
      <c r="J348" s="9"/>
      <c r="K348" s="1"/>
      <c r="L348" s="319"/>
      <c r="M348" s="319">
        <f>IF(C348=$C$683,D348,D348/$F$723)</f>
        <v>0</v>
      </c>
      <c r="N348" s="319"/>
      <c r="O348" s="319" t="str">
        <f>Language!C2050</f>
        <v>Turgo</v>
      </c>
      <c r="P348" s="319" t="e">
        <f xml:space="preserve"> 0.82 * (IF(R332&lt;10,0.75,1)) * (IF(R332&lt;1.5,R354,1)) * (R332/M326^0.28)^0.9 * D327^0.96 * 10^6</f>
        <v>#DIV/0!</v>
      </c>
      <c r="Q348" s="319" t="e">
        <f>IF(R331/M326^0.5&gt;0.4, 3.47*(R331/M326^0.5)^0.44, 5.34*(R331/M326^0.5)^0.91) * D327^0.96 * 10^6</f>
        <v>#DIV/0!</v>
      </c>
      <c r="R348" s="319" t="e">
        <f t="shared" si="24"/>
        <v>#DIV/0!</v>
      </c>
      <c r="S348" s="319"/>
      <c r="T348" s="319"/>
      <c r="U348" s="319"/>
      <c r="V348" s="319"/>
      <c r="W348" s="319">
        <v>111232</v>
      </c>
    </row>
    <row r="349" spans="1:23" ht="12.75" hidden="1" customHeight="1">
      <c r="A349" s="12"/>
      <c r="B349" s="8" t="str">
        <f>Language!C2021</f>
        <v>Inclinação lateral do terreno na rocha (médio)</v>
      </c>
      <c r="C349" s="21" t="s">
        <v>5770</v>
      </c>
      <c r="D349" s="307"/>
      <c r="E349" s="8"/>
      <c r="F349" s="8"/>
      <c r="G349" s="8"/>
      <c r="H349" s="8"/>
      <c r="I349" s="8"/>
      <c r="J349" s="9"/>
      <c r="K349" s="1"/>
      <c r="L349" s="319"/>
      <c r="M349" s="319"/>
      <c r="N349" s="319"/>
      <c r="O349" s="319" t="str">
        <f>Language!C1573</f>
        <v>Fluxo transversal</v>
      </c>
      <c r="P349" s="319" t="e">
        <f xml:space="preserve"> 0.82 * (IF(R332&lt;10,0.75,1)) * (IF(R332&lt;1.5,R354,1)) * (R332/M326^0.28)^0.9 * D327^0.96 * 10^6</f>
        <v>#DIV/0!</v>
      </c>
      <c r="Q349" s="319" t="e">
        <f>0.5*Q347</f>
        <v>#DIV/0!</v>
      </c>
      <c r="R349" s="319" t="e">
        <f t="shared" si="24"/>
        <v>#DIV/0!</v>
      </c>
      <c r="S349" s="319"/>
      <c r="T349" s="319"/>
      <c r="U349" s="319"/>
      <c r="V349" s="319"/>
      <c r="W349" s="319">
        <v>111233</v>
      </c>
    </row>
    <row r="350" spans="1:23" ht="12.75" hidden="1" customHeight="1">
      <c r="A350" s="12"/>
      <c r="B350" s="8" t="str">
        <f>Language!C1776</f>
        <v>Comprimento em solo impermeável</v>
      </c>
      <c r="C350" s="21" t="str">
        <f>C348</f>
        <v>m</v>
      </c>
      <c r="D350" s="307"/>
      <c r="E350" s="8"/>
      <c r="F350" s="8"/>
      <c r="G350" s="8"/>
      <c r="H350" s="8"/>
      <c r="I350" s="8"/>
      <c r="J350" s="9"/>
      <c r="K350" s="1"/>
      <c r="L350" s="319"/>
      <c r="M350" s="319">
        <f>IF(C350=$C$683,D350,D350/$F$723)</f>
        <v>0</v>
      </c>
      <c r="N350" s="319"/>
      <c r="O350" s="319" t="s">
        <v>1724</v>
      </c>
      <c r="P350" s="319"/>
      <c r="Q350" s="319"/>
      <c r="R350" s="319" t="e">
        <f>VLOOKUP(D328,O344:R349,4,FALSE)</f>
        <v>#DIV/0!</v>
      </c>
      <c r="S350" s="319"/>
      <c r="T350" s="319"/>
      <c r="U350" s="319"/>
      <c r="V350" s="319"/>
      <c r="W350" s="319">
        <v>111234</v>
      </c>
    </row>
    <row r="351" spans="1:23" ht="12.75" hidden="1" customHeight="1">
      <c r="A351" s="12"/>
      <c r="B351" s="8" t="str">
        <f>Language!C2022</f>
        <v>Inclinação lateral do terreno no solo (médio)</v>
      </c>
      <c r="C351" s="21" t="str">
        <f>C349</f>
        <v>˚</v>
      </c>
      <c r="D351" s="307"/>
      <c r="E351" s="8"/>
      <c r="F351" s="8"/>
      <c r="G351" s="8"/>
      <c r="H351" s="8"/>
      <c r="I351" s="8"/>
      <c r="J351" s="9"/>
      <c r="K351" s="1"/>
      <c r="L351" s="319"/>
      <c r="M351" s="319"/>
      <c r="N351" s="319"/>
      <c r="O351" s="319"/>
      <c r="P351" s="319"/>
      <c r="Q351" s="319"/>
      <c r="R351" s="319"/>
      <c r="S351" s="319"/>
      <c r="T351" s="319"/>
      <c r="U351" s="319"/>
      <c r="V351" s="319"/>
      <c r="W351" s="319">
        <v>111235</v>
      </c>
    </row>
    <row r="352" spans="1:23" ht="12.75" hidden="1" customHeight="1">
      <c r="A352" s="12"/>
      <c r="B352" s="8" t="str">
        <f>Language!C2032</f>
        <v>Perda total por altura do canal</v>
      </c>
      <c r="C352" s="21" t="str">
        <f>IF(Unit=TRUE,C683,C684)</f>
        <v>m</v>
      </c>
      <c r="D352" s="236">
        <f>IF(Unit=TRUE,M352,M352*F723)</f>
        <v>0</v>
      </c>
      <c r="E352" s="8"/>
      <c r="F352" s="8"/>
      <c r="G352" s="8"/>
      <c r="H352" s="8"/>
      <c r="I352" s="8"/>
      <c r="J352" s="9"/>
      <c r="K352" s="1"/>
      <c r="L352" s="319"/>
      <c r="M352" s="319">
        <f>(M348*0.001+M350*0.001)</f>
        <v>0</v>
      </c>
      <c r="N352" s="319"/>
      <c r="O352" s="319"/>
      <c r="P352" s="319"/>
      <c r="Q352" s="319"/>
      <c r="R352" s="319"/>
      <c r="S352" s="319"/>
      <c r="T352" s="319"/>
      <c r="U352" s="319"/>
      <c r="V352" s="319"/>
      <c r="W352" s="319">
        <v>111236</v>
      </c>
    </row>
    <row r="353" spans="1:23" ht="12.75" hidden="1" customHeight="1">
      <c r="A353" s="1009" t="s">
        <v>4189</v>
      </c>
      <c r="B353" s="153" t="str">
        <f>Language!C1873</f>
        <v>Adutora</v>
      </c>
      <c r="C353" s="21"/>
      <c r="D353" s="21"/>
      <c r="E353" s="8"/>
      <c r="F353" s="8"/>
      <c r="G353" s="8"/>
      <c r="H353" s="8"/>
      <c r="I353" s="8"/>
      <c r="J353" s="9"/>
      <c r="K353" s="1"/>
      <c r="L353" s="3" t="b">
        <v>0</v>
      </c>
      <c r="M353" s="319"/>
      <c r="N353" s="319"/>
      <c r="O353" s="319" t="s">
        <v>409</v>
      </c>
      <c r="P353" s="319"/>
      <c r="Q353" s="319"/>
      <c r="R353" s="319" t="e">
        <f>(0.33333*D318+0.33333*D319)*1/(D318/D320)^0.5+0.33333*(D318/D320)^0.5*D320</f>
        <v>#DIV/0!</v>
      </c>
      <c r="S353" s="319"/>
      <c r="T353" s="319"/>
      <c r="U353" s="319"/>
      <c r="V353" s="319"/>
      <c r="W353" s="319">
        <v>111237</v>
      </c>
    </row>
    <row r="354" spans="1:23" ht="12.75" hidden="1" customHeight="1">
      <c r="A354" s="12"/>
      <c r="B354" s="8" t="str">
        <f>B338</f>
        <v>Comprimento</v>
      </c>
      <c r="C354" s="303" t="s">
        <v>5569</v>
      </c>
      <c r="D354" s="395"/>
      <c r="E354" s="8"/>
      <c r="F354" s="8"/>
      <c r="G354" s="8"/>
      <c r="H354" s="8"/>
      <c r="I354" s="8"/>
      <c r="J354" s="9"/>
      <c r="K354" s="1"/>
      <c r="L354" s="319"/>
      <c r="M354" s="319">
        <f>IF(C354=$C$683,D354,D354/$F$723)</f>
        <v>0</v>
      </c>
      <c r="N354" s="319"/>
      <c r="O354" s="319" t="s">
        <v>5094</v>
      </c>
      <c r="P354" s="319"/>
      <c r="Q354" s="319"/>
      <c r="R354" s="319">
        <f>IF(D361=O318, 0.9, 1)</f>
        <v>0.9</v>
      </c>
      <c r="S354" s="319"/>
      <c r="T354" s="319"/>
      <c r="U354" s="319"/>
      <c r="V354" s="319"/>
      <c r="W354" s="319">
        <v>111238</v>
      </c>
    </row>
    <row r="355" spans="1:23" ht="12.75" hidden="1" customHeight="1">
      <c r="A355" s="12"/>
      <c r="B355" s="8" t="str">
        <f>Language!C1839</f>
        <v>Número</v>
      </c>
      <c r="C355" s="21" t="str">
        <f>Language!C1872</f>
        <v>adutora</v>
      </c>
      <c r="D355" s="303"/>
      <c r="E355" s="8"/>
      <c r="F355" s="8"/>
      <c r="G355" s="8"/>
      <c r="H355" s="8"/>
      <c r="I355" s="8"/>
      <c r="J355" s="9"/>
      <c r="K355" s="1"/>
      <c r="L355" s="319"/>
      <c r="M355" s="319"/>
      <c r="N355" s="319"/>
      <c r="O355" s="319" t="s">
        <v>4528</v>
      </c>
      <c r="P355" s="319"/>
      <c r="Q355" s="319"/>
      <c r="R355" s="319">
        <f>IF(D332=lang_yes, 0.44, 1)</f>
        <v>0.44</v>
      </c>
      <c r="S355" s="319"/>
      <c r="T355" s="319"/>
      <c r="U355" s="319"/>
      <c r="V355" s="319"/>
      <c r="W355" s="319">
        <v>111239</v>
      </c>
    </row>
    <row r="356" spans="1:23" ht="12.75" hidden="1" customHeight="1">
      <c r="A356" s="12"/>
      <c r="B356" s="8" t="str">
        <f>Language!C1472</f>
        <v>Fator de perdas permitidas na cabeceira da adutora</v>
      </c>
      <c r="C356" s="21" t="str">
        <f>C335</f>
        <v>%</v>
      </c>
      <c r="D356" s="366"/>
      <c r="E356" s="8"/>
      <c r="F356" s="8"/>
      <c r="G356" s="8"/>
      <c r="H356" s="8"/>
      <c r="I356" s="8"/>
      <c r="J356" s="9"/>
      <c r="K356" s="1"/>
      <c r="L356" s="319"/>
      <c r="M356" s="319"/>
      <c r="N356" s="319"/>
      <c r="O356" s="319" t="s">
        <v>3667</v>
      </c>
      <c r="P356" s="319"/>
      <c r="Q356" s="319"/>
      <c r="R356" s="319">
        <f>IF(D332=lang_yes, 0.67, 1)</f>
        <v>0.67</v>
      </c>
      <c r="S356" s="319"/>
      <c r="T356" s="319"/>
      <c r="U356" s="319"/>
      <c r="V356" s="319"/>
      <c r="W356" s="319">
        <v>111240</v>
      </c>
    </row>
    <row r="357" spans="1:23" ht="12.75" hidden="1" customHeight="1">
      <c r="A357" s="12"/>
      <c r="B357" s="8" t="str">
        <f>B346</f>
        <v>Diâmetro</v>
      </c>
      <c r="C357" s="21" t="str">
        <f>IF(Unit=TRUE,C683,C684)</f>
        <v>m</v>
      </c>
      <c r="D357" s="217" t="e">
        <f>IF(Unit=TRUE,M357,M357*F723)</f>
        <v>#DIV/0!</v>
      </c>
      <c r="E357" s="8"/>
      <c r="F357" s="8"/>
      <c r="G357" s="8"/>
      <c r="H357" s="8"/>
      <c r="I357" s="8"/>
      <c r="J357" s="9"/>
      <c r="K357" s="1"/>
      <c r="L357" s="319"/>
      <c r="M357" s="319" t="e">
        <f>0.285*(M325/D355)^0.38*(M354/(D356*M326))^0.19</f>
        <v>#DIV/0!</v>
      </c>
      <c r="N357" s="319"/>
      <c r="O357" s="319" t="s">
        <v>5708</v>
      </c>
      <c r="P357" s="319"/>
      <c r="Q357" s="319"/>
      <c r="R357" s="319">
        <f>IF(D334=lang_yes,1,1.05)</f>
        <v>1</v>
      </c>
      <c r="S357" s="319"/>
      <c r="T357" s="319"/>
      <c r="U357" s="319"/>
      <c r="V357" s="319"/>
      <c r="W357" s="319">
        <v>111241</v>
      </c>
    </row>
    <row r="358" spans="1:23" ht="12.75" hidden="1" customHeight="1">
      <c r="A358" s="12"/>
      <c r="B358" s="8" t="str">
        <f>Language!C1494</f>
        <v>Espessura média da parede do tubo</v>
      </c>
      <c r="C358" s="21" t="str">
        <f>IF(Unit=TRUE,C661,C662)</f>
        <v>mm</v>
      </c>
      <c r="D358" s="217" t="e">
        <f>IF(Unit=TRUE,M358,M358*F722/1000)</f>
        <v>#DIV/0!</v>
      </c>
      <c r="E358" s="8"/>
      <c r="F358" s="8"/>
      <c r="G358" s="8"/>
      <c r="H358" s="8"/>
      <c r="I358" s="8"/>
      <c r="J358" s="9"/>
      <c r="K358" s="1"/>
      <c r="L358" s="319"/>
      <c r="M358" s="319" t="e">
        <f>(R339+R340)/2</f>
        <v>#DIV/0!</v>
      </c>
      <c r="N358" s="319"/>
      <c r="O358" s="319" t="s">
        <v>4083</v>
      </c>
      <c r="P358" s="319"/>
      <c r="Q358" s="319"/>
      <c r="R358" s="319">
        <v>1.198</v>
      </c>
      <c r="S358" s="319"/>
      <c r="T358" s="319"/>
      <c r="U358" s="319"/>
      <c r="V358" s="319"/>
      <c r="W358" s="319">
        <v>111242</v>
      </c>
    </row>
    <row r="359" spans="1:23" ht="12.75" hidden="1" customHeight="1">
      <c r="A359" s="12"/>
      <c r="B359" s="8" t="str">
        <f>Language!C1603</f>
        <v>Distancia entre furos</v>
      </c>
      <c r="C359" s="303" t="s">
        <v>1182</v>
      </c>
      <c r="D359" s="382"/>
      <c r="E359" s="8"/>
      <c r="F359" s="8"/>
      <c r="G359" s="8"/>
      <c r="H359" s="8"/>
      <c r="I359" s="8"/>
      <c r="J359" s="9"/>
      <c r="K359" s="1"/>
      <c r="L359" s="319"/>
      <c r="M359" s="319">
        <f>IF(C359=$C$659,D359,D359*$F$724/$F$725)</f>
        <v>0</v>
      </c>
      <c r="N359" s="319"/>
      <c r="O359" s="319"/>
      <c r="P359" s="319"/>
      <c r="Q359" s="319"/>
      <c r="R359" s="319"/>
      <c r="S359" s="319"/>
      <c r="T359" s="319"/>
      <c r="U359" s="319"/>
      <c r="V359" s="319"/>
      <c r="W359" s="319">
        <v>111243</v>
      </c>
    </row>
    <row r="360" spans="1:23" ht="12.75" hidden="1" customHeight="1">
      <c r="A360" s="12"/>
      <c r="B360" s="153" t="str">
        <f>Language!C537</f>
        <v>Linha de Transmissão</v>
      </c>
      <c r="C360" s="21"/>
      <c r="D360" s="21"/>
      <c r="E360" s="8"/>
      <c r="F360" s="8"/>
      <c r="G360" s="8"/>
      <c r="H360" s="8"/>
      <c r="I360" s="8"/>
      <c r="J360" s="9"/>
      <c r="K360" s="1"/>
      <c r="L360" s="319"/>
      <c r="M360" s="319"/>
      <c r="N360" s="319"/>
      <c r="O360" s="319"/>
      <c r="P360" s="319"/>
      <c r="Q360" s="319"/>
      <c r="R360" s="319"/>
      <c r="S360" s="319"/>
      <c r="T360" s="319"/>
      <c r="U360" s="319"/>
      <c r="V360" s="319"/>
      <c r="W360" s="319">
        <v>111244</v>
      </c>
    </row>
    <row r="361" spans="1:23" ht="12.75" hidden="1" customHeight="1">
      <c r="A361" s="12"/>
      <c r="B361" s="8" t="str">
        <f>Language!C586</f>
        <v>Tipo de grid</v>
      </c>
      <c r="C361" s="21"/>
      <c r="D361" s="419" t="s">
        <v>6136</v>
      </c>
      <c r="E361" s="232" t="str">
        <f>Set_GridType</f>
        <v>Rede Central</v>
      </c>
      <c r="F361" s="8"/>
      <c r="G361" s="8"/>
      <c r="H361" s="8"/>
      <c r="I361" s="8"/>
      <c r="J361" s="9"/>
      <c r="K361" s="1"/>
      <c r="L361" s="319"/>
      <c r="M361" s="319">
        <f>IF(C362=$C$659,D362,D362*$F$724/$F$725)</f>
        <v>0</v>
      </c>
      <c r="N361" s="319"/>
      <c r="O361" s="319" t="s">
        <v>4810</v>
      </c>
      <c r="P361" s="319"/>
      <c r="Q361" s="319"/>
      <c r="R361" s="319" t="s">
        <v>2982</v>
      </c>
      <c r="S361" s="319"/>
      <c r="T361" s="319"/>
      <c r="U361" s="319"/>
      <c r="V361" s="319"/>
      <c r="W361" s="319">
        <v>111245</v>
      </c>
    </row>
    <row r="362" spans="1:23" ht="12.75" hidden="1" customHeight="1">
      <c r="A362" s="12"/>
      <c r="B362" s="8" t="str">
        <f>B338</f>
        <v>Comprimento</v>
      </c>
      <c r="C362" s="303" t="s">
        <v>1182</v>
      </c>
      <c r="D362" s="382"/>
      <c r="E362" s="8"/>
      <c r="F362" s="8"/>
      <c r="G362" s="8"/>
      <c r="H362" s="8"/>
      <c r="I362" s="8"/>
      <c r="J362" s="9"/>
      <c r="K362" s="1"/>
      <c r="L362" s="319"/>
      <c r="M362" s="319"/>
      <c r="N362" s="319"/>
      <c r="O362" s="319"/>
      <c r="P362" s="319" t="s">
        <v>4809</v>
      </c>
      <c r="Q362" s="319" t="s">
        <v>1259</v>
      </c>
      <c r="R362" s="319" t="s">
        <v>239</v>
      </c>
      <c r="S362" s="319" t="s">
        <v>2991</v>
      </c>
      <c r="T362" s="319" t="s">
        <v>240</v>
      </c>
      <c r="U362" s="319" t="s">
        <v>2925</v>
      </c>
      <c r="V362" s="319"/>
      <c r="W362" s="319">
        <v>111246</v>
      </c>
    </row>
    <row r="363" spans="1:23" ht="12.75" hidden="1" customHeight="1">
      <c r="A363" s="12"/>
      <c r="B363" s="8" t="str">
        <f>B340</f>
        <v>Dificuldade do terreno</v>
      </c>
      <c r="C363" s="21"/>
      <c r="D363" s="382"/>
      <c r="E363" s="8"/>
      <c r="F363" s="8"/>
      <c r="G363" s="8"/>
      <c r="H363" s="8"/>
      <c r="I363" s="8"/>
      <c r="J363" s="9"/>
      <c r="K363" s="1"/>
      <c r="L363" s="319"/>
      <c r="M363" s="319"/>
      <c r="N363" s="319"/>
      <c r="O363" s="319" t="s">
        <v>967</v>
      </c>
      <c r="P363" s="319" t="e">
        <f>IF(R333=1,0.031*SUM(P364:P378),0.032*SUM(P364:P378))</f>
        <v>#DIV/0!</v>
      </c>
      <c r="Q363" s="319" t="e">
        <f>IF(R333=1,0.031*SUM(Q364:Q378),0.032*SUM(Q364:Q378))</f>
        <v>#DIV/0!</v>
      </c>
      <c r="R363" s="319"/>
      <c r="S363" s="319" t="e">
        <f>IF(R333=1,0.031*SUM(S364:S378),0.032*SUM(S364:S378))</f>
        <v>#DIV/0!</v>
      </c>
      <c r="T363" s="319" t="e">
        <f>IF(R333=1,0.031*SUM(T364:T378),0.032*SUM(T364:T378))</f>
        <v>#DIV/0!</v>
      </c>
      <c r="U363" s="319" t="e">
        <f>ROUND(IF($L$317=3,(S363+T363)*$D$322,Q363)*$R$358,-3)</f>
        <v>#DIV/0!</v>
      </c>
      <c r="V363" s="319"/>
      <c r="W363" s="319">
        <v>111247</v>
      </c>
    </row>
    <row r="364" spans="1:23" ht="12.75" hidden="1" customHeight="1">
      <c r="A364" s="12"/>
      <c r="B364" s="8" t="str">
        <f>Language!C1829</f>
        <v>Voltagem</v>
      </c>
      <c r="C364" s="21" t="str">
        <f>Language!C2216</f>
        <v>kV</v>
      </c>
      <c r="D364" s="382"/>
      <c r="E364" s="8"/>
      <c r="F364" s="8"/>
      <c r="G364" s="8"/>
      <c r="H364" s="8"/>
      <c r="I364" s="8"/>
      <c r="J364" s="9"/>
      <c r="K364" s="1"/>
      <c r="L364" s="319"/>
      <c r="M364" s="319"/>
      <c r="N364" s="319"/>
      <c r="O364" s="319" t="s">
        <v>1690</v>
      </c>
      <c r="P364" s="319" t="e">
        <f>0.04*SUM(P365:P377)</f>
        <v>#DIV/0!</v>
      </c>
      <c r="Q364" s="319" t="e">
        <f>0.04*SUM(Q365:Q377)</f>
        <v>#DIV/0!</v>
      </c>
      <c r="R364" s="319"/>
      <c r="S364" s="319" t="e">
        <f>0.04*SUM(S365:S377)</f>
        <v>#DIV/0!</v>
      </c>
      <c r="T364" s="319" t="e">
        <f>0.04*SUM(T365:T377)</f>
        <v>#DIV/0!</v>
      </c>
      <c r="U364" s="319" t="e">
        <f>ROUND(IF($L$317=3,(S364+T364)*$D$322,Q364)*$R$358,-3)</f>
        <v>#DIV/0!</v>
      </c>
      <c r="V364" s="319"/>
      <c r="W364" s="319">
        <v>111248</v>
      </c>
    </row>
    <row r="365" spans="1:23" ht="12.75" hidden="1" customHeight="1">
      <c r="A365" s="12"/>
      <c r="B365" s="8"/>
      <c r="C365" s="8"/>
      <c r="D365" s="8"/>
      <c r="E365" s="8"/>
      <c r="F365" s="8"/>
      <c r="G365" s="8"/>
      <c r="H365" s="8"/>
      <c r="I365" s="8"/>
      <c r="J365" s="9"/>
      <c r="K365" s="1"/>
      <c r="L365" s="319"/>
      <c r="M365" s="319"/>
      <c r="N365" s="319"/>
      <c r="O365" s="319" t="s">
        <v>5498</v>
      </c>
      <c r="P365" s="319" t="e">
        <f>IF(R333=1,0.04*(R332/M326^0.3)^0.54*1000000,0.37*D327^0.1*R356*(R332/M326^0.3)^0.54*10^6)</f>
        <v>#DIV/0!</v>
      </c>
      <c r="Q365" s="319" t="e">
        <f>(P365*R342)</f>
        <v>#DIV/0!</v>
      </c>
      <c r="R365" s="319">
        <v>0.4</v>
      </c>
      <c r="S365" s="319" t="e">
        <f>R365*P365*R342</f>
        <v>#DIV/0!</v>
      </c>
      <c r="T365" s="319" t="e">
        <f>(1-R365)*P365*D321</f>
        <v>#DIV/0!</v>
      </c>
      <c r="U365" s="319" t="e">
        <f>ROUND(IF($L$317=3,(S365+T365)*$D$322,Q365)*$R$358,-3)</f>
        <v>#DIV/0!</v>
      </c>
      <c r="V365" s="319"/>
      <c r="W365" s="319">
        <v>111200</v>
      </c>
    </row>
    <row r="366" spans="1:23" ht="12.75" hidden="1" customHeight="1">
      <c r="A366" s="12"/>
      <c r="B366" s="8"/>
      <c r="C366" s="196" t="str">
        <f>Language!C226</f>
        <v>Quantidade</v>
      </c>
      <c r="D366" s="1220" t="str">
        <f>Language!C1463</f>
        <v>Fator de Ajuste</v>
      </c>
      <c r="E366" s="196" t="str">
        <f>C366</f>
        <v>Quantidade</v>
      </c>
      <c r="F366" s="1220" t="str">
        <f>Language!C503</f>
        <v>Custos relativos</v>
      </c>
      <c r="G366" s="8"/>
      <c r="H366" s="8"/>
      <c r="I366" s="8"/>
      <c r="J366" s="9"/>
      <c r="K366" s="1"/>
      <c r="L366" s="319"/>
      <c r="M366" s="319"/>
      <c r="N366" s="319"/>
      <c r="O366" s="319"/>
      <c r="P366" s="319"/>
      <c r="Q366" s="319"/>
      <c r="R366" s="319"/>
      <c r="S366" s="319"/>
      <c r="T366" s="319"/>
      <c r="U366" s="319"/>
      <c r="V366" s="319"/>
      <c r="W366" s="319">
        <v>111249</v>
      </c>
    </row>
    <row r="367" spans="1:23" ht="12.75" hidden="1" customHeight="1">
      <c r="A367" s="12"/>
      <c r="B367" s="49" t="str">
        <f>Language!C500</f>
        <v>Custos iniciais (créditos)</v>
      </c>
      <c r="C367" s="142" t="str">
        <f>J140</f>
        <v>€</v>
      </c>
      <c r="D367" s="1208"/>
      <c r="E367" s="142" t="str">
        <f>J140</f>
        <v>€</v>
      </c>
      <c r="F367" s="1342"/>
      <c r="G367" s="8"/>
      <c r="H367" s="8"/>
      <c r="I367" s="8"/>
      <c r="J367" s="9"/>
      <c r="K367" s="1"/>
      <c r="L367" s="319"/>
      <c r="M367" s="319"/>
      <c r="N367" s="319"/>
      <c r="O367" s="319" t="s">
        <v>2549</v>
      </c>
      <c r="P367" s="319" t="e">
        <f>R350</f>
        <v>#DIV/0!</v>
      </c>
      <c r="Q367" s="319" t="e">
        <f>P367</f>
        <v>#DIV/0!</v>
      </c>
      <c r="R367" s="319">
        <v>0</v>
      </c>
      <c r="S367" s="319" t="e">
        <f>R367*P367</f>
        <v>#DIV/0!</v>
      </c>
      <c r="T367" s="319" t="e">
        <f>(1-R367)*P367*D321</f>
        <v>#DIV/0!</v>
      </c>
      <c r="U367" s="319" t="e">
        <f t="shared" ref="U367:U380" si="25">ROUND(IF($L$317=3,(S367+T367)*$D$322,Q367)*$R$358,-3)</f>
        <v>#DIV/0!</v>
      </c>
      <c r="V367" s="319"/>
      <c r="W367" s="319">
        <v>111249</v>
      </c>
    </row>
    <row r="368" spans="1:23" ht="12.75" hidden="1" customHeight="1">
      <c r="A368" s="12"/>
      <c r="B368" s="8" t="str">
        <f>Language!C508</f>
        <v>Estudo de viabilidade</v>
      </c>
      <c r="C368" s="746">
        <f>IF(ISERROR(U363),0,U363)</f>
        <v>0</v>
      </c>
      <c r="D368" s="310"/>
      <c r="E368" s="746">
        <f>C368*D368</f>
        <v>0</v>
      </c>
      <c r="F368" s="233" t="str">
        <f>IF($E$382=0,"",E368/$E$382)</f>
        <v/>
      </c>
      <c r="G368" s="8"/>
      <c r="H368" s="8"/>
      <c r="I368" s="8"/>
      <c r="J368" s="9"/>
      <c r="K368" s="1"/>
      <c r="L368" s="319"/>
      <c r="M368" s="319"/>
      <c r="N368" s="319"/>
      <c r="O368" s="319" t="s">
        <v>1218</v>
      </c>
      <c r="P368" s="319" t="e">
        <f>0.15*P367</f>
        <v>#DIV/0!</v>
      </c>
      <c r="Q368" s="319" t="e">
        <f>P368*R342</f>
        <v>#DIV/0!</v>
      </c>
      <c r="R368" s="319">
        <v>1</v>
      </c>
      <c r="S368" s="319" t="e">
        <f>R368*P368*R342*R353</f>
        <v>#DIV/0!</v>
      </c>
      <c r="T368" s="319" t="e">
        <f>(1-R368)*P368</f>
        <v>#DIV/0!</v>
      </c>
      <c r="U368" s="319" t="e">
        <f t="shared" si="25"/>
        <v>#DIV/0!</v>
      </c>
      <c r="V368" s="319"/>
      <c r="W368" s="319">
        <v>111250</v>
      </c>
    </row>
    <row r="369" spans="1:23" ht="12.75" hidden="1" customHeight="1">
      <c r="A369" s="12"/>
      <c r="B369" s="8" t="str">
        <f>Language!C519</f>
        <v>Desenvolvimento</v>
      </c>
      <c r="C369" s="746">
        <f>IF(ISERROR(U364),0,U364)</f>
        <v>0</v>
      </c>
      <c r="D369" s="310"/>
      <c r="E369" s="746">
        <f>C369*D369</f>
        <v>0</v>
      </c>
      <c r="F369" s="233" t="str">
        <f t="shared" ref="F369:F380" si="26">IF($E$382=0,"",E369/$E$382)</f>
        <v/>
      </c>
      <c r="G369" s="8"/>
      <c r="H369" s="8"/>
      <c r="I369" s="8"/>
      <c r="J369" s="9"/>
      <c r="K369" s="1"/>
      <c r="L369" s="319"/>
      <c r="M369" s="319"/>
      <c r="N369" s="319"/>
      <c r="O369" s="319" t="s">
        <v>5213</v>
      </c>
      <c r="P369" s="319">
        <f>(IF(MATCH(D339,YesNo,0)=1,0.25,1)*D340^2*0.025*M338^0.9*10^6)*IF(L337=TRUE,1,0)</f>
        <v>0</v>
      </c>
      <c r="Q369" s="319">
        <f>P369*R342</f>
        <v>0</v>
      </c>
      <c r="R369" s="319">
        <v>1</v>
      </c>
      <c r="S369" s="319" t="e">
        <f>R369*P369*R342*R353</f>
        <v>#DIV/0!</v>
      </c>
      <c r="T369" s="319">
        <f>(1-R369)*P369</f>
        <v>0</v>
      </c>
      <c r="U369" s="319">
        <f t="shared" si="25"/>
        <v>0</v>
      </c>
      <c r="V369" s="319"/>
      <c r="W369" s="319">
        <v>111251</v>
      </c>
    </row>
    <row r="370" spans="1:23" ht="12.75" hidden="1" customHeight="1">
      <c r="A370" s="12"/>
      <c r="B370" s="8" t="str">
        <f>Language!C526</f>
        <v>Engenharia</v>
      </c>
      <c r="C370" s="746">
        <f>IF(ISERROR(U365),0,U365)</f>
        <v>0</v>
      </c>
      <c r="D370" s="310"/>
      <c r="E370" s="746">
        <f>C370*D370</f>
        <v>0</v>
      </c>
      <c r="F370" s="233" t="str">
        <f t="shared" si="26"/>
        <v/>
      </c>
      <c r="G370" s="8"/>
      <c r="H370" s="8"/>
      <c r="I370" s="8"/>
      <c r="J370" s="9"/>
      <c r="K370" s="1"/>
      <c r="L370" s="319"/>
      <c r="M370" s="319"/>
      <c r="N370" s="319"/>
      <c r="O370" s="319" t="s">
        <v>390</v>
      </c>
      <c r="P370" s="319">
        <f>0.0011*D363*(IF(D364&lt;69,0.85,1))*M361^0.95*D364*10^6</f>
        <v>0</v>
      </c>
      <c r="Q370" s="319">
        <f>P370*R342</f>
        <v>0</v>
      </c>
      <c r="R370" s="319">
        <f>IF(D364&lt;69,0.6,0.4)</f>
        <v>0.6</v>
      </c>
      <c r="S370" s="319" t="e">
        <f>R370*P370*R342*R353</f>
        <v>#DIV/0!</v>
      </c>
      <c r="T370" s="319">
        <f>(1-R370)*P370*D321</f>
        <v>0</v>
      </c>
      <c r="U370" s="319">
        <f t="shared" si="25"/>
        <v>0</v>
      </c>
      <c r="V370" s="319"/>
      <c r="W370" s="319">
        <v>111252</v>
      </c>
    </row>
    <row r="371" spans="1:23" ht="12.75" hidden="1" customHeight="1">
      <c r="A371" s="12"/>
      <c r="B371" s="153" t="str">
        <f>Language!C1284</f>
        <v>Sistema de produção de eletricidade</v>
      </c>
      <c r="C371" s="39"/>
      <c r="D371" s="8"/>
      <c r="E371" s="125"/>
      <c r="F371" s="233"/>
      <c r="G371" s="8"/>
      <c r="H371" s="8"/>
      <c r="I371" s="8"/>
      <c r="J371" s="9"/>
      <c r="K371" s="1"/>
      <c r="L371" s="319"/>
      <c r="M371" s="319"/>
      <c r="N371" s="319"/>
      <c r="O371" s="319" t="s">
        <v>1295</v>
      </c>
      <c r="P371" s="319" t="e">
        <f>(0.0025*D327^0.95+0.002*(D327+1))*(R332/0.95)^0.9*D364^0.3*10^6</f>
        <v>#DIV/0!</v>
      </c>
      <c r="Q371" s="319" t="e">
        <f>P371</f>
        <v>#DIV/0!</v>
      </c>
      <c r="R371" s="319">
        <v>0</v>
      </c>
      <c r="S371" s="319" t="e">
        <f>R371*P371</f>
        <v>#DIV/0!</v>
      </c>
      <c r="T371" s="319" t="e">
        <f>(1-R371)*P371*D321</f>
        <v>#DIV/0!</v>
      </c>
      <c r="U371" s="319" t="e">
        <f t="shared" si="25"/>
        <v>#DIV/0!</v>
      </c>
      <c r="V371" s="319"/>
      <c r="W371" s="319">
        <v>111253</v>
      </c>
    </row>
    <row r="372" spans="1:23" ht="12.75" hidden="1" customHeight="1">
      <c r="A372" s="12"/>
      <c r="B372" s="1" t="str">
        <f>Language!C140</f>
        <v>Turbina hidráulica</v>
      </c>
      <c r="C372" s="746">
        <f>IF(ISERROR(U367),0,U367)</f>
        <v>0</v>
      </c>
      <c r="D372" s="310"/>
      <c r="E372" s="746">
        <f>C372*D372</f>
        <v>0</v>
      </c>
      <c r="F372" s="233" t="str">
        <f t="shared" si="26"/>
        <v/>
      </c>
      <c r="G372" s="8"/>
      <c r="H372" s="8"/>
      <c r="I372" s="8"/>
      <c r="J372" s="9"/>
      <c r="K372" s="1"/>
      <c r="L372" s="319"/>
      <c r="M372" s="319"/>
      <c r="N372" s="319"/>
      <c r="O372" s="319" t="s">
        <v>1398</v>
      </c>
      <c r="P372" s="319" t="e">
        <f>0.15*P371</f>
        <v>#DIV/0!</v>
      </c>
      <c r="Q372" s="319" t="e">
        <f>P372*R342</f>
        <v>#DIV/0!</v>
      </c>
      <c r="R372" s="319">
        <v>1</v>
      </c>
      <c r="S372" s="319" t="e">
        <f>R372*P372*R342*R353</f>
        <v>#DIV/0!</v>
      </c>
      <c r="T372" s="319" t="e">
        <f>(1-R372)*P372</f>
        <v>#DIV/0!</v>
      </c>
      <c r="U372" s="319" t="e">
        <f t="shared" si="25"/>
        <v>#DIV/0!</v>
      </c>
      <c r="V372" s="319"/>
      <c r="W372" s="319">
        <v>111254</v>
      </c>
    </row>
    <row r="373" spans="1:23" ht="12.75" hidden="1" customHeight="1">
      <c r="A373" s="12"/>
      <c r="B373" s="8" t="str">
        <f>B337</f>
        <v>Construção de estrada</v>
      </c>
      <c r="C373" s="746">
        <f>IF(ISERROR(U369),0,U369)</f>
        <v>0</v>
      </c>
      <c r="D373" s="310"/>
      <c r="E373" s="746">
        <f>C373*D373</f>
        <v>0</v>
      </c>
      <c r="F373" s="233" t="str">
        <f t="shared" si="26"/>
        <v/>
      </c>
      <c r="G373" s="8"/>
      <c r="H373" s="8"/>
      <c r="I373" s="8"/>
      <c r="J373" s="9"/>
      <c r="K373" s="1"/>
      <c r="L373" s="319"/>
      <c r="M373" s="319"/>
      <c r="N373" s="319"/>
      <c r="O373" s="319" t="s">
        <v>1399</v>
      </c>
      <c r="P373" s="319" t="e">
        <f>IF(R333=1,1.97*D327^-0.04*R355*(R332/M326^0.3)^0.82*(1+0.005*M334/M326)*10^6,IF(R333=2,1.97*D327^-0.04*R355*R357*(R332/M326^0.3)^0.82*(1+0.01*M359)*(1+0.005*M334/M326)*10^6,3.54*D327^-0.04*R355*R357*(R332/M326^0.3)^0.82*(1+0.01*M359)*(1+0.005*M334/M326)*10^6))</f>
        <v>#DIV/0!</v>
      </c>
      <c r="Q373" s="319" t="e">
        <f>P373*R342</f>
        <v>#DIV/0!</v>
      </c>
      <c r="R373" s="319">
        <v>0.85</v>
      </c>
      <c r="S373" s="319" t="e">
        <f>R373*P373*R342*R353</f>
        <v>#DIV/0!</v>
      </c>
      <c r="T373" s="319" t="e">
        <f>(1-R373)*P373*D321</f>
        <v>#DIV/0!</v>
      </c>
      <c r="U373" s="319" t="e">
        <f t="shared" si="25"/>
        <v>#DIV/0!</v>
      </c>
      <c r="V373" s="319"/>
      <c r="W373" s="319">
        <v>111255</v>
      </c>
    </row>
    <row r="374" spans="1:23" ht="12.75" hidden="1" customHeight="1">
      <c r="A374" s="12"/>
      <c r="B374" s="8" t="str">
        <f>B360</f>
        <v>Linha de Transmissão</v>
      </c>
      <c r="C374" s="746">
        <f>IF(ISERROR(U370),0,U370)</f>
        <v>0</v>
      </c>
      <c r="D374" s="310"/>
      <c r="E374" s="746">
        <f>C374*D374</f>
        <v>0</v>
      </c>
      <c r="F374" s="233" t="str">
        <f t="shared" si="26"/>
        <v/>
      </c>
      <c r="G374" s="8"/>
      <c r="H374" s="8"/>
      <c r="I374" s="8"/>
      <c r="J374" s="9" t="s">
        <v>1883</v>
      </c>
      <c r="K374" s="1"/>
      <c r="L374" s="319"/>
      <c r="M374" s="319"/>
      <c r="N374" s="319"/>
      <c r="O374" s="319" t="s">
        <v>2568</v>
      </c>
      <c r="P374" s="319" t="e">
        <f>(20*D355^0.95*(24.7*M357*M354*M358)^0.88)*IF(L353=TRUE,1,0)</f>
        <v>#DIV/0!</v>
      </c>
      <c r="Q374" s="319" t="e">
        <f>P374</f>
        <v>#DIV/0!</v>
      </c>
      <c r="R374" s="319">
        <v>0</v>
      </c>
      <c r="S374" s="319" t="e">
        <f>R374*P374</f>
        <v>#DIV/0!</v>
      </c>
      <c r="T374" s="319" t="e">
        <f>(1-R374)*P374*D321</f>
        <v>#DIV/0!</v>
      </c>
      <c r="U374" s="319" t="e">
        <f t="shared" si="25"/>
        <v>#DIV/0!</v>
      </c>
      <c r="V374" s="319"/>
      <c r="W374" s="319">
        <v>111256</v>
      </c>
    </row>
    <row r="375" spans="1:23" ht="12.75" hidden="1" customHeight="1">
      <c r="A375" s="12"/>
      <c r="B375" s="8" t="str">
        <f>Language!C538</f>
        <v>Subestação</v>
      </c>
      <c r="C375" s="746">
        <f>IF(ISERROR(U371),0,U371)</f>
        <v>0</v>
      </c>
      <c r="D375" s="310"/>
      <c r="E375" s="746">
        <f>C375*D375</f>
        <v>0</v>
      </c>
      <c r="F375" s="233" t="str">
        <f t="shared" si="26"/>
        <v/>
      </c>
      <c r="G375" s="8"/>
      <c r="H375" s="8"/>
      <c r="I375" s="8"/>
      <c r="J375" s="9"/>
      <c r="K375" s="1"/>
      <c r="L375" s="319"/>
      <c r="M375" s="319"/>
      <c r="N375" s="319"/>
      <c r="O375" s="319" t="s">
        <v>3951</v>
      </c>
      <c r="P375" s="319" t="e">
        <f>(5*(24.7*M357*M354*M358)^0.88)*IF(L353=TRUE,1,0)</f>
        <v>#DIV/0!</v>
      </c>
      <c r="Q375" s="319" t="e">
        <f>P375*R342</f>
        <v>#DIV/0!</v>
      </c>
      <c r="R375" s="319">
        <v>1</v>
      </c>
      <c r="S375" s="319" t="e">
        <f>R375*P375*R342*R353</f>
        <v>#DIV/0!</v>
      </c>
      <c r="T375" s="319" t="e">
        <f>(1-R375)*P375</f>
        <v>#DIV/0!</v>
      </c>
      <c r="U375" s="319" t="e">
        <f t="shared" si="25"/>
        <v>#DIV/0!</v>
      </c>
      <c r="V375" s="319"/>
      <c r="W375" s="319">
        <v>111257</v>
      </c>
    </row>
    <row r="376" spans="1:23" ht="12.75" hidden="1" customHeight="1">
      <c r="A376" s="12"/>
      <c r="B376" s="153" t="str">
        <f>Language!C545</f>
        <v>Balanço do sistema e misc.</v>
      </c>
      <c r="C376" s="125"/>
      <c r="D376" s="8"/>
      <c r="E376" s="125"/>
      <c r="F376" s="233"/>
      <c r="G376" s="8"/>
      <c r="H376" s="8"/>
      <c r="I376" s="8"/>
      <c r="J376" s="9"/>
      <c r="K376" s="1"/>
      <c r="L376" s="319"/>
      <c r="M376" s="319"/>
      <c r="N376" s="319"/>
      <c r="O376" s="319" t="s">
        <v>3982</v>
      </c>
      <c r="P376" s="319">
        <f>(20*R338^0.9+100*R337^0.9)*IF(L347=TRUE,1,0)</f>
        <v>0</v>
      </c>
      <c r="Q376" s="319">
        <f>P376*R342</f>
        <v>0</v>
      </c>
      <c r="R376" s="319">
        <v>1</v>
      </c>
      <c r="S376" s="319" t="e">
        <f>R376*P376*R342*R353</f>
        <v>#DIV/0!</v>
      </c>
      <c r="T376" s="319">
        <f>(1-R376)*P376</f>
        <v>0</v>
      </c>
      <c r="U376" s="319">
        <f t="shared" si="25"/>
        <v>0</v>
      </c>
      <c r="V376" s="319"/>
      <c r="W376" s="319">
        <v>111258</v>
      </c>
    </row>
    <row r="377" spans="1:23" ht="12.75" hidden="1" customHeight="1">
      <c r="A377" s="12"/>
      <c r="B377" s="8" t="str">
        <f>B353</f>
        <v>Adutora</v>
      </c>
      <c r="C377" s="746">
        <f>IF(ISERROR(U374),0,U374)</f>
        <v>0</v>
      </c>
      <c r="D377" s="310"/>
      <c r="E377" s="746">
        <f>C377*D377</f>
        <v>0</v>
      </c>
      <c r="F377" s="233" t="str">
        <f t="shared" si="26"/>
        <v/>
      </c>
      <c r="G377" s="8"/>
      <c r="H377" s="8"/>
      <c r="I377" s="8"/>
      <c r="J377" s="9"/>
      <c r="K377" s="1"/>
      <c r="L377" s="319"/>
      <c r="M377" s="319"/>
      <c r="N377" s="319"/>
      <c r="O377" s="319" t="s">
        <v>3983</v>
      </c>
      <c r="P377" s="319">
        <f>IF(R333=1,0,(400*R335^0.88+4000*R336^0.88)*L343)</f>
        <v>0</v>
      </c>
      <c r="Q377" s="319">
        <f>P377*R342</f>
        <v>0</v>
      </c>
      <c r="R377" s="319">
        <v>0.85</v>
      </c>
      <c r="S377" s="319" t="e">
        <f>R377*P377*R342*R353</f>
        <v>#DIV/0!</v>
      </c>
      <c r="T377" s="319">
        <f>(1-R377)*P377*D321</f>
        <v>0</v>
      </c>
      <c r="U377" s="319">
        <f t="shared" si="25"/>
        <v>0</v>
      </c>
      <c r="V377" s="319"/>
      <c r="W377" s="319">
        <v>111259</v>
      </c>
    </row>
    <row r="378" spans="1:23" ht="12.75" hidden="1" customHeight="1">
      <c r="A378" s="12"/>
      <c r="B378" s="8" t="str">
        <f>B347</f>
        <v>Canal</v>
      </c>
      <c r="C378" s="746">
        <f>IF(ISERROR(U376),0,U376)</f>
        <v>0</v>
      </c>
      <c r="D378" s="310"/>
      <c r="E378" s="746">
        <f>C378*D378</f>
        <v>0</v>
      </c>
      <c r="F378" s="233" t="str">
        <f t="shared" si="26"/>
        <v/>
      </c>
      <c r="G378" s="8"/>
      <c r="H378" s="8"/>
      <c r="I378" s="8"/>
      <c r="J378" s="9"/>
      <c r="K378" s="1"/>
      <c r="L378" s="319"/>
      <c r="M378" s="319"/>
      <c r="N378" s="319"/>
      <c r="O378" s="319"/>
      <c r="P378" s="319"/>
      <c r="Q378" s="319"/>
      <c r="R378" s="319"/>
      <c r="S378" s="319"/>
      <c r="T378" s="319"/>
      <c r="U378" s="319"/>
      <c r="V378" s="319"/>
      <c r="W378" s="319">
        <v>111260</v>
      </c>
    </row>
    <row r="379" spans="1:23" ht="12.75" hidden="1" customHeight="1">
      <c r="A379" s="12"/>
      <c r="B379" s="8" t="str">
        <f>B341</f>
        <v>Tunel</v>
      </c>
      <c r="C379" s="746">
        <f>IF(ISERROR(U377),0,U377)</f>
        <v>0</v>
      </c>
      <c r="D379" s="310"/>
      <c r="E379" s="746">
        <f>C379*D379</f>
        <v>0</v>
      </c>
      <c r="F379" s="233" t="str">
        <f t="shared" si="26"/>
        <v/>
      </c>
      <c r="G379" s="8"/>
      <c r="H379" s="8"/>
      <c r="I379" s="8"/>
      <c r="J379" s="9"/>
      <c r="K379" s="1"/>
      <c r="L379" s="319"/>
      <c r="M379" s="319"/>
      <c r="N379" s="319"/>
      <c r="O379" s="319" t="s">
        <v>2350</v>
      </c>
      <c r="P379" s="319" t="e">
        <f>SUM(P363:P378)</f>
        <v>#DIV/0!</v>
      </c>
      <c r="Q379" s="319" t="e">
        <f>SUM(Q363:Q378)</f>
        <v>#DIV/0!</v>
      </c>
      <c r="R379" s="319"/>
      <c r="S379" s="319" t="e">
        <f>SUM(S363:S378)</f>
        <v>#DIV/0!</v>
      </c>
      <c r="T379" s="319" t="e">
        <f>SUM(T363:T378)</f>
        <v>#DIV/0!</v>
      </c>
      <c r="U379" s="319" t="e">
        <f t="shared" si="25"/>
        <v>#DIV/0!</v>
      </c>
      <c r="V379" s="319"/>
      <c r="W379" s="319">
        <v>111261</v>
      </c>
    </row>
    <row r="380" spans="1:23" ht="12.75" hidden="1" customHeight="1">
      <c r="A380" s="12"/>
      <c r="B380" s="15" t="str">
        <f>Language!C142</f>
        <v>Outro</v>
      </c>
      <c r="C380" s="746">
        <f>IF(ISERROR(U378+U380),0,U378+U380)</f>
        <v>0</v>
      </c>
      <c r="D380" s="310"/>
      <c r="E380" s="747">
        <f>C380*D380</f>
        <v>0</v>
      </c>
      <c r="F380" s="233" t="str">
        <f t="shared" si="26"/>
        <v/>
      </c>
      <c r="G380" s="8"/>
      <c r="H380" s="8"/>
      <c r="I380" s="8"/>
      <c r="J380" s="9"/>
      <c r="K380" s="1"/>
      <c r="L380" s="319"/>
      <c r="M380" s="319"/>
      <c r="N380" s="319"/>
      <c r="O380" s="319" t="s">
        <v>2351</v>
      </c>
      <c r="P380" s="319" t="e">
        <f>P373+P372+P375+P368</f>
        <v>#DIV/0!</v>
      </c>
      <c r="Q380" s="319" t="e">
        <f>Q373+Q372+Q375+Q368</f>
        <v>#DIV/0!</v>
      </c>
      <c r="R380" s="319"/>
      <c r="S380" s="319" t="e">
        <f>S373+S372+S375+S368</f>
        <v>#DIV/0!</v>
      </c>
      <c r="T380" s="319" t="e">
        <f>T373+T372+T375+T368</f>
        <v>#DIV/0!</v>
      </c>
      <c r="U380" s="319" t="e">
        <f t="shared" si="25"/>
        <v>#DIV/0!</v>
      </c>
      <c r="V380" s="319"/>
      <c r="W380" s="319">
        <v>111262</v>
      </c>
    </row>
    <row r="381" spans="1:23" ht="12.75" hidden="1" customHeight="1">
      <c r="A381" s="12"/>
      <c r="B381" s="46" t="str">
        <f>Language!C518</f>
        <v>Subtotal</v>
      </c>
      <c r="C381" s="748">
        <f>SUM(C377:C380)</f>
        <v>0</v>
      </c>
      <c r="D381" s="46"/>
      <c r="E381" s="748">
        <f>SUM(E377:E380)</f>
        <v>0</v>
      </c>
      <c r="F381" s="689"/>
      <c r="G381" s="8"/>
      <c r="H381" s="8"/>
      <c r="I381" s="8"/>
      <c r="J381" s="9"/>
      <c r="K381" s="1"/>
      <c r="L381" s="319"/>
      <c r="M381" s="319"/>
      <c r="N381" s="319"/>
      <c r="O381" s="319"/>
      <c r="P381" s="319"/>
      <c r="Q381" s="319"/>
      <c r="R381" s="319"/>
      <c r="S381" s="319"/>
      <c r="T381" s="319"/>
      <c r="U381" s="319"/>
      <c r="V381" s="319"/>
      <c r="W381" s="319">
        <v>111258</v>
      </c>
    </row>
    <row r="382" spans="1:23" ht="12.75" hidden="1" customHeight="1">
      <c r="A382" s="12"/>
      <c r="B382" s="153" t="str">
        <f>Language!C572</f>
        <v>Total de custos de investimento</v>
      </c>
      <c r="C382" s="749">
        <f>SUM(C368:C380)</f>
        <v>0</v>
      </c>
      <c r="D382" s="153"/>
      <c r="E382" s="749">
        <f>E368+E369+SUM(E370:E372)+SUM(E373:E380)</f>
        <v>0</v>
      </c>
      <c r="F382" s="690" t="str">
        <f>IF(E382=0,"",E382/E382)</f>
        <v/>
      </c>
      <c r="G382" s="8"/>
      <c r="H382" s="8"/>
      <c r="I382" s="8"/>
      <c r="J382" s="9"/>
      <c r="K382" s="1"/>
      <c r="L382" s="319"/>
      <c r="M382" s="319"/>
      <c r="N382" s="319"/>
      <c r="O382" s="319"/>
      <c r="P382" s="319"/>
      <c r="Q382" s="319"/>
      <c r="R382" s="319"/>
      <c r="S382" s="319"/>
      <c r="T382" s="319"/>
      <c r="U382" s="319"/>
      <c r="V382" s="319"/>
      <c r="W382" s="319">
        <v>111249</v>
      </c>
    </row>
    <row r="383" spans="1:23" ht="12.75" hidden="1" customHeight="1">
      <c r="A383" s="14"/>
      <c r="B383" s="15"/>
      <c r="C383" s="15"/>
      <c r="D383" s="15"/>
      <c r="E383" s="15"/>
      <c r="F383" s="15"/>
      <c r="G383" s="15"/>
      <c r="H383" s="15"/>
      <c r="I383" s="15"/>
      <c r="J383" s="11"/>
      <c r="K383" s="1"/>
      <c r="L383" s="319"/>
      <c r="M383" s="319"/>
      <c r="N383" s="319"/>
      <c r="O383" s="319"/>
      <c r="P383" s="319"/>
      <c r="Q383" s="319"/>
      <c r="R383" s="319"/>
      <c r="S383" s="319"/>
      <c r="T383" s="319"/>
      <c r="U383" s="319"/>
      <c r="V383" s="319"/>
      <c r="W383" s="319">
        <v>111200</v>
      </c>
    </row>
    <row r="384" spans="1:23" ht="12.75" hidden="1" customHeight="1">
      <c r="A384" s="1"/>
      <c r="B384" s="1"/>
      <c r="C384" s="1"/>
      <c r="D384" s="1"/>
      <c r="E384" s="1"/>
      <c r="F384" s="1"/>
      <c r="G384" s="1"/>
      <c r="H384" s="1"/>
      <c r="I384" s="1"/>
      <c r="J384" s="1"/>
      <c r="K384" s="1"/>
      <c r="L384" s="319"/>
      <c r="M384" s="319"/>
      <c r="N384" s="319"/>
      <c r="O384" s="319"/>
      <c r="P384" s="319"/>
      <c r="Q384" s="319"/>
      <c r="R384" s="319"/>
      <c r="S384" s="319"/>
      <c r="T384" s="319"/>
      <c r="U384" s="319"/>
      <c r="V384" s="319"/>
      <c r="W384" s="319">
        <v>110000</v>
      </c>
    </row>
    <row r="385" spans="1:23" ht="12.75" hidden="1" customHeight="1">
      <c r="A385" s="1203" t="str">
        <f>Language!C1445</f>
        <v>Gás de Lixo (Biogás)</v>
      </c>
      <c r="B385" s="1204"/>
      <c r="C385" s="192"/>
      <c r="D385" s="192"/>
      <c r="E385" s="192"/>
      <c r="F385" s="192"/>
      <c r="G385" s="192"/>
      <c r="H385" s="192"/>
      <c r="I385" s="192"/>
      <c r="J385" s="193"/>
      <c r="K385" s="1"/>
      <c r="L385" s="319"/>
      <c r="M385" s="319"/>
      <c r="N385" s="319"/>
      <c r="O385" s="319"/>
      <c r="P385" s="319"/>
      <c r="Q385" s="319"/>
      <c r="R385" s="319"/>
      <c r="S385" s="319"/>
      <c r="T385" s="319"/>
      <c r="U385" s="319"/>
      <c r="V385" s="319"/>
      <c r="W385" s="319">
        <v>111300</v>
      </c>
    </row>
    <row r="386" spans="1:23" ht="12.75" hidden="1" customHeight="1">
      <c r="A386" s="12"/>
      <c r="B386" s="8"/>
      <c r="C386" s="8"/>
      <c r="D386" s="8"/>
      <c r="E386" s="8"/>
      <c r="F386" s="8"/>
      <c r="G386" s="8"/>
      <c r="H386" s="8"/>
      <c r="I386" s="8"/>
      <c r="J386" s="9"/>
      <c r="K386" s="1"/>
      <c r="L386" s="319"/>
      <c r="M386" s="319"/>
      <c r="N386" s="319"/>
      <c r="O386" s="319"/>
      <c r="P386" s="319"/>
      <c r="Q386" s="319"/>
      <c r="R386" s="319"/>
      <c r="S386" s="319"/>
      <c r="T386" s="319"/>
      <c r="U386" s="319"/>
      <c r="V386" s="319"/>
      <c r="W386" s="319">
        <v>111300</v>
      </c>
    </row>
    <row r="387" spans="1:23" ht="12.75" hidden="1" customHeight="1">
      <c r="A387" s="12"/>
      <c r="B387" s="153" t="str">
        <f>Language!C767</f>
        <v>Aterro</v>
      </c>
      <c r="C387" s="8"/>
      <c r="D387" s="8"/>
      <c r="E387" s="8"/>
      <c r="F387" s="8"/>
      <c r="G387" s="8"/>
      <c r="H387" s="8"/>
      <c r="I387" s="8"/>
      <c r="J387" s="9"/>
      <c r="K387" s="1"/>
      <c r="L387" s="319"/>
      <c r="M387" s="319"/>
      <c r="N387" s="319"/>
      <c r="O387" s="319"/>
      <c r="P387" s="319"/>
      <c r="Q387" s="319"/>
      <c r="R387" s="319"/>
      <c r="S387" s="319"/>
      <c r="T387" s="319"/>
      <c r="U387" s="319"/>
      <c r="V387" s="319"/>
      <c r="W387" s="319">
        <v>111302</v>
      </c>
    </row>
    <row r="388" spans="1:23" ht="12.75" hidden="1" customHeight="1">
      <c r="A388" s="12"/>
      <c r="B388" s="526" t="str">
        <f>Language!C768</f>
        <v>Ano de abertura do aterro</v>
      </c>
      <c r="C388" s="21" t="str">
        <f>Lang_yr</f>
        <v>ano</v>
      </c>
      <c r="D388" s="453">
        <v>1970</v>
      </c>
      <c r="E388" s="8"/>
      <c r="F388" s="8"/>
      <c r="G388" s="8"/>
      <c r="H388" s="8"/>
      <c r="I388" s="8"/>
      <c r="J388" s="9"/>
      <c r="K388" s="1"/>
      <c r="L388" s="319"/>
      <c r="M388" s="319"/>
      <c r="N388" s="319"/>
      <c r="O388" s="319"/>
      <c r="P388" s="319"/>
      <c r="Q388" s="319"/>
      <c r="R388" s="319"/>
      <c r="S388" s="319"/>
      <c r="T388" s="319"/>
      <c r="U388" s="319"/>
      <c r="V388" s="319"/>
      <c r="W388" s="319">
        <v>111304</v>
      </c>
    </row>
    <row r="389" spans="1:23" ht="12.75" hidden="1" customHeight="1">
      <c r="A389" s="12"/>
      <c r="B389" s="526" t="str">
        <f>Language!C769</f>
        <v>Último ano utilização do aterro</v>
      </c>
      <c r="C389" s="21" t="str">
        <f>C388</f>
        <v>ano</v>
      </c>
      <c r="D389" s="453"/>
      <c r="E389" s="903" t="str">
        <f>IF(OR(D388&gt;E390,E390&gt;F390,G390&gt;H390,H390&gt;I390),B671,"")</f>
        <v>Entrada de ano deve estar em ordem ascendente</v>
      </c>
      <c r="F389" s="8"/>
      <c r="G389" s="8"/>
      <c r="H389" s="8"/>
      <c r="I389" s="8"/>
      <c r="J389" s="9"/>
      <c r="K389" s="1"/>
      <c r="L389" s="319"/>
      <c r="M389" s="477"/>
      <c r="N389" s="319"/>
      <c r="O389" s="319"/>
      <c r="P389" s="319"/>
      <c r="Q389" s="319"/>
      <c r="R389" s="319"/>
      <c r="S389" s="319"/>
      <c r="T389" s="319"/>
      <c r="U389" s="319"/>
      <c r="V389" s="319"/>
      <c r="W389" s="319">
        <v>111306</v>
      </c>
    </row>
    <row r="390" spans="1:23" ht="12.75" hidden="1" customHeight="1">
      <c r="A390" s="12"/>
      <c r="B390" s="526" t="str">
        <f>Language!C770</f>
        <v>Anos de descarte de resíduos</v>
      </c>
      <c r="C390" s="21" t="str">
        <f>C388</f>
        <v>ano</v>
      </c>
      <c r="D390" s="348">
        <f>D388</f>
        <v>1970</v>
      </c>
      <c r="E390" s="455"/>
      <c r="F390" s="303"/>
      <c r="G390" s="303"/>
      <c r="H390" s="303"/>
      <c r="I390" s="21">
        <f>D389</f>
        <v>0</v>
      </c>
      <c r="J390" s="9"/>
      <c r="K390" s="1"/>
      <c r="L390" s="319"/>
      <c r="M390" s="319"/>
      <c r="N390" s="319"/>
      <c r="O390" s="319"/>
      <c r="P390" s="319"/>
      <c r="Q390" s="319"/>
      <c r="R390" s="319"/>
      <c r="S390" s="319"/>
      <c r="T390" s="319"/>
      <c r="U390" s="319"/>
      <c r="V390" s="319"/>
      <c r="W390" s="319">
        <v>111308</v>
      </c>
    </row>
    <row r="391" spans="1:23" ht="12.75" hidden="1" customHeight="1">
      <c r="A391" s="12"/>
      <c r="B391" s="526" t="str">
        <f>Language!C771</f>
        <v>Quantidade anual de resíduo</v>
      </c>
      <c r="C391" s="21" t="str">
        <f>F664&amp;Language!C1305</f>
        <v>t/an</v>
      </c>
      <c r="D391" s="454"/>
      <c r="E391" s="454"/>
      <c r="F391" s="307"/>
      <c r="G391" s="307"/>
      <c r="H391" s="307"/>
      <c r="I391" s="307"/>
      <c r="J391" s="9"/>
      <c r="K391" s="1"/>
      <c r="L391" s="319"/>
      <c r="M391" s="319">
        <f>IF(ISERROR(SUM(D388:D389)+SUM(E390:H390)+SUM(D391:I391)+SUM(D395:D399)+D401+D403),0,SUM(D388:D389)+SUM(E390:H390)+SUM(D391:I391)+SUM(D395:D399)+D401+D403)</f>
        <v>2160.94</v>
      </c>
      <c r="N391" s="319">
        <v>2160.94</v>
      </c>
      <c r="O391" s="319"/>
      <c r="P391" s="319"/>
      <c r="Q391" s="319"/>
      <c r="R391" s="319"/>
      <c r="S391" s="319"/>
      <c r="T391" s="319"/>
      <c r="U391" s="319"/>
      <c r="V391" s="319"/>
      <c r="W391" s="319">
        <v>111310</v>
      </c>
    </row>
    <row r="392" spans="1:23" ht="12.75" hidden="1" customHeight="1">
      <c r="A392" s="12"/>
      <c r="B392" s="795" t="str">
        <f>Language!C772&amp;D389-D388+1&amp;" "&amp;Language!C1421&amp;")"</f>
        <v>Resíduo total no aterro (
-1969 anos)</v>
      </c>
      <c r="C392" s="21" t="str">
        <f>F664</f>
        <v>t</v>
      </c>
      <c r="D392" s="88">
        <f>SUM(D872:D973)</f>
        <v>0</v>
      </c>
      <c r="E392" s="8"/>
      <c r="F392" s="8"/>
      <c r="G392" s="8"/>
      <c r="H392" s="8"/>
      <c r="I392" s="8"/>
      <c r="J392" s="9"/>
      <c r="K392" s="1"/>
      <c r="L392" s="319"/>
      <c r="M392" s="319"/>
      <c r="N392" s="319"/>
      <c r="O392" s="319"/>
      <c r="P392" s="319"/>
      <c r="Q392" s="319"/>
      <c r="R392" s="319"/>
      <c r="S392" s="319"/>
      <c r="T392" s="319"/>
      <c r="U392" s="319"/>
      <c r="V392" s="319"/>
      <c r="W392" s="319">
        <v>111312</v>
      </c>
    </row>
    <row r="393" spans="1:23" ht="12.75" hidden="1" customHeight="1">
      <c r="A393" s="12"/>
      <c r="B393" s="8"/>
      <c r="C393" s="8"/>
      <c r="D393" s="8"/>
      <c r="E393" s="1238" t="str">
        <f>Language!C775</f>
        <v>Gráfico de evolução da produção de biogás</v>
      </c>
      <c r="F393" s="1238"/>
      <c r="G393" s="1238"/>
      <c r="H393" s="1238"/>
      <c r="I393" s="1238"/>
      <c r="J393" s="1242"/>
      <c r="K393" s="1"/>
      <c r="L393" s="319"/>
      <c r="M393" s="319"/>
      <c r="N393" s="319"/>
      <c r="O393" s="319"/>
      <c r="P393" s="319"/>
      <c r="Q393" s="319"/>
      <c r="R393" s="319"/>
      <c r="S393" s="319"/>
      <c r="T393" s="319"/>
      <c r="U393" s="319"/>
      <c r="V393" s="319"/>
      <c r="W393" s="319">
        <v>111354</v>
      </c>
    </row>
    <row r="394" spans="1:23" ht="12.75" hidden="1" customHeight="1">
      <c r="A394" s="12"/>
      <c r="B394" s="153" t="str">
        <f>Language!C774</f>
        <v xml:space="preserve">Biogás </v>
      </c>
      <c r="C394" s="8"/>
      <c r="D394" s="8"/>
      <c r="E394" s="228" t="str">
        <f>Ferramentas!$E$870</f>
        <v>GJ/h</v>
      </c>
      <c r="F394" s="8"/>
      <c r="G394" s="8"/>
      <c r="H394" s="8"/>
      <c r="I394" s="8"/>
      <c r="J394" s="197" t="str">
        <f>Ferramentas!$I$870</f>
        <v>m³/h</v>
      </c>
      <c r="K394" s="1"/>
      <c r="L394" s="319"/>
      <c r="M394" s="319"/>
      <c r="N394" s="319"/>
      <c r="O394" s="319"/>
      <c r="P394" s="319"/>
      <c r="Q394" s="319"/>
      <c r="R394" s="319"/>
      <c r="S394" s="319"/>
      <c r="T394" s="319"/>
      <c r="U394" s="319"/>
      <c r="V394" s="319"/>
      <c r="W394" s="319">
        <v>111314</v>
      </c>
    </row>
    <row r="395" spans="1:23" ht="12.75" hidden="1" customHeight="1">
      <c r="A395" s="12"/>
      <c r="B395" s="526" t="str">
        <f>Language!C783</f>
        <v>Prazo antes da produção do biogás</v>
      </c>
      <c r="C395" s="21" t="str">
        <f>C388</f>
        <v>ano</v>
      </c>
      <c r="D395" s="303">
        <v>1</v>
      </c>
      <c r="E395" s="8"/>
      <c r="F395" s="8"/>
      <c r="G395" s="8"/>
      <c r="H395" s="8"/>
      <c r="I395" s="8"/>
      <c r="J395" s="9"/>
      <c r="K395" s="1"/>
      <c r="L395" s="319"/>
      <c r="M395" s="319"/>
      <c r="N395" s="319"/>
      <c r="O395" s="319"/>
      <c r="P395" s="319"/>
      <c r="Q395" s="319"/>
      <c r="R395" s="319"/>
      <c r="S395" s="319"/>
      <c r="T395" s="319"/>
      <c r="U395" s="319"/>
      <c r="V395" s="319"/>
      <c r="W395" s="319">
        <v>111316</v>
      </c>
    </row>
    <row r="396" spans="1:23" ht="12.75" hidden="1" customHeight="1">
      <c r="A396" s="12"/>
      <c r="B396" s="526" t="str">
        <f>Language!C777</f>
        <v>Constante de Produção de Metano (k)</v>
      </c>
      <c r="C396" s="21"/>
      <c r="D396" s="303">
        <v>0.05</v>
      </c>
      <c r="E396" s="8"/>
      <c r="F396" s="8"/>
      <c r="G396" s="8"/>
      <c r="H396" s="8"/>
      <c r="I396" s="8"/>
      <c r="J396" s="9"/>
      <c r="K396" s="1"/>
      <c r="L396" s="319"/>
      <c r="M396" s="319"/>
      <c r="N396" s="319"/>
      <c r="O396" s="319"/>
      <c r="P396" s="319"/>
      <c r="Q396" s="319"/>
      <c r="R396" s="319"/>
      <c r="S396" s="319"/>
      <c r="T396" s="319"/>
      <c r="U396" s="319"/>
      <c r="V396" s="319"/>
      <c r="W396" s="319">
        <v>111318</v>
      </c>
    </row>
    <row r="397" spans="1:23" ht="12.75" hidden="1" customHeight="1">
      <c r="A397" s="12"/>
      <c r="B397" s="526" t="str">
        <f>Language!C778</f>
        <v>Metano por volume de biogás</v>
      </c>
      <c r="C397" s="21" t="str">
        <f>C418</f>
        <v>%</v>
      </c>
      <c r="D397" s="339">
        <v>0.5</v>
      </c>
      <c r="E397" s="8"/>
      <c r="F397" s="8"/>
      <c r="G397" s="8"/>
      <c r="H397" s="8"/>
      <c r="I397" s="8"/>
      <c r="J397" s="9"/>
      <c r="K397" s="1"/>
      <c r="L397" s="319"/>
      <c r="M397" s="319"/>
      <c r="N397" s="319"/>
      <c r="O397" s="319" t="str">
        <f>M398</f>
        <v>m³/t</v>
      </c>
      <c r="P397" s="319"/>
      <c r="Q397" s="319"/>
      <c r="R397" s="319"/>
      <c r="S397" s="319"/>
      <c r="T397" s="319"/>
      <c r="U397" s="319"/>
      <c r="V397" s="319"/>
      <c r="W397" s="319">
        <v>111320</v>
      </c>
    </row>
    <row r="398" spans="1:23" ht="12.75" hidden="1" customHeight="1">
      <c r="A398" s="12"/>
      <c r="B398" s="526" t="str">
        <f>Language!C779</f>
        <v>Geração de metano a partir do lixo(Lo)</v>
      </c>
      <c r="C398" s="303" t="s">
        <v>5388</v>
      </c>
      <c r="D398" s="307">
        <v>170</v>
      </c>
      <c r="E398" s="8"/>
      <c r="F398" s="8"/>
      <c r="G398" s="8"/>
      <c r="H398" s="8"/>
      <c r="I398" s="8"/>
      <c r="J398" s="9"/>
      <c r="K398" s="1"/>
      <c r="L398" s="319"/>
      <c r="M398" s="319" t="str">
        <f>Language!C1377</f>
        <v>m³/t</v>
      </c>
      <c r="N398" s="319">
        <f>IF(C398=O397,1,$F$783*1000)*D398</f>
        <v>170</v>
      </c>
      <c r="O398" s="319" t="str">
        <f>Language!C1333</f>
        <v>pe³/t</v>
      </c>
      <c r="P398" s="319">
        <f>N398*$F$783*1000</f>
        <v>6003.4933426530624</v>
      </c>
      <c r="Q398" s="319"/>
      <c r="R398" s="319"/>
      <c r="S398" s="319"/>
      <c r="T398" s="319"/>
      <c r="U398" s="319"/>
      <c r="V398" s="319"/>
      <c r="W398" s="319">
        <v>111322</v>
      </c>
    </row>
    <row r="399" spans="1:23" ht="12.75" hidden="1" customHeight="1">
      <c r="A399" s="12"/>
      <c r="B399" s="795" t="str">
        <f>Language!C776</f>
        <v>Fator de correção por resíduo inerte</v>
      </c>
      <c r="C399" s="21" t="str">
        <f>C418</f>
        <v>%</v>
      </c>
      <c r="D399" s="339">
        <v>0.1</v>
      </c>
      <c r="E399" s="8"/>
      <c r="F399" s="8"/>
      <c r="G399" s="8"/>
      <c r="H399" s="8"/>
      <c r="I399" s="8"/>
      <c r="J399" s="9"/>
      <c r="K399" s="1"/>
      <c r="L399" s="319"/>
      <c r="M399" s="319"/>
      <c r="N399" s="319"/>
      <c r="O399" s="319"/>
      <c r="P399" s="319"/>
      <c r="Q399" s="319"/>
      <c r="R399" s="319"/>
      <c r="S399" s="319"/>
      <c r="T399" s="319"/>
      <c r="U399" s="319"/>
      <c r="V399" s="319"/>
      <c r="W399" s="319">
        <v>111324</v>
      </c>
    </row>
    <row r="400" spans="1:23" ht="12.75" hidden="1" customHeight="1">
      <c r="A400" s="12"/>
      <c r="B400" s="526" t="str">
        <f>Language!C780</f>
        <v>Produção de biogás - Teórica</v>
      </c>
      <c r="C400" s="21" t="str">
        <f>IF(Unit=TRUE,M400,O400)</f>
        <v>m³/t</v>
      </c>
      <c r="D400" s="88">
        <f>IF(Unit=TRUE,N400,P400)</f>
        <v>340</v>
      </c>
      <c r="E400" s="8"/>
      <c r="F400" s="8"/>
      <c r="G400" s="8"/>
      <c r="H400" s="8"/>
      <c r="I400" s="8"/>
      <c r="J400" s="9"/>
      <c r="K400" s="1"/>
      <c r="L400" s="319"/>
      <c r="M400" s="319" t="str">
        <f>Language!C1377</f>
        <v>m³/t</v>
      </c>
      <c r="N400" s="319">
        <f>N398/D397</f>
        <v>340</v>
      </c>
      <c r="O400" s="319" t="str">
        <f>O398</f>
        <v>pe³/t</v>
      </c>
      <c r="P400" s="319">
        <f>N400*$F$783*1000</f>
        <v>12006.986685306125</v>
      </c>
      <c r="Q400" s="319"/>
      <c r="R400" s="319"/>
      <c r="S400" s="319"/>
      <c r="T400" s="319"/>
      <c r="U400" s="319"/>
      <c r="V400" s="319"/>
      <c r="W400" s="319">
        <v>111326</v>
      </c>
    </row>
    <row r="401" spans="1:23" ht="12.75" hidden="1" customHeight="1">
      <c r="A401" s="12"/>
      <c r="B401" s="526" t="str">
        <f>Language!C781</f>
        <v>Eficiência de coleta do biogás</v>
      </c>
      <c r="C401" s="21" t="str">
        <f>C418</f>
        <v>%</v>
      </c>
      <c r="D401" s="339">
        <v>0.75</v>
      </c>
      <c r="E401" s="8"/>
      <c r="F401" s="8"/>
      <c r="G401" s="8"/>
      <c r="H401" s="8"/>
      <c r="I401" s="8"/>
      <c r="J401" s="9"/>
      <c r="K401" s="1"/>
      <c r="L401" s="319"/>
      <c r="M401" s="319"/>
      <c r="N401" s="319"/>
      <c r="O401" s="319"/>
      <c r="P401" s="319"/>
      <c r="Q401" s="319"/>
      <c r="R401" s="319"/>
      <c r="S401" s="319"/>
      <c r="T401" s="319"/>
      <c r="U401" s="319"/>
      <c r="V401" s="319"/>
      <c r="W401" s="319">
        <v>111328</v>
      </c>
    </row>
    <row r="402" spans="1:23" ht="12.75" hidden="1" customHeight="1">
      <c r="A402" s="12"/>
      <c r="B402" s="526" t="str">
        <f>Language!C782</f>
        <v>Produção de biogás - Potencial</v>
      </c>
      <c r="C402" s="21" t="str">
        <f>IF(Unit=TRUE,M402,O402)</f>
        <v>m³/t</v>
      </c>
      <c r="D402" s="88">
        <f>IF(Unit=TRUE,N402,P402)</f>
        <v>255</v>
      </c>
      <c r="E402" s="8"/>
      <c r="F402" s="8"/>
      <c r="G402" s="8"/>
      <c r="H402" s="8"/>
      <c r="I402" s="8"/>
      <c r="J402" s="9"/>
      <c r="K402" s="1"/>
      <c r="L402" s="319"/>
      <c r="M402" s="319" t="str">
        <f>M400</f>
        <v>m³/t</v>
      </c>
      <c r="N402" s="319">
        <f>N400*D401</f>
        <v>255</v>
      </c>
      <c r="O402" s="319" t="str">
        <f>O400</f>
        <v>pe³/t</v>
      </c>
      <c r="P402" s="319">
        <f>N402*$F$783*1000</f>
        <v>9005.2400139795936</v>
      </c>
      <c r="Q402" s="319"/>
      <c r="R402" s="319"/>
      <c r="S402" s="319"/>
      <c r="T402" s="319"/>
      <c r="U402" s="319"/>
      <c r="V402" s="319"/>
      <c r="W402" s="319">
        <v>111330</v>
      </c>
    </row>
    <row r="403" spans="1:23" ht="12.75" hidden="1" customHeight="1">
      <c r="A403" s="12"/>
      <c r="B403" s="526" t="str">
        <f>Language!C784</f>
        <v>Poder calorífico do biogás</v>
      </c>
      <c r="C403" s="303" t="s">
        <v>5230</v>
      </c>
      <c r="D403" s="303">
        <v>18.54</v>
      </c>
      <c r="E403" s="8"/>
      <c r="F403" s="8"/>
      <c r="G403" s="8"/>
      <c r="H403" s="8"/>
      <c r="I403" s="8"/>
      <c r="J403" s="9"/>
      <c r="K403" s="1"/>
      <c r="L403" s="319"/>
      <c r="M403" s="319" t="str">
        <f>Language!C1390</f>
        <v>MJ/m³</v>
      </c>
      <c r="N403" s="319">
        <f>IF(C403=M403,1,$F$760/($F$783*1000))*D403</f>
        <v>18.54</v>
      </c>
      <c r="O403" s="319" t="str">
        <f>Language!C1384</f>
        <v>milhão Btu/pe³</v>
      </c>
      <c r="P403" s="319">
        <f>N403*$F$760/($F$783*1000)</f>
        <v>0.49759861955362039</v>
      </c>
      <c r="Q403" s="319"/>
      <c r="R403" s="319"/>
      <c r="S403" s="319"/>
      <c r="T403" s="319"/>
      <c r="U403" s="319"/>
      <c r="V403" s="319"/>
      <c r="W403" s="319">
        <v>111332</v>
      </c>
    </row>
    <row r="404" spans="1:23" ht="12.75" hidden="1" customHeight="1">
      <c r="A404" s="12"/>
      <c r="B404" s="526" t="str">
        <f>Language!C797</f>
        <v>Biogás - Fator de emissão de CH4</v>
      </c>
      <c r="C404" s="21" t="str">
        <f>$C$521</f>
        <v>kg/GJ</v>
      </c>
      <c r="D404" s="238">
        <f>1000*D397*0.667/N403</f>
        <v>17.988133764832796</v>
      </c>
      <c r="E404" s="8"/>
      <c r="F404" s="8"/>
      <c r="G404" s="8"/>
      <c r="H404" s="8"/>
      <c r="I404" s="8"/>
      <c r="J404" s="9"/>
      <c r="K404" s="1"/>
      <c r="L404" s="319"/>
      <c r="M404" s="319" t="str">
        <f>O403</f>
        <v>milhão Btu/pe³</v>
      </c>
      <c r="N404" s="319"/>
      <c r="O404" s="319"/>
      <c r="P404" s="319"/>
      <c r="Q404" s="319"/>
      <c r="R404" s="319"/>
      <c r="S404" s="319"/>
      <c r="T404" s="319"/>
      <c r="U404" s="319"/>
      <c r="V404" s="319"/>
      <c r="W404" s="319">
        <v>111334</v>
      </c>
    </row>
    <row r="405" spans="1:23" ht="12.75" hidden="1" customHeight="1">
      <c r="A405" s="12"/>
      <c r="B405" s="8"/>
      <c r="C405" s="8"/>
      <c r="D405" s="8"/>
      <c r="E405" s="8"/>
      <c r="F405" s="8"/>
      <c r="G405" s="8"/>
      <c r="H405" s="8"/>
      <c r="I405" s="8"/>
      <c r="J405" s="9"/>
      <c r="K405" s="1"/>
      <c r="L405" s="319"/>
      <c r="M405" s="319"/>
      <c r="N405" s="319"/>
      <c r="O405" s="319"/>
      <c r="P405" s="319"/>
      <c r="Q405" s="319"/>
      <c r="R405" s="319"/>
      <c r="S405" s="319"/>
      <c r="T405" s="319"/>
      <c r="U405" s="319"/>
      <c r="V405" s="319"/>
      <c r="W405" s="319">
        <v>111314</v>
      </c>
    </row>
    <row r="406" spans="1:23" ht="12.75" hidden="1" customHeight="1">
      <c r="A406" s="12"/>
      <c r="B406" s="153" t="str">
        <f>Language!C785</f>
        <v>Projeto de energia</v>
      </c>
      <c r="C406" s="8"/>
      <c r="D406" s="8"/>
      <c r="E406" s="8"/>
      <c r="F406" s="8"/>
      <c r="G406" s="8"/>
      <c r="H406" s="8"/>
      <c r="I406" s="8"/>
      <c r="J406" s="9"/>
      <c r="K406" s="1"/>
      <c r="L406" s="319"/>
      <c r="M406" s="319"/>
      <c r="N406" s="319"/>
      <c r="O406" s="319"/>
      <c r="P406" s="319"/>
      <c r="Q406" s="319"/>
      <c r="R406" s="319"/>
      <c r="S406" s="319"/>
      <c r="T406" s="319"/>
      <c r="U406" s="319"/>
      <c r="V406" s="319"/>
      <c r="W406" s="319">
        <v>111336</v>
      </c>
    </row>
    <row r="407" spans="1:23" ht="12.75" hidden="1" customHeight="1">
      <c r="A407" s="12"/>
      <c r="B407" s="526" t="str">
        <f>Language!C786</f>
        <v>Primeiro ano de consumo do biogás</v>
      </c>
      <c r="C407" s="21" t="str">
        <f>C390</f>
        <v>ano</v>
      </c>
      <c r="D407" s="303"/>
      <c r="E407" s="8"/>
      <c r="F407" s="8"/>
      <c r="G407" s="8"/>
      <c r="H407" s="8"/>
      <c r="I407" s="8"/>
      <c r="J407" s="9"/>
      <c r="K407" s="1"/>
      <c r="L407" s="319"/>
      <c r="M407" s="319"/>
      <c r="N407" s="319"/>
      <c r="O407" s="319"/>
      <c r="P407" s="319"/>
      <c r="Q407" s="319"/>
      <c r="R407" s="319"/>
      <c r="S407" s="319"/>
      <c r="T407" s="319"/>
      <c r="U407" s="319"/>
      <c r="V407" s="319"/>
      <c r="W407" s="319">
        <v>111338</v>
      </c>
    </row>
    <row r="408" spans="1:23" ht="12.75" hidden="1" customHeight="1">
      <c r="A408" s="12"/>
      <c r="B408" s="526" t="str">
        <f>Language!C661</f>
        <v>Vida do projeto</v>
      </c>
      <c r="C408" s="21" t="str">
        <f>C395</f>
        <v>ano</v>
      </c>
      <c r="D408" s="21">
        <f>IF(ProjLife=0,1,ProjLife)</f>
        <v>25</v>
      </c>
      <c r="E408" s="909" t="str">
        <f>IF(ProjLife=0,Language!C394,"")</f>
        <v/>
      </c>
      <c r="F408" s="8"/>
      <c r="G408" s="8"/>
      <c r="H408" s="8"/>
      <c r="I408" s="8"/>
      <c r="J408" s="9"/>
      <c r="K408" s="1"/>
      <c r="L408" s="319"/>
      <c r="M408" s="319"/>
      <c r="N408" s="319"/>
      <c r="O408" s="319"/>
      <c r="P408" s="319"/>
      <c r="Q408" s="319"/>
      <c r="R408" s="319"/>
      <c r="S408" s="319"/>
      <c r="T408" s="319"/>
      <c r="U408" s="319"/>
      <c r="V408" s="319"/>
      <c r="W408" s="319">
        <v>111340</v>
      </c>
    </row>
    <row r="409" spans="1:23" ht="12.75" hidden="1" customHeight="1">
      <c r="A409" s="12"/>
      <c r="B409" s="526" t="str">
        <f>Language!C178</f>
        <v>Unidades</v>
      </c>
      <c r="C409" s="21"/>
      <c r="D409" s="303" t="s">
        <v>6812</v>
      </c>
      <c r="E409" s="8"/>
      <c r="F409" s="8"/>
      <c r="G409" s="8"/>
      <c r="H409" s="8"/>
      <c r="I409" s="8"/>
      <c r="J409" s="9"/>
      <c r="K409" s="1"/>
      <c r="L409" s="319"/>
      <c r="M409" s="319"/>
      <c r="N409" s="319"/>
      <c r="O409" s="319"/>
      <c r="P409" s="319"/>
      <c r="Q409" s="319"/>
      <c r="R409" s="319"/>
      <c r="S409" s="319"/>
      <c r="T409" s="319"/>
      <c r="U409" s="319"/>
      <c r="V409" s="319"/>
      <c r="W409" s="319">
        <v>111342</v>
      </c>
    </row>
    <row r="410" spans="1:23" ht="12.75" hidden="1" customHeight="1">
      <c r="A410" s="12"/>
      <c r="B410" s="526" t="str">
        <f>Language!C787</f>
        <v>Combustível necessário - médio</v>
      </c>
      <c r="C410" s="21" t="str">
        <f>IF(Unit=TRUE,IF($D$409=$C$681,M410,O410),IF($D$409=$C$681,Q410,S410))</f>
        <v>GJ/h</v>
      </c>
      <c r="D410" s="236">
        <f>IF(ISERROR(IF(Unit=TRUE,IF($D$409=$C$681,N410,P410),IF($D$409=$C$681,R410,T410))),0,(IF(Unit=TRUE,IF($D$409=$C$681,N410,P410),IF($D$409=$C$681,R410,T410))))</f>
        <v>0</v>
      </c>
      <c r="E410" s="8"/>
      <c r="F410" s="8"/>
      <c r="G410" s="8"/>
      <c r="H410" s="8"/>
      <c r="I410" s="8"/>
      <c r="J410" s="9"/>
      <c r="K410" s="1"/>
      <c r="L410" s="319"/>
      <c r="M410" s="319" t="str">
        <f>Language!C1336</f>
        <v>GJ/h</v>
      </c>
      <c r="N410" s="319">
        <f>N413/8760</f>
        <v>0</v>
      </c>
      <c r="O410" s="319" t="str">
        <f>Language!C1376</f>
        <v>m³/h</v>
      </c>
      <c r="P410" s="319">
        <f>N410*1000/$N$403</f>
        <v>0</v>
      </c>
      <c r="Q410" s="319" t="str">
        <f>Language!C1383</f>
        <v>milhão Btu/h</v>
      </c>
      <c r="R410" s="319">
        <f>N410*$F$760</f>
        <v>0</v>
      </c>
      <c r="S410" s="319" t="str">
        <f>Language!C1332</f>
        <v>pe³/h</v>
      </c>
      <c r="T410" s="319">
        <f>P410*$F$783*1000</f>
        <v>0</v>
      </c>
      <c r="U410" s="319"/>
      <c r="V410" s="319"/>
      <c r="W410" s="319">
        <v>111344</v>
      </c>
    </row>
    <row r="411" spans="1:23" ht="12.75" hidden="1" customHeight="1">
      <c r="A411" s="12"/>
      <c r="B411" s="526" t="str">
        <f>Language!C788</f>
        <v>Potencial de biogás</v>
      </c>
      <c r="C411" s="21" t="str">
        <f>C410</f>
        <v>GJ/h</v>
      </c>
      <c r="D411" s="236">
        <f>IF(Unit=TRUE,IF($D$409=$C$681,N411,P411),IF($D$409=$C$681,R411,T411))</f>
        <v>0</v>
      </c>
      <c r="E411" s="223" t="str">
        <f>IF(N411=0,"",IF(N411&gt;N410,1,N411/N410))</f>
        <v/>
      </c>
      <c r="F411" s="8"/>
      <c r="G411" s="8"/>
      <c r="H411" s="8"/>
      <c r="I411" s="8"/>
      <c r="J411" s="9"/>
      <c r="K411" s="1"/>
      <c r="L411" s="319"/>
      <c r="M411" s="319" t="str">
        <f>M410</f>
        <v>GJ/h</v>
      </c>
      <c r="N411" s="319">
        <f>IF(D408=0,0,G869/D408)</f>
        <v>0</v>
      </c>
      <c r="O411" s="319" t="str">
        <f>O410</f>
        <v>m³/h</v>
      </c>
      <c r="P411" s="319">
        <f>N411*1000/$N$403</f>
        <v>0</v>
      </c>
      <c r="Q411" s="319" t="str">
        <f>$Q$410</f>
        <v>milhão Btu/h</v>
      </c>
      <c r="R411" s="319">
        <f>N411*$F$760</f>
        <v>0</v>
      </c>
      <c r="S411" s="319" t="str">
        <f>S410</f>
        <v>pe³/h</v>
      </c>
      <c r="T411" s="319">
        <f>P411*$F$783*1000</f>
        <v>0</v>
      </c>
      <c r="U411" s="319"/>
      <c r="V411" s="319"/>
      <c r="W411" s="319">
        <v>111346</v>
      </c>
    </row>
    <row r="412" spans="1:23" ht="12.75" hidden="1" customHeight="1">
      <c r="A412" s="12"/>
      <c r="B412" s="526" t="str">
        <f>Language!C789</f>
        <v>Complemento combustível necessário</v>
      </c>
      <c r="C412" s="21" t="str">
        <f>C410</f>
        <v>GJ/h</v>
      </c>
      <c r="D412" s="236">
        <f>IF(Unit=TRUE,IF($D$409=$C$681,N412,P412),IF($D$409=$C$681,R412,T412))</f>
        <v>0</v>
      </c>
      <c r="E412" s="223" t="str">
        <f>IF(E411="","",1-E411)</f>
        <v/>
      </c>
      <c r="F412" s="8"/>
      <c r="G412" s="8"/>
      <c r="H412" s="8"/>
      <c r="I412" s="8"/>
      <c r="J412" s="9"/>
      <c r="K412" s="1"/>
      <c r="L412" s="319"/>
      <c r="M412" s="319" t="str">
        <f>M410</f>
        <v>GJ/h</v>
      </c>
      <c r="N412" s="319">
        <f>(H869-G869)/D408</f>
        <v>0</v>
      </c>
      <c r="O412" s="319" t="str">
        <f>O411</f>
        <v>m³/h</v>
      </c>
      <c r="P412" s="319">
        <f>N412*1000/$N$403</f>
        <v>0</v>
      </c>
      <c r="Q412" s="319" t="str">
        <f>$Q$410</f>
        <v>milhão Btu/h</v>
      </c>
      <c r="R412" s="319">
        <f>N412*$F$760</f>
        <v>0</v>
      </c>
      <c r="S412" s="319" t="str">
        <f>S410</f>
        <v>pe³/h</v>
      </c>
      <c r="T412" s="319">
        <f>P412*$F$783*1000</f>
        <v>0</v>
      </c>
      <c r="U412" s="319"/>
      <c r="V412" s="319"/>
      <c r="W412" s="319">
        <v>111348</v>
      </c>
    </row>
    <row r="413" spans="1:23" ht="12.75" hidden="1" customHeight="1">
      <c r="A413" s="12"/>
      <c r="B413" s="526" t="str">
        <f>Language!C790</f>
        <v>Combustível necessário - anual</v>
      </c>
      <c r="C413" s="21" t="str">
        <f>IF(Unit=TRUE,IF($D$409=$C$681,M413,O413),IF($D$409=$C$681,Q413,S413))</f>
        <v>GJ/ano</v>
      </c>
      <c r="D413" s="88">
        <f>IF(Unit=TRUE,IF($D$409=$C$681,N413,P413),IF($D$409=$C$681,R413,T413))</f>
        <v>0</v>
      </c>
      <c r="E413" s="8"/>
      <c r="F413" s="8"/>
      <c r="G413" s="8"/>
      <c r="H413" s="8"/>
      <c r="I413" s="8"/>
      <c r="J413" s="9"/>
      <c r="K413" s="1"/>
      <c r="L413" s="319"/>
      <c r="M413" s="319" t="str">
        <f>Language!C1335&amp;"/"&amp;$C$388</f>
        <v>GJ/ano</v>
      </c>
      <c r="N413" s="319">
        <f>'Análise de Emissões'!H202</f>
        <v>0</v>
      </c>
      <c r="O413" s="319" t="str">
        <f>Language!C1375&amp;"/"&amp;$C$388</f>
        <v>m³/ano</v>
      </c>
      <c r="P413" s="319">
        <f>N413*1000/$N$403</f>
        <v>0</v>
      </c>
      <c r="Q413" s="319" t="str">
        <f>Language!C1382&amp;"/"&amp;$C$388</f>
        <v>milhão Btu/ano</v>
      </c>
      <c r="R413" s="319">
        <f>N413*$F$760</f>
        <v>0</v>
      </c>
      <c r="S413" s="319" t="str">
        <f>Language!C1331&amp;"/"&amp;$C$388</f>
        <v>pe³/ano</v>
      </c>
      <c r="T413" s="319">
        <f>P413*$F$783*1000</f>
        <v>0</v>
      </c>
      <c r="U413" s="319"/>
      <c r="V413" s="319"/>
      <c r="W413" s="319">
        <v>111350</v>
      </c>
    </row>
    <row r="414" spans="1:23" ht="12.75" hidden="1" customHeight="1">
      <c r="A414" s="12"/>
      <c r="B414" s="526" t="str">
        <f>Language!C791</f>
        <v>Potencial de biogás - anual</v>
      </c>
      <c r="C414" s="21" t="str">
        <f>IF(Unit=TRUE,IF($D$409=$C$681,M414,O414),IF($D$409=$C$681,Q414,S414))</f>
        <v>GJ/ano</v>
      </c>
      <c r="D414" s="88">
        <f>IF(Unit=TRUE,IF($D$409=$C$681,N414,P414),IF($D$409=$C$681,R414,T414))</f>
        <v>0</v>
      </c>
      <c r="E414" s="8"/>
      <c r="F414" s="8"/>
      <c r="G414" s="8"/>
      <c r="H414" s="8"/>
      <c r="I414" s="8"/>
      <c r="J414" s="9"/>
      <c r="K414" s="1"/>
      <c r="L414" s="319"/>
      <c r="M414" s="319" t="str">
        <f>M413</f>
        <v>GJ/ano</v>
      </c>
      <c r="N414" s="319">
        <f>SUMIF(H872:H973,"&gt;0",F872:F973)*8760/D408*IF(Unit=TRUE,1,1/F760)</f>
        <v>0</v>
      </c>
      <c r="O414" s="319" t="str">
        <f>O413</f>
        <v>m³/ano</v>
      </c>
      <c r="P414" s="319">
        <f>N414*1000/$N$403</f>
        <v>0</v>
      </c>
      <c r="Q414" s="319" t="str">
        <f>Q413</f>
        <v>milhão Btu/ano</v>
      </c>
      <c r="R414" s="319">
        <f>N414*$F$760</f>
        <v>0</v>
      </c>
      <c r="S414" s="319" t="str">
        <f>S413</f>
        <v>pe³/ano</v>
      </c>
      <c r="T414" s="319">
        <f>P414*$F$783*1000</f>
        <v>0</v>
      </c>
      <c r="U414" s="319"/>
      <c r="V414" s="319"/>
      <c r="W414" s="319">
        <v>111352</v>
      </c>
    </row>
    <row r="415" spans="1:23" ht="12.75" hidden="1" customHeight="1">
      <c r="A415" s="12"/>
      <c r="B415" s="8"/>
      <c r="C415" s="8"/>
      <c r="D415" s="8"/>
      <c r="E415" s="8"/>
      <c r="F415" s="8"/>
      <c r="G415" s="8"/>
      <c r="H415" s="8"/>
      <c r="I415" s="8"/>
      <c r="J415" s="9"/>
      <c r="K415" s="1"/>
      <c r="L415" s="319"/>
      <c r="M415" s="319"/>
      <c r="N415" s="319"/>
      <c r="O415" s="319"/>
      <c r="P415" s="319"/>
      <c r="Q415" s="319"/>
      <c r="R415" s="319"/>
      <c r="S415" s="319"/>
      <c r="T415" s="319"/>
      <c r="U415" s="319"/>
      <c r="V415" s="319"/>
      <c r="W415" s="319">
        <v>111336</v>
      </c>
    </row>
    <row r="416" spans="1:23" ht="12.75" hidden="1" customHeight="1">
      <c r="A416" s="12"/>
      <c r="B416" s="153" t="str">
        <f>Language!C792</f>
        <v>Análise de Emissões</v>
      </c>
      <c r="C416" s="8"/>
      <c r="D416" s="8"/>
      <c r="E416" s="8"/>
      <c r="F416" s="8"/>
      <c r="G416" s="8"/>
      <c r="H416" s="8"/>
      <c r="I416" s="8"/>
      <c r="J416" s="9"/>
      <c r="K416" s="1"/>
      <c r="L416" s="319"/>
      <c r="M416" s="319"/>
      <c r="N416" s="319"/>
      <c r="O416" s="319"/>
      <c r="P416" s="319"/>
      <c r="Q416" s="319"/>
      <c r="R416" s="319"/>
      <c r="S416" s="319"/>
      <c r="T416" s="319"/>
      <c r="U416" s="319"/>
      <c r="V416" s="319"/>
      <c r="W416" s="319">
        <v>111356</v>
      </c>
    </row>
    <row r="417" spans="1:23" ht="12.75" hidden="1" customHeight="1">
      <c r="A417" s="12"/>
      <c r="B417" s="526" t="str">
        <f>Language!C793</f>
        <v>Sistema de biogas-Caso de referência</v>
      </c>
      <c r="C417" s="8"/>
      <c r="D417" s="303" t="s">
        <v>6186</v>
      </c>
      <c r="E417" s="8"/>
      <c r="F417" s="8"/>
      <c r="G417" s="8"/>
      <c r="H417" s="8"/>
      <c r="I417" s="8"/>
      <c r="J417" s="9"/>
      <c r="K417" s="1"/>
      <c r="L417" s="319"/>
      <c r="M417" s="319"/>
      <c r="N417" s="319"/>
      <c r="O417" s="319"/>
      <c r="P417" s="319"/>
      <c r="Q417" s="319"/>
      <c r="R417" s="319"/>
      <c r="S417" s="319"/>
      <c r="T417" s="319"/>
      <c r="U417" s="319"/>
      <c r="V417" s="319"/>
      <c r="W417" s="319">
        <v>111358</v>
      </c>
    </row>
    <row r="418" spans="1:23" ht="12.75" hidden="1" customHeight="1">
      <c r="A418" s="12"/>
      <c r="B418" s="526" t="str">
        <f>Language!C794</f>
        <v>Percentual de biogás queimado - caso de referência</v>
      </c>
      <c r="C418" s="21" t="str">
        <f>Language!C1306</f>
        <v>%</v>
      </c>
      <c r="D418" s="422"/>
      <c r="E418" s="8"/>
      <c r="F418" s="8"/>
      <c r="G418" s="8"/>
      <c r="H418" s="8"/>
      <c r="I418" s="8"/>
      <c r="J418" s="9"/>
      <c r="K418" s="1"/>
      <c r="L418" s="319"/>
      <c r="M418" s="319"/>
      <c r="N418" s="319"/>
      <c r="O418" s="319"/>
      <c r="P418" s="319"/>
      <c r="Q418" s="319"/>
      <c r="R418" s="319"/>
      <c r="S418" s="319"/>
      <c r="T418" s="319"/>
      <c r="U418" s="319"/>
      <c r="V418" s="319"/>
      <c r="W418" s="319">
        <v>111360</v>
      </c>
    </row>
    <row r="419" spans="1:23" ht="12.75" hidden="1" customHeight="1">
      <c r="A419" s="12"/>
      <c r="B419" s="526" t="str">
        <f>Language!C795</f>
        <v>Biogás queimado - caso de referência</v>
      </c>
      <c r="C419" s="21" t="str">
        <f>C420</f>
        <v>GJ/ano</v>
      </c>
      <c r="D419" s="88">
        <f>IF(Unit=TRUE,IF($D$409=$C$681,N419,P419),IF($D$409=$C$681,R419,T419))</f>
        <v>0</v>
      </c>
      <c r="E419" s="8"/>
      <c r="F419" s="8"/>
      <c r="G419" s="8"/>
      <c r="H419" s="8"/>
      <c r="I419" s="8"/>
      <c r="J419" s="9"/>
      <c r="K419" s="1"/>
      <c r="L419" s="319"/>
      <c r="M419" s="319" t="str">
        <f>M413</f>
        <v>GJ/ano</v>
      </c>
      <c r="N419" s="319">
        <f>N414*$D$418</f>
        <v>0</v>
      </c>
      <c r="O419" s="319" t="str">
        <f>O413</f>
        <v>m³/ano</v>
      </c>
      <c r="P419" s="319">
        <f>P414*$D$418</f>
        <v>0</v>
      </c>
      <c r="Q419" s="319" t="str">
        <f>Q413</f>
        <v>milhão Btu/ano</v>
      </c>
      <c r="R419" s="319">
        <f>R414*$D$418</f>
        <v>0</v>
      </c>
      <c r="S419" s="319" t="str">
        <f>S413</f>
        <v>pe³/ano</v>
      </c>
      <c r="T419" s="319">
        <f>T414*$D$418</f>
        <v>0</v>
      </c>
      <c r="U419" s="319"/>
      <c r="V419" s="319"/>
      <c r="W419" s="319">
        <v>111362</v>
      </c>
    </row>
    <row r="420" spans="1:23" ht="12.75" hidden="1" customHeight="1">
      <c r="A420" s="12"/>
      <c r="B420" s="526" t="str">
        <f>Language!C796</f>
        <v>Biogás queimado - caso proposto</v>
      </c>
      <c r="C420" s="21" t="str">
        <f>IF(Unit=TRUE,IF($D$409=$C$681,M420,O420),IF($D$409=$C$681,Q420,S420))</f>
        <v>GJ/ano</v>
      </c>
      <c r="D420" s="88">
        <f>IF(Unit=TRUE,IF($D$409=$C$681,N420,P420),IF($D$409=$C$681,R420,T420))</f>
        <v>0</v>
      </c>
      <c r="E420" s="8"/>
      <c r="F420" s="8"/>
      <c r="G420" s="8"/>
      <c r="H420" s="8"/>
      <c r="I420" s="8"/>
      <c r="J420" s="9"/>
      <c r="K420" s="1"/>
      <c r="L420" s="319"/>
      <c r="M420" s="319" t="str">
        <f>M413</f>
        <v>GJ/ano</v>
      </c>
      <c r="N420" s="319">
        <f>IF(SUMIF(H872:H973,"&gt;0",F872:F973)*8760/D408-N413&lt;0,0,SUMIF(H872:H973,"&gt;0",F872:F973)*8760/D408*IF(Unit=TRUE,1,1/F760)-N413)</f>
        <v>0</v>
      </c>
      <c r="O420" s="319" t="str">
        <f>O413</f>
        <v>m³/ano</v>
      </c>
      <c r="P420" s="319">
        <f>N420*1000/$N$403</f>
        <v>0</v>
      </c>
      <c r="Q420" s="319" t="str">
        <f>Q413</f>
        <v>milhão Btu/ano</v>
      </c>
      <c r="R420" s="319">
        <f>N420*$F$760</f>
        <v>0</v>
      </c>
      <c r="S420" s="319" t="str">
        <f>S413</f>
        <v>pe³/ano</v>
      </c>
      <c r="T420" s="319">
        <f>P420*$F$783*1000</f>
        <v>0</v>
      </c>
      <c r="U420" s="319"/>
      <c r="V420" s="319"/>
      <c r="W420" s="319">
        <v>111364</v>
      </c>
    </row>
    <row r="421" spans="1:23" ht="12.75" hidden="1" customHeight="1">
      <c r="A421" s="12"/>
      <c r="B421" s="526" t="str">
        <f>B495</f>
        <v>Fator de emissão de CO2</v>
      </c>
      <c r="C421" s="21" t="str">
        <f>$C$521</f>
        <v>kg/GJ</v>
      </c>
      <c r="D421" s="382"/>
      <c r="E421" s="8"/>
      <c r="F421" s="8"/>
      <c r="G421" s="8"/>
      <c r="H421" s="8"/>
      <c r="I421" s="8"/>
      <c r="J421" s="9"/>
      <c r="K421" s="1"/>
      <c r="L421" s="319"/>
      <c r="M421" s="319"/>
      <c r="N421" s="319"/>
      <c r="O421" s="319"/>
      <c r="P421" s="319"/>
      <c r="Q421" s="319"/>
      <c r="R421" s="319"/>
      <c r="S421" s="319"/>
      <c r="T421" s="319"/>
      <c r="U421" s="319"/>
      <c r="V421" s="319"/>
      <c r="W421" s="319">
        <v>111366</v>
      </c>
    </row>
    <row r="422" spans="1:23" ht="12.75" hidden="1" customHeight="1">
      <c r="A422" s="12"/>
      <c r="B422" s="526" t="str">
        <f>B496</f>
        <v>Fator de emissão de CH4</v>
      </c>
      <c r="C422" s="21" t="str">
        <f>$C$521</f>
        <v>kg/GJ</v>
      </c>
      <c r="D422" s="303"/>
      <c r="E422" s="8"/>
      <c r="F422" s="8"/>
      <c r="G422" s="8"/>
      <c r="H422" s="8"/>
      <c r="I422" s="8"/>
      <c r="J422" s="9"/>
      <c r="K422" s="1"/>
      <c r="L422" s="319"/>
      <c r="M422" s="319"/>
      <c r="N422" s="319"/>
      <c r="O422" s="319"/>
      <c r="P422" s="319"/>
      <c r="Q422" s="319"/>
      <c r="R422" s="319"/>
      <c r="S422" s="319"/>
      <c r="T422" s="319"/>
      <c r="U422" s="319"/>
      <c r="V422" s="319"/>
      <c r="W422" s="319">
        <v>111368</v>
      </c>
    </row>
    <row r="423" spans="1:23" ht="12.75" hidden="1" customHeight="1">
      <c r="A423" s="12"/>
      <c r="B423" s="526" t="str">
        <f>B523</f>
        <v>Fator de emissão de N2O</v>
      </c>
      <c r="C423" s="21" t="str">
        <f>$C$521</f>
        <v>kg/GJ</v>
      </c>
      <c r="D423" s="303"/>
      <c r="E423" s="8"/>
      <c r="F423" s="8"/>
      <c r="G423" s="8"/>
      <c r="H423" s="8"/>
      <c r="I423" s="8"/>
      <c r="J423" s="9"/>
      <c r="K423" s="1"/>
      <c r="L423" s="319"/>
      <c r="M423" s="319"/>
      <c r="N423" s="319"/>
      <c r="O423" s="319"/>
      <c r="P423" s="319"/>
      <c r="Q423" s="319"/>
      <c r="R423" s="319"/>
      <c r="S423" s="319"/>
      <c r="T423" s="319"/>
      <c r="U423" s="319"/>
      <c r="V423" s="319"/>
      <c r="W423" s="319">
        <v>111370</v>
      </c>
    </row>
    <row r="424" spans="1:23" ht="12.75" hidden="1" customHeight="1">
      <c r="A424" s="14"/>
      <c r="B424" s="15"/>
      <c r="C424" s="15"/>
      <c r="D424" s="15"/>
      <c r="E424" s="15"/>
      <c r="F424" s="15"/>
      <c r="G424" s="15"/>
      <c r="H424" s="15"/>
      <c r="I424" s="15"/>
      <c r="J424" s="11"/>
      <c r="K424" s="1"/>
      <c r="L424" s="319"/>
      <c r="M424" s="319"/>
      <c r="N424" s="319"/>
      <c r="O424" s="319"/>
      <c r="P424" s="319"/>
      <c r="Q424" s="319"/>
      <c r="R424" s="319"/>
      <c r="S424" s="319"/>
      <c r="T424" s="319"/>
      <c r="U424" s="319"/>
      <c r="V424" s="319"/>
      <c r="W424" s="319">
        <v>111300</v>
      </c>
    </row>
    <row r="425" spans="1:23" ht="12.75" hidden="1" customHeight="1">
      <c r="A425" s="1"/>
      <c r="B425" s="1"/>
      <c r="C425" s="1"/>
      <c r="D425" s="1"/>
      <c r="E425" s="1"/>
      <c r="F425" s="1"/>
      <c r="G425" s="1"/>
      <c r="H425" s="1"/>
      <c r="I425" s="1"/>
      <c r="J425" s="1"/>
      <c r="K425" s="1"/>
      <c r="L425" s="319"/>
      <c r="M425" s="319"/>
      <c r="N425" s="319"/>
      <c r="O425" s="319"/>
      <c r="P425" s="319"/>
      <c r="Q425" s="319"/>
      <c r="R425" s="319"/>
      <c r="S425" s="319"/>
      <c r="T425" s="319"/>
      <c r="U425" s="319"/>
      <c r="V425" s="319"/>
      <c r="W425" s="319">
        <v>110000</v>
      </c>
    </row>
    <row r="426" spans="1:23" ht="12.75" hidden="1" customHeight="1">
      <c r="A426" s="1203" t="str">
        <f>Language!C1448</f>
        <v>Conversão de unidades</v>
      </c>
      <c r="B426" s="1204"/>
      <c r="C426" s="157" t="str">
        <f>Language!C180</f>
        <v>Unidade</v>
      </c>
      <c r="D426" s="157" t="str">
        <f>D31</f>
        <v>Quantidade</v>
      </c>
      <c r="E426" s="157" t="str">
        <f>C426</f>
        <v>Unidade</v>
      </c>
      <c r="F426" s="239" t="str">
        <f>D31</f>
        <v>Quantidade</v>
      </c>
      <c r="G426" s="192"/>
      <c r="H426" s="192"/>
      <c r="I426" s="192"/>
      <c r="J426" s="193"/>
      <c r="K426" s="1"/>
      <c r="L426" s="319"/>
      <c r="M426" s="319"/>
      <c r="N426" s="319"/>
      <c r="O426" s="319"/>
      <c r="P426" s="319"/>
      <c r="Q426" s="319"/>
      <c r="R426" s="319"/>
      <c r="S426" s="319"/>
      <c r="T426" s="319"/>
      <c r="U426" s="319"/>
      <c r="V426" s="319"/>
      <c r="W426" s="319">
        <v>111400</v>
      </c>
    </row>
    <row r="427" spans="1:23" ht="12.75" hidden="1" customHeight="1">
      <c r="A427" s="12"/>
      <c r="B427" s="8"/>
      <c r="C427" s="8"/>
      <c r="D427" s="8"/>
      <c r="E427" s="8"/>
      <c r="F427" s="8"/>
      <c r="G427" s="8"/>
      <c r="H427" s="8"/>
      <c r="I427" s="8"/>
      <c r="J427" s="9"/>
      <c r="K427" s="1"/>
      <c r="L427" s="319"/>
      <c r="M427" s="319"/>
      <c r="N427" s="319"/>
      <c r="O427" s="319"/>
      <c r="P427" s="319"/>
      <c r="Q427" s="319"/>
      <c r="R427" s="319"/>
      <c r="S427" s="319"/>
      <c r="T427" s="319"/>
      <c r="U427" s="319"/>
      <c r="V427" s="319"/>
      <c r="W427" s="319">
        <v>111400</v>
      </c>
    </row>
    <row r="428" spans="1:23" ht="12.75" hidden="1" customHeight="1">
      <c r="A428" s="12"/>
      <c r="B428" s="8" t="str">
        <f>Language!C808</f>
        <v>Distância</v>
      </c>
      <c r="C428" s="303" t="s">
        <v>5569</v>
      </c>
      <c r="D428" s="474"/>
      <c r="E428" s="303" t="s">
        <v>7183</v>
      </c>
      <c r="F428" s="240">
        <f>VLOOKUP(E428,E721:F725,2,FALSE)/VLOOKUP(C428,E721:F725,2,FALSE)*D428</f>
        <v>0</v>
      </c>
      <c r="G428" s="8"/>
      <c r="H428" s="8"/>
      <c r="I428" s="8"/>
      <c r="J428" s="9"/>
      <c r="K428" s="1"/>
      <c r="L428" s="319"/>
      <c r="M428" s="319"/>
      <c r="N428" s="319"/>
      <c r="O428" s="319"/>
      <c r="P428" s="319"/>
      <c r="Q428" s="319"/>
      <c r="R428" s="319"/>
      <c r="S428" s="319"/>
      <c r="T428" s="319"/>
      <c r="U428" s="319"/>
      <c r="V428" s="319"/>
      <c r="W428" s="319">
        <v>111400</v>
      </c>
    </row>
    <row r="429" spans="1:23" ht="12.75" hidden="1" customHeight="1">
      <c r="A429" s="12"/>
      <c r="B429" s="8" t="str">
        <f>Language!C809</f>
        <v>Área</v>
      </c>
      <c r="C429" s="303" t="s">
        <v>5430</v>
      </c>
      <c r="D429" s="474"/>
      <c r="E429" s="303" t="s">
        <v>7174</v>
      </c>
      <c r="F429" s="240">
        <f>VLOOKUP(E429,E727:F732,2,FALSE)/VLOOKUP(C429,E727:F732,2,FALSE)*D429</f>
        <v>0</v>
      </c>
      <c r="G429" s="8"/>
      <c r="H429" s="8"/>
      <c r="I429" s="8"/>
      <c r="J429" s="9"/>
      <c r="K429" s="1"/>
      <c r="L429" s="319"/>
      <c r="M429" s="319"/>
      <c r="N429" s="319"/>
      <c r="O429" s="319"/>
      <c r="P429" s="319"/>
      <c r="Q429" s="319"/>
      <c r="R429" s="319"/>
      <c r="S429" s="319"/>
      <c r="T429" s="319"/>
      <c r="U429" s="319"/>
      <c r="V429" s="319"/>
      <c r="W429" s="319">
        <v>111400</v>
      </c>
    </row>
    <row r="430" spans="1:23" ht="12.75" hidden="1" customHeight="1">
      <c r="A430" s="12"/>
      <c r="B430" s="8" t="str">
        <f>Language!C810</f>
        <v>Volume</v>
      </c>
      <c r="C430" s="303" t="s">
        <v>114</v>
      </c>
      <c r="D430" s="474"/>
      <c r="E430" s="303" t="s">
        <v>7200</v>
      </c>
      <c r="F430" s="240">
        <f>VLOOKUP(E430,E778:F786,2,FALSE)/VLOOKUP(C430,E778:F786,2,FALSE)*D430</f>
        <v>0</v>
      </c>
      <c r="G430" s="8"/>
      <c r="H430" s="8"/>
      <c r="I430" s="8"/>
      <c r="J430" s="9"/>
      <c r="K430" s="1"/>
      <c r="L430" s="319"/>
      <c r="M430" s="319"/>
      <c r="N430" s="319"/>
      <c r="O430" s="319"/>
      <c r="P430" s="319"/>
      <c r="Q430" s="319"/>
      <c r="R430" s="319"/>
      <c r="S430" s="319"/>
      <c r="T430" s="319"/>
      <c r="U430" s="319"/>
      <c r="V430" s="319"/>
      <c r="W430" s="319">
        <v>111400</v>
      </c>
    </row>
    <row r="431" spans="1:23" ht="12.75" hidden="1" customHeight="1">
      <c r="A431" s="12"/>
      <c r="B431" s="8" t="str">
        <f>Language!C807</f>
        <v>Pêso</v>
      </c>
      <c r="C431" s="303" t="s">
        <v>987</v>
      </c>
      <c r="D431" s="474"/>
      <c r="E431" s="303" t="s">
        <v>2790</v>
      </c>
      <c r="F431" s="240">
        <f>VLOOKUP(E431,E717:F719,2,FALSE)/VLOOKUP(C431,E717:F719,2,FALSE)*D431</f>
        <v>0</v>
      </c>
      <c r="G431" s="8"/>
      <c r="H431" s="8"/>
      <c r="I431" s="8"/>
      <c r="J431" s="9"/>
      <c r="K431" s="1"/>
      <c r="L431" s="319"/>
      <c r="M431" s="319"/>
      <c r="N431" s="319"/>
      <c r="O431" s="319"/>
      <c r="P431" s="319"/>
      <c r="Q431" s="319"/>
      <c r="R431" s="319"/>
      <c r="S431" s="319"/>
      <c r="T431" s="319"/>
      <c r="U431" s="319"/>
      <c r="V431" s="319"/>
      <c r="W431" s="319">
        <v>111400</v>
      </c>
    </row>
    <row r="432" spans="1:23" ht="12.75" hidden="1" customHeight="1">
      <c r="A432" s="12"/>
      <c r="B432" s="8" t="str">
        <f>Language!C806</f>
        <v>Pressão</v>
      </c>
      <c r="C432" s="303" t="s">
        <v>2791</v>
      </c>
      <c r="D432" s="474"/>
      <c r="E432" s="303" t="s">
        <v>741</v>
      </c>
      <c r="F432" s="240">
        <f>VLOOKUP(E432,E708:F715,2,FALSE)/VLOOKUP(C432,E708:F715,2,FALSE)*D432</f>
        <v>0</v>
      </c>
      <c r="G432" s="8"/>
      <c r="H432" s="8"/>
      <c r="I432" s="8"/>
      <c r="J432" s="9"/>
      <c r="K432" s="1"/>
      <c r="L432" s="319"/>
      <c r="M432" s="319"/>
      <c r="N432" s="319"/>
      <c r="O432" s="319"/>
      <c r="P432" s="319"/>
      <c r="Q432" s="319"/>
      <c r="R432" s="319"/>
      <c r="S432" s="319"/>
      <c r="T432" s="319"/>
      <c r="U432" s="319"/>
      <c r="V432" s="319"/>
      <c r="W432" s="319">
        <v>111400</v>
      </c>
    </row>
    <row r="433" spans="1:23" ht="12.75" hidden="1" customHeight="1">
      <c r="A433" s="12"/>
      <c r="B433" s="8" t="str">
        <f>B473</f>
        <v>Temperatura</v>
      </c>
      <c r="C433" s="303" t="s">
        <v>5568</v>
      </c>
      <c r="D433" s="474"/>
      <c r="E433" s="303" t="s">
        <v>4588</v>
      </c>
      <c r="F433" s="240">
        <f>VLOOKUP(TRUE,C769:F775,4,FALSE)</f>
        <v>32</v>
      </c>
      <c r="G433" s="8"/>
      <c r="H433" s="8"/>
      <c r="I433" s="8"/>
      <c r="J433" s="9"/>
      <c r="K433" s="1"/>
      <c r="L433" s="319"/>
      <c r="M433" s="319"/>
      <c r="N433" s="319"/>
      <c r="O433" s="319"/>
      <c r="P433" s="319"/>
      <c r="Q433" s="319"/>
      <c r="R433" s="319"/>
      <c r="S433" s="319"/>
      <c r="T433" s="319"/>
      <c r="U433" s="319"/>
      <c r="V433" s="319"/>
      <c r="W433" s="319">
        <v>111400</v>
      </c>
    </row>
    <row r="434" spans="1:23" ht="12.75" hidden="1" customHeight="1">
      <c r="A434" s="12"/>
      <c r="B434" s="8"/>
      <c r="C434" s="8"/>
      <c r="D434" s="241"/>
      <c r="E434" s="8"/>
      <c r="F434" s="240"/>
      <c r="G434" s="8"/>
      <c r="H434" s="8"/>
      <c r="I434" s="8"/>
      <c r="J434" s="9"/>
      <c r="K434" s="1"/>
      <c r="L434" s="319"/>
      <c r="M434" s="319"/>
      <c r="N434" s="319"/>
      <c r="O434" s="319"/>
      <c r="P434" s="319"/>
      <c r="Q434" s="319"/>
      <c r="R434" s="319"/>
      <c r="S434" s="319"/>
      <c r="T434" s="319"/>
      <c r="U434" s="319"/>
      <c r="V434" s="319"/>
      <c r="W434" s="319">
        <v>111400</v>
      </c>
    </row>
    <row r="435" spans="1:23" ht="12.75" hidden="1" customHeight="1">
      <c r="A435" s="12"/>
      <c r="B435" s="8" t="str">
        <f>Language!C1896</f>
        <v>Potência</v>
      </c>
      <c r="C435" s="303" t="s">
        <v>4455</v>
      </c>
      <c r="D435" s="474"/>
      <c r="E435" s="419" t="s">
        <v>4416</v>
      </c>
      <c r="F435" s="240">
        <f>VLOOKUP(E435,E744:F755,2,FALSE)/VLOOKUP(C435,E744:F755,2,FALSE)*D435</f>
        <v>0</v>
      </c>
      <c r="G435" s="8"/>
      <c r="H435" s="8"/>
      <c r="I435" s="8"/>
      <c r="J435" s="9"/>
      <c r="K435" s="1"/>
      <c r="L435" s="319"/>
      <c r="M435" s="319"/>
      <c r="N435" s="319"/>
      <c r="O435" s="319"/>
      <c r="P435" s="319"/>
      <c r="Q435" s="319"/>
      <c r="R435" s="319"/>
      <c r="S435" s="319"/>
      <c r="T435" s="319"/>
      <c r="U435" s="319"/>
      <c r="V435" s="319"/>
      <c r="W435" s="319">
        <v>111400</v>
      </c>
    </row>
    <row r="436" spans="1:23" ht="12.75" hidden="1" customHeight="1">
      <c r="A436" s="12"/>
      <c r="B436" s="8" t="str">
        <f>Language!C847</f>
        <v>Energia</v>
      </c>
      <c r="C436" s="303" t="s">
        <v>3202</v>
      </c>
      <c r="D436" s="474"/>
      <c r="E436" s="303" t="s">
        <v>7189</v>
      </c>
      <c r="F436" s="240">
        <f>VLOOKUP(E436,E757:F768,2,FALSE)/VLOOKUP(C436,E757:F768,2,FALSE)*D436</f>
        <v>0</v>
      </c>
      <c r="G436" s="8"/>
      <c r="H436" s="8"/>
      <c r="I436" s="8"/>
      <c r="J436" s="9"/>
      <c r="K436" s="1"/>
      <c r="L436" s="319"/>
      <c r="M436" s="319"/>
      <c r="N436" s="319"/>
      <c r="O436" s="319"/>
      <c r="P436" s="319"/>
      <c r="Q436" s="319"/>
      <c r="R436" s="319"/>
      <c r="S436" s="319"/>
      <c r="T436" s="319"/>
      <c r="U436" s="319"/>
      <c r="V436" s="319"/>
      <c r="W436" s="319">
        <v>111400</v>
      </c>
    </row>
    <row r="437" spans="1:23" ht="12.75" hidden="1" customHeight="1">
      <c r="A437" s="12"/>
      <c r="B437" s="8" t="str">
        <f>Language!C805</f>
        <v>Poder calorífico</v>
      </c>
      <c r="C437" s="303" t="s">
        <v>5376</v>
      </c>
      <c r="D437" s="474"/>
      <c r="E437" s="419" t="s">
        <v>5859</v>
      </c>
      <c r="F437" s="240">
        <f>VLOOKUP(E437,E704:F706,2,FALSE)/VLOOKUP(C437,E704:F706,2,FALSE)*D437</f>
        <v>0</v>
      </c>
      <c r="G437" s="8"/>
      <c r="H437" s="8"/>
      <c r="I437" s="8"/>
      <c r="J437" s="9"/>
      <c r="K437" s="1"/>
      <c r="L437" s="319"/>
      <c r="M437" s="319"/>
      <c r="N437" s="319"/>
      <c r="O437" s="319"/>
      <c r="P437" s="319"/>
      <c r="Q437" s="319"/>
      <c r="R437" s="319"/>
      <c r="S437" s="319"/>
      <c r="T437" s="319"/>
      <c r="U437" s="319"/>
      <c r="V437" s="319"/>
      <c r="W437" s="319">
        <v>111400</v>
      </c>
    </row>
    <row r="438" spans="1:23" ht="12.75" hidden="1" customHeight="1">
      <c r="A438" s="12"/>
      <c r="B438" s="8" t="str">
        <f>Language!C811</f>
        <v>Fator de emissão</v>
      </c>
      <c r="C438" s="303" t="s">
        <v>4598</v>
      </c>
      <c r="D438" s="474"/>
      <c r="E438" s="303" t="s">
        <v>5185</v>
      </c>
      <c r="F438" s="240">
        <f>VLOOKUP(E438,E733:F737,2,FALSE)/VLOOKUP(C438,E733:F737,2,FALSE)*D438</f>
        <v>0</v>
      </c>
      <c r="G438" s="8"/>
      <c r="H438" s="8"/>
      <c r="I438" s="8"/>
      <c r="J438" s="9"/>
      <c r="K438" s="1"/>
      <c r="L438" s="319"/>
      <c r="M438" s="319"/>
      <c r="N438" s="319"/>
      <c r="O438" s="319"/>
      <c r="P438" s="319"/>
      <c r="Q438" s="319"/>
      <c r="R438" s="319"/>
      <c r="S438" s="319"/>
      <c r="T438" s="319"/>
      <c r="U438" s="319"/>
      <c r="V438" s="319"/>
      <c r="W438" s="319">
        <v>111400</v>
      </c>
    </row>
    <row r="439" spans="1:23" ht="12.75" hidden="1" customHeight="1">
      <c r="A439" s="12"/>
      <c r="B439" s="8" t="str">
        <f>Language!C309</f>
        <v>Carga</v>
      </c>
      <c r="C439" s="303" t="s">
        <v>2335</v>
      </c>
      <c r="D439" s="474"/>
      <c r="E439" s="303" t="s">
        <v>7171</v>
      </c>
      <c r="F439" s="240">
        <f>IF(OR(AND(C439=E742,E439=E741),AND(E439=E742,C439=E741)),1000/D439,IF(AND(C439&lt;&gt;E741,E439=E741),VLOOKUP(E439,E739:F742,2,FALSE)/D439/VLOOKUP(C439,E739:F742,2,FALSE),IF(AND(C439=E741,E439&lt;&gt;E741),VLOOKUP(C439,E739:F742,2,FALSE)/VLOOKUP(E439,E739:F742,2,FALSE)/D439,VLOOKUP(E439,E739:F742,2,FALSE)/VLOOKUP(C439,E739:F742,2,FALSE)*D439)))</f>
        <v>0</v>
      </c>
      <c r="G439" s="8"/>
      <c r="H439" s="8"/>
      <c r="I439" s="8"/>
      <c r="J439" s="9"/>
      <c r="K439" s="1"/>
      <c r="L439" s="319"/>
      <c r="M439" s="319"/>
      <c r="N439" s="319"/>
      <c r="O439" s="319"/>
      <c r="P439" s="319"/>
      <c r="Q439" s="319"/>
      <c r="R439" s="319"/>
      <c r="S439" s="319"/>
      <c r="T439" s="319"/>
      <c r="U439" s="319"/>
      <c r="V439" s="319"/>
      <c r="W439" s="319">
        <v>111400</v>
      </c>
    </row>
    <row r="440" spans="1:23" ht="12.75" hidden="1" customHeight="1">
      <c r="A440" s="12"/>
      <c r="B440" s="8"/>
      <c r="C440" s="240"/>
      <c r="D440" s="240"/>
      <c r="E440" s="240"/>
      <c r="F440" s="240"/>
      <c r="G440" s="8"/>
      <c r="H440" s="8"/>
      <c r="I440" s="8"/>
      <c r="J440" s="9"/>
      <c r="K440" s="1"/>
      <c r="L440" s="319"/>
      <c r="M440" s="319"/>
      <c r="N440" s="319"/>
      <c r="O440" s="319"/>
      <c r="P440" s="319"/>
      <c r="Q440" s="319"/>
      <c r="R440" s="319"/>
      <c r="S440" s="319"/>
      <c r="T440" s="319"/>
      <c r="U440" s="319"/>
      <c r="V440" s="319"/>
      <c r="W440" s="319">
        <v>111400</v>
      </c>
    </row>
    <row r="441" spans="1:23" ht="12.75" hidden="1" customHeight="1">
      <c r="A441" s="12"/>
      <c r="B441" s="8" t="str">
        <f>Language!C2627</f>
        <v>Velocidade</v>
      </c>
      <c r="C441" s="303" t="s">
        <v>743</v>
      </c>
      <c r="D441" s="474"/>
      <c r="E441" s="303" t="s">
        <v>89</v>
      </c>
      <c r="F441" s="240">
        <f>VLOOKUP(E441,E787:F789,2,FALSE)/VLOOKUP(C441,E787:F789,2,FALSE)*D441</f>
        <v>0</v>
      </c>
      <c r="G441" s="8"/>
      <c r="H441" s="8"/>
      <c r="I441" s="8"/>
      <c r="J441" s="9"/>
      <c r="K441" s="1"/>
      <c r="L441" s="319"/>
      <c r="M441" s="319"/>
      <c r="N441" s="319"/>
      <c r="O441" s="319"/>
      <c r="P441" s="319"/>
      <c r="Q441" s="319"/>
      <c r="R441" s="319"/>
      <c r="S441" s="319"/>
      <c r="T441" s="319"/>
      <c r="U441" s="319"/>
      <c r="V441" s="319"/>
      <c r="W441" s="319">
        <v>111400</v>
      </c>
    </row>
    <row r="442" spans="1:23" ht="12.75" hidden="1" customHeight="1">
      <c r="A442" s="12"/>
      <c r="B442" s="8" t="str">
        <f>Language!C1665</f>
        <v>Fluxo</v>
      </c>
      <c r="C442" s="303" t="s">
        <v>314</v>
      </c>
      <c r="D442" s="474"/>
      <c r="E442" s="303" t="s">
        <v>5575</v>
      </c>
      <c r="F442" s="240">
        <f>VLOOKUP(E442,E793:F803,2,FALSE)/VLOOKUP(C442,E793:F803,2,FALSE)*D442</f>
        <v>0</v>
      </c>
      <c r="G442" s="8"/>
      <c r="H442" s="8"/>
      <c r="I442" s="8"/>
      <c r="J442" s="9"/>
      <c r="K442" s="1"/>
      <c r="L442" s="319"/>
      <c r="M442" s="319"/>
      <c r="N442" s="319"/>
      <c r="O442" s="319"/>
      <c r="P442" s="319"/>
      <c r="Q442" s="319"/>
      <c r="R442" s="319"/>
      <c r="S442" s="319"/>
      <c r="T442" s="319"/>
      <c r="U442" s="319"/>
      <c r="V442" s="319"/>
      <c r="W442" s="319">
        <v>111400</v>
      </c>
    </row>
    <row r="443" spans="1:23" ht="12.75" hidden="1" customHeight="1">
      <c r="A443" s="8"/>
      <c r="B443" s="8" t="str">
        <f>B492</f>
        <v>Densidade</v>
      </c>
      <c r="C443" s="303" t="s">
        <v>472</v>
      </c>
      <c r="D443" s="474"/>
      <c r="E443" s="419" t="s">
        <v>8255</v>
      </c>
      <c r="F443" s="240">
        <f>VLOOKUP(E443,E804:F805,2,FALSE)/VLOOKUP(C443,E804:F805,2,FALSE)*D443</f>
        <v>0</v>
      </c>
      <c r="G443" s="8"/>
      <c r="H443" s="8"/>
      <c r="I443" s="8"/>
      <c r="J443" s="9"/>
      <c r="K443" s="1"/>
      <c r="L443" s="319"/>
      <c r="M443" s="319"/>
      <c r="N443" s="319"/>
      <c r="O443" s="319"/>
      <c r="P443" s="319"/>
      <c r="Q443" s="319"/>
      <c r="R443" s="319"/>
      <c r="S443" s="319"/>
      <c r="T443" s="319"/>
      <c r="U443" s="319"/>
      <c r="V443" s="319"/>
      <c r="W443" s="319">
        <v>111400</v>
      </c>
    </row>
    <row r="444" spans="1:23" ht="12.75" hidden="1" customHeight="1">
      <c r="A444" s="8"/>
      <c r="B444" s="8" t="str">
        <f>R71</f>
        <v>Valor - R</v>
      </c>
      <c r="C444" s="303" t="s">
        <v>4592</v>
      </c>
      <c r="D444" s="474"/>
      <c r="E444" s="419" t="s">
        <v>7934</v>
      </c>
      <c r="F444" s="240">
        <f>VLOOKUP(E444,E807:F808,2,FALSE)/VLOOKUP(C444,E807:F808,2,FALSE)*D444</f>
        <v>0</v>
      </c>
      <c r="G444" s="8"/>
      <c r="H444" s="8"/>
      <c r="I444" s="8"/>
      <c r="J444" s="9"/>
      <c r="K444" s="1"/>
      <c r="L444" s="319"/>
      <c r="M444" s="319"/>
      <c r="N444" s="319"/>
      <c r="O444" s="319"/>
      <c r="P444" s="319"/>
      <c r="Q444" s="319"/>
      <c r="R444" s="319"/>
      <c r="S444" s="319"/>
      <c r="T444" s="319"/>
      <c r="U444" s="319"/>
      <c r="V444" s="319"/>
      <c r="W444" s="319">
        <v>111400</v>
      </c>
    </row>
    <row r="445" spans="1:23" ht="12.75" hidden="1" customHeight="1">
      <c r="A445" s="329"/>
      <c r="B445" s="8" t="str">
        <f>R72</f>
        <v>Valor - U</v>
      </c>
      <c r="C445" s="419" t="s">
        <v>4938</v>
      </c>
      <c r="D445" s="474"/>
      <c r="E445" s="419" t="s">
        <v>7925</v>
      </c>
      <c r="F445" s="240">
        <f>VLOOKUP(E445,E810:F811,2,FALSE)/VLOOKUP(C445,E810:F811,2,FALSE)*D445</f>
        <v>0</v>
      </c>
      <c r="G445" s="8"/>
      <c r="H445" s="8"/>
      <c r="I445" s="8"/>
      <c r="J445" s="9"/>
      <c r="K445" s="1"/>
      <c r="L445" s="556"/>
      <c r="M445" s="556"/>
      <c r="N445" s="556"/>
      <c r="O445" s="556"/>
      <c r="P445" s="556"/>
      <c r="Q445" s="556"/>
      <c r="R445" s="556"/>
      <c r="S445" s="556"/>
      <c r="T445" s="556"/>
      <c r="U445" s="556"/>
      <c r="V445" s="556"/>
      <c r="W445" s="319">
        <v>111400</v>
      </c>
    </row>
    <row r="446" spans="1:23" ht="12.75" hidden="1" customHeight="1">
      <c r="A446" s="14"/>
      <c r="B446" s="15"/>
      <c r="C446" s="15"/>
      <c r="D446" s="15"/>
      <c r="E446" s="15"/>
      <c r="F446" s="15"/>
      <c r="G446" s="15"/>
      <c r="H446" s="15"/>
      <c r="I446" s="15"/>
      <c r="J446" s="11"/>
      <c r="K446" s="1"/>
      <c r="L446" s="319"/>
      <c r="M446" s="319"/>
      <c r="N446" s="319"/>
      <c r="O446" s="319"/>
      <c r="P446" s="319"/>
      <c r="Q446" s="319"/>
      <c r="R446" s="319"/>
      <c r="S446" s="319"/>
      <c r="T446" s="319"/>
      <c r="U446" s="319"/>
      <c r="V446" s="319"/>
      <c r="W446" s="319">
        <v>111400</v>
      </c>
    </row>
    <row r="447" spans="1:23" ht="12.75" hidden="1" customHeight="1">
      <c r="A447" s="1"/>
      <c r="B447" s="1"/>
      <c r="C447" s="1"/>
      <c r="D447" s="1"/>
      <c r="E447" s="1"/>
      <c r="F447" s="1"/>
      <c r="G447" s="1"/>
      <c r="H447" s="1"/>
      <c r="I447" s="1"/>
      <c r="J447" s="1"/>
      <c r="K447" s="1"/>
      <c r="L447" s="319"/>
      <c r="M447" s="319"/>
      <c r="N447" s="319"/>
      <c r="O447" s="319"/>
      <c r="P447" s="319"/>
      <c r="Q447" s="319"/>
      <c r="R447" s="319"/>
      <c r="S447" s="319"/>
      <c r="T447" s="319"/>
      <c r="U447" s="319"/>
      <c r="V447" s="319"/>
      <c r="W447" s="319">
        <v>110000</v>
      </c>
    </row>
    <row r="448" spans="1:23" ht="12.75" hidden="1" customHeight="1">
      <c r="A448" s="1203" t="str">
        <f>Language!C1442</f>
        <v>Combustível definido pelo usuário</v>
      </c>
      <c r="B448" s="1204"/>
      <c r="C448" s="192"/>
      <c r="D448" s="192"/>
      <c r="E448" s="192"/>
      <c r="F448" s="192"/>
      <c r="G448" s="192"/>
      <c r="H448" s="192"/>
      <c r="I448" s="192"/>
      <c r="J448" s="193"/>
      <c r="K448" s="1"/>
      <c r="L448" s="319"/>
      <c r="M448" s="319"/>
      <c r="N448" s="319"/>
      <c r="O448" s="319"/>
      <c r="P448" s="319"/>
      <c r="Q448" s="319"/>
      <c r="R448" s="319"/>
      <c r="S448" s="319"/>
      <c r="T448" s="319"/>
      <c r="U448" s="319"/>
      <c r="V448" s="319"/>
      <c r="W448" s="319">
        <v>111500</v>
      </c>
    </row>
    <row r="449" spans="1:23" ht="12.75" hidden="1" customHeight="1">
      <c r="A449" s="12"/>
      <c r="B449" s="8"/>
      <c r="C449" s="8"/>
      <c r="D449" s="8"/>
      <c r="E449" s="8"/>
      <c r="F449" s="8"/>
      <c r="G449" s="8"/>
      <c r="H449" s="8"/>
      <c r="I449" s="8"/>
      <c r="J449" s="9"/>
      <c r="K449" s="1"/>
      <c r="L449" s="319"/>
      <c r="M449" s="319"/>
      <c r="N449" s="319"/>
      <c r="O449" s="319"/>
      <c r="P449" s="319"/>
      <c r="Q449" s="319"/>
      <c r="R449" s="319"/>
      <c r="S449" s="319"/>
      <c r="T449" s="319"/>
      <c r="U449" s="319"/>
      <c r="V449" s="319"/>
      <c r="W449" s="319">
        <v>111500</v>
      </c>
    </row>
    <row r="450" spans="1:23" ht="12.75" hidden="1" customHeight="1">
      <c r="A450" s="12"/>
      <c r="B450" s="8" t="str">
        <f>B502</f>
        <v>Tipo de Combustível</v>
      </c>
      <c r="C450" s="8"/>
      <c r="D450" s="21" t="str">
        <f>D11</f>
        <v>Combustível definido pelo usuário</v>
      </c>
      <c r="E450" s="8"/>
      <c r="F450" s="8"/>
      <c r="G450" s="8"/>
      <c r="H450" s="8"/>
      <c r="I450" s="8"/>
      <c r="J450" s="9"/>
      <c r="K450" s="1"/>
      <c r="L450" s="319"/>
      <c r="M450" s="3" t="b">
        <v>0</v>
      </c>
      <c r="N450" s="319"/>
      <c r="O450" s="319"/>
      <c r="P450" s="319"/>
      <c r="Q450" s="319"/>
      <c r="R450" s="319"/>
      <c r="S450" s="319"/>
      <c r="T450" s="319"/>
      <c r="U450" s="319"/>
      <c r="V450" s="319"/>
      <c r="W450" s="319">
        <v>111502</v>
      </c>
    </row>
    <row r="451" spans="1:23" ht="12.75" hidden="1" customHeight="1">
      <c r="A451" s="12"/>
      <c r="B451" s="8"/>
      <c r="C451" s="1152"/>
      <c r="D451" s="1153"/>
      <c r="E451" s="1154"/>
      <c r="F451" s="8"/>
      <c r="G451" s="8"/>
      <c r="H451" s="8"/>
      <c r="I451" s="8"/>
      <c r="J451" s="9"/>
      <c r="K451" s="1"/>
      <c r="L451" s="319">
        <f>1/VLOOKUP(D456,E757:F767,2,FALSE)/1000</f>
        <v>1E-3</v>
      </c>
      <c r="M451" s="3" t="b">
        <v>0</v>
      </c>
      <c r="N451" s="319"/>
      <c r="O451" s="319"/>
      <c r="P451" s="319"/>
      <c r="Q451" s="319"/>
      <c r="R451" s="319"/>
      <c r="S451" s="319"/>
      <c r="T451" s="319"/>
      <c r="U451" s="319"/>
      <c r="V451" s="319"/>
      <c r="W451" s="319">
        <v>111502</v>
      </c>
    </row>
    <row r="452" spans="1:23" ht="12.75" hidden="1" customHeight="1">
      <c r="A452" s="12"/>
      <c r="B452" s="8"/>
      <c r="C452" s="8"/>
      <c r="D452" s="8"/>
      <c r="E452" s="8"/>
      <c r="F452" s="8"/>
      <c r="G452" s="8"/>
      <c r="H452" s="8"/>
      <c r="I452" s="8"/>
      <c r="J452" s="9"/>
      <c r="K452" s="1"/>
      <c r="L452" s="319"/>
      <c r="M452" s="319"/>
      <c r="N452" s="319"/>
      <c r="O452" s="319"/>
      <c r="P452" s="319"/>
      <c r="Q452" s="319"/>
      <c r="R452" s="319"/>
      <c r="S452" s="319"/>
      <c r="T452" s="319"/>
      <c r="U452" s="319"/>
      <c r="V452" s="319"/>
      <c r="W452" s="319">
        <v>111502</v>
      </c>
    </row>
    <row r="453" spans="1:23" ht="12.75" hidden="1" customHeight="1">
      <c r="A453" s="12"/>
      <c r="B453" s="8"/>
      <c r="C453" s="1010" t="s">
        <v>943</v>
      </c>
      <c r="D453" s="330" t="str">
        <f>Language!C751</f>
        <v>Unidades de energia</v>
      </c>
      <c r="E453" s="8"/>
      <c r="F453" s="8"/>
      <c r="G453" s="8"/>
      <c r="H453" s="8"/>
      <c r="I453" s="8"/>
      <c r="J453" s="9"/>
      <c r="K453" s="1"/>
      <c r="L453" s="319"/>
      <c r="M453" s="319"/>
      <c r="N453" s="319"/>
      <c r="O453" s="319"/>
      <c r="P453" s="319"/>
      <c r="Q453" s="319"/>
      <c r="R453" s="319"/>
      <c r="S453" s="319"/>
      <c r="T453" s="319"/>
      <c r="U453" s="319"/>
      <c r="V453" s="319"/>
      <c r="W453" s="319">
        <v>111502</v>
      </c>
    </row>
    <row r="454" spans="1:23" ht="12.75" hidden="1" customHeight="1">
      <c r="A454" s="12"/>
      <c r="B454" s="8"/>
      <c r="C454" s="1010" t="s">
        <v>943</v>
      </c>
      <c r="D454" s="330" t="str">
        <f>Language!C752</f>
        <v>Unidades de poder calorífico</v>
      </c>
      <c r="E454" s="8"/>
      <c r="F454" s="8"/>
      <c r="G454" s="8"/>
      <c r="H454" s="8"/>
      <c r="I454" s="8"/>
      <c r="J454" s="9"/>
      <c r="K454" s="1"/>
      <c r="L454" s="319"/>
      <c r="M454" s="319"/>
      <c r="N454" s="319"/>
      <c r="O454" s="319"/>
      <c r="P454" s="319"/>
      <c r="Q454" s="319"/>
      <c r="R454" s="319"/>
      <c r="S454" s="319"/>
      <c r="T454" s="319"/>
      <c r="U454" s="319"/>
      <c r="V454" s="319"/>
      <c r="W454" s="319">
        <v>111502</v>
      </c>
    </row>
    <row r="455" spans="1:23" ht="12.75" hidden="1" customHeight="1">
      <c r="A455" s="12"/>
      <c r="B455" s="8"/>
      <c r="C455" s="8"/>
      <c r="D455" s="8"/>
      <c r="E455" s="8"/>
      <c r="F455" s="8"/>
      <c r="G455" s="8"/>
      <c r="H455" s="8"/>
      <c r="I455" s="8"/>
      <c r="J455" s="9"/>
      <c r="K455" s="1"/>
      <c r="L455" s="319"/>
      <c r="M455" s="319"/>
      <c r="N455" s="319"/>
      <c r="O455" s="319"/>
      <c r="P455" s="319"/>
      <c r="Q455" s="319"/>
      <c r="R455" s="319"/>
      <c r="S455" s="319"/>
      <c r="T455" s="319"/>
      <c r="U455" s="319"/>
      <c r="V455" s="319"/>
      <c r="W455" s="319">
        <v>111500</v>
      </c>
    </row>
    <row r="456" spans="1:23" ht="12.75" hidden="1" customHeight="1">
      <c r="A456" s="12"/>
      <c r="B456" s="8" t="str">
        <f>B461</f>
        <v>Consumo de combustível - unitário</v>
      </c>
      <c r="C456" s="8"/>
      <c r="D456" s="303" t="s">
        <v>3202</v>
      </c>
      <c r="E456" s="8"/>
      <c r="F456" s="8"/>
      <c r="G456" s="8"/>
      <c r="H456" s="8"/>
      <c r="I456" s="8"/>
      <c r="J456" s="9"/>
      <c r="K456" s="1"/>
      <c r="L456" s="319"/>
      <c r="M456" s="319"/>
      <c r="N456" s="319"/>
      <c r="O456" s="319"/>
      <c r="P456" s="319"/>
      <c r="Q456" s="319"/>
      <c r="R456" s="319"/>
      <c r="S456" s="319"/>
      <c r="T456" s="319"/>
      <c r="U456" s="319"/>
      <c r="V456" s="319"/>
      <c r="W456" s="319">
        <v>111510</v>
      </c>
    </row>
    <row r="457" spans="1:23" ht="12.75" hidden="1" customHeight="1">
      <c r="A457" s="12"/>
      <c r="B457" s="8" t="str">
        <f>B515</f>
        <v>Poder calorífico superior (PCS)</v>
      </c>
      <c r="C457" s="303" t="s">
        <v>5230</v>
      </c>
      <c r="D457" s="399"/>
      <c r="E457" s="8"/>
      <c r="F457" s="8"/>
      <c r="G457" s="8"/>
      <c r="H457" s="8"/>
      <c r="I457" s="8"/>
      <c r="J457" s="9"/>
      <c r="K457" s="1"/>
      <c r="L457" s="319">
        <f>IF(ISERROR(IF($M$450=TRUE,$L$451,IF(C457=$E$669,D457/$F$705,IF(C457=$E$670,D457/$F$760/$L$459*1000,D457/$L$459)))),0,IF($M$450=TRUE,$L$451,IF(C457=$E$669,D457/$F$705,IF(C457=$E$670,D457/$F$760/$L$459*1000,D457/$L$459))))</f>
        <v>0</v>
      </c>
      <c r="M457" s="319" t="s">
        <v>5376</v>
      </c>
      <c r="N457" s="319" t="str">
        <f t="shared" ref="N457:N463" si="27">E664</f>
        <v>MJ/t</v>
      </c>
      <c r="O457" s="319">
        <v>1000</v>
      </c>
      <c r="P457" s="319"/>
      <c r="Q457" s="319"/>
      <c r="R457" s="319"/>
      <c r="S457" s="319"/>
      <c r="T457" s="319"/>
      <c r="U457" s="319"/>
      <c r="V457" s="319"/>
      <c r="W457" s="319">
        <v>111504</v>
      </c>
    </row>
    <row r="458" spans="1:23" ht="12.75" hidden="1" customHeight="1">
      <c r="A458" s="12"/>
      <c r="B458" s="8" t="str">
        <f>B516</f>
        <v>Poder Calorífico Inferior (PCI)</v>
      </c>
      <c r="C458" s="303" t="s">
        <v>5376</v>
      </c>
      <c r="D458" s="395">
        <v>20</v>
      </c>
      <c r="E458" s="1"/>
      <c r="F458" s="8"/>
      <c r="G458" s="8"/>
      <c r="H458" s="8"/>
      <c r="I458" s="8"/>
      <c r="J458" s="9"/>
      <c r="K458" s="1"/>
      <c r="L458" s="319">
        <f>IF(ISERROR(IF($M$450=TRUE,$L$451,IF(C458=$E$669,D458/$F$705,IF(C458=$E$670,D458/$F$760/$L$459*1000,D458/$L$459)))),0,IF($M$450=TRUE,$L$451,IF(C458=$E$669,D458/$F$705,IF(C458=$E$670,D458/$F$760/$L$459*1000,D458/$L$459))))</f>
        <v>20</v>
      </c>
      <c r="M458" s="319" t="s">
        <v>5376</v>
      </c>
      <c r="N458" s="319" t="str">
        <f t="shared" si="27"/>
        <v>MJ/kg</v>
      </c>
      <c r="O458" s="319">
        <v>1</v>
      </c>
      <c r="P458" s="319"/>
      <c r="Q458" s="319"/>
      <c r="R458" s="319"/>
      <c r="S458" s="319"/>
      <c r="T458" s="319"/>
      <c r="U458" s="319"/>
      <c r="V458" s="319"/>
      <c r="W458" s="319">
        <v>111506</v>
      </c>
    </row>
    <row r="459" spans="1:23" ht="12.75" hidden="1" customHeight="1">
      <c r="A459" s="12"/>
      <c r="B459" s="8"/>
      <c r="C459" s="21"/>
      <c r="D459" s="1"/>
      <c r="E459" s="8"/>
      <c r="F459" s="8"/>
      <c r="G459" s="8"/>
      <c r="H459" s="8"/>
      <c r="I459" s="8"/>
      <c r="J459" s="9"/>
      <c r="K459" s="1"/>
      <c r="L459" s="319">
        <f>IF(M450=TRUE,1,IF(EMHV=1,VLOOKUP(C457,N457:O463,2,FALSE),VLOOKUP(C458,N457:O463,2,FALSE)))</f>
        <v>1</v>
      </c>
      <c r="M459" s="319" t="str">
        <f>C460</f>
        <v>kg/kg</v>
      </c>
      <c r="N459" s="319" t="str">
        <f t="shared" si="27"/>
        <v>MJ/L</v>
      </c>
      <c r="O459" s="319">
        <f>D460</f>
        <v>0</v>
      </c>
      <c r="P459" s="319"/>
      <c r="Q459" s="319"/>
      <c r="R459" s="319"/>
      <c r="S459" s="319"/>
      <c r="T459" s="319"/>
      <c r="U459" s="319"/>
      <c r="V459" s="319"/>
      <c r="W459" s="319">
        <v>111500</v>
      </c>
    </row>
    <row r="460" spans="1:23" ht="12.75" hidden="1" customHeight="1">
      <c r="A460" s="12"/>
      <c r="B460" s="8" t="str">
        <f>IF(OR(C457=E664,C457=E665,C457=E669),A291,B492)</f>
        <v>Densidade</v>
      </c>
      <c r="C460" s="21" t="str">
        <f>Language!C1352&amp;"/"&amp;D461</f>
        <v>kg/kg</v>
      </c>
      <c r="D460" s="399"/>
      <c r="E460" s="8"/>
      <c r="F460" s="8"/>
      <c r="G460" s="8"/>
      <c r="H460" s="8"/>
      <c r="I460" s="8"/>
      <c r="J460" s="9"/>
      <c r="K460" s="1"/>
      <c r="L460" s="319" t="b">
        <f>IF(EMHV=1,IF(OR(C457=E664,C457=E665,C457=E669),TRUE,FALSE),IF(OR(C458=E664,C458=E665,C458=E669),TRUE,FALSE))</f>
        <v>1</v>
      </c>
      <c r="M460" s="319"/>
      <c r="N460" s="319" t="str">
        <f t="shared" si="27"/>
        <v>MJ/m³</v>
      </c>
      <c r="O460" s="319">
        <f>$O$459</f>
        <v>0</v>
      </c>
      <c r="P460" s="319"/>
      <c r="Q460" s="319"/>
      <c r="R460" s="319"/>
      <c r="S460" s="319"/>
      <c r="T460" s="319"/>
      <c r="U460" s="319"/>
      <c r="V460" s="319"/>
      <c r="W460" s="319">
        <v>111508</v>
      </c>
    </row>
    <row r="461" spans="1:23" ht="12.75" hidden="1" customHeight="1">
      <c r="A461" s="12"/>
      <c r="B461" s="8" t="str">
        <f>B518</f>
        <v>Consumo de combustível - unitário</v>
      </c>
      <c r="C461" s="8"/>
      <c r="D461" s="21" t="str">
        <f>IF(M450=TRUE,D456,IF(EMHV=1,VLOOKUP($C$457,$E$664:$G$670,2,FALSE),VLOOKUP($C$458,$E$664:$G$670,2,FALSE)))</f>
        <v>kg</v>
      </c>
      <c r="E461" s="8"/>
      <c r="F461" s="8"/>
      <c r="G461" s="8"/>
      <c r="H461" s="8"/>
      <c r="I461" s="8"/>
      <c r="J461" s="9"/>
      <c r="K461" s="1"/>
      <c r="L461" s="319"/>
      <c r="M461" s="319" t="s">
        <v>2745</v>
      </c>
      <c r="N461" s="319" t="str">
        <f t="shared" si="27"/>
        <v>MJ/gal</v>
      </c>
      <c r="O461" s="319">
        <f>$O$459</f>
        <v>0</v>
      </c>
      <c r="P461" s="319"/>
      <c r="Q461" s="319"/>
      <c r="R461" s="319"/>
      <c r="S461" s="319"/>
      <c r="T461" s="319"/>
      <c r="U461" s="319"/>
      <c r="V461" s="319"/>
      <c r="W461" s="319">
        <v>111510</v>
      </c>
    </row>
    <row r="462" spans="1:23" ht="12.75" hidden="1" customHeight="1">
      <c r="A462" s="12"/>
      <c r="B462" s="8" t="str">
        <f>B519</f>
        <v>Preço combustível - unidade</v>
      </c>
      <c r="C462" s="8"/>
      <c r="D462" s="21" t="str">
        <f>IF(M450=TRUE,Currency&amp;"/"&amp;D456,IF(EMHV=1,VLOOKUP($C$457,$E$664:$G$670,3,FALSE),VLOOKUP($C$458,$E$664:$G$670,3,FALSE)))</f>
        <v>€/kg</v>
      </c>
      <c r="E462" s="21"/>
      <c r="F462" s="8"/>
      <c r="G462" s="8"/>
      <c r="H462" s="8"/>
      <c r="I462" s="8"/>
      <c r="J462" s="9"/>
      <c r="K462" s="1"/>
      <c r="L462" s="319"/>
      <c r="M462" s="319"/>
      <c r="N462" s="319" t="str">
        <f t="shared" si="27"/>
        <v>Btu/lb</v>
      </c>
      <c r="O462" s="319">
        <f>G719</f>
        <v>0.45359237000000002</v>
      </c>
      <c r="P462" s="319"/>
      <c r="Q462" s="319"/>
      <c r="R462" s="319"/>
      <c r="S462" s="319"/>
      <c r="T462" s="319"/>
      <c r="U462" s="319"/>
      <c r="V462" s="319"/>
      <c r="W462" s="319">
        <v>111516</v>
      </c>
    </row>
    <row r="463" spans="1:23" ht="12.75" hidden="1" customHeight="1">
      <c r="A463" s="12"/>
      <c r="B463" s="8"/>
      <c r="C463" s="8"/>
      <c r="D463" s="8"/>
      <c r="E463" s="21"/>
      <c r="F463" s="8"/>
      <c r="G463" s="8"/>
      <c r="H463" s="8"/>
      <c r="I463" s="8"/>
      <c r="J463" s="9"/>
      <c r="K463" s="1"/>
      <c r="L463" s="319"/>
      <c r="M463" s="319"/>
      <c r="N463" s="319" t="str">
        <f t="shared" si="27"/>
        <v>milhão Btu/pe³</v>
      </c>
      <c r="O463" s="319">
        <f>O459</f>
        <v>0</v>
      </c>
      <c r="P463" s="319"/>
      <c r="Q463" s="319"/>
      <c r="R463" s="319"/>
      <c r="S463" s="319"/>
      <c r="T463" s="319"/>
      <c r="U463" s="319"/>
      <c r="V463" s="319"/>
      <c r="W463" s="319">
        <v>111500</v>
      </c>
    </row>
    <row r="464" spans="1:23" ht="12.75" hidden="1" customHeight="1">
      <c r="A464" s="12"/>
      <c r="B464" s="8" t="str">
        <f>Language!C756</f>
        <v>Fator de emissão de CO2</v>
      </c>
      <c r="C464" s="21" t="str">
        <f>$C$521</f>
        <v>kg/GJ</v>
      </c>
      <c r="D464" s="382"/>
      <c r="E464" s="303"/>
      <c r="F464" s="8"/>
      <c r="G464" s="8"/>
      <c r="H464" s="8"/>
      <c r="I464" s="8"/>
      <c r="J464" s="9"/>
      <c r="K464" s="1"/>
      <c r="L464" s="319"/>
      <c r="M464" s="319"/>
      <c r="N464" s="319"/>
      <c r="O464" s="319"/>
      <c r="P464" s="319"/>
      <c r="Q464" s="319"/>
      <c r="R464" s="319"/>
      <c r="S464" s="319"/>
      <c r="T464" s="319"/>
      <c r="U464" s="319"/>
      <c r="V464" s="319"/>
      <c r="W464" s="319">
        <v>111518</v>
      </c>
    </row>
    <row r="465" spans="1:23" ht="12.75" hidden="1" customHeight="1">
      <c r="A465" s="12"/>
      <c r="B465" s="8" t="str">
        <f>Language!C757</f>
        <v>Fator de emissão de CH4</v>
      </c>
      <c r="C465" s="21" t="str">
        <f>$C$521</f>
        <v>kg/GJ</v>
      </c>
      <c r="D465" s="456"/>
      <c r="E465" s="303"/>
      <c r="F465" s="8"/>
      <c r="G465" s="8"/>
      <c r="H465" s="8"/>
      <c r="I465" s="8"/>
      <c r="J465" s="9"/>
      <c r="K465" s="1"/>
      <c r="L465" s="319"/>
      <c r="M465" s="319"/>
      <c r="N465" s="319"/>
      <c r="O465" s="319"/>
      <c r="P465" s="319"/>
      <c r="Q465" s="319"/>
      <c r="R465" s="319"/>
      <c r="S465" s="319"/>
      <c r="T465" s="319"/>
      <c r="U465" s="319"/>
      <c r="V465" s="319"/>
      <c r="W465" s="319">
        <v>111520</v>
      </c>
    </row>
    <row r="466" spans="1:23" ht="12.75" hidden="1" customHeight="1">
      <c r="A466" s="12"/>
      <c r="B466" s="8" t="str">
        <f>Language!C758</f>
        <v>Fator de emissão de N2O</v>
      </c>
      <c r="C466" s="21" t="str">
        <f>$C$521</f>
        <v>kg/GJ</v>
      </c>
      <c r="D466" s="456"/>
      <c r="E466" s="303"/>
      <c r="F466" s="8"/>
      <c r="G466" s="8"/>
      <c r="H466" s="8"/>
      <c r="I466" s="8"/>
      <c r="J466" s="9"/>
      <c r="K466" s="1"/>
      <c r="L466" s="319"/>
      <c r="M466" s="319"/>
      <c r="N466" s="319"/>
      <c r="O466" s="319"/>
      <c r="P466" s="319"/>
      <c r="Q466" s="319"/>
      <c r="R466" s="319"/>
      <c r="S466" s="319"/>
      <c r="T466" s="319"/>
      <c r="U466" s="319"/>
      <c r="V466" s="319"/>
      <c r="W466" s="319">
        <v>111522</v>
      </c>
    </row>
    <row r="467" spans="1:23" ht="12.75" hidden="1" customHeight="1">
      <c r="A467" s="14"/>
      <c r="B467" s="15"/>
      <c r="C467" s="15"/>
      <c r="D467" s="15"/>
      <c r="E467" s="15"/>
      <c r="F467" s="15"/>
      <c r="G467" s="15"/>
      <c r="H467" s="15"/>
      <c r="I467" s="15"/>
      <c r="J467" s="11"/>
      <c r="K467" s="1"/>
      <c r="L467" s="319"/>
      <c r="M467" s="319"/>
      <c r="N467" s="319"/>
      <c r="O467" s="319"/>
      <c r="P467" s="319"/>
      <c r="Q467" s="319"/>
      <c r="R467" s="319"/>
      <c r="S467" s="319"/>
      <c r="T467" s="319"/>
      <c r="U467" s="319"/>
      <c r="V467" s="319"/>
      <c r="W467" s="319">
        <v>111500</v>
      </c>
    </row>
    <row r="468" spans="1:23" ht="12.75" hidden="1" customHeight="1">
      <c r="A468" s="46"/>
      <c r="B468" s="8"/>
      <c r="C468" s="8"/>
      <c r="D468" s="8"/>
      <c r="E468" s="8"/>
      <c r="F468" s="8"/>
      <c r="G468" s="8"/>
      <c r="H468" s="8"/>
      <c r="I468" s="8"/>
      <c r="J468" s="8"/>
      <c r="K468" s="1"/>
      <c r="L468" s="319"/>
      <c r="M468" s="319"/>
      <c r="N468" s="319"/>
      <c r="O468" s="319"/>
      <c r="P468" s="319"/>
      <c r="Q468" s="319"/>
      <c r="R468" s="319"/>
      <c r="S468" s="319"/>
      <c r="T468" s="319"/>
      <c r="U468" s="319"/>
      <c r="V468" s="319"/>
      <c r="W468" s="319">
        <v>110000</v>
      </c>
    </row>
    <row r="469" spans="1:23" ht="12.75" hidden="1" customHeight="1">
      <c r="A469" s="1203" t="str">
        <f>Language!C1443</f>
        <v>Combustível definido pelo usuário - gás</v>
      </c>
      <c r="B469" s="1204"/>
      <c r="C469" s="147"/>
      <c r="D469" s="147"/>
      <c r="E469" s="147"/>
      <c r="F469" s="147"/>
      <c r="G469" s="147"/>
      <c r="H469" s="147"/>
      <c r="I469" s="147"/>
      <c r="J469" s="148"/>
      <c r="K469" s="1"/>
      <c r="L469" s="319"/>
      <c r="M469" s="319"/>
      <c r="N469" s="319"/>
      <c r="O469" s="319"/>
      <c r="P469" s="319"/>
      <c r="Q469" s="319"/>
      <c r="R469" s="319"/>
      <c r="S469" s="319"/>
      <c r="T469" s="319"/>
      <c r="U469" s="319"/>
      <c r="V469" s="319"/>
      <c r="W469" s="319">
        <v>111600</v>
      </c>
    </row>
    <row r="470" spans="1:23" ht="12.75" hidden="1" customHeight="1">
      <c r="A470" s="12"/>
      <c r="B470" s="8"/>
      <c r="C470" s="8"/>
      <c r="D470" s="8"/>
      <c r="E470" s="8"/>
      <c r="F470" s="8"/>
      <c r="G470" s="8"/>
      <c r="H470" s="8"/>
      <c r="I470" s="8"/>
      <c r="J470" s="9"/>
      <c r="K470" s="1"/>
      <c r="L470" s="319"/>
      <c r="M470" s="319"/>
      <c r="N470" s="319"/>
      <c r="O470" s="319"/>
      <c r="P470" s="319"/>
      <c r="Q470" s="319"/>
      <c r="R470" s="319"/>
      <c r="S470" s="319"/>
      <c r="T470" s="319"/>
      <c r="U470" s="319"/>
      <c r="V470" s="319"/>
      <c r="W470" s="319">
        <v>111600</v>
      </c>
    </row>
    <row r="471" spans="1:23" ht="12.75" hidden="1" customHeight="1">
      <c r="A471" s="12"/>
      <c r="B471" s="8" t="str">
        <f>B502</f>
        <v>Tipo de Combustível</v>
      </c>
      <c r="C471" s="1139" t="str">
        <f>Language!C1443</f>
        <v>Combustível definido pelo usuário - gás</v>
      </c>
      <c r="D471" s="1139"/>
      <c r="E471" s="1139"/>
      <c r="F471" s="8"/>
      <c r="G471" s="8"/>
      <c r="H471" s="8"/>
      <c r="I471" s="8"/>
      <c r="J471" s="9"/>
      <c r="K471" s="1"/>
      <c r="L471" s="319"/>
      <c r="M471" s="319"/>
      <c r="N471" s="319"/>
      <c r="O471" s="319"/>
      <c r="P471" s="319"/>
      <c r="Q471" s="319"/>
      <c r="R471" s="319"/>
      <c r="S471" s="319"/>
      <c r="T471" s="319"/>
      <c r="U471" s="319"/>
      <c r="V471" s="319"/>
      <c r="W471" s="319">
        <v>111602</v>
      </c>
    </row>
    <row r="472" spans="1:23" ht="12.75" hidden="1" customHeight="1">
      <c r="A472" s="12"/>
      <c r="B472" s="8"/>
      <c r="C472" s="1152"/>
      <c r="D472" s="1153"/>
      <c r="E472" s="1154"/>
      <c r="F472" s="8"/>
      <c r="G472" s="8"/>
      <c r="H472" s="8"/>
      <c r="I472" s="8"/>
      <c r="J472" s="9"/>
      <c r="K472" s="1"/>
      <c r="L472" s="319"/>
      <c r="M472" s="3" t="b">
        <v>0</v>
      </c>
      <c r="N472" s="319"/>
      <c r="O472" s="319"/>
      <c r="P472" s="319"/>
      <c r="Q472" s="319"/>
      <c r="R472" s="319"/>
      <c r="S472" s="319"/>
      <c r="T472" s="319"/>
      <c r="U472" s="319"/>
      <c r="V472" s="319"/>
      <c r="W472" s="319">
        <v>111602</v>
      </c>
    </row>
    <row r="473" spans="1:23" ht="12.75" hidden="1" customHeight="1">
      <c r="A473" s="12"/>
      <c r="B473" s="8" t="str">
        <f>Language!C443</f>
        <v>Temperatura</v>
      </c>
      <c r="C473" s="306"/>
      <c r="D473" s="306"/>
      <c r="E473" s="8"/>
      <c r="F473" s="8"/>
      <c r="G473" s="8"/>
      <c r="H473" s="8"/>
      <c r="I473" s="8"/>
      <c r="J473" s="9"/>
      <c r="K473" s="1"/>
      <c r="L473" s="319"/>
      <c r="M473" s="3" t="b">
        <v>0</v>
      </c>
      <c r="N473" s="319"/>
      <c r="O473" s="319"/>
      <c r="P473" s="319"/>
      <c r="Q473" s="319"/>
      <c r="R473" s="319"/>
      <c r="S473" s="319"/>
      <c r="T473" s="319"/>
      <c r="U473" s="319"/>
      <c r="V473" s="319"/>
      <c r="W473" s="319">
        <v>111604</v>
      </c>
    </row>
    <row r="474" spans="1:23" ht="12.75" hidden="1" customHeight="1">
      <c r="A474" s="12"/>
      <c r="B474" s="8"/>
      <c r="C474" s="1010" t="s">
        <v>943</v>
      </c>
      <c r="D474" s="330" t="str">
        <f>Language!C1307</f>
        <v>Volume%</v>
      </c>
      <c r="E474" s="8"/>
      <c r="F474" s="8"/>
      <c r="G474" s="8"/>
      <c r="H474" s="8"/>
      <c r="I474" s="8"/>
      <c r="J474" s="9"/>
      <c r="K474" s="1"/>
      <c r="L474" s="319"/>
      <c r="M474" s="319"/>
      <c r="N474" s="319"/>
      <c r="O474" s="319"/>
      <c r="P474" s="319"/>
      <c r="Q474" s="319"/>
      <c r="R474" s="319"/>
      <c r="S474" s="319"/>
      <c r="T474" s="319"/>
      <c r="U474" s="319"/>
      <c r="V474" s="319"/>
      <c r="W474" s="319">
        <v>111604</v>
      </c>
    </row>
    <row r="475" spans="1:23" ht="12.75" hidden="1" customHeight="1">
      <c r="A475" s="12"/>
      <c r="B475" s="8"/>
      <c r="C475" s="1010" t="s">
        <v>943</v>
      </c>
      <c r="D475" s="330" t="str">
        <f>Language!C1308</f>
        <v>% Peso</v>
      </c>
      <c r="E475" s="8"/>
      <c r="F475" s="8"/>
      <c r="G475" s="8"/>
      <c r="H475" s="8"/>
      <c r="I475" s="8"/>
      <c r="J475" s="9"/>
      <c r="K475" s="1"/>
      <c r="L475" s="319"/>
      <c r="M475" s="319"/>
      <c r="N475" s="319"/>
      <c r="O475" s="319"/>
      <c r="P475" s="319"/>
      <c r="Q475" s="319"/>
      <c r="R475" s="319"/>
      <c r="S475" s="319"/>
      <c r="T475" s="319"/>
      <c r="U475" s="319"/>
      <c r="V475" s="319"/>
      <c r="W475" s="319">
        <v>111604</v>
      </c>
    </row>
    <row r="476" spans="1:23" ht="12.75" hidden="1" customHeight="1">
      <c r="A476" s="12"/>
      <c r="B476" s="751" t="str">
        <f>B506</f>
        <v>Análise final</v>
      </c>
      <c r="C476" s="8"/>
      <c r="D476" s="8"/>
      <c r="E476" s="8"/>
      <c r="F476" s="8"/>
      <c r="G476" s="8"/>
      <c r="H476" s="8"/>
      <c r="I476" s="8"/>
      <c r="J476" s="9"/>
      <c r="K476" s="1"/>
      <c r="L476" s="319"/>
      <c r="M476" s="319"/>
      <c r="N476" s="319"/>
      <c r="O476" s="319"/>
      <c r="P476" s="319"/>
      <c r="Q476" s="319"/>
      <c r="R476" s="319"/>
      <c r="S476" s="319"/>
      <c r="T476" s="319"/>
      <c r="U476" s="319"/>
      <c r="V476" s="319"/>
      <c r="W476" s="319">
        <v>111606</v>
      </c>
    </row>
    <row r="477" spans="1:23" ht="12.75" hidden="1" customHeight="1">
      <c r="A477" s="12"/>
      <c r="B477" s="526" t="str">
        <f>Language!C759</f>
        <v>Metano</v>
      </c>
      <c r="C477" s="21" t="str">
        <f t="shared" ref="C477:C485" si="28">IF($M$472=TRUE,$B$667,$B$668)</f>
        <v>% Peso</v>
      </c>
      <c r="D477" s="422"/>
      <c r="E477" s="21" t="str">
        <f t="shared" ref="E477:E485" si="29">IF($M$472=TRUE,$B$668,$B$667)</f>
        <v>Volume%</v>
      </c>
      <c r="F477" s="227">
        <f t="shared" ref="F477:F485" si="30">IF($M$472=TRUE,G846,H846)</f>
        <v>0</v>
      </c>
      <c r="G477" s="8"/>
      <c r="H477" s="8"/>
      <c r="I477" s="8"/>
      <c r="J477" s="9"/>
      <c r="K477" s="1"/>
      <c r="L477" s="319"/>
      <c r="M477" s="319"/>
      <c r="N477" s="319"/>
      <c r="O477" s="319"/>
      <c r="P477" s="319"/>
      <c r="Q477" s="319"/>
      <c r="R477" s="319"/>
      <c r="S477" s="319"/>
      <c r="T477" s="319"/>
      <c r="U477" s="319"/>
      <c r="V477" s="319"/>
      <c r="W477" s="319">
        <v>111608</v>
      </c>
    </row>
    <row r="478" spans="1:23" ht="12.75" hidden="1" customHeight="1">
      <c r="A478" s="12"/>
      <c r="B478" s="526" t="str">
        <f>Language!C760</f>
        <v>Etano</v>
      </c>
      <c r="C478" s="21" t="str">
        <f t="shared" si="28"/>
        <v>% Peso</v>
      </c>
      <c r="D478" s="422"/>
      <c r="E478" s="21" t="str">
        <f t="shared" si="29"/>
        <v>Volume%</v>
      </c>
      <c r="F478" s="227">
        <f t="shared" si="30"/>
        <v>0</v>
      </c>
      <c r="G478" s="8"/>
      <c r="H478" s="8"/>
      <c r="I478" s="8"/>
      <c r="J478" s="9"/>
      <c r="K478" s="1"/>
      <c r="L478" s="319"/>
      <c r="M478" s="319"/>
      <c r="N478" s="319"/>
      <c r="O478" s="319"/>
      <c r="P478" s="319"/>
      <c r="Q478" s="319"/>
      <c r="R478" s="319"/>
      <c r="S478" s="319"/>
      <c r="T478" s="319"/>
      <c r="U478" s="319"/>
      <c r="V478" s="319"/>
      <c r="W478" s="319">
        <v>111610</v>
      </c>
    </row>
    <row r="479" spans="1:23" ht="12.75" hidden="1" customHeight="1">
      <c r="A479" s="12"/>
      <c r="B479" s="526" t="str">
        <f>Language!C1286</f>
        <v>Propano</v>
      </c>
      <c r="C479" s="21" t="str">
        <f t="shared" si="28"/>
        <v>% Peso</v>
      </c>
      <c r="D479" s="422">
        <v>1</v>
      </c>
      <c r="E479" s="21" t="str">
        <f t="shared" si="29"/>
        <v>Volume%</v>
      </c>
      <c r="F479" s="227">
        <f t="shared" si="30"/>
        <v>1</v>
      </c>
      <c r="G479" s="8"/>
      <c r="H479" s="8"/>
      <c r="I479" s="8"/>
      <c r="J479" s="9"/>
      <c r="K479" s="1"/>
      <c r="L479" s="319"/>
      <c r="M479" s="319"/>
      <c r="N479" s="319"/>
      <c r="O479" s="319"/>
      <c r="P479" s="319"/>
      <c r="Q479" s="319"/>
      <c r="R479" s="319"/>
      <c r="S479" s="319"/>
      <c r="T479" s="319"/>
      <c r="U479" s="319"/>
      <c r="V479" s="319"/>
      <c r="W479" s="319">
        <v>111612</v>
      </c>
    </row>
    <row r="480" spans="1:23" ht="12.75" hidden="1" customHeight="1">
      <c r="A480" s="12"/>
      <c r="B480" s="526" t="str">
        <f>Language!C761</f>
        <v>Monóxido de carbono</v>
      </c>
      <c r="C480" s="21" t="str">
        <f t="shared" si="28"/>
        <v>% Peso</v>
      </c>
      <c r="D480" s="422"/>
      <c r="E480" s="21" t="str">
        <f t="shared" si="29"/>
        <v>Volume%</v>
      </c>
      <c r="F480" s="227">
        <f t="shared" si="30"/>
        <v>0</v>
      </c>
      <c r="G480" s="8"/>
      <c r="H480" s="8"/>
      <c r="I480" s="8"/>
      <c r="J480" s="9"/>
      <c r="K480" s="1"/>
      <c r="L480" s="319"/>
      <c r="M480" s="319"/>
      <c r="N480" s="319"/>
      <c r="O480" s="319"/>
      <c r="P480" s="319"/>
      <c r="Q480" s="319"/>
      <c r="R480" s="319"/>
      <c r="S480" s="319"/>
      <c r="T480" s="319"/>
      <c r="U480" s="319"/>
      <c r="V480" s="319"/>
      <c r="W480" s="319">
        <v>111614</v>
      </c>
    </row>
    <row r="481" spans="1:23" ht="12.75" hidden="1" customHeight="1">
      <c r="A481" s="12"/>
      <c r="B481" s="526" t="str">
        <f>Language!C762</f>
        <v>Dióxido de carbono</v>
      </c>
      <c r="C481" s="21" t="str">
        <f t="shared" si="28"/>
        <v>% Peso</v>
      </c>
      <c r="D481" s="422"/>
      <c r="E481" s="21" t="str">
        <f t="shared" si="29"/>
        <v>Volume%</v>
      </c>
      <c r="F481" s="227">
        <f t="shared" si="30"/>
        <v>0</v>
      </c>
      <c r="G481" s="8"/>
      <c r="H481" s="8"/>
      <c r="I481" s="8"/>
      <c r="J481" s="9"/>
      <c r="K481" s="1"/>
      <c r="L481" s="319"/>
      <c r="M481" s="319"/>
      <c r="N481" s="319"/>
      <c r="O481" s="319"/>
      <c r="P481" s="319"/>
      <c r="Q481" s="319"/>
      <c r="R481" s="319"/>
      <c r="S481" s="319"/>
      <c r="T481" s="319"/>
      <c r="U481" s="319"/>
      <c r="V481" s="319"/>
      <c r="W481" s="319">
        <v>111616</v>
      </c>
    </row>
    <row r="482" spans="1:23" ht="12.75" hidden="1" customHeight="1">
      <c r="A482" s="12"/>
      <c r="B482" s="526" t="str">
        <f>Language!C763</f>
        <v>Sulfeto de hidrogênio</v>
      </c>
      <c r="C482" s="21" t="str">
        <f t="shared" si="28"/>
        <v>% Peso</v>
      </c>
      <c r="D482" s="422"/>
      <c r="E482" s="21" t="str">
        <f t="shared" si="29"/>
        <v>Volume%</v>
      </c>
      <c r="F482" s="227">
        <f t="shared" si="30"/>
        <v>0</v>
      </c>
      <c r="G482" s="8"/>
      <c r="H482" s="8"/>
      <c r="I482" s="8"/>
      <c r="J482" s="9"/>
      <c r="K482" s="1"/>
      <c r="L482" s="319"/>
      <c r="M482" s="319"/>
      <c r="N482" s="319"/>
      <c r="O482" s="319"/>
      <c r="P482" s="319"/>
      <c r="Q482" s="319"/>
      <c r="R482" s="319"/>
      <c r="S482" s="319"/>
      <c r="T482" s="319"/>
      <c r="U482" s="319"/>
      <c r="V482" s="319"/>
      <c r="W482" s="319">
        <v>111618</v>
      </c>
    </row>
    <row r="483" spans="1:23" ht="12.75" hidden="1" customHeight="1">
      <c r="A483" s="12"/>
      <c r="B483" s="526" t="str">
        <f>B508</f>
        <v>Hidrogênio</v>
      </c>
      <c r="C483" s="21" t="str">
        <f t="shared" si="28"/>
        <v>% Peso</v>
      </c>
      <c r="D483" s="422"/>
      <c r="E483" s="21" t="str">
        <f t="shared" si="29"/>
        <v>Volume%</v>
      </c>
      <c r="F483" s="227">
        <f t="shared" si="30"/>
        <v>0</v>
      </c>
      <c r="G483" s="8"/>
      <c r="H483" s="8"/>
      <c r="I483" s="8"/>
      <c r="J483" s="9"/>
      <c r="K483" s="1"/>
      <c r="L483" s="319"/>
      <c r="M483" s="319"/>
      <c r="N483" s="319"/>
      <c r="O483" s="319"/>
      <c r="P483" s="319"/>
      <c r="Q483" s="319"/>
      <c r="R483" s="319"/>
      <c r="S483" s="319"/>
      <c r="T483" s="319"/>
      <c r="U483" s="319"/>
      <c r="V483" s="319"/>
      <c r="W483" s="319">
        <v>111620</v>
      </c>
    </row>
    <row r="484" spans="1:23" ht="12.75" hidden="1" customHeight="1">
      <c r="A484" s="12"/>
      <c r="B484" s="526" t="str">
        <f>Language!C764</f>
        <v>Nitrogênio</v>
      </c>
      <c r="C484" s="21" t="str">
        <f t="shared" si="28"/>
        <v>% Peso</v>
      </c>
      <c r="D484" s="422"/>
      <c r="E484" s="21" t="str">
        <f t="shared" si="29"/>
        <v>Volume%</v>
      </c>
      <c r="F484" s="227">
        <f t="shared" si="30"/>
        <v>0</v>
      </c>
      <c r="G484" s="8"/>
      <c r="H484" s="8"/>
      <c r="I484" s="8"/>
      <c r="J484" s="9"/>
      <c r="K484" s="1"/>
      <c r="L484" s="319"/>
      <c r="M484" s="319"/>
      <c r="N484" s="319"/>
      <c r="O484" s="319"/>
      <c r="P484" s="319"/>
      <c r="Q484" s="319"/>
      <c r="R484" s="319"/>
      <c r="S484" s="319"/>
      <c r="T484" s="319"/>
      <c r="U484" s="319"/>
      <c r="V484" s="319"/>
      <c r="W484" s="319">
        <v>111622</v>
      </c>
    </row>
    <row r="485" spans="1:23" ht="12.75" hidden="1" customHeight="1">
      <c r="A485" s="12"/>
      <c r="B485" s="526" t="str">
        <f>Language!C765</f>
        <v>Oxigênio</v>
      </c>
      <c r="C485" s="21" t="str">
        <f t="shared" si="28"/>
        <v>% Peso</v>
      </c>
      <c r="D485" s="422"/>
      <c r="E485" s="21" t="str">
        <f t="shared" si="29"/>
        <v>Volume%</v>
      </c>
      <c r="F485" s="227">
        <f t="shared" si="30"/>
        <v>0</v>
      </c>
      <c r="G485" s="8"/>
      <c r="H485" s="8"/>
      <c r="I485" s="8"/>
      <c r="J485" s="9"/>
      <c r="K485" s="1"/>
      <c r="L485" s="319"/>
      <c r="M485" s="319"/>
      <c r="N485" s="319"/>
      <c r="O485" s="319"/>
      <c r="P485" s="319"/>
      <c r="Q485" s="319"/>
      <c r="R485" s="319"/>
      <c r="S485" s="319"/>
      <c r="T485" s="319"/>
      <c r="U485" s="319"/>
      <c r="V485" s="319"/>
      <c r="W485" s="319">
        <v>111624</v>
      </c>
    </row>
    <row r="486" spans="1:23" ht="12.75" hidden="1" customHeight="1">
      <c r="A486" s="12"/>
      <c r="B486" s="8"/>
      <c r="C486" s="21" t="str">
        <f>C513</f>
        <v>Total</v>
      </c>
      <c r="D486" s="227">
        <f>SUM(D477:D485)</f>
        <v>1</v>
      </c>
      <c r="E486" s="8"/>
      <c r="F486" s="21"/>
      <c r="G486" s="8"/>
      <c r="H486" s="8"/>
      <c r="I486" s="8"/>
      <c r="J486" s="9"/>
      <c r="K486" s="1"/>
      <c r="L486" s="319"/>
      <c r="M486" s="319"/>
      <c r="N486" s="319"/>
      <c r="O486" s="319"/>
      <c r="P486" s="319"/>
      <c r="Q486" s="319"/>
      <c r="R486" s="319"/>
      <c r="S486" s="319"/>
      <c r="T486" s="319"/>
      <c r="U486" s="319"/>
      <c r="V486" s="319"/>
      <c r="W486" s="319">
        <v>111626</v>
      </c>
    </row>
    <row r="487" spans="1:23" ht="12.75" hidden="1" customHeight="1">
      <c r="A487" s="12"/>
      <c r="B487" s="8"/>
      <c r="C487" s="8"/>
      <c r="D487" s="8"/>
      <c r="E487" s="8"/>
      <c r="F487" s="21"/>
      <c r="G487" s="8"/>
      <c r="H487" s="8"/>
      <c r="I487" s="8"/>
      <c r="J487" s="9"/>
      <c r="K487" s="1"/>
      <c r="L487" s="319"/>
      <c r="M487" s="319"/>
      <c r="N487" s="319"/>
      <c r="O487" s="319"/>
      <c r="P487" s="319"/>
      <c r="Q487" s="319"/>
      <c r="R487" s="319"/>
      <c r="S487" s="319"/>
      <c r="T487" s="319"/>
      <c r="U487" s="319"/>
      <c r="V487" s="319"/>
      <c r="W487" s="319">
        <v>111600</v>
      </c>
    </row>
    <row r="488" spans="1:23" ht="12.75" hidden="1" customHeight="1">
      <c r="A488" s="12"/>
      <c r="B488" s="8" t="str">
        <f>B515</f>
        <v>Poder calorífico superior (PCS)</v>
      </c>
      <c r="C488" s="21" t="str">
        <f>Language!C1390</f>
        <v>MJ/m³</v>
      </c>
      <c r="D488" s="236">
        <f>F488/1000*$L$492</f>
        <v>101.19454399538968</v>
      </c>
      <c r="E488" s="21" t="str">
        <f>$C$515</f>
        <v>MJ/t</v>
      </c>
      <c r="F488" s="88">
        <f>N855*1000</f>
        <v>48092</v>
      </c>
      <c r="G488" s="8"/>
      <c r="H488" s="8"/>
      <c r="I488" s="8"/>
      <c r="J488" s="9"/>
      <c r="K488" s="1"/>
      <c r="L488" s="319"/>
      <c r="M488" s="319"/>
      <c r="N488" s="319"/>
      <c r="O488" s="319"/>
      <c r="P488" s="319"/>
      <c r="Q488" s="319"/>
      <c r="R488" s="319"/>
      <c r="S488" s="319"/>
      <c r="T488" s="319"/>
      <c r="U488" s="319"/>
      <c r="V488" s="319"/>
      <c r="W488" s="319">
        <v>111628</v>
      </c>
    </row>
    <row r="489" spans="1:23" ht="12.75" hidden="1" customHeight="1">
      <c r="A489" s="12"/>
      <c r="B489" s="8" t="str">
        <f>B516</f>
        <v>Poder Calorífico Inferior (PCI)</v>
      </c>
      <c r="C489" s="21" t="str">
        <f>C488</f>
        <v>MJ/m³</v>
      </c>
      <c r="D489" s="236">
        <f>F489/1000*$L$492</f>
        <v>92.760147302070123</v>
      </c>
      <c r="E489" s="21" t="str">
        <f>$C$515</f>
        <v>MJ/t</v>
      </c>
      <c r="F489" s="88">
        <f>(F488/1000-21.92*F859)*1000</f>
        <v>44083.611901590222</v>
      </c>
      <c r="G489" s="8"/>
      <c r="H489" s="8"/>
      <c r="I489" s="8"/>
      <c r="J489" s="9"/>
      <c r="K489" s="1"/>
      <c r="L489" s="319"/>
      <c r="M489" s="319"/>
      <c r="N489" s="319"/>
      <c r="O489" s="319"/>
      <c r="P489" s="319"/>
      <c r="Q489" s="319"/>
      <c r="R489" s="319"/>
      <c r="S489" s="319"/>
      <c r="T489" s="319"/>
      <c r="U489" s="319"/>
      <c r="V489" s="319"/>
      <c r="W489" s="319">
        <v>111630</v>
      </c>
    </row>
    <row r="490" spans="1:23" ht="12.75" hidden="1" customHeight="1">
      <c r="A490" s="12"/>
      <c r="B490" s="8"/>
      <c r="C490" s="8"/>
      <c r="D490" s="8"/>
      <c r="E490" s="8"/>
      <c r="F490" s="8"/>
      <c r="G490" s="8"/>
      <c r="H490" s="8"/>
      <c r="I490" s="8"/>
      <c r="J490" s="9"/>
      <c r="K490" s="1"/>
      <c r="L490" s="319"/>
      <c r="M490" s="319"/>
      <c r="N490" s="319"/>
      <c r="O490" s="319"/>
      <c r="P490" s="319"/>
      <c r="Q490" s="319"/>
      <c r="R490" s="319"/>
      <c r="S490" s="319"/>
      <c r="T490" s="319"/>
      <c r="U490" s="319"/>
      <c r="V490" s="319"/>
      <c r="W490" s="319">
        <v>111600</v>
      </c>
    </row>
    <row r="491" spans="1:23" ht="12.75" hidden="1" customHeight="1">
      <c r="A491" s="12"/>
      <c r="B491" s="8" t="str">
        <f>C16</f>
        <v>Consumo de combustível - unitário</v>
      </c>
      <c r="C491" s="8"/>
      <c r="D491" s="303" t="s">
        <v>5811</v>
      </c>
      <c r="E491" s="8"/>
      <c r="F491" s="8"/>
      <c r="G491" s="8"/>
      <c r="H491" s="8"/>
      <c r="I491" s="8"/>
      <c r="J491" s="9"/>
      <c r="K491" s="1"/>
      <c r="L491" s="319"/>
      <c r="M491" s="319"/>
      <c r="N491" s="319"/>
      <c r="O491" s="319"/>
      <c r="P491" s="319"/>
      <c r="Q491" s="319"/>
      <c r="R491" s="319"/>
      <c r="S491" s="319"/>
      <c r="T491" s="319"/>
      <c r="U491" s="319"/>
      <c r="V491" s="319"/>
      <c r="W491" s="319">
        <v>111632</v>
      </c>
    </row>
    <row r="492" spans="1:23" ht="12.75" hidden="1" customHeight="1">
      <c r="A492" s="12"/>
      <c r="B492" s="8" t="str">
        <f>Language!C766</f>
        <v>Densidade</v>
      </c>
      <c r="C492" s="21" t="str">
        <f>Language!C1352&amp;"/"&amp;D491</f>
        <v>kg/m³</v>
      </c>
      <c r="D492" s="237">
        <f>IF(D491=F662,1,0.001/F783)*L492</f>
        <v>2.1041866421731199</v>
      </c>
      <c r="E492" s="8"/>
      <c r="F492" s="8"/>
      <c r="G492" s="8"/>
      <c r="H492" s="8"/>
      <c r="I492" s="8"/>
      <c r="J492" s="9"/>
      <c r="K492" s="1"/>
      <c r="L492" s="319">
        <f>E855</f>
        <v>2.1041866421731199</v>
      </c>
      <c r="M492" s="319" t="s">
        <v>4851</v>
      </c>
      <c r="N492" s="319"/>
      <c r="O492" s="319"/>
      <c r="P492" s="319"/>
      <c r="Q492" s="319"/>
      <c r="R492" s="319"/>
      <c r="S492" s="319"/>
      <c r="T492" s="319"/>
      <c r="U492" s="319"/>
      <c r="V492" s="319"/>
      <c r="W492" s="319">
        <v>111634</v>
      </c>
    </row>
    <row r="493" spans="1:23" ht="12.75" hidden="1" customHeight="1">
      <c r="A493" s="12"/>
      <c r="B493" s="8" t="str">
        <f>B519</f>
        <v>Preço combustível - unidade</v>
      </c>
      <c r="C493" s="8"/>
      <c r="D493" s="21" t="str">
        <f>Currency&amp;"/"&amp;D491</f>
        <v>€/m³</v>
      </c>
      <c r="E493" s="8"/>
      <c r="F493" s="8"/>
      <c r="G493" s="8"/>
      <c r="H493" s="8"/>
      <c r="I493" s="8"/>
      <c r="J493" s="9"/>
      <c r="K493" s="1"/>
      <c r="L493" s="319"/>
      <c r="M493" s="319"/>
      <c r="N493" s="319"/>
      <c r="O493" s="319"/>
      <c r="P493" s="319"/>
      <c r="Q493" s="319"/>
      <c r="R493" s="319"/>
      <c r="S493" s="319"/>
      <c r="T493" s="319"/>
      <c r="U493" s="319"/>
      <c r="V493" s="319"/>
      <c r="W493" s="319">
        <v>111516</v>
      </c>
    </row>
    <row r="494" spans="1:23" ht="12.75" hidden="1" customHeight="1">
      <c r="A494" s="12"/>
      <c r="B494" s="8"/>
      <c r="C494" s="8"/>
      <c r="D494" s="8"/>
      <c r="E494" s="8"/>
      <c r="F494" s="8"/>
      <c r="G494" s="8"/>
      <c r="H494" s="8"/>
      <c r="I494" s="8"/>
      <c r="J494" s="9"/>
      <c r="K494" s="1"/>
      <c r="L494" s="319"/>
      <c r="M494" s="319"/>
      <c r="N494" s="319"/>
      <c r="O494" s="319"/>
      <c r="P494" s="319"/>
      <c r="Q494" s="319"/>
      <c r="R494" s="319"/>
      <c r="S494" s="319"/>
      <c r="T494" s="319"/>
      <c r="U494" s="319"/>
      <c r="V494" s="319"/>
      <c r="W494" s="319">
        <v>111600</v>
      </c>
    </row>
    <row r="495" spans="1:23" ht="12.75" hidden="1" customHeight="1">
      <c r="A495" s="12"/>
      <c r="B495" s="8" t="str">
        <f>Language!C756</f>
        <v>Fator de emissão de CO2</v>
      </c>
      <c r="C495" s="21" t="str">
        <f>$C$521</f>
        <v>kg/GJ</v>
      </c>
      <c r="D495" s="303"/>
      <c r="E495" s="310"/>
      <c r="F495" s="238">
        <f>IF(EMHV=1,M865,M864)</f>
        <v>67.919591556150877</v>
      </c>
      <c r="G495" s="8"/>
      <c r="H495" s="8"/>
      <c r="I495" s="8"/>
      <c r="J495" s="9"/>
      <c r="K495" s="1"/>
      <c r="L495" s="319"/>
      <c r="M495" s="319"/>
      <c r="N495" s="319"/>
      <c r="O495" s="319"/>
      <c r="P495" s="319"/>
      <c r="Q495" s="319"/>
      <c r="R495" s="319"/>
      <c r="S495" s="319"/>
      <c r="T495" s="319"/>
      <c r="U495" s="319"/>
      <c r="V495" s="319"/>
      <c r="W495" s="319">
        <v>111638</v>
      </c>
    </row>
    <row r="496" spans="1:23" ht="12.75" hidden="1" customHeight="1">
      <c r="A496" s="12"/>
      <c r="B496" s="8" t="str">
        <f>Language!C757</f>
        <v>Fator de emissão de CH4</v>
      </c>
      <c r="C496" s="21" t="str">
        <f>$C$521</f>
        <v>kg/GJ</v>
      </c>
      <c r="D496" s="456"/>
      <c r="E496" s="303"/>
      <c r="F496" s="21"/>
      <c r="G496" s="8"/>
      <c r="H496" s="8"/>
      <c r="I496" s="8"/>
      <c r="J496" s="9"/>
      <c r="K496" s="1"/>
      <c r="L496" s="319"/>
      <c r="M496" s="319"/>
      <c r="N496" s="319"/>
      <c r="O496" s="319"/>
      <c r="P496" s="319"/>
      <c r="Q496" s="319"/>
      <c r="R496" s="319"/>
      <c r="S496" s="319"/>
      <c r="T496" s="319"/>
      <c r="U496" s="319"/>
      <c r="V496" s="319"/>
      <c r="W496" s="319">
        <v>111520</v>
      </c>
    </row>
    <row r="497" spans="1:23" ht="12.75" hidden="1" customHeight="1">
      <c r="A497" s="12"/>
      <c r="B497" s="8" t="str">
        <f>Language!C758</f>
        <v>Fator de emissão de N2O</v>
      </c>
      <c r="C497" s="21" t="str">
        <f>$C$521</f>
        <v>kg/GJ</v>
      </c>
      <c r="D497" s="303"/>
      <c r="E497" s="303"/>
      <c r="F497" s="21"/>
      <c r="G497" s="8"/>
      <c r="H497" s="8"/>
      <c r="I497" s="8"/>
      <c r="J497" s="9"/>
      <c r="K497" s="1"/>
      <c r="L497" s="319"/>
      <c r="M497" s="319"/>
      <c r="N497" s="319"/>
      <c r="O497" s="319"/>
      <c r="P497" s="319"/>
      <c r="Q497" s="319"/>
      <c r="R497" s="319"/>
      <c r="S497" s="319"/>
      <c r="T497" s="319"/>
      <c r="U497" s="319"/>
      <c r="V497" s="319"/>
      <c r="W497" s="319">
        <v>111522</v>
      </c>
    </row>
    <row r="498" spans="1:23" ht="12.75" hidden="1" customHeight="1">
      <c r="A498" s="14"/>
      <c r="B498" s="15"/>
      <c r="C498" s="15"/>
      <c r="D498" s="15"/>
      <c r="E498" s="15"/>
      <c r="F498" s="15"/>
      <c r="G498" s="15"/>
      <c r="H498" s="15"/>
      <c r="I498" s="15"/>
      <c r="J498" s="11"/>
      <c r="K498" s="1"/>
      <c r="L498" s="319"/>
      <c r="M498" s="319"/>
      <c r="N498" s="319"/>
      <c r="O498" s="319"/>
      <c r="P498" s="319"/>
      <c r="Q498" s="319"/>
      <c r="R498" s="319"/>
      <c r="S498" s="319"/>
      <c r="T498" s="319"/>
      <c r="U498" s="319"/>
      <c r="V498" s="319"/>
      <c r="W498" s="319">
        <v>111600</v>
      </c>
    </row>
    <row r="499" spans="1:23" ht="12.75" hidden="1" customHeight="1">
      <c r="A499" s="1"/>
      <c r="B499" s="1"/>
      <c r="C499" s="1"/>
      <c r="D499" s="1"/>
      <c r="E499" s="1"/>
      <c r="F499" s="1"/>
      <c r="G499" s="1"/>
      <c r="H499" s="1"/>
      <c r="I499" s="1"/>
      <c r="J499" s="1"/>
      <c r="K499" s="1"/>
      <c r="L499" s="319"/>
      <c r="M499" s="319"/>
      <c r="N499" s="319"/>
      <c r="O499" s="319"/>
      <c r="P499" s="319"/>
      <c r="Q499" s="319"/>
      <c r="R499" s="319"/>
      <c r="S499" s="319"/>
      <c r="T499" s="319"/>
      <c r="U499" s="319"/>
      <c r="V499" s="319"/>
      <c r="W499" s="319">
        <v>110000</v>
      </c>
    </row>
    <row r="500" spans="1:23" ht="12.75" hidden="1" customHeight="1">
      <c r="A500" s="1203" t="str">
        <f>Language!C1444</f>
        <v>Combustível definido pelo usuário - sólido</v>
      </c>
      <c r="B500" s="1204"/>
      <c r="C500" s="192"/>
      <c r="D500" s="192"/>
      <c r="E500" s="192"/>
      <c r="F500" s="192"/>
      <c r="G500" s="192"/>
      <c r="H500" s="192"/>
      <c r="I500" s="192"/>
      <c r="J500" s="193"/>
      <c r="K500" s="1"/>
      <c r="L500" s="319"/>
      <c r="M500" s="319"/>
      <c r="N500" s="319"/>
      <c r="O500" s="319"/>
      <c r="P500" s="319"/>
      <c r="Q500" s="319"/>
      <c r="R500" s="319"/>
      <c r="S500" s="319"/>
      <c r="T500" s="319"/>
      <c r="U500" s="319"/>
      <c r="V500" s="319"/>
      <c r="W500" s="319">
        <v>111700</v>
      </c>
    </row>
    <row r="501" spans="1:23" ht="12.75" hidden="1" customHeight="1">
      <c r="A501" s="12"/>
      <c r="B501" s="8"/>
      <c r="C501" s="8"/>
      <c r="D501" s="8"/>
      <c r="E501" s="8"/>
      <c r="F501" s="8"/>
      <c r="G501" s="8"/>
      <c r="H501" s="8"/>
      <c r="I501" s="8"/>
      <c r="J501" s="9"/>
      <c r="K501" s="1"/>
      <c r="L501" s="319"/>
      <c r="M501" s="319"/>
      <c r="N501" s="319"/>
      <c r="O501" s="319"/>
      <c r="P501" s="319"/>
      <c r="Q501" s="319"/>
      <c r="R501" s="319"/>
      <c r="S501" s="319"/>
      <c r="T501" s="319"/>
      <c r="U501" s="319"/>
      <c r="V501" s="319"/>
      <c r="W501" s="319">
        <v>111700</v>
      </c>
    </row>
    <row r="502" spans="1:23" ht="12.75" hidden="1" customHeight="1">
      <c r="A502" s="12"/>
      <c r="B502" s="8" t="str">
        <f>Language!C211</f>
        <v>Tipo de Combustível</v>
      </c>
      <c r="C502" s="8"/>
      <c r="D502" s="21" t="str">
        <f>G6</f>
        <v>Combustível definido pelo usuário - sólido</v>
      </c>
      <c r="E502" s="8"/>
      <c r="F502" s="8"/>
      <c r="G502" s="8"/>
      <c r="H502" s="8"/>
      <c r="I502" s="8"/>
      <c r="J502" s="9"/>
      <c r="K502" s="1"/>
      <c r="L502" s="319"/>
      <c r="M502" s="319"/>
      <c r="N502" s="319"/>
      <c r="O502" s="319"/>
      <c r="P502" s="319"/>
      <c r="Q502" s="319"/>
      <c r="R502" s="319"/>
      <c r="S502" s="319"/>
      <c r="T502" s="319"/>
      <c r="U502" s="319"/>
      <c r="V502" s="319"/>
      <c r="W502" s="319">
        <v>111702</v>
      </c>
    </row>
    <row r="503" spans="1:23" ht="12.75" hidden="1" customHeight="1">
      <c r="A503" s="12"/>
      <c r="B503" s="8"/>
      <c r="C503" s="1152"/>
      <c r="D503" s="1153"/>
      <c r="E503" s="1154"/>
      <c r="F503" s="8"/>
      <c r="G503" s="8"/>
      <c r="H503" s="8"/>
      <c r="I503" s="8"/>
      <c r="J503" s="9"/>
      <c r="K503" s="1"/>
      <c r="L503" s="319"/>
      <c r="M503" s="3" t="b">
        <v>1</v>
      </c>
      <c r="N503" s="319"/>
      <c r="O503" s="319"/>
      <c r="P503" s="319"/>
      <c r="Q503" s="319"/>
      <c r="R503" s="319"/>
      <c r="S503" s="319"/>
      <c r="T503" s="319"/>
      <c r="U503" s="319"/>
      <c r="V503" s="319"/>
      <c r="W503" s="319">
        <v>111702</v>
      </c>
    </row>
    <row r="504" spans="1:23" ht="12.75" hidden="1" customHeight="1">
      <c r="A504" s="12"/>
      <c r="B504" s="8"/>
      <c r="C504" s="1010" t="s">
        <v>942</v>
      </c>
      <c r="D504" s="330" t="str">
        <f>Language!C1280</f>
        <v xml:space="preserve">Biomassa </v>
      </c>
      <c r="E504" s="8"/>
      <c r="F504" s="8"/>
      <c r="G504" s="8"/>
      <c r="H504" s="8"/>
      <c r="I504" s="8"/>
      <c r="J504" s="9"/>
      <c r="K504" s="1"/>
      <c r="L504" s="319"/>
      <c r="M504" s="3" t="b">
        <v>0</v>
      </c>
      <c r="N504" s="319"/>
      <c r="O504" s="319"/>
      <c r="P504" s="319"/>
      <c r="Q504" s="319"/>
      <c r="R504" s="319"/>
      <c r="S504" s="319"/>
      <c r="T504" s="319"/>
      <c r="U504" s="319"/>
      <c r="V504" s="319"/>
      <c r="W504" s="319">
        <v>111702</v>
      </c>
    </row>
    <row r="505" spans="1:23" ht="12.75" hidden="1" customHeight="1">
      <c r="A505" s="12"/>
      <c r="B505" s="8"/>
      <c r="C505" s="1010" t="s">
        <v>943</v>
      </c>
      <c r="D505" s="330" t="str">
        <f>Language!C172</f>
        <v>Conbustível fóssil</v>
      </c>
      <c r="E505" s="8"/>
      <c r="F505" s="8"/>
      <c r="G505" s="8"/>
      <c r="H505" s="8"/>
      <c r="I505" s="8"/>
      <c r="J505" s="9"/>
      <c r="K505" s="1"/>
      <c r="L505" s="319"/>
      <c r="M505" s="319"/>
      <c r="N505" s="319"/>
      <c r="O505" s="319"/>
      <c r="P505" s="319"/>
      <c r="Q505" s="319"/>
      <c r="R505" s="319"/>
      <c r="S505" s="319"/>
      <c r="T505" s="319"/>
      <c r="U505" s="319"/>
      <c r="V505" s="319"/>
      <c r="W505" s="319">
        <v>111702</v>
      </c>
    </row>
    <row r="506" spans="1:23" ht="12.75" hidden="1" customHeight="1">
      <c r="A506" s="12"/>
      <c r="B506" s="751" t="str">
        <f>Language!C2636</f>
        <v>Análise final</v>
      </c>
      <c r="C506" s="8"/>
      <c r="D506" s="8"/>
      <c r="E506" s="8"/>
      <c r="F506" s="8"/>
      <c r="G506" s="8"/>
      <c r="H506" s="8"/>
      <c r="I506" s="8"/>
      <c r="J506" s="9"/>
      <c r="K506" s="1"/>
      <c r="L506" s="319"/>
      <c r="M506" s="319"/>
      <c r="N506" s="319"/>
      <c r="O506" s="319"/>
      <c r="P506" s="319"/>
      <c r="Q506" s="319"/>
      <c r="R506" s="319"/>
      <c r="S506" s="319"/>
      <c r="T506" s="319"/>
      <c r="U506" s="319"/>
      <c r="V506" s="319"/>
      <c r="W506" s="319">
        <v>111704</v>
      </c>
    </row>
    <row r="507" spans="1:23" ht="12.75" hidden="1" customHeight="1">
      <c r="A507" s="12"/>
      <c r="B507" s="526" t="str">
        <f>Language!C750</f>
        <v>Carbono</v>
      </c>
      <c r="C507" s="21" t="str">
        <f>Language!C1308</f>
        <v>% Peso</v>
      </c>
      <c r="D507" s="422">
        <v>1</v>
      </c>
      <c r="E507" s="8"/>
      <c r="F507" s="8"/>
      <c r="G507" s="8"/>
      <c r="H507" s="8"/>
      <c r="I507" s="8"/>
      <c r="J507" s="9"/>
      <c r="K507" s="1"/>
      <c r="L507" s="319"/>
      <c r="M507" s="319"/>
      <c r="N507" s="319"/>
      <c r="O507" s="319"/>
      <c r="P507" s="319"/>
      <c r="Q507" s="319"/>
      <c r="R507" s="319"/>
      <c r="S507" s="319"/>
      <c r="T507" s="319"/>
      <c r="U507" s="319"/>
      <c r="V507" s="319"/>
      <c r="W507" s="319">
        <v>111706</v>
      </c>
    </row>
    <row r="508" spans="1:23" ht="12.75" hidden="1" customHeight="1">
      <c r="A508" s="12"/>
      <c r="B508" s="526" t="str">
        <f>Language!C1218</f>
        <v>Hidrogênio</v>
      </c>
      <c r="C508" s="21" t="str">
        <f>$C$507</f>
        <v>% Peso</v>
      </c>
      <c r="D508" s="422"/>
      <c r="E508" s="8"/>
      <c r="F508" s="8"/>
      <c r="G508" s="8"/>
      <c r="H508" s="8"/>
      <c r="I508" s="8"/>
      <c r="J508" s="9"/>
      <c r="K508" s="1"/>
      <c r="L508" s="319"/>
      <c r="M508" s="319"/>
      <c r="N508" s="319"/>
      <c r="O508" s="319"/>
      <c r="P508" s="319"/>
      <c r="Q508" s="319"/>
      <c r="R508" s="319"/>
      <c r="S508" s="319"/>
      <c r="T508" s="319"/>
      <c r="U508" s="319"/>
      <c r="V508" s="319"/>
      <c r="W508" s="319">
        <v>111708</v>
      </c>
    </row>
    <row r="509" spans="1:23" ht="12.75" hidden="1" customHeight="1">
      <c r="A509" s="12"/>
      <c r="B509" s="526" t="str">
        <f>Language!C765</f>
        <v>Oxigênio</v>
      </c>
      <c r="C509" s="21" t="str">
        <f>$C$507</f>
        <v>% Peso</v>
      </c>
      <c r="D509" s="422"/>
      <c r="E509" s="8"/>
      <c r="F509" s="8"/>
      <c r="G509" s="8"/>
      <c r="H509" s="8"/>
      <c r="I509" s="8"/>
      <c r="J509" s="9"/>
      <c r="K509" s="1"/>
      <c r="L509" s="319"/>
      <c r="M509" s="319"/>
      <c r="N509" s="319"/>
      <c r="O509" s="319"/>
      <c r="P509" s="319"/>
      <c r="Q509" s="319"/>
      <c r="R509" s="319"/>
      <c r="S509" s="319"/>
      <c r="T509" s="319"/>
      <c r="U509" s="319"/>
      <c r="V509" s="319"/>
      <c r="W509" s="319">
        <v>111710</v>
      </c>
    </row>
    <row r="510" spans="1:23" ht="12.75" hidden="1" customHeight="1">
      <c r="A510" s="12"/>
      <c r="B510" s="526" t="str">
        <f>Language!C764</f>
        <v>Nitrogênio</v>
      </c>
      <c r="C510" s="21" t="str">
        <f>$C$507</f>
        <v>% Peso</v>
      </c>
      <c r="D510" s="422"/>
      <c r="E510" s="8"/>
      <c r="F510" s="8"/>
      <c r="G510" s="8"/>
      <c r="H510" s="8"/>
      <c r="I510" s="8"/>
      <c r="J510" s="9"/>
      <c r="K510" s="1"/>
      <c r="L510" s="319"/>
      <c r="M510" s="319"/>
      <c r="N510" s="319"/>
      <c r="O510" s="319"/>
      <c r="P510" s="319"/>
      <c r="Q510" s="319"/>
      <c r="R510" s="319"/>
      <c r="S510" s="319"/>
      <c r="T510" s="319"/>
      <c r="U510" s="319"/>
      <c r="V510" s="319"/>
      <c r="W510" s="319">
        <v>111712</v>
      </c>
    </row>
    <row r="511" spans="1:23" ht="12.75" hidden="1" customHeight="1">
      <c r="A511" s="12"/>
      <c r="B511" s="526" t="str">
        <f>Language!C753</f>
        <v>Enxofre</v>
      </c>
      <c r="C511" s="21" t="str">
        <f>$C$507</f>
        <v>% Peso</v>
      </c>
      <c r="D511" s="422"/>
      <c r="E511" s="8"/>
      <c r="F511" s="8"/>
      <c r="G511" s="8"/>
      <c r="H511" s="8"/>
      <c r="I511" s="8"/>
      <c r="J511" s="9"/>
      <c r="K511" s="1"/>
      <c r="L511" s="319"/>
      <c r="M511" s="319"/>
      <c r="N511" s="319"/>
      <c r="O511" s="319"/>
      <c r="P511" s="319"/>
      <c r="Q511" s="319"/>
      <c r="R511" s="319"/>
      <c r="S511" s="319"/>
      <c r="T511" s="319"/>
      <c r="U511" s="319"/>
      <c r="V511" s="319"/>
      <c r="W511" s="319">
        <v>111714</v>
      </c>
    </row>
    <row r="512" spans="1:23" ht="12.75" hidden="1" customHeight="1">
      <c r="A512" s="12"/>
      <c r="B512" s="526" t="str">
        <f>Language!C754</f>
        <v>Cinzas</v>
      </c>
      <c r="C512" s="21" t="str">
        <f>$C$507</f>
        <v>% Peso</v>
      </c>
      <c r="D512" s="422"/>
      <c r="E512" s="8"/>
      <c r="F512" s="8"/>
      <c r="G512" s="8"/>
      <c r="H512" s="8"/>
      <c r="I512" s="8"/>
      <c r="J512" s="9"/>
      <c r="K512" s="1"/>
      <c r="L512" s="319"/>
      <c r="M512" s="319"/>
      <c r="N512" s="319"/>
      <c r="O512" s="319"/>
      <c r="P512" s="319"/>
      <c r="Q512" s="319"/>
      <c r="R512" s="319"/>
      <c r="S512" s="319"/>
      <c r="T512" s="319"/>
      <c r="U512" s="319"/>
      <c r="V512" s="319"/>
      <c r="W512" s="319">
        <v>111716</v>
      </c>
    </row>
    <row r="513" spans="1:23" ht="12.75" hidden="1" customHeight="1">
      <c r="A513" s="12"/>
      <c r="B513" s="8"/>
      <c r="C513" s="21" t="str">
        <f>Language!C233</f>
        <v>Total</v>
      </c>
      <c r="D513" s="233">
        <f>SUM(D507:D512)</f>
        <v>1</v>
      </c>
      <c r="E513" s="8"/>
      <c r="F513" s="8"/>
      <c r="G513" s="8"/>
      <c r="H513" s="8"/>
      <c r="I513" s="8"/>
      <c r="J513" s="9"/>
      <c r="K513" s="1"/>
      <c r="L513" s="319"/>
      <c r="M513" s="319"/>
      <c r="N513" s="319"/>
      <c r="O513" s="319"/>
      <c r="P513" s="319"/>
      <c r="Q513" s="319"/>
      <c r="R513" s="319"/>
      <c r="S513" s="319"/>
      <c r="T513" s="319"/>
      <c r="U513" s="319"/>
      <c r="V513" s="319"/>
      <c r="W513" s="319">
        <v>111718</v>
      </c>
    </row>
    <row r="514" spans="1:23" ht="12.75" hidden="1" customHeight="1">
      <c r="A514" s="12"/>
      <c r="B514" s="8"/>
      <c r="C514" s="8"/>
      <c r="D514" s="8"/>
      <c r="E514" s="8"/>
      <c r="F514" s="8"/>
      <c r="G514" s="8"/>
      <c r="H514" s="8"/>
      <c r="I514" s="8"/>
      <c r="J514" s="9"/>
      <c r="K514" s="1"/>
      <c r="L514" s="319"/>
      <c r="M514" s="319"/>
      <c r="N514" s="319"/>
      <c r="O514" s="319"/>
      <c r="P514" s="319"/>
      <c r="Q514" s="319"/>
      <c r="R514" s="319"/>
      <c r="S514" s="319"/>
      <c r="T514" s="319"/>
      <c r="U514" s="319"/>
      <c r="V514" s="319"/>
      <c r="W514" s="319">
        <v>111700</v>
      </c>
    </row>
    <row r="515" spans="1:23" ht="12.75" hidden="1" customHeight="1">
      <c r="A515" s="12"/>
      <c r="B515" s="8" t="str">
        <f>Language!C82</f>
        <v>Poder calorífico superior (PCS)</v>
      </c>
      <c r="C515" s="21" t="str">
        <f>Language!C1391</f>
        <v>MJ/t</v>
      </c>
      <c r="D515" s="88">
        <f>L515*1000</f>
        <v>34100</v>
      </c>
      <c r="E515" s="8"/>
      <c r="F515" s="8"/>
      <c r="G515" s="8"/>
      <c r="H515" s="8"/>
      <c r="I515" s="8"/>
      <c r="J515" s="9"/>
      <c r="K515" s="1"/>
      <c r="L515" s="319">
        <f>IF(M503=TRUE,(34.1*D507+(102+2.449*8.94)*D508-9.85*D509+6.3*D510+19.1*D511),(D507*14544+62028*(D508-D509/8)+4050*D511)/F705)</f>
        <v>34.1</v>
      </c>
      <c r="M515" s="319" t="s">
        <v>5376</v>
      </c>
      <c r="N515" s="319"/>
      <c r="O515" s="319"/>
      <c r="P515" s="319"/>
      <c r="Q515" s="319"/>
      <c r="R515" s="319"/>
      <c r="S515" s="319"/>
      <c r="T515" s="319"/>
      <c r="U515" s="319"/>
      <c r="V515" s="319"/>
      <c r="W515" s="319">
        <v>111720</v>
      </c>
    </row>
    <row r="516" spans="1:23" ht="12.75" hidden="1" customHeight="1">
      <c r="A516" s="12"/>
      <c r="B516" s="8" t="str">
        <f>Language!C83</f>
        <v>Poder Calorífico Inferior (PCI)</v>
      </c>
      <c r="C516" s="21" t="str">
        <f>C515</f>
        <v>MJ/t</v>
      </c>
      <c r="D516" s="88">
        <f>(D515/1000-21.92*D508)*1000</f>
        <v>34100</v>
      </c>
      <c r="E516" s="8"/>
      <c r="F516" s="8"/>
      <c r="G516" s="8"/>
      <c r="H516" s="8"/>
      <c r="I516" s="8"/>
      <c r="J516" s="9"/>
      <c r="K516" s="1"/>
      <c r="L516" s="319">
        <f>D516/1000</f>
        <v>34.1</v>
      </c>
      <c r="M516" s="319"/>
      <c r="N516" s="319"/>
      <c r="O516" s="319"/>
      <c r="P516" s="319"/>
      <c r="Q516" s="319"/>
      <c r="R516" s="319"/>
      <c r="S516" s="319"/>
      <c r="T516" s="319"/>
      <c r="U516" s="319"/>
      <c r="V516" s="319"/>
      <c r="W516" s="319">
        <v>111722</v>
      </c>
    </row>
    <row r="517" spans="1:23" ht="12.75" hidden="1" customHeight="1">
      <c r="A517" s="12"/>
      <c r="B517" s="8"/>
      <c r="C517" s="8"/>
      <c r="D517" s="8"/>
      <c r="E517" s="8"/>
      <c r="F517" s="8"/>
      <c r="G517" s="8"/>
      <c r="H517" s="8"/>
      <c r="I517" s="8"/>
      <c r="J517" s="9"/>
      <c r="K517" s="1"/>
      <c r="L517" s="319"/>
      <c r="M517" s="319"/>
      <c r="N517" s="319"/>
      <c r="O517" s="319"/>
      <c r="P517" s="319"/>
      <c r="Q517" s="319"/>
      <c r="R517" s="319"/>
      <c r="S517" s="319"/>
      <c r="T517" s="319"/>
      <c r="U517" s="319"/>
      <c r="V517" s="319"/>
      <c r="W517" s="319">
        <v>111700</v>
      </c>
    </row>
    <row r="518" spans="1:23" ht="12.75" hidden="1" customHeight="1">
      <c r="A518" s="12"/>
      <c r="B518" s="8" t="str">
        <f>C16</f>
        <v>Consumo de combustível - unitário</v>
      </c>
      <c r="C518" s="8"/>
      <c r="D518" s="303" t="s">
        <v>987</v>
      </c>
      <c r="E518" s="8"/>
      <c r="F518" s="8"/>
      <c r="G518" s="8"/>
      <c r="H518" s="8"/>
      <c r="I518" s="8"/>
      <c r="J518" s="9"/>
      <c r="K518" s="1"/>
      <c r="L518" s="319">
        <f>1/VLOOKUP(D518,E717:F719,2,FALSE)</f>
        <v>1</v>
      </c>
      <c r="M518" s="319"/>
      <c r="N518" s="319"/>
      <c r="O518" s="319"/>
      <c r="P518" s="319"/>
      <c r="Q518" s="319"/>
      <c r="R518" s="319"/>
      <c r="S518" s="319"/>
      <c r="T518" s="319"/>
      <c r="U518" s="319"/>
      <c r="V518" s="319"/>
      <c r="W518" s="319">
        <v>111632</v>
      </c>
    </row>
    <row r="519" spans="1:23" ht="12.75" hidden="1" customHeight="1">
      <c r="A519" s="12"/>
      <c r="B519" s="8" t="str">
        <f>Language!C359</f>
        <v>Preço combustível - unidade</v>
      </c>
      <c r="C519" s="8"/>
      <c r="D519" s="21" t="str">
        <f>Currency&amp;"/"&amp;D518</f>
        <v>€/kg</v>
      </c>
      <c r="E519" s="8"/>
      <c r="F519" s="8"/>
      <c r="G519" s="8"/>
      <c r="H519" s="8"/>
      <c r="I519" s="8"/>
      <c r="J519" s="9"/>
      <c r="K519" s="1"/>
      <c r="L519" s="319"/>
      <c r="M519" s="319"/>
      <c r="N519" s="319"/>
      <c r="O519" s="319"/>
      <c r="P519" s="319"/>
      <c r="Q519" s="319"/>
      <c r="R519" s="319"/>
      <c r="S519" s="319"/>
      <c r="T519" s="319"/>
      <c r="U519" s="319"/>
      <c r="V519" s="319"/>
      <c r="W519" s="319">
        <v>111516</v>
      </c>
    </row>
    <row r="520" spans="1:23" ht="12.75" hidden="1" customHeight="1">
      <c r="A520" s="12"/>
      <c r="B520" s="8"/>
      <c r="C520" s="8"/>
      <c r="D520" s="8"/>
      <c r="E520" s="8"/>
      <c r="F520" s="8"/>
      <c r="G520" s="8"/>
      <c r="H520" s="8"/>
      <c r="I520" s="8"/>
      <c r="J520" s="9"/>
      <c r="K520" s="1"/>
      <c r="L520" s="319"/>
      <c r="M520" s="319"/>
      <c r="N520" s="319"/>
      <c r="O520" s="319"/>
      <c r="P520" s="319"/>
      <c r="Q520" s="319"/>
      <c r="R520" s="319"/>
      <c r="S520" s="319"/>
      <c r="T520" s="319"/>
      <c r="U520" s="319"/>
      <c r="V520" s="319"/>
      <c r="W520" s="319">
        <v>111700</v>
      </c>
    </row>
    <row r="521" spans="1:23" ht="12.75" hidden="1" customHeight="1">
      <c r="A521" s="12"/>
      <c r="B521" s="8" t="str">
        <f>Language!C756</f>
        <v>Fator de emissão de CO2</v>
      </c>
      <c r="C521" s="21" t="str">
        <f>Language!C1354</f>
        <v>kg/GJ</v>
      </c>
      <c r="D521" s="382"/>
      <c r="E521" s="367"/>
      <c r="F521" s="234">
        <f>IF(EMHV=1,V865,V864)</f>
        <v>107.45428434816687</v>
      </c>
      <c r="G521" s="8"/>
      <c r="H521" s="8"/>
      <c r="I521" s="8"/>
      <c r="J521" s="9"/>
      <c r="K521" s="1"/>
      <c r="L521" s="319"/>
      <c r="M521" s="319"/>
      <c r="N521" s="319"/>
      <c r="O521" s="319"/>
      <c r="P521" s="319"/>
      <c r="Q521" s="319"/>
      <c r="R521" s="319"/>
      <c r="S521" s="319"/>
      <c r="T521" s="319"/>
      <c r="U521" s="319"/>
      <c r="V521" s="319"/>
      <c r="W521" s="319">
        <v>111728</v>
      </c>
    </row>
    <row r="522" spans="1:23" ht="12.75" hidden="1" customHeight="1">
      <c r="A522" s="12"/>
      <c r="B522" s="8" t="str">
        <f>Language!C757</f>
        <v>Fator de emissão de CH4</v>
      </c>
      <c r="C522" s="21" t="str">
        <f>$C$521</f>
        <v>kg/GJ</v>
      </c>
      <c r="D522" s="456"/>
      <c r="E522" s="474"/>
      <c r="F522" s="8"/>
      <c r="G522" s="8"/>
      <c r="H522" s="8"/>
      <c r="I522" s="8"/>
      <c r="J522" s="9"/>
      <c r="K522" s="1"/>
      <c r="L522" s="319"/>
      <c r="M522" s="319"/>
      <c r="N522" s="319"/>
      <c r="O522" s="319"/>
      <c r="P522" s="319"/>
      <c r="Q522" s="319"/>
      <c r="R522" s="319"/>
      <c r="S522" s="319"/>
      <c r="T522" s="319"/>
      <c r="U522" s="319"/>
      <c r="V522" s="319"/>
      <c r="W522" s="319">
        <v>111520</v>
      </c>
    </row>
    <row r="523" spans="1:23" ht="12.75" hidden="1" customHeight="1">
      <c r="A523" s="12"/>
      <c r="B523" s="8" t="str">
        <f>Language!C758</f>
        <v>Fator de emissão de N2O</v>
      </c>
      <c r="C523" s="21" t="str">
        <f>C521</f>
        <v>kg/GJ</v>
      </c>
      <c r="D523" s="456"/>
      <c r="E523" s="474"/>
      <c r="F523" s="8"/>
      <c r="G523" s="8"/>
      <c r="H523" s="8"/>
      <c r="I523" s="8"/>
      <c r="J523" s="9"/>
      <c r="K523" s="1"/>
      <c r="L523" s="319"/>
      <c r="M523" s="319"/>
      <c r="N523" s="319"/>
      <c r="O523" s="319"/>
      <c r="P523" s="319"/>
      <c r="Q523" s="319"/>
      <c r="R523" s="319"/>
      <c r="S523" s="319"/>
      <c r="T523" s="319"/>
      <c r="U523" s="319"/>
      <c r="V523" s="319"/>
      <c r="W523" s="319">
        <v>111522</v>
      </c>
    </row>
    <row r="524" spans="1:23" ht="12.75" hidden="1" customHeight="1">
      <c r="A524" s="14"/>
      <c r="B524" s="15"/>
      <c r="C524" s="15"/>
      <c r="D524" s="15"/>
      <c r="E524" s="15"/>
      <c r="F524" s="15"/>
      <c r="G524" s="15"/>
      <c r="H524" s="15"/>
      <c r="I524" s="15"/>
      <c r="J524" s="11"/>
      <c r="K524" s="1"/>
      <c r="L524" s="319"/>
      <c r="M524" s="319"/>
      <c r="N524" s="319"/>
      <c r="O524" s="319"/>
      <c r="P524" s="319"/>
      <c r="Q524" s="319"/>
      <c r="R524" s="319"/>
      <c r="S524" s="319"/>
      <c r="T524" s="319"/>
      <c r="U524" s="319"/>
      <c r="V524" s="319"/>
      <c r="W524" s="319">
        <v>111700</v>
      </c>
    </row>
    <row r="525" spans="1:23" ht="12.75" hidden="1" customHeight="1">
      <c r="A525" s="8"/>
      <c r="B525" s="8"/>
      <c r="C525" s="8"/>
      <c r="D525" s="8"/>
      <c r="E525" s="8"/>
      <c r="F525" s="8"/>
      <c r="G525" s="8"/>
      <c r="H525" s="8"/>
      <c r="I525" s="8"/>
      <c r="J525" s="8"/>
      <c r="K525" s="1"/>
      <c r="L525" s="319"/>
      <c r="M525" s="319"/>
      <c r="N525" s="319"/>
      <c r="O525" s="319"/>
      <c r="P525" s="319"/>
      <c r="Q525" s="319"/>
      <c r="R525" s="319"/>
      <c r="S525" s="319"/>
      <c r="T525" s="319"/>
      <c r="U525" s="319"/>
      <c r="V525" s="319"/>
      <c r="W525" s="319">
        <v>110000</v>
      </c>
    </row>
    <row r="526" spans="1:23" ht="12.75" hidden="1" customHeight="1">
      <c r="A526" s="1203" t="str">
        <f>Language!C1451</f>
        <v>Água &amp; Vapor</v>
      </c>
      <c r="B526" s="1204"/>
      <c r="C526" s="192"/>
      <c r="D526" s="192"/>
      <c r="E526" s="192"/>
      <c r="F526" s="192"/>
      <c r="G526" s="192"/>
      <c r="H526" s="192"/>
      <c r="I526" s="192"/>
      <c r="J526" s="193"/>
      <c r="K526" s="1"/>
      <c r="L526" s="319"/>
      <c r="M526" s="319"/>
      <c r="N526" s="319"/>
      <c r="O526" s="319"/>
      <c r="P526" s="319"/>
      <c r="Q526" s="319"/>
      <c r="R526" s="319"/>
      <c r="S526" s="319"/>
      <c r="T526" s="319"/>
      <c r="U526" s="319"/>
      <c r="V526" s="319"/>
      <c r="W526" s="319">
        <v>111800</v>
      </c>
    </row>
    <row r="527" spans="1:23" ht="12.75" hidden="1" customHeight="1">
      <c r="A527" s="12"/>
      <c r="B527" s="8"/>
      <c r="C527" s="8"/>
      <c r="D527" s="8"/>
      <c r="E527" s="8"/>
      <c r="F527" s="8"/>
      <c r="G527" s="8"/>
      <c r="H527" s="8"/>
      <c r="I527" s="8"/>
      <c r="J527" s="9"/>
      <c r="K527" s="1"/>
      <c r="L527" s="319"/>
      <c r="M527" s="319"/>
      <c r="N527" s="319"/>
      <c r="O527" s="319"/>
      <c r="P527" s="319"/>
      <c r="Q527" s="319"/>
      <c r="R527" s="319"/>
      <c r="S527" s="319"/>
      <c r="T527" s="319"/>
      <c r="U527" s="319"/>
      <c r="V527" s="319"/>
      <c r="W527" s="319">
        <v>111800</v>
      </c>
    </row>
    <row r="528" spans="1:23" ht="12.75" hidden="1" customHeight="1">
      <c r="A528" s="12"/>
      <c r="B528" s="153" t="str">
        <f>Language!C835</f>
        <v>Água</v>
      </c>
      <c r="C528" s="8"/>
      <c r="D528" s="8"/>
      <c r="E528" s="8"/>
      <c r="F528" s="196" t="str">
        <f>Language!C437</f>
        <v>Entalpia</v>
      </c>
      <c r="G528" s="153" t="str">
        <f>C426</f>
        <v>Unidade</v>
      </c>
      <c r="H528" s="8"/>
      <c r="I528" s="8"/>
      <c r="J528" s="9"/>
      <c r="K528" s="1"/>
      <c r="L528" s="319"/>
      <c r="M528" s="319"/>
      <c r="N528" s="319"/>
      <c r="O528" s="319"/>
      <c r="P528" s="319"/>
      <c r="Q528" s="319"/>
      <c r="R528" s="319"/>
      <c r="S528" s="319"/>
      <c r="T528" s="319"/>
      <c r="U528" s="319"/>
      <c r="V528" s="319"/>
      <c r="W528" s="319">
        <v>111802</v>
      </c>
    </row>
    <row r="529" spans="1:23" ht="12.75" hidden="1" customHeight="1">
      <c r="A529" s="12"/>
      <c r="B529" s="526" t="str">
        <f>Language!C836</f>
        <v>Temperatura da água</v>
      </c>
      <c r="C529" s="303" t="s">
        <v>5568</v>
      </c>
      <c r="D529" s="395"/>
      <c r="E529" s="8"/>
      <c r="F529" s="244">
        <f t="shared" ref="F529:G531" si="31">IF(Unit=TRUE,P529,R529)</f>
        <v>5.9662252247094469E-2</v>
      </c>
      <c r="G529" s="5" t="str">
        <f t="shared" si="31"/>
        <v>kJ/kg</v>
      </c>
      <c r="H529" s="8"/>
      <c r="I529" s="8"/>
      <c r="J529" s="9"/>
      <c r="K529" s="1"/>
      <c r="L529" s="319"/>
      <c r="M529" s="319"/>
      <c r="N529" s="319" t="s">
        <v>144</v>
      </c>
      <c r="O529" s="319">
        <f>IF(C529=$C$672,D529,(D529-32)/1.8)</f>
        <v>0</v>
      </c>
      <c r="P529" s="319">
        <f>EnthalpyF(0.1,O529+$F$776)</f>
        <v>5.9662252247094469E-2</v>
      </c>
      <c r="Q529" s="319" t="str">
        <f>Language!C1359</f>
        <v>kJ/kg</v>
      </c>
      <c r="R529" s="319">
        <f>P529*$F$705/1000</f>
        <v>2.565015143899161E-2</v>
      </c>
      <c r="S529" s="319" t="str">
        <f>$E$705</f>
        <v>Btu/lb</v>
      </c>
      <c r="T529" s="319"/>
      <c r="U529" s="319"/>
      <c r="V529" s="319"/>
      <c r="W529" s="319">
        <v>111804</v>
      </c>
    </row>
    <row r="530" spans="1:23" ht="12.75" hidden="1" customHeight="1">
      <c r="A530" s="12"/>
      <c r="B530" s="526" t="str">
        <f>Language!C836</f>
        <v>Temperatura da água</v>
      </c>
      <c r="C530" s="303" t="s">
        <v>5568</v>
      </c>
      <c r="D530" s="395"/>
      <c r="E530" s="8"/>
      <c r="F530" s="245">
        <f t="shared" si="31"/>
        <v>5.9662252247094469E-2</v>
      </c>
      <c r="G530" s="15" t="str">
        <f t="shared" si="31"/>
        <v>kJ/kg</v>
      </c>
      <c r="H530" s="8"/>
      <c r="I530" s="8"/>
      <c r="J530" s="9"/>
      <c r="K530" s="1"/>
      <c r="L530" s="319"/>
      <c r="M530" s="319"/>
      <c r="N530" s="319" t="s">
        <v>144</v>
      </c>
      <c r="O530" s="319">
        <f>IF(C530=$C$672,D530,(D530-32)/1.8)</f>
        <v>0</v>
      </c>
      <c r="P530" s="319">
        <f>EnthalpyF(0.1,O530+$F$776)</f>
        <v>5.9662252247094469E-2</v>
      </c>
      <c r="Q530" s="319" t="str">
        <f>$Q$529</f>
        <v>kJ/kg</v>
      </c>
      <c r="R530" s="319">
        <f>P530*$F$705/1000</f>
        <v>2.565015143899161E-2</v>
      </c>
      <c r="S530" s="319" t="str">
        <f>$E$705</f>
        <v>Btu/lb</v>
      </c>
      <c r="T530" s="319"/>
      <c r="U530" s="319"/>
      <c r="V530" s="319"/>
      <c r="W530" s="319">
        <v>111804</v>
      </c>
    </row>
    <row r="531" spans="1:23" ht="12.75" hidden="1" customHeight="1">
      <c r="A531" s="12"/>
      <c r="B531" s="526" t="str">
        <f>Language!C837</f>
        <v>Diferença de entalpia</v>
      </c>
      <c r="C531" s="8"/>
      <c r="D531" s="8"/>
      <c r="E531" s="8"/>
      <c r="F531" s="236">
        <f t="shared" si="31"/>
        <v>0</v>
      </c>
      <c r="G531" s="8" t="str">
        <f t="shared" si="31"/>
        <v>kJ/kg</v>
      </c>
      <c r="H531" s="8"/>
      <c r="I531" s="8"/>
      <c r="J531" s="9"/>
      <c r="K531" s="1"/>
      <c r="L531" s="319"/>
      <c r="M531" s="319"/>
      <c r="N531" s="319"/>
      <c r="O531" s="319"/>
      <c r="P531" s="319">
        <f>ABS(P530-P529)</f>
        <v>0</v>
      </c>
      <c r="Q531" s="319" t="str">
        <f>$Q$529</f>
        <v>kJ/kg</v>
      </c>
      <c r="R531" s="319">
        <f>P531*$F$705/1000</f>
        <v>0</v>
      </c>
      <c r="S531" s="319" t="str">
        <f>$E$705</f>
        <v>Btu/lb</v>
      </c>
      <c r="T531" s="319"/>
      <c r="U531" s="319"/>
      <c r="V531" s="319"/>
      <c r="W531" s="319">
        <v>111806</v>
      </c>
    </row>
    <row r="532" spans="1:23" ht="12.75" hidden="1" customHeight="1">
      <c r="A532" s="12"/>
      <c r="B532" s="8"/>
      <c r="C532" s="8"/>
      <c r="D532" s="8"/>
      <c r="E532" s="8"/>
      <c r="F532" s="8"/>
      <c r="G532" s="8"/>
      <c r="H532" s="8"/>
      <c r="I532" s="8"/>
      <c r="J532" s="9"/>
      <c r="K532" s="1"/>
      <c r="L532" s="319"/>
      <c r="M532" s="319"/>
      <c r="N532" s="319"/>
      <c r="O532" s="319"/>
      <c r="P532" s="319"/>
      <c r="Q532" s="319"/>
      <c r="R532" s="319"/>
      <c r="S532" s="319"/>
      <c r="T532" s="319"/>
      <c r="U532" s="319"/>
      <c r="V532" s="319"/>
      <c r="W532" s="319">
        <v>111802</v>
      </c>
    </row>
    <row r="533" spans="1:23" ht="12.75" hidden="1" customHeight="1">
      <c r="A533" s="12"/>
      <c r="B533" s="153" t="str">
        <f>Language!C150</f>
        <v>Vapor</v>
      </c>
      <c r="C533" s="8"/>
      <c r="D533" s="8"/>
      <c r="E533" s="8"/>
      <c r="F533" s="8"/>
      <c r="G533" s="8"/>
      <c r="H533" s="8"/>
      <c r="I533" s="8"/>
      <c r="J533" s="9"/>
      <c r="K533" s="1"/>
      <c r="L533" s="319"/>
      <c r="M533" s="319"/>
      <c r="N533" s="319"/>
      <c r="O533" s="319"/>
      <c r="P533" s="319"/>
      <c r="Q533" s="319"/>
      <c r="R533" s="319"/>
      <c r="S533" s="319"/>
      <c r="T533" s="319"/>
      <c r="U533" s="319"/>
      <c r="V533" s="319"/>
      <c r="W533" s="319">
        <v>111808</v>
      </c>
    </row>
    <row r="534" spans="1:23" ht="12.75" hidden="1" customHeight="1">
      <c r="A534" s="12"/>
      <c r="B534" s="526" t="str">
        <f>Language!C458</f>
        <v>Pressão do Vapor</v>
      </c>
      <c r="C534" s="303" t="s">
        <v>2791</v>
      </c>
      <c r="D534" s="395"/>
      <c r="E534" s="8"/>
      <c r="F534" s="8"/>
      <c r="G534" s="8"/>
      <c r="H534" s="8"/>
      <c r="I534" s="8"/>
      <c r="J534" s="9"/>
      <c r="K534" s="1"/>
      <c r="L534" s="319"/>
      <c r="M534" s="319"/>
      <c r="N534" s="319" t="s">
        <v>3345</v>
      </c>
      <c r="O534" s="319">
        <f>IF(IF(C534=$F$657,D534/1000,IF(C534=$F$658,D534/10,IF(C534=$F$659,(D534+$G$659)/$F$711/10,IF(C534=$F$660,D534/$F$711/10))))&lt;SteamP,SteamP,IF(C534=$F$657,D534/1000,IF(C534=$F$658,D534/10,IF(C534=$F$659,(D534+$G$659)/$F$711/10,IF(C534=$F$660,D534/$F$711/10)))))</f>
        <v>1.1100000000000001E-3</v>
      </c>
      <c r="P534" s="319"/>
      <c r="Q534" s="319"/>
      <c r="R534" s="319"/>
      <c r="S534" s="319"/>
      <c r="T534" s="319"/>
      <c r="U534" s="319"/>
      <c r="V534" s="319"/>
      <c r="W534" s="319">
        <v>111810</v>
      </c>
    </row>
    <row r="535" spans="1:23" ht="12.75" hidden="1" customHeight="1">
      <c r="A535" s="12"/>
      <c r="B535" s="526" t="str">
        <f>Language!C424</f>
        <v>Temperatura de saturação</v>
      </c>
      <c r="C535" s="21" t="str">
        <f>Language!C1310</f>
        <v>°C</v>
      </c>
      <c r="D535" s="236">
        <f>Tsat(O534)-$F$776</f>
        <v>8.4990758364950239</v>
      </c>
      <c r="E535" s="8"/>
      <c r="F535" s="8"/>
      <c r="G535" s="8"/>
      <c r="H535" s="8"/>
      <c r="I535" s="8"/>
      <c r="J535" s="9"/>
      <c r="K535" s="1"/>
      <c r="L535" s="319"/>
      <c r="M535" s="319"/>
      <c r="N535" s="319"/>
      <c r="O535" s="319"/>
      <c r="P535" s="319"/>
      <c r="Q535" s="319"/>
      <c r="R535" s="319"/>
      <c r="S535" s="319"/>
      <c r="T535" s="319"/>
      <c r="U535" s="319"/>
      <c r="V535" s="319"/>
      <c r="W535" s="319">
        <v>111812</v>
      </c>
    </row>
    <row r="536" spans="1:23" ht="12.75" hidden="1" customHeight="1">
      <c r="A536" s="12"/>
      <c r="B536" s="526" t="str">
        <f>Language!C459</f>
        <v>Temperatura do vapor</v>
      </c>
      <c r="C536" s="303" t="s">
        <v>5568</v>
      </c>
      <c r="D536" s="395"/>
      <c r="E536" s="8"/>
      <c r="F536" s="236">
        <f>IF(Unit=TRUE,P536,R536)</f>
        <v>-4.1079659201371854E-2</v>
      </c>
      <c r="G536" s="8" t="str">
        <f>IF(Unit=TRUE,Q536,S536)</f>
        <v>kJ/kg</v>
      </c>
      <c r="H536" s="8"/>
      <c r="I536" s="8"/>
      <c r="J536" s="9"/>
      <c r="K536" s="1"/>
      <c r="L536" s="319"/>
      <c r="M536" s="319"/>
      <c r="N536" s="319" t="s">
        <v>144</v>
      </c>
      <c r="O536" s="319">
        <f>IF(C536=$C$672,D536,(D536-32)/1.8)</f>
        <v>0</v>
      </c>
      <c r="P536" s="319">
        <f>IF(O536&lt;D535,EnthalpyF(O534,O536+$F$776),EnthalpyV(O534,O536+$F$776))</f>
        <v>-4.1079659201371854E-2</v>
      </c>
      <c r="Q536" s="319" t="str">
        <f>$Q$529</f>
        <v>kJ/kg</v>
      </c>
      <c r="R536" s="319">
        <f>P536*$F$705/1000</f>
        <v>-1.7661074463186526E-2</v>
      </c>
      <c r="S536" s="319" t="str">
        <f>$E$705</f>
        <v>Btu/lb</v>
      </c>
      <c r="T536" s="319"/>
      <c r="U536" s="319"/>
      <c r="V536" s="319"/>
      <c r="W536" s="319">
        <v>111814</v>
      </c>
    </row>
    <row r="537" spans="1:23" ht="12.75" hidden="1" customHeight="1">
      <c r="A537" s="12"/>
      <c r="B537" s="526" t="str">
        <f>B534</f>
        <v>Pressão do Vapor</v>
      </c>
      <c r="C537" s="303" t="s">
        <v>2791</v>
      </c>
      <c r="D537" s="395"/>
      <c r="E537" s="8"/>
      <c r="F537" s="21"/>
      <c r="G537" s="8"/>
      <c r="H537" s="8"/>
      <c r="I537" s="8"/>
      <c r="J537" s="9"/>
      <c r="K537" s="1"/>
      <c r="L537" s="319"/>
      <c r="M537" s="319"/>
      <c r="N537" s="319" t="s">
        <v>3345</v>
      </c>
      <c r="O537" s="319">
        <f>IF(IF(C537=$F$657,D537/1000,IF(C537=$F$658,D537/10,IF(C537=$F$659,(D537+$G$659)/$F$711/10,IF(C537=$F$660,D537/$F$711/10))))&lt;SteamP,SteamP,IF(C537=$F$657,D537/1000,IF(C537=$F$658,D537/10,IF(C537=$F$659,(D537+$G$659)/$F$711/10,IF(C537=$F$660,D537/$F$711/10)))))</f>
        <v>1.1100000000000001E-3</v>
      </c>
      <c r="P537" s="319"/>
      <c r="Q537" s="319"/>
      <c r="R537" s="319"/>
      <c r="S537" s="319"/>
      <c r="T537" s="319"/>
      <c r="U537" s="319"/>
      <c r="V537" s="319"/>
      <c r="W537" s="319">
        <v>111810</v>
      </c>
    </row>
    <row r="538" spans="1:23" ht="12.75" hidden="1" customHeight="1">
      <c r="A538" s="12"/>
      <c r="B538" s="526" t="str">
        <f>Language!C424</f>
        <v>Temperatura de saturação</v>
      </c>
      <c r="C538" s="21" t="str">
        <f>C535</f>
        <v>°C</v>
      </c>
      <c r="D538" s="236">
        <f>Tsat(O537)-$F$776</f>
        <v>8.4990758364950239</v>
      </c>
      <c r="E538" s="8"/>
      <c r="F538" s="21"/>
      <c r="G538" s="8"/>
      <c r="H538" s="8"/>
      <c r="I538" s="8"/>
      <c r="J538" s="9"/>
      <c r="K538" s="1"/>
      <c r="L538" s="319"/>
      <c r="M538" s="319"/>
      <c r="N538" s="319"/>
      <c r="O538" s="319"/>
      <c r="P538" s="319"/>
      <c r="Q538" s="319"/>
      <c r="R538" s="319"/>
      <c r="S538" s="319"/>
      <c r="T538" s="319"/>
      <c r="U538" s="319"/>
      <c r="V538" s="319"/>
      <c r="W538" s="319">
        <v>111812</v>
      </c>
    </row>
    <row r="539" spans="1:23" ht="12.75" hidden="1" customHeight="1">
      <c r="A539" s="12"/>
      <c r="B539" s="526" t="str">
        <f>B536</f>
        <v>Temperatura do vapor</v>
      </c>
      <c r="C539" s="303" t="s">
        <v>5568</v>
      </c>
      <c r="D539" s="395"/>
      <c r="E539" s="8"/>
      <c r="F539" s="245">
        <f>IF(Unit=TRUE,P539,R539)</f>
        <v>-4.1079659201371854E-2</v>
      </c>
      <c r="G539" s="15" t="str">
        <f>IF(Unit=TRUE,Q539,S539)</f>
        <v>kJ/kg</v>
      </c>
      <c r="H539" s="8"/>
      <c r="I539" s="8"/>
      <c r="J539" s="9"/>
      <c r="K539" s="1"/>
      <c r="L539" s="319"/>
      <c r="M539" s="319"/>
      <c r="N539" s="319" t="s">
        <v>144</v>
      </c>
      <c r="O539" s="319">
        <f>IF(C539=$C$672,D539,(D539-32)/1.8)</f>
        <v>0</v>
      </c>
      <c r="P539" s="319">
        <f>IF(O539&lt;D538,EnthalpyF(O537,O539+$F$776),EnthalpyV(O537,O539+$F$776))</f>
        <v>-4.1079659201371854E-2</v>
      </c>
      <c r="Q539" s="319" t="str">
        <f>$Q$529</f>
        <v>kJ/kg</v>
      </c>
      <c r="R539" s="319">
        <f>P539*$F$705/1000</f>
        <v>-1.7661074463186526E-2</v>
      </c>
      <c r="S539" s="319" t="str">
        <f>$E$705</f>
        <v>Btu/lb</v>
      </c>
      <c r="T539" s="319"/>
      <c r="U539" s="319"/>
      <c r="V539" s="319"/>
      <c r="W539" s="319">
        <v>111814</v>
      </c>
    </row>
    <row r="540" spans="1:23" ht="12.75" hidden="1" customHeight="1">
      <c r="A540" s="12"/>
      <c r="B540" s="526" t="str">
        <f>Language!C837</f>
        <v>Diferença de entalpia</v>
      </c>
      <c r="C540" s="8"/>
      <c r="D540" s="8"/>
      <c r="E540" s="8"/>
      <c r="F540" s="236">
        <f>IF(Unit=TRUE,P540,R540)</f>
        <v>0</v>
      </c>
      <c r="G540" s="8" t="str">
        <f>IF(Unit=TRUE,Q540,S540)</f>
        <v>kJ/kg</v>
      </c>
      <c r="H540" s="8"/>
      <c r="I540" s="8"/>
      <c r="J540" s="9"/>
      <c r="K540" s="1"/>
      <c r="L540" s="319"/>
      <c r="M540" s="319"/>
      <c r="N540" s="319"/>
      <c r="O540" s="319"/>
      <c r="P540" s="319">
        <f>ABS(P536-P539)</f>
        <v>0</v>
      </c>
      <c r="Q540" s="319" t="str">
        <f>$Q$529</f>
        <v>kJ/kg</v>
      </c>
      <c r="R540" s="319">
        <f>P540*$F$705/1000</f>
        <v>0</v>
      </c>
      <c r="S540" s="319" t="str">
        <f>$E$705</f>
        <v>Btu/lb</v>
      </c>
      <c r="T540" s="319"/>
      <c r="U540" s="319"/>
      <c r="V540" s="319"/>
      <c r="W540" s="319">
        <v>111806</v>
      </c>
    </row>
    <row r="541" spans="1:23" ht="12.75" hidden="1" customHeight="1">
      <c r="A541" s="14"/>
      <c r="B541" s="15"/>
      <c r="C541" s="15"/>
      <c r="D541" s="15"/>
      <c r="E541" s="15"/>
      <c r="F541" s="15"/>
      <c r="G541" s="15"/>
      <c r="H541" s="15"/>
      <c r="I541" s="15"/>
      <c r="J541" s="11"/>
      <c r="K541" s="1"/>
      <c r="L541" s="319"/>
      <c r="M541" s="319"/>
      <c r="N541" s="319"/>
      <c r="O541" s="319"/>
      <c r="P541" s="319"/>
      <c r="Q541" s="319"/>
      <c r="R541" s="319"/>
      <c r="S541" s="319"/>
      <c r="T541" s="319"/>
      <c r="U541" s="319"/>
      <c r="V541" s="319"/>
      <c r="W541" s="319">
        <v>111800</v>
      </c>
    </row>
    <row r="542" spans="1:23" ht="12.75" hidden="1" customHeight="1">
      <c r="A542" s="8"/>
      <c r="B542" s="8"/>
      <c r="C542" s="8"/>
      <c r="D542" s="8"/>
      <c r="E542" s="8"/>
      <c r="F542" s="8"/>
      <c r="G542" s="8"/>
      <c r="H542" s="8"/>
      <c r="I542" s="8"/>
      <c r="J542" s="8"/>
      <c r="K542" s="1"/>
      <c r="L542" s="319"/>
      <c r="M542" s="319"/>
      <c r="N542" s="319"/>
      <c r="O542" s="319"/>
      <c r="P542" s="319"/>
      <c r="Q542" s="319"/>
      <c r="R542" s="319"/>
      <c r="S542" s="319"/>
      <c r="T542" s="319"/>
      <c r="U542" s="319"/>
      <c r="V542" s="319"/>
      <c r="W542" s="319">
        <v>110000</v>
      </c>
    </row>
    <row r="543" spans="1:23" ht="12.75" hidden="1" customHeight="1">
      <c r="A543" s="1203" t="str">
        <f>G8</f>
        <v>Bombeamento de água</v>
      </c>
      <c r="B543" s="1204"/>
      <c r="C543" s="192"/>
      <c r="D543" s="192"/>
      <c r="E543" s="192"/>
      <c r="F543" s="192"/>
      <c r="G543" s="192"/>
      <c r="H543" s="192"/>
      <c r="I543" s="192"/>
      <c r="J543" s="193"/>
      <c r="K543" s="1"/>
      <c r="L543" s="319"/>
      <c r="M543" s="319"/>
      <c r="N543" s="319"/>
      <c r="O543" s="319"/>
      <c r="P543" s="319"/>
      <c r="Q543" s="319"/>
      <c r="R543" s="319"/>
      <c r="S543" s="319"/>
      <c r="T543" s="319"/>
      <c r="U543" s="319"/>
      <c r="V543" s="319"/>
      <c r="W543" s="319">
        <v>111900</v>
      </c>
    </row>
    <row r="544" spans="1:23" ht="12.75" hidden="1" customHeight="1">
      <c r="A544" s="12"/>
      <c r="B544" s="8"/>
      <c r="C544" s="8"/>
      <c r="D544" s="8"/>
      <c r="E544" s="8"/>
      <c r="F544" s="8"/>
      <c r="G544" s="8"/>
      <c r="H544" s="8"/>
      <c r="I544" s="8"/>
      <c r="J544" s="9"/>
      <c r="K544" s="1"/>
      <c r="L544" s="319"/>
      <c r="M544" s="319"/>
      <c r="N544" s="319"/>
      <c r="O544" s="319"/>
      <c r="P544" s="319"/>
      <c r="Q544" s="319"/>
      <c r="R544" s="319"/>
      <c r="S544" s="319"/>
      <c r="T544" s="319"/>
      <c r="U544" s="319"/>
      <c r="V544" s="319"/>
      <c r="W544" s="319">
        <v>111900</v>
      </c>
    </row>
    <row r="545" spans="1:23" ht="12.75" hidden="1" customHeight="1">
      <c r="A545" s="12"/>
      <c r="B545" s="153" t="str">
        <f>Language!C1785</f>
        <v>Características da carga</v>
      </c>
      <c r="C545" s="1010" t="s">
        <v>942</v>
      </c>
      <c r="D545" s="330" t="str">
        <f>Language!C1811</f>
        <v xml:space="preserve">Método 1 </v>
      </c>
      <c r="E545" s="8"/>
      <c r="F545" s="8"/>
      <c r="G545" s="8"/>
      <c r="H545" s="8"/>
      <c r="I545" s="8"/>
      <c r="J545" s="9"/>
      <c r="K545" s="1"/>
      <c r="L545" s="319"/>
      <c r="M545" s="319"/>
      <c r="N545" s="319"/>
      <c r="O545" s="319"/>
      <c r="P545" s="319"/>
      <c r="Q545" s="319"/>
      <c r="R545" s="319"/>
      <c r="S545" s="319"/>
      <c r="T545" s="319"/>
      <c r="U545" s="319"/>
      <c r="V545" s="319"/>
      <c r="W545" s="319">
        <v>111902</v>
      </c>
    </row>
    <row r="546" spans="1:23" ht="12.75" hidden="1" customHeight="1">
      <c r="A546" s="12"/>
      <c r="B546" s="8"/>
      <c r="C546" s="1010" t="s">
        <v>943</v>
      </c>
      <c r="D546" s="330" t="str">
        <f>Language!C1812</f>
        <v xml:space="preserve">Método 2 </v>
      </c>
      <c r="E546" s="8"/>
      <c r="F546" s="8"/>
      <c r="G546" s="8"/>
      <c r="H546" s="8"/>
      <c r="I546" s="8"/>
      <c r="J546" s="9"/>
      <c r="K546" s="1"/>
      <c r="L546" s="3" t="b">
        <v>1</v>
      </c>
      <c r="M546" s="319"/>
      <c r="N546" s="319"/>
      <c r="O546" s="319"/>
      <c r="P546" s="319"/>
      <c r="Q546" s="319"/>
      <c r="R546" s="319"/>
      <c r="S546" s="319"/>
      <c r="T546" s="319"/>
      <c r="U546" s="319"/>
      <c r="V546" s="319"/>
      <c r="W546" s="319">
        <v>111902</v>
      </c>
    </row>
    <row r="547" spans="1:23" ht="12.75" hidden="1" customHeight="1">
      <c r="A547" s="12"/>
      <c r="B547" s="8"/>
      <c r="C547" s="8"/>
      <c r="D547" s="8"/>
      <c r="E547" s="8"/>
      <c r="F547" s="8"/>
      <c r="G547" s="8"/>
      <c r="H547" s="8"/>
      <c r="I547" s="8"/>
      <c r="J547" s="9"/>
      <c r="K547" s="1"/>
      <c r="L547" s="3" t="b">
        <v>0</v>
      </c>
      <c r="M547" s="319"/>
      <c r="N547" s="319"/>
      <c r="O547" s="319"/>
      <c r="P547" s="319"/>
      <c r="Q547" s="319"/>
      <c r="R547" s="319"/>
      <c r="S547" s="319"/>
      <c r="T547" s="319"/>
      <c r="U547" s="319"/>
      <c r="V547" s="319"/>
      <c r="W547" s="319">
        <v>111900</v>
      </c>
    </row>
    <row r="548" spans="1:23" ht="12.75" hidden="1" customHeight="1">
      <c r="A548" s="12"/>
      <c r="B548" s="8"/>
      <c r="C548" s="1223" t="str">
        <f>D560</f>
        <v>Caso de referência</v>
      </c>
      <c r="D548" s="1223"/>
      <c r="E548" s="1223"/>
      <c r="F548" s="1223"/>
      <c r="G548" s="1223"/>
      <c r="H548" s="1330"/>
      <c r="I548" s="1223" t="str">
        <f>E560</f>
        <v>Caso proposto</v>
      </c>
      <c r="J548" s="1331"/>
      <c r="K548" s="1"/>
      <c r="L548" s="319"/>
      <c r="M548" s="319"/>
      <c r="N548" s="319"/>
      <c r="O548" s="319"/>
      <c r="P548" s="319"/>
      <c r="Q548" s="319"/>
      <c r="R548" s="319"/>
      <c r="S548" s="319"/>
      <c r="T548" s="319"/>
      <c r="U548" s="319"/>
      <c r="V548" s="319"/>
      <c r="W548" s="319">
        <v>111908</v>
      </c>
    </row>
    <row r="549" spans="1:23" ht="25.5" hidden="1" customHeight="1">
      <c r="A549" s="12"/>
      <c r="B549" s="1"/>
      <c r="C549" s="1"/>
      <c r="D549" s="1"/>
      <c r="E549" s="1"/>
      <c r="F549" s="1220" t="str">
        <f>Language!C1580</f>
        <v>Uso diário de água - por unidade</v>
      </c>
      <c r="G549" s="1289"/>
      <c r="H549" s="20" t="str">
        <f>Language!C1579</f>
        <v>Uso diário de água</v>
      </c>
      <c r="I549" s="20" t="str">
        <f>Language!C2075</f>
        <v>Redução do uso de água</v>
      </c>
      <c r="J549" s="127" t="str">
        <f>H549</f>
        <v>Uso diário de água</v>
      </c>
      <c r="K549" s="1"/>
      <c r="L549" s="319"/>
      <c r="M549" s="319"/>
      <c r="N549" s="319"/>
      <c r="O549" s="319"/>
      <c r="P549" s="319"/>
      <c r="Q549" s="319"/>
      <c r="R549" s="319"/>
      <c r="S549" s="319"/>
      <c r="T549" s="319"/>
      <c r="U549" s="319"/>
      <c r="V549" s="319"/>
      <c r="W549" s="319">
        <v>111908</v>
      </c>
    </row>
    <row r="550" spans="1:23" ht="12.75" hidden="1" customHeight="1">
      <c r="A550" s="12"/>
      <c r="B550" s="153" t="str">
        <f>Language!C461</f>
        <v>Descrição</v>
      </c>
      <c r="C550" s="20" t="str">
        <f>Language!C1484</f>
        <v>Aplicação</v>
      </c>
      <c r="D550" s="20" t="str">
        <f>C426</f>
        <v>Unidade</v>
      </c>
      <c r="E550" s="20" t="str">
        <f>D31</f>
        <v>Quantidade</v>
      </c>
      <c r="F550" s="1342"/>
      <c r="G550" s="1342"/>
      <c r="H550" s="308" t="s">
        <v>87</v>
      </c>
      <c r="I550" s="128" t="s">
        <v>739</v>
      </c>
      <c r="J550" s="129" t="str">
        <f>H550</f>
        <v>m³/d</v>
      </c>
      <c r="K550" s="1"/>
      <c r="L550" s="319"/>
      <c r="M550" s="319"/>
      <c r="N550" s="319"/>
      <c r="O550" s="319"/>
      <c r="P550" s="319"/>
      <c r="Q550" s="319"/>
      <c r="R550" s="319"/>
      <c r="S550" s="319"/>
      <c r="T550" s="319"/>
      <c r="U550" s="319"/>
      <c r="V550" s="319"/>
      <c r="W550" s="319">
        <v>111908</v>
      </c>
    </row>
    <row r="551" spans="1:23" ht="12.75" hidden="1" customHeight="1">
      <c r="A551" s="12"/>
      <c r="B551" s="334"/>
      <c r="C551" s="336"/>
      <c r="D551" s="137" t="str">
        <f t="shared" ref="D551:D558" si="32">IF(C551="","",VLOOKUP(C551,$M$552:$P$555,2,FALSE))</f>
        <v/>
      </c>
      <c r="E551" s="337"/>
      <c r="F551" s="137" t="str">
        <f t="shared" ref="F551:F558" si="33">IF(C551="","",VLOOKUP(C551,$M$552:$P$555,3,FALSE))</f>
        <v/>
      </c>
      <c r="G551" s="337"/>
      <c r="H551" s="779" t="str">
        <f t="shared" ref="H551:H558" si="34">IF(C551="","",VLOOKUP(C551,$M$552:$P$555,4,FALSE)*E551*G551*IF($H$550=$N$564,1000/$G$781,1))</f>
        <v/>
      </c>
      <c r="I551" s="338"/>
      <c r="J551" s="728" t="str">
        <f>IF(C551="","",H551*(1-I551))</f>
        <v/>
      </c>
      <c r="K551" s="1"/>
      <c r="L551" s="319"/>
      <c r="M551" s="319" t="s">
        <v>1436</v>
      </c>
      <c r="N551" s="319" t="s">
        <v>710</v>
      </c>
      <c r="O551" s="319" t="s">
        <v>1437</v>
      </c>
      <c r="P551" s="319" t="s">
        <v>2046</v>
      </c>
      <c r="Q551" s="319"/>
      <c r="R551" s="319"/>
      <c r="S551" s="319"/>
      <c r="T551" s="319"/>
      <c r="U551" s="319"/>
      <c r="V551" s="319"/>
      <c r="W551" s="319">
        <v>111908</v>
      </c>
    </row>
    <row r="552" spans="1:23" ht="12.75" hidden="1" customHeight="1">
      <c r="A552" s="12"/>
      <c r="B552" s="334"/>
      <c r="C552" s="336"/>
      <c r="D552" s="138" t="str">
        <f t="shared" si="32"/>
        <v/>
      </c>
      <c r="E552" s="337"/>
      <c r="F552" s="138" t="str">
        <f t="shared" si="33"/>
        <v/>
      </c>
      <c r="G552" s="337"/>
      <c r="H552" s="728" t="str">
        <f t="shared" si="34"/>
        <v/>
      </c>
      <c r="I552" s="338"/>
      <c r="J552" s="728" t="str">
        <f>IF(C552="","",H552*(1-I552))</f>
        <v/>
      </c>
      <c r="K552" s="1"/>
      <c r="L552" s="319"/>
      <c r="M552" s="319" t="str">
        <f>Language!C1605</f>
        <v>Doméstico</v>
      </c>
      <c r="N552" s="319" t="str">
        <f>Language!C1882</f>
        <v>Pessoa</v>
      </c>
      <c r="O552" s="319" t="str">
        <f>Language!C2225</f>
        <v>L/d/pessoa</v>
      </c>
      <c r="P552" s="319">
        <v>1E-3</v>
      </c>
      <c r="Q552" s="319"/>
      <c r="R552" s="319"/>
      <c r="S552" s="319"/>
      <c r="T552" s="319"/>
      <c r="U552" s="319"/>
      <c r="V552" s="319"/>
      <c r="W552" s="319">
        <v>111908</v>
      </c>
    </row>
    <row r="553" spans="1:23" ht="12.75" hidden="1" customHeight="1">
      <c r="A553" s="12"/>
      <c r="B553" s="334"/>
      <c r="C553" s="336"/>
      <c r="D553" s="138" t="str">
        <f t="shared" si="32"/>
        <v/>
      </c>
      <c r="E553" s="337"/>
      <c r="F553" s="138" t="str">
        <f t="shared" si="33"/>
        <v/>
      </c>
      <c r="G553" s="337"/>
      <c r="H553" s="728" t="str">
        <f t="shared" si="34"/>
        <v/>
      </c>
      <c r="I553" s="338"/>
      <c r="J553" s="728" t="str">
        <f t="shared" ref="J553:J558" si="35">IF(C553="","",H553*(1-I553))</f>
        <v/>
      </c>
      <c r="K553" s="1"/>
      <c r="L553" s="319"/>
      <c r="M553" s="319" t="str">
        <f>Language!C1784</f>
        <v>Animais domésticos</v>
      </c>
      <c r="N553" s="319" t="str">
        <f>Language!C1716</f>
        <v>Cabeça</v>
      </c>
      <c r="O553" s="319" t="str">
        <f>Language!C2224</f>
        <v>L/d/cabeça</v>
      </c>
      <c r="P553" s="319">
        <v>1E-3</v>
      </c>
      <c r="Q553" s="319"/>
      <c r="R553" s="319"/>
      <c r="S553" s="319"/>
      <c r="T553" s="319"/>
      <c r="U553" s="319"/>
      <c r="V553" s="319"/>
      <c r="W553" s="319">
        <v>111908</v>
      </c>
    </row>
    <row r="554" spans="1:23" ht="12.75" hidden="1" customHeight="1">
      <c r="A554" s="12"/>
      <c r="B554" s="334"/>
      <c r="C554" s="336"/>
      <c r="D554" s="138" t="str">
        <f t="shared" si="32"/>
        <v/>
      </c>
      <c r="E554" s="337"/>
      <c r="F554" s="138" t="str">
        <f t="shared" si="33"/>
        <v/>
      </c>
      <c r="G554" s="337"/>
      <c r="H554" s="728" t="str">
        <f t="shared" si="34"/>
        <v/>
      </c>
      <c r="I554" s="338"/>
      <c r="J554" s="728" t="str">
        <f t="shared" si="35"/>
        <v/>
      </c>
      <c r="K554" s="1"/>
      <c r="L554" s="319"/>
      <c r="M554" s="319" t="str">
        <f>Language!C1762</f>
        <v>Irrigação</v>
      </c>
      <c r="N554" s="319" t="str">
        <f>Language!C1340</f>
        <v>ha</v>
      </c>
      <c r="O554" s="319" t="str">
        <f>Language!C2235</f>
        <v>m³/d/há</v>
      </c>
      <c r="P554" s="319">
        <v>1</v>
      </c>
      <c r="Q554" s="319"/>
      <c r="R554" s="319"/>
      <c r="S554" s="319"/>
      <c r="T554" s="319"/>
      <c r="U554" s="319"/>
      <c r="V554" s="319"/>
      <c r="W554" s="319">
        <v>111908</v>
      </c>
    </row>
    <row r="555" spans="1:23" ht="12.75" hidden="1" customHeight="1">
      <c r="A555" s="12"/>
      <c r="B555" s="334"/>
      <c r="C555" s="336"/>
      <c r="D555" s="138" t="str">
        <f t="shared" si="32"/>
        <v/>
      </c>
      <c r="E555" s="337"/>
      <c r="F555" s="138" t="str">
        <f t="shared" si="33"/>
        <v/>
      </c>
      <c r="G555" s="337"/>
      <c r="H555" s="728" t="str">
        <f t="shared" si="34"/>
        <v/>
      </c>
      <c r="I555" s="338"/>
      <c r="J555" s="728" t="str">
        <f t="shared" si="35"/>
        <v/>
      </c>
      <c r="K555" s="1"/>
      <c r="L555" s="319"/>
      <c r="M555" s="319" t="str">
        <f>'Modelo Energético '!B1163</f>
        <v>Outro</v>
      </c>
      <c r="N555" s="319" t="s">
        <v>637</v>
      </c>
      <c r="O555" s="319" t="str">
        <f>E797</f>
        <v>m³/d</v>
      </c>
      <c r="P555" s="319">
        <v>1</v>
      </c>
      <c r="Q555" s="319"/>
      <c r="R555" s="319"/>
      <c r="S555" s="319"/>
      <c r="T555" s="319"/>
      <c r="U555" s="319"/>
      <c r="V555" s="319"/>
      <c r="W555" s="319">
        <v>111908</v>
      </c>
    </row>
    <row r="556" spans="1:23" ht="12.75" hidden="1" customHeight="1">
      <c r="A556" s="12"/>
      <c r="B556" s="334"/>
      <c r="C556" s="336"/>
      <c r="D556" s="138" t="str">
        <f t="shared" si="32"/>
        <v/>
      </c>
      <c r="E556" s="337"/>
      <c r="F556" s="138" t="str">
        <f t="shared" si="33"/>
        <v/>
      </c>
      <c r="G556" s="337"/>
      <c r="H556" s="728" t="str">
        <f t="shared" si="34"/>
        <v/>
      </c>
      <c r="I556" s="338"/>
      <c r="J556" s="728" t="str">
        <f t="shared" si="35"/>
        <v/>
      </c>
      <c r="K556" s="1"/>
      <c r="L556" s="319"/>
      <c r="M556" s="319"/>
      <c r="N556" s="319"/>
      <c r="O556" s="319"/>
      <c r="P556" s="319"/>
      <c r="Q556" s="319"/>
      <c r="R556" s="319"/>
      <c r="S556" s="319"/>
      <c r="T556" s="319"/>
      <c r="U556" s="319"/>
      <c r="V556" s="319"/>
      <c r="W556" s="319">
        <v>111908</v>
      </c>
    </row>
    <row r="557" spans="1:23" ht="12.75" hidden="1" customHeight="1">
      <c r="A557" s="12"/>
      <c r="B557" s="334"/>
      <c r="C557" s="336"/>
      <c r="D557" s="138" t="str">
        <f t="shared" si="32"/>
        <v/>
      </c>
      <c r="E557" s="337"/>
      <c r="F557" s="138" t="str">
        <f t="shared" si="33"/>
        <v/>
      </c>
      <c r="G557" s="337"/>
      <c r="H557" s="728" t="str">
        <f t="shared" si="34"/>
        <v/>
      </c>
      <c r="I557" s="338"/>
      <c r="J557" s="728" t="str">
        <f t="shared" si="35"/>
        <v/>
      </c>
      <c r="K557" s="1"/>
      <c r="L557" s="319"/>
      <c r="M557" s="319"/>
      <c r="N557" s="319"/>
      <c r="O557" s="319"/>
      <c r="P557" s="319"/>
      <c r="Q557" s="319"/>
      <c r="R557" s="319"/>
      <c r="S557" s="319"/>
      <c r="T557" s="319"/>
      <c r="U557" s="319"/>
      <c r="V557" s="319"/>
      <c r="W557" s="319">
        <v>111908</v>
      </c>
    </row>
    <row r="558" spans="1:23" ht="12.75" hidden="1" customHeight="1">
      <c r="A558" s="12"/>
      <c r="B558" s="334"/>
      <c r="C558" s="336"/>
      <c r="D558" s="139" t="str">
        <f t="shared" si="32"/>
        <v/>
      </c>
      <c r="E558" s="337"/>
      <c r="F558" s="139" t="str">
        <f t="shared" si="33"/>
        <v/>
      </c>
      <c r="G558" s="337"/>
      <c r="H558" s="729" t="str">
        <f t="shared" si="34"/>
        <v/>
      </c>
      <c r="I558" s="338"/>
      <c r="J558" s="729" t="str">
        <f t="shared" si="35"/>
        <v/>
      </c>
      <c r="K558" s="1"/>
      <c r="L558" s="319"/>
      <c r="M558" s="319"/>
      <c r="N558" s="319"/>
      <c r="O558" s="319"/>
      <c r="P558" s="319"/>
      <c r="Q558" s="319"/>
      <c r="R558" s="319"/>
      <c r="S558" s="319"/>
      <c r="T558" s="319"/>
      <c r="U558" s="319"/>
      <c r="V558" s="319"/>
      <c r="W558" s="319">
        <v>111908</v>
      </c>
    </row>
    <row r="559" spans="1:23" ht="12.75" hidden="1" customHeight="1">
      <c r="A559" s="12"/>
      <c r="B559" s="8"/>
      <c r="C559" s="8"/>
      <c r="D559" s="8"/>
      <c r="E559" s="8"/>
      <c r="F559" s="8"/>
      <c r="G559" s="8"/>
      <c r="H559" s="8"/>
      <c r="I559" s="8"/>
      <c r="J559" s="9"/>
      <c r="K559" s="1"/>
      <c r="L559" s="319"/>
      <c r="M559" s="319"/>
      <c r="N559" s="319"/>
      <c r="O559" s="319"/>
      <c r="P559" s="319"/>
      <c r="Q559" s="319"/>
      <c r="R559" s="319"/>
      <c r="S559" s="319"/>
      <c r="T559" s="319"/>
      <c r="U559" s="319"/>
      <c r="V559" s="319"/>
      <c r="W559" s="319">
        <v>111900</v>
      </c>
    </row>
    <row r="560" spans="1:23" ht="12.75" hidden="1" customHeight="1">
      <c r="A560" s="12"/>
      <c r="B560" s="8"/>
      <c r="C560" s="8"/>
      <c r="D560" s="82" t="str">
        <f>Language!C1498</f>
        <v>Caso de referência</v>
      </c>
      <c r="E560" s="82" t="str">
        <f>Language!C1916</f>
        <v>Caso proposto</v>
      </c>
      <c r="F560" s="8"/>
      <c r="G560" s="8"/>
      <c r="H560" s="8"/>
      <c r="I560" s="8"/>
      <c r="J560" s="9"/>
      <c r="K560" s="1"/>
      <c r="L560" s="319"/>
      <c r="M560" s="319"/>
      <c r="N560" s="319"/>
      <c r="O560" s="319"/>
      <c r="P560" s="319"/>
      <c r="Q560" s="319"/>
      <c r="R560" s="319"/>
      <c r="S560" s="319"/>
      <c r="T560" s="319"/>
      <c r="U560" s="319"/>
      <c r="V560" s="319"/>
      <c r="W560" s="319">
        <v>111900</v>
      </c>
    </row>
    <row r="561" spans="1:23" ht="12.75" hidden="1" customHeight="1">
      <c r="A561" s="12"/>
      <c r="B561" s="8" t="str">
        <f>H549</f>
        <v>Uso diário de água</v>
      </c>
      <c r="C561" s="21" t="str">
        <f>H550</f>
        <v>m³/d</v>
      </c>
      <c r="D561" s="217">
        <f>SUM(H551:H558)</f>
        <v>0</v>
      </c>
      <c r="E561" s="217">
        <f>SUM(J551:J558)</f>
        <v>0</v>
      </c>
      <c r="F561" s="8"/>
      <c r="G561" s="8"/>
      <c r="H561" s="8"/>
      <c r="I561" s="8"/>
      <c r="J561" s="9"/>
      <c r="K561" s="1"/>
      <c r="L561" s="319"/>
      <c r="M561" s="319"/>
      <c r="N561" s="319"/>
      <c r="O561" s="319"/>
      <c r="P561" s="319"/>
      <c r="Q561" s="319"/>
      <c r="R561" s="319"/>
      <c r="S561" s="319"/>
      <c r="T561" s="319"/>
      <c r="U561" s="319"/>
      <c r="V561" s="319"/>
      <c r="W561" s="319">
        <v>111926</v>
      </c>
    </row>
    <row r="562" spans="1:23" ht="12.75" hidden="1" customHeight="1">
      <c r="A562" s="12"/>
      <c r="B562" s="1" t="str">
        <f>Language!C1579</f>
        <v>Uso diário de água</v>
      </c>
      <c r="C562" s="303" t="s">
        <v>87</v>
      </c>
      <c r="D562" s="307"/>
      <c r="E562" s="307"/>
      <c r="F562" s="8"/>
      <c r="G562" s="8"/>
      <c r="H562" s="8"/>
      <c r="I562" s="8"/>
      <c r="J562" s="9"/>
      <c r="K562" s="1"/>
      <c r="L562" s="319"/>
      <c r="M562" s="319"/>
      <c r="N562" s="319"/>
      <c r="O562" s="319"/>
      <c r="P562" s="319"/>
      <c r="Q562" s="319"/>
      <c r="R562" s="319"/>
      <c r="S562" s="319"/>
      <c r="T562" s="319"/>
      <c r="U562" s="319"/>
      <c r="V562" s="319"/>
      <c r="W562" s="319">
        <v>111926</v>
      </c>
    </row>
    <row r="563" spans="1:23" ht="12.75" hidden="1" customHeight="1">
      <c r="A563" s="12"/>
      <c r="B563" s="1" t="str">
        <f>Language!C2006</f>
        <v>Atura de aspiração</v>
      </c>
      <c r="C563" s="303" t="s">
        <v>5569</v>
      </c>
      <c r="D563" s="395"/>
      <c r="E563" s="395"/>
      <c r="F563" s="8"/>
      <c r="G563" s="8"/>
      <c r="H563" s="8"/>
      <c r="I563" s="8"/>
      <c r="J563" s="9"/>
      <c r="K563" s="1"/>
      <c r="L563" s="319"/>
      <c r="M563" s="319" t="str">
        <f>E721</f>
        <v>m</v>
      </c>
      <c r="N563" s="319" t="str">
        <f>E797</f>
        <v>m³/d</v>
      </c>
      <c r="O563" s="319"/>
      <c r="P563" s="319"/>
      <c r="Q563" s="319"/>
      <c r="R563" s="319"/>
      <c r="S563" s="319"/>
      <c r="T563" s="319"/>
      <c r="U563" s="319"/>
      <c r="V563" s="319"/>
      <c r="W563" s="319">
        <v>111928</v>
      </c>
    </row>
    <row r="564" spans="1:23" ht="12.75" hidden="1" customHeight="1">
      <c r="A564" s="12"/>
      <c r="B564" s="1" t="str">
        <f>Language!C1609</f>
        <v>Rebatimento</v>
      </c>
      <c r="C564" s="29" t="str">
        <f>$C$563</f>
        <v>m</v>
      </c>
      <c r="D564" s="395"/>
      <c r="E564" s="395"/>
      <c r="F564" s="8"/>
      <c r="G564" s="8"/>
      <c r="H564" s="8"/>
      <c r="I564" s="8"/>
      <c r="J564" s="9"/>
      <c r="K564" s="1"/>
      <c r="L564" s="319"/>
      <c r="M564" s="319" t="str">
        <f>E723</f>
        <v>pe</v>
      </c>
      <c r="N564" s="319" t="str">
        <f>Language!C2610</f>
        <v>gal/d</v>
      </c>
      <c r="O564" s="319"/>
      <c r="P564" s="319"/>
      <c r="Q564" s="319"/>
      <c r="R564" s="319"/>
      <c r="S564" s="319"/>
      <c r="T564" s="319"/>
      <c r="U564" s="319"/>
      <c r="V564" s="319"/>
      <c r="W564" s="319">
        <v>111930</v>
      </c>
    </row>
    <row r="565" spans="1:23" ht="12.75" hidden="1" customHeight="1">
      <c r="A565" s="12"/>
      <c r="B565" s="1" t="str">
        <f>Language!C1600</f>
        <v>Cabeça de descarga</v>
      </c>
      <c r="C565" s="29" t="str">
        <f>$C$563</f>
        <v>m</v>
      </c>
      <c r="D565" s="395"/>
      <c r="E565" s="395"/>
      <c r="F565" s="8"/>
      <c r="G565" s="8"/>
      <c r="H565" s="8"/>
      <c r="I565" s="8"/>
      <c r="J565" s="9"/>
      <c r="K565" s="1"/>
      <c r="L565" s="319"/>
      <c r="M565" s="319"/>
      <c r="N565" s="319"/>
      <c r="O565" s="319"/>
      <c r="P565" s="319"/>
      <c r="Q565" s="319"/>
      <c r="R565" s="319"/>
      <c r="S565" s="319"/>
      <c r="T565" s="319"/>
      <c r="U565" s="319"/>
      <c r="V565" s="319"/>
      <c r="W565" s="319">
        <v>111932</v>
      </c>
    </row>
    <row r="566" spans="1:23" ht="12.75" hidden="1" customHeight="1">
      <c r="A566" s="12"/>
      <c r="B566" s="1" t="str">
        <f>Language!C1906</f>
        <v>Pressão manométrica</v>
      </c>
      <c r="C566" s="29" t="str">
        <f>$C$563</f>
        <v>m</v>
      </c>
      <c r="D566" s="395"/>
      <c r="E566" s="395"/>
      <c r="F566" s="8"/>
      <c r="G566" s="8"/>
      <c r="H566" s="8"/>
      <c r="I566" s="8"/>
      <c r="J566" s="9"/>
      <c r="K566" s="1"/>
      <c r="L566" s="319"/>
      <c r="M566" s="319"/>
      <c r="N566" s="319"/>
      <c r="O566" s="319"/>
      <c r="P566" s="319"/>
      <c r="Q566" s="319"/>
      <c r="R566" s="319"/>
      <c r="S566" s="319"/>
      <c r="T566" s="319"/>
      <c r="U566" s="319"/>
      <c r="V566" s="319"/>
      <c r="W566" s="319">
        <v>111934</v>
      </c>
    </row>
    <row r="567" spans="1:23" ht="12.75" hidden="1" customHeight="1">
      <c r="A567" s="12"/>
      <c r="B567" s="1" t="str">
        <f>Language!C1680</f>
        <v>Perdas por atrito</v>
      </c>
      <c r="C567" s="29" t="str">
        <f>Language!C1306</f>
        <v>%</v>
      </c>
      <c r="D567" s="339"/>
      <c r="E567" s="339"/>
      <c r="F567" s="8"/>
      <c r="G567" s="8"/>
      <c r="H567" s="8"/>
      <c r="I567" s="8"/>
      <c r="J567" s="9"/>
      <c r="K567" s="1"/>
      <c r="L567" s="319"/>
      <c r="M567" s="319"/>
      <c r="N567" s="319"/>
      <c r="O567" s="319"/>
      <c r="P567" s="319"/>
      <c r="Q567" s="319"/>
      <c r="R567" s="319"/>
      <c r="S567" s="319"/>
      <c r="T567" s="319"/>
      <c r="U567" s="319"/>
      <c r="V567" s="319"/>
      <c r="W567" s="319">
        <v>111936</v>
      </c>
    </row>
    <row r="568" spans="1:23" ht="12.75" hidden="1" customHeight="1">
      <c r="A568" s="12"/>
      <c r="B568" s="1" t="str">
        <f>Language!C2033</f>
        <v>Altura total</v>
      </c>
      <c r="C568" s="29" t="str">
        <f>$C$563</f>
        <v>m</v>
      </c>
      <c r="D568" s="236">
        <f>SUM(D563:D566)*(1+D567)</f>
        <v>0</v>
      </c>
      <c r="E568" s="140">
        <f>SUM(E563:E566)*(1+E567)</f>
        <v>0</v>
      </c>
      <c r="F568" s="8"/>
      <c r="G568" s="8"/>
      <c r="H568" s="8"/>
      <c r="I568" s="8"/>
      <c r="J568" s="9"/>
      <c r="K568" s="1"/>
      <c r="L568" s="319"/>
      <c r="M568" s="319"/>
      <c r="N568" s="319"/>
      <c r="O568" s="319"/>
      <c r="P568" s="319"/>
      <c r="Q568" s="319"/>
      <c r="R568" s="319"/>
      <c r="S568" s="319"/>
      <c r="T568" s="319"/>
      <c r="U568" s="319"/>
      <c r="V568" s="319"/>
      <c r="W568" s="319">
        <v>111938</v>
      </c>
    </row>
    <row r="569" spans="1:23" ht="12.75" hidden="1" customHeight="1">
      <c r="A569" s="12"/>
      <c r="B569" s="8" t="str">
        <f>Language!C1806</f>
        <v>Demanda de energia mecânica - diária</v>
      </c>
      <c r="C569" s="29" t="str">
        <f>Language!C1365</f>
        <v>kWh</v>
      </c>
      <c r="D569" s="217">
        <f>IF($L$546=TRUE,D562*IF($C$562=$N$564,$G$781/1000,1),D561*IF($H$550=$N$564,$G$781/1000,1))*9.81*IF($C$563=$M$563,1,1/$F$723)*D568/3600</f>
        <v>0</v>
      </c>
      <c r="E569" s="217">
        <f>IF($L$546=TRUE,E562*IF($C$562=$N$564,$G$781/1000,1),E561*IF($H$550=$N$564,$G$781/1000,1))*9.81*IF($C$563=$M$563,1,1/$F$723)*E568/3600</f>
        <v>0</v>
      </c>
      <c r="F569" s="8"/>
      <c r="G569" s="8"/>
      <c r="H569" s="8"/>
      <c r="I569" s="8"/>
      <c r="J569" s="9"/>
      <c r="K569" s="1"/>
      <c r="L569" s="319"/>
      <c r="M569" s="319"/>
      <c r="N569" s="319"/>
      <c r="O569" s="319"/>
      <c r="P569" s="319"/>
      <c r="Q569" s="319"/>
      <c r="R569" s="319"/>
      <c r="S569" s="319"/>
      <c r="T569" s="319"/>
      <c r="U569" s="319"/>
      <c r="V569" s="319"/>
      <c r="W569" s="319">
        <v>111940</v>
      </c>
    </row>
    <row r="570" spans="1:23" ht="12.75" hidden="1" customHeight="1">
      <c r="A570" s="12"/>
      <c r="B570" s="8" t="str">
        <f>Language!C1807</f>
        <v>Demanda de energia mecânica - anual</v>
      </c>
      <c r="C570" s="21" t="str">
        <f>C569</f>
        <v>kWh</v>
      </c>
      <c r="D570" s="236">
        <f>D569*365</f>
        <v>0</v>
      </c>
      <c r="E570" s="236">
        <f>E569*365</f>
        <v>0</v>
      </c>
      <c r="F570" s="8"/>
      <c r="G570" s="8"/>
      <c r="H570" s="8"/>
      <c r="I570" s="8"/>
      <c r="J570" s="9"/>
      <c r="K570" s="1"/>
      <c r="L570" s="319"/>
      <c r="M570" s="319"/>
      <c r="N570" s="319"/>
      <c r="O570" s="319"/>
      <c r="P570" s="319"/>
      <c r="Q570" s="319"/>
      <c r="R570" s="319"/>
      <c r="S570" s="319"/>
      <c r="T570" s="319"/>
      <c r="U570" s="319"/>
      <c r="V570" s="319"/>
      <c r="W570" s="319">
        <v>111942</v>
      </c>
    </row>
    <row r="571" spans="1:23" ht="12.75" hidden="1" customHeight="1">
      <c r="A571" s="12"/>
      <c r="B571" s="8"/>
      <c r="C571" s="8"/>
      <c r="D571" s="8"/>
      <c r="E571" s="8"/>
      <c r="F571" s="8"/>
      <c r="G571" s="8"/>
      <c r="H571" s="8"/>
      <c r="I571" s="8"/>
      <c r="J571" s="9"/>
      <c r="K571" s="1"/>
      <c r="L571" s="319"/>
      <c r="M571" s="319"/>
      <c r="N571" s="319"/>
      <c r="O571" s="319"/>
      <c r="P571" s="319"/>
      <c r="Q571" s="319"/>
      <c r="R571" s="319"/>
      <c r="S571" s="319"/>
      <c r="T571" s="319"/>
      <c r="U571" s="319"/>
      <c r="V571" s="319"/>
      <c r="W571" s="319">
        <v>111900</v>
      </c>
    </row>
    <row r="572" spans="1:23" ht="12.75" hidden="1" customHeight="1">
      <c r="A572" s="12"/>
      <c r="B572" s="153" t="str">
        <f>Language!C1923</f>
        <v>Bomba &amp; motor</v>
      </c>
      <c r="C572" s="8"/>
      <c r="D572" s="8"/>
      <c r="E572" s="8"/>
      <c r="F572" s="8"/>
      <c r="G572" s="8"/>
      <c r="H572" s="8"/>
      <c r="I572" s="8"/>
      <c r="J572" s="9"/>
      <c r="K572" s="1"/>
      <c r="L572" s="319"/>
      <c r="M572" s="319"/>
      <c r="N572" s="319"/>
      <c r="O572" s="319"/>
      <c r="P572" s="319"/>
      <c r="Q572" s="319"/>
      <c r="R572" s="319"/>
      <c r="S572" s="319"/>
      <c r="T572" s="319"/>
      <c r="U572" s="319"/>
      <c r="V572" s="319"/>
      <c r="W572" s="319">
        <v>111944</v>
      </c>
    </row>
    <row r="573" spans="1:23" ht="12.75" hidden="1" customHeight="1">
      <c r="A573" s="12"/>
      <c r="B573" s="8" t="str">
        <f>B550</f>
        <v>Descrição</v>
      </c>
      <c r="C573" s="8"/>
      <c r="D573" s="313"/>
      <c r="E573" s="313"/>
      <c r="F573" s="8"/>
      <c r="G573" s="8"/>
      <c r="H573" s="8"/>
      <c r="I573" s="8"/>
      <c r="J573" s="9"/>
      <c r="K573" s="1"/>
      <c r="L573" s="319"/>
      <c r="M573" s="319"/>
      <c r="N573" s="319"/>
      <c r="O573" s="319"/>
      <c r="P573" s="319"/>
      <c r="Q573" s="319"/>
      <c r="R573" s="319"/>
      <c r="S573" s="319"/>
      <c r="T573" s="319"/>
      <c r="U573" s="319"/>
      <c r="V573" s="319"/>
      <c r="W573" s="319">
        <v>111946</v>
      </c>
    </row>
    <row r="574" spans="1:23" ht="12.75" hidden="1" customHeight="1">
      <c r="A574" s="12"/>
      <c r="B574" s="8" t="str">
        <f>B268</f>
        <v>Tipo</v>
      </c>
      <c r="C574" s="8"/>
      <c r="D574" s="303" t="s">
        <v>317</v>
      </c>
      <c r="E574" s="303" t="s">
        <v>317</v>
      </c>
      <c r="F574" s="8"/>
      <c r="G574" s="8"/>
      <c r="H574" s="8"/>
      <c r="I574" s="8"/>
      <c r="J574" s="9"/>
      <c r="K574" s="1"/>
      <c r="L574" s="319"/>
      <c r="M574" s="319" t="str">
        <f>Language!C1458</f>
        <v>CA</v>
      </c>
      <c r="N574" s="319"/>
      <c r="O574" s="319"/>
      <c r="P574" s="319"/>
      <c r="Q574" s="319"/>
      <c r="R574" s="319"/>
      <c r="S574" s="319"/>
      <c r="T574" s="319"/>
      <c r="U574" s="319"/>
      <c r="V574" s="319"/>
      <c r="W574" s="319">
        <v>111948</v>
      </c>
    </row>
    <row r="575" spans="1:23" ht="12.75" hidden="1" customHeight="1">
      <c r="A575" s="12"/>
      <c r="B575" s="8" t="str">
        <f>B298</f>
        <v>Eficiência</v>
      </c>
      <c r="C575" s="21" t="str">
        <f>C567</f>
        <v>%</v>
      </c>
      <c r="D575" s="159"/>
      <c r="E575" s="159"/>
      <c r="F575" s="8"/>
      <c r="G575" s="8"/>
      <c r="H575" s="8"/>
      <c r="I575" s="8"/>
      <c r="J575" s="9"/>
      <c r="K575" s="1"/>
      <c r="L575" s="319"/>
      <c r="M575" s="319" t="str">
        <f>Language!C1584</f>
        <v>CC</v>
      </c>
      <c r="N575" s="319"/>
      <c r="O575" s="319"/>
      <c r="P575" s="319"/>
      <c r="Q575" s="319"/>
      <c r="R575" s="319"/>
      <c r="S575" s="319"/>
      <c r="T575" s="319"/>
      <c r="U575" s="319"/>
      <c r="V575" s="319"/>
      <c r="W575" s="319">
        <v>111950</v>
      </c>
    </row>
    <row r="576" spans="1:23" ht="12.75" hidden="1" customHeight="1">
      <c r="A576" s="12"/>
      <c r="B576" s="8"/>
      <c r="C576" s="8"/>
      <c r="D576" s="8"/>
      <c r="E576" s="8"/>
      <c r="F576" s="8"/>
      <c r="G576" s="8"/>
      <c r="H576" s="8"/>
      <c r="I576" s="8"/>
      <c r="J576" s="9"/>
      <c r="K576" s="1"/>
      <c r="L576" s="319"/>
      <c r="M576" s="319"/>
      <c r="N576" s="319"/>
      <c r="O576" s="319"/>
      <c r="P576" s="319"/>
      <c r="Q576" s="319"/>
      <c r="R576" s="319"/>
      <c r="S576" s="319"/>
      <c r="T576" s="319"/>
      <c r="U576" s="319"/>
      <c r="V576" s="319"/>
      <c r="W576" s="319">
        <v>111900</v>
      </c>
    </row>
    <row r="577" spans="1:23" ht="12.75" hidden="1" customHeight="1">
      <c r="A577" s="12"/>
      <c r="B577" s="153" t="str">
        <f>Language!C396</f>
        <v>Resumo</v>
      </c>
      <c r="C577" s="8"/>
      <c r="D577" s="8"/>
      <c r="E577" s="8"/>
      <c r="F577" s="8"/>
      <c r="G577" s="8"/>
      <c r="H577" s="8"/>
      <c r="I577" s="8"/>
      <c r="J577" s="9"/>
      <c r="K577" s="1"/>
      <c r="L577" s="319"/>
      <c r="M577" s="319"/>
      <c r="N577" s="319"/>
      <c r="O577" s="319"/>
      <c r="P577" s="319"/>
      <c r="Q577" s="319"/>
      <c r="R577" s="319"/>
      <c r="S577" s="319"/>
      <c r="T577" s="319"/>
      <c r="U577" s="319"/>
      <c r="V577" s="319"/>
      <c r="W577" s="319">
        <v>111952</v>
      </c>
    </row>
    <row r="578" spans="1:23" ht="12.75" hidden="1" customHeight="1">
      <c r="A578" s="12"/>
      <c r="B578" s="8" t="str">
        <f>Language!C1626</f>
        <v>Demanda de eletricidade - diária</v>
      </c>
      <c r="C578" s="21" t="str">
        <f>C569</f>
        <v>kWh</v>
      </c>
      <c r="D578" s="217">
        <f>IF($D$575=0,0,D569/D$575)</f>
        <v>0</v>
      </c>
      <c r="E578" s="217">
        <f>IF($D$575=0,0,E569/E$575)</f>
        <v>0</v>
      </c>
      <c r="F578" s="8"/>
      <c r="G578" s="8"/>
      <c r="H578" s="8"/>
      <c r="I578" s="8"/>
      <c r="J578" s="9"/>
      <c r="K578" s="1"/>
      <c r="L578" s="319"/>
      <c r="M578" s="319"/>
      <c r="N578" s="319"/>
      <c r="O578" s="319"/>
      <c r="P578" s="319"/>
      <c r="Q578" s="319"/>
      <c r="R578" s="319"/>
      <c r="S578" s="319"/>
      <c r="T578" s="319"/>
      <c r="U578" s="319"/>
      <c r="V578" s="319"/>
      <c r="W578" s="319">
        <v>111954</v>
      </c>
    </row>
    <row r="579" spans="1:23" ht="12.75" hidden="1" customHeight="1">
      <c r="A579" s="12"/>
      <c r="B579" s="8" t="str">
        <f>Language!C1623</f>
        <v>Demanda de eletricidade - anual</v>
      </c>
      <c r="C579" s="21" t="str">
        <f>C570</f>
        <v>kWh</v>
      </c>
      <c r="D579" s="217">
        <f>IF($D$575=0,0,D570/D$575)</f>
        <v>0</v>
      </c>
      <c r="E579" s="217">
        <f>IF($D$575=0,0,E570/E$575)</f>
        <v>0</v>
      </c>
      <c r="F579" s="8"/>
      <c r="G579" s="8"/>
      <c r="H579" s="8"/>
      <c r="I579" s="8"/>
      <c r="J579" s="9"/>
      <c r="K579" s="1"/>
      <c r="L579" s="319"/>
      <c r="M579" s="319"/>
      <c r="N579" s="319"/>
      <c r="O579" s="319"/>
      <c r="P579" s="319"/>
      <c r="Q579" s="319"/>
      <c r="R579" s="319"/>
      <c r="S579" s="319"/>
      <c r="T579" s="319"/>
      <c r="U579" s="319"/>
      <c r="V579" s="319"/>
      <c r="W579" s="319">
        <v>111956</v>
      </c>
    </row>
    <row r="580" spans="1:23" ht="12.75" hidden="1" customHeight="1">
      <c r="A580" s="14"/>
      <c r="B580" s="15"/>
      <c r="C580" s="15"/>
      <c r="D580" s="15"/>
      <c r="E580" s="15"/>
      <c r="F580" s="15"/>
      <c r="G580" s="15"/>
      <c r="H580" s="15"/>
      <c r="I580" s="15"/>
      <c r="J580" s="11"/>
      <c r="K580" s="1"/>
      <c r="L580" s="319"/>
      <c r="M580" s="319"/>
      <c r="N580" s="319"/>
      <c r="O580" s="319"/>
      <c r="P580" s="319"/>
      <c r="Q580" s="319"/>
      <c r="R580" s="319"/>
      <c r="S580" s="319"/>
      <c r="T580" s="319"/>
      <c r="U580" s="319"/>
      <c r="V580" s="319"/>
      <c r="W580" s="319">
        <v>111900</v>
      </c>
    </row>
    <row r="581" spans="1:23" ht="12.75" hidden="1" customHeight="1">
      <c r="A581" s="8"/>
      <c r="B581" s="8"/>
      <c r="C581" s="8"/>
      <c r="D581" s="8"/>
      <c r="E581" s="8"/>
      <c r="F581" s="8"/>
      <c r="G581" s="8"/>
      <c r="H581" s="8"/>
      <c r="I581" s="8"/>
      <c r="J581" s="8"/>
      <c r="K581" s="1"/>
      <c r="L581" s="319"/>
      <c r="M581" s="319"/>
      <c r="N581" s="319"/>
      <c r="O581" s="319"/>
      <c r="P581" s="319"/>
      <c r="Q581" s="319"/>
      <c r="R581" s="319"/>
      <c r="S581" s="319"/>
      <c r="T581" s="319"/>
      <c r="U581" s="319"/>
      <c r="V581" s="319"/>
      <c r="W581" s="319">
        <v>110000</v>
      </c>
    </row>
    <row r="582" spans="1:23" ht="12.75" hidden="1" customHeight="1">
      <c r="A582" s="1203" t="str">
        <f>G9</f>
        <v>Características da janela</v>
      </c>
      <c r="B582" s="1204"/>
      <c r="C582" s="192"/>
      <c r="D582" s="192"/>
      <c r="E582" s="192"/>
      <c r="F582" s="192"/>
      <c r="G582" s="192"/>
      <c r="H582" s="192"/>
      <c r="I582" s="192"/>
      <c r="J582" s="193"/>
      <c r="K582" s="1"/>
      <c r="L582" s="319"/>
      <c r="M582" s="319"/>
      <c r="N582" s="319"/>
      <c r="O582" s="319"/>
      <c r="P582" s="319"/>
      <c r="Q582" s="319"/>
      <c r="R582" s="319"/>
      <c r="S582" s="319"/>
      <c r="T582" s="319"/>
      <c r="U582" s="319"/>
      <c r="V582" s="319"/>
      <c r="W582" s="319">
        <v>112000</v>
      </c>
    </row>
    <row r="583" spans="1:23" ht="12.75" hidden="1" customHeight="1">
      <c r="A583" s="12"/>
      <c r="B583" s="8"/>
      <c r="C583" s="8"/>
      <c r="D583" s="8"/>
      <c r="E583" s="8"/>
      <c r="F583" s="8"/>
      <c r="G583" s="8"/>
      <c r="H583" s="8"/>
      <c r="I583" s="8"/>
      <c r="J583" s="9"/>
      <c r="K583" s="1"/>
      <c r="L583" s="319"/>
      <c r="M583" s="319"/>
      <c r="N583" s="319"/>
      <c r="O583" s="319"/>
      <c r="P583" s="319"/>
      <c r="Q583" s="319"/>
      <c r="R583" s="319"/>
      <c r="S583" s="319"/>
      <c r="T583" s="319"/>
      <c r="U583" s="319"/>
      <c r="V583" s="319"/>
      <c r="W583" s="319">
        <v>112000</v>
      </c>
    </row>
    <row r="584" spans="1:23" ht="12.75" hidden="1" customHeight="1">
      <c r="A584" s="12"/>
      <c r="B584" s="404" t="str">
        <f>Language!C1639</f>
        <v>Clique aqui para acessar o formulário</v>
      </c>
      <c r="C584" s="8"/>
      <c r="D584" s="8"/>
      <c r="E584" s="8"/>
      <c r="F584" s="8"/>
      <c r="G584" s="8"/>
      <c r="H584" s="8"/>
      <c r="I584" s="8"/>
      <c r="J584" s="9"/>
      <c r="K584" s="1"/>
      <c r="L584" s="319"/>
      <c r="M584" s="319"/>
      <c r="N584" s="319"/>
      <c r="O584" s="319"/>
      <c r="P584" s="319"/>
      <c r="Q584" s="319"/>
      <c r="R584" s="319"/>
      <c r="S584" s="319"/>
      <c r="T584" s="319"/>
      <c r="U584" s="319"/>
      <c r="V584" s="319"/>
      <c r="W584" s="319">
        <v>112000</v>
      </c>
    </row>
    <row r="585" spans="1:23" ht="12.75" hidden="1" customHeight="1">
      <c r="A585" s="14"/>
      <c r="B585" s="15"/>
      <c r="C585" s="15"/>
      <c r="D585" s="15"/>
      <c r="E585" s="15"/>
      <c r="F585" s="15"/>
      <c r="G585" s="15"/>
      <c r="H585" s="15"/>
      <c r="I585" s="15"/>
      <c r="J585" s="11"/>
      <c r="K585" s="1"/>
      <c r="L585" s="319"/>
      <c r="M585" s="319"/>
      <c r="N585" s="319"/>
      <c r="O585" s="319"/>
      <c r="P585" s="319"/>
      <c r="Q585" s="319"/>
      <c r="R585" s="319"/>
      <c r="S585" s="319"/>
      <c r="T585" s="319"/>
      <c r="U585" s="319"/>
      <c r="V585" s="319"/>
      <c r="W585" s="319">
        <v>112000</v>
      </c>
    </row>
    <row r="586" spans="1:23" ht="12.75" hidden="1" customHeight="1">
      <c r="A586" s="1"/>
      <c r="B586" s="1"/>
      <c r="C586" s="1"/>
      <c r="D586" s="1"/>
      <c r="E586" s="1"/>
      <c r="F586" s="1"/>
      <c r="G586" s="1"/>
      <c r="H586" s="1"/>
      <c r="I586" s="1"/>
      <c r="J586" s="1"/>
      <c r="K586" s="1"/>
      <c r="L586" s="319"/>
      <c r="M586" s="319"/>
      <c r="N586" s="319"/>
      <c r="O586" s="319"/>
      <c r="P586" s="319"/>
      <c r="Q586" s="319"/>
      <c r="R586" s="319"/>
      <c r="S586" s="319"/>
      <c r="T586" s="319"/>
      <c r="U586" s="319"/>
      <c r="V586" s="319"/>
      <c r="W586" s="319">
        <v>110000</v>
      </c>
    </row>
    <row r="587" spans="1:23" ht="12.75" hidden="1" customHeight="1">
      <c r="A587" s="1203" t="str">
        <f>Language!C1119</f>
        <v>Padrão 1</v>
      </c>
      <c r="B587" s="1204"/>
      <c r="C587" s="192"/>
      <c r="D587" s="192"/>
      <c r="E587" s="192"/>
      <c r="F587" s="192"/>
      <c r="G587" s="192"/>
      <c r="H587" s="192"/>
      <c r="I587" s="192"/>
      <c r="J587" s="193"/>
      <c r="K587" s="1"/>
      <c r="L587" s="319"/>
      <c r="N587" s="319"/>
      <c r="O587" s="319"/>
      <c r="P587" s="319"/>
      <c r="Q587" s="319"/>
      <c r="R587" s="319"/>
      <c r="S587" s="319"/>
      <c r="T587" s="319"/>
      <c r="U587" s="319"/>
      <c r="V587" s="319"/>
      <c r="W587" s="319">
        <v>112100</v>
      </c>
    </row>
    <row r="588" spans="1:23" ht="12.75" hidden="1" customHeight="1">
      <c r="A588" s="991"/>
      <c r="B588" s="992"/>
      <c r="C588" s="992"/>
      <c r="D588" s="992"/>
      <c r="E588" s="992"/>
      <c r="F588" s="992"/>
      <c r="G588" s="992"/>
      <c r="H588" s="992"/>
      <c r="I588" s="992"/>
      <c r="J588" s="993"/>
      <c r="K588" s="1"/>
      <c r="L588" s="319"/>
      <c r="M588" s="319"/>
      <c r="N588" s="319"/>
      <c r="O588" s="319"/>
      <c r="P588" s="319"/>
      <c r="Q588" s="319"/>
      <c r="R588" s="319"/>
      <c r="S588" s="319"/>
      <c r="T588" s="319"/>
      <c r="U588" s="319"/>
      <c r="V588" s="319"/>
      <c r="W588" s="319">
        <v>112100</v>
      </c>
    </row>
    <row r="589" spans="1:23" ht="12.75" hidden="1" customHeight="1">
      <c r="A589" s="991"/>
      <c r="B589" s="992"/>
      <c r="C589" s="992"/>
      <c r="D589" s="992"/>
      <c r="E589" s="992"/>
      <c r="F589" s="992"/>
      <c r="G589" s="992"/>
      <c r="H589" s="992"/>
      <c r="I589" s="992"/>
      <c r="J589" s="993"/>
      <c r="K589" s="1"/>
      <c r="L589" s="319"/>
      <c r="M589" s="319"/>
      <c r="N589" s="319"/>
      <c r="O589" s="319"/>
      <c r="P589" s="319"/>
      <c r="Q589" s="319"/>
      <c r="R589" s="319"/>
      <c r="S589" s="319"/>
      <c r="T589" s="319"/>
      <c r="U589" s="319"/>
      <c r="V589" s="319"/>
      <c r="W589" s="319">
        <v>112100</v>
      </c>
    </row>
    <row r="590" spans="1:23" ht="12.75" hidden="1" customHeight="1">
      <c r="A590" s="991"/>
      <c r="B590" s="992"/>
      <c r="C590" s="992"/>
      <c r="D590" s="992"/>
      <c r="E590" s="992"/>
      <c r="F590" s="992"/>
      <c r="G590" s="992"/>
      <c r="H590" s="992"/>
      <c r="I590" s="992"/>
      <c r="J590" s="993"/>
      <c r="K590" s="1"/>
      <c r="L590" s="319"/>
      <c r="M590" s="319"/>
      <c r="N590" s="319"/>
      <c r="O590" s="319"/>
      <c r="P590" s="319"/>
      <c r="Q590" s="319"/>
      <c r="R590" s="319"/>
      <c r="S590" s="319"/>
      <c r="T590" s="319"/>
      <c r="U590" s="319"/>
      <c r="V590" s="319"/>
      <c r="W590" s="319">
        <v>112100</v>
      </c>
    </row>
    <row r="591" spans="1:23" ht="12.75" hidden="1" customHeight="1">
      <c r="A591" s="991"/>
      <c r="B591" s="992"/>
      <c r="C591" s="992"/>
      <c r="D591" s="992"/>
      <c r="E591" s="992"/>
      <c r="F591" s="992"/>
      <c r="G591" s="992"/>
      <c r="H591" s="992"/>
      <c r="I591" s="992"/>
      <c r="J591" s="993"/>
      <c r="K591" s="1"/>
      <c r="L591" s="319"/>
      <c r="M591" s="319"/>
      <c r="N591" s="319"/>
      <c r="O591" s="319"/>
      <c r="P591" s="319"/>
      <c r="Q591" s="319"/>
      <c r="R591" s="319"/>
      <c r="S591" s="319"/>
      <c r="T591" s="319"/>
      <c r="U591" s="319"/>
      <c r="V591" s="319"/>
      <c r="W591" s="319">
        <v>112100</v>
      </c>
    </row>
    <row r="592" spans="1:23" ht="12.75" hidden="1" customHeight="1">
      <c r="A592" s="991"/>
      <c r="B592" s="992"/>
      <c r="C592" s="992"/>
      <c r="D592" s="992"/>
      <c r="E592" s="992"/>
      <c r="F592" s="992"/>
      <c r="G592" s="992"/>
      <c r="H592" s="992"/>
      <c r="I592" s="992"/>
      <c r="J592" s="993"/>
      <c r="K592" s="1"/>
      <c r="L592" s="319"/>
      <c r="M592" s="319"/>
      <c r="N592" s="319"/>
      <c r="O592" s="319"/>
      <c r="P592" s="319"/>
      <c r="Q592" s="319"/>
      <c r="R592" s="319"/>
      <c r="S592" s="319"/>
      <c r="T592" s="319"/>
      <c r="U592" s="319"/>
      <c r="V592" s="319"/>
      <c r="W592" s="319">
        <v>112100</v>
      </c>
    </row>
    <row r="593" spans="1:23" ht="12.75" hidden="1" customHeight="1">
      <c r="A593" s="991"/>
      <c r="B593" s="992"/>
      <c r="C593" s="992"/>
      <c r="D593" s="992"/>
      <c r="E593" s="992"/>
      <c r="F593" s="992"/>
      <c r="G593" s="992"/>
      <c r="H593" s="992"/>
      <c r="I593" s="992"/>
      <c r="J593" s="993"/>
      <c r="K593" s="1"/>
      <c r="L593" s="319"/>
      <c r="M593" s="319"/>
      <c r="N593" s="319"/>
      <c r="O593" s="319"/>
      <c r="P593" s="319"/>
      <c r="Q593" s="319"/>
      <c r="R593" s="319"/>
      <c r="S593" s="319"/>
      <c r="T593" s="319"/>
      <c r="U593" s="319"/>
      <c r="V593" s="319"/>
      <c r="W593" s="319">
        <v>112100</v>
      </c>
    </row>
    <row r="594" spans="1:23" ht="12.75" hidden="1" customHeight="1">
      <c r="A594" s="991"/>
      <c r="B594" s="992"/>
      <c r="C594" s="992"/>
      <c r="D594" s="992"/>
      <c r="E594" s="992"/>
      <c r="F594" s="992"/>
      <c r="G594" s="992"/>
      <c r="H594" s="992"/>
      <c r="I594" s="992"/>
      <c r="J594" s="993"/>
      <c r="K594" s="1"/>
      <c r="L594" s="319"/>
      <c r="M594" s="319"/>
      <c r="N594" s="319"/>
      <c r="O594" s="319"/>
      <c r="P594" s="319"/>
      <c r="Q594" s="319"/>
      <c r="R594" s="319"/>
      <c r="S594" s="319"/>
      <c r="T594" s="319"/>
      <c r="U594" s="319"/>
      <c r="V594" s="319"/>
      <c r="W594" s="319">
        <v>112100</v>
      </c>
    </row>
    <row r="595" spans="1:23" ht="12.75" hidden="1" customHeight="1">
      <c r="A595" s="991"/>
      <c r="B595" s="992"/>
      <c r="C595" s="992"/>
      <c r="D595" s="992"/>
      <c r="E595" s="992"/>
      <c r="F595" s="992"/>
      <c r="G595" s="992"/>
      <c r="H595" s="992"/>
      <c r="I595" s="992"/>
      <c r="J595" s="993"/>
      <c r="K595" s="1"/>
      <c r="L595" s="319"/>
      <c r="M595" s="319"/>
      <c r="N595" s="319"/>
      <c r="O595" s="319"/>
      <c r="P595" s="319"/>
      <c r="Q595" s="319"/>
      <c r="R595" s="319"/>
      <c r="S595" s="319"/>
      <c r="T595" s="319"/>
      <c r="U595" s="319"/>
      <c r="V595" s="319"/>
      <c r="W595" s="319">
        <v>112100</v>
      </c>
    </row>
    <row r="596" spans="1:23" ht="12.75" hidden="1" customHeight="1">
      <c r="A596" s="991"/>
      <c r="B596" s="992"/>
      <c r="C596" s="992"/>
      <c r="D596" s="992"/>
      <c r="E596" s="992"/>
      <c r="F596" s="992"/>
      <c r="G596" s="992"/>
      <c r="H596" s="992"/>
      <c r="I596" s="992"/>
      <c r="J596" s="993"/>
      <c r="K596" s="1"/>
      <c r="L596" s="319"/>
      <c r="M596" s="319"/>
      <c r="N596" s="319"/>
      <c r="O596" s="319"/>
      <c r="P596" s="319"/>
      <c r="Q596" s="319"/>
      <c r="R596" s="319"/>
      <c r="S596" s="319"/>
      <c r="T596" s="319"/>
      <c r="U596" s="319"/>
      <c r="V596" s="319"/>
      <c r="W596" s="319">
        <v>112100</v>
      </c>
    </row>
    <row r="597" spans="1:23" ht="12.75" hidden="1" customHeight="1">
      <c r="A597" s="991"/>
      <c r="B597" s="992"/>
      <c r="C597" s="992"/>
      <c r="D597" s="992"/>
      <c r="E597" s="992"/>
      <c r="F597" s="992"/>
      <c r="G597" s="992"/>
      <c r="H597" s="992"/>
      <c r="I597" s="992"/>
      <c r="J597" s="993"/>
      <c r="K597" s="1"/>
      <c r="L597" s="319"/>
      <c r="M597" s="319"/>
      <c r="N597" s="319"/>
      <c r="O597" s="319"/>
      <c r="P597" s="319"/>
      <c r="Q597" s="319"/>
      <c r="R597" s="319"/>
      <c r="S597" s="319"/>
      <c r="T597" s="319"/>
      <c r="U597" s="319"/>
      <c r="V597" s="319"/>
      <c r="W597" s="319">
        <v>112100</v>
      </c>
    </row>
    <row r="598" spans="1:23" ht="12.75" hidden="1" customHeight="1">
      <c r="A598" s="991"/>
      <c r="B598" s="992"/>
      <c r="C598" s="992"/>
      <c r="D598" s="992"/>
      <c r="E598" s="992"/>
      <c r="F598" s="992"/>
      <c r="G598" s="992"/>
      <c r="H598" s="992"/>
      <c r="I598" s="992"/>
      <c r="J598" s="993"/>
      <c r="K598" s="1"/>
      <c r="L598" s="319"/>
      <c r="M598" s="319"/>
      <c r="N598" s="319"/>
      <c r="O598" s="319"/>
      <c r="P598" s="319"/>
      <c r="Q598" s="319"/>
      <c r="R598" s="319"/>
      <c r="S598" s="319"/>
      <c r="T598" s="319"/>
      <c r="U598" s="319"/>
      <c r="V598" s="319"/>
      <c r="W598" s="319">
        <v>112100</v>
      </c>
    </row>
    <row r="599" spans="1:23" ht="12.75" hidden="1" customHeight="1">
      <c r="A599" s="991"/>
      <c r="B599" s="992"/>
      <c r="C599" s="992"/>
      <c r="D599" s="992"/>
      <c r="E599" s="992"/>
      <c r="F599" s="992"/>
      <c r="G599" s="992"/>
      <c r="H599" s="992"/>
      <c r="I599" s="992"/>
      <c r="J599" s="993"/>
      <c r="K599" s="1"/>
      <c r="L599" s="319"/>
      <c r="M599" s="319"/>
      <c r="N599" s="319"/>
      <c r="O599" s="319"/>
      <c r="P599" s="319"/>
      <c r="Q599" s="319"/>
      <c r="R599" s="319"/>
      <c r="S599" s="319"/>
      <c r="T599" s="319"/>
      <c r="U599" s="319"/>
      <c r="V599" s="319"/>
      <c r="W599" s="319">
        <v>112100</v>
      </c>
    </row>
    <row r="600" spans="1:23" ht="12.75" hidden="1" customHeight="1">
      <c r="A600" s="991"/>
      <c r="B600" s="992"/>
      <c r="C600" s="992"/>
      <c r="D600" s="992"/>
      <c r="E600" s="992"/>
      <c r="F600" s="992"/>
      <c r="G600" s="992"/>
      <c r="H600" s="992"/>
      <c r="I600" s="992"/>
      <c r="J600" s="993"/>
      <c r="K600" s="1"/>
      <c r="L600" s="319"/>
      <c r="M600" s="319"/>
      <c r="N600" s="319"/>
      <c r="O600" s="319"/>
      <c r="P600" s="319"/>
      <c r="Q600" s="319"/>
      <c r="R600" s="319"/>
      <c r="S600" s="319"/>
      <c r="T600" s="319"/>
      <c r="U600" s="319"/>
      <c r="V600" s="319"/>
      <c r="W600" s="319">
        <v>112100</v>
      </c>
    </row>
    <row r="601" spans="1:23" ht="12.75" hidden="1" customHeight="1">
      <c r="A601" s="991"/>
      <c r="B601" s="992"/>
      <c r="C601" s="992"/>
      <c r="D601" s="992"/>
      <c r="E601" s="992"/>
      <c r="F601" s="992"/>
      <c r="G601" s="992"/>
      <c r="H601" s="992"/>
      <c r="I601" s="992"/>
      <c r="J601" s="993"/>
      <c r="K601" s="1"/>
      <c r="L601" s="319"/>
      <c r="M601" s="319"/>
      <c r="N601" s="319"/>
      <c r="O601" s="319"/>
      <c r="P601" s="319"/>
      <c r="Q601" s="319"/>
      <c r="R601" s="319"/>
      <c r="S601" s="319"/>
      <c r="T601" s="319"/>
      <c r="U601" s="319"/>
      <c r="V601" s="319"/>
      <c r="W601" s="319">
        <v>112100</v>
      </c>
    </row>
    <row r="602" spans="1:23" ht="12.75" hidden="1" customHeight="1">
      <c r="A602" s="991"/>
      <c r="B602" s="992"/>
      <c r="C602" s="992"/>
      <c r="D602" s="992"/>
      <c r="E602" s="992"/>
      <c r="F602" s="992"/>
      <c r="G602" s="992"/>
      <c r="H602" s="992"/>
      <c r="I602" s="992"/>
      <c r="J602" s="993"/>
      <c r="K602" s="1"/>
      <c r="L602" s="319"/>
      <c r="M602" s="319"/>
      <c r="N602" s="319"/>
      <c r="O602" s="319"/>
      <c r="P602" s="319"/>
      <c r="Q602" s="319"/>
      <c r="R602" s="319"/>
      <c r="S602" s="319"/>
      <c r="T602" s="319"/>
      <c r="U602" s="319"/>
      <c r="V602" s="319"/>
      <c r="W602" s="319">
        <v>112100</v>
      </c>
    </row>
    <row r="603" spans="1:23" ht="12.75" hidden="1" customHeight="1">
      <c r="A603" s="991"/>
      <c r="B603" s="992"/>
      <c r="C603" s="992"/>
      <c r="D603" s="1001"/>
      <c r="E603" s="992"/>
      <c r="F603" s="992"/>
      <c r="G603" s="992"/>
      <c r="H603" s="992"/>
      <c r="I603" s="992"/>
      <c r="J603" s="993"/>
      <c r="K603" s="1"/>
      <c r="L603" s="319"/>
      <c r="M603" s="319"/>
      <c r="N603" s="319"/>
      <c r="O603" s="319"/>
      <c r="P603" s="319"/>
      <c r="Q603" s="319"/>
      <c r="R603" s="319"/>
      <c r="S603" s="319"/>
      <c r="T603" s="319"/>
      <c r="U603" s="319"/>
      <c r="V603" s="319"/>
      <c r="W603" s="319">
        <v>112100</v>
      </c>
    </row>
    <row r="604" spans="1:23" ht="12.75" hidden="1" customHeight="1">
      <c r="A604" s="991"/>
      <c r="B604" s="992"/>
      <c r="C604" s="992"/>
      <c r="D604" s="992"/>
      <c r="E604" s="992"/>
      <c r="F604" s="992"/>
      <c r="G604" s="992"/>
      <c r="H604" s="992"/>
      <c r="I604" s="992"/>
      <c r="J604" s="993"/>
      <c r="K604" s="1"/>
      <c r="L604" s="319"/>
      <c r="M604" s="319"/>
      <c r="N604" s="319"/>
      <c r="O604" s="319"/>
      <c r="P604" s="319"/>
      <c r="Q604" s="319"/>
      <c r="R604" s="319"/>
      <c r="S604" s="319"/>
      <c r="T604" s="319"/>
      <c r="U604" s="319"/>
      <c r="V604" s="319"/>
      <c r="W604" s="319">
        <v>112100</v>
      </c>
    </row>
    <row r="605" spans="1:23" ht="12.75" hidden="1" customHeight="1">
      <c r="A605" s="991"/>
      <c r="B605" s="992"/>
      <c r="C605" s="992"/>
      <c r="D605" s="992"/>
      <c r="E605" s="992"/>
      <c r="F605" s="992"/>
      <c r="G605" s="992"/>
      <c r="H605" s="992"/>
      <c r="I605" s="992"/>
      <c r="J605" s="993"/>
      <c r="K605" s="1"/>
      <c r="L605" s="319"/>
      <c r="M605" s="319"/>
      <c r="N605" s="319"/>
      <c r="O605" s="319"/>
      <c r="P605" s="319"/>
      <c r="Q605" s="319"/>
      <c r="R605" s="319"/>
      <c r="S605" s="319"/>
      <c r="T605" s="319"/>
      <c r="U605" s="319"/>
      <c r="V605" s="319"/>
      <c r="W605" s="319">
        <v>112100</v>
      </c>
    </row>
    <row r="606" spans="1:23" ht="12.75" hidden="1" customHeight="1">
      <c r="A606" s="991"/>
      <c r="B606" s="992"/>
      <c r="C606" s="992"/>
      <c r="D606" s="992"/>
      <c r="E606" s="992"/>
      <c r="F606" s="992"/>
      <c r="G606" s="992"/>
      <c r="H606" s="992"/>
      <c r="I606" s="992"/>
      <c r="J606" s="993"/>
      <c r="K606" s="1"/>
      <c r="L606" s="319"/>
      <c r="M606" s="319"/>
      <c r="N606" s="319"/>
      <c r="O606" s="319"/>
      <c r="P606" s="319"/>
      <c r="Q606" s="319"/>
      <c r="R606" s="319"/>
      <c r="S606" s="319"/>
      <c r="T606" s="319"/>
      <c r="U606" s="319"/>
      <c r="V606" s="319"/>
      <c r="W606" s="319">
        <v>112100</v>
      </c>
    </row>
    <row r="607" spans="1:23" ht="12.75" hidden="1" customHeight="1">
      <c r="A607" s="991"/>
      <c r="B607" s="992"/>
      <c r="C607" s="992"/>
      <c r="D607" s="992"/>
      <c r="E607" s="992"/>
      <c r="F607" s="992"/>
      <c r="G607" s="992"/>
      <c r="H607" s="992"/>
      <c r="I607" s="992"/>
      <c r="J607" s="993"/>
      <c r="K607" s="1"/>
      <c r="L607" s="319"/>
      <c r="M607" s="319"/>
      <c r="N607" s="319"/>
      <c r="O607" s="319"/>
      <c r="P607" s="319"/>
      <c r="Q607" s="319"/>
      <c r="R607" s="319"/>
      <c r="S607" s="319"/>
      <c r="T607" s="319"/>
      <c r="U607" s="319"/>
      <c r="V607" s="319"/>
      <c r="W607" s="319">
        <v>112100</v>
      </c>
    </row>
    <row r="608" spans="1:23" ht="12.75" hidden="1" customHeight="1">
      <c r="A608" s="991"/>
      <c r="B608" s="992"/>
      <c r="C608" s="992"/>
      <c r="D608" s="992"/>
      <c r="E608" s="992"/>
      <c r="F608" s="992"/>
      <c r="G608" s="992"/>
      <c r="H608" s="992"/>
      <c r="I608" s="992"/>
      <c r="J608" s="993"/>
      <c r="K608" s="1"/>
      <c r="L608" s="319"/>
      <c r="M608" s="319"/>
      <c r="N608" s="319"/>
      <c r="O608" s="319"/>
      <c r="P608" s="319"/>
      <c r="Q608" s="319"/>
      <c r="R608" s="319"/>
      <c r="S608" s="319"/>
      <c r="T608" s="319"/>
      <c r="U608" s="319"/>
      <c r="V608" s="319"/>
      <c r="W608" s="319">
        <v>112100</v>
      </c>
    </row>
    <row r="609" spans="1:23" ht="12.75" hidden="1" customHeight="1">
      <c r="A609" s="991"/>
      <c r="B609" s="992"/>
      <c r="C609" s="992"/>
      <c r="D609" s="995"/>
      <c r="E609" s="992"/>
      <c r="F609" s="992"/>
      <c r="G609" s="992"/>
      <c r="H609" s="992"/>
      <c r="I609" s="992"/>
      <c r="J609" s="993"/>
      <c r="K609" s="1"/>
      <c r="L609" s="319"/>
      <c r="M609" s="319"/>
      <c r="N609" s="319"/>
      <c r="O609" s="319"/>
      <c r="P609" s="319"/>
      <c r="Q609" s="319"/>
      <c r="R609" s="319"/>
      <c r="S609" s="319"/>
      <c r="T609" s="319"/>
      <c r="U609" s="319"/>
      <c r="V609" s="319"/>
      <c r="W609" s="319">
        <v>112100</v>
      </c>
    </row>
    <row r="610" spans="1:23" ht="12.75" hidden="1" customHeight="1">
      <c r="A610" s="991"/>
      <c r="B610" s="992"/>
      <c r="C610" s="992"/>
      <c r="D610" s="992"/>
      <c r="E610" s="992"/>
      <c r="F610" s="992"/>
      <c r="G610" s="992"/>
      <c r="H610" s="992"/>
      <c r="I610" s="992"/>
      <c r="J610" s="993"/>
      <c r="K610" s="1"/>
      <c r="L610" s="319"/>
      <c r="M610" s="319"/>
      <c r="N610" s="319"/>
      <c r="O610" s="319"/>
      <c r="P610" s="319"/>
      <c r="Q610" s="319"/>
      <c r="R610" s="319"/>
      <c r="S610" s="319"/>
      <c r="T610" s="319"/>
      <c r="U610" s="319"/>
      <c r="V610" s="319"/>
      <c r="W610" s="319">
        <v>112100</v>
      </c>
    </row>
    <row r="611" spans="1:23" ht="12.75" hidden="1" customHeight="1">
      <c r="A611" s="991"/>
      <c r="B611" s="992"/>
      <c r="C611" s="992"/>
      <c r="D611" s="992"/>
      <c r="E611" s="992"/>
      <c r="F611" s="992"/>
      <c r="G611" s="992"/>
      <c r="H611" s="992"/>
      <c r="I611" s="992"/>
      <c r="J611" s="993"/>
      <c r="K611" s="1"/>
      <c r="L611" s="319"/>
      <c r="M611" s="319"/>
      <c r="N611" s="319"/>
      <c r="O611" s="319"/>
      <c r="P611" s="319"/>
      <c r="Q611" s="319"/>
      <c r="R611" s="319"/>
      <c r="S611" s="319"/>
      <c r="T611" s="319"/>
      <c r="U611" s="319"/>
      <c r="V611" s="319"/>
      <c r="W611" s="319">
        <v>112100</v>
      </c>
    </row>
    <row r="612" spans="1:23" ht="12.75" hidden="1" customHeight="1">
      <c r="A612" s="991"/>
      <c r="B612" s="992"/>
      <c r="C612" s="992"/>
      <c r="D612" s="992"/>
      <c r="E612" s="992"/>
      <c r="F612" s="992"/>
      <c r="G612" s="992"/>
      <c r="H612" s="992"/>
      <c r="I612" s="992"/>
      <c r="J612" s="993"/>
      <c r="K612" s="1"/>
      <c r="L612" s="319"/>
      <c r="M612" s="319"/>
      <c r="N612" s="319"/>
      <c r="O612" s="319"/>
      <c r="P612" s="319"/>
      <c r="Q612" s="319"/>
      <c r="R612" s="319"/>
      <c r="S612" s="319"/>
      <c r="T612" s="319"/>
      <c r="U612" s="319"/>
      <c r="V612" s="319"/>
      <c r="W612" s="319">
        <v>112100</v>
      </c>
    </row>
    <row r="613" spans="1:23" ht="12.75" hidden="1" customHeight="1">
      <c r="A613" s="991"/>
      <c r="B613" s="992"/>
      <c r="C613" s="992"/>
      <c r="D613" s="992"/>
      <c r="E613" s="992"/>
      <c r="F613" s="992"/>
      <c r="G613" s="992"/>
      <c r="H613" s="992"/>
      <c r="I613" s="992"/>
      <c r="J613" s="993"/>
      <c r="K613" s="1"/>
      <c r="L613" s="319"/>
      <c r="M613" s="319"/>
      <c r="N613" s="319"/>
      <c r="O613" s="319"/>
      <c r="P613" s="319"/>
      <c r="Q613" s="319"/>
      <c r="R613" s="319"/>
      <c r="S613" s="319"/>
      <c r="T613" s="319"/>
      <c r="U613" s="319"/>
      <c r="V613" s="319"/>
      <c r="W613" s="319">
        <v>112100</v>
      </c>
    </row>
    <row r="614" spans="1:23" ht="12.75" hidden="1" customHeight="1">
      <c r="A614" s="991"/>
      <c r="B614" s="992"/>
      <c r="C614" s="992"/>
      <c r="D614" s="992"/>
      <c r="E614" s="992"/>
      <c r="F614" s="992"/>
      <c r="G614" s="992"/>
      <c r="H614" s="992"/>
      <c r="I614" s="992"/>
      <c r="J614" s="993"/>
      <c r="K614" s="1"/>
      <c r="L614" s="319"/>
      <c r="M614" s="319"/>
      <c r="N614" s="319"/>
      <c r="O614" s="319"/>
      <c r="P614" s="319"/>
      <c r="Q614" s="319"/>
      <c r="R614" s="319"/>
      <c r="S614" s="319"/>
      <c r="T614" s="319"/>
      <c r="U614" s="319"/>
      <c r="V614" s="319"/>
      <c r="W614" s="319">
        <v>112100</v>
      </c>
    </row>
    <row r="615" spans="1:23" ht="12.75" hidden="1" customHeight="1">
      <c r="A615" s="991"/>
      <c r="B615" s="992"/>
      <c r="C615" s="992"/>
      <c r="D615" s="992"/>
      <c r="E615" s="992"/>
      <c r="F615" s="992"/>
      <c r="G615" s="992"/>
      <c r="H615" s="994"/>
      <c r="I615" s="992"/>
      <c r="J615" s="993"/>
      <c r="K615" s="1"/>
      <c r="L615" s="319"/>
      <c r="M615" s="319"/>
      <c r="N615" s="319"/>
      <c r="O615" s="319"/>
      <c r="P615" s="319"/>
      <c r="Q615" s="319"/>
      <c r="R615" s="319"/>
      <c r="S615" s="319"/>
      <c r="T615" s="319"/>
      <c r="U615" s="319"/>
      <c r="V615" s="319"/>
      <c r="W615" s="319">
        <v>112100</v>
      </c>
    </row>
    <row r="616" spans="1:23" ht="12.75" hidden="1" customHeight="1">
      <c r="A616" s="991"/>
      <c r="B616" s="992"/>
      <c r="C616" s="992"/>
      <c r="D616" s="992"/>
      <c r="E616" s="992"/>
      <c r="F616" s="992"/>
      <c r="G616" s="992"/>
      <c r="H616" s="994"/>
      <c r="I616" s="992"/>
      <c r="J616" s="993"/>
      <c r="K616" s="1"/>
      <c r="L616" s="319"/>
      <c r="M616" s="319"/>
      <c r="N616" s="319"/>
      <c r="O616" s="319"/>
      <c r="P616" s="319"/>
      <c r="Q616" s="319"/>
      <c r="R616" s="319"/>
      <c r="S616" s="319"/>
      <c r="T616" s="319"/>
      <c r="U616" s="319"/>
      <c r="V616" s="319"/>
      <c r="W616" s="319">
        <v>112100</v>
      </c>
    </row>
    <row r="617" spans="1:23" ht="12.75" hidden="1" customHeight="1">
      <c r="A617" s="991"/>
      <c r="B617" s="992"/>
      <c r="C617" s="992"/>
      <c r="D617" s="992"/>
      <c r="E617" s="992"/>
      <c r="F617" s="992"/>
      <c r="G617" s="992"/>
      <c r="H617" s="994"/>
      <c r="I617" s="992"/>
      <c r="J617" s="993"/>
      <c r="K617" s="1"/>
      <c r="L617" s="319"/>
      <c r="M617" s="319"/>
      <c r="N617" s="319"/>
      <c r="O617" s="319"/>
      <c r="P617" s="319"/>
      <c r="Q617" s="319"/>
      <c r="R617" s="319"/>
      <c r="S617" s="319"/>
      <c r="T617" s="319"/>
      <c r="U617" s="319"/>
      <c r="V617" s="319"/>
      <c r="W617" s="319">
        <v>112100</v>
      </c>
    </row>
    <row r="618" spans="1:23" ht="12.75" hidden="1" customHeight="1">
      <c r="A618" s="991"/>
      <c r="B618" s="995"/>
      <c r="C618" s="995"/>
      <c r="D618" s="995"/>
      <c r="E618" s="995"/>
      <c r="F618" s="995"/>
      <c r="G618" s="995"/>
      <c r="H618" s="995"/>
      <c r="I618" s="992"/>
      <c r="J618" s="993"/>
      <c r="K618" s="1"/>
      <c r="L618" s="319"/>
      <c r="M618" s="319"/>
      <c r="N618" s="319"/>
      <c r="O618" s="319"/>
      <c r="P618" s="319"/>
      <c r="Q618" s="319"/>
      <c r="R618" s="319"/>
      <c r="S618" s="319"/>
      <c r="T618" s="319"/>
      <c r="U618" s="319"/>
      <c r="V618" s="319"/>
      <c r="W618" s="319">
        <v>112100</v>
      </c>
    </row>
    <row r="619" spans="1:23" ht="12.75" hidden="1" customHeight="1">
      <c r="A619" s="996"/>
      <c r="B619" s="997"/>
      <c r="C619" s="997"/>
      <c r="D619" s="997"/>
      <c r="E619" s="997"/>
      <c r="F619" s="997"/>
      <c r="G619" s="997"/>
      <c r="H619" s="997"/>
      <c r="I619" s="997"/>
      <c r="J619" s="998"/>
      <c r="K619" s="1"/>
      <c r="L619" s="319"/>
      <c r="M619" s="319"/>
      <c r="N619" s="319"/>
      <c r="O619" s="319"/>
      <c r="P619" s="319"/>
      <c r="Q619" s="319"/>
      <c r="R619" s="319"/>
      <c r="S619" s="319"/>
      <c r="T619" s="319"/>
      <c r="U619" s="319"/>
      <c r="V619" s="319"/>
      <c r="W619" s="319">
        <v>112100</v>
      </c>
    </row>
    <row r="620" spans="1:23" ht="13.2" hidden="1">
      <c r="A620" s="1"/>
      <c r="B620" s="1"/>
      <c r="C620" s="1"/>
      <c r="D620" s="1"/>
      <c r="E620" s="1"/>
      <c r="F620" s="1"/>
      <c r="G620" s="1"/>
      <c r="H620" s="1"/>
      <c r="I620" s="1"/>
      <c r="J620" s="1"/>
      <c r="K620" s="1"/>
      <c r="L620" s="319"/>
      <c r="M620" s="319"/>
      <c r="N620" s="319"/>
      <c r="O620" s="319"/>
      <c r="P620" s="319"/>
      <c r="Q620" s="319"/>
      <c r="R620" s="319"/>
      <c r="S620" s="319"/>
      <c r="T620" s="319"/>
      <c r="U620" s="319"/>
      <c r="V620" s="319"/>
      <c r="W620" s="319">
        <v>110000</v>
      </c>
    </row>
    <row r="621" spans="1:23" ht="13.2" hidden="1">
      <c r="A621" s="1203" t="str">
        <f>G11</f>
        <v>Padrão 2</v>
      </c>
      <c r="B621" s="1204"/>
      <c r="C621" s="192"/>
      <c r="D621" s="192"/>
      <c r="E621" s="192"/>
      <c r="F621" s="192"/>
      <c r="G621" s="192"/>
      <c r="H621" s="192"/>
      <c r="I621" s="192"/>
      <c r="J621" s="193"/>
      <c r="K621" s="1"/>
      <c r="L621" s="319"/>
      <c r="M621" s="319"/>
      <c r="N621" s="319"/>
      <c r="O621" s="319"/>
      <c r="P621" s="319"/>
      <c r="Q621" s="319"/>
      <c r="R621" s="319"/>
      <c r="S621" s="319"/>
      <c r="T621" s="319"/>
      <c r="U621" s="319"/>
      <c r="V621" s="319"/>
      <c r="W621" s="319">
        <v>112100</v>
      </c>
    </row>
    <row r="622" spans="1:23" ht="13.2" hidden="1">
      <c r="A622" s="991"/>
      <c r="B622" s="992"/>
      <c r="C622" s="992"/>
      <c r="D622" s="992"/>
      <c r="E622" s="992"/>
      <c r="F622" s="992"/>
      <c r="G622" s="992"/>
      <c r="H622" s="992"/>
      <c r="I622" s="992"/>
      <c r="J622" s="993"/>
      <c r="K622" s="1"/>
      <c r="L622" s="319"/>
      <c r="M622" s="319"/>
      <c r="N622" s="319"/>
      <c r="O622" s="319"/>
      <c r="P622" s="319"/>
      <c r="Q622" s="319"/>
      <c r="R622" s="319"/>
      <c r="S622" s="319"/>
      <c r="T622" s="319"/>
      <c r="U622" s="319"/>
      <c r="V622" s="319"/>
      <c r="W622" s="319">
        <v>112100</v>
      </c>
    </row>
    <row r="623" spans="1:23" ht="13.2" hidden="1">
      <c r="A623" s="991"/>
      <c r="B623" s="992"/>
      <c r="C623" s="992"/>
      <c r="D623" s="992"/>
      <c r="E623" s="992"/>
      <c r="F623" s="992"/>
      <c r="G623" s="992"/>
      <c r="H623" s="992"/>
      <c r="I623" s="992"/>
      <c r="J623" s="993"/>
      <c r="K623" s="1"/>
      <c r="L623" s="319"/>
      <c r="M623" s="319"/>
      <c r="N623" s="319"/>
      <c r="O623" s="319"/>
      <c r="P623" s="319"/>
      <c r="Q623" s="319"/>
      <c r="R623" s="319"/>
      <c r="S623" s="319"/>
      <c r="T623" s="319"/>
      <c r="U623" s="319"/>
      <c r="V623" s="319"/>
      <c r="W623" s="319">
        <v>112100</v>
      </c>
    </row>
    <row r="624" spans="1:23" ht="13.2" hidden="1">
      <c r="A624" s="991"/>
      <c r="B624" s="992"/>
      <c r="C624" s="992"/>
      <c r="D624" s="999"/>
      <c r="E624" s="999"/>
      <c r="F624" s="999"/>
      <c r="G624" s="992"/>
      <c r="H624" s="992"/>
      <c r="I624" s="992"/>
      <c r="J624" s="993"/>
      <c r="K624" s="1"/>
      <c r="L624" s="319"/>
      <c r="M624" s="319"/>
      <c r="N624" s="319"/>
      <c r="O624" s="319"/>
      <c r="P624" s="319"/>
      <c r="Q624" s="319"/>
      <c r="R624" s="319"/>
      <c r="S624" s="319"/>
      <c r="T624" s="319"/>
      <c r="U624" s="319"/>
      <c r="V624" s="319"/>
      <c r="W624" s="319">
        <v>112100</v>
      </c>
    </row>
    <row r="625" spans="1:23" ht="13.2" hidden="1">
      <c r="A625" s="991"/>
      <c r="B625" s="992"/>
      <c r="C625" s="992"/>
      <c r="D625" s="999"/>
      <c r="E625" s="999"/>
      <c r="F625" s="999"/>
      <c r="G625" s="992"/>
      <c r="H625" s="992"/>
      <c r="I625" s="992"/>
      <c r="J625" s="993"/>
      <c r="K625" s="1"/>
      <c r="L625" s="319"/>
      <c r="M625" s="319"/>
      <c r="N625" s="319"/>
      <c r="O625" s="319"/>
      <c r="P625" s="319"/>
      <c r="Q625" s="319"/>
      <c r="R625" s="319"/>
      <c r="S625" s="319"/>
      <c r="T625" s="319"/>
      <c r="U625" s="319"/>
      <c r="V625" s="319"/>
      <c r="W625" s="319">
        <v>112100</v>
      </c>
    </row>
    <row r="626" spans="1:23" ht="13.2" hidden="1">
      <c r="A626" s="991"/>
      <c r="B626" s="992"/>
      <c r="C626" s="992"/>
      <c r="D626" s="999"/>
      <c r="E626" s="999"/>
      <c r="F626" s="999"/>
      <c r="G626" s="992"/>
      <c r="H626" s="992"/>
      <c r="I626" s="992"/>
      <c r="J626" s="993"/>
      <c r="K626" s="1"/>
      <c r="L626" s="319"/>
      <c r="M626" s="319"/>
      <c r="N626" s="319"/>
      <c r="O626" s="319"/>
      <c r="P626" s="319"/>
      <c r="Q626" s="319"/>
      <c r="R626" s="319"/>
      <c r="S626" s="319"/>
      <c r="T626" s="319"/>
      <c r="U626" s="319"/>
      <c r="V626" s="319"/>
      <c r="W626" s="319">
        <v>112100</v>
      </c>
    </row>
    <row r="627" spans="1:23" ht="13.2" hidden="1">
      <c r="A627" s="991"/>
      <c r="B627" s="992"/>
      <c r="C627" s="992"/>
      <c r="D627" s="999"/>
      <c r="E627" s="999"/>
      <c r="F627" s="999"/>
      <c r="G627" s="992"/>
      <c r="H627" s="992"/>
      <c r="I627" s="992"/>
      <c r="J627" s="993"/>
      <c r="K627" s="1"/>
      <c r="L627" s="319"/>
      <c r="M627" s="319"/>
      <c r="N627" s="319"/>
      <c r="O627" s="319"/>
      <c r="P627" s="319"/>
      <c r="Q627" s="319"/>
      <c r="R627" s="319"/>
      <c r="S627" s="319"/>
      <c r="T627" s="319"/>
      <c r="U627" s="319"/>
      <c r="V627" s="319"/>
      <c r="W627" s="319">
        <v>112100</v>
      </c>
    </row>
    <row r="628" spans="1:23" ht="13.2" hidden="1">
      <c r="A628" s="991"/>
      <c r="B628" s="992"/>
      <c r="C628" s="992"/>
      <c r="D628" s="999"/>
      <c r="E628" s="999"/>
      <c r="F628" s="999"/>
      <c r="G628" s="992"/>
      <c r="H628" s="992"/>
      <c r="I628" s="992"/>
      <c r="J628" s="993"/>
      <c r="K628" s="1"/>
      <c r="L628" s="319"/>
      <c r="M628" s="319"/>
      <c r="N628" s="319"/>
      <c r="O628" s="319"/>
      <c r="P628" s="319"/>
      <c r="Q628" s="319"/>
      <c r="R628" s="319"/>
      <c r="S628" s="319"/>
      <c r="T628" s="319"/>
      <c r="U628" s="319"/>
      <c r="V628" s="319"/>
      <c r="W628" s="319">
        <v>112100</v>
      </c>
    </row>
    <row r="629" spans="1:23" ht="13.2" hidden="1">
      <c r="A629" s="991"/>
      <c r="B629" s="992"/>
      <c r="C629" s="992"/>
      <c r="D629" s="999"/>
      <c r="E629" s="999"/>
      <c r="F629" s="999"/>
      <c r="G629" s="992"/>
      <c r="H629" s="992"/>
      <c r="I629" s="992"/>
      <c r="J629" s="993"/>
      <c r="K629" s="1"/>
      <c r="L629" s="319"/>
      <c r="M629" s="319"/>
      <c r="N629" s="319"/>
      <c r="O629" s="319"/>
      <c r="P629" s="319"/>
      <c r="Q629" s="319"/>
      <c r="R629" s="319"/>
      <c r="S629" s="319"/>
      <c r="T629" s="319"/>
      <c r="U629" s="319"/>
      <c r="V629" s="319"/>
      <c r="W629" s="319">
        <v>112100</v>
      </c>
    </row>
    <row r="630" spans="1:23" ht="13.2" hidden="1">
      <c r="A630" s="991"/>
      <c r="B630" s="992"/>
      <c r="C630" s="992"/>
      <c r="D630" s="999"/>
      <c r="E630" s="999"/>
      <c r="F630" s="999"/>
      <c r="G630" s="992"/>
      <c r="H630" s="992"/>
      <c r="I630" s="992"/>
      <c r="J630" s="993"/>
      <c r="K630" s="1"/>
      <c r="L630" s="319"/>
      <c r="M630" s="319"/>
      <c r="N630" s="319"/>
      <c r="O630" s="319"/>
      <c r="P630" s="319"/>
      <c r="Q630" s="319"/>
      <c r="R630" s="319"/>
      <c r="S630" s="319"/>
      <c r="T630" s="319"/>
      <c r="U630" s="319"/>
      <c r="V630" s="319"/>
      <c r="W630" s="319">
        <v>112100</v>
      </c>
    </row>
    <row r="631" spans="1:23" ht="13.2" hidden="1">
      <c r="A631" s="991"/>
      <c r="B631" s="992"/>
      <c r="C631" s="992"/>
      <c r="D631" s="999"/>
      <c r="E631" s="999"/>
      <c r="F631" s="999"/>
      <c r="G631" s="992"/>
      <c r="H631" s="992"/>
      <c r="I631" s="992"/>
      <c r="J631" s="993"/>
      <c r="K631" s="1"/>
      <c r="L631" s="319"/>
      <c r="M631" s="319"/>
      <c r="N631" s="319"/>
      <c r="O631" s="319"/>
      <c r="P631" s="319"/>
      <c r="Q631" s="319"/>
      <c r="R631" s="319"/>
      <c r="S631" s="319"/>
      <c r="T631" s="319"/>
      <c r="U631" s="319"/>
      <c r="V631" s="319"/>
      <c r="W631" s="319"/>
    </row>
    <row r="632" spans="1:23" ht="13.2" hidden="1">
      <c r="A632" s="991"/>
      <c r="B632" s="992"/>
      <c r="C632" s="992"/>
      <c r="D632" s="999"/>
      <c r="E632" s="999"/>
      <c r="F632" s="999"/>
      <c r="G632" s="992"/>
      <c r="H632" s="992"/>
      <c r="I632" s="992"/>
      <c r="J632" s="993"/>
      <c r="K632" s="1"/>
      <c r="L632" s="319"/>
      <c r="M632" s="319"/>
      <c r="N632" s="319"/>
      <c r="O632" s="319"/>
      <c r="P632" s="319"/>
      <c r="Q632" s="319"/>
      <c r="R632" s="319"/>
      <c r="S632" s="319"/>
      <c r="T632" s="319"/>
      <c r="U632" s="319"/>
      <c r="V632" s="319"/>
      <c r="W632" s="319">
        <v>112100</v>
      </c>
    </row>
    <row r="633" spans="1:23" ht="13.2" hidden="1">
      <c r="A633" s="991"/>
      <c r="B633" s="992"/>
      <c r="C633" s="992"/>
      <c r="D633" s="999"/>
      <c r="E633" s="999"/>
      <c r="F633" s="999"/>
      <c r="G633" s="992"/>
      <c r="H633" s="992"/>
      <c r="I633" s="992"/>
      <c r="J633" s="993"/>
      <c r="K633" s="1"/>
      <c r="L633" s="319"/>
      <c r="M633" s="319"/>
      <c r="N633" s="319"/>
      <c r="O633" s="319"/>
      <c r="P633" s="319"/>
      <c r="Q633" s="319"/>
      <c r="R633" s="319"/>
      <c r="S633" s="319"/>
      <c r="T633" s="319"/>
      <c r="U633" s="319"/>
      <c r="V633" s="319"/>
      <c r="W633" s="319">
        <v>112100</v>
      </c>
    </row>
    <row r="634" spans="1:23" ht="13.2" hidden="1">
      <c r="A634" s="991"/>
      <c r="B634" s="992"/>
      <c r="C634" s="992"/>
      <c r="D634" s="992"/>
      <c r="E634" s="992"/>
      <c r="F634" s="992"/>
      <c r="G634" s="992"/>
      <c r="H634" s="992"/>
      <c r="I634" s="992"/>
      <c r="J634" s="993"/>
      <c r="K634" s="1"/>
      <c r="L634" s="319"/>
      <c r="M634" s="319"/>
      <c r="N634" s="319"/>
      <c r="O634" s="319"/>
      <c r="P634" s="319"/>
      <c r="Q634" s="319"/>
      <c r="R634" s="319"/>
      <c r="S634" s="319"/>
      <c r="T634" s="319"/>
      <c r="U634" s="319"/>
      <c r="V634" s="319"/>
      <c r="W634" s="319">
        <v>112100</v>
      </c>
    </row>
    <row r="635" spans="1:23" ht="13.2" hidden="1">
      <c r="A635" s="991"/>
      <c r="B635" s="992"/>
      <c r="C635" s="992"/>
      <c r="D635" s="992"/>
      <c r="E635" s="992"/>
      <c r="F635" s="992"/>
      <c r="G635" s="992"/>
      <c r="H635" s="992"/>
      <c r="I635" s="992"/>
      <c r="J635" s="993"/>
      <c r="K635" s="1"/>
      <c r="L635" s="319"/>
      <c r="M635" s="319"/>
      <c r="N635" s="319"/>
      <c r="O635" s="319"/>
      <c r="P635" s="319"/>
      <c r="Q635" s="319"/>
      <c r="R635" s="319"/>
      <c r="S635" s="319"/>
      <c r="T635" s="319"/>
      <c r="U635" s="319"/>
      <c r="V635" s="319"/>
      <c r="W635" s="319">
        <v>112100</v>
      </c>
    </row>
    <row r="636" spans="1:23" ht="13.2" hidden="1">
      <c r="A636" s="991"/>
      <c r="B636" s="992"/>
      <c r="C636" s="992"/>
      <c r="D636" s="992"/>
      <c r="E636" s="992"/>
      <c r="F636" s="992"/>
      <c r="G636" s="992"/>
      <c r="H636" s="992"/>
      <c r="I636" s="992"/>
      <c r="J636" s="993"/>
      <c r="K636" s="1"/>
      <c r="L636" s="319"/>
      <c r="M636" s="319"/>
      <c r="N636" s="319"/>
      <c r="O636" s="319"/>
      <c r="P636" s="319"/>
      <c r="Q636" s="319"/>
      <c r="R636" s="319"/>
      <c r="S636" s="319"/>
      <c r="T636" s="319"/>
      <c r="U636" s="319"/>
      <c r="V636" s="319"/>
      <c r="W636" s="319">
        <v>112100</v>
      </c>
    </row>
    <row r="637" spans="1:23" ht="13.2" hidden="1">
      <c r="A637" s="991"/>
      <c r="B637" s="992"/>
      <c r="C637" s="992"/>
      <c r="D637" s="992"/>
      <c r="E637" s="992"/>
      <c r="F637" s="992"/>
      <c r="G637" s="992"/>
      <c r="H637" s="992"/>
      <c r="I637" s="992"/>
      <c r="J637" s="993"/>
      <c r="K637" s="1"/>
      <c r="L637" s="319"/>
      <c r="M637" s="319"/>
      <c r="N637" s="319"/>
      <c r="O637" s="319"/>
      <c r="P637" s="319"/>
      <c r="Q637" s="319"/>
      <c r="R637" s="319"/>
      <c r="S637" s="319"/>
      <c r="T637" s="319"/>
      <c r="U637" s="319"/>
      <c r="V637" s="319"/>
      <c r="W637" s="319">
        <v>112100</v>
      </c>
    </row>
    <row r="638" spans="1:23" ht="13.2" hidden="1">
      <c r="A638" s="991"/>
      <c r="B638" s="992"/>
      <c r="C638" s="992"/>
      <c r="D638" s="992"/>
      <c r="E638" s="992"/>
      <c r="F638" s="992"/>
      <c r="G638" s="992"/>
      <c r="H638" s="992"/>
      <c r="I638" s="992"/>
      <c r="J638" s="993"/>
      <c r="K638" s="1"/>
      <c r="L638" s="319"/>
      <c r="M638" s="319"/>
      <c r="N638" s="319"/>
      <c r="O638" s="319"/>
      <c r="P638" s="319"/>
      <c r="Q638" s="319"/>
      <c r="R638" s="319"/>
      <c r="S638" s="319"/>
      <c r="T638" s="319"/>
      <c r="U638" s="319"/>
      <c r="V638" s="319"/>
      <c r="W638" s="319">
        <v>112100</v>
      </c>
    </row>
    <row r="639" spans="1:23" ht="13.2" hidden="1">
      <c r="A639" s="991"/>
      <c r="B639" s="992"/>
      <c r="C639" s="992"/>
      <c r="D639" s="992"/>
      <c r="E639" s="992"/>
      <c r="F639" s="992"/>
      <c r="G639" s="992"/>
      <c r="H639" s="992"/>
      <c r="I639" s="992"/>
      <c r="J639" s="993"/>
      <c r="K639" s="1"/>
      <c r="L639" s="319"/>
      <c r="M639" s="319"/>
      <c r="N639" s="319"/>
      <c r="O639" s="319"/>
      <c r="P639" s="319"/>
      <c r="Q639" s="319"/>
      <c r="R639" s="319"/>
      <c r="S639" s="319"/>
      <c r="T639" s="319"/>
      <c r="U639" s="319"/>
      <c r="V639" s="319"/>
      <c r="W639" s="319">
        <v>112100</v>
      </c>
    </row>
    <row r="640" spans="1:23" ht="13.2" hidden="1">
      <c r="A640" s="991"/>
      <c r="B640" s="992"/>
      <c r="C640" s="992"/>
      <c r="D640" s="992"/>
      <c r="E640" s="992"/>
      <c r="F640" s="992"/>
      <c r="G640" s="992"/>
      <c r="H640" s="992"/>
      <c r="I640" s="992"/>
      <c r="J640" s="993"/>
      <c r="K640" s="1"/>
      <c r="L640" s="319"/>
      <c r="M640" s="319"/>
      <c r="N640" s="319"/>
      <c r="O640" s="319"/>
      <c r="P640" s="319"/>
      <c r="Q640" s="319"/>
      <c r="R640" s="319"/>
      <c r="S640" s="319"/>
      <c r="T640" s="319"/>
      <c r="U640" s="319"/>
      <c r="V640" s="319"/>
      <c r="W640" s="319">
        <v>112100</v>
      </c>
    </row>
    <row r="641" spans="1:23" ht="13.2" hidden="1">
      <c r="A641" s="991"/>
      <c r="B641" s="992"/>
      <c r="C641" s="992"/>
      <c r="D641" s="992"/>
      <c r="E641" s="992"/>
      <c r="F641" s="992"/>
      <c r="G641" s="992"/>
      <c r="H641" s="992"/>
      <c r="I641" s="992"/>
      <c r="J641" s="993"/>
      <c r="K641" s="1"/>
      <c r="L641" s="319"/>
      <c r="M641" s="319"/>
      <c r="N641" s="319"/>
      <c r="O641" s="319"/>
      <c r="P641" s="319"/>
      <c r="Q641" s="319"/>
      <c r="R641" s="319"/>
      <c r="S641" s="319"/>
      <c r="T641" s="319"/>
      <c r="U641" s="319"/>
      <c r="V641" s="319"/>
      <c r="W641" s="319">
        <v>112100</v>
      </c>
    </row>
    <row r="642" spans="1:23" ht="13.2" hidden="1">
      <c r="A642" s="991"/>
      <c r="B642" s="992"/>
      <c r="C642" s="992"/>
      <c r="D642" s="992"/>
      <c r="E642" s="992"/>
      <c r="F642" s="992"/>
      <c r="G642" s="992"/>
      <c r="H642" s="992"/>
      <c r="I642" s="992"/>
      <c r="J642" s="993"/>
      <c r="K642" s="1"/>
      <c r="L642" s="319"/>
      <c r="M642" s="319"/>
      <c r="N642" s="319"/>
      <c r="O642" s="319"/>
      <c r="P642" s="319"/>
      <c r="Q642" s="319"/>
      <c r="R642" s="319"/>
      <c r="S642" s="319"/>
      <c r="T642" s="319"/>
      <c r="U642" s="319"/>
      <c r="V642" s="319"/>
      <c r="W642" s="319">
        <v>112100</v>
      </c>
    </row>
    <row r="643" spans="1:23" ht="13.2" hidden="1">
      <c r="A643" s="991"/>
      <c r="B643" s="992"/>
      <c r="C643" s="992"/>
      <c r="D643" s="992"/>
      <c r="E643" s="992"/>
      <c r="F643" s="992"/>
      <c r="G643" s="992"/>
      <c r="H643" s="992"/>
      <c r="I643" s="992"/>
      <c r="J643" s="993"/>
      <c r="K643" s="1"/>
      <c r="L643" s="319"/>
      <c r="M643" s="319"/>
      <c r="N643" s="319"/>
      <c r="O643" s="319"/>
      <c r="P643" s="319"/>
      <c r="Q643" s="319"/>
      <c r="R643" s="319"/>
      <c r="S643" s="319"/>
      <c r="T643" s="319"/>
      <c r="U643" s="319"/>
      <c r="V643" s="319"/>
      <c r="W643" s="319">
        <v>112100</v>
      </c>
    </row>
    <row r="644" spans="1:23" ht="13.2" hidden="1">
      <c r="A644" s="991"/>
      <c r="B644" s="992"/>
      <c r="C644" s="992"/>
      <c r="D644" s="992"/>
      <c r="E644" s="992"/>
      <c r="F644" s="992"/>
      <c r="G644" s="992"/>
      <c r="H644" s="992"/>
      <c r="I644" s="992"/>
      <c r="J644" s="993"/>
      <c r="K644" s="1"/>
      <c r="L644" s="319"/>
      <c r="M644" s="319"/>
      <c r="N644" s="319"/>
      <c r="O644" s="319"/>
      <c r="P644" s="319"/>
      <c r="Q644" s="319"/>
      <c r="R644" s="319"/>
      <c r="S644" s="319"/>
      <c r="T644" s="319"/>
      <c r="U644" s="319"/>
      <c r="V644" s="319"/>
      <c r="W644" s="319">
        <v>112100</v>
      </c>
    </row>
    <row r="645" spans="1:23" ht="13.2" hidden="1">
      <c r="A645" s="991"/>
      <c r="B645" s="992"/>
      <c r="C645" s="992"/>
      <c r="D645" s="992"/>
      <c r="E645" s="992"/>
      <c r="F645" s="992"/>
      <c r="G645" s="992"/>
      <c r="H645" s="992"/>
      <c r="I645" s="992"/>
      <c r="J645" s="993"/>
      <c r="K645" s="1"/>
      <c r="L645" s="319"/>
      <c r="M645" s="319"/>
      <c r="N645" s="319"/>
      <c r="O645" s="319"/>
      <c r="P645" s="319"/>
      <c r="Q645" s="319"/>
      <c r="R645" s="319"/>
      <c r="S645" s="319"/>
      <c r="T645" s="319"/>
      <c r="U645" s="319"/>
      <c r="V645" s="319"/>
      <c r="W645" s="319">
        <v>112100</v>
      </c>
    </row>
    <row r="646" spans="1:23" ht="13.2" hidden="1">
      <c r="A646" s="991"/>
      <c r="B646" s="992"/>
      <c r="C646" s="992"/>
      <c r="D646" s="992"/>
      <c r="E646" s="992"/>
      <c r="F646" s="992"/>
      <c r="G646" s="992"/>
      <c r="H646" s="992"/>
      <c r="I646" s="992"/>
      <c r="J646" s="993"/>
      <c r="K646" s="1"/>
      <c r="L646" s="319"/>
      <c r="M646" s="319"/>
      <c r="N646" s="319"/>
      <c r="O646" s="319"/>
      <c r="P646" s="319"/>
      <c r="Q646" s="319"/>
      <c r="R646" s="319"/>
      <c r="S646" s="319"/>
      <c r="T646" s="319"/>
      <c r="U646" s="319"/>
      <c r="V646" s="319"/>
      <c r="W646" s="319">
        <v>112100</v>
      </c>
    </row>
    <row r="647" spans="1:23" ht="13.2" hidden="1">
      <c r="A647" s="991"/>
      <c r="B647" s="992"/>
      <c r="C647" s="992"/>
      <c r="D647" s="992"/>
      <c r="E647" s="992"/>
      <c r="F647" s="992"/>
      <c r="G647" s="992"/>
      <c r="H647" s="992"/>
      <c r="I647" s="992"/>
      <c r="J647" s="993"/>
      <c r="K647" s="1"/>
      <c r="L647" s="319"/>
      <c r="M647" s="319"/>
      <c r="N647" s="319"/>
      <c r="O647" s="319"/>
      <c r="P647" s="319"/>
      <c r="Q647" s="319"/>
      <c r="R647" s="319"/>
      <c r="S647" s="319"/>
      <c r="T647" s="319"/>
      <c r="U647" s="319"/>
      <c r="V647" s="319"/>
      <c r="W647" s="319">
        <v>112100</v>
      </c>
    </row>
    <row r="648" spans="1:23" ht="13.2" hidden="1">
      <c r="A648" s="991"/>
      <c r="B648" s="992"/>
      <c r="C648" s="992"/>
      <c r="D648" s="992"/>
      <c r="E648" s="992"/>
      <c r="F648" s="992"/>
      <c r="G648" s="992"/>
      <c r="H648" s="992"/>
      <c r="I648" s="992"/>
      <c r="J648" s="993"/>
      <c r="K648" s="1"/>
      <c r="L648" s="319"/>
      <c r="M648" s="319"/>
      <c r="N648" s="319"/>
      <c r="O648" s="319"/>
      <c r="P648" s="319"/>
      <c r="Q648" s="319"/>
      <c r="R648" s="319"/>
      <c r="S648" s="319"/>
      <c r="T648" s="319"/>
      <c r="U648" s="319"/>
      <c r="V648" s="319"/>
      <c r="W648" s="319">
        <v>112100</v>
      </c>
    </row>
    <row r="649" spans="1:23" ht="13.2" hidden="1">
      <c r="A649" s="991"/>
      <c r="B649" s="992"/>
      <c r="C649" s="992"/>
      <c r="D649" s="992"/>
      <c r="E649" s="992"/>
      <c r="F649" s="992"/>
      <c r="G649" s="992"/>
      <c r="H649" s="992"/>
      <c r="I649" s="992"/>
      <c r="J649" s="993"/>
      <c r="K649" s="1"/>
      <c r="L649" s="319"/>
      <c r="M649" s="319"/>
      <c r="N649" s="319"/>
      <c r="O649" s="319"/>
      <c r="P649" s="319"/>
      <c r="Q649" s="319"/>
      <c r="R649" s="319"/>
      <c r="S649" s="319"/>
      <c r="T649" s="319"/>
      <c r="U649" s="319"/>
      <c r="V649" s="319"/>
      <c r="W649" s="319">
        <v>112100</v>
      </c>
    </row>
    <row r="650" spans="1:23" ht="13.2" hidden="1">
      <c r="A650" s="991"/>
      <c r="B650" s="992"/>
      <c r="C650" s="992"/>
      <c r="D650" s="992"/>
      <c r="E650" s="992"/>
      <c r="F650" s="992"/>
      <c r="G650" s="992"/>
      <c r="H650" s="992"/>
      <c r="I650" s="992"/>
      <c r="J650" s="993"/>
      <c r="K650" s="1"/>
      <c r="L650" s="319"/>
      <c r="M650" s="319"/>
      <c r="N650" s="319"/>
      <c r="O650" s="319"/>
      <c r="P650" s="319"/>
      <c r="Q650" s="319"/>
      <c r="R650" s="319"/>
      <c r="S650" s="319"/>
      <c r="T650" s="319"/>
      <c r="U650" s="319"/>
      <c r="V650" s="319"/>
      <c r="W650" s="319">
        <v>112100</v>
      </c>
    </row>
    <row r="651" spans="1:23" ht="13.2" hidden="1">
      <c r="A651" s="991"/>
      <c r="B651" s="992"/>
      <c r="C651" s="992"/>
      <c r="D651" s="992"/>
      <c r="E651" s="992"/>
      <c r="F651" s="992"/>
      <c r="G651" s="992"/>
      <c r="H651" s="992"/>
      <c r="I651" s="992"/>
      <c r="J651" s="993"/>
      <c r="K651" s="1"/>
      <c r="L651" s="319"/>
      <c r="M651" s="319"/>
      <c r="N651" s="319"/>
      <c r="O651" s="319"/>
      <c r="P651" s="319"/>
      <c r="Q651" s="319"/>
      <c r="R651" s="319"/>
      <c r="S651" s="319"/>
      <c r="T651" s="319"/>
      <c r="U651" s="319"/>
      <c r="V651" s="319"/>
      <c r="W651" s="319">
        <v>112100</v>
      </c>
    </row>
    <row r="652" spans="1:23" ht="13.2" hidden="1">
      <c r="A652" s="991"/>
      <c r="B652" s="992"/>
      <c r="C652" s="992"/>
      <c r="D652" s="992"/>
      <c r="E652" s="992"/>
      <c r="F652" s="992"/>
      <c r="G652" s="992"/>
      <c r="H652" s="992"/>
      <c r="I652" s="992"/>
      <c r="J652" s="993"/>
      <c r="K652" s="1"/>
      <c r="L652" s="319"/>
      <c r="M652" s="319"/>
      <c r="N652" s="319"/>
      <c r="O652" s="319"/>
      <c r="P652" s="319"/>
      <c r="Q652" s="319"/>
      <c r="R652" s="319"/>
      <c r="S652" s="319"/>
      <c r="T652" s="319"/>
      <c r="U652" s="319"/>
      <c r="V652" s="319"/>
      <c r="W652" s="319">
        <v>112100</v>
      </c>
    </row>
    <row r="653" spans="1:23" ht="13.2" hidden="1">
      <c r="A653" s="991"/>
      <c r="B653" s="992"/>
      <c r="C653" s="992"/>
      <c r="D653" s="992"/>
      <c r="E653" s="992"/>
      <c r="F653" s="992"/>
      <c r="G653" s="992"/>
      <c r="H653" s="992"/>
      <c r="I653" s="992"/>
      <c r="J653" s="993"/>
      <c r="K653" s="1"/>
      <c r="L653" s="319"/>
      <c r="M653" s="319"/>
      <c r="N653" s="319"/>
      <c r="O653" s="319"/>
      <c r="P653" s="319"/>
      <c r="Q653" s="319"/>
      <c r="R653" s="319"/>
      <c r="S653" s="319"/>
      <c r="T653" s="319"/>
      <c r="U653" s="319"/>
      <c r="V653" s="319"/>
      <c r="W653" s="319">
        <v>112100</v>
      </c>
    </row>
    <row r="654" spans="1:23" ht="13.2" hidden="1">
      <c r="A654" s="996"/>
      <c r="B654" s="997"/>
      <c r="C654" s="997"/>
      <c r="D654" s="997"/>
      <c r="E654" s="997"/>
      <c r="F654" s="997"/>
      <c r="G654" s="997"/>
      <c r="H654" s="997"/>
      <c r="I654" s="997"/>
      <c r="J654" s="998"/>
      <c r="K654" s="1"/>
      <c r="L654" s="319"/>
      <c r="M654" s="319"/>
      <c r="N654" s="319"/>
      <c r="O654" s="319"/>
      <c r="P654" s="319"/>
      <c r="Q654" s="319"/>
      <c r="R654" s="319"/>
      <c r="S654" s="319"/>
      <c r="T654" s="319"/>
      <c r="U654" s="319"/>
      <c r="V654" s="319"/>
      <c r="W654" s="319">
        <v>112100</v>
      </c>
    </row>
    <row r="655" spans="1:23" ht="12" hidden="1" customHeight="1">
      <c r="A655" s="1"/>
      <c r="B655" s="1"/>
      <c r="C655" s="1"/>
      <c r="D655" s="1"/>
      <c r="E655" s="1"/>
      <c r="F655" s="1"/>
      <c r="G655" s="1"/>
      <c r="H655" s="1"/>
      <c r="I655" s="1"/>
      <c r="J655" s="1"/>
      <c r="K655" s="1"/>
      <c r="L655" s="319"/>
      <c r="M655" s="319"/>
      <c r="N655" s="319"/>
      <c r="O655" s="319"/>
      <c r="P655" s="319"/>
      <c r="Q655" s="319"/>
      <c r="R655" s="319"/>
      <c r="S655" s="319"/>
      <c r="T655" s="319"/>
      <c r="U655" s="319"/>
      <c r="V655" s="319"/>
      <c r="W655" s="319">
        <v>110000</v>
      </c>
    </row>
    <row r="656" spans="1:23" ht="13.2" hidden="1">
      <c r="A656" s="319"/>
      <c r="B656" s="319" t="s">
        <v>2702</v>
      </c>
      <c r="C656" s="319"/>
      <c r="D656" s="319"/>
      <c r="E656" s="319"/>
      <c r="F656" s="319"/>
      <c r="G656" s="319"/>
      <c r="H656" s="319"/>
      <c r="I656" s="319"/>
      <c r="J656" s="319"/>
      <c r="K656" s="319"/>
      <c r="L656" s="319"/>
      <c r="M656" s="319"/>
      <c r="N656" s="319"/>
      <c r="O656" s="319"/>
      <c r="P656" s="319"/>
      <c r="Q656" s="319"/>
      <c r="R656" s="319"/>
      <c r="S656" s="319"/>
      <c r="T656" s="319"/>
      <c r="U656" s="319"/>
      <c r="V656" s="319"/>
      <c r="W656" s="319"/>
    </row>
    <row r="657" spans="1:23" ht="13.2" hidden="1">
      <c r="A657" s="319"/>
      <c r="B657" s="319"/>
      <c r="C657" s="319" t="str">
        <f>Language!C2238</f>
        <v>m³/s</v>
      </c>
      <c r="D657" s="319"/>
      <c r="E657" s="319"/>
      <c r="F657" s="319" t="str">
        <f>Language!C1363</f>
        <v>kPa</v>
      </c>
      <c r="G657" s="319"/>
      <c r="H657" s="319"/>
      <c r="I657" s="319"/>
      <c r="J657" s="319"/>
      <c r="K657" s="319"/>
      <c r="L657" s="319"/>
      <c r="M657" s="319"/>
      <c r="N657" s="319"/>
      <c r="O657" s="319"/>
      <c r="P657" s="319"/>
      <c r="Q657" s="319"/>
      <c r="R657" s="319"/>
      <c r="S657" s="319"/>
      <c r="T657" s="319"/>
      <c r="U657" s="319"/>
      <c r="V657" s="319"/>
      <c r="W657" s="319"/>
    </row>
    <row r="658" spans="1:23" ht="13.2" hidden="1">
      <c r="A658" s="319"/>
      <c r="B658" s="319"/>
      <c r="C658" s="319" t="str">
        <f>D687</f>
        <v>pé³/s</v>
      </c>
      <c r="D658" s="319"/>
      <c r="E658" s="319"/>
      <c r="F658" s="319" t="str">
        <f>Language!C1319</f>
        <v>bar</v>
      </c>
      <c r="G658" s="319">
        <v>1</v>
      </c>
      <c r="H658" s="319" t="s">
        <v>4370</v>
      </c>
      <c r="I658" s="318" t="s">
        <v>1324</v>
      </c>
      <c r="J658" s="319"/>
      <c r="K658" s="319"/>
      <c r="L658" s="468"/>
      <c r="M658" s="872" t="s">
        <v>305</v>
      </c>
      <c r="N658" s="872" t="s">
        <v>2419</v>
      </c>
      <c r="O658" s="872" t="s">
        <v>4559</v>
      </c>
      <c r="P658" s="872" t="s">
        <v>4302</v>
      </c>
      <c r="Q658" s="872" t="s">
        <v>1193</v>
      </c>
      <c r="R658" s="872"/>
      <c r="S658" s="872" t="s">
        <v>5076</v>
      </c>
      <c r="T658" s="468"/>
      <c r="U658" s="872" t="s">
        <v>4455</v>
      </c>
      <c r="V658" s="873" t="s">
        <v>5076</v>
      </c>
      <c r="W658" s="319"/>
    </row>
    <row r="659" spans="1:23" ht="13.2" hidden="1">
      <c r="A659" s="319"/>
      <c r="B659" s="319"/>
      <c r="C659" s="319" t="str">
        <f>E724</f>
        <v>km</v>
      </c>
      <c r="D659" s="319"/>
      <c r="E659" s="319"/>
      <c r="F659" s="319" t="str">
        <f>Language!C1401</f>
        <v>psig</v>
      </c>
      <c r="G659" s="319">
        <f>E831</f>
        <v>14.695970954378822</v>
      </c>
      <c r="H659" s="319" t="str">
        <f>Language!C2125</f>
        <v>Cavidade de ar</v>
      </c>
      <c r="I659" s="319">
        <v>0.09</v>
      </c>
      <c r="J659" s="319" t="s">
        <v>7912</v>
      </c>
      <c r="K659" s="319"/>
      <c r="L659" s="450" t="str">
        <f>Language!C1581</f>
        <v>Gado leiteiro</v>
      </c>
      <c r="M659" s="463">
        <v>0.6</v>
      </c>
      <c r="N659" s="463">
        <v>7.690000000000001E-2</v>
      </c>
      <c r="O659" s="463">
        <v>7.980000000000001E-2</v>
      </c>
      <c r="P659" s="463">
        <v>1</v>
      </c>
      <c r="Q659" s="463">
        <v>0.33</v>
      </c>
      <c r="R659" s="463">
        <v>365</v>
      </c>
      <c r="S659" s="463" t="s">
        <v>7459</v>
      </c>
      <c r="T659" s="450" t="str">
        <f>Language!C2599</f>
        <v>Condicionador de ar - unidade central</v>
      </c>
      <c r="U659" s="463">
        <v>3050</v>
      </c>
      <c r="V659" s="471" t="s">
        <v>7523</v>
      </c>
      <c r="W659" s="319"/>
    </row>
    <row r="660" spans="1:23" ht="13.2" hidden="1">
      <c r="A660" s="319"/>
      <c r="B660" s="319"/>
      <c r="C660" s="319" t="str">
        <f>E725</f>
        <v>mi</v>
      </c>
      <c r="D660" s="319"/>
      <c r="E660" s="319"/>
      <c r="F660" s="319" t="str">
        <f>Language!C1400</f>
        <v>psia</v>
      </c>
      <c r="G660" s="319"/>
      <c r="H660" s="319" t="str">
        <f>Language!C2126</f>
        <v>Cavidade de ar - superficie refletora</v>
      </c>
      <c r="I660" s="319">
        <v>0.04</v>
      </c>
      <c r="J660" s="319" t="s">
        <v>7885</v>
      </c>
      <c r="K660" s="319"/>
      <c r="L660" s="450" t="str">
        <f>Language!C1504</f>
        <v>Bife de vaca</v>
      </c>
      <c r="M660" s="463">
        <v>0.57999999999999996</v>
      </c>
      <c r="N660" s="463">
        <v>8.3299999999999999E-2</v>
      </c>
      <c r="O660" s="463">
        <v>9.3299999999999994E-2</v>
      </c>
      <c r="P660" s="463">
        <v>1</v>
      </c>
      <c r="Q660" s="463">
        <v>0.86</v>
      </c>
      <c r="R660" s="463">
        <v>365</v>
      </c>
      <c r="S660" s="463" t="s">
        <v>7247</v>
      </c>
      <c r="T660" s="450" t="str">
        <f>Language!C2600</f>
        <v>Condicionador de ar - unidade de janela</v>
      </c>
      <c r="U660" s="463" t="s">
        <v>2759</v>
      </c>
      <c r="V660" s="471" t="s">
        <v>7407</v>
      </c>
      <c r="W660" s="319"/>
    </row>
    <row r="661" spans="1:23" ht="13.2" hidden="1">
      <c r="A661" s="319"/>
      <c r="B661" s="319"/>
      <c r="C661" s="319" t="str">
        <f>Language!C1392</f>
        <v>mm</v>
      </c>
      <c r="D661" s="319"/>
      <c r="E661" s="319"/>
      <c r="F661" s="319" t="str">
        <f>Language!C1331</f>
        <v>pe³</v>
      </c>
      <c r="G661" s="319"/>
      <c r="H661" s="319" t="str">
        <f>Language!C2127</f>
        <v>Telhado com asfalto</v>
      </c>
      <c r="I661" s="319">
        <v>0.74</v>
      </c>
      <c r="J661" s="319" t="s">
        <v>7903</v>
      </c>
      <c r="K661" s="319"/>
      <c r="L661" s="450" t="str">
        <f>Language!C2013</f>
        <v>Porco</v>
      </c>
      <c r="M661" s="463">
        <v>0.68</v>
      </c>
      <c r="N661" s="463">
        <v>5.67E-2</v>
      </c>
      <c r="O661" s="463">
        <v>7.0199999999999999E-2</v>
      </c>
      <c r="P661" s="463">
        <v>1</v>
      </c>
      <c r="Q661" s="463">
        <v>0.69</v>
      </c>
      <c r="R661" s="463">
        <v>365</v>
      </c>
      <c r="S661" s="463" t="s">
        <v>7475</v>
      </c>
      <c r="T661" s="450" t="str">
        <f>Language!C1512</f>
        <v>Forno embutido</v>
      </c>
      <c r="U661" s="463">
        <v>3000</v>
      </c>
      <c r="V661" s="471" t="s">
        <v>7818</v>
      </c>
      <c r="W661" s="319"/>
    </row>
    <row r="662" spans="1:23" ht="13.2" hidden="1">
      <c r="A662" s="319"/>
      <c r="B662" s="319"/>
      <c r="C662" s="319" t="str">
        <f>E722</f>
        <v>po</v>
      </c>
      <c r="D662" s="319"/>
      <c r="E662" s="319"/>
      <c r="F662" s="319" t="str">
        <f>Language!C1375</f>
        <v>m³</v>
      </c>
      <c r="G662" s="319"/>
      <c r="H662" s="319" t="str">
        <f>Language!C2128</f>
        <v>Tijolo- argila</v>
      </c>
      <c r="I662" s="319">
        <v>1.4</v>
      </c>
      <c r="J662" s="319" t="s">
        <v>7889</v>
      </c>
      <c r="K662" s="319"/>
      <c r="L662" s="450" t="str">
        <f>Language!C1966</f>
        <v>Ovelha</v>
      </c>
      <c r="M662" s="463">
        <v>0.64</v>
      </c>
      <c r="N662" s="463">
        <v>0.04</v>
      </c>
      <c r="O662" s="463">
        <v>0.215</v>
      </c>
      <c r="P662" s="463">
        <v>1</v>
      </c>
      <c r="Q662" s="463">
        <v>1.02</v>
      </c>
      <c r="R662" s="463">
        <v>365</v>
      </c>
      <c r="S662" s="463" t="s">
        <v>7332</v>
      </c>
      <c r="T662" s="450" t="str">
        <f>Language!C1518</f>
        <v>Ventilador de teto</v>
      </c>
      <c r="U662" s="463" t="s">
        <v>3963</v>
      </c>
      <c r="V662" s="471" t="s">
        <v>7524</v>
      </c>
      <c r="W662" s="319"/>
    </row>
    <row r="663" spans="1:23" ht="13.2" hidden="1">
      <c r="A663" s="319"/>
      <c r="B663" s="319"/>
      <c r="C663" s="319"/>
      <c r="D663" s="319"/>
      <c r="E663" s="319"/>
      <c r="F663" s="319"/>
      <c r="G663" s="319"/>
      <c r="H663" s="319" t="str">
        <f>Language!C2129</f>
        <v>Tijolo -cores múltiplas</v>
      </c>
      <c r="I663" s="319">
        <v>0.33</v>
      </c>
      <c r="J663" s="319" t="s">
        <v>7890</v>
      </c>
      <c r="K663" s="319"/>
      <c r="L663" s="450" t="str">
        <f>Language!C1894</f>
        <v>Aves</v>
      </c>
      <c r="M663" s="463">
        <v>0.69</v>
      </c>
      <c r="N663" s="463">
        <v>6.25E-2</v>
      </c>
      <c r="O663" s="463">
        <v>0.32</v>
      </c>
      <c r="P663" s="463">
        <v>0.71499999999999997</v>
      </c>
      <c r="Q663" s="463">
        <v>0.54</v>
      </c>
      <c r="R663" s="463">
        <v>365</v>
      </c>
      <c r="S663" s="463" t="s">
        <v>7660</v>
      </c>
      <c r="T663" s="450" t="str">
        <f>Language!C1521</f>
        <v>Sistema de vácuo central</v>
      </c>
      <c r="U663" s="463">
        <v>1600</v>
      </c>
      <c r="V663" s="471" t="s">
        <v>7658</v>
      </c>
      <c r="W663" s="319"/>
    </row>
    <row r="664" spans="1:23" ht="13.2" hidden="1">
      <c r="A664" s="319"/>
      <c r="B664" s="319" t="str">
        <f>Language!C172</f>
        <v>Conbustível fóssil</v>
      </c>
      <c r="C664" s="319" t="str">
        <f>Language!C1361</f>
        <v>kJ/kWh</v>
      </c>
      <c r="D664" s="319"/>
      <c r="E664" s="319" t="str">
        <f>Language!C1391</f>
        <v>MJ/t</v>
      </c>
      <c r="F664" s="319" t="str">
        <f>Language!C1407</f>
        <v>t</v>
      </c>
      <c r="G664" s="319" t="str">
        <f>Currency&amp;Language!C1303</f>
        <v>€/t</v>
      </c>
      <c r="H664" s="319" t="str">
        <f>Language!C2130</f>
        <v>Tapete com forro</v>
      </c>
      <c r="I664" s="319">
        <v>0.05</v>
      </c>
      <c r="J664" s="319" t="s">
        <v>7876</v>
      </c>
      <c r="K664" s="319"/>
      <c r="L664" s="450" t="str">
        <f>Language!C1700</f>
        <v>Cabra</v>
      </c>
      <c r="M664" s="463">
        <v>0.7</v>
      </c>
      <c r="N664" s="463">
        <v>0.05</v>
      </c>
      <c r="O664" s="463">
        <v>0.2</v>
      </c>
      <c r="P664" s="463">
        <v>1</v>
      </c>
      <c r="Q664" s="463">
        <v>0.6</v>
      </c>
      <c r="R664" s="463">
        <v>365</v>
      </c>
      <c r="S664" s="463" t="s">
        <v>7768</v>
      </c>
      <c r="T664" s="450" t="str">
        <f>Language!C1539</f>
        <v>Rádio relógio</v>
      </c>
      <c r="U664" s="463" t="s">
        <v>2760</v>
      </c>
      <c r="V664" s="471" t="s">
        <v>7311</v>
      </c>
      <c r="W664" s="319"/>
    </row>
    <row r="665" spans="1:23" ht="13.2" hidden="1">
      <c r="A665" s="319"/>
      <c r="B665" s="319" t="str">
        <f>Language!C1280</f>
        <v xml:space="preserve">Biomassa </v>
      </c>
      <c r="C665" s="319" t="str">
        <f>Language!C1324</f>
        <v>Btu/kWh</v>
      </c>
      <c r="D665" s="319"/>
      <c r="E665" s="319" t="str">
        <f>Language!C1388</f>
        <v>MJ/kg</v>
      </c>
      <c r="F665" s="319" t="str">
        <f>Language!C1352</f>
        <v>kg</v>
      </c>
      <c r="G665" s="319" t="str">
        <f>Currency&amp;Language!C1296</f>
        <v>€/kg</v>
      </c>
      <c r="H665" s="319" t="str">
        <f>Language!C2131</f>
        <v>Fibra de celulose - fio solto</v>
      </c>
      <c r="I665" s="319">
        <v>0.04</v>
      </c>
      <c r="J665" s="319" t="s">
        <v>7877</v>
      </c>
      <c r="K665" s="319"/>
      <c r="L665" s="450" t="str">
        <f>Language!C1733</f>
        <v>Cavalo</v>
      </c>
      <c r="M665" s="463">
        <v>0.6</v>
      </c>
      <c r="N665" s="463">
        <v>5.6000000000000001E-2</v>
      </c>
      <c r="O665" s="463">
        <v>0.14300000000000002</v>
      </c>
      <c r="P665" s="463">
        <v>1</v>
      </c>
      <c r="Q665" s="463">
        <v>0.7</v>
      </c>
      <c r="R665" s="463">
        <v>365</v>
      </c>
      <c r="S665" s="463" t="s">
        <v>7280</v>
      </c>
      <c r="T665" s="450" t="str">
        <f>Language!C1540</f>
        <v>Secador de roupas</v>
      </c>
      <c r="U665" s="463" t="s">
        <v>3964</v>
      </c>
      <c r="V665" s="471" t="s">
        <v>7522</v>
      </c>
      <c r="W665" s="319"/>
    </row>
    <row r="666" spans="1:23" ht="13.2" hidden="1">
      <c r="A666" s="319"/>
      <c r="B666" s="319"/>
      <c r="C666" s="319" t="str">
        <f>Language!C1364</f>
        <v>kW</v>
      </c>
      <c r="D666" s="319"/>
      <c r="E666" s="319" t="str">
        <f>Language!C1389</f>
        <v>MJ/L</v>
      </c>
      <c r="F666" s="319" t="str">
        <f>Language!C1366</f>
        <v>L</v>
      </c>
      <c r="G666" s="319" t="str">
        <f>Currency&amp;Language!C1298</f>
        <v>€/L</v>
      </c>
      <c r="H666" s="319" t="str">
        <f>Language!C2132</f>
        <v>Placa de cimento</v>
      </c>
      <c r="I666" s="319">
        <v>0.7</v>
      </c>
      <c r="J666" s="319" t="s">
        <v>7886</v>
      </c>
      <c r="K666" s="319"/>
      <c r="L666" s="450" t="str">
        <f>Language!C1673</f>
        <v>Forragem de folhas</v>
      </c>
      <c r="M666" s="463">
        <v>0.6</v>
      </c>
      <c r="N666" s="463">
        <v>1</v>
      </c>
      <c r="O666" s="463">
        <v>0.4</v>
      </c>
      <c r="P666" s="463">
        <v>0.9</v>
      </c>
      <c r="Q666" s="463">
        <v>0.5</v>
      </c>
      <c r="R666" s="463">
        <v>1</v>
      </c>
      <c r="S666" s="463" t="s">
        <v>7473</v>
      </c>
      <c r="T666" s="450" t="str">
        <f>Language!C1541</f>
        <v>Ferro de passar roupa</v>
      </c>
      <c r="U666" s="463" t="s">
        <v>5505</v>
      </c>
      <c r="V666" s="471" t="s">
        <v>7546</v>
      </c>
      <c r="W666" s="319"/>
    </row>
    <row r="667" spans="1:23" ht="13.2" hidden="1">
      <c r="A667" s="319"/>
      <c r="B667" s="319" t="str">
        <f>Language!C1307</f>
        <v>Volume%</v>
      </c>
      <c r="C667" s="319" t="str">
        <f>Language!C1358</f>
        <v>kJ/h</v>
      </c>
      <c r="D667" s="319"/>
      <c r="E667" s="319" t="str">
        <f>Language!C1390</f>
        <v>MJ/m³</v>
      </c>
      <c r="F667" s="319" t="str">
        <f>Language!C1375</f>
        <v>m³</v>
      </c>
      <c r="G667" s="319" t="str">
        <f>Currency&amp;Language!C1300</f>
        <v>€/m³</v>
      </c>
      <c r="H667" s="319" t="str">
        <f>Language!C2133</f>
        <v>Reboco de cimento</v>
      </c>
      <c r="I667" s="319">
        <v>1.1000000000000001</v>
      </c>
      <c r="J667" s="319" t="s">
        <v>7887</v>
      </c>
      <c r="K667" s="319"/>
      <c r="L667" s="450" t="str">
        <f>Language!C2008</f>
        <v>Folhas da beterraba doce</v>
      </c>
      <c r="M667" s="463">
        <v>0.6</v>
      </c>
      <c r="N667" s="463">
        <v>1</v>
      </c>
      <c r="O667" s="463">
        <v>0.45</v>
      </c>
      <c r="P667" s="463">
        <v>0.9</v>
      </c>
      <c r="Q667" s="463">
        <v>0.5</v>
      </c>
      <c r="R667" s="463">
        <v>1</v>
      </c>
      <c r="S667" s="463" t="s">
        <v>7495</v>
      </c>
      <c r="T667" s="450" t="str">
        <f>Language!C1542</f>
        <v>Lava roupa</v>
      </c>
      <c r="U667" s="463" t="s">
        <v>5506</v>
      </c>
      <c r="V667" s="471" t="s">
        <v>8236</v>
      </c>
      <c r="W667" s="319"/>
    </row>
    <row r="668" spans="1:23" ht="13.2" hidden="1">
      <c r="A668" s="319"/>
      <c r="B668" s="319" t="str">
        <f>Language!C1308</f>
        <v>% Peso</v>
      </c>
      <c r="C668" s="319" t="str">
        <f>Language!C1323</f>
        <v>Btu/h</v>
      </c>
      <c r="D668" s="319"/>
      <c r="E668" s="319" t="str">
        <f>Language!C1386</f>
        <v>MJ/gal</v>
      </c>
      <c r="F668" s="319" t="str">
        <f>Language!C1334</f>
        <v>gal</v>
      </c>
      <c r="G668" s="319" t="str">
        <f>Currency&amp;Language!C1294</f>
        <v>€/gal</v>
      </c>
      <c r="H668" s="319" t="str">
        <f>Language!C2134</f>
        <v>Azulejo cerâmico</v>
      </c>
      <c r="I668" s="319">
        <v>1.9</v>
      </c>
      <c r="J668" s="319" t="s">
        <v>7888</v>
      </c>
      <c r="K668" s="319"/>
      <c r="L668" s="450" t="str">
        <f>Language!C1471</f>
        <v>Alga</v>
      </c>
      <c r="M668" s="463">
        <v>0.6</v>
      </c>
      <c r="N668" s="463">
        <v>1</v>
      </c>
      <c r="O668" s="463">
        <v>0.4</v>
      </c>
      <c r="P668" s="463">
        <v>0.9</v>
      </c>
      <c r="Q668" s="463">
        <v>0.32</v>
      </c>
      <c r="R668" s="463">
        <v>1</v>
      </c>
      <c r="S668" s="463" t="s">
        <v>7681</v>
      </c>
      <c r="T668" s="450" t="str">
        <f>Language!C1545</f>
        <v>Cafeteira elétrica</v>
      </c>
      <c r="U668" s="463" t="s">
        <v>4788</v>
      </c>
      <c r="V668" s="471" t="s">
        <v>8235</v>
      </c>
      <c r="W668" s="319"/>
    </row>
    <row r="669" spans="1:23" ht="13.2" hidden="1">
      <c r="A669" s="319"/>
      <c r="B669" s="319" t="str">
        <f>Language!C175</f>
        <v>Não coletado</v>
      </c>
      <c r="C669" s="319"/>
      <c r="D669" s="319"/>
      <c r="E669" s="319" t="str">
        <f>Language!C1325</f>
        <v>Btu/lb</v>
      </c>
      <c r="F669" s="319" t="str">
        <f>Language!C1367</f>
        <v>lb</v>
      </c>
      <c r="G669" s="319" t="str">
        <f>Currency&amp;Language!C1299</f>
        <v>€/lb</v>
      </c>
      <c r="H669" s="319" t="str">
        <f>Language!C2135</f>
        <v>Concreto - aerado</v>
      </c>
      <c r="I669" s="319">
        <v>0.2</v>
      </c>
      <c r="J669" s="319" t="s">
        <v>7906</v>
      </c>
      <c r="K669" s="319"/>
      <c r="L669" s="450" t="str">
        <f>Language!C1566</f>
        <v>Armazenagem de milho</v>
      </c>
      <c r="M669" s="463">
        <v>0.52500000000000002</v>
      </c>
      <c r="N669" s="463">
        <v>1</v>
      </c>
      <c r="O669" s="463">
        <v>0.27500000000000002</v>
      </c>
      <c r="P669" s="463">
        <v>0.9</v>
      </c>
      <c r="Q669" s="463">
        <v>0.57499999999999996</v>
      </c>
      <c r="R669" s="463">
        <v>1</v>
      </c>
      <c r="S669" s="463" t="s">
        <v>7713</v>
      </c>
      <c r="T669" s="450" t="str">
        <f>Language!C1556</f>
        <v>Computador</v>
      </c>
      <c r="U669" s="463" t="s">
        <v>2761</v>
      </c>
      <c r="V669" s="471" t="s">
        <v>7322</v>
      </c>
      <c r="W669" s="319"/>
    </row>
    <row r="670" spans="1:23" ht="13.2" hidden="1">
      <c r="A670" s="319"/>
      <c r="B670" s="319" t="str">
        <f>Language!C176</f>
        <v>Queimado no flare</v>
      </c>
      <c r="C670" s="319"/>
      <c r="D670" s="319"/>
      <c r="E670" s="319" t="str">
        <f>Language!C1384</f>
        <v>milhão Btu/pe³</v>
      </c>
      <c r="F670" s="319" t="str">
        <f>Language!C1331</f>
        <v>pe³</v>
      </c>
      <c r="G670" s="319" t="str">
        <f>Currency&amp;Language!C1293</f>
        <v>€/pe³</v>
      </c>
      <c r="H670" s="319" t="str">
        <f>Language!C2136</f>
        <v>Concreto (1600 kg/m³)</v>
      </c>
      <c r="I670" s="319">
        <v>0.75</v>
      </c>
      <c r="J670" s="319" t="s">
        <v>7915</v>
      </c>
      <c r="K670" s="319"/>
      <c r="L670" s="450" t="str">
        <f>Language!C1952</f>
        <v>Centeio</v>
      </c>
      <c r="M670" s="463">
        <v>0.55000000000000004</v>
      </c>
      <c r="N670" s="463">
        <v>1</v>
      </c>
      <c r="O670" s="463">
        <v>0.32500000000000001</v>
      </c>
      <c r="P670" s="463">
        <v>0.95</v>
      </c>
      <c r="Q670" s="463">
        <v>0.61499999999999999</v>
      </c>
      <c r="R670" s="463">
        <v>1</v>
      </c>
      <c r="S670" s="463" t="s">
        <v>7769</v>
      </c>
      <c r="T670" s="450" t="str">
        <f>Language!C1587</f>
        <v xml:space="preserve">Desumidificador  </v>
      </c>
      <c r="U670" s="463" t="s">
        <v>2762</v>
      </c>
      <c r="V670" s="471" t="s">
        <v>7606</v>
      </c>
      <c r="W670" s="319"/>
    </row>
    <row r="671" spans="1:23" ht="13.2" hidden="1">
      <c r="A671" s="319"/>
      <c r="B671" s="319" t="str">
        <f>Language!C773</f>
        <v>Entrada de ano deve estar em ordem ascendente</v>
      </c>
      <c r="C671" s="319"/>
      <c r="D671" s="319"/>
      <c r="E671" s="319"/>
      <c r="F671" s="319"/>
      <c r="G671" s="319"/>
      <c r="H671" s="319" t="str">
        <f>Language!C2137</f>
        <v>Concreto (2400 kg/m³)</v>
      </c>
      <c r="I671" s="319">
        <v>2.2999999999999998</v>
      </c>
      <c r="J671" s="319" t="s">
        <v>7882</v>
      </c>
      <c r="K671" s="319"/>
      <c r="L671" s="450" t="str">
        <f>Language!C2007</f>
        <v>Beterraba doce</v>
      </c>
      <c r="M671" s="463">
        <v>0.53500000000000003</v>
      </c>
      <c r="N671" s="463">
        <v>1</v>
      </c>
      <c r="O671" s="463">
        <v>0.23</v>
      </c>
      <c r="P671" s="463">
        <v>0.92500000000000004</v>
      </c>
      <c r="Q671" s="463">
        <v>0.83</v>
      </c>
      <c r="R671" s="463">
        <v>1</v>
      </c>
      <c r="S671" s="463" t="s">
        <v>7811</v>
      </c>
      <c r="T671" s="450" t="str">
        <f>Language!C1601</f>
        <v>Lava pratos</v>
      </c>
      <c r="U671" s="463" t="s">
        <v>2643</v>
      </c>
      <c r="V671" s="471" t="s">
        <v>8233</v>
      </c>
      <c r="W671" s="319"/>
    </row>
    <row r="672" spans="1:23" ht="13.2" hidden="1">
      <c r="A672" s="319"/>
      <c r="B672" s="319"/>
      <c r="C672" s="319" t="str">
        <f>Language!C1310</f>
        <v>°C</v>
      </c>
      <c r="D672" s="319">
        <v>1</v>
      </c>
      <c r="E672" s="319" t="s">
        <v>2486</v>
      </c>
      <c r="F672" s="319" t="str">
        <f>Language!C1442</f>
        <v>Combustível definido pelo usuário</v>
      </c>
      <c r="G672" s="319"/>
      <c r="H672" s="319" t="str">
        <f>Language!C2138</f>
        <v>Bloco de concreto</v>
      </c>
      <c r="I672" s="319">
        <v>0.9</v>
      </c>
      <c r="J672" s="319" t="s">
        <v>7902</v>
      </c>
      <c r="K672" s="319"/>
      <c r="L672" s="450" t="str">
        <f>Language!C1672</f>
        <v>Forragem de beterraba</v>
      </c>
      <c r="M672" s="463">
        <v>0.53500000000000003</v>
      </c>
      <c r="N672" s="463">
        <v>1</v>
      </c>
      <c r="O672" s="463">
        <v>0.12</v>
      </c>
      <c r="P672" s="463">
        <v>0.95</v>
      </c>
      <c r="Q672" s="463">
        <v>0.73499999999999999</v>
      </c>
      <c r="R672" s="463">
        <v>1</v>
      </c>
      <c r="S672" s="463" t="s">
        <v>7435</v>
      </c>
      <c r="T672" s="450" t="str">
        <f>Language!C1614</f>
        <v>Leitor de DVD</v>
      </c>
      <c r="U672" s="463">
        <v>14</v>
      </c>
      <c r="V672" s="471" t="s">
        <v>8234</v>
      </c>
      <c r="W672" s="319"/>
    </row>
    <row r="673" spans="1:23" ht="13.2" hidden="1">
      <c r="A673" s="319"/>
      <c r="B673" s="319"/>
      <c r="C673" s="319" t="str">
        <f>Language!C1313</f>
        <v>°F</v>
      </c>
      <c r="D673" s="319">
        <f>5/9</f>
        <v>0.55555555555555558</v>
      </c>
      <c r="E673" s="319" t="s">
        <v>3596</v>
      </c>
      <c r="F673" s="319" t="str">
        <f>Language!C1444</f>
        <v>Combustível definido pelo usuário - sólido</v>
      </c>
      <c r="G673" s="319"/>
      <c r="H673" s="319" t="str">
        <f>Language!C2139</f>
        <v>Bloco de concreto - leve e com núcleo isolado</v>
      </c>
      <c r="I673" s="319">
        <v>8.3000000000000004E-2</v>
      </c>
      <c r="J673" s="319" t="s">
        <v>7904</v>
      </c>
      <c r="K673" s="319"/>
      <c r="L673" s="450" t="str">
        <f>Language!C2051</f>
        <v>Folhas de nabo</v>
      </c>
      <c r="M673" s="463">
        <v>0.54500000000000004</v>
      </c>
      <c r="N673" s="463">
        <v>1</v>
      </c>
      <c r="O673" s="463">
        <v>0.16</v>
      </c>
      <c r="P673" s="463">
        <v>0.9</v>
      </c>
      <c r="Q673" s="463">
        <v>0.57499999999999996</v>
      </c>
      <c r="R673" s="463">
        <v>1</v>
      </c>
      <c r="S673" s="463" t="s">
        <v>7447</v>
      </c>
      <c r="T673" s="450" t="str">
        <f>Language!C2601</f>
        <v>Cobertor elétrico - simples</v>
      </c>
      <c r="U673" s="463">
        <v>60</v>
      </c>
      <c r="V673" s="471" t="s">
        <v>7452</v>
      </c>
      <c r="W673" s="319"/>
    </row>
    <row r="674" spans="1:23" ht="13.2" hidden="1">
      <c r="A674" s="319"/>
      <c r="B674" s="319"/>
      <c r="C674" s="319" t="str">
        <f>Language!C1364</f>
        <v>kW</v>
      </c>
      <c r="D674" s="319"/>
      <c r="E674" s="319" t="s">
        <v>443</v>
      </c>
      <c r="F674" s="319" t="str">
        <f>Language!C1443</f>
        <v>Combustível definido pelo usuário - gás</v>
      </c>
      <c r="G674" s="319"/>
      <c r="H674" s="319" t="str">
        <f>Language!C2140</f>
        <v>Placa de terra</v>
      </c>
      <c r="I674" s="319">
        <v>0.6</v>
      </c>
      <c r="J674" s="319" t="s">
        <v>7920</v>
      </c>
      <c r="K674" s="319"/>
      <c r="L674" s="450" t="str">
        <f>Language!C1702</f>
        <v>Armazenagem de grama</v>
      </c>
      <c r="M674" s="463">
        <v>0.54500000000000004</v>
      </c>
      <c r="N674" s="463">
        <v>1</v>
      </c>
      <c r="O674" s="463">
        <v>0.375</v>
      </c>
      <c r="P674" s="463">
        <v>0.77500000000000002</v>
      </c>
      <c r="Q674" s="463">
        <v>0.58499999999999996</v>
      </c>
      <c r="R674" s="463">
        <v>1</v>
      </c>
      <c r="S674" s="463" t="s">
        <v>7365</v>
      </c>
      <c r="T674" s="450" t="str">
        <f>Language!C2602</f>
        <v>Cobertor elétrico - duplo</v>
      </c>
      <c r="U674" s="463">
        <v>120</v>
      </c>
      <c r="V674" s="471" t="s">
        <v>7371</v>
      </c>
      <c r="W674" s="319"/>
    </row>
    <row r="675" spans="1:23" ht="13.2" hidden="1">
      <c r="A675" s="319"/>
      <c r="B675" s="319"/>
      <c r="C675" s="319" t="str">
        <f>Language!C1395</f>
        <v>MW</v>
      </c>
      <c r="D675" s="319"/>
      <c r="E675" s="319" t="s">
        <v>1176</v>
      </c>
      <c r="F675" s="319" t="str">
        <f>A14</f>
        <v>Combustível húmido</v>
      </c>
      <c r="G675" s="319"/>
      <c r="H675" s="319" t="str">
        <f>Language!C2141</f>
        <v>Terra - telhado verde</v>
      </c>
      <c r="I675" s="319">
        <v>0.4</v>
      </c>
      <c r="J675" s="319" t="s">
        <v>7918</v>
      </c>
      <c r="K675" s="319"/>
      <c r="L675" s="450" t="str">
        <f>Language!C1509</f>
        <v>Grão de cervejaria</v>
      </c>
      <c r="M675" s="463">
        <v>0.59499999999999997</v>
      </c>
      <c r="N675" s="463">
        <v>1</v>
      </c>
      <c r="O675" s="463">
        <v>0.22500000000000001</v>
      </c>
      <c r="P675" s="463">
        <v>0.75</v>
      </c>
      <c r="Q675" s="463">
        <v>0.66500000000000004</v>
      </c>
      <c r="R675" s="463">
        <v>1</v>
      </c>
      <c r="S675" s="463" t="s">
        <v>7285</v>
      </c>
      <c r="T675" s="450" t="str">
        <f>Language!C1637</f>
        <v>Aquecedor do bloco do motor</v>
      </c>
      <c r="U675" s="463" t="s">
        <v>2763</v>
      </c>
      <c r="V675" s="471" t="s">
        <v>7307</v>
      </c>
      <c r="W675" s="319"/>
    </row>
    <row r="676" spans="1:23" ht="13.2" hidden="1">
      <c r="A676" s="319"/>
      <c r="B676" s="319"/>
      <c r="C676" s="319" t="str">
        <f>Language!C1365</f>
        <v>kWh</v>
      </c>
      <c r="D676" s="319"/>
      <c r="E676" s="319" t="s">
        <v>3958</v>
      </c>
      <c r="F676" s="319" t="str">
        <f>Language!C214</f>
        <v>Poder calorífico e preço do combustível</v>
      </c>
      <c r="G676" s="319"/>
      <c r="H676" s="319" t="str">
        <f>Language!C2142</f>
        <v>Pastilhas de argila - extrudadas</v>
      </c>
      <c r="I676" s="319">
        <v>0.12</v>
      </c>
      <c r="J676" s="319" t="s">
        <v>7901</v>
      </c>
      <c r="K676" s="319"/>
      <c r="L676" s="450" t="str">
        <f>Language!C1604</f>
        <v>Resíduo de destilaria</v>
      </c>
      <c r="M676" s="463">
        <v>0.61499999999999999</v>
      </c>
      <c r="N676" s="463">
        <v>1</v>
      </c>
      <c r="O676" s="463">
        <v>7.0000000000000007E-2</v>
      </c>
      <c r="P676" s="463">
        <v>0.85499999999999998</v>
      </c>
      <c r="Q676" s="463">
        <v>0.56499999999999995</v>
      </c>
      <c r="R676" s="463">
        <v>1</v>
      </c>
      <c r="S676" s="463" t="s">
        <v>7373</v>
      </c>
      <c r="T676" s="450" t="str">
        <f>Language!C1679</f>
        <v>Congelador</v>
      </c>
      <c r="U676" s="463">
        <v>350</v>
      </c>
      <c r="V676" s="471" t="s">
        <v>7690</v>
      </c>
      <c r="W676" s="319"/>
    </row>
    <row r="677" spans="1:23" ht="13.2" hidden="1">
      <c r="A677" s="319"/>
      <c r="B677" s="319"/>
      <c r="C677" s="319" t="str">
        <f>Language!C1396</f>
        <v>MWh</v>
      </c>
      <c r="D677" s="319"/>
      <c r="E677" s="319" t="s">
        <v>3561</v>
      </c>
      <c r="F677" s="319" t="str">
        <f>B296</f>
        <v>Preço do calor</v>
      </c>
      <c r="G677" s="319"/>
      <c r="H677" s="319" t="str">
        <f>Language!C2143</f>
        <v>Revestimento do solo - folha de madeira</v>
      </c>
      <c r="I677" s="319">
        <v>0.17</v>
      </c>
      <c r="J677" s="319" t="s">
        <v>7919</v>
      </c>
      <c r="K677" s="319"/>
      <c r="L677" s="450" t="str">
        <f>Language!C1868</f>
        <v>Resíduo de batatas - produção de álcool</v>
      </c>
      <c r="M677" s="463">
        <v>0.61499999999999999</v>
      </c>
      <c r="N677" s="463">
        <v>1</v>
      </c>
      <c r="O677" s="463">
        <v>6.5000000000000002E-2</v>
      </c>
      <c r="P677" s="463">
        <v>0.875</v>
      </c>
      <c r="Q677" s="463">
        <v>0.55000000000000004</v>
      </c>
      <c r="R677" s="463">
        <v>1</v>
      </c>
      <c r="S677" s="463" t="s">
        <v>7591</v>
      </c>
      <c r="T677" s="450" t="str">
        <f>Language!C1696</f>
        <v>Ventilador do forno</v>
      </c>
      <c r="U677" s="463" t="s">
        <v>2764</v>
      </c>
      <c r="V677" s="471" t="s">
        <v>7790</v>
      </c>
      <c r="W677" s="319"/>
    </row>
    <row r="678" spans="1:23" ht="13.2" hidden="1">
      <c r="A678" s="319"/>
      <c r="B678" s="319"/>
      <c r="C678" s="319" t="str">
        <f>Language!C1338</f>
        <v>GWh</v>
      </c>
      <c r="D678" s="319"/>
      <c r="E678" s="319" t="s">
        <v>3923</v>
      </c>
      <c r="F678" s="319" t="str">
        <f>Language!C1119</f>
        <v>Padrão 1</v>
      </c>
      <c r="G678" s="319"/>
      <c r="H678" s="319" t="str">
        <f>Language!C2144</f>
        <v>Revestimento do solo - linóleo</v>
      </c>
      <c r="I678" s="319">
        <v>0.17</v>
      </c>
      <c r="J678" s="319" t="s">
        <v>7921</v>
      </c>
      <c r="K678" s="319"/>
      <c r="L678" s="450" t="str">
        <f>Language!C1685</f>
        <v>Resíduo de frutas - produção de vinho</v>
      </c>
      <c r="M678" s="463">
        <v>0.61499999999999999</v>
      </c>
      <c r="N678" s="463">
        <v>1</v>
      </c>
      <c r="O678" s="463">
        <v>2.5000000000000001E-2</v>
      </c>
      <c r="P678" s="463">
        <v>0.95</v>
      </c>
      <c r="Q678" s="463">
        <v>0.47499999999999998</v>
      </c>
      <c r="R678" s="463">
        <v>1</v>
      </c>
      <c r="S678" s="463" t="s">
        <v>7727</v>
      </c>
      <c r="T678" s="450" t="str">
        <f>Language!C1713</f>
        <v>Secador de cabelo</v>
      </c>
      <c r="U678" s="463" t="s">
        <v>205</v>
      </c>
      <c r="V678" s="471" t="s">
        <v>7288</v>
      </c>
      <c r="W678" s="319"/>
    </row>
    <row r="679" spans="1:23" ht="13.2" hidden="1">
      <c r="A679" s="319"/>
      <c r="B679" s="319"/>
      <c r="C679" s="319" t="str">
        <f>Currency&amp;"/"&amp;Ferramentas!C674</f>
        <v>€/kW</v>
      </c>
      <c r="D679" s="319" t="str">
        <f>Currency&amp;"/"&amp;C676</f>
        <v>€/kWh</v>
      </c>
      <c r="E679" s="319"/>
      <c r="F679" s="319" t="str">
        <f>Language!C1120</f>
        <v>Padrão 2</v>
      </c>
      <c r="G679" s="319"/>
      <c r="H679" s="319" t="str">
        <f>Language!C2145</f>
        <v>Revestimento do solo - borracha</v>
      </c>
      <c r="I679" s="319">
        <v>0.17</v>
      </c>
      <c r="J679" s="319" t="s">
        <v>6153</v>
      </c>
      <c r="K679" s="319"/>
      <c r="L679" s="450" t="str">
        <f>Language!C1919</f>
        <v>Celulose</v>
      </c>
      <c r="M679" s="463">
        <v>0.55500000000000005</v>
      </c>
      <c r="N679" s="463">
        <v>1</v>
      </c>
      <c r="O679" s="463">
        <v>0.13</v>
      </c>
      <c r="P679" s="463">
        <v>0.9</v>
      </c>
      <c r="Q679" s="463">
        <v>0.7</v>
      </c>
      <c r="R679" s="463">
        <v>1</v>
      </c>
      <c r="S679" s="463" t="s">
        <v>7770</v>
      </c>
      <c r="T679" s="450" t="str">
        <f>Language!C1739</f>
        <v>Umidificador</v>
      </c>
      <c r="U679" s="463">
        <v>100</v>
      </c>
      <c r="V679" s="471" t="s">
        <v>7588</v>
      </c>
      <c r="W679" s="319"/>
    </row>
    <row r="680" spans="1:23" ht="13.2" hidden="1">
      <c r="A680" s="319"/>
      <c r="B680" s="319"/>
      <c r="C680" s="319" t="str">
        <f>Currency&amp;"/"&amp;Ferramentas!C675</f>
        <v>€/MW</v>
      </c>
      <c r="D680" s="319" t="str">
        <f>Currency&amp;"/"&amp;C677</f>
        <v>€/MWh</v>
      </c>
      <c r="E680" s="319"/>
      <c r="F680" s="319" t="str">
        <f>Language!C1121</f>
        <v>Padrão 3</v>
      </c>
      <c r="G680" s="319"/>
      <c r="H680" s="319" t="str">
        <f>Language!C2146</f>
        <v>Revestimento do solo - vinil</v>
      </c>
      <c r="I680" s="319">
        <v>0.17</v>
      </c>
      <c r="J680" s="319" t="s">
        <v>7893</v>
      </c>
      <c r="K680" s="319"/>
      <c r="L680" s="450" t="str">
        <f>Language!C1686</f>
        <v>Água de lavagem de frutas</v>
      </c>
      <c r="M680" s="463">
        <v>0.55000000000000004</v>
      </c>
      <c r="N680" s="463">
        <v>1</v>
      </c>
      <c r="O680" s="463">
        <v>3.7000000000000005E-2</v>
      </c>
      <c r="P680" s="463">
        <v>0.72499999999999998</v>
      </c>
      <c r="Q680" s="463">
        <v>1.75</v>
      </c>
      <c r="R680" s="463">
        <v>1</v>
      </c>
      <c r="S680" s="463" t="s">
        <v>7774</v>
      </c>
      <c r="T680" s="450" t="str">
        <f>Language!C1767</f>
        <v>Chaleira</v>
      </c>
      <c r="U680" s="463">
        <v>1500</v>
      </c>
      <c r="V680" s="471" t="s">
        <v>7650</v>
      </c>
      <c r="W680" s="319"/>
    </row>
    <row r="681" spans="1:23" ht="13.2" hidden="1">
      <c r="A681" s="319"/>
      <c r="B681" s="319"/>
      <c r="C681" s="319" t="str">
        <f>Language!C847</f>
        <v>Energia</v>
      </c>
      <c r="D681" s="319" t="str">
        <f>F665</f>
        <v>kg</v>
      </c>
      <c r="E681" s="319" t="s">
        <v>914</v>
      </c>
      <c r="F681" s="319" t="str">
        <f>Language!C1445</f>
        <v>Gás de Lixo (Biogás)</v>
      </c>
      <c r="G681" s="319"/>
      <c r="H681" s="319" t="str">
        <f>Language!C2147</f>
        <v>Placa de vidro - celular</v>
      </c>
      <c r="I681" s="319">
        <v>4.8000000000000001E-2</v>
      </c>
      <c r="J681" s="319" t="s">
        <v>7914</v>
      </c>
      <c r="K681" s="319"/>
      <c r="L681" s="450" t="str">
        <f>Language!C2009</f>
        <v>Polpa da beterraba doce</v>
      </c>
      <c r="M681" s="463">
        <v>0.72499999999999998</v>
      </c>
      <c r="N681" s="463">
        <v>1</v>
      </c>
      <c r="O681" s="463">
        <v>0.24</v>
      </c>
      <c r="P681" s="463">
        <v>0.95</v>
      </c>
      <c r="Q681" s="463">
        <v>0.3</v>
      </c>
      <c r="R681" s="463">
        <v>1</v>
      </c>
      <c r="S681" s="463" t="s">
        <v>7651</v>
      </c>
      <c r="T681" s="450" t="str">
        <f>Language!C1838</f>
        <v>Computador portátil</v>
      </c>
      <c r="U681" s="463">
        <v>50</v>
      </c>
      <c r="V681" s="471" t="s">
        <v>7820</v>
      </c>
      <c r="W681" s="319"/>
    </row>
    <row r="682" spans="1:23" ht="13.2" hidden="1">
      <c r="A682" s="319"/>
      <c r="B682" s="319"/>
      <c r="C682" s="319" t="str">
        <f>Language!C810</f>
        <v>Volume</v>
      </c>
      <c r="D682" s="319" t="str">
        <f>F669</f>
        <v>lb</v>
      </c>
      <c r="E682" s="319"/>
      <c r="F682" s="319"/>
      <c r="G682" s="319"/>
      <c r="H682" s="319" t="str">
        <f>Language!C2148</f>
        <v>Placa de gesso</v>
      </c>
      <c r="I682" s="319">
        <v>0.16</v>
      </c>
      <c r="J682" s="319" t="s">
        <v>7913</v>
      </c>
      <c r="K682" s="319"/>
      <c r="L682" s="450" t="str">
        <f>Language!C1822</f>
        <v>Melaço</v>
      </c>
      <c r="M682" s="463">
        <v>0.72499999999999998</v>
      </c>
      <c r="N682" s="463">
        <v>1</v>
      </c>
      <c r="O682" s="463">
        <v>0.85</v>
      </c>
      <c r="P682" s="463">
        <v>0.875</v>
      </c>
      <c r="Q682" s="463">
        <v>0.42499999999999999</v>
      </c>
      <c r="R682" s="463">
        <v>1</v>
      </c>
      <c r="S682" s="463" t="s">
        <v>7577</v>
      </c>
      <c r="T682" s="450" t="str">
        <f>Language!C1818</f>
        <v>Forno microondas</v>
      </c>
      <c r="U682" s="463" t="s">
        <v>3175</v>
      </c>
      <c r="V682" s="471" t="s">
        <v>7533</v>
      </c>
      <c r="W682" s="319"/>
    </row>
    <row r="683" spans="1:23" ht="13.2" hidden="1">
      <c r="A683" s="319"/>
      <c r="B683" s="319"/>
      <c r="C683" s="319" t="str">
        <f>E721</f>
        <v>m</v>
      </c>
      <c r="D683" s="319" t="str">
        <f>E727</f>
        <v>m²</v>
      </c>
      <c r="E683" s="319" t="str">
        <f>Currency&amp;Language!C1302</f>
        <v>€/MWh</v>
      </c>
      <c r="F683" s="319">
        <f>1/3.6</f>
        <v>0.27777777777777779</v>
      </c>
      <c r="G683" s="319"/>
      <c r="H683" s="319" t="str">
        <f>Language!C2149</f>
        <v>Reboco de cal</v>
      </c>
      <c r="I683" s="319">
        <v>1.1000000000000001</v>
      </c>
      <c r="J683" s="319" t="s">
        <v>7905</v>
      </c>
      <c r="K683" s="319"/>
      <c r="L683" s="450" t="str">
        <f>Language!C1483</f>
        <v>Resíduo de maçãs</v>
      </c>
      <c r="M683" s="463">
        <v>0.67500000000000004</v>
      </c>
      <c r="N683" s="463">
        <v>1</v>
      </c>
      <c r="O683" s="463">
        <v>0.35</v>
      </c>
      <c r="P683" s="463">
        <v>0.875</v>
      </c>
      <c r="Q683" s="463">
        <v>0.67</v>
      </c>
      <c r="R683" s="463">
        <v>1</v>
      </c>
      <c r="S683" s="463" t="s">
        <v>7594</v>
      </c>
      <c r="T683" s="450" t="str">
        <f>Language!C1883</f>
        <v>Fotocopiador</v>
      </c>
      <c r="U683" s="463" t="s">
        <v>5475</v>
      </c>
      <c r="V683" s="471" t="s">
        <v>7550</v>
      </c>
      <c r="W683" s="319"/>
    </row>
    <row r="684" spans="1:23" ht="13.2" hidden="1">
      <c r="A684" s="319"/>
      <c r="B684" s="319"/>
      <c r="C684" s="319" t="str">
        <f>E723</f>
        <v>pe</v>
      </c>
      <c r="D684" s="319" t="str">
        <f>E728</f>
        <v>pe²</v>
      </c>
      <c r="E684" s="319" t="str">
        <f>Currency&amp;Language!C1295</f>
        <v>€/GJ</v>
      </c>
      <c r="F684" s="319">
        <v>1</v>
      </c>
      <c r="G684" s="319"/>
      <c r="H684" s="319" t="str">
        <f>Language!C2150</f>
        <v>Fita metálica - 10 mm</v>
      </c>
      <c r="I684" s="319">
        <v>0.09</v>
      </c>
      <c r="J684" s="319" t="s">
        <v>7883</v>
      </c>
      <c r="K684" s="319"/>
      <c r="L684" s="450" t="str">
        <f>Language!C1684</f>
        <v>Resíduo de frutas</v>
      </c>
      <c r="M684" s="463">
        <v>0.67500000000000004</v>
      </c>
      <c r="N684" s="463">
        <v>1</v>
      </c>
      <c r="O684" s="463">
        <v>0.35</v>
      </c>
      <c r="P684" s="463">
        <v>0.92500000000000004</v>
      </c>
      <c r="Q684" s="463">
        <v>0.625</v>
      </c>
      <c r="R684" s="463">
        <v>1</v>
      </c>
      <c r="S684" s="463" t="s">
        <v>7636</v>
      </c>
      <c r="T684" s="450" t="str">
        <f>Language!C1892</f>
        <v>Bomba de piscina</v>
      </c>
      <c r="U684" s="463" t="s">
        <v>1097</v>
      </c>
      <c r="V684" s="471" t="s">
        <v>7355</v>
      </c>
      <c r="W684" s="319"/>
    </row>
    <row r="685" spans="1:23" ht="13.2" hidden="1">
      <c r="A685" s="319"/>
      <c r="B685" s="319"/>
      <c r="C685" s="319" t="str">
        <f>E745</f>
        <v>kW</v>
      </c>
      <c r="D685" s="319" t="str">
        <f>Language!C2228</f>
        <v>L/s</v>
      </c>
      <c r="E685" s="319" t="str">
        <f>Currency&amp;Language!C1301</f>
        <v>€/mmBtu</v>
      </c>
      <c r="F685" s="319">
        <f>F760</f>
        <v>0.94781712031331744</v>
      </c>
      <c r="G685" s="319"/>
      <c r="H685" s="319" t="str">
        <f>Language!C2151</f>
        <v>Fibra mineral - alta densidade</v>
      </c>
      <c r="I685" s="319">
        <v>3.5999999999999997E-2</v>
      </c>
      <c r="J685" s="319" t="s">
        <v>7899</v>
      </c>
      <c r="K685" s="319"/>
      <c r="L685" s="450" t="str">
        <f>Language!C1701</f>
        <v>Resíduo de uvas</v>
      </c>
      <c r="M685" s="463">
        <v>0.67500000000000004</v>
      </c>
      <c r="N685" s="463">
        <v>1</v>
      </c>
      <c r="O685" s="463">
        <v>0.45</v>
      </c>
      <c r="P685" s="463">
        <v>0.85</v>
      </c>
      <c r="Q685" s="463">
        <v>0.66500000000000004</v>
      </c>
      <c r="R685" s="463">
        <v>1</v>
      </c>
      <c r="S685" s="463" t="s">
        <v>7375</v>
      </c>
      <c r="T685" s="450" t="str">
        <f>Language!C1753</f>
        <v>Impressora à jato de tinta</v>
      </c>
      <c r="U685" s="463">
        <v>13</v>
      </c>
      <c r="V685" s="471" t="s">
        <v>7308</v>
      </c>
      <c r="W685" s="319"/>
    </row>
    <row r="686" spans="1:23" ht="13.2" hidden="1">
      <c r="A686" s="319"/>
      <c r="B686" s="319"/>
      <c r="C686" s="319" t="str">
        <f>E750</f>
        <v>milhão Btu/h</v>
      </c>
      <c r="D686" s="319" t="str">
        <f>C657</f>
        <v>m³/s</v>
      </c>
      <c r="E686" s="319" t="str">
        <f>Currency&amp;"/"&amp;E768</f>
        <v>€/térm.</v>
      </c>
      <c r="F686" s="319">
        <f>F768/F759</f>
        <v>9.4781712035510868</v>
      </c>
      <c r="G686" s="319"/>
      <c r="H686" s="319" t="str">
        <f>Language!C2152</f>
        <v>Baixa densidade</v>
      </c>
      <c r="I686" s="319">
        <v>4.2000000000000003E-2</v>
      </c>
      <c r="J686" s="319" t="s">
        <v>7891</v>
      </c>
      <c r="K686" s="319"/>
      <c r="L686" s="450" t="str">
        <f>Language!C1826</f>
        <v>Resíduo biologico Municipal</v>
      </c>
      <c r="M686" s="463">
        <v>0.61499999999999999</v>
      </c>
      <c r="N686" s="463">
        <v>1</v>
      </c>
      <c r="O686" s="463">
        <v>0.57499999999999996</v>
      </c>
      <c r="P686" s="463">
        <v>0.6</v>
      </c>
      <c r="Q686" s="463">
        <v>0.375</v>
      </c>
      <c r="R686" s="463">
        <v>1</v>
      </c>
      <c r="S686" s="463" t="s">
        <v>7457</v>
      </c>
      <c r="T686" s="450" t="str">
        <f>Language!C1771</f>
        <v>Impressora laser</v>
      </c>
      <c r="U686" s="463" t="s">
        <v>5245</v>
      </c>
      <c r="V686" s="471" t="s">
        <v>7385</v>
      </c>
      <c r="W686" s="319"/>
    </row>
    <row r="687" spans="1:23" ht="13.2" hidden="1">
      <c r="A687" s="319"/>
      <c r="B687" s="319"/>
      <c r="C687" s="319" t="str">
        <f>E748</f>
        <v>TR</v>
      </c>
      <c r="D687" s="319" t="str">
        <f>Language!C2204</f>
        <v>pé³/s</v>
      </c>
      <c r="E687" s="319"/>
      <c r="F687" s="319"/>
      <c r="G687" s="319"/>
      <c r="H687" s="319" t="str">
        <f>Language!C2153</f>
        <v>Fibra mineral - densidade média</v>
      </c>
      <c r="I687" s="319">
        <v>3.9E-2</v>
      </c>
      <c r="J687" s="319" t="s">
        <v>7898</v>
      </c>
      <c r="K687" s="319"/>
      <c r="L687" s="450" t="str">
        <f>Language!C1941</f>
        <v>Resíduos do restaurante</v>
      </c>
      <c r="M687" s="463">
        <v>0.53</v>
      </c>
      <c r="N687" s="463">
        <v>1</v>
      </c>
      <c r="O687" s="463">
        <v>0.23</v>
      </c>
      <c r="P687" s="463">
        <v>0.89</v>
      </c>
      <c r="Q687" s="463">
        <v>0.35</v>
      </c>
      <c r="R687" s="463">
        <v>1</v>
      </c>
      <c r="S687" s="463" t="s">
        <v>7458</v>
      </c>
      <c r="T687" s="450" t="str">
        <f>Language!C1927</f>
        <v>Rádio</v>
      </c>
      <c r="U687" s="463" t="s">
        <v>5246</v>
      </c>
      <c r="V687" s="471" t="s">
        <v>7765</v>
      </c>
      <c r="W687" s="319"/>
    </row>
    <row r="688" spans="1:23" ht="13.2" hidden="1">
      <c r="A688" s="319"/>
      <c r="B688" s="319"/>
      <c r="C688" s="319"/>
      <c r="D688" s="319"/>
      <c r="E688" s="319"/>
      <c r="F688" s="319"/>
      <c r="G688" s="319"/>
      <c r="H688" s="319" t="str">
        <f>Language!C2154</f>
        <v>Perlite - enchimento solto</v>
      </c>
      <c r="I688" s="319">
        <v>5.2999999999999999E-2</v>
      </c>
      <c r="J688" s="319" t="s">
        <v>7908</v>
      </c>
      <c r="K688" s="319"/>
      <c r="L688" s="450" t="str">
        <f>Language!C1497</f>
        <v>Resíduo de padaria</v>
      </c>
      <c r="M688" s="463">
        <v>0.53</v>
      </c>
      <c r="N688" s="463">
        <v>1</v>
      </c>
      <c r="O688" s="463">
        <v>0.23</v>
      </c>
      <c r="P688" s="463">
        <v>0.89</v>
      </c>
      <c r="Q688" s="463">
        <v>0.35</v>
      </c>
      <c r="R688" s="463">
        <v>1</v>
      </c>
      <c r="S688" s="463" t="s">
        <v>7460</v>
      </c>
      <c r="T688" s="450" t="str">
        <f>Language!C1928</f>
        <v>Fogão</v>
      </c>
      <c r="U688" s="463">
        <v>5000</v>
      </c>
      <c r="V688" s="471" t="s">
        <v>7689</v>
      </c>
      <c r="W688" s="319"/>
    </row>
    <row r="689" spans="1:23" ht="13.2" hidden="1">
      <c r="A689" s="319"/>
      <c r="B689" s="319"/>
      <c r="C689" s="319"/>
      <c r="D689" s="319" t="s">
        <v>3135</v>
      </c>
      <c r="E689" s="319" t="s">
        <v>5483</v>
      </c>
      <c r="F689" s="319"/>
      <c r="G689" s="319"/>
      <c r="H689" s="319" t="str">
        <f>Language!C2155</f>
        <v>Contraplaca</v>
      </c>
      <c r="I689" s="319">
        <v>0.11</v>
      </c>
      <c r="J689" s="319" t="s">
        <v>7909</v>
      </c>
      <c r="K689" s="319"/>
      <c r="L689" s="450" t="str">
        <f>Language!C1687</f>
        <v>Resíduo de frutas e vegetais</v>
      </c>
      <c r="M689" s="463">
        <v>0.625</v>
      </c>
      <c r="N689" s="463">
        <v>1</v>
      </c>
      <c r="O689" s="463">
        <v>0.125</v>
      </c>
      <c r="P689" s="463">
        <v>0.85</v>
      </c>
      <c r="Q689" s="463">
        <v>0.5</v>
      </c>
      <c r="R689" s="463">
        <v>1</v>
      </c>
      <c r="S689" s="463" t="s">
        <v>7259</v>
      </c>
      <c r="T689" s="450" t="str">
        <f>Language!C1935</f>
        <v>Refrigerador</v>
      </c>
      <c r="U689" s="463" t="s">
        <v>3402</v>
      </c>
      <c r="V689" s="471" t="s">
        <v>7305</v>
      </c>
      <c r="W689" s="319"/>
    </row>
    <row r="690" spans="1:23" ht="13.2" hidden="1">
      <c r="A690" s="319"/>
      <c r="B690" s="319" t="s">
        <v>2516</v>
      </c>
      <c r="C690" s="319"/>
      <c r="D690" s="319"/>
      <c r="E690" s="319" t="s">
        <v>3726</v>
      </c>
      <c r="F690" s="319"/>
      <c r="G690" s="319"/>
      <c r="H690" s="319" t="str">
        <f>Language!C2156</f>
        <v>Polisocianureto - superficie aluminisada</v>
      </c>
      <c r="I690" s="319">
        <v>2.4E-2</v>
      </c>
      <c r="J690" s="319" t="s">
        <v>7907</v>
      </c>
      <c r="K690" s="319"/>
      <c r="L690" s="450" t="str">
        <f>Language!C1805</f>
        <v>Recorte de carne</v>
      </c>
      <c r="M690" s="463">
        <v>0.66</v>
      </c>
      <c r="N690" s="463">
        <v>1</v>
      </c>
      <c r="O690" s="463">
        <v>0.36</v>
      </c>
      <c r="P690" s="463">
        <v>0.79</v>
      </c>
      <c r="Q690" s="463">
        <v>0.7</v>
      </c>
      <c r="R690" s="463">
        <v>1</v>
      </c>
      <c r="S690" s="463" t="s">
        <v>7273</v>
      </c>
      <c r="T690" s="450" t="str">
        <f>Language!C2004</f>
        <v>Queimadores do fogão</v>
      </c>
      <c r="U690" s="463">
        <v>1500</v>
      </c>
      <c r="V690" s="471" t="s">
        <v>7697</v>
      </c>
      <c r="W690" s="319"/>
    </row>
    <row r="691" spans="1:23" ht="13.2" hidden="1">
      <c r="A691" s="319"/>
      <c r="B691" s="319"/>
      <c r="C691" s="319"/>
      <c r="D691" s="319" t="str">
        <f t="shared" ref="D691:D698" si="36">$D$247</f>
        <v>tCO2</v>
      </c>
      <c r="E691" s="319" t="str">
        <f>D691</f>
        <v>tCO2</v>
      </c>
      <c r="F691" s="319">
        <v>1</v>
      </c>
      <c r="G691" s="319"/>
      <c r="H691" s="319" t="str">
        <f>Language!C2157</f>
        <v>Poliestireno - tipo 1</v>
      </c>
      <c r="I691" s="319">
        <v>3.7999999999999999E-2</v>
      </c>
      <c r="J691" s="319" t="s">
        <v>7910</v>
      </c>
      <c r="K691" s="319"/>
      <c r="L691" s="450" t="str">
        <f>Language!C1884</f>
        <v>Porco - alimento digerido</v>
      </c>
      <c r="M691" s="463">
        <v>0.65</v>
      </c>
      <c r="N691" s="463">
        <v>1</v>
      </c>
      <c r="O691" s="463">
        <v>0.13500000000000001</v>
      </c>
      <c r="P691" s="463">
        <v>0.80500000000000005</v>
      </c>
      <c r="Q691" s="463">
        <v>0.35</v>
      </c>
      <c r="R691" s="463">
        <v>1</v>
      </c>
      <c r="S691" s="463" t="s">
        <v>7553</v>
      </c>
      <c r="T691" s="450" t="str">
        <f>Language!C2028</f>
        <v>Torradeira</v>
      </c>
      <c r="U691" s="463" t="s">
        <v>3403</v>
      </c>
      <c r="V691" s="471" t="s">
        <v>7486</v>
      </c>
      <c r="W691" s="319"/>
    </row>
    <row r="692" spans="1:23" ht="13.2" hidden="1">
      <c r="A692" s="319"/>
      <c r="B692" s="319"/>
      <c r="C692" s="319"/>
      <c r="D692" s="319" t="str">
        <f t="shared" si="36"/>
        <v>tCO2</v>
      </c>
      <c r="E692" s="319" t="str">
        <f>Language!C840</f>
        <v>Carros e camionetes não utilizados</v>
      </c>
      <c r="F692" s="319">
        <f>1/5.46</f>
        <v>0.18315018315018314</v>
      </c>
      <c r="G692" s="319"/>
      <c r="H692" s="319" t="str">
        <f>Language!C2158</f>
        <v>Poliestireno - tipos 2,3,4</v>
      </c>
      <c r="I692" s="319">
        <v>2.9000000000000001E-2</v>
      </c>
      <c r="J692" s="319" t="s">
        <v>7900</v>
      </c>
      <c r="K692" s="319"/>
      <c r="L692" s="450" t="str">
        <f>Language!C1571</f>
        <v>Vaca - alimento digerido</v>
      </c>
      <c r="M692" s="463">
        <v>0.6</v>
      </c>
      <c r="N692" s="463">
        <v>1</v>
      </c>
      <c r="O692" s="463">
        <v>0.15</v>
      </c>
      <c r="P692" s="463">
        <v>0.85</v>
      </c>
      <c r="Q692" s="463">
        <v>0.3</v>
      </c>
      <c r="R692" s="463">
        <v>1</v>
      </c>
      <c r="S692" s="463" t="s">
        <v>7474</v>
      </c>
      <c r="T692" s="450" t="str">
        <f>Language!C2029</f>
        <v>Forno da torradeira</v>
      </c>
      <c r="U692" s="463">
        <v>1225</v>
      </c>
      <c r="V692" s="471" t="s">
        <v>7306</v>
      </c>
      <c r="W692" s="319"/>
    </row>
    <row r="693" spans="1:23" ht="13.2" hidden="1">
      <c r="A693" s="319"/>
      <c r="B693" s="319"/>
      <c r="C693" s="319"/>
      <c r="D693" s="319" t="str">
        <f t="shared" si="36"/>
        <v>tCO2</v>
      </c>
      <c r="E693" s="319" t="str">
        <f>Language!C841</f>
        <v>Litros gasolina não consumidos</v>
      </c>
      <c r="F693" s="319">
        <f>1/0.00881*G781</f>
        <v>429.67216617480136</v>
      </c>
      <c r="G693" s="319"/>
      <c r="H693" s="319" t="str">
        <f>Language!C2159</f>
        <v>Poliuretano - pulverizado</v>
      </c>
      <c r="I693" s="319">
        <v>2.4E-2</v>
      </c>
      <c r="J693" s="319" t="s">
        <v>7884</v>
      </c>
      <c r="K693" s="319"/>
      <c r="L693" s="450" t="str">
        <f>Language!C1602</f>
        <v>Lodo dissolvido pela flutuação do ar</v>
      </c>
      <c r="M693" s="463">
        <v>0.66</v>
      </c>
      <c r="N693" s="463">
        <v>1</v>
      </c>
      <c r="O693" s="463">
        <v>0.14499999999999999</v>
      </c>
      <c r="P693" s="463">
        <v>0.875</v>
      </c>
      <c r="Q693" s="463">
        <v>1.05</v>
      </c>
      <c r="R693" s="463">
        <v>1</v>
      </c>
      <c r="S693" s="463" t="s">
        <v>7703</v>
      </c>
      <c r="T693" s="450" t="str">
        <f>Language!C2052</f>
        <v>TV</v>
      </c>
      <c r="U693" s="463" t="s">
        <v>1098</v>
      </c>
      <c r="V693" s="471" t="s">
        <v>7211</v>
      </c>
      <c r="W693" s="319"/>
    </row>
    <row r="694" spans="1:23" ht="13.2" hidden="1">
      <c r="A694" s="319"/>
      <c r="B694" s="319"/>
      <c r="C694" s="319"/>
      <c r="D694" s="319" t="str">
        <f t="shared" si="36"/>
        <v>tCO2</v>
      </c>
      <c r="E694" s="319" t="str">
        <f>Language!C842</f>
        <v>Barris de óleo bruto não consumidos</v>
      </c>
      <c r="F694" s="319">
        <f>1/0.43</f>
        <v>2.3255813953488373</v>
      </c>
      <c r="G694" s="319"/>
      <c r="H694" s="319" t="str">
        <f>Language!C2160</f>
        <v>Telhado com feltro - camada de asfalto</v>
      </c>
      <c r="I694" s="319">
        <v>0.17</v>
      </c>
      <c r="J694" s="319" t="s">
        <v>7896</v>
      </c>
      <c r="K694" s="319"/>
      <c r="L694" s="472" t="str">
        <f>Language!C1774</f>
        <v>Resíduo de tosquia</v>
      </c>
      <c r="M694" s="394">
        <v>0.6</v>
      </c>
      <c r="N694" s="394">
        <v>1</v>
      </c>
      <c r="O694" s="394">
        <v>0.12</v>
      </c>
      <c r="P694" s="394">
        <v>0.875</v>
      </c>
      <c r="Q694" s="394">
        <v>0.61499999999999999</v>
      </c>
      <c r="R694" s="394">
        <v>1</v>
      </c>
      <c r="S694" s="394" t="s">
        <v>7336</v>
      </c>
      <c r="T694" s="450" t="str">
        <f>Language!C2059</f>
        <v>Aspirador</v>
      </c>
      <c r="U694" s="463" t="s">
        <v>1293</v>
      </c>
      <c r="V694" s="471" t="s">
        <v>7789</v>
      </c>
      <c r="W694" s="319"/>
    </row>
    <row r="695" spans="1:23" ht="13.2" hidden="1">
      <c r="A695" s="319"/>
      <c r="B695" s="319"/>
      <c r="C695" s="319"/>
      <c r="D695" s="319" t="str">
        <f t="shared" si="36"/>
        <v>tCO2</v>
      </c>
      <c r="E695" s="319" t="str">
        <f>Language!C843</f>
        <v>Pessoas reduzindo uso de energia em 20%</v>
      </c>
      <c r="F695" s="319">
        <v>1</v>
      </c>
      <c r="G695" s="319"/>
      <c r="H695" s="319" t="str">
        <f>Language!C1249</f>
        <v>Serragem</v>
      </c>
      <c r="I695" s="319">
        <v>7.0000000000000007E-2</v>
      </c>
      <c r="J695" s="319" t="s">
        <v>7894</v>
      </c>
      <c r="K695" s="319"/>
      <c r="L695" s="319"/>
      <c r="M695" s="319"/>
      <c r="N695" s="319"/>
      <c r="O695" s="319"/>
      <c r="P695" s="319"/>
      <c r="Q695" s="319"/>
      <c r="R695" s="319"/>
      <c r="S695" s="319"/>
      <c r="T695" s="450" t="str">
        <f>Language!C2061</f>
        <v>Gravador vídeo cassete</v>
      </c>
      <c r="U695" s="463" t="s">
        <v>2769</v>
      </c>
      <c r="V695" s="471" t="s">
        <v>1772</v>
      </c>
      <c r="W695" s="319"/>
    </row>
    <row r="696" spans="1:23" ht="13.2" hidden="1">
      <c r="A696" s="319"/>
      <c r="B696" s="319"/>
      <c r="C696" s="319"/>
      <c r="D696" s="319" t="str">
        <f t="shared" si="36"/>
        <v>tCO2</v>
      </c>
      <c r="E696" s="319" t="str">
        <f>Language!C844</f>
        <v>Acres de floresta absorvendo carbono</v>
      </c>
      <c r="F696" s="319">
        <f>1/4.4</f>
        <v>0.22727272727272727</v>
      </c>
      <c r="G696" s="319"/>
      <c r="H696" s="319" t="str">
        <f>Language!C2161</f>
        <v>Aço - galvanizado</v>
      </c>
      <c r="I696" s="319">
        <v>62</v>
      </c>
      <c r="J696" s="319" t="s">
        <v>7895</v>
      </c>
      <c r="K696" s="319"/>
      <c r="L696" s="468" t="str">
        <f>Language!C881</f>
        <v>Nenhum</v>
      </c>
      <c r="M696" s="469"/>
      <c r="N696" s="470" t="s">
        <v>7869</v>
      </c>
      <c r="O696" s="319"/>
      <c r="P696" s="319"/>
      <c r="Q696" s="319"/>
      <c r="R696" s="319"/>
      <c r="S696" s="319"/>
      <c r="T696" s="450" t="str">
        <f>Language!C2067</f>
        <v>Cama de água</v>
      </c>
      <c r="U696" s="463" t="s">
        <v>4744</v>
      </c>
      <c r="V696" s="471" t="s">
        <v>7499</v>
      </c>
      <c r="W696" s="319"/>
    </row>
    <row r="697" spans="1:23" ht="13.2" hidden="1">
      <c r="A697" s="319"/>
      <c r="B697" s="319"/>
      <c r="C697" s="319"/>
      <c r="D697" s="319" t="str">
        <f t="shared" si="36"/>
        <v>tCO2</v>
      </c>
      <c r="E697" s="319" t="str">
        <f>Language!C845</f>
        <v>Hectares de floresta absorvendo carbono</v>
      </c>
      <c r="F697" s="319">
        <f>F696/G731/F729</f>
        <v>9.1974009599999976E-2</v>
      </c>
      <c r="G697" s="319"/>
      <c r="H697" s="319" t="str">
        <f>Language!C2162</f>
        <v>Pedra sólida (2240 kg/m³)</v>
      </c>
      <c r="I697" s="319">
        <v>3.4</v>
      </c>
      <c r="J697" s="319" t="s">
        <v>7897</v>
      </c>
      <c r="K697" s="319"/>
      <c r="L697" s="450" t="str">
        <f t="shared" ref="L697:M699" si="37">H669</f>
        <v>Concreto - aerado</v>
      </c>
      <c r="M697" s="463">
        <f t="shared" si="37"/>
        <v>0.2</v>
      </c>
      <c r="N697" s="471" t="s">
        <v>7886</v>
      </c>
      <c r="O697" s="319"/>
      <c r="P697" s="319"/>
      <c r="Q697" s="319"/>
      <c r="R697" s="319"/>
      <c r="S697" s="319"/>
      <c r="T697" s="450" t="str">
        <f>Language!C2068</f>
        <v>Aquecedor de água</v>
      </c>
      <c r="U697" s="463" t="s">
        <v>1173</v>
      </c>
      <c r="V697" s="471" t="s">
        <v>7840</v>
      </c>
      <c r="W697" s="319"/>
    </row>
    <row r="698" spans="1:23" ht="13.2" hidden="1">
      <c r="A698" s="319"/>
      <c r="B698" s="319"/>
      <c r="C698" s="319"/>
      <c r="D698" s="319" t="str">
        <f t="shared" si="36"/>
        <v>tCO2</v>
      </c>
      <c r="E698" s="319" t="str">
        <f>Language!C846</f>
        <v>Toneladas lixo reciclado</v>
      </c>
      <c r="F698" s="319">
        <f>1/2.9</f>
        <v>0.34482758620689657</v>
      </c>
      <c r="G698" s="319"/>
      <c r="H698" s="319" t="str">
        <f>Language!C2163</f>
        <v>Pedra - triturada</v>
      </c>
      <c r="I698" s="319">
        <v>1.7</v>
      </c>
      <c r="J698" s="319" t="s">
        <v>7131</v>
      </c>
      <c r="K698" s="319"/>
      <c r="L698" s="450" t="str">
        <f t="shared" si="37"/>
        <v>Concreto (1600 kg/m³)</v>
      </c>
      <c r="M698" s="463">
        <f t="shared" si="37"/>
        <v>0.75</v>
      </c>
      <c r="N698" s="471" t="s">
        <v>7887</v>
      </c>
      <c r="O698" s="319"/>
      <c r="P698" s="319"/>
      <c r="Q698" s="319"/>
      <c r="R698" s="319"/>
      <c r="S698" s="319"/>
      <c r="T698" s="450" t="str">
        <f>Language!C2069</f>
        <v>Bomba de água</v>
      </c>
      <c r="U698" s="463" t="s">
        <v>4745</v>
      </c>
      <c r="V698" s="471" t="s">
        <v>7292</v>
      </c>
      <c r="W698" s="319"/>
    </row>
    <row r="699" spans="1:23" ht="13.2" hidden="1">
      <c r="A699" s="319"/>
      <c r="B699" s="319"/>
      <c r="C699" s="319"/>
      <c r="D699" s="319"/>
      <c r="E699" s="319"/>
      <c r="F699" s="319"/>
      <c r="G699" s="319"/>
      <c r="H699" s="319" t="str">
        <f>Language!C2164</f>
        <v>Feixe de palha</v>
      </c>
      <c r="I699" s="319">
        <v>0.06</v>
      </c>
      <c r="J699" s="319" t="s">
        <v>7881</v>
      </c>
      <c r="K699" s="319"/>
      <c r="L699" s="450" t="str">
        <f t="shared" si="37"/>
        <v>Concreto (2400 kg/m³)</v>
      </c>
      <c r="M699" s="463">
        <f t="shared" si="37"/>
        <v>2.2999999999999998</v>
      </c>
      <c r="N699" s="471" t="s">
        <v>7888</v>
      </c>
      <c r="O699" s="319"/>
      <c r="P699" s="319"/>
      <c r="Q699" s="319"/>
      <c r="R699" s="319"/>
      <c r="S699" s="319"/>
      <c r="T699" s="472" t="str">
        <f>Language!C2092</f>
        <v>Ventilador de janela</v>
      </c>
      <c r="U699" s="394" t="s">
        <v>4746</v>
      </c>
      <c r="V699" s="473" t="s">
        <v>7469</v>
      </c>
      <c r="W699" s="319"/>
    </row>
    <row r="700" spans="1:23" ht="13.2" hidden="1">
      <c r="A700" s="319"/>
      <c r="B700" s="319"/>
      <c r="C700" s="319"/>
      <c r="D700" s="319"/>
      <c r="E700" s="319"/>
      <c r="F700" s="319"/>
      <c r="G700" s="319"/>
      <c r="H700" s="319" t="str">
        <f>Language!C2165</f>
        <v>Telhado de betume</v>
      </c>
      <c r="I700" s="319">
        <v>0.74</v>
      </c>
      <c r="J700" s="319" t="s">
        <v>7878</v>
      </c>
      <c r="K700" s="319"/>
      <c r="L700" s="450" t="str">
        <f>H662</f>
        <v>Tijolo- argila</v>
      </c>
      <c r="M700" s="463">
        <f>I662</f>
        <v>1.4</v>
      </c>
      <c r="N700" s="471" t="s">
        <v>7919</v>
      </c>
      <c r="O700" s="319"/>
      <c r="P700" s="319"/>
      <c r="Q700" s="319"/>
      <c r="R700" s="319"/>
      <c r="S700" s="319"/>
      <c r="T700" s="319"/>
      <c r="U700" s="319"/>
      <c r="V700" s="319"/>
      <c r="W700" s="319"/>
    </row>
    <row r="701" spans="1:23" ht="13.2" hidden="1">
      <c r="A701" s="319"/>
      <c r="B701" s="319"/>
      <c r="C701" s="319"/>
      <c r="D701" s="319"/>
      <c r="E701" s="319"/>
      <c r="F701" s="319"/>
      <c r="G701" s="319"/>
      <c r="H701" s="319" t="str">
        <f>$B$380</f>
        <v>Outro</v>
      </c>
      <c r="I701" s="319">
        <v>0.1</v>
      </c>
      <c r="J701" s="319" t="s">
        <v>7911</v>
      </c>
      <c r="K701" s="319"/>
      <c r="L701" s="450" t="str">
        <f>H663</f>
        <v>Tijolo -cores múltiplas</v>
      </c>
      <c r="M701" s="463">
        <f>I663</f>
        <v>0.33</v>
      </c>
      <c r="N701" s="471" t="s">
        <v>7921</v>
      </c>
      <c r="O701" s="319"/>
      <c r="P701" s="319"/>
      <c r="Q701" s="319"/>
      <c r="R701" s="319"/>
      <c r="S701" s="319"/>
      <c r="T701" s="319"/>
      <c r="U701" s="319"/>
      <c r="V701" s="319"/>
      <c r="W701" s="319"/>
    </row>
    <row r="702" spans="1:23" ht="13.2" hidden="1">
      <c r="A702" s="319"/>
      <c r="B702" s="319"/>
      <c r="C702" s="319"/>
      <c r="D702" s="319"/>
      <c r="E702" s="319"/>
      <c r="F702" s="319"/>
      <c r="G702" s="319"/>
      <c r="H702" s="319" t="str">
        <f>Language!C2166</f>
        <v>Vermiculite - enchimento solto</v>
      </c>
      <c r="I702" s="319">
        <v>6.7000000000000004E-2</v>
      </c>
      <c r="J702" s="319" t="s">
        <v>7916</v>
      </c>
      <c r="K702" s="319"/>
      <c r="L702" s="450" t="str">
        <f>Language!C2118</f>
        <v>Aço - sólido</v>
      </c>
      <c r="M702" s="463">
        <v>47</v>
      </c>
      <c r="N702" s="471" t="s">
        <v>6840</v>
      </c>
      <c r="O702" s="319"/>
      <c r="P702" s="319"/>
      <c r="Q702" s="319"/>
      <c r="R702" s="319"/>
      <c r="S702" s="319"/>
      <c r="T702" s="319"/>
      <c r="U702" s="319"/>
      <c r="V702" s="319"/>
      <c r="W702" s="319"/>
    </row>
    <row r="703" spans="1:23" ht="13.2" hidden="1">
      <c r="A703" s="319"/>
      <c r="B703" s="319"/>
      <c r="C703" s="319"/>
      <c r="D703" s="319"/>
      <c r="E703" s="319"/>
      <c r="F703" s="319"/>
      <c r="G703" s="319"/>
      <c r="H703" s="319" t="str">
        <f>Language!C2167</f>
        <v>Fita de vinil - 10 mm</v>
      </c>
      <c r="I703" s="319">
        <v>0.09</v>
      </c>
      <c r="J703" s="319" t="s">
        <v>7892</v>
      </c>
      <c r="K703" s="319"/>
      <c r="L703" s="450" t="str">
        <f>Language!C2119</f>
        <v>Prego de aço</v>
      </c>
      <c r="M703" s="463">
        <v>47</v>
      </c>
      <c r="N703" s="471" t="s">
        <v>7870</v>
      </c>
      <c r="O703" s="319"/>
      <c r="P703" s="319"/>
      <c r="Q703" s="319"/>
      <c r="R703" s="319"/>
      <c r="S703" s="319"/>
      <c r="T703" s="319"/>
      <c r="U703" s="319"/>
      <c r="V703" s="319"/>
      <c r="W703" s="319"/>
    </row>
    <row r="704" spans="1:23" ht="13.2" hidden="1">
      <c r="A704" s="319"/>
      <c r="B704" s="319" t="s">
        <v>1989</v>
      </c>
      <c r="C704" s="319"/>
      <c r="D704" s="319" t="s">
        <v>5376</v>
      </c>
      <c r="E704" s="319" t="str">
        <f>Language!C1388</f>
        <v>MJ/kg</v>
      </c>
      <c r="F704" s="319">
        <v>1</v>
      </c>
      <c r="G704" s="319"/>
      <c r="H704" s="319" t="str">
        <f>Language!C2168</f>
        <v>Madeira - dura</v>
      </c>
      <c r="I704" s="319">
        <v>0.16</v>
      </c>
      <c r="J704" s="319" t="s">
        <v>7879</v>
      </c>
      <c r="K704" s="319"/>
      <c r="L704" s="450" t="str">
        <f>H704</f>
        <v>Madeira - dura</v>
      </c>
      <c r="M704" s="463">
        <f>I704</f>
        <v>0.16</v>
      </c>
      <c r="N704" s="471" t="s">
        <v>7879</v>
      </c>
      <c r="O704" s="319"/>
      <c r="P704" s="319"/>
      <c r="Q704" s="319"/>
      <c r="R704" s="319"/>
      <c r="S704" s="319"/>
      <c r="T704" s="319"/>
      <c r="U704" s="319"/>
      <c r="V704" s="319"/>
      <c r="W704" s="319"/>
    </row>
    <row r="705" spans="1:23" ht="13.2" hidden="1">
      <c r="A705" s="319"/>
      <c r="B705" s="319"/>
      <c r="C705" s="319"/>
      <c r="D705" s="319" t="s">
        <v>5376</v>
      </c>
      <c r="E705" s="319" t="str">
        <f>Language!C1325</f>
        <v>Btu/lb</v>
      </c>
      <c r="F705" s="319">
        <f>F749/3.6*G719</f>
        <v>429.9226139294928</v>
      </c>
      <c r="G705" s="319"/>
      <c r="H705" s="319" t="str">
        <f>Language!C2169</f>
        <v>Fita de madeira - sobrepostos</v>
      </c>
      <c r="I705" s="319">
        <v>0.09</v>
      </c>
      <c r="J705" s="319" t="s">
        <v>7880</v>
      </c>
      <c r="K705" s="319"/>
      <c r="L705" s="472" t="str">
        <f>H706</f>
        <v>Madeira - mole</v>
      </c>
      <c r="M705" s="394">
        <f>I706</f>
        <v>0.12</v>
      </c>
      <c r="N705" s="473" t="s">
        <v>7880</v>
      </c>
      <c r="O705" s="319"/>
      <c r="P705" s="319"/>
      <c r="Q705" s="319"/>
      <c r="R705" s="319"/>
      <c r="S705" s="319"/>
      <c r="T705" s="319"/>
      <c r="U705" s="319"/>
      <c r="V705" s="319"/>
      <c r="W705" s="319"/>
    </row>
    <row r="706" spans="1:23" ht="13.2" hidden="1">
      <c r="A706" s="319"/>
      <c r="B706" s="319"/>
      <c r="C706" s="319"/>
      <c r="D706" s="319" t="s">
        <v>5376</v>
      </c>
      <c r="E706" s="319" t="str">
        <f>Language!C1351</f>
        <v>kcal/kg</v>
      </c>
      <c r="F706" s="319">
        <f>F762*1000</f>
        <v>238.84589662749593</v>
      </c>
      <c r="G706" s="319"/>
      <c r="H706" s="319" t="str">
        <f>Language!C2170</f>
        <v>Madeira - mole</v>
      </c>
      <c r="I706" s="319">
        <v>0.12</v>
      </c>
      <c r="J706" s="319" t="s">
        <v>7917</v>
      </c>
      <c r="K706" s="319"/>
      <c r="L706" s="319"/>
      <c r="M706" s="319"/>
      <c r="N706" s="319"/>
      <c r="O706" s="319"/>
      <c r="P706" s="319"/>
      <c r="Q706" s="319"/>
      <c r="R706" s="319"/>
      <c r="S706" s="319"/>
      <c r="T706" s="319"/>
      <c r="U706" s="319"/>
      <c r="V706" s="319"/>
      <c r="W706" s="319"/>
    </row>
    <row r="707" spans="1:23" ht="13.2" hidden="1">
      <c r="A707" s="319"/>
      <c r="B707" s="319"/>
      <c r="C707" s="319"/>
      <c r="D707" s="319"/>
      <c r="E707" s="319"/>
      <c r="F707" s="319"/>
      <c r="G707" s="319"/>
      <c r="H707" s="319"/>
      <c r="I707" s="319"/>
      <c r="J707" s="319"/>
      <c r="K707" s="319"/>
      <c r="L707" s="319"/>
      <c r="M707" s="319"/>
      <c r="N707" s="319"/>
      <c r="O707" s="319"/>
      <c r="P707" s="319"/>
      <c r="Q707" s="319"/>
      <c r="R707" s="319"/>
      <c r="S707" s="319"/>
      <c r="T707" s="319"/>
      <c r="U707" s="319"/>
      <c r="V707" s="319"/>
      <c r="W707" s="319"/>
    </row>
    <row r="708" spans="1:23" ht="13.2" hidden="1">
      <c r="A708" s="319"/>
      <c r="B708" s="319" t="s">
        <v>5448</v>
      </c>
      <c r="C708" s="319"/>
      <c r="D708" s="319" t="s">
        <v>2791</v>
      </c>
      <c r="E708" s="319" t="str">
        <f>Language!C1319</f>
        <v>bar</v>
      </c>
      <c r="F708" s="319">
        <v>1</v>
      </c>
      <c r="G708" s="319"/>
      <c r="H708" s="319"/>
      <c r="I708" s="319"/>
      <c r="J708" s="319"/>
      <c r="K708" s="319"/>
      <c r="L708" s="319"/>
      <c r="M708" s="319"/>
      <c r="N708" s="319"/>
      <c r="O708" s="319"/>
      <c r="P708" s="319"/>
      <c r="Q708" s="319"/>
      <c r="R708" s="319"/>
      <c r="S708" s="319"/>
      <c r="T708" s="319"/>
      <c r="U708" s="319"/>
      <c r="V708" s="319"/>
      <c r="W708" s="319"/>
    </row>
    <row r="709" spans="1:23" ht="13.2" hidden="1">
      <c r="A709" s="319"/>
      <c r="B709" s="319"/>
      <c r="C709" s="319"/>
      <c r="D709" s="319" t="s">
        <v>2791</v>
      </c>
      <c r="E709" s="319" t="str">
        <f>Language!C1363</f>
        <v>kPa</v>
      </c>
      <c r="F709" s="319">
        <v>100</v>
      </c>
      <c r="G709" s="319" t="s">
        <v>2190</v>
      </c>
      <c r="H709" s="319"/>
      <c r="I709" s="319"/>
      <c r="J709" s="319"/>
      <c r="K709" s="319"/>
      <c r="L709" s="319"/>
      <c r="M709" s="319"/>
      <c r="N709" s="319"/>
      <c r="O709" s="319"/>
      <c r="P709" s="319"/>
      <c r="Q709" s="319"/>
      <c r="R709" s="319"/>
      <c r="S709" s="319"/>
      <c r="T709" s="319"/>
      <c r="U709" s="319"/>
      <c r="V709" s="319"/>
      <c r="W709" s="319"/>
    </row>
    <row r="710" spans="1:23" ht="13.2" hidden="1">
      <c r="A710" s="319"/>
      <c r="B710" s="319"/>
      <c r="C710" s="319"/>
      <c r="D710" s="319" t="s">
        <v>2791</v>
      </c>
      <c r="E710" s="319" t="str">
        <f>Language!C1317</f>
        <v>atm</v>
      </c>
      <c r="F710" s="319">
        <f>1/E832*100000</f>
        <v>0.98692326671601283</v>
      </c>
      <c r="G710" s="319"/>
      <c r="H710" s="319"/>
      <c r="I710" s="319"/>
      <c r="J710" s="319"/>
      <c r="K710" s="319"/>
      <c r="L710" s="319"/>
      <c r="M710" s="319"/>
      <c r="N710" s="319"/>
      <c r="O710" s="319"/>
      <c r="P710" s="319"/>
      <c r="Q710" s="319"/>
      <c r="R710" s="319"/>
      <c r="S710" s="319"/>
      <c r="T710" s="319"/>
      <c r="U710" s="319"/>
      <c r="V710" s="319"/>
      <c r="W710" s="319"/>
    </row>
    <row r="711" spans="1:23" ht="13.2" hidden="1">
      <c r="A711" s="319"/>
      <c r="B711" s="319"/>
      <c r="C711" s="319"/>
      <c r="D711" s="319" t="s">
        <v>2791</v>
      </c>
      <c r="E711" s="319" t="str">
        <f>Language!C1400</f>
        <v>psia</v>
      </c>
      <c r="F711" s="319">
        <f>E831/E832*100000</f>
        <v>14.50379566185919</v>
      </c>
      <c r="G711" s="319"/>
      <c r="H711" s="319"/>
      <c r="I711" s="319"/>
      <c r="J711" s="319"/>
      <c r="K711" s="319"/>
      <c r="L711" s="319"/>
      <c r="M711" s="319"/>
      <c r="N711" s="319"/>
      <c r="O711" s="319"/>
      <c r="P711" s="319"/>
      <c r="Q711" s="319"/>
      <c r="R711" s="319"/>
      <c r="S711" s="319"/>
      <c r="T711" s="319"/>
      <c r="U711" s="319"/>
      <c r="V711" s="319"/>
      <c r="W711" s="319"/>
    </row>
    <row r="712" spans="1:23" ht="13.2" hidden="1">
      <c r="A712" s="319"/>
      <c r="B712" s="319"/>
      <c r="C712" s="319"/>
      <c r="D712" s="319" t="s">
        <v>2791</v>
      </c>
      <c r="E712" s="319" t="str">
        <f>Language!C1393</f>
        <v>mm Hg (0°C)</v>
      </c>
      <c r="F712" s="319">
        <f>E833/E832*100000</f>
        <v>750.0616827041697</v>
      </c>
      <c r="G712" s="319"/>
      <c r="H712" s="319"/>
      <c r="I712" s="319"/>
      <c r="J712" s="319"/>
      <c r="K712" s="319"/>
      <c r="L712" s="319"/>
      <c r="M712" s="319"/>
      <c r="N712" s="319"/>
      <c r="O712" s="319"/>
      <c r="P712" s="319"/>
      <c r="Q712" s="319"/>
      <c r="R712" s="319"/>
      <c r="S712" s="319"/>
      <c r="T712" s="319"/>
      <c r="U712" s="319"/>
      <c r="V712" s="319"/>
      <c r="W712" s="319"/>
    </row>
    <row r="713" spans="1:23" ht="13.2" hidden="1">
      <c r="A713" s="319"/>
      <c r="B713" s="319"/>
      <c r="C713" s="319"/>
      <c r="D713" s="319" t="s">
        <v>2791</v>
      </c>
      <c r="E713" s="319" t="str">
        <f>Language!C1346</f>
        <v>po Hg (0°C)</v>
      </c>
      <c r="F713" s="319">
        <f>F712/1000/G722</f>
        <v>29.529987508038179</v>
      </c>
      <c r="G713" s="319"/>
      <c r="H713" s="319"/>
      <c r="I713" s="319"/>
      <c r="J713" s="319"/>
      <c r="K713" s="319"/>
      <c r="L713" s="319"/>
      <c r="M713" s="319"/>
      <c r="N713" s="319"/>
      <c r="O713" s="319"/>
      <c r="P713" s="319"/>
      <c r="Q713" s="319"/>
      <c r="R713" s="319"/>
      <c r="S713" s="319"/>
      <c r="T713" s="319"/>
      <c r="U713" s="319"/>
      <c r="V713" s="319"/>
      <c r="W713" s="319"/>
    </row>
    <row r="714" spans="1:23" ht="13.2" hidden="1">
      <c r="A714" s="319"/>
      <c r="B714" s="319"/>
      <c r="C714" s="319"/>
      <c r="D714" s="319" t="s">
        <v>2791</v>
      </c>
      <c r="E714" s="319" t="str">
        <f>Language!C1373</f>
        <v>m H2O (4°C)</v>
      </c>
      <c r="F714" s="319">
        <f>F709/E830</f>
        <v>10.197177519155602</v>
      </c>
      <c r="G714" s="319"/>
      <c r="H714" s="319"/>
      <c r="I714" s="319"/>
      <c r="J714" s="319"/>
      <c r="K714" s="319"/>
      <c r="L714" s="319"/>
      <c r="M714" s="319"/>
      <c r="N714" s="319"/>
      <c r="O714" s="319"/>
      <c r="P714" s="319"/>
      <c r="Q714" s="319"/>
      <c r="R714" s="319"/>
      <c r="S714" s="319"/>
      <c r="T714" s="319"/>
      <c r="U714" s="319"/>
      <c r="V714" s="319"/>
      <c r="W714" s="319"/>
    </row>
    <row r="715" spans="1:23" ht="13.2" hidden="1">
      <c r="A715" s="319"/>
      <c r="B715" s="319"/>
      <c r="C715" s="319"/>
      <c r="D715" s="319" t="s">
        <v>2791</v>
      </c>
      <c r="E715" s="319" t="str">
        <f>Language!C1328</f>
        <v>pe H2O (4°C)</v>
      </c>
      <c r="F715" s="319">
        <f>F714/G722/12</f>
        <v>33.455306821376645</v>
      </c>
      <c r="G715" s="319"/>
      <c r="H715" s="319"/>
      <c r="I715" s="319"/>
      <c r="J715" s="319"/>
      <c r="K715" s="319"/>
      <c r="L715" s="319"/>
      <c r="M715" s="319"/>
      <c r="N715" s="319"/>
      <c r="O715" s="319"/>
      <c r="P715" s="319"/>
      <c r="Q715" s="319"/>
      <c r="R715" s="319"/>
      <c r="S715" s="319"/>
      <c r="T715" s="319"/>
      <c r="U715" s="319"/>
      <c r="V715" s="319"/>
      <c r="W715" s="319"/>
    </row>
    <row r="716" spans="1:23" ht="13.2" hidden="1">
      <c r="A716" s="319"/>
      <c r="B716" s="319"/>
      <c r="C716" s="319"/>
      <c r="D716" s="319"/>
      <c r="E716" s="319"/>
      <c r="F716" s="319"/>
      <c r="G716" s="319"/>
      <c r="H716" s="319"/>
      <c r="I716" s="319"/>
      <c r="J716" s="319"/>
      <c r="K716" s="319"/>
      <c r="L716" s="319"/>
      <c r="M716" s="319"/>
      <c r="N716" s="319"/>
      <c r="O716" s="319"/>
      <c r="P716" s="319"/>
      <c r="Q716" s="319"/>
      <c r="R716" s="319"/>
      <c r="S716" s="319"/>
      <c r="T716" s="319"/>
      <c r="U716" s="319"/>
      <c r="V716" s="319"/>
      <c r="W716" s="319"/>
    </row>
    <row r="717" spans="1:23" ht="13.2" hidden="1">
      <c r="A717" s="319"/>
      <c r="B717" s="319" t="s">
        <v>3584</v>
      </c>
      <c r="C717" s="319"/>
      <c r="D717" s="319" t="s">
        <v>987</v>
      </c>
      <c r="E717" s="319" t="str">
        <f>Language!C1352</f>
        <v>kg</v>
      </c>
      <c r="F717" s="319">
        <v>1</v>
      </c>
      <c r="G717" s="319"/>
      <c r="H717" s="319"/>
      <c r="I717" s="319"/>
      <c r="J717" s="319"/>
      <c r="K717" s="319"/>
      <c r="L717" s="319"/>
      <c r="M717" s="319"/>
      <c r="N717" s="319"/>
      <c r="O717" s="319"/>
      <c r="P717" s="319"/>
      <c r="Q717" s="319"/>
      <c r="R717" s="319"/>
      <c r="S717" s="319"/>
      <c r="T717" s="319"/>
      <c r="U717" s="319"/>
      <c r="V717" s="319"/>
      <c r="W717" s="319"/>
    </row>
    <row r="718" spans="1:23" ht="13.2" hidden="1">
      <c r="A718" s="319"/>
      <c r="B718" s="319"/>
      <c r="C718" s="319"/>
      <c r="D718" s="319" t="s">
        <v>987</v>
      </c>
      <c r="E718" s="319" t="str">
        <f>Language!C1407</f>
        <v>t</v>
      </c>
      <c r="F718" s="319">
        <v>1E-3</v>
      </c>
      <c r="G718" s="319"/>
      <c r="H718" s="319"/>
      <c r="I718" s="319"/>
      <c r="J718" s="319"/>
      <c r="K718" s="319"/>
      <c r="L718" s="319"/>
      <c r="M718" s="319"/>
      <c r="N718" s="319"/>
      <c r="O718" s="319"/>
      <c r="P718" s="319"/>
      <c r="Q718" s="319"/>
      <c r="R718" s="319"/>
      <c r="S718" s="319"/>
      <c r="T718" s="319"/>
      <c r="U718" s="319"/>
      <c r="V718" s="319"/>
      <c r="W718" s="319"/>
    </row>
    <row r="719" spans="1:23" ht="13.2" hidden="1">
      <c r="A719" s="319"/>
      <c r="B719" s="319"/>
      <c r="C719" s="319"/>
      <c r="D719" s="319" t="s">
        <v>987</v>
      </c>
      <c r="E719" s="319" t="str">
        <f>Language!C1367</f>
        <v>lb</v>
      </c>
      <c r="F719" s="319">
        <f>1/G719</f>
        <v>2.2046226218487757</v>
      </c>
      <c r="G719" s="319">
        <v>0.45359237000000002</v>
      </c>
      <c r="H719" s="319" t="s">
        <v>2190</v>
      </c>
      <c r="I719" s="319"/>
      <c r="J719" s="319"/>
      <c r="K719" s="319"/>
      <c r="L719" s="319"/>
      <c r="M719" s="319"/>
      <c r="N719" s="319"/>
      <c r="O719" s="319"/>
      <c r="P719" s="319"/>
      <c r="Q719" s="319"/>
      <c r="R719" s="319"/>
      <c r="S719" s="319"/>
      <c r="T719" s="319"/>
      <c r="U719" s="319"/>
      <c r="V719" s="319"/>
      <c r="W719" s="319"/>
    </row>
    <row r="720" spans="1:23" ht="13.2" hidden="1">
      <c r="A720" s="319"/>
      <c r="B720" s="319"/>
      <c r="C720" s="319"/>
      <c r="D720" s="319"/>
      <c r="E720" s="319"/>
      <c r="F720" s="319"/>
      <c r="G720" s="319"/>
      <c r="H720" s="319"/>
      <c r="I720" s="319"/>
      <c r="J720" s="319"/>
      <c r="K720" s="319"/>
      <c r="L720" s="319"/>
      <c r="M720" s="319"/>
      <c r="N720" s="319"/>
      <c r="O720" s="319"/>
      <c r="P720" s="319"/>
      <c r="Q720" s="319"/>
      <c r="R720" s="319"/>
      <c r="S720" s="319"/>
      <c r="T720" s="319"/>
      <c r="U720" s="319"/>
      <c r="V720" s="319"/>
      <c r="W720" s="319"/>
    </row>
    <row r="721" spans="1:23" ht="13.2" hidden="1">
      <c r="A721" s="319"/>
      <c r="B721" s="319" t="s">
        <v>2093</v>
      </c>
      <c r="C721" s="319"/>
      <c r="D721" s="319" t="s">
        <v>5569</v>
      </c>
      <c r="E721" s="319" t="str">
        <f>Language!C1372</f>
        <v>m</v>
      </c>
      <c r="F721" s="319">
        <v>1</v>
      </c>
      <c r="G721" s="319"/>
      <c r="H721" s="319"/>
      <c r="I721" s="319"/>
      <c r="J721" s="319"/>
      <c r="K721" s="319"/>
      <c r="L721" s="319"/>
      <c r="M721" s="319"/>
      <c r="N721" s="319"/>
      <c r="O721" s="319"/>
      <c r="P721" s="319"/>
      <c r="Q721" s="319"/>
      <c r="R721" s="319"/>
      <c r="S721" s="319"/>
      <c r="T721" s="319"/>
      <c r="U721" s="319"/>
      <c r="V721" s="319"/>
      <c r="W721" s="319"/>
    </row>
    <row r="722" spans="1:23" ht="13.2" hidden="1">
      <c r="A722" s="319"/>
      <c r="B722" s="319"/>
      <c r="C722" s="319"/>
      <c r="D722" s="319" t="s">
        <v>5569</v>
      </c>
      <c r="E722" s="319" t="str">
        <f>Language!C1345</f>
        <v>po</v>
      </c>
      <c r="F722" s="319">
        <f>1/G722</f>
        <v>39.370078740157481</v>
      </c>
      <c r="G722" s="319">
        <v>2.5399999999999999E-2</v>
      </c>
      <c r="H722" s="319" t="s">
        <v>2190</v>
      </c>
      <c r="I722" s="319"/>
      <c r="J722" s="319"/>
      <c r="K722" s="319"/>
      <c r="L722" s="319"/>
      <c r="M722" s="319"/>
      <c r="N722" s="319"/>
      <c r="O722" s="319"/>
      <c r="P722" s="319"/>
      <c r="Q722" s="319"/>
      <c r="R722" s="319"/>
      <c r="S722" s="319"/>
      <c r="T722" s="319"/>
      <c r="U722" s="319"/>
      <c r="V722" s="319"/>
      <c r="W722" s="319"/>
    </row>
    <row r="723" spans="1:23" ht="13.2" hidden="1">
      <c r="A723" s="319"/>
      <c r="B723" s="319"/>
      <c r="C723" s="319"/>
      <c r="D723" s="319" t="s">
        <v>5569</v>
      </c>
      <c r="E723" s="319" t="str">
        <f>Language!C1327</f>
        <v>pe</v>
      </c>
      <c r="F723" s="319">
        <f>F722/12</f>
        <v>3.2808398950131235</v>
      </c>
      <c r="G723" s="319"/>
      <c r="H723" s="319"/>
      <c r="I723" s="319"/>
      <c r="J723" s="319"/>
      <c r="K723" s="319"/>
      <c r="L723" s="319"/>
      <c r="M723" s="319"/>
      <c r="N723" s="319"/>
      <c r="O723" s="319"/>
      <c r="P723" s="319"/>
      <c r="Q723" s="319"/>
      <c r="R723" s="319"/>
      <c r="S723" s="319"/>
      <c r="T723" s="319"/>
      <c r="U723" s="319"/>
      <c r="V723" s="319"/>
      <c r="W723" s="319"/>
    </row>
    <row r="724" spans="1:23" ht="13.2" hidden="1">
      <c r="A724" s="319"/>
      <c r="B724" s="319"/>
      <c r="C724" s="319"/>
      <c r="D724" s="319" t="s">
        <v>5569</v>
      </c>
      <c r="E724" s="319" t="str">
        <f>Language!C1362</f>
        <v>km</v>
      </c>
      <c r="F724" s="319">
        <v>1E-3</v>
      </c>
      <c r="G724" s="319"/>
      <c r="H724" s="319"/>
      <c r="I724" s="319"/>
      <c r="J724" s="319"/>
      <c r="K724" s="319"/>
      <c r="L724" s="319"/>
      <c r="M724" s="319"/>
      <c r="N724" s="319"/>
      <c r="O724" s="319"/>
      <c r="P724" s="319"/>
      <c r="Q724" s="319"/>
      <c r="R724" s="319"/>
      <c r="S724" s="319"/>
      <c r="T724" s="319"/>
      <c r="U724" s="319"/>
      <c r="V724" s="319"/>
      <c r="W724" s="319"/>
    </row>
    <row r="725" spans="1:23" ht="13.2" hidden="1">
      <c r="A725" s="319"/>
      <c r="B725" s="319"/>
      <c r="C725" s="319"/>
      <c r="D725" s="319" t="s">
        <v>5569</v>
      </c>
      <c r="E725" s="319" t="str">
        <f>Language!C1378</f>
        <v>mi</v>
      </c>
      <c r="F725" s="319">
        <f>1/(G725*G722*12)</f>
        <v>6.2137119223733392E-4</v>
      </c>
      <c r="G725" s="319">
        <v>5280</v>
      </c>
      <c r="H725" s="319" t="s">
        <v>2190</v>
      </c>
      <c r="I725" s="319" t="s">
        <v>5165</v>
      </c>
      <c r="J725" s="319"/>
      <c r="K725" s="319"/>
      <c r="L725" s="319"/>
      <c r="M725" s="319"/>
      <c r="N725" s="319"/>
      <c r="O725" s="319"/>
      <c r="P725" s="319"/>
      <c r="Q725" s="319"/>
      <c r="R725" s="319"/>
      <c r="S725" s="319"/>
      <c r="T725" s="319"/>
      <c r="U725" s="319"/>
      <c r="V725" s="319"/>
      <c r="W725" s="319"/>
    </row>
    <row r="726" spans="1:23" ht="13.2" hidden="1">
      <c r="A726" s="319"/>
      <c r="B726" s="319"/>
      <c r="C726" s="319"/>
      <c r="D726" s="319"/>
      <c r="E726" s="319"/>
      <c r="F726" s="319"/>
      <c r="G726" s="319"/>
      <c r="H726" s="319"/>
      <c r="I726" s="319"/>
      <c r="J726" s="319"/>
      <c r="K726" s="319"/>
      <c r="L726" s="319"/>
      <c r="M726" s="319"/>
      <c r="N726" s="319"/>
      <c r="O726" s="319"/>
      <c r="P726" s="319"/>
      <c r="Q726" s="319"/>
      <c r="R726" s="319"/>
      <c r="S726" s="319"/>
      <c r="T726" s="319"/>
      <c r="U726" s="319"/>
      <c r="V726" s="319"/>
      <c r="W726" s="319"/>
    </row>
    <row r="727" spans="1:23" ht="13.2" hidden="1">
      <c r="A727" s="319"/>
      <c r="B727" s="319" t="s">
        <v>3649</v>
      </c>
      <c r="C727" s="319"/>
      <c r="D727" s="319" t="s">
        <v>5430</v>
      </c>
      <c r="E727" s="319" t="str">
        <f>Language!C1374</f>
        <v>m²</v>
      </c>
      <c r="F727" s="319">
        <v>1</v>
      </c>
      <c r="G727" s="319"/>
      <c r="H727" s="319"/>
      <c r="I727" s="319"/>
      <c r="J727" s="319"/>
      <c r="K727" s="319"/>
      <c r="L727" s="319"/>
      <c r="M727" s="319"/>
      <c r="N727" s="319"/>
      <c r="O727" s="319"/>
      <c r="P727" s="319"/>
      <c r="Q727" s="319"/>
      <c r="R727" s="319"/>
      <c r="S727" s="319"/>
      <c r="T727" s="319"/>
      <c r="U727" s="319"/>
      <c r="V727" s="319"/>
      <c r="W727" s="319"/>
    </row>
    <row r="728" spans="1:23" ht="13.2" hidden="1">
      <c r="A728" s="319"/>
      <c r="B728" s="319"/>
      <c r="C728" s="319"/>
      <c r="D728" s="319" t="s">
        <v>5430</v>
      </c>
      <c r="E728" s="319" t="str">
        <f>Language!C1329</f>
        <v>pe²</v>
      </c>
      <c r="F728" s="319">
        <f>1/(G722*12)^2</f>
        <v>10.763910416709725</v>
      </c>
      <c r="G728" s="319"/>
      <c r="H728" s="319"/>
      <c r="I728" s="319"/>
      <c r="J728" s="319"/>
      <c r="K728" s="319"/>
      <c r="L728" s="319"/>
      <c r="M728" s="319"/>
      <c r="N728" s="319"/>
      <c r="O728" s="319"/>
      <c r="P728" s="319"/>
      <c r="Q728" s="319"/>
      <c r="R728" s="319"/>
      <c r="S728" s="319"/>
      <c r="T728" s="319"/>
      <c r="U728" s="319"/>
      <c r="V728" s="319"/>
      <c r="W728" s="319"/>
    </row>
    <row r="729" spans="1:23" ht="13.2" hidden="1">
      <c r="A729" s="319"/>
      <c r="B729" s="319"/>
      <c r="C729" s="319"/>
      <c r="D729" s="319" t="s">
        <v>5430</v>
      </c>
      <c r="E729" s="319" t="str">
        <f>Language!C1318</f>
        <v>acre</v>
      </c>
      <c r="F729" s="319">
        <f>1/(G729*(G722*12)^2)</f>
        <v>2.4710538146716538E-4</v>
      </c>
      <c r="G729" s="319">
        <v>43560</v>
      </c>
      <c r="H729" s="319"/>
      <c r="I729" s="319" t="s">
        <v>5214</v>
      </c>
      <c r="J729" s="319"/>
      <c r="K729" s="319"/>
      <c r="L729" s="319"/>
      <c r="M729" s="319"/>
      <c r="N729" s="319"/>
      <c r="O729" s="319"/>
      <c r="P729" s="319"/>
      <c r="Q729" s="319"/>
      <c r="R729" s="319"/>
      <c r="S729" s="319"/>
      <c r="T729" s="319"/>
      <c r="U729" s="319"/>
      <c r="V729" s="319"/>
      <c r="W729" s="319"/>
    </row>
    <row r="730" spans="1:23" ht="13.2" hidden="1">
      <c r="A730" s="319"/>
      <c r="B730" s="319"/>
      <c r="C730" s="319"/>
      <c r="D730" s="319" t="s">
        <v>5430</v>
      </c>
      <c r="E730" s="319" t="str">
        <f>Language!C1379</f>
        <v>mi²</v>
      </c>
      <c r="F730" s="319">
        <f>1/(G722*12*G725)^2</f>
        <v>3.8610215854244592E-7</v>
      </c>
      <c r="G730" s="319"/>
      <c r="H730" s="319"/>
      <c r="I730" s="319"/>
      <c r="J730" s="319"/>
      <c r="K730" s="319"/>
      <c r="L730" s="319"/>
      <c r="M730" s="319"/>
      <c r="N730" s="319"/>
      <c r="O730" s="319"/>
      <c r="P730" s="319"/>
      <c r="Q730" s="319"/>
      <c r="R730" s="319"/>
      <c r="S730" s="319"/>
      <c r="T730" s="319"/>
      <c r="U730" s="319"/>
      <c r="V730" s="319"/>
      <c r="W730" s="319"/>
    </row>
    <row r="731" spans="1:23" ht="13.2" hidden="1">
      <c r="A731" s="319"/>
      <c r="B731" s="319"/>
      <c r="C731" s="319"/>
      <c r="D731" s="319" t="s">
        <v>5430</v>
      </c>
      <c r="E731" s="319" t="str">
        <f>Language!C1340</f>
        <v>ha</v>
      </c>
      <c r="F731" s="319">
        <f>1/G731</f>
        <v>1E-4</v>
      </c>
      <c r="G731" s="319">
        <v>10000</v>
      </c>
      <c r="H731" s="319" t="s">
        <v>2190</v>
      </c>
      <c r="I731" s="319"/>
      <c r="J731" s="319"/>
      <c r="K731" s="319"/>
      <c r="L731" s="319"/>
      <c r="M731" s="319"/>
      <c r="N731" s="319"/>
      <c r="O731" s="319"/>
      <c r="P731" s="319"/>
      <c r="Q731" s="319"/>
      <c r="R731" s="319"/>
      <c r="S731" s="319"/>
      <c r="T731" s="319"/>
      <c r="U731" s="319"/>
      <c r="V731" s="319"/>
      <c r="W731" s="319"/>
    </row>
    <row r="732" spans="1:23" ht="13.2" hidden="1">
      <c r="A732" s="319"/>
      <c r="B732" s="319"/>
      <c r="C732" s="319"/>
      <c r="D732" s="319" t="s">
        <v>5430</v>
      </c>
      <c r="E732" s="319" t="str">
        <f>Language!C2215</f>
        <v>km²</v>
      </c>
      <c r="F732" s="319">
        <v>9.9999999999999995E-7</v>
      </c>
      <c r="G732" s="319"/>
      <c r="H732" s="319"/>
      <c r="I732" s="319"/>
      <c r="J732" s="319"/>
      <c r="K732" s="319"/>
      <c r="L732" s="319"/>
      <c r="M732" s="319"/>
      <c r="N732" s="319"/>
      <c r="O732" s="319"/>
      <c r="P732" s="319"/>
      <c r="Q732" s="319"/>
      <c r="R732" s="319"/>
      <c r="S732" s="319"/>
      <c r="T732" s="319"/>
      <c r="U732" s="319"/>
      <c r="V732" s="319"/>
      <c r="W732" s="319"/>
    </row>
    <row r="733" spans="1:23" ht="13.2" hidden="1">
      <c r="A733" s="319"/>
      <c r="B733" s="319" t="s">
        <v>130</v>
      </c>
      <c r="C733" s="319"/>
      <c r="D733" s="319" t="s">
        <v>4598</v>
      </c>
      <c r="E733" s="319" t="str">
        <f>Language!C1354</f>
        <v>kg/GJ</v>
      </c>
      <c r="F733" s="319">
        <v>1</v>
      </c>
      <c r="G733" s="319"/>
      <c r="H733" s="319"/>
      <c r="I733" s="319"/>
      <c r="J733" s="319"/>
      <c r="K733" s="319"/>
      <c r="L733" s="319"/>
      <c r="M733" s="319"/>
      <c r="N733" s="319"/>
      <c r="O733" s="319"/>
      <c r="P733" s="319"/>
      <c r="Q733" s="319"/>
      <c r="R733" s="319"/>
      <c r="S733" s="319"/>
      <c r="T733" s="319"/>
      <c r="U733" s="319"/>
      <c r="V733" s="319"/>
      <c r="W733" s="319"/>
    </row>
    <row r="734" spans="1:23" ht="13.2" hidden="1">
      <c r="A734" s="319"/>
      <c r="B734" s="319"/>
      <c r="C734" s="319"/>
      <c r="D734" s="319" t="s">
        <v>4598</v>
      </c>
      <c r="E734" s="319" t="str">
        <f>Language!C1356</f>
        <v>kg/kWh</v>
      </c>
      <c r="F734" s="319">
        <f>F752/1000</f>
        <v>3.5999999999999999E-3</v>
      </c>
      <c r="G734" s="319"/>
      <c r="H734" s="319"/>
      <c r="I734" s="319"/>
      <c r="J734" s="319"/>
      <c r="K734" s="319"/>
      <c r="L734" s="319"/>
      <c r="M734" s="319"/>
      <c r="N734" s="319"/>
      <c r="O734" s="319"/>
      <c r="P734" s="319"/>
      <c r="Q734" s="319"/>
      <c r="R734" s="319"/>
      <c r="S734" s="319"/>
      <c r="T734" s="319"/>
      <c r="U734" s="319"/>
      <c r="V734" s="319"/>
      <c r="W734" s="319"/>
    </row>
    <row r="735" spans="1:23" ht="13.2" hidden="1">
      <c r="A735" s="319"/>
      <c r="B735" s="319"/>
      <c r="C735" s="319"/>
      <c r="D735" s="319" t="s">
        <v>4598</v>
      </c>
      <c r="E735" s="319" t="str">
        <f>Language!C1408</f>
        <v>t/MWh</v>
      </c>
      <c r="F735" s="319">
        <f>F752/1000</f>
        <v>3.5999999999999999E-3</v>
      </c>
      <c r="G735" s="319"/>
      <c r="H735" s="319"/>
      <c r="I735" s="319"/>
      <c r="J735" s="319"/>
      <c r="K735" s="319"/>
      <c r="L735" s="319"/>
      <c r="M735" s="319"/>
      <c r="N735" s="319"/>
      <c r="O735" s="319"/>
      <c r="P735" s="319"/>
      <c r="Q735" s="319"/>
      <c r="R735" s="319"/>
      <c r="S735" s="319"/>
      <c r="T735" s="319"/>
      <c r="U735" s="319"/>
      <c r="V735" s="319"/>
      <c r="W735" s="319"/>
    </row>
    <row r="736" spans="1:23" ht="13.2" hidden="1">
      <c r="A736" s="319"/>
      <c r="B736" s="319"/>
      <c r="C736" s="319"/>
      <c r="D736" s="319" t="s">
        <v>4598</v>
      </c>
      <c r="E736" s="319" t="str">
        <f>Language!C1371</f>
        <v>lb/MWh</v>
      </c>
      <c r="F736" s="319">
        <f>F752/G719</f>
        <v>7.9366414386555926</v>
      </c>
      <c r="G736" s="319"/>
      <c r="H736" s="319"/>
      <c r="I736" s="319"/>
      <c r="J736" s="319"/>
      <c r="K736" s="319"/>
      <c r="L736" s="319"/>
      <c r="M736" s="319"/>
      <c r="N736" s="319"/>
      <c r="O736" s="319"/>
      <c r="P736" s="319"/>
      <c r="Q736" s="319"/>
      <c r="R736" s="319"/>
      <c r="S736" s="319"/>
      <c r="T736" s="319"/>
      <c r="U736" s="319"/>
      <c r="V736" s="319"/>
      <c r="W736" s="319"/>
    </row>
    <row r="737" spans="1:23" ht="13.2" hidden="1">
      <c r="A737" s="319"/>
      <c r="B737" s="319"/>
      <c r="C737" s="319"/>
      <c r="D737" s="319" t="s">
        <v>4598</v>
      </c>
      <c r="E737" s="319" t="str">
        <f>Language!C1370</f>
        <v>lb/milhão Btu</v>
      </c>
      <c r="F737" s="319">
        <f>F736/F749*1000</f>
        <v>2.3259999999999992</v>
      </c>
      <c r="G737" s="319"/>
      <c r="H737" s="319"/>
      <c r="I737" s="319"/>
      <c r="J737" s="319"/>
      <c r="K737" s="319"/>
      <c r="L737" s="319"/>
      <c r="M737" s="319"/>
      <c r="N737" s="319"/>
      <c r="O737" s="319"/>
      <c r="P737" s="319"/>
      <c r="Q737" s="319"/>
      <c r="R737" s="319"/>
      <c r="S737" s="319"/>
      <c r="T737" s="319"/>
      <c r="U737" s="319"/>
      <c r="V737" s="319"/>
      <c r="W737" s="319"/>
    </row>
    <row r="738" spans="1:23" ht="13.2" hidden="1">
      <c r="A738" s="319"/>
      <c r="B738" s="319"/>
      <c r="C738" s="319"/>
      <c r="D738" s="319"/>
      <c r="E738" s="319"/>
      <c r="F738" s="319"/>
      <c r="G738" s="319"/>
      <c r="H738" s="319"/>
      <c r="I738" s="319"/>
      <c r="J738" s="319"/>
      <c r="K738" s="319"/>
      <c r="L738" s="319"/>
      <c r="M738" s="319"/>
      <c r="N738" s="319"/>
      <c r="O738" s="319"/>
      <c r="P738" s="319"/>
      <c r="Q738" s="319"/>
      <c r="R738" s="319"/>
      <c r="S738" s="319"/>
      <c r="T738" s="319"/>
      <c r="U738" s="319"/>
      <c r="V738" s="319"/>
      <c r="W738" s="319"/>
    </row>
    <row r="739" spans="1:23" ht="13.2" hidden="1">
      <c r="A739" s="319"/>
      <c r="B739" s="319" t="s">
        <v>5078</v>
      </c>
      <c r="C739" s="319"/>
      <c r="D739" s="319" t="s">
        <v>2335</v>
      </c>
      <c r="E739" s="319" t="str">
        <f>Language!C1416</f>
        <v>W/m²</v>
      </c>
      <c r="F739" s="319">
        <v>1</v>
      </c>
      <c r="G739" s="319"/>
      <c r="H739" s="319"/>
      <c r="I739" s="319"/>
      <c r="J739" s="319"/>
      <c r="K739" s="319"/>
      <c r="L739" s="319"/>
      <c r="M739" s="319"/>
      <c r="N739" s="319"/>
      <c r="O739" s="319"/>
      <c r="P739" s="319"/>
      <c r="Q739" s="319"/>
      <c r="R739" s="319"/>
      <c r="S739" s="319"/>
      <c r="T739" s="319"/>
      <c r="U739" s="319"/>
      <c r="V739" s="319"/>
      <c r="W739" s="319"/>
    </row>
    <row r="740" spans="1:23" ht="13.2" hidden="1">
      <c r="A740" s="319"/>
      <c r="B740" s="319"/>
      <c r="C740" s="319"/>
      <c r="D740" s="319" t="s">
        <v>2335</v>
      </c>
      <c r="E740" s="319" t="str">
        <f>Language!C1322</f>
        <v>(Btu/h)/pe²</v>
      </c>
      <c r="F740" s="319">
        <f>(F749/1000)/F728</f>
        <v>0.31699833062815053</v>
      </c>
      <c r="G740" s="319"/>
      <c r="H740" s="319" t="s">
        <v>3453</v>
      </c>
      <c r="I740" s="319"/>
      <c r="J740" s="319"/>
      <c r="K740" s="319"/>
      <c r="L740" s="319"/>
      <c r="M740" s="319"/>
      <c r="N740" s="319"/>
      <c r="O740" s="319"/>
      <c r="P740" s="319"/>
      <c r="Q740" s="319"/>
      <c r="R740" s="319"/>
      <c r="S740" s="319"/>
      <c r="T740" s="319"/>
      <c r="U740" s="319"/>
      <c r="V740" s="319"/>
      <c r="W740" s="319"/>
    </row>
    <row r="741" spans="1:23" ht="13.2" hidden="1">
      <c r="A741" s="319"/>
      <c r="B741" s="319"/>
      <c r="C741" s="319"/>
      <c r="D741" s="319" t="s">
        <v>2335</v>
      </c>
      <c r="E741" s="319" t="str">
        <f>Language!C1330</f>
        <v>pe²/TR</v>
      </c>
      <c r="F741" s="319">
        <f>1000/F742</f>
        <v>37855.088940756585</v>
      </c>
      <c r="G741" s="319"/>
      <c r="H741" s="319"/>
      <c r="I741" s="319"/>
      <c r="J741" s="319"/>
      <c r="K741" s="319"/>
      <c r="L741" s="319"/>
      <c r="M741" s="319"/>
      <c r="N741" s="319"/>
      <c r="O741" s="319"/>
      <c r="P741" s="319"/>
      <c r="Q741" s="319"/>
      <c r="R741" s="319"/>
      <c r="S741" s="319"/>
      <c r="T741" s="319"/>
      <c r="U741" s="319"/>
      <c r="V741" s="319"/>
      <c r="W741" s="319"/>
    </row>
    <row r="742" spans="1:23" ht="13.2" hidden="1">
      <c r="A742" s="319"/>
      <c r="B742" s="319"/>
      <c r="C742" s="319"/>
      <c r="D742" s="319" t="s">
        <v>2335</v>
      </c>
      <c r="E742" s="319" t="str">
        <f>Language!C1404</f>
        <v>TR/1000 pe²</v>
      </c>
      <c r="F742" s="319">
        <f>(F748/F728)</f>
        <v>2.6416527552345876E-2</v>
      </c>
      <c r="G742" s="319"/>
      <c r="H742" s="319" t="s">
        <v>3453</v>
      </c>
      <c r="I742" s="319"/>
      <c r="J742" s="319"/>
      <c r="K742" s="319"/>
      <c r="L742" s="319"/>
      <c r="M742" s="319"/>
      <c r="N742" s="319"/>
      <c r="O742" s="319"/>
      <c r="P742" s="319"/>
      <c r="Q742" s="319"/>
      <c r="R742" s="319"/>
      <c r="S742" s="319"/>
      <c r="T742" s="319"/>
      <c r="U742" s="319"/>
      <c r="V742" s="319"/>
      <c r="W742" s="319"/>
    </row>
    <row r="743" spans="1:23" ht="13.2" hidden="1">
      <c r="A743" s="319"/>
      <c r="B743" s="319"/>
      <c r="C743" s="319"/>
      <c r="D743" s="319"/>
      <c r="E743" s="319"/>
      <c r="F743" s="319"/>
      <c r="G743" s="319"/>
      <c r="H743" s="319"/>
      <c r="I743" s="319"/>
      <c r="J743" s="319"/>
      <c r="K743" s="319"/>
      <c r="L743" s="319"/>
      <c r="M743" s="319"/>
      <c r="N743" s="319"/>
      <c r="O743" s="319"/>
      <c r="P743" s="319"/>
      <c r="Q743" s="319"/>
      <c r="R743" s="319"/>
      <c r="S743" s="319"/>
      <c r="T743" s="319"/>
      <c r="U743" s="319"/>
      <c r="V743" s="319"/>
      <c r="W743" s="319"/>
    </row>
    <row r="744" spans="1:23" ht="13.2" hidden="1">
      <c r="A744" s="319"/>
      <c r="B744" s="319" t="s">
        <v>5913</v>
      </c>
      <c r="C744" s="319"/>
      <c r="D744" s="319" t="s">
        <v>5700</v>
      </c>
      <c r="E744" s="319" t="str">
        <f>Language!C1414</f>
        <v>W</v>
      </c>
      <c r="F744" s="319">
        <v>1000</v>
      </c>
      <c r="G744" s="319"/>
      <c r="H744" s="319"/>
      <c r="I744" s="319"/>
      <c r="J744" s="319"/>
      <c r="K744" s="319"/>
      <c r="L744" s="319"/>
      <c r="M744" s="319"/>
      <c r="N744" s="319"/>
      <c r="O744" s="319"/>
      <c r="P744" s="319"/>
      <c r="Q744" s="319"/>
      <c r="R744" s="319"/>
      <c r="S744" s="319"/>
      <c r="T744" s="319"/>
      <c r="U744" s="319"/>
      <c r="V744" s="319"/>
      <c r="W744" s="319"/>
    </row>
    <row r="745" spans="1:23" ht="13.2" hidden="1">
      <c r="A745" s="319"/>
      <c r="B745" s="319"/>
      <c r="C745" s="319"/>
      <c r="D745" s="319" t="str">
        <f t="shared" ref="D745:D755" si="38">$E$745</f>
        <v>kW</v>
      </c>
      <c r="E745" s="319" t="str">
        <f>Language!C1364</f>
        <v>kW</v>
      </c>
      <c r="F745" s="319">
        <v>1</v>
      </c>
      <c r="G745" s="319"/>
      <c r="H745" s="319"/>
      <c r="I745" s="319"/>
      <c r="J745" s="319"/>
      <c r="K745" s="319"/>
      <c r="L745" s="319"/>
      <c r="M745" s="319"/>
      <c r="N745" s="319"/>
      <c r="O745" s="319"/>
      <c r="P745" s="319"/>
      <c r="Q745" s="319"/>
      <c r="R745" s="319"/>
      <c r="S745" s="319"/>
      <c r="T745" s="319"/>
      <c r="U745" s="319"/>
      <c r="V745" s="319"/>
      <c r="W745" s="319"/>
    </row>
    <row r="746" spans="1:23" ht="13.2" hidden="1">
      <c r="A746" s="319"/>
      <c r="B746" s="319"/>
      <c r="C746" s="319"/>
      <c r="D746" s="319" t="str">
        <f t="shared" si="38"/>
        <v>kW</v>
      </c>
      <c r="E746" s="319" t="str">
        <f>Language!C1395</f>
        <v>MW</v>
      </c>
      <c r="F746" s="319">
        <v>1E-3</v>
      </c>
      <c r="G746" s="319"/>
      <c r="H746" s="319"/>
      <c r="I746" s="319"/>
      <c r="J746" s="319"/>
      <c r="K746" s="319"/>
      <c r="L746" s="319"/>
      <c r="M746" s="319"/>
      <c r="N746" s="319"/>
      <c r="O746" s="319"/>
      <c r="P746" s="319"/>
      <c r="Q746" s="319"/>
      <c r="R746" s="319"/>
      <c r="S746" s="319"/>
      <c r="T746" s="319"/>
      <c r="U746" s="319"/>
      <c r="V746" s="319"/>
      <c r="W746" s="319"/>
    </row>
    <row r="747" spans="1:23" ht="13.2" hidden="1">
      <c r="A747" s="319"/>
      <c r="B747" s="319"/>
      <c r="C747" s="319"/>
      <c r="D747" s="319" t="str">
        <f t="shared" si="38"/>
        <v>kW</v>
      </c>
      <c r="E747" s="319" t="str">
        <f>Language!C1337</f>
        <v>GW</v>
      </c>
      <c r="F747" s="319">
        <v>9.9999999999999995E-7</v>
      </c>
      <c r="G747" s="319"/>
      <c r="H747" s="319"/>
      <c r="I747" s="319"/>
      <c r="J747" s="319"/>
      <c r="K747" s="319"/>
      <c r="L747" s="319"/>
      <c r="M747" s="319"/>
      <c r="N747" s="319"/>
      <c r="O747" s="319"/>
      <c r="P747" s="319"/>
      <c r="Q747" s="319"/>
      <c r="R747" s="319"/>
      <c r="S747" s="319"/>
      <c r="T747" s="319"/>
      <c r="U747" s="319"/>
      <c r="V747" s="319"/>
      <c r="W747" s="319"/>
    </row>
    <row r="748" spans="1:23" ht="13.2" hidden="1">
      <c r="A748" s="319"/>
      <c r="B748" s="319"/>
      <c r="C748" s="319"/>
      <c r="D748" s="319" t="str">
        <f t="shared" si="38"/>
        <v>kW</v>
      </c>
      <c r="E748" s="319" t="str">
        <f>Language!C1403</f>
        <v>TR</v>
      </c>
      <c r="F748" s="319">
        <f>F749/G748</f>
        <v>0.28434513609399525</v>
      </c>
      <c r="G748" s="319">
        <v>12000</v>
      </c>
      <c r="H748" s="319" t="s">
        <v>1013</v>
      </c>
      <c r="I748" s="319"/>
      <c r="J748" s="319"/>
      <c r="K748" s="319"/>
      <c r="L748" s="319"/>
      <c r="M748" s="319"/>
      <c r="N748" s="319"/>
      <c r="O748" s="319"/>
      <c r="P748" s="319"/>
      <c r="Q748" s="319"/>
      <c r="R748" s="319"/>
      <c r="S748" s="319"/>
      <c r="T748" s="319"/>
      <c r="U748" s="319"/>
      <c r="V748" s="319"/>
      <c r="W748" s="319"/>
    </row>
    <row r="749" spans="1:23" ht="13.2" hidden="1">
      <c r="A749" s="319"/>
      <c r="B749" s="319"/>
      <c r="C749" s="319"/>
      <c r="D749" s="319" t="str">
        <f t="shared" si="38"/>
        <v>kW</v>
      </c>
      <c r="E749" s="319" t="str">
        <f>Language!C1323</f>
        <v>Btu/h</v>
      </c>
      <c r="F749" s="319">
        <f>1/G749</f>
        <v>3412.1416331279429</v>
      </c>
      <c r="G749" s="319">
        <f>H749/3600</f>
        <v>2.9307107017222215E-4</v>
      </c>
      <c r="H749" s="319">
        <f>E829*G719*5/9</f>
        <v>1.0550558526199998</v>
      </c>
      <c r="I749" s="319" t="s">
        <v>189</v>
      </c>
      <c r="J749" s="319"/>
      <c r="K749" s="319"/>
      <c r="L749" s="319"/>
      <c r="M749" s="319"/>
      <c r="N749" s="319"/>
      <c r="O749" s="319"/>
      <c r="P749" s="319"/>
      <c r="Q749" s="319"/>
      <c r="R749" s="319"/>
      <c r="S749" s="319"/>
      <c r="T749" s="319"/>
      <c r="U749" s="319"/>
      <c r="V749" s="319"/>
      <c r="W749" s="319"/>
    </row>
    <row r="750" spans="1:23" ht="13.2" hidden="1">
      <c r="A750" s="319"/>
      <c r="B750" s="319"/>
      <c r="C750" s="319"/>
      <c r="D750" s="319" t="str">
        <f t="shared" si="38"/>
        <v>kW</v>
      </c>
      <c r="E750" s="319" t="str">
        <f>Language!C1383</f>
        <v>milhão Btu/h</v>
      </c>
      <c r="F750" s="319">
        <f>F749/1000000</f>
        <v>3.4121416331279429E-3</v>
      </c>
      <c r="G750" s="319"/>
      <c r="H750" s="319"/>
      <c r="I750" s="319"/>
      <c r="J750" s="319"/>
      <c r="K750" s="319"/>
      <c r="L750" s="319"/>
      <c r="M750" s="319"/>
      <c r="N750" s="319"/>
      <c r="O750" s="319"/>
      <c r="P750" s="319"/>
      <c r="Q750" s="319"/>
      <c r="R750" s="319"/>
      <c r="S750" s="319"/>
      <c r="T750" s="319"/>
      <c r="U750" s="319"/>
      <c r="V750" s="319"/>
      <c r="W750" s="319"/>
    </row>
    <row r="751" spans="1:23" ht="13.2" hidden="1">
      <c r="A751" s="319"/>
      <c r="B751" s="319"/>
      <c r="C751" s="319"/>
      <c r="D751" s="319" t="str">
        <f t="shared" si="38"/>
        <v>kW</v>
      </c>
      <c r="E751" s="319" t="str">
        <f>Language!C1358</f>
        <v>kJ/h</v>
      </c>
      <c r="F751" s="319">
        <f>3600</f>
        <v>3600</v>
      </c>
      <c r="G751" s="319"/>
      <c r="H751" s="319"/>
      <c r="I751" s="319"/>
      <c r="J751" s="319"/>
      <c r="K751" s="319"/>
      <c r="L751" s="319"/>
      <c r="M751" s="319"/>
      <c r="N751" s="319"/>
      <c r="O751" s="319"/>
      <c r="P751" s="319"/>
      <c r="Q751" s="319"/>
      <c r="R751" s="319"/>
      <c r="S751" s="319"/>
      <c r="T751" s="319"/>
      <c r="U751" s="319"/>
      <c r="V751" s="319"/>
      <c r="W751" s="319"/>
    </row>
    <row r="752" spans="1:23" ht="13.2" hidden="1">
      <c r="A752" s="319"/>
      <c r="B752" s="319"/>
      <c r="C752" s="319"/>
      <c r="D752" s="319" t="str">
        <f t="shared" si="38"/>
        <v>kW</v>
      </c>
      <c r="E752" s="319" t="str">
        <f>Language!C1387</f>
        <v>MJ/h</v>
      </c>
      <c r="F752" s="319">
        <v>3.6</v>
      </c>
      <c r="G752" s="319"/>
      <c r="H752" s="319"/>
      <c r="I752" s="319"/>
      <c r="J752" s="319"/>
      <c r="K752" s="319"/>
      <c r="L752" s="319"/>
      <c r="M752" s="319"/>
      <c r="N752" s="319"/>
      <c r="O752" s="319"/>
      <c r="P752" s="319"/>
      <c r="Q752" s="319"/>
      <c r="R752" s="319"/>
      <c r="S752" s="319"/>
      <c r="T752" s="319"/>
      <c r="U752" s="319"/>
      <c r="V752" s="319"/>
      <c r="W752" s="319"/>
    </row>
    <row r="753" spans="1:23" ht="13.2" hidden="1">
      <c r="A753" s="319"/>
      <c r="B753" s="319"/>
      <c r="C753" s="319"/>
      <c r="D753" s="319" t="str">
        <f t="shared" si="38"/>
        <v>kW</v>
      </c>
      <c r="E753" s="319" t="str">
        <f>Language!C1336</f>
        <v>GJ/h</v>
      </c>
      <c r="F753" s="319">
        <f>0.0036</f>
        <v>3.5999999999999999E-3</v>
      </c>
      <c r="G753" s="319"/>
      <c r="H753" s="319"/>
      <c r="I753" s="319"/>
      <c r="J753" s="319"/>
      <c r="K753" s="319"/>
      <c r="L753" s="319"/>
      <c r="M753" s="319"/>
      <c r="N753" s="319"/>
      <c r="O753" s="319"/>
      <c r="P753" s="319"/>
      <c r="Q753" s="319"/>
      <c r="R753" s="319"/>
      <c r="S753" s="319"/>
      <c r="T753" s="319"/>
      <c r="U753" s="319"/>
      <c r="V753" s="319"/>
      <c r="W753" s="319"/>
    </row>
    <row r="754" spans="1:23" ht="13.2" hidden="1">
      <c r="A754" s="319"/>
      <c r="B754" s="319"/>
      <c r="C754" s="319"/>
      <c r="D754" s="319" t="str">
        <f t="shared" si="38"/>
        <v>kW</v>
      </c>
      <c r="E754" s="319" t="str">
        <f>Language!C1343</f>
        <v>hp (elétrico)</v>
      </c>
      <c r="F754" s="319">
        <f>1/G754</f>
        <v>1.3404825737265416</v>
      </c>
      <c r="G754" s="319">
        <v>0.746</v>
      </c>
      <c r="H754" s="319" t="s">
        <v>2190</v>
      </c>
      <c r="I754" s="319"/>
      <c r="J754" s="319"/>
      <c r="K754" s="319"/>
      <c r="L754" s="319"/>
      <c r="M754" s="319"/>
      <c r="N754" s="319"/>
      <c r="O754" s="319"/>
      <c r="P754" s="319"/>
      <c r="Q754" s="319"/>
      <c r="R754" s="319"/>
      <c r="S754" s="319"/>
      <c r="T754" s="319"/>
      <c r="U754" s="319"/>
      <c r="V754" s="319"/>
      <c r="W754" s="319"/>
    </row>
    <row r="755" spans="1:23" ht="13.2" hidden="1">
      <c r="A755" s="319"/>
      <c r="B755" s="319"/>
      <c r="C755" s="319"/>
      <c r="D755" s="319" t="str">
        <f t="shared" si="38"/>
        <v>kW</v>
      </c>
      <c r="E755" s="319" t="str">
        <f>Language!C1342</f>
        <v>hp (calor)</v>
      </c>
      <c r="F755" s="319">
        <f>1/G755</f>
        <v>0.10194199500484225</v>
      </c>
      <c r="G755" s="319">
        <v>9.8094999999999999</v>
      </c>
      <c r="H755" s="319" t="s">
        <v>932</v>
      </c>
      <c r="I755" s="319"/>
      <c r="J755" s="319"/>
      <c r="K755" s="319"/>
      <c r="L755" s="319"/>
      <c r="M755" s="319"/>
      <c r="N755" s="319"/>
      <c r="O755" s="319"/>
      <c r="P755" s="319"/>
      <c r="Q755" s="319"/>
      <c r="R755" s="319"/>
      <c r="S755" s="319"/>
      <c r="T755" s="319"/>
      <c r="U755" s="319"/>
      <c r="V755" s="319"/>
      <c r="W755" s="319"/>
    </row>
    <row r="756" spans="1:23" ht="13.2" hidden="1">
      <c r="A756" s="319"/>
      <c r="B756" s="319"/>
      <c r="C756" s="319"/>
      <c r="D756" s="319"/>
      <c r="E756" s="319"/>
      <c r="F756" s="319"/>
      <c r="G756" s="319"/>
      <c r="H756" s="319"/>
      <c r="I756" s="319"/>
      <c r="J756" s="319"/>
      <c r="K756" s="319"/>
      <c r="L756" s="319"/>
      <c r="M756" s="319"/>
      <c r="N756" s="319"/>
      <c r="O756" s="319"/>
      <c r="P756" s="319"/>
      <c r="Q756" s="319"/>
      <c r="R756" s="319"/>
      <c r="S756" s="319"/>
      <c r="T756" s="319"/>
      <c r="U756" s="319"/>
      <c r="V756" s="319"/>
      <c r="W756" s="319"/>
    </row>
    <row r="757" spans="1:23" ht="13.2" hidden="1">
      <c r="A757" s="319"/>
      <c r="B757" s="319" t="s">
        <v>3846</v>
      </c>
      <c r="C757" s="319"/>
      <c r="D757" s="319" t="s">
        <v>3202</v>
      </c>
      <c r="E757" s="319" t="str">
        <f>Language!C1357</f>
        <v>kJ</v>
      </c>
      <c r="F757" s="319">
        <v>1</v>
      </c>
      <c r="G757" s="319"/>
      <c r="H757" s="319"/>
      <c r="I757" s="319"/>
      <c r="J757" s="319"/>
      <c r="K757" s="319"/>
      <c r="L757" s="319"/>
      <c r="M757" s="319"/>
      <c r="N757" s="319"/>
      <c r="O757" s="319"/>
      <c r="P757" s="319"/>
      <c r="Q757" s="319"/>
      <c r="R757" s="319"/>
      <c r="S757" s="319"/>
      <c r="T757" s="319"/>
      <c r="U757" s="319"/>
      <c r="V757" s="319"/>
      <c r="W757" s="319"/>
    </row>
    <row r="758" spans="1:23" ht="13.2" hidden="1">
      <c r="A758" s="319"/>
      <c r="B758" s="319"/>
      <c r="C758" s="319"/>
      <c r="D758" s="319" t="s">
        <v>3202</v>
      </c>
      <c r="E758" s="319" t="str">
        <f>Language!C1385</f>
        <v>MJ</v>
      </c>
      <c r="F758" s="319">
        <v>1E-3</v>
      </c>
      <c r="G758" s="319"/>
      <c r="H758" s="319"/>
      <c r="I758" s="319"/>
      <c r="J758" s="319"/>
      <c r="K758" s="319"/>
      <c r="L758" s="319"/>
      <c r="M758" s="319"/>
      <c r="N758" s="319"/>
      <c r="O758" s="319"/>
      <c r="P758" s="319"/>
      <c r="Q758" s="319"/>
      <c r="R758" s="319"/>
      <c r="S758" s="319"/>
      <c r="T758" s="319"/>
      <c r="U758" s="319"/>
      <c r="V758" s="319"/>
      <c r="W758" s="319"/>
    </row>
    <row r="759" spans="1:23" ht="13.2" hidden="1">
      <c r="A759" s="319"/>
      <c r="B759" s="319"/>
      <c r="C759" s="319"/>
      <c r="D759" s="319" t="s">
        <v>3202</v>
      </c>
      <c r="E759" s="319" t="str">
        <f>Language!C1335</f>
        <v>GJ</v>
      </c>
      <c r="F759" s="319">
        <v>9.9999999999999995E-7</v>
      </c>
      <c r="G759" s="319"/>
      <c r="H759" s="319"/>
      <c r="I759" s="319"/>
      <c r="J759" s="319"/>
      <c r="K759" s="319"/>
      <c r="L759" s="319"/>
      <c r="M759" s="319"/>
      <c r="N759" s="319"/>
      <c r="O759" s="319"/>
      <c r="P759" s="319"/>
      <c r="Q759" s="319"/>
      <c r="R759" s="319"/>
      <c r="S759" s="319"/>
      <c r="T759" s="319"/>
      <c r="U759" s="319"/>
      <c r="V759" s="319"/>
      <c r="W759" s="319"/>
    </row>
    <row r="760" spans="1:23" ht="13.2" hidden="1">
      <c r="A760" s="319"/>
      <c r="B760" s="319"/>
      <c r="C760" s="319"/>
      <c r="D760" s="319" t="s">
        <v>3202</v>
      </c>
      <c r="E760" s="319" t="str">
        <f>Language!C1321</f>
        <v>Btu</v>
      </c>
      <c r="F760" s="319">
        <f>F749/3600</f>
        <v>0.94781712031331744</v>
      </c>
      <c r="G760" s="319"/>
      <c r="H760" s="319"/>
      <c r="I760" s="319"/>
      <c r="J760" s="319"/>
      <c r="K760" s="319"/>
      <c r="L760" s="319"/>
      <c r="M760" s="319"/>
      <c r="N760" s="319"/>
      <c r="O760" s="319"/>
      <c r="P760" s="319"/>
      <c r="Q760" s="319"/>
      <c r="R760" s="319"/>
      <c r="S760" s="319"/>
      <c r="T760" s="319"/>
      <c r="U760" s="319"/>
      <c r="V760" s="319"/>
      <c r="W760" s="319"/>
    </row>
    <row r="761" spans="1:23" ht="13.2" hidden="1">
      <c r="A761" s="319"/>
      <c r="B761" s="319"/>
      <c r="C761" s="319"/>
      <c r="D761" s="319"/>
      <c r="E761" s="319" t="str">
        <f>Language!C1382</f>
        <v>milhão Btu</v>
      </c>
      <c r="F761" s="319">
        <f>F760/1000000</f>
        <v>9.4781712031331739E-7</v>
      </c>
      <c r="G761" s="319"/>
      <c r="H761" s="319"/>
      <c r="I761" s="319"/>
      <c r="J761" s="319"/>
      <c r="K761" s="319"/>
      <c r="L761" s="319"/>
      <c r="M761" s="319"/>
      <c r="N761" s="319"/>
      <c r="O761" s="319"/>
      <c r="P761" s="319"/>
      <c r="Q761" s="319"/>
      <c r="R761" s="319"/>
      <c r="S761" s="319"/>
      <c r="T761" s="319"/>
      <c r="U761" s="319"/>
      <c r="V761" s="319"/>
      <c r="W761" s="319"/>
    </row>
    <row r="762" spans="1:23" ht="13.2" hidden="1">
      <c r="A762" s="319"/>
      <c r="B762" s="319"/>
      <c r="C762" s="319"/>
      <c r="D762" s="319" t="s">
        <v>3202</v>
      </c>
      <c r="E762" s="319" t="str">
        <f>Language!C1350</f>
        <v>kcal</v>
      </c>
      <c r="F762" s="319">
        <f>1/E829</f>
        <v>0.23884589662749595</v>
      </c>
      <c r="G762" s="319"/>
      <c r="H762" s="319"/>
      <c r="I762" s="319"/>
      <c r="J762" s="319"/>
      <c r="K762" s="319"/>
      <c r="L762" s="319"/>
      <c r="M762" s="319"/>
      <c r="N762" s="319"/>
      <c r="O762" s="319"/>
      <c r="P762" s="319"/>
      <c r="Q762" s="319"/>
      <c r="R762" s="319"/>
      <c r="S762" s="319"/>
      <c r="T762" s="319"/>
      <c r="U762" s="319"/>
      <c r="V762" s="319"/>
      <c r="W762" s="319"/>
    </row>
    <row r="763" spans="1:23" ht="13.2" hidden="1">
      <c r="A763" s="319"/>
      <c r="B763" s="319"/>
      <c r="C763" s="319"/>
      <c r="D763" s="319"/>
      <c r="E763" s="319" t="str">
        <f>Language!C1415</f>
        <v>Wh</v>
      </c>
      <c r="F763" s="319">
        <f>F764*1000</f>
        <v>0.27777777777777779</v>
      </c>
      <c r="G763" s="319"/>
      <c r="H763" s="319"/>
      <c r="I763" s="319"/>
      <c r="J763" s="319"/>
      <c r="K763" s="319"/>
      <c r="L763" s="319"/>
      <c r="M763" s="319"/>
      <c r="N763" s="319"/>
      <c r="O763" s="319"/>
      <c r="P763" s="319"/>
      <c r="Q763" s="319"/>
      <c r="R763" s="319"/>
      <c r="S763" s="319"/>
      <c r="T763" s="319"/>
      <c r="U763" s="319"/>
      <c r="V763" s="319"/>
      <c r="W763" s="319"/>
    </row>
    <row r="764" spans="1:23" ht="13.2" hidden="1">
      <c r="A764" s="319"/>
      <c r="B764" s="319"/>
      <c r="C764" s="319"/>
      <c r="D764" s="319" t="s">
        <v>3202</v>
      </c>
      <c r="E764" s="319" t="str">
        <f>Language!C1365</f>
        <v>kWh</v>
      </c>
      <c r="F764" s="319">
        <f>1/G764</f>
        <v>2.7777777777777778E-4</v>
      </c>
      <c r="G764" s="319">
        <v>3600</v>
      </c>
      <c r="H764" s="319" t="s">
        <v>2190</v>
      </c>
      <c r="I764" s="319"/>
      <c r="J764" s="319"/>
      <c r="K764" s="319"/>
      <c r="L764" s="319"/>
      <c r="M764" s="319"/>
      <c r="N764" s="319"/>
      <c r="O764" s="319"/>
      <c r="P764" s="319"/>
      <c r="Q764" s="319"/>
      <c r="R764" s="319"/>
      <c r="S764" s="319"/>
      <c r="T764" s="319"/>
      <c r="U764" s="319"/>
      <c r="V764" s="319"/>
      <c r="W764" s="319"/>
    </row>
    <row r="765" spans="1:23" ht="13.2" hidden="1">
      <c r="A765" s="319"/>
      <c r="B765" s="319"/>
      <c r="C765" s="319"/>
      <c r="D765" s="319" t="s">
        <v>3202</v>
      </c>
      <c r="E765" s="319" t="str">
        <f>Language!C1396</f>
        <v>MWh</v>
      </c>
      <c r="F765" s="319">
        <f>F764/1000</f>
        <v>2.7777777777777776E-7</v>
      </c>
      <c r="G765" s="319"/>
      <c r="H765" s="319"/>
      <c r="I765" s="319"/>
      <c r="J765" s="319"/>
      <c r="K765" s="319"/>
      <c r="L765" s="319"/>
      <c r="M765" s="319"/>
      <c r="N765" s="319"/>
      <c r="O765" s="319"/>
      <c r="P765" s="319"/>
      <c r="Q765" s="319"/>
      <c r="R765" s="319"/>
      <c r="S765" s="319"/>
      <c r="T765" s="319"/>
      <c r="U765" s="319"/>
      <c r="V765" s="319"/>
      <c r="W765" s="319"/>
    </row>
    <row r="766" spans="1:23" ht="13.2" hidden="1">
      <c r="A766" s="319"/>
      <c r="B766" s="319"/>
      <c r="C766" s="319"/>
      <c r="D766" s="319" t="s">
        <v>3202</v>
      </c>
      <c r="E766" s="319" t="str">
        <f>Language!C1338</f>
        <v>GWh</v>
      </c>
      <c r="F766" s="319">
        <f>F764/10^6</f>
        <v>2.7777777777777777E-10</v>
      </c>
      <c r="G766" s="319"/>
      <c r="H766" s="319"/>
      <c r="I766" s="319"/>
      <c r="J766" s="319"/>
      <c r="K766" s="319"/>
      <c r="L766" s="319"/>
      <c r="M766" s="319"/>
      <c r="N766" s="319"/>
      <c r="O766" s="319"/>
      <c r="P766" s="319"/>
      <c r="Q766" s="319"/>
      <c r="R766" s="319"/>
      <c r="S766" s="319"/>
      <c r="T766" s="319"/>
      <c r="U766" s="319"/>
      <c r="V766" s="319"/>
      <c r="W766" s="319"/>
    </row>
    <row r="767" spans="1:23" ht="13.2" hidden="1">
      <c r="A767" s="319"/>
      <c r="B767" s="319"/>
      <c r="C767" s="319"/>
      <c r="D767" s="319" t="s">
        <v>3202</v>
      </c>
      <c r="E767" s="319" t="str">
        <f>Language!C1412</f>
        <v>TWh</v>
      </c>
      <c r="F767" s="319">
        <f>F764/10^9</f>
        <v>2.7777777777777779E-13</v>
      </c>
      <c r="G767" s="319"/>
      <c r="H767" s="319"/>
      <c r="I767" s="319"/>
      <c r="J767" s="319"/>
      <c r="K767" s="319"/>
      <c r="L767" s="319"/>
      <c r="M767" s="319"/>
      <c r="N767" s="319"/>
      <c r="O767" s="319"/>
      <c r="P767" s="319"/>
      <c r="Q767" s="319"/>
      <c r="R767" s="319"/>
      <c r="S767" s="319"/>
      <c r="T767" s="319"/>
      <c r="U767" s="319"/>
      <c r="V767" s="319"/>
      <c r="W767" s="319"/>
    </row>
    <row r="768" spans="1:23" ht="13.2" hidden="1">
      <c r="A768" s="319"/>
      <c r="B768" s="319"/>
      <c r="C768" s="319"/>
      <c r="D768" s="319" t="s">
        <v>3202</v>
      </c>
      <c r="E768" s="319" t="str">
        <f>Language!C2252</f>
        <v>térm.</v>
      </c>
      <c r="F768" s="319">
        <f>G768</f>
        <v>9.4781712035510864E-6</v>
      </c>
      <c r="G768" s="319">
        <f>1/105505585.257348*1000</f>
        <v>9.4781712035510864E-6</v>
      </c>
      <c r="H768" s="319" t="s">
        <v>1188</v>
      </c>
      <c r="I768" s="319"/>
      <c r="J768" s="319"/>
      <c r="K768" s="319"/>
      <c r="L768" s="319"/>
      <c r="M768" s="319"/>
      <c r="N768" s="319"/>
      <c r="O768" s="319"/>
      <c r="P768" s="319"/>
      <c r="Q768" s="319"/>
      <c r="R768" s="319"/>
      <c r="S768" s="319"/>
      <c r="T768" s="319"/>
      <c r="U768" s="319"/>
      <c r="V768" s="319"/>
      <c r="W768" s="319"/>
    </row>
    <row r="769" spans="1:23" ht="13.2" hidden="1">
      <c r="A769" s="319"/>
      <c r="B769" s="319" t="s">
        <v>2821</v>
      </c>
      <c r="C769" s="319" t="b">
        <f t="shared" ref="C769:C774" si="39">IF(AND($C$433=D769,$E$433=E769),TRUE)</f>
        <v>0</v>
      </c>
      <c r="D769" s="319" t="str">
        <f>E770</f>
        <v>°F</v>
      </c>
      <c r="E769" s="319" t="str">
        <f>Language!C1310</f>
        <v>°C</v>
      </c>
      <c r="F769" s="319">
        <f>(D433-32)/1.8</f>
        <v>-17.777777777777779</v>
      </c>
      <c r="G769" s="319"/>
      <c r="H769" s="319"/>
      <c r="I769" s="319"/>
      <c r="J769" s="319"/>
      <c r="K769" s="319"/>
      <c r="L769" s="319"/>
      <c r="M769" s="319"/>
      <c r="N769" s="319"/>
      <c r="O769" s="319"/>
      <c r="P769" s="319"/>
      <c r="Q769" s="319"/>
      <c r="R769" s="319"/>
      <c r="S769" s="319"/>
      <c r="T769" s="319"/>
      <c r="U769" s="319"/>
      <c r="V769" s="319"/>
      <c r="W769" s="319"/>
    </row>
    <row r="770" spans="1:23" ht="13.2" hidden="1">
      <c r="A770" s="319"/>
      <c r="B770" s="319"/>
      <c r="C770" s="319" t="b">
        <f t="shared" si="39"/>
        <v>1</v>
      </c>
      <c r="D770" s="319" t="str">
        <f>E769</f>
        <v>°C</v>
      </c>
      <c r="E770" s="319" t="str">
        <f>Language!C1313</f>
        <v>°F</v>
      </c>
      <c r="F770" s="319">
        <f>D433*1.8+32</f>
        <v>32</v>
      </c>
      <c r="G770" s="319"/>
      <c r="H770" s="319"/>
      <c r="I770" s="319"/>
      <c r="J770" s="319"/>
      <c r="K770" s="319"/>
      <c r="L770" s="319"/>
      <c r="M770" s="319"/>
      <c r="N770" s="319"/>
      <c r="O770" s="319"/>
      <c r="P770" s="319"/>
      <c r="Q770" s="319"/>
      <c r="R770" s="319"/>
      <c r="S770" s="319"/>
      <c r="T770" s="319"/>
      <c r="U770" s="319"/>
      <c r="V770" s="319"/>
      <c r="W770" s="319"/>
    </row>
    <row r="771" spans="1:23" ht="13.2" hidden="1">
      <c r="A771" s="319"/>
      <c r="B771" s="319"/>
      <c r="C771" s="319" t="b">
        <f t="shared" si="39"/>
        <v>0</v>
      </c>
      <c r="D771" s="319" t="str">
        <f>E769</f>
        <v>°C</v>
      </c>
      <c r="E771" s="319" t="str">
        <f>Language!C1315</f>
        <v>K</v>
      </c>
      <c r="F771" s="319">
        <f>D433+F776</f>
        <v>273.14999999999998</v>
      </c>
      <c r="G771" s="319"/>
      <c r="H771" s="319"/>
      <c r="I771" s="319"/>
      <c r="J771" s="319"/>
      <c r="K771" s="319"/>
      <c r="L771" s="319"/>
      <c r="M771" s="319"/>
      <c r="N771" s="319"/>
      <c r="O771" s="319"/>
      <c r="P771" s="319"/>
      <c r="Q771" s="319"/>
      <c r="R771" s="319"/>
      <c r="S771" s="319"/>
      <c r="T771" s="319"/>
      <c r="U771" s="319"/>
      <c r="V771" s="319"/>
      <c r="W771" s="319"/>
    </row>
    <row r="772" spans="1:23" ht="13.2" hidden="1">
      <c r="A772" s="319"/>
      <c r="B772" s="319"/>
      <c r="C772" s="319" t="b">
        <f t="shared" si="39"/>
        <v>0</v>
      </c>
      <c r="D772" s="319" t="str">
        <f>E771</f>
        <v>K</v>
      </c>
      <c r="E772" s="319" t="str">
        <f>E769</f>
        <v>°C</v>
      </c>
      <c r="F772" s="319">
        <f>D433-F776</f>
        <v>-273.14999999999998</v>
      </c>
      <c r="G772" s="319"/>
      <c r="H772" s="319"/>
      <c r="I772" s="319"/>
      <c r="J772" s="319"/>
      <c r="K772" s="319"/>
      <c r="L772" s="319"/>
      <c r="M772" s="319"/>
      <c r="N772" s="319"/>
      <c r="O772" s="319"/>
      <c r="P772" s="319"/>
      <c r="Q772" s="319"/>
      <c r="R772" s="319"/>
      <c r="S772" s="319"/>
      <c r="T772" s="319"/>
      <c r="U772" s="319"/>
      <c r="V772" s="319"/>
      <c r="W772" s="319"/>
    </row>
    <row r="773" spans="1:23" ht="13.2" hidden="1">
      <c r="A773" s="319"/>
      <c r="B773" s="319"/>
      <c r="C773" s="319" t="b">
        <f t="shared" si="39"/>
        <v>0</v>
      </c>
      <c r="D773" s="319" t="str">
        <f>E771</f>
        <v>K</v>
      </c>
      <c r="E773" s="319" t="str">
        <f>E770</f>
        <v>°F</v>
      </c>
      <c r="F773" s="319">
        <f>F772*1.8+32</f>
        <v>-459.66999999999996</v>
      </c>
      <c r="G773" s="319"/>
      <c r="H773" s="319"/>
      <c r="I773" s="319"/>
      <c r="J773" s="319"/>
      <c r="K773" s="319"/>
      <c r="L773" s="319"/>
      <c r="M773" s="319"/>
      <c r="N773" s="319"/>
      <c r="O773" s="319"/>
      <c r="P773" s="319"/>
      <c r="Q773" s="319"/>
      <c r="R773" s="319"/>
      <c r="S773" s="319"/>
      <c r="T773" s="319"/>
      <c r="U773" s="319"/>
      <c r="V773" s="319"/>
      <c r="W773" s="319"/>
    </row>
    <row r="774" spans="1:23" ht="13.2" hidden="1">
      <c r="A774" s="319"/>
      <c r="B774" s="319"/>
      <c r="C774" s="319" t="b">
        <f t="shared" si="39"/>
        <v>0</v>
      </c>
      <c r="D774" s="319" t="str">
        <f>E770</f>
        <v>°F</v>
      </c>
      <c r="E774" s="319" t="str">
        <f>E771</f>
        <v>K</v>
      </c>
      <c r="F774" s="319">
        <f>F769+F776</f>
        <v>255.37222222222221</v>
      </c>
      <c r="G774" s="319"/>
      <c r="H774" s="319"/>
      <c r="I774" s="319"/>
      <c r="J774" s="319"/>
      <c r="K774" s="319"/>
      <c r="L774" s="319"/>
      <c r="M774" s="319"/>
      <c r="N774" s="319"/>
      <c r="O774" s="319"/>
      <c r="P774" s="319"/>
      <c r="Q774" s="319"/>
      <c r="R774" s="319"/>
      <c r="S774" s="319"/>
      <c r="T774" s="319"/>
      <c r="U774" s="319"/>
      <c r="V774" s="319"/>
      <c r="W774" s="319"/>
    </row>
    <row r="775" spans="1:23" ht="13.2" hidden="1">
      <c r="A775" s="319"/>
      <c r="B775" s="319"/>
      <c r="C775" s="319" t="b">
        <f>IF($C$433=$E$433,TRUE)</f>
        <v>0</v>
      </c>
      <c r="D775" s="319" t="str">
        <f>C433</f>
        <v>°C</v>
      </c>
      <c r="E775" s="319" t="str">
        <f>E770</f>
        <v>°F</v>
      </c>
      <c r="F775" s="319">
        <f>D433</f>
        <v>0</v>
      </c>
      <c r="G775" s="319"/>
      <c r="H775" s="319"/>
      <c r="I775" s="319"/>
      <c r="J775" s="319"/>
      <c r="K775" s="319"/>
      <c r="L775" s="319"/>
      <c r="M775" s="319"/>
      <c r="N775" s="319"/>
      <c r="O775" s="319"/>
      <c r="P775" s="319"/>
      <c r="Q775" s="319"/>
      <c r="R775" s="319"/>
      <c r="S775" s="319"/>
      <c r="T775" s="319"/>
      <c r="U775" s="319"/>
      <c r="V775" s="319"/>
      <c r="W775" s="319"/>
    </row>
    <row r="776" spans="1:23" ht="13.2" hidden="1">
      <c r="A776" s="319"/>
      <c r="B776" s="319"/>
      <c r="C776" s="319"/>
      <c r="D776" s="319"/>
      <c r="E776" s="319" t="s">
        <v>143</v>
      </c>
      <c r="F776" s="319">
        <v>273.14999999999998</v>
      </c>
      <c r="G776" s="319" t="s">
        <v>2190</v>
      </c>
      <c r="H776" s="319"/>
      <c r="I776" s="319"/>
      <c r="J776" s="319"/>
      <c r="K776" s="319"/>
      <c r="L776" s="319"/>
      <c r="M776" s="319"/>
      <c r="N776" s="319"/>
      <c r="O776" s="319"/>
      <c r="P776" s="319"/>
      <c r="Q776" s="319"/>
      <c r="R776" s="319"/>
      <c r="S776" s="319"/>
      <c r="T776" s="319"/>
      <c r="U776" s="319"/>
      <c r="V776" s="319"/>
      <c r="W776" s="319"/>
    </row>
    <row r="777" spans="1:23" ht="13.2" hidden="1">
      <c r="A777" s="319"/>
      <c r="B777" s="319"/>
      <c r="C777" s="319"/>
      <c r="D777" s="319"/>
      <c r="E777" s="319"/>
      <c r="F777" s="319"/>
      <c r="G777" s="319"/>
      <c r="H777" s="319"/>
      <c r="I777" s="319"/>
      <c r="J777" s="319"/>
      <c r="K777" s="319"/>
      <c r="L777" s="319"/>
      <c r="M777" s="319"/>
      <c r="N777" s="319"/>
      <c r="O777" s="319"/>
      <c r="P777" s="319"/>
      <c r="Q777" s="319"/>
      <c r="R777" s="319"/>
      <c r="S777" s="319"/>
      <c r="T777" s="319"/>
      <c r="U777" s="319"/>
      <c r="V777" s="319"/>
      <c r="W777" s="319"/>
    </row>
    <row r="778" spans="1:23" ht="13.2" hidden="1">
      <c r="A778" s="319"/>
      <c r="B778" s="319" t="s">
        <v>3535</v>
      </c>
      <c r="C778" s="319"/>
      <c r="D778" s="319" t="s">
        <v>114</v>
      </c>
      <c r="E778" s="319" t="str">
        <f>Language!C1366</f>
        <v>L</v>
      </c>
      <c r="F778" s="319">
        <v>1</v>
      </c>
      <c r="G778" s="319"/>
      <c r="H778" s="319"/>
      <c r="I778" s="319"/>
      <c r="J778" s="319"/>
      <c r="K778" s="319"/>
      <c r="L778" s="319"/>
      <c r="M778" s="319"/>
      <c r="N778" s="319"/>
      <c r="O778" s="319"/>
      <c r="P778" s="319"/>
      <c r="Q778" s="319"/>
      <c r="R778" s="319"/>
      <c r="S778" s="319"/>
      <c r="T778" s="319"/>
      <c r="U778" s="319"/>
      <c r="V778" s="319"/>
      <c r="W778" s="319"/>
    </row>
    <row r="779" spans="1:23" ht="13.2" hidden="1">
      <c r="A779" s="319"/>
      <c r="B779" s="319"/>
      <c r="C779" s="319"/>
      <c r="D779" s="319" t="s">
        <v>114</v>
      </c>
      <c r="E779" s="319" t="str">
        <f>Language!C1375</f>
        <v>m³</v>
      </c>
      <c r="F779" s="319">
        <v>1E-3</v>
      </c>
      <c r="G779" s="319"/>
      <c r="H779" s="319"/>
      <c r="I779" s="319"/>
      <c r="J779" s="319"/>
      <c r="K779" s="319"/>
      <c r="L779" s="319"/>
      <c r="M779" s="319"/>
      <c r="N779" s="319"/>
      <c r="O779" s="319"/>
      <c r="P779" s="319"/>
      <c r="Q779" s="319"/>
      <c r="R779" s="319"/>
      <c r="S779" s="319"/>
      <c r="T779" s="319"/>
      <c r="U779" s="319"/>
      <c r="V779" s="319"/>
      <c r="W779" s="319"/>
    </row>
    <row r="780" spans="1:23" ht="13.2" hidden="1">
      <c r="A780" s="319"/>
      <c r="B780" s="319"/>
      <c r="C780" s="319"/>
      <c r="D780" s="319" t="s">
        <v>114</v>
      </c>
      <c r="E780" s="319" t="str">
        <f>Language!C1381</f>
        <v>mL</v>
      </c>
      <c r="F780" s="319">
        <v>1000</v>
      </c>
      <c r="G780" s="319"/>
      <c r="H780" s="319"/>
      <c r="I780" s="319"/>
      <c r="J780" s="319"/>
      <c r="K780" s="319"/>
      <c r="L780" s="319"/>
      <c r="M780" s="319"/>
      <c r="N780" s="319"/>
      <c r="O780" s="319"/>
      <c r="P780" s="319"/>
      <c r="Q780" s="319"/>
      <c r="R780" s="319"/>
      <c r="S780" s="319"/>
      <c r="T780" s="319"/>
      <c r="U780" s="319"/>
      <c r="V780" s="319"/>
      <c r="W780" s="319"/>
    </row>
    <row r="781" spans="1:23" ht="13.2" hidden="1">
      <c r="A781" s="319"/>
      <c r="B781" s="319"/>
      <c r="C781" s="319"/>
      <c r="D781" s="319" t="s">
        <v>114</v>
      </c>
      <c r="E781" s="319" t="str">
        <f>Language!C1413</f>
        <v>gal US</v>
      </c>
      <c r="F781" s="319">
        <f>1/G781</f>
        <v>0.26417205235814845</v>
      </c>
      <c r="G781" s="319">
        <f>H781*G722^3*1000</f>
        <v>3.7854117839999999</v>
      </c>
      <c r="H781" s="319">
        <v>231</v>
      </c>
      <c r="I781" s="319" t="s">
        <v>2189</v>
      </c>
      <c r="J781" s="319" t="s">
        <v>2190</v>
      </c>
      <c r="K781" s="319"/>
      <c r="L781" s="319"/>
      <c r="M781" s="319"/>
      <c r="N781" s="319"/>
      <c r="O781" s="319"/>
      <c r="P781" s="319"/>
      <c r="Q781" s="319"/>
      <c r="R781" s="319"/>
      <c r="S781" s="319"/>
      <c r="T781" s="319"/>
      <c r="U781" s="319"/>
      <c r="V781" s="319"/>
      <c r="W781" s="319"/>
    </row>
    <row r="782" spans="1:23" ht="13.2" hidden="1">
      <c r="A782" s="319"/>
      <c r="B782" s="319"/>
      <c r="C782" s="319"/>
      <c r="D782" s="319"/>
      <c r="E782" s="319" t="str">
        <f>Language!C1320</f>
        <v>barril</v>
      </c>
      <c r="F782" s="319">
        <f>F781/H782</f>
        <v>6.289810770432106E-3</v>
      </c>
      <c r="G782" s="319"/>
      <c r="H782" s="319">
        <v>42</v>
      </c>
      <c r="I782" s="319" t="s">
        <v>5692</v>
      </c>
      <c r="J782" s="319"/>
      <c r="K782" s="319"/>
      <c r="L782" s="319"/>
      <c r="M782" s="319"/>
      <c r="N782" s="319"/>
      <c r="O782" s="319"/>
      <c r="P782" s="319"/>
      <c r="Q782" s="319"/>
      <c r="R782" s="319"/>
      <c r="S782" s="319"/>
      <c r="T782" s="319"/>
      <c r="U782" s="319"/>
      <c r="V782" s="319"/>
      <c r="W782" s="319"/>
    </row>
    <row r="783" spans="1:23" ht="13.2" hidden="1">
      <c r="A783" s="319"/>
      <c r="B783" s="319"/>
      <c r="C783" s="319"/>
      <c r="D783" s="319" t="s">
        <v>114</v>
      </c>
      <c r="E783" s="319" t="str">
        <f>Language!C1331</f>
        <v>pe³</v>
      </c>
      <c r="F783" s="319">
        <f>1/(G722*12)^3/1000</f>
        <v>3.53146667214886E-2</v>
      </c>
      <c r="G783" s="319"/>
      <c r="H783" s="319"/>
      <c r="I783" s="319"/>
      <c r="J783" s="319"/>
      <c r="K783" s="319"/>
      <c r="L783" s="319"/>
      <c r="M783" s="319"/>
      <c r="N783" s="319"/>
      <c r="O783" s="319"/>
      <c r="P783" s="319"/>
      <c r="Q783" s="319"/>
      <c r="R783" s="319"/>
      <c r="S783" s="319"/>
      <c r="T783" s="319"/>
      <c r="U783" s="319"/>
      <c r="V783" s="319"/>
      <c r="W783" s="319"/>
    </row>
    <row r="784" spans="1:23" ht="13.2" hidden="1">
      <c r="A784" s="319"/>
      <c r="B784" s="319"/>
      <c r="C784" s="319"/>
      <c r="D784" s="319" t="s">
        <v>114</v>
      </c>
      <c r="E784" s="319" t="str">
        <f>Language!C1347</f>
        <v>po³</v>
      </c>
      <c r="F784" s="319">
        <f>1/G722^3/1000</f>
        <v>61.023744094732294</v>
      </c>
      <c r="G784" s="319"/>
      <c r="H784" s="319"/>
      <c r="I784" s="319"/>
      <c r="J784" s="319"/>
      <c r="K784" s="319"/>
      <c r="L784" s="319"/>
      <c r="M784" s="319"/>
      <c r="N784" s="319"/>
      <c r="O784" s="319"/>
      <c r="P784" s="319"/>
      <c r="Q784" s="319"/>
      <c r="R784" s="319"/>
      <c r="S784" s="319"/>
      <c r="T784" s="319"/>
      <c r="U784" s="319"/>
      <c r="V784" s="319"/>
      <c r="W784" s="319"/>
    </row>
    <row r="785" spans="1:23" ht="13.2" hidden="1">
      <c r="A785" s="319"/>
      <c r="B785" s="319"/>
      <c r="C785" s="319"/>
      <c r="D785" s="319" t="s">
        <v>114</v>
      </c>
      <c r="E785" s="319" t="str">
        <f>Language!C1417</f>
        <v>jarda³</v>
      </c>
      <c r="F785" s="319">
        <f>1/(3*G722*12)^3/1000</f>
        <v>1.3079506193143927E-3</v>
      </c>
      <c r="G785" s="319"/>
      <c r="H785" s="319"/>
      <c r="I785" s="319"/>
      <c r="J785" s="319"/>
      <c r="K785" s="319"/>
      <c r="L785" s="319"/>
      <c r="M785" s="319"/>
      <c r="N785" s="319"/>
      <c r="O785" s="319"/>
      <c r="P785" s="319"/>
      <c r="Q785" s="319"/>
      <c r="R785" s="319"/>
      <c r="S785" s="319"/>
      <c r="T785" s="319"/>
      <c r="U785" s="319"/>
      <c r="V785" s="319"/>
      <c r="W785" s="319"/>
    </row>
    <row r="786" spans="1:23" ht="13.2" hidden="1">
      <c r="A786" s="319"/>
      <c r="B786" s="319"/>
      <c r="C786" s="319"/>
      <c r="D786" s="319" t="s">
        <v>114</v>
      </c>
      <c r="E786" s="319" t="str">
        <f>Language!C1344</f>
        <v>gal imp.</v>
      </c>
      <c r="F786" s="319">
        <f>1/G786</f>
        <v>0.21996924829908776</v>
      </c>
      <c r="G786" s="319">
        <v>4.5460900000000004</v>
      </c>
      <c r="H786" s="319" t="s">
        <v>2100</v>
      </c>
      <c r="I786" s="319"/>
      <c r="J786" s="319"/>
      <c r="K786" s="319"/>
      <c r="L786" s="319"/>
      <c r="M786" s="319"/>
      <c r="N786" s="319"/>
      <c r="O786" s="319"/>
      <c r="P786" s="319"/>
      <c r="Q786" s="319"/>
      <c r="R786" s="319"/>
      <c r="S786" s="319"/>
      <c r="T786" s="319"/>
      <c r="U786" s="319"/>
      <c r="V786" s="319"/>
      <c r="W786" s="319"/>
    </row>
    <row r="787" spans="1:23" ht="13.2" hidden="1">
      <c r="A787" s="319"/>
      <c r="B787" s="319" t="s">
        <v>4761</v>
      </c>
      <c r="C787" s="319"/>
      <c r="D787" s="556"/>
      <c r="E787" s="319" t="str">
        <f>Language!C2232</f>
        <v>m/s</v>
      </c>
      <c r="F787" s="319">
        <v>1</v>
      </c>
      <c r="G787" s="319"/>
      <c r="H787" s="319"/>
      <c r="I787" s="319"/>
      <c r="J787" s="319"/>
      <c r="K787" s="319"/>
      <c r="L787" s="319"/>
      <c r="M787" s="319"/>
      <c r="N787" s="319"/>
      <c r="O787" s="319"/>
      <c r="P787" s="319"/>
      <c r="Q787" s="319"/>
      <c r="R787" s="319"/>
      <c r="S787" s="319"/>
      <c r="T787" s="319"/>
      <c r="U787" s="319"/>
      <c r="V787" s="319"/>
      <c r="W787" s="319"/>
    </row>
    <row r="788" spans="1:23" ht="13.2" hidden="1">
      <c r="A788" s="319"/>
      <c r="B788" s="319"/>
      <c r="C788" s="319"/>
      <c r="D788" s="556"/>
      <c r="E788" s="319" t="str">
        <f>Language!C2628</f>
        <v>km/h</v>
      </c>
      <c r="F788" s="319">
        <v>3.6</v>
      </c>
      <c r="G788" s="319"/>
      <c r="H788" s="319"/>
      <c r="I788" s="319"/>
      <c r="J788" s="319"/>
      <c r="K788" s="319"/>
      <c r="L788" s="319"/>
      <c r="M788" s="319"/>
      <c r="N788" s="319"/>
      <c r="O788" s="319"/>
      <c r="P788" s="319"/>
      <c r="Q788" s="319"/>
      <c r="R788" s="319"/>
      <c r="S788" s="319"/>
      <c r="T788" s="319"/>
      <c r="U788" s="319"/>
      <c r="V788" s="319"/>
      <c r="W788" s="319"/>
    </row>
    <row r="789" spans="1:23" ht="13.2" hidden="1">
      <c r="A789" s="319"/>
      <c r="B789" s="319"/>
      <c r="C789" s="319"/>
      <c r="D789" s="319"/>
      <c r="E789" s="319" t="str">
        <f>Language!C2244</f>
        <v>mph</v>
      </c>
      <c r="F789" s="319">
        <f>F725*1000*F788</f>
        <v>2.2369362920544025</v>
      </c>
      <c r="G789" s="319"/>
      <c r="H789" s="319"/>
      <c r="I789" s="319"/>
      <c r="J789" s="319"/>
      <c r="K789" s="319"/>
      <c r="L789" s="319"/>
      <c r="M789" s="319"/>
      <c r="N789" s="319"/>
      <c r="O789" s="319"/>
      <c r="P789" s="319"/>
      <c r="Q789" s="319"/>
      <c r="R789" s="319"/>
      <c r="S789" s="319"/>
      <c r="T789" s="319"/>
      <c r="U789" s="319"/>
      <c r="V789" s="319"/>
      <c r="W789" s="319"/>
    </row>
    <row r="790" spans="1:23" ht="13.2" hidden="1">
      <c r="A790" s="319"/>
      <c r="B790" s="319"/>
      <c r="C790" s="319"/>
      <c r="D790" s="319"/>
      <c r="E790" s="319"/>
      <c r="F790" s="319"/>
      <c r="G790" s="319"/>
      <c r="H790" s="319"/>
      <c r="I790" s="319"/>
      <c r="J790" s="319"/>
      <c r="K790" s="319"/>
      <c r="L790" s="319"/>
      <c r="M790" s="319"/>
      <c r="N790" s="319"/>
      <c r="O790" s="319"/>
      <c r="P790" s="319"/>
      <c r="Q790" s="319"/>
      <c r="R790" s="319"/>
      <c r="S790" s="319"/>
      <c r="T790" s="319"/>
      <c r="U790" s="319"/>
      <c r="V790" s="319"/>
      <c r="W790" s="319"/>
    </row>
    <row r="791" spans="1:23" ht="13.2" hidden="1">
      <c r="A791" s="319"/>
      <c r="B791" s="319"/>
      <c r="C791" s="319"/>
      <c r="D791" s="319"/>
      <c r="E791" s="319"/>
      <c r="F791" s="319"/>
      <c r="G791" s="319"/>
      <c r="H791" s="319"/>
      <c r="I791" s="319"/>
      <c r="J791" s="319"/>
      <c r="K791" s="319"/>
      <c r="L791" s="319"/>
      <c r="M791" s="319"/>
      <c r="N791" s="319"/>
      <c r="O791" s="319"/>
      <c r="P791" s="319"/>
      <c r="Q791" s="319"/>
      <c r="R791" s="319"/>
      <c r="S791" s="319"/>
      <c r="T791" s="319"/>
      <c r="U791" s="319"/>
      <c r="V791" s="319"/>
      <c r="W791" s="319"/>
    </row>
    <row r="792" spans="1:23" ht="13.2" hidden="1">
      <c r="A792" s="319"/>
      <c r="B792" s="319"/>
      <c r="C792" s="319"/>
      <c r="D792" s="319"/>
      <c r="E792" s="319"/>
      <c r="F792" s="319"/>
      <c r="G792" s="319"/>
      <c r="H792" s="319"/>
      <c r="I792" s="319"/>
      <c r="J792" s="319"/>
      <c r="K792" s="319"/>
      <c r="L792" s="319"/>
      <c r="M792" s="319"/>
      <c r="N792" s="319"/>
      <c r="O792" s="319"/>
      <c r="P792" s="319"/>
      <c r="Q792" s="319"/>
      <c r="R792" s="319"/>
      <c r="S792" s="319"/>
      <c r="T792" s="319"/>
      <c r="U792" s="319"/>
      <c r="V792" s="319"/>
      <c r="W792" s="319"/>
    </row>
    <row r="793" spans="1:23" ht="13.2" hidden="1">
      <c r="A793" s="319"/>
      <c r="B793" s="319" t="s">
        <v>3647</v>
      </c>
      <c r="C793" s="319"/>
      <c r="D793" s="319"/>
      <c r="E793" s="319" t="str">
        <f>Language!C2228</f>
        <v>L/s</v>
      </c>
      <c r="F793" s="319">
        <v>1</v>
      </c>
      <c r="G793" s="319"/>
      <c r="H793" s="319"/>
      <c r="I793" s="319"/>
      <c r="J793" s="319"/>
      <c r="K793" s="319"/>
      <c r="L793" s="319"/>
      <c r="M793" s="319"/>
      <c r="N793" s="319"/>
      <c r="O793" s="319"/>
      <c r="P793" s="319"/>
      <c r="Q793" s="319"/>
      <c r="R793" s="319"/>
      <c r="S793" s="319"/>
      <c r="T793" s="319"/>
      <c r="U793" s="319"/>
      <c r="V793" s="319"/>
      <c r="W793" s="319"/>
    </row>
    <row r="794" spans="1:23" ht="13.2" hidden="1">
      <c r="A794" s="319"/>
      <c r="B794" s="319"/>
      <c r="C794" s="319"/>
      <c r="D794" s="319"/>
      <c r="E794" s="319" t="str">
        <f>Language!C2227</f>
        <v>L/min</v>
      </c>
      <c r="F794" s="319">
        <v>60</v>
      </c>
      <c r="G794" s="319"/>
      <c r="H794" s="319"/>
      <c r="I794" s="319"/>
      <c r="J794" s="319"/>
      <c r="K794" s="319"/>
      <c r="L794" s="319"/>
      <c r="M794" s="319"/>
      <c r="N794" s="319"/>
      <c r="O794" s="319"/>
      <c r="P794" s="319"/>
      <c r="Q794" s="319"/>
      <c r="R794" s="319"/>
      <c r="S794" s="319"/>
      <c r="T794" s="319"/>
      <c r="U794" s="319"/>
      <c r="V794" s="319"/>
      <c r="W794" s="319"/>
    </row>
    <row r="795" spans="1:23" ht="13.2" hidden="1">
      <c r="A795" s="319"/>
      <c r="B795" s="319"/>
      <c r="C795" s="319"/>
      <c r="D795" s="319"/>
      <c r="E795" s="319" t="str">
        <f>Language!C2223</f>
        <v>L/d</v>
      </c>
      <c r="F795" s="319">
        <v>86400</v>
      </c>
      <c r="G795" s="319"/>
      <c r="H795" s="319"/>
      <c r="I795" s="319"/>
      <c r="J795" s="319"/>
      <c r="K795" s="319"/>
      <c r="L795" s="319"/>
      <c r="M795" s="319"/>
      <c r="N795" s="319"/>
      <c r="O795" s="319"/>
      <c r="P795" s="319"/>
      <c r="Q795" s="319"/>
      <c r="R795" s="319"/>
      <c r="S795" s="319"/>
      <c r="T795" s="319"/>
      <c r="U795" s="319"/>
      <c r="V795" s="319"/>
      <c r="W795" s="319"/>
    </row>
    <row r="796" spans="1:23" ht="13.2" hidden="1">
      <c r="A796" s="319"/>
      <c r="B796" s="319"/>
      <c r="C796" s="319"/>
      <c r="D796" s="319"/>
      <c r="E796" s="319" t="str">
        <f>Language!C2238</f>
        <v>m³/s</v>
      </c>
      <c r="F796" s="556">
        <v>1E-3</v>
      </c>
      <c r="G796" s="319"/>
      <c r="H796" s="319"/>
      <c r="I796" s="319"/>
      <c r="J796" s="319"/>
      <c r="K796" s="319"/>
      <c r="L796" s="319"/>
      <c r="M796" s="319"/>
      <c r="N796" s="319"/>
      <c r="O796" s="319"/>
      <c r="P796" s="319"/>
      <c r="Q796" s="319"/>
      <c r="R796" s="319"/>
      <c r="S796" s="319"/>
      <c r="T796" s="319"/>
      <c r="U796" s="319"/>
      <c r="V796" s="319"/>
      <c r="W796" s="319"/>
    </row>
    <row r="797" spans="1:23" ht="13.2" hidden="1">
      <c r="A797" s="319"/>
      <c r="B797" s="319"/>
      <c r="C797" s="319"/>
      <c r="D797" s="319"/>
      <c r="E797" s="319" t="str">
        <f>Language!C2234</f>
        <v>m³/d</v>
      </c>
      <c r="F797" s="556">
        <v>86.4</v>
      </c>
      <c r="G797" s="319"/>
      <c r="H797" s="319"/>
      <c r="I797" s="319"/>
      <c r="J797" s="319"/>
      <c r="K797" s="319"/>
      <c r="L797" s="319"/>
      <c r="M797" s="319"/>
      <c r="N797" s="319"/>
      <c r="O797" s="319"/>
      <c r="P797" s="319"/>
      <c r="Q797" s="319"/>
      <c r="R797" s="319"/>
      <c r="S797" s="319"/>
      <c r="T797" s="319"/>
      <c r="U797" s="319"/>
      <c r="V797" s="319"/>
      <c r="W797" s="319"/>
    </row>
    <row r="798" spans="1:23" ht="13.2" hidden="1">
      <c r="A798" s="319"/>
      <c r="B798" s="319"/>
      <c r="C798" s="319"/>
      <c r="D798" s="319"/>
      <c r="E798" s="319" t="str">
        <f>Language!C1376</f>
        <v>m³/h</v>
      </c>
      <c r="F798" s="556">
        <v>3.6</v>
      </c>
      <c r="G798" s="319"/>
      <c r="H798" s="319"/>
      <c r="I798" s="319"/>
      <c r="J798" s="319"/>
      <c r="K798" s="319"/>
      <c r="L798" s="319"/>
      <c r="M798" s="319"/>
      <c r="N798" s="319"/>
      <c r="O798" s="319"/>
      <c r="P798" s="319"/>
      <c r="Q798" s="319"/>
      <c r="R798" s="319"/>
      <c r="S798" s="319"/>
      <c r="T798" s="319"/>
      <c r="U798" s="319"/>
      <c r="V798" s="319"/>
      <c r="W798" s="319"/>
    </row>
    <row r="799" spans="1:23" ht="13.2" hidden="1">
      <c r="A799" s="319"/>
      <c r="B799" s="556"/>
      <c r="C799" s="319"/>
      <c r="D799" s="319"/>
      <c r="E799" s="319" t="str">
        <f>Language!C2204</f>
        <v>pé³/s</v>
      </c>
      <c r="F799" s="556">
        <f>F783</f>
        <v>3.53146667214886E-2</v>
      </c>
      <c r="G799" s="319"/>
      <c r="H799" s="319"/>
      <c r="I799" s="319"/>
      <c r="J799" s="319"/>
      <c r="K799" s="319"/>
      <c r="L799" s="319"/>
      <c r="M799" s="319"/>
      <c r="N799" s="319"/>
      <c r="O799" s="319"/>
      <c r="P799" s="319"/>
      <c r="Q799" s="319"/>
      <c r="R799" s="319"/>
      <c r="S799" s="319"/>
      <c r="T799" s="319"/>
      <c r="U799" s="319"/>
      <c r="V799" s="319"/>
      <c r="W799" s="319"/>
    </row>
    <row r="800" spans="1:23" ht="13.2" hidden="1">
      <c r="A800" s="319"/>
      <c r="B800" s="556"/>
      <c r="C800" s="319"/>
      <c r="D800" s="319"/>
      <c r="E800" s="319" t="str">
        <f>Language!C2195</f>
        <v>pcm</v>
      </c>
      <c r="F800" s="556">
        <f>F799*60</f>
        <v>2.1188800032893158</v>
      </c>
      <c r="G800" s="319"/>
      <c r="H800" s="319"/>
      <c r="I800" s="319"/>
      <c r="J800" s="319"/>
      <c r="K800" s="319"/>
      <c r="L800" s="319"/>
      <c r="M800" s="319"/>
      <c r="N800" s="319"/>
      <c r="O800" s="319"/>
      <c r="P800" s="319"/>
      <c r="Q800" s="319"/>
      <c r="R800" s="319"/>
      <c r="S800" s="319"/>
      <c r="T800" s="319"/>
      <c r="U800" s="319"/>
      <c r="V800" s="319"/>
      <c r="W800" s="319"/>
    </row>
    <row r="801" spans="1:23" ht="13.2" hidden="1">
      <c r="A801" s="319"/>
      <c r="B801" s="556"/>
      <c r="C801" s="319"/>
      <c r="D801" s="319"/>
      <c r="E801" s="319" t="str">
        <f>S410</f>
        <v>pe³/h</v>
      </c>
      <c r="F801" s="319">
        <f>F800*60</f>
        <v>127.13280019735895</v>
      </c>
      <c r="G801" s="319"/>
      <c r="H801" s="319"/>
      <c r="I801" s="319"/>
      <c r="J801" s="319"/>
      <c r="K801" s="319"/>
      <c r="L801" s="319"/>
      <c r="M801" s="319"/>
      <c r="N801" s="319"/>
      <c r="O801" s="319"/>
      <c r="P801" s="319"/>
      <c r="Q801" s="319"/>
      <c r="R801" s="319"/>
      <c r="S801" s="319"/>
      <c r="T801" s="319"/>
      <c r="U801" s="319"/>
      <c r="V801" s="319"/>
      <c r="W801" s="319"/>
    </row>
    <row r="802" spans="1:23" ht="13.2" hidden="1">
      <c r="A802" s="319"/>
      <c r="B802" s="556"/>
      <c r="C802" s="319"/>
      <c r="D802" s="319"/>
      <c r="E802" s="319" t="str">
        <f>Language!C2202</f>
        <v>pé³/d</v>
      </c>
      <c r="F802" s="556">
        <f>F783*86400</f>
        <v>3051.1872047366151</v>
      </c>
      <c r="G802" s="319"/>
      <c r="H802" s="319"/>
      <c r="I802" s="319"/>
      <c r="J802" s="319"/>
      <c r="K802" s="319"/>
      <c r="L802" s="319"/>
      <c r="M802" s="319"/>
      <c r="N802" s="319"/>
      <c r="O802" s="319"/>
      <c r="P802" s="319"/>
      <c r="Q802" s="319"/>
      <c r="R802" s="319"/>
      <c r="S802" s="319"/>
      <c r="T802" s="319"/>
      <c r="U802" s="319"/>
      <c r="V802" s="319"/>
      <c r="W802" s="319"/>
    </row>
    <row r="803" spans="1:23" ht="13.2" hidden="1">
      <c r="A803" s="319"/>
      <c r="B803" s="556"/>
      <c r="C803" s="319"/>
      <c r="D803" s="319"/>
      <c r="E803" s="319" t="str">
        <f>Language!C2383</f>
        <v>gal/min</v>
      </c>
      <c r="F803" s="319">
        <f>F781*60</f>
        <v>15.850323141488907</v>
      </c>
      <c r="G803" s="319"/>
      <c r="H803" s="319"/>
      <c r="I803" s="319"/>
      <c r="J803" s="319"/>
      <c r="K803" s="319"/>
      <c r="L803" s="319"/>
      <c r="M803" s="319"/>
      <c r="N803" s="319"/>
      <c r="O803" s="319"/>
      <c r="P803" s="319"/>
      <c r="Q803" s="319"/>
      <c r="R803" s="319"/>
      <c r="S803" s="319"/>
      <c r="T803" s="319"/>
      <c r="U803" s="319"/>
      <c r="V803" s="319"/>
      <c r="W803" s="319"/>
    </row>
    <row r="804" spans="1:23" ht="13.2" hidden="1">
      <c r="A804" s="319"/>
      <c r="B804" s="319" t="s">
        <v>1876</v>
      </c>
      <c r="C804" s="319"/>
      <c r="D804" s="319"/>
      <c r="E804" s="319" t="str">
        <f>Language!C2623</f>
        <v>kg/m³</v>
      </c>
      <c r="F804" s="319">
        <v>1</v>
      </c>
      <c r="G804" s="319"/>
      <c r="H804" s="319"/>
      <c r="I804" s="319"/>
      <c r="J804" s="319"/>
      <c r="K804" s="319"/>
      <c r="L804" s="319"/>
      <c r="M804" s="319"/>
      <c r="N804" s="319"/>
      <c r="O804" s="319"/>
      <c r="P804" s="319"/>
      <c r="Q804" s="319"/>
      <c r="R804" s="319"/>
      <c r="S804" s="319"/>
      <c r="T804" s="319"/>
      <c r="U804" s="319"/>
      <c r="V804" s="319"/>
      <c r="W804" s="319"/>
    </row>
    <row r="805" spans="1:23" ht="13.2" hidden="1">
      <c r="A805" s="319"/>
      <c r="B805" s="319"/>
      <c r="C805" s="319"/>
      <c r="D805" s="319"/>
      <c r="E805" s="319" t="str">
        <f>Language!C2624</f>
        <v>lb/pe³</v>
      </c>
      <c r="F805" s="319">
        <f>F719/F783/1000</f>
        <v>6.2427960576144595E-2</v>
      </c>
      <c r="G805" s="319"/>
      <c r="H805" s="319"/>
      <c r="I805" s="319"/>
      <c r="J805" s="319"/>
      <c r="K805" s="319"/>
      <c r="L805" s="319"/>
      <c r="M805" s="319"/>
      <c r="N805" s="319"/>
      <c r="O805" s="319"/>
      <c r="P805" s="319"/>
      <c r="Q805" s="319"/>
      <c r="R805" s="319"/>
      <c r="S805" s="319"/>
      <c r="T805" s="319"/>
      <c r="U805" s="319"/>
      <c r="V805" s="319"/>
      <c r="W805" s="319"/>
    </row>
    <row r="806" spans="1:23" ht="13.2" hidden="1">
      <c r="A806" s="319"/>
      <c r="B806" s="319"/>
      <c r="C806" s="319"/>
      <c r="D806" s="319"/>
      <c r="E806" s="319"/>
      <c r="F806" s="319"/>
      <c r="G806" s="319"/>
      <c r="H806" s="319"/>
      <c r="I806" s="319"/>
      <c r="J806" s="319"/>
      <c r="K806" s="319"/>
      <c r="L806" s="319"/>
      <c r="M806" s="319"/>
      <c r="N806" s="319"/>
      <c r="O806" s="319"/>
      <c r="P806" s="319"/>
      <c r="Q806" s="319"/>
      <c r="R806" s="319"/>
      <c r="S806" s="319"/>
      <c r="T806" s="319"/>
      <c r="U806" s="319"/>
      <c r="V806" s="319"/>
      <c r="W806" s="319"/>
    </row>
    <row r="807" spans="1:23" ht="13.2" hidden="1">
      <c r="A807" s="319"/>
      <c r="B807" s="319" t="s">
        <v>4579</v>
      </c>
      <c r="C807" s="319"/>
      <c r="D807" s="319"/>
      <c r="E807" s="319" t="str">
        <f>T75</f>
        <v>m² - ºC/W</v>
      </c>
      <c r="F807" s="319">
        <v>1</v>
      </c>
      <c r="G807" s="319"/>
      <c r="H807" s="319"/>
      <c r="I807" s="319"/>
      <c r="J807" s="319"/>
      <c r="K807" s="319"/>
      <c r="L807" s="319"/>
      <c r="M807" s="319"/>
      <c r="N807" s="319"/>
      <c r="O807" s="319"/>
      <c r="P807" s="319"/>
      <c r="Q807" s="319"/>
      <c r="R807" s="319"/>
      <c r="S807" s="319"/>
      <c r="T807" s="319"/>
      <c r="U807" s="319"/>
      <c r="V807" s="319"/>
      <c r="W807" s="319"/>
    </row>
    <row r="808" spans="1:23" ht="13.2" hidden="1">
      <c r="A808" s="319"/>
      <c r="B808" s="319"/>
      <c r="C808" s="319"/>
      <c r="D808" s="319"/>
      <c r="E808" s="319" t="str">
        <f>T76</f>
        <v>pé² - ºF/(Btu/h)</v>
      </c>
      <c r="F808" s="319">
        <f>1/U76</f>
        <v>5.6782633411134871</v>
      </c>
      <c r="G808" s="319"/>
      <c r="H808" s="319"/>
      <c r="I808" s="319"/>
      <c r="J808" s="319"/>
      <c r="K808" s="319"/>
      <c r="L808" s="319"/>
      <c r="M808" s="319"/>
      <c r="N808" s="319"/>
      <c r="O808" s="319"/>
      <c r="P808" s="319"/>
      <c r="Q808" s="319"/>
      <c r="R808" s="319"/>
      <c r="S808" s="319"/>
      <c r="T808" s="319"/>
      <c r="U808" s="319"/>
      <c r="V808" s="319"/>
      <c r="W808" s="319"/>
    </row>
    <row r="809" spans="1:23" ht="13.2" hidden="1">
      <c r="A809" s="319"/>
      <c r="B809" s="319"/>
      <c r="C809" s="319"/>
      <c r="D809" s="319"/>
      <c r="E809" s="556"/>
      <c r="F809" s="319"/>
      <c r="G809" s="319"/>
      <c r="H809" s="319"/>
      <c r="I809" s="319"/>
      <c r="J809" s="319"/>
      <c r="K809" s="319"/>
      <c r="L809" s="319"/>
      <c r="M809" s="319"/>
      <c r="N809" s="319"/>
      <c r="O809" s="319"/>
      <c r="P809" s="319"/>
      <c r="Q809" s="319"/>
      <c r="R809" s="319"/>
      <c r="S809" s="319"/>
      <c r="T809" s="319"/>
      <c r="U809" s="319"/>
      <c r="V809" s="319"/>
      <c r="W809" s="319"/>
    </row>
    <row r="810" spans="1:23" ht="13.2" hidden="1">
      <c r="A810" s="319"/>
      <c r="B810" s="319" t="s">
        <v>4509</v>
      </c>
      <c r="C810" s="319"/>
      <c r="D810" s="319"/>
      <c r="E810" s="319" t="str">
        <f>T77</f>
        <v>(W/m²)/°C</v>
      </c>
      <c r="F810" s="319">
        <v>1</v>
      </c>
      <c r="G810" s="319"/>
      <c r="H810" s="319"/>
      <c r="I810" s="319"/>
      <c r="J810" s="319"/>
      <c r="K810" s="319"/>
      <c r="L810" s="319"/>
      <c r="M810" s="319"/>
      <c r="N810" s="319"/>
      <c r="O810" s="319"/>
      <c r="P810" s="319"/>
      <c r="Q810" s="319"/>
      <c r="R810" s="319"/>
      <c r="S810" s="319"/>
      <c r="T810" s="319"/>
      <c r="U810" s="319"/>
      <c r="V810" s="319"/>
      <c r="W810" s="319"/>
    </row>
    <row r="811" spans="1:23" ht="13.2" hidden="1">
      <c r="A811" s="319"/>
      <c r="B811" s="556"/>
      <c r="C811" s="319"/>
      <c r="D811" s="319"/>
      <c r="E811" s="319" t="str">
        <f>T78</f>
        <v>(Btu/h)/pé²/°F</v>
      </c>
      <c r="F811" s="319">
        <f>U76</f>
        <v>0.17611018368230585</v>
      </c>
      <c r="G811" s="319"/>
      <c r="H811" s="319"/>
      <c r="I811" s="319"/>
      <c r="J811" s="319"/>
      <c r="K811" s="319"/>
      <c r="L811" s="319"/>
      <c r="M811" s="319"/>
      <c r="N811" s="319"/>
      <c r="O811" s="319"/>
      <c r="P811" s="319"/>
      <c r="Q811" s="319"/>
      <c r="R811" s="319"/>
      <c r="S811" s="319"/>
      <c r="T811" s="319"/>
      <c r="U811" s="319"/>
      <c r="V811" s="319"/>
      <c r="W811" s="319"/>
    </row>
    <row r="812" spans="1:23" ht="13.2" hidden="1">
      <c r="A812" s="319"/>
      <c r="B812" s="556"/>
      <c r="C812" s="556"/>
      <c r="D812" s="556"/>
      <c r="E812" s="556"/>
      <c r="F812" s="556"/>
      <c r="G812" s="319"/>
      <c r="H812" s="319"/>
      <c r="I812" s="319"/>
      <c r="J812" s="319"/>
      <c r="K812" s="319"/>
      <c r="L812" s="319"/>
      <c r="M812" s="319"/>
      <c r="N812" s="319"/>
      <c r="O812" s="319"/>
      <c r="P812" s="319"/>
      <c r="Q812" s="319"/>
      <c r="R812" s="319"/>
      <c r="S812" s="319"/>
      <c r="T812" s="319"/>
      <c r="U812" s="319"/>
      <c r="V812" s="319"/>
      <c r="W812" s="319"/>
    </row>
    <row r="813" spans="1:23" ht="13.2" hidden="1">
      <c r="A813" s="319"/>
      <c r="B813" s="319"/>
      <c r="C813" s="319"/>
      <c r="D813" s="319"/>
      <c r="E813" s="319"/>
      <c r="F813" s="319"/>
      <c r="G813" s="319"/>
      <c r="H813" s="319"/>
      <c r="I813" s="319"/>
      <c r="J813" s="319"/>
      <c r="K813" s="319"/>
      <c r="L813" s="319"/>
      <c r="M813" s="319"/>
      <c r="N813" s="319"/>
      <c r="O813" s="319"/>
      <c r="P813" s="319"/>
      <c r="Q813" s="319"/>
      <c r="R813" s="319"/>
      <c r="S813" s="319"/>
      <c r="T813" s="319"/>
      <c r="U813" s="319"/>
      <c r="V813" s="319"/>
      <c r="W813" s="319"/>
    </row>
    <row r="814" spans="1:23" ht="13.2" hidden="1">
      <c r="A814" s="319"/>
      <c r="B814" s="319"/>
      <c r="C814" s="319"/>
      <c r="D814" s="319"/>
      <c r="E814" s="319"/>
      <c r="F814" s="319"/>
      <c r="G814" s="319"/>
      <c r="H814" s="319"/>
      <c r="I814" s="319"/>
      <c r="J814" s="319"/>
      <c r="K814" s="319"/>
      <c r="L814" s="319"/>
      <c r="M814" s="319"/>
      <c r="N814" s="319"/>
      <c r="O814" s="319"/>
      <c r="P814" s="319"/>
      <c r="Q814" s="319"/>
      <c r="R814" s="319"/>
      <c r="S814" s="319"/>
      <c r="T814" s="319"/>
      <c r="U814" s="319"/>
      <c r="V814" s="319"/>
      <c r="W814" s="319"/>
    </row>
    <row r="815" spans="1:23" ht="13.2" hidden="1">
      <c r="A815" s="319"/>
      <c r="B815" s="319"/>
      <c r="C815" s="319"/>
      <c r="D815" s="319"/>
      <c r="E815" s="319"/>
      <c r="F815" s="319"/>
      <c r="G815" s="319"/>
      <c r="H815" s="319"/>
      <c r="I815" s="319"/>
      <c r="J815" s="319"/>
      <c r="K815" s="319"/>
      <c r="L815" s="319"/>
      <c r="M815" s="319"/>
      <c r="N815" s="319"/>
      <c r="O815" s="319"/>
      <c r="P815" s="319"/>
      <c r="Q815" s="319"/>
      <c r="R815" s="319"/>
      <c r="S815" s="319"/>
      <c r="T815" s="319"/>
      <c r="U815" s="319"/>
      <c r="V815" s="319"/>
      <c r="W815" s="319"/>
    </row>
    <row r="816" spans="1:23" ht="13.2" hidden="1">
      <c r="A816" s="319"/>
      <c r="B816" s="319"/>
      <c r="C816" s="319"/>
      <c r="D816" s="319"/>
      <c r="E816" s="319"/>
      <c r="F816" s="319"/>
      <c r="G816" s="319"/>
      <c r="H816" s="319"/>
      <c r="I816" s="319"/>
      <c r="J816" s="319"/>
      <c r="K816" s="319"/>
      <c r="L816" s="319"/>
      <c r="M816" s="319"/>
      <c r="N816" s="319"/>
      <c r="O816" s="319"/>
      <c r="P816" s="319"/>
      <c r="Q816" s="319"/>
      <c r="R816" s="319"/>
      <c r="S816" s="319"/>
      <c r="T816" s="319"/>
      <c r="U816" s="319"/>
      <c r="V816" s="319"/>
      <c r="W816" s="319"/>
    </row>
    <row r="817" spans="1:23" ht="38.25" hidden="1" customHeight="1">
      <c r="A817" s="319"/>
      <c r="B817" s="319"/>
      <c r="C817" s="319"/>
      <c r="D817" s="319"/>
      <c r="E817" s="319"/>
      <c r="F817" s="319"/>
      <c r="G817" s="319"/>
      <c r="H817" s="319"/>
      <c r="I817" s="319"/>
      <c r="J817" s="319"/>
      <c r="K817" s="319"/>
      <c r="L817" s="319"/>
      <c r="M817" s="319"/>
      <c r="N817" s="319"/>
      <c r="O817" s="319"/>
      <c r="P817" s="319"/>
      <c r="Q817" s="319"/>
      <c r="R817" s="319"/>
      <c r="S817" s="319"/>
      <c r="T817" s="319"/>
      <c r="U817" s="319"/>
      <c r="V817" s="319"/>
      <c r="W817" s="319"/>
    </row>
    <row r="818" spans="1:23" ht="13.2" hidden="1">
      <c r="A818" s="319"/>
      <c r="B818" s="319"/>
      <c r="C818" s="319"/>
      <c r="D818" s="319"/>
      <c r="E818" s="319"/>
      <c r="F818" s="319"/>
      <c r="G818" s="319"/>
      <c r="H818" s="319"/>
      <c r="I818" s="319"/>
      <c r="J818" s="319"/>
      <c r="K818" s="319"/>
      <c r="L818" s="319"/>
      <c r="M818" s="319"/>
      <c r="N818" s="319"/>
      <c r="O818" s="319"/>
      <c r="P818" s="319"/>
      <c r="Q818" s="319"/>
      <c r="R818" s="319"/>
      <c r="S818" s="319"/>
      <c r="T818" s="319"/>
      <c r="U818" s="319"/>
      <c r="V818" s="319"/>
      <c r="W818" s="319"/>
    </row>
    <row r="819" spans="1:23" ht="13.2" hidden="1">
      <c r="A819" s="319"/>
      <c r="B819" s="319"/>
      <c r="C819" s="319"/>
      <c r="D819" s="319"/>
      <c r="E819" s="319"/>
      <c r="F819" s="319"/>
      <c r="G819" s="319"/>
      <c r="H819" s="319"/>
      <c r="I819" s="319"/>
      <c r="J819" s="319"/>
      <c r="K819" s="319"/>
      <c r="L819" s="319"/>
      <c r="M819" s="319"/>
      <c r="N819" s="319"/>
      <c r="O819" s="319"/>
      <c r="P819" s="319"/>
      <c r="Q819" s="319"/>
      <c r="R819" s="319"/>
      <c r="S819" s="319"/>
      <c r="T819" s="319"/>
      <c r="U819" s="319"/>
      <c r="V819" s="319"/>
      <c r="W819" s="319"/>
    </row>
    <row r="820" spans="1:23" ht="13.2" hidden="1">
      <c r="A820" s="319"/>
      <c r="B820" s="319"/>
      <c r="C820" s="319"/>
      <c r="D820" s="319"/>
      <c r="E820" s="319"/>
      <c r="F820" s="319"/>
      <c r="G820" s="319"/>
      <c r="H820" s="319"/>
      <c r="I820" s="319"/>
      <c r="J820" s="319"/>
      <c r="K820" s="319"/>
      <c r="L820" s="319"/>
      <c r="M820" s="319"/>
      <c r="N820" s="319"/>
      <c r="O820" s="319"/>
      <c r="P820" s="319"/>
      <c r="Q820" s="319"/>
      <c r="R820" s="319"/>
      <c r="S820" s="319"/>
      <c r="T820" s="319"/>
      <c r="U820" s="319"/>
      <c r="V820" s="319"/>
      <c r="W820" s="319"/>
    </row>
    <row r="821" spans="1:23" ht="13.2" hidden="1">
      <c r="A821" s="319"/>
      <c r="B821" s="319"/>
      <c r="C821" s="319"/>
      <c r="D821" s="319"/>
      <c r="E821" s="319"/>
      <c r="F821" s="319"/>
      <c r="G821" s="319"/>
      <c r="H821" s="319"/>
      <c r="I821" s="319"/>
      <c r="J821" s="319"/>
      <c r="K821" s="319"/>
      <c r="L821" s="319"/>
      <c r="M821" s="319"/>
      <c r="N821" s="319"/>
      <c r="O821" s="319"/>
      <c r="P821" s="319"/>
      <c r="Q821" s="319"/>
      <c r="R821" s="319"/>
      <c r="S821" s="319"/>
      <c r="T821" s="319"/>
      <c r="U821" s="319"/>
      <c r="V821" s="319"/>
      <c r="W821" s="319"/>
    </row>
    <row r="822" spans="1:23" ht="13.2" hidden="1">
      <c r="A822" s="319"/>
      <c r="B822" s="319"/>
      <c r="C822" s="319"/>
      <c r="D822" s="319"/>
      <c r="E822" s="319"/>
      <c r="F822" s="319"/>
      <c r="G822" s="319"/>
      <c r="H822" s="319"/>
      <c r="I822" s="319"/>
      <c r="J822" s="319"/>
      <c r="K822" s="319"/>
      <c r="L822" s="319"/>
      <c r="M822" s="319"/>
      <c r="N822" s="319"/>
      <c r="O822" s="319"/>
      <c r="P822" s="319"/>
      <c r="Q822" s="319"/>
      <c r="R822" s="319"/>
      <c r="S822" s="319"/>
      <c r="T822" s="319"/>
      <c r="U822" s="319"/>
      <c r="V822" s="319"/>
      <c r="W822" s="319"/>
    </row>
    <row r="823" spans="1:23" ht="38.25" hidden="1" customHeight="1">
      <c r="A823" s="319"/>
      <c r="B823" s="319"/>
      <c r="C823" s="319"/>
      <c r="D823" s="319"/>
      <c r="E823" s="319"/>
      <c r="F823" s="319"/>
      <c r="G823" s="319"/>
      <c r="H823" s="319"/>
      <c r="I823" s="319"/>
      <c r="J823" s="319"/>
      <c r="K823" s="319"/>
      <c r="L823" s="319"/>
      <c r="M823" s="319"/>
      <c r="N823" s="319"/>
      <c r="O823" s="319"/>
      <c r="P823" s="319"/>
      <c r="Q823" s="319"/>
      <c r="R823" s="319"/>
      <c r="S823" s="319"/>
      <c r="T823" s="319"/>
      <c r="U823" s="319"/>
      <c r="V823" s="319"/>
      <c r="W823" s="319"/>
    </row>
    <row r="824" spans="1:23" ht="13.2" hidden="1">
      <c r="A824" s="319"/>
      <c r="B824" s="319"/>
      <c r="C824" s="319"/>
      <c r="D824" s="319"/>
      <c r="E824" s="319"/>
      <c r="F824" s="319"/>
      <c r="G824" s="319"/>
      <c r="H824" s="319"/>
      <c r="I824" s="319"/>
      <c r="J824" s="319"/>
      <c r="K824" s="319"/>
      <c r="L824" s="319"/>
      <c r="M824" s="319"/>
      <c r="N824" s="319"/>
      <c r="O824" s="319"/>
      <c r="P824" s="319"/>
      <c r="Q824" s="319"/>
      <c r="R824" s="319"/>
      <c r="S824" s="319"/>
      <c r="T824" s="319"/>
      <c r="U824" s="319"/>
      <c r="V824" s="319"/>
      <c r="W824" s="319"/>
    </row>
    <row r="825" spans="1:23" ht="13.2" hidden="1">
      <c r="A825" s="319"/>
      <c r="B825" s="319"/>
      <c r="C825" s="319"/>
      <c r="D825" s="319"/>
      <c r="E825" s="319"/>
      <c r="F825" s="319"/>
      <c r="G825" s="319"/>
      <c r="H825" s="319"/>
      <c r="I825" s="319"/>
      <c r="J825" s="319"/>
      <c r="K825" s="319"/>
      <c r="L825" s="319"/>
      <c r="M825" s="319"/>
      <c r="N825" s="319"/>
      <c r="O825" s="319"/>
      <c r="P825" s="319"/>
      <c r="Q825" s="319"/>
      <c r="R825" s="319"/>
      <c r="S825" s="319"/>
      <c r="T825" s="319"/>
      <c r="U825" s="319"/>
      <c r="V825" s="319"/>
      <c r="W825" s="319"/>
    </row>
    <row r="826" spans="1:23" ht="13.2" hidden="1">
      <c r="A826" s="319"/>
      <c r="B826" s="319"/>
      <c r="C826" s="319"/>
      <c r="D826" s="319"/>
      <c r="E826" s="319"/>
      <c r="F826" s="319"/>
      <c r="G826" s="319"/>
      <c r="H826" s="319"/>
      <c r="I826" s="319"/>
      <c r="J826" s="319"/>
      <c r="K826" s="319"/>
      <c r="L826" s="319"/>
      <c r="M826" s="319"/>
      <c r="N826" s="319"/>
      <c r="O826" s="319"/>
      <c r="P826" s="319"/>
      <c r="Q826" s="319"/>
      <c r="R826" s="319"/>
      <c r="S826" s="319"/>
      <c r="T826" s="319"/>
      <c r="U826" s="319"/>
      <c r="V826" s="319"/>
      <c r="W826" s="319"/>
    </row>
    <row r="827" spans="1:23" ht="13.2" hidden="1">
      <c r="A827" s="319"/>
      <c r="B827" s="319"/>
      <c r="C827" s="319"/>
      <c r="D827" s="319"/>
      <c r="E827" s="319"/>
      <c r="F827" s="319"/>
      <c r="G827" s="319"/>
      <c r="H827" s="319"/>
      <c r="I827" s="319"/>
      <c r="J827" s="319"/>
      <c r="K827" s="319"/>
      <c r="L827" s="319"/>
      <c r="M827" s="319"/>
      <c r="N827" s="319"/>
      <c r="O827" s="319"/>
      <c r="P827" s="319"/>
      <c r="Q827" s="319"/>
      <c r="R827" s="319"/>
      <c r="S827" s="319"/>
      <c r="T827" s="319"/>
      <c r="U827" s="319"/>
      <c r="V827" s="319"/>
      <c r="W827" s="319"/>
    </row>
    <row r="828" spans="1:23" ht="38.25" hidden="1" customHeight="1">
      <c r="A828" s="319"/>
      <c r="B828" s="319"/>
      <c r="C828" s="319"/>
      <c r="D828" s="319"/>
      <c r="E828" s="319"/>
      <c r="F828" s="319"/>
      <c r="G828" s="319"/>
      <c r="H828" s="319"/>
      <c r="I828" s="319"/>
      <c r="J828" s="319"/>
      <c r="K828" s="319"/>
      <c r="L828" s="319"/>
      <c r="M828" s="319"/>
      <c r="N828" s="319"/>
      <c r="O828" s="319"/>
      <c r="P828" s="319"/>
      <c r="Q828" s="319"/>
      <c r="R828" s="319"/>
      <c r="S828" s="319"/>
      <c r="T828" s="319"/>
      <c r="U828" s="319"/>
      <c r="V828" s="319"/>
      <c r="W828" s="319"/>
    </row>
    <row r="829" spans="1:23" ht="13.2" hidden="1">
      <c r="A829" s="319"/>
      <c r="B829" s="319"/>
      <c r="C829" s="319"/>
      <c r="D829" s="319" t="s">
        <v>1214</v>
      </c>
      <c r="E829" s="319">
        <v>4.1867999999999999</v>
      </c>
      <c r="F829" s="319" t="s">
        <v>1215</v>
      </c>
      <c r="G829" s="319" t="s">
        <v>5854</v>
      </c>
      <c r="H829" s="319"/>
      <c r="I829" s="319"/>
      <c r="J829" s="319"/>
      <c r="K829" s="319"/>
      <c r="L829" s="319"/>
      <c r="M829" s="319"/>
      <c r="N829" s="319"/>
      <c r="O829" s="319"/>
      <c r="P829" s="319"/>
      <c r="Q829" s="319"/>
      <c r="R829" s="319"/>
      <c r="S829" s="319"/>
      <c r="T829" s="319"/>
      <c r="U829" s="319"/>
      <c r="V829" s="319"/>
      <c r="W829" s="319"/>
    </row>
    <row r="830" spans="1:23" ht="13.2" hidden="1">
      <c r="A830" s="319"/>
      <c r="B830" s="319"/>
      <c r="C830" s="319"/>
      <c r="D830" s="319" t="s">
        <v>3074</v>
      </c>
      <c r="E830" s="319">
        <v>9.8066352000000006</v>
      </c>
      <c r="F830" s="319" t="s">
        <v>1393</v>
      </c>
      <c r="G830" s="319" t="s">
        <v>3365</v>
      </c>
      <c r="H830" s="319"/>
      <c r="I830" s="319"/>
      <c r="J830" s="319"/>
      <c r="K830" s="319"/>
      <c r="L830" s="319"/>
      <c r="M830" s="319"/>
      <c r="N830" s="319"/>
      <c r="O830" s="319"/>
      <c r="P830" s="319"/>
      <c r="Q830" s="319"/>
      <c r="R830" s="319"/>
      <c r="S830" s="319"/>
      <c r="T830" s="319"/>
      <c r="U830" s="319"/>
      <c r="V830" s="319"/>
      <c r="W830" s="319"/>
    </row>
    <row r="831" spans="1:23" ht="13.2" hidden="1">
      <c r="A831" s="319"/>
      <c r="B831" s="319"/>
      <c r="C831" s="319"/>
      <c r="D831" s="319" t="s">
        <v>5670</v>
      </c>
      <c r="E831" s="319">
        <f>E832/E830*G722^2/G719</f>
        <v>14.695970954378822</v>
      </c>
      <c r="F831" s="319" t="s">
        <v>5672</v>
      </c>
      <c r="G831" s="319"/>
      <c r="H831" s="319"/>
      <c r="I831" s="319"/>
      <c r="J831" s="319"/>
      <c r="K831" s="319"/>
      <c r="L831" s="319"/>
      <c r="M831" s="319"/>
      <c r="N831" s="319"/>
      <c r="O831" s="319"/>
      <c r="P831" s="319"/>
      <c r="Q831" s="319"/>
      <c r="R831" s="319"/>
      <c r="S831" s="319"/>
      <c r="T831" s="319"/>
      <c r="U831" s="319"/>
      <c r="V831" s="319"/>
      <c r="W831" s="319"/>
    </row>
    <row r="832" spans="1:23" ht="13.2" hidden="1">
      <c r="A832" s="319"/>
      <c r="B832" s="319"/>
      <c r="C832" s="319"/>
      <c r="D832" s="319" t="s">
        <v>5670</v>
      </c>
      <c r="E832" s="319">
        <v>101325</v>
      </c>
      <c r="F832" s="319" t="s">
        <v>5671</v>
      </c>
      <c r="G832" s="319" t="s">
        <v>2190</v>
      </c>
      <c r="H832" s="319"/>
      <c r="I832" s="319"/>
      <c r="J832" s="319"/>
      <c r="K832" s="319"/>
      <c r="L832" s="319"/>
      <c r="M832" s="319"/>
      <c r="N832" s="319"/>
      <c r="O832" s="319"/>
      <c r="P832" s="319"/>
      <c r="Q832" s="319"/>
      <c r="R832" s="319"/>
      <c r="S832" s="319"/>
      <c r="T832" s="319"/>
      <c r="U832" s="319"/>
      <c r="V832" s="319"/>
      <c r="W832" s="319"/>
    </row>
    <row r="833" spans="1:23" ht="13.2" hidden="1">
      <c r="A833" s="319"/>
      <c r="B833" s="319"/>
      <c r="C833" s="319"/>
      <c r="D833" s="319" t="s">
        <v>5670</v>
      </c>
      <c r="E833" s="319">
        <v>760</v>
      </c>
      <c r="F833" s="319" t="s">
        <v>1807</v>
      </c>
      <c r="G833" s="319" t="s">
        <v>2190</v>
      </c>
      <c r="H833" s="319"/>
      <c r="I833" s="319"/>
      <c r="J833" s="319"/>
      <c r="K833" s="319"/>
      <c r="L833" s="319"/>
      <c r="M833" s="319"/>
      <c r="N833" s="319"/>
      <c r="O833" s="319"/>
      <c r="P833" s="319"/>
      <c r="Q833" s="319"/>
      <c r="R833" s="319"/>
      <c r="S833" s="319"/>
      <c r="T833" s="319"/>
      <c r="U833" s="319"/>
      <c r="V833" s="319"/>
      <c r="W833" s="319"/>
    </row>
    <row r="834" spans="1:23" ht="13.2" hidden="1">
      <c r="A834" s="319"/>
      <c r="B834" s="319"/>
      <c r="C834" s="319"/>
      <c r="D834" s="319" t="s">
        <v>5261</v>
      </c>
      <c r="E834" s="319"/>
      <c r="F834" s="319"/>
      <c r="G834" s="319"/>
      <c r="H834" s="319"/>
      <c r="I834" s="319"/>
      <c r="J834" s="319"/>
      <c r="K834" s="319"/>
      <c r="L834" s="319"/>
      <c r="M834" s="319"/>
      <c r="N834" s="319"/>
      <c r="O834" s="319"/>
      <c r="P834" s="319"/>
      <c r="Q834" s="319"/>
      <c r="R834" s="319"/>
      <c r="S834" s="319"/>
      <c r="T834" s="319"/>
      <c r="U834" s="319"/>
      <c r="V834" s="319"/>
      <c r="W834" s="319"/>
    </row>
    <row r="835" spans="1:23" ht="13.2" hidden="1">
      <c r="A835" s="319"/>
      <c r="B835" s="319"/>
      <c r="C835" s="319"/>
      <c r="D835" s="319"/>
      <c r="E835" s="319"/>
      <c r="F835" s="319"/>
      <c r="G835" s="319"/>
      <c r="H835" s="319"/>
      <c r="I835" s="319"/>
      <c r="J835" s="319"/>
      <c r="K835" s="319"/>
      <c r="L835" s="319"/>
      <c r="M835" s="319"/>
      <c r="N835" s="319"/>
      <c r="O835" s="319"/>
      <c r="P835" s="319"/>
      <c r="Q835" s="319"/>
      <c r="R835" s="319"/>
      <c r="S835" s="319"/>
      <c r="T835" s="319"/>
      <c r="U835" s="319"/>
      <c r="V835" s="319"/>
      <c r="W835" s="319"/>
    </row>
    <row r="836" spans="1:23" ht="38.25" hidden="1" customHeight="1">
      <c r="A836" s="319"/>
      <c r="B836" s="319"/>
      <c r="C836" s="319"/>
      <c r="D836" s="319"/>
      <c r="E836" s="319"/>
      <c r="F836" s="319"/>
      <c r="G836" s="319"/>
      <c r="H836" s="319"/>
      <c r="I836" s="319"/>
      <c r="J836" s="319"/>
      <c r="K836" s="319"/>
      <c r="L836" s="319"/>
      <c r="M836" s="319"/>
      <c r="N836" s="319"/>
      <c r="O836" s="319"/>
      <c r="P836" s="319"/>
      <c r="Q836" s="319"/>
      <c r="R836" s="319"/>
      <c r="S836" s="319"/>
      <c r="T836" s="319"/>
      <c r="U836" s="319"/>
      <c r="V836" s="319"/>
      <c r="W836" s="319"/>
    </row>
    <row r="837" spans="1:23" ht="13.2" hidden="1">
      <c r="A837" s="319"/>
      <c r="B837" s="319"/>
      <c r="C837" s="319"/>
      <c r="D837" s="319"/>
      <c r="E837" s="319"/>
      <c r="F837" s="319"/>
      <c r="G837" s="319"/>
      <c r="H837" s="319"/>
      <c r="I837" s="319"/>
      <c r="J837" s="319"/>
      <c r="K837" s="319"/>
      <c r="L837" s="319"/>
      <c r="M837" s="319"/>
      <c r="N837" s="319"/>
      <c r="O837" s="319"/>
      <c r="P837" s="319"/>
      <c r="Q837" s="319"/>
      <c r="R837" s="319"/>
      <c r="S837" s="319"/>
      <c r="T837" s="319"/>
      <c r="U837" s="319"/>
      <c r="V837" s="319"/>
      <c r="W837" s="319"/>
    </row>
    <row r="838" spans="1:23" ht="13.2" hidden="1">
      <c r="A838" s="319"/>
      <c r="B838" s="319"/>
      <c r="C838" s="319"/>
      <c r="D838" s="319"/>
      <c r="E838" s="319"/>
      <c r="F838" s="319"/>
      <c r="G838" s="319"/>
      <c r="H838" s="319"/>
      <c r="I838" s="319"/>
      <c r="J838" s="319"/>
      <c r="K838" s="319"/>
      <c r="L838" s="319"/>
      <c r="M838" s="319"/>
      <c r="N838" s="319"/>
      <c r="O838" s="319"/>
      <c r="P838" s="319"/>
      <c r="Q838" s="319"/>
      <c r="R838" s="319"/>
      <c r="S838" s="319"/>
      <c r="T838" s="319"/>
      <c r="U838" s="319"/>
      <c r="V838" s="319"/>
      <c r="W838" s="319"/>
    </row>
    <row r="839" spans="1:23" ht="13.2" hidden="1">
      <c r="A839" s="319"/>
      <c r="B839" s="319"/>
      <c r="C839" s="319"/>
      <c r="D839" s="319"/>
      <c r="E839" s="319"/>
      <c r="F839" s="319"/>
      <c r="G839" s="319"/>
      <c r="H839" s="319"/>
      <c r="I839" s="319"/>
      <c r="J839" s="319"/>
      <c r="K839" s="319"/>
      <c r="L839" s="319"/>
      <c r="M839" s="319"/>
      <c r="N839" s="319"/>
      <c r="O839" s="319"/>
      <c r="P839" s="319"/>
      <c r="Q839" s="319"/>
      <c r="R839" s="319"/>
      <c r="S839" s="319"/>
      <c r="T839" s="319"/>
      <c r="U839" s="319"/>
      <c r="V839" s="319"/>
      <c r="W839" s="319"/>
    </row>
    <row r="840" spans="1:23" ht="13.2" hidden="1">
      <c r="A840" s="319"/>
      <c r="B840" s="319" t="s">
        <v>1025</v>
      </c>
      <c r="C840" s="319" t="s">
        <v>4161</v>
      </c>
      <c r="D840" s="319" t="s">
        <v>1467</v>
      </c>
      <c r="E840" s="319"/>
      <c r="F840" s="319"/>
      <c r="G840" s="319"/>
      <c r="H840" s="319"/>
      <c r="I840" s="319"/>
      <c r="J840" s="319"/>
      <c r="K840" s="319"/>
      <c r="L840" s="319"/>
      <c r="M840" s="319"/>
      <c r="N840" s="319"/>
      <c r="O840" s="319"/>
      <c r="P840" s="319"/>
      <c r="Q840" s="319"/>
      <c r="R840" s="319"/>
      <c r="S840" s="319"/>
      <c r="T840" s="319"/>
      <c r="U840" s="319"/>
      <c r="V840" s="319"/>
      <c r="W840" s="319"/>
    </row>
    <row r="841" spans="1:23" ht="38.25" hidden="1" customHeight="1">
      <c r="A841" s="319"/>
      <c r="B841" s="319" t="s">
        <v>2661</v>
      </c>
      <c r="C841" s="319">
        <v>0.20949999999999999</v>
      </c>
      <c r="D841" s="319">
        <v>0.23139999999999999</v>
      </c>
      <c r="E841" s="319"/>
      <c r="F841" s="319"/>
      <c r="G841" s="319" t="s">
        <v>2163</v>
      </c>
      <c r="H841" s="319">
        <v>22.414999999999999</v>
      </c>
      <c r="I841" s="319" t="s">
        <v>2822</v>
      </c>
      <c r="J841" s="319" t="s">
        <v>4704</v>
      </c>
      <c r="K841" s="319"/>
      <c r="L841" s="319"/>
      <c r="M841" s="319"/>
      <c r="N841" s="319"/>
      <c r="O841" s="319"/>
      <c r="P841" s="319"/>
      <c r="Q841" s="319"/>
      <c r="R841" s="319"/>
      <c r="S841" s="319"/>
      <c r="T841" s="319"/>
      <c r="U841" s="319"/>
      <c r="V841" s="319"/>
      <c r="W841" s="319"/>
    </row>
    <row r="842" spans="1:23" ht="13.2" hidden="1">
      <c r="A842" s="319"/>
      <c r="B842" s="319" t="s">
        <v>2662</v>
      </c>
      <c r="C842" s="319">
        <f>1-C841</f>
        <v>0.79049999999999998</v>
      </c>
      <c r="D842" s="319">
        <f>1-D841</f>
        <v>0.76859999999999995</v>
      </c>
      <c r="E842" s="319"/>
      <c r="F842" s="319"/>
      <c r="G842" s="319" t="s">
        <v>1469</v>
      </c>
      <c r="H842" s="319">
        <f>IF(C473=E769,D473,(D473-32)/1.8)+F776</f>
        <v>255.37222222222221</v>
      </c>
      <c r="I842" s="319"/>
      <c r="J842" s="319"/>
      <c r="K842" s="319"/>
      <c r="L842" s="319"/>
      <c r="M842" s="319"/>
      <c r="N842" s="319"/>
      <c r="O842" s="319"/>
      <c r="P842" s="319"/>
      <c r="Q842" s="319"/>
      <c r="R842" s="319"/>
      <c r="S842" s="319"/>
      <c r="T842" s="319"/>
      <c r="U842" s="319"/>
      <c r="V842" s="319"/>
      <c r="W842" s="319"/>
    </row>
    <row r="843" spans="1:23" ht="13.2" hidden="1">
      <c r="A843" s="319"/>
      <c r="B843" s="319"/>
      <c r="C843" s="319"/>
      <c r="D843" s="319"/>
      <c r="E843" s="319"/>
      <c r="F843" s="319"/>
      <c r="G843" s="319"/>
      <c r="H843" s="319"/>
      <c r="I843" s="319"/>
      <c r="J843" s="319"/>
      <c r="K843" s="319"/>
      <c r="L843" s="319"/>
      <c r="M843" s="319"/>
      <c r="N843" s="319"/>
      <c r="O843" s="319"/>
      <c r="P843" s="319"/>
      <c r="Q843" s="319"/>
      <c r="R843" s="319"/>
      <c r="S843" s="319"/>
      <c r="T843" s="319"/>
      <c r="U843" s="319"/>
      <c r="V843" s="319"/>
      <c r="W843" s="319"/>
    </row>
    <row r="844" spans="1:23" ht="13.2" hidden="1">
      <c r="A844" s="319"/>
      <c r="B844" s="319" t="s">
        <v>2663</v>
      </c>
      <c r="C844" s="319">
        <f>14544*F857+62028*(F859-F862/8)+4050*F858</f>
        <v>23227.134145296066</v>
      </c>
      <c r="D844" s="319" t="s">
        <v>5859</v>
      </c>
      <c r="E844" s="319">
        <f>C844/$F$705</f>
        <v>54.026314021958633</v>
      </c>
      <c r="F844" s="319" t="s">
        <v>5376</v>
      </c>
      <c r="G844" s="319"/>
      <c r="H844" s="319"/>
      <c r="I844" s="319"/>
      <c r="J844" s="319"/>
      <c r="K844" s="319"/>
      <c r="L844" s="319"/>
      <c r="M844" s="319"/>
      <c r="N844" s="319"/>
      <c r="O844" s="319"/>
      <c r="P844" s="319"/>
      <c r="Q844" s="319"/>
      <c r="R844" s="319"/>
      <c r="S844" s="319"/>
      <c r="T844" s="319"/>
      <c r="U844" s="319"/>
      <c r="V844" s="319"/>
      <c r="W844" s="319"/>
    </row>
    <row r="845" spans="1:23" ht="13.2" hidden="1">
      <c r="A845" s="319"/>
      <c r="B845" s="319"/>
      <c r="C845" s="319" t="s">
        <v>1468</v>
      </c>
      <c r="D845" s="319" t="s">
        <v>474</v>
      </c>
      <c r="E845" s="319" t="s">
        <v>2011</v>
      </c>
      <c r="F845" s="319" t="s">
        <v>987</v>
      </c>
      <c r="G845" s="319" t="s">
        <v>1467</v>
      </c>
      <c r="H845" s="319" t="s">
        <v>4161</v>
      </c>
      <c r="I845" s="319" t="s">
        <v>631</v>
      </c>
      <c r="J845" s="319" t="s">
        <v>2881</v>
      </c>
      <c r="K845" s="319"/>
      <c r="L845" s="319" t="s">
        <v>3133</v>
      </c>
      <c r="M845" s="319" t="s">
        <v>5859</v>
      </c>
      <c r="N845" s="319" t="s">
        <v>3707</v>
      </c>
      <c r="O845" s="319" t="s">
        <v>4243</v>
      </c>
      <c r="P845" s="319"/>
      <c r="Q845" s="319"/>
      <c r="R845" s="319"/>
      <c r="S845" s="319"/>
      <c r="T845" s="319"/>
      <c r="U845" s="319"/>
      <c r="V845" s="319"/>
      <c r="W845" s="319"/>
    </row>
    <row r="846" spans="1:23" ht="15.6" hidden="1">
      <c r="A846" s="319"/>
      <c r="B846" s="319" t="s">
        <v>1751</v>
      </c>
      <c r="C846" s="319">
        <f>C857+2*C859</f>
        <v>16.042459999999998</v>
      </c>
      <c r="D846" s="319">
        <f t="shared" ref="D846:D854" si="40">C846/$H$841</f>
        <v>0.71570198527771578</v>
      </c>
      <c r="E846" s="319">
        <f t="shared" ref="E846:E854" si="41">D846*($F$776/$H$842)</f>
        <v>0.76552569256530667</v>
      </c>
      <c r="F846" s="319">
        <f t="shared" ref="F846:F854" si="42">IF($M$472=TRUE,H846*E846,I846*E846)</f>
        <v>0</v>
      </c>
      <c r="G846" s="319">
        <f t="shared" ref="G846:G854" si="43">IF($M$472=TRUE,F846/$F$855,D477)</f>
        <v>0</v>
      </c>
      <c r="H846" s="319">
        <f t="shared" ref="H846:H854" si="44">IF($M$472=TRUE,D477,I846/$I$855)</f>
        <v>0</v>
      </c>
      <c r="I846" s="319">
        <f t="shared" ref="I846:I854" si="45">IF($M$472=TRUE,F846/E846,G846/E846)</f>
        <v>0</v>
      </c>
      <c r="J846" s="319">
        <v>212.8</v>
      </c>
      <c r="K846" s="319"/>
      <c r="L846" s="319">
        <v>892</v>
      </c>
      <c r="M846" s="319">
        <v>23860</v>
      </c>
      <c r="N846" s="319">
        <f>L846/C846</f>
        <v>55.6024450115506</v>
      </c>
      <c r="O846" s="319"/>
      <c r="P846" s="319"/>
      <c r="Q846" s="319"/>
      <c r="R846" s="319"/>
      <c r="S846" s="319"/>
      <c r="T846" s="319"/>
      <c r="U846" s="319"/>
      <c r="V846" s="319"/>
      <c r="W846" s="319"/>
    </row>
    <row r="847" spans="1:23" ht="15.6" hidden="1">
      <c r="A847" s="319"/>
      <c r="B847" s="319" t="s">
        <v>1752</v>
      </c>
      <c r="C847" s="319">
        <f>C857*2+3*C859</f>
        <v>30.069040000000001</v>
      </c>
      <c r="D847" s="319">
        <f t="shared" si="40"/>
        <v>1.3414695516395272</v>
      </c>
      <c r="E847" s="319">
        <f t="shared" si="41"/>
        <v>1.4348561673692135</v>
      </c>
      <c r="F847" s="319">
        <f t="shared" si="42"/>
        <v>0</v>
      </c>
      <c r="G847" s="319">
        <f t="shared" si="43"/>
        <v>0</v>
      </c>
      <c r="H847" s="319">
        <f t="shared" si="44"/>
        <v>0</v>
      </c>
      <c r="I847" s="319">
        <f t="shared" si="45"/>
        <v>0</v>
      </c>
      <c r="J847" s="319">
        <v>372.82</v>
      </c>
      <c r="K847" s="319"/>
      <c r="L847" s="319">
        <v>1562</v>
      </c>
      <c r="M847" s="319">
        <v>21380</v>
      </c>
      <c r="N847" s="319">
        <f>L847/C847</f>
        <v>51.947119030072123</v>
      </c>
      <c r="O847" s="319"/>
      <c r="P847" s="319"/>
      <c r="Q847" s="319"/>
      <c r="R847" s="319"/>
      <c r="S847" s="319"/>
      <c r="T847" s="319"/>
      <c r="U847" s="319"/>
      <c r="V847" s="319"/>
      <c r="W847" s="319"/>
    </row>
    <row r="848" spans="1:23" ht="38.25" hidden="1" customHeight="1">
      <c r="A848" s="319"/>
      <c r="B848" s="319" t="s">
        <v>4540</v>
      </c>
      <c r="C848" s="319">
        <f>C857*3+4*C859</f>
        <v>44.095619999999997</v>
      </c>
      <c r="D848" s="319">
        <f t="shared" si="40"/>
        <v>1.9672371180013384</v>
      </c>
      <c r="E848" s="319">
        <f t="shared" si="41"/>
        <v>2.1041866421731199</v>
      </c>
      <c r="F848" s="319">
        <f t="shared" si="42"/>
        <v>1</v>
      </c>
      <c r="G848" s="319">
        <f t="shared" si="43"/>
        <v>1</v>
      </c>
      <c r="H848" s="319">
        <f t="shared" si="44"/>
        <v>1</v>
      </c>
      <c r="I848" s="319">
        <f t="shared" si="45"/>
        <v>0.47524301312322748</v>
      </c>
      <c r="J848" s="319"/>
      <c r="K848" s="319"/>
      <c r="L848" s="319">
        <v>2297.3820000000001</v>
      </c>
      <c r="M848" s="319"/>
      <c r="N848" s="319">
        <f>'Modelo Energético'!E1193</f>
        <v>48.091999999999999</v>
      </c>
      <c r="O848" s="319"/>
      <c r="P848" s="319"/>
      <c r="Q848" s="319"/>
      <c r="R848" s="319"/>
      <c r="S848" s="319"/>
      <c r="T848" s="319"/>
      <c r="U848" s="319"/>
      <c r="V848" s="319"/>
      <c r="W848" s="319"/>
    </row>
    <row r="849" spans="1:23" ht="13.2" hidden="1">
      <c r="A849" s="319"/>
      <c r="B849" s="319" t="s">
        <v>4855</v>
      </c>
      <c r="C849" s="319">
        <f>C857+C862/2</f>
        <v>28.010100000000001</v>
      </c>
      <c r="D849" s="319">
        <f t="shared" si="40"/>
        <v>1.2496140977024315</v>
      </c>
      <c r="E849" s="319">
        <f t="shared" si="41"/>
        <v>1.3366061814287522</v>
      </c>
      <c r="F849" s="319">
        <f t="shared" si="42"/>
        <v>0</v>
      </c>
      <c r="G849" s="319">
        <f t="shared" si="43"/>
        <v>0</v>
      </c>
      <c r="H849" s="319">
        <f t="shared" si="44"/>
        <v>0</v>
      </c>
      <c r="I849" s="319">
        <f t="shared" si="45"/>
        <v>0</v>
      </c>
      <c r="J849" s="319"/>
      <c r="K849" s="319"/>
      <c r="L849" s="319">
        <v>283</v>
      </c>
      <c r="M849" s="319">
        <v>4390</v>
      </c>
      <c r="N849" s="319">
        <f>L849/C849</f>
        <v>10.10349838094116</v>
      </c>
      <c r="O849" s="319"/>
      <c r="P849" s="319"/>
      <c r="Q849" s="319"/>
      <c r="R849" s="319"/>
      <c r="S849" s="319"/>
      <c r="T849" s="319"/>
      <c r="U849" s="319"/>
      <c r="V849" s="319"/>
      <c r="W849" s="319"/>
    </row>
    <row r="850" spans="1:23" ht="15.6" hidden="1">
      <c r="A850" s="319"/>
      <c r="B850" s="319" t="s">
        <v>2216</v>
      </c>
      <c r="C850" s="319">
        <f>C857+C862</f>
        <v>44.009500000000003</v>
      </c>
      <c r="D850" s="319">
        <f t="shared" si="40"/>
        <v>1.9633950479589564</v>
      </c>
      <c r="E850" s="319">
        <f t="shared" si="41"/>
        <v>2.1000771058149978</v>
      </c>
      <c r="F850" s="319">
        <f t="shared" si="42"/>
        <v>0</v>
      </c>
      <c r="G850" s="319">
        <f t="shared" si="43"/>
        <v>0</v>
      </c>
      <c r="H850" s="319">
        <f t="shared" si="44"/>
        <v>0</v>
      </c>
      <c r="I850" s="319">
        <f t="shared" si="45"/>
        <v>0</v>
      </c>
      <c r="J850" s="319">
        <v>0</v>
      </c>
      <c r="K850" s="319"/>
      <c r="L850" s="319"/>
      <c r="M850" s="319"/>
      <c r="N850" s="319">
        <v>0</v>
      </c>
      <c r="O850" s="319"/>
      <c r="P850" s="319"/>
      <c r="Q850" s="319"/>
      <c r="R850" s="319"/>
      <c r="S850" s="319"/>
      <c r="T850" s="319"/>
      <c r="U850" s="319"/>
      <c r="V850" s="319"/>
      <c r="W850" s="319"/>
    </row>
    <row r="851" spans="1:23" ht="15.6" hidden="1">
      <c r="A851" s="319"/>
      <c r="B851" s="319" t="s">
        <v>746</v>
      </c>
      <c r="C851" s="319">
        <f>C859+C858</f>
        <v>34.080880000000001</v>
      </c>
      <c r="D851" s="319">
        <f t="shared" si="40"/>
        <v>1.520449698862369</v>
      </c>
      <c r="E851" s="319">
        <f t="shared" si="41"/>
        <v>1.6262960459452673</v>
      </c>
      <c r="F851" s="319">
        <f t="shared" si="42"/>
        <v>0</v>
      </c>
      <c r="G851" s="319">
        <f t="shared" si="43"/>
        <v>0</v>
      </c>
      <c r="H851" s="319">
        <f t="shared" si="44"/>
        <v>0</v>
      </c>
      <c r="I851" s="319">
        <f t="shared" si="45"/>
        <v>0</v>
      </c>
      <c r="J851" s="319"/>
      <c r="K851" s="319"/>
      <c r="L851" s="319">
        <v>581.07899999999995</v>
      </c>
      <c r="M851" s="319">
        <v>7330</v>
      </c>
      <c r="N851" s="319">
        <v>17.05</v>
      </c>
      <c r="O851" s="319"/>
      <c r="P851" s="319"/>
      <c r="Q851" s="319"/>
      <c r="R851" s="319"/>
      <c r="S851" s="319"/>
      <c r="T851" s="319"/>
      <c r="U851" s="319"/>
      <c r="V851" s="319"/>
      <c r="W851" s="319"/>
    </row>
    <row r="852" spans="1:23" ht="15.6" hidden="1">
      <c r="A852" s="319"/>
      <c r="B852" s="319" t="s">
        <v>5686</v>
      </c>
      <c r="C852" s="319">
        <f>C859</f>
        <v>2.0158800000000001</v>
      </c>
      <c r="D852" s="319">
        <f t="shared" si="40"/>
        <v>8.9934418915904535E-2</v>
      </c>
      <c r="E852" s="319">
        <f t="shared" si="41"/>
        <v>9.6195217761400095E-2</v>
      </c>
      <c r="F852" s="319">
        <f t="shared" si="42"/>
        <v>0</v>
      </c>
      <c r="G852" s="319">
        <f t="shared" si="43"/>
        <v>0</v>
      </c>
      <c r="H852" s="319">
        <f t="shared" si="44"/>
        <v>0</v>
      </c>
      <c r="I852" s="319">
        <f t="shared" si="45"/>
        <v>0</v>
      </c>
      <c r="J852" s="319"/>
      <c r="K852" s="319"/>
      <c r="L852" s="319">
        <v>290.8451</v>
      </c>
      <c r="M852" s="319"/>
      <c r="N852" s="319">
        <f>'Modelo Energético'!E1225</f>
        <v>122.357</v>
      </c>
      <c r="O852" s="319"/>
      <c r="P852" s="319"/>
      <c r="Q852" s="319"/>
      <c r="R852" s="319"/>
      <c r="S852" s="319"/>
      <c r="T852" s="319"/>
      <c r="U852" s="319"/>
      <c r="V852" s="319"/>
      <c r="W852" s="319"/>
    </row>
    <row r="853" spans="1:23" ht="15.6" hidden="1">
      <c r="A853" s="319"/>
      <c r="B853" s="319" t="s">
        <v>2217</v>
      </c>
      <c r="C853" s="319">
        <f>C861</f>
        <v>28.013400000000001</v>
      </c>
      <c r="D853" s="319">
        <f t="shared" si="40"/>
        <v>1.2497613205442786</v>
      </c>
      <c r="E853" s="319">
        <f t="shared" si="41"/>
        <v>1.3367636532120988</v>
      </c>
      <c r="F853" s="319">
        <f t="shared" si="42"/>
        <v>0</v>
      </c>
      <c r="G853" s="319">
        <f t="shared" si="43"/>
        <v>0</v>
      </c>
      <c r="H853" s="319">
        <f t="shared" si="44"/>
        <v>0</v>
      </c>
      <c r="I853" s="319">
        <f t="shared" si="45"/>
        <v>0</v>
      </c>
      <c r="J853" s="319"/>
      <c r="K853" s="319"/>
      <c r="L853" s="319"/>
      <c r="M853" s="319"/>
      <c r="N853" s="319">
        <v>0</v>
      </c>
      <c r="O853" s="319"/>
      <c r="P853" s="319"/>
      <c r="Q853" s="319"/>
      <c r="R853" s="319"/>
      <c r="S853" s="319"/>
      <c r="T853" s="319"/>
      <c r="U853" s="319"/>
      <c r="V853" s="319"/>
      <c r="W853" s="319"/>
    </row>
    <row r="854" spans="1:23" ht="15.6" hidden="1">
      <c r="A854" s="319"/>
      <c r="B854" s="319" t="s">
        <v>4214</v>
      </c>
      <c r="C854" s="319">
        <f>C862</f>
        <v>31.998799999999999</v>
      </c>
      <c r="D854" s="319">
        <f t="shared" si="40"/>
        <v>1.4275619005130493</v>
      </c>
      <c r="E854" s="319">
        <f t="shared" si="41"/>
        <v>1.5269418487724911</v>
      </c>
      <c r="F854" s="319">
        <f t="shared" si="42"/>
        <v>0</v>
      </c>
      <c r="G854" s="319">
        <f t="shared" si="43"/>
        <v>0</v>
      </c>
      <c r="H854" s="319">
        <f t="shared" si="44"/>
        <v>0</v>
      </c>
      <c r="I854" s="319">
        <f t="shared" si="45"/>
        <v>0</v>
      </c>
      <c r="J854" s="319"/>
      <c r="K854" s="319"/>
      <c r="L854" s="319"/>
      <c r="M854" s="319"/>
      <c r="N854" s="319">
        <v>0</v>
      </c>
      <c r="O854" s="319"/>
      <c r="P854" s="319"/>
      <c r="Q854" s="319"/>
      <c r="R854" s="319"/>
      <c r="S854" s="319"/>
      <c r="T854" s="319"/>
      <c r="U854" s="319"/>
      <c r="V854" s="319"/>
      <c r="W854" s="319"/>
    </row>
    <row r="855" spans="1:23" ht="13.2" hidden="1">
      <c r="A855" s="319"/>
      <c r="B855" s="319"/>
      <c r="C855" s="319"/>
      <c r="D855" s="319">
        <f>SUMPRODUCT(D846:D854*$H$846:$H$854)</f>
        <v>1.9672371180013384</v>
      </c>
      <c r="E855" s="319">
        <f>SUMPRODUCT(E846:E854*$H$846:$H$854)</f>
        <v>2.1041866421731199</v>
      </c>
      <c r="F855" s="319">
        <f>SUM(F846:F854)</f>
        <v>1</v>
      </c>
      <c r="G855" s="319">
        <f>SUM(G846:G854)</f>
        <v>1</v>
      </c>
      <c r="H855" s="319">
        <f>SUM(H846:H854)</f>
        <v>1</v>
      </c>
      <c r="I855" s="319">
        <f>SUM(I846:I854)</f>
        <v>0.47524301312322748</v>
      </c>
      <c r="J855" s="319">
        <f>SUMPRODUCT(G846:G854*J846:J854)</f>
        <v>0</v>
      </c>
      <c r="K855" s="319"/>
      <c r="L855" s="319"/>
      <c r="M855" s="319"/>
      <c r="N855" s="319">
        <f>SUMPRODUCT(G846:G854*N846:N854)</f>
        <v>48.091999999999999</v>
      </c>
      <c r="O855" s="319">
        <f>N855*E855</f>
        <v>101.19454399538968</v>
      </c>
      <c r="P855" s="319"/>
      <c r="Q855" s="319" t="s">
        <v>1990</v>
      </c>
      <c r="R855" s="319"/>
      <c r="S855" s="319"/>
      <c r="T855" s="319"/>
      <c r="U855" s="319"/>
      <c r="V855" s="319"/>
      <c r="W855" s="319"/>
    </row>
    <row r="856" spans="1:23" ht="13.2" hidden="1">
      <c r="A856" s="319"/>
      <c r="B856" s="319"/>
      <c r="C856" s="319" t="s">
        <v>1468</v>
      </c>
      <c r="D856" s="319"/>
      <c r="E856" s="319"/>
      <c r="F856" s="319"/>
      <c r="G856" s="319"/>
      <c r="H856" s="319"/>
      <c r="I856" s="319" t="s">
        <v>5971</v>
      </c>
      <c r="J856" s="319"/>
      <c r="K856" s="319"/>
      <c r="L856" s="319"/>
      <c r="M856" s="319"/>
      <c r="N856" s="319"/>
      <c r="O856" s="319"/>
      <c r="P856" s="319"/>
      <c r="Q856" s="319" t="s">
        <v>2776</v>
      </c>
      <c r="R856" s="319"/>
      <c r="S856" s="319" t="s">
        <v>5971</v>
      </c>
      <c r="T856" s="319" t="s">
        <v>4478</v>
      </c>
      <c r="U856" s="319" t="s">
        <v>4479</v>
      </c>
      <c r="V856" s="319"/>
      <c r="W856" s="319"/>
    </row>
    <row r="857" spans="1:23" ht="13.2" hidden="1">
      <c r="A857" s="319"/>
      <c r="B857" s="319" t="s">
        <v>144</v>
      </c>
      <c r="C857" s="319">
        <v>12.0107</v>
      </c>
      <c r="D857" s="319">
        <f>(G846+G847*2+G848*3+G849+G850)*100*C857</f>
        <v>3603.21</v>
      </c>
      <c r="E857" s="319">
        <f t="shared" ref="E857:E862" si="46">D857/$C$859</f>
        <v>1787.4129412465027</v>
      </c>
      <c r="F857" s="319">
        <f t="shared" ref="F857:F862" si="47">D857/$D$864</f>
        <v>0.81713557945210891</v>
      </c>
      <c r="G857" s="319">
        <f t="shared" ref="G857:G862" si="48">E857/C857*100</f>
        <v>14881.838204655036</v>
      </c>
      <c r="H857" s="319" t="s">
        <v>3727</v>
      </c>
      <c r="I857" s="319">
        <f>G857</f>
        <v>14881.838204655036</v>
      </c>
      <c r="J857" s="319">
        <f>G857*C857+I857*C862</f>
        <v>654942.25846776576</v>
      </c>
      <c r="K857" s="319"/>
      <c r="L857" s="319">
        <f>J857/J864</f>
        <v>0.17950530558787556</v>
      </c>
      <c r="M857" s="393" t="s">
        <v>144</v>
      </c>
      <c r="N857" s="953">
        <f>D857/$D$864</f>
        <v>0.81713557945210891</v>
      </c>
      <c r="O857" s="319"/>
      <c r="P857" s="319"/>
      <c r="Q857" s="319">
        <f>D507</f>
        <v>1</v>
      </c>
      <c r="R857" s="319"/>
      <c r="S857" s="319">
        <f>Q857*C862/C857</f>
        <v>2.6641910962724902</v>
      </c>
      <c r="T857" s="319">
        <f t="shared" ref="T857:T862" si="49">Q857+S857</f>
        <v>3.6641910962724902</v>
      </c>
      <c r="U857" s="319">
        <f>T857/T864</f>
        <v>0.29282236043927351</v>
      </c>
      <c r="V857" s="319"/>
      <c r="W857" s="319"/>
    </row>
    <row r="858" spans="1:23" ht="13.2" hidden="1">
      <c r="A858" s="319"/>
      <c r="B858" s="319" t="s">
        <v>5321</v>
      </c>
      <c r="C858" s="319">
        <v>32.064999999999998</v>
      </c>
      <c r="D858" s="319">
        <f>(G851)*100*C858</f>
        <v>0</v>
      </c>
      <c r="E858" s="319">
        <f t="shared" si="46"/>
        <v>0</v>
      </c>
      <c r="F858" s="319">
        <f t="shared" si="47"/>
        <v>0</v>
      </c>
      <c r="G858" s="319">
        <f t="shared" si="48"/>
        <v>0</v>
      </c>
      <c r="H858" s="319" t="s">
        <v>3728</v>
      </c>
      <c r="I858" s="319">
        <f>G858</f>
        <v>0</v>
      </c>
      <c r="J858" s="319"/>
      <c r="K858" s="319"/>
      <c r="L858" s="319"/>
      <c r="M858" s="393" t="s">
        <v>2531</v>
      </c>
      <c r="N858" s="953">
        <f>D859/$D$864</f>
        <v>0.18286442054789118</v>
      </c>
      <c r="O858" s="319"/>
      <c r="P858" s="319"/>
      <c r="Q858" s="319">
        <f>D511</f>
        <v>0</v>
      </c>
      <c r="R858" s="319"/>
      <c r="S858" s="319">
        <f>Q858*C862/C858</f>
        <v>0</v>
      </c>
      <c r="T858" s="319">
        <f t="shared" si="49"/>
        <v>0</v>
      </c>
      <c r="U858" s="319"/>
      <c r="V858" s="319"/>
      <c r="W858" s="319"/>
    </row>
    <row r="859" spans="1:23" ht="13.2" hidden="1">
      <c r="A859" s="319"/>
      <c r="B859" s="319" t="s">
        <v>5724</v>
      </c>
      <c r="C859" s="319">
        <f>2*1.00794</f>
        <v>2.0158800000000001</v>
      </c>
      <c r="D859" s="319">
        <f>(G846*2+G847*3+G848*4+G851*1+G852)*C859*100</f>
        <v>806.35200000000009</v>
      </c>
      <c r="E859" s="319">
        <f t="shared" si="46"/>
        <v>400</v>
      </c>
      <c r="F859" s="319">
        <f t="shared" si="47"/>
        <v>0.18286442054789118</v>
      </c>
      <c r="G859" s="319">
        <f t="shared" si="48"/>
        <v>19842.450939540053</v>
      </c>
      <c r="H859" s="319" t="s">
        <v>4587</v>
      </c>
      <c r="I859" s="319">
        <f>G859/2</f>
        <v>9921.2254697700264</v>
      </c>
      <c r="J859" s="319">
        <f>G859*C859+I859*C862</f>
        <v>357467.30956207711</v>
      </c>
      <c r="K859" s="319"/>
      <c r="L859" s="319"/>
      <c r="M859" s="393" t="s">
        <v>2532</v>
      </c>
      <c r="N859" s="953">
        <f>D862/$D$864</f>
        <v>0</v>
      </c>
      <c r="O859" s="319"/>
      <c r="P859" s="319"/>
      <c r="Q859" s="319">
        <f>D508</f>
        <v>0</v>
      </c>
      <c r="R859" s="319"/>
      <c r="S859" s="319">
        <f>Q859*C862/C859/2</f>
        <v>0</v>
      </c>
      <c r="T859" s="319">
        <f t="shared" si="49"/>
        <v>0</v>
      </c>
      <c r="U859" s="319"/>
      <c r="V859" s="319"/>
      <c r="W859" s="319"/>
    </row>
    <row r="860" spans="1:23" ht="13.2" hidden="1">
      <c r="A860" s="319"/>
      <c r="B860" s="319" t="s">
        <v>5240</v>
      </c>
      <c r="C860" s="319">
        <f>C859+15.9994</f>
        <v>18.015280000000001</v>
      </c>
      <c r="D860" s="319"/>
      <c r="E860" s="319">
        <f t="shared" si="46"/>
        <v>0</v>
      </c>
      <c r="F860" s="319">
        <f t="shared" si="47"/>
        <v>0</v>
      </c>
      <c r="G860" s="319">
        <f t="shared" si="48"/>
        <v>0</v>
      </c>
      <c r="H860" s="319" t="s">
        <v>4587</v>
      </c>
      <c r="I860" s="319">
        <f>G860</f>
        <v>0</v>
      </c>
      <c r="J860" s="319"/>
      <c r="K860" s="319"/>
      <c r="L860" s="319"/>
      <c r="M860" s="393" t="s">
        <v>2533</v>
      </c>
      <c r="N860" s="953">
        <f>D861/$D$864</f>
        <v>0</v>
      </c>
      <c r="O860" s="319"/>
      <c r="P860" s="319"/>
      <c r="Q860" s="319"/>
      <c r="R860" s="319"/>
      <c r="S860" s="319"/>
      <c r="T860" s="319">
        <f t="shared" si="49"/>
        <v>0</v>
      </c>
      <c r="U860" s="319"/>
      <c r="V860" s="319"/>
      <c r="W860" s="319"/>
    </row>
    <row r="861" spans="1:23" ht="13.2" hidden="1">
      <c r="A861" s="319"/>
      <c r="B861" s="319" t="s">
        <v>2662</v>
      </c>
      <c r="C861" s="319">
        <f>2*14.0067</f>
        <v>28.013400000000001</v>
      </c>
      <c r="D861" s="319">
        <f>G853*100*C861</f>
        <v>0</v>
      </c>
      <c r="E861" s="319">
        <f t="shared" si="46"/>
        <v>0</v>
      </c>
      <c r="F861" s="319">
        <f t="shared" si="47"/>
        <v>0</v>
      </c>
      <c r="G861" s="319">
        <f t="shared" si="48"/>
        <v>0</v>
      </c>
      <c r="H861" s="319" t="s">
        <v>2662</v>
      </c>
      <c r="I861" s="319">
        <v>0</v>
      </c>
      <c r="J861" s="319">
        <f>C862*I864*D842/D841</f>
        <v>2636185.9780619321</v>
      </c>
      <c r="K861" s="319"/>
      <c r="L861" s="319"/>
      <c r="M861" s="393" t="s">
        <v>5321</v>
      </c>
      <c r="N861" s="953">
        <f>D858/$D$864</f>
        <v>0</v>
      </c>
      <c r="P861" s="319"/>
      <c r="Q861" s="319">
        <f>D510</f>
        <v>0</v>
      </c>
      <c r="R861" s="319"/>
      <c r="S861" s="319">
        <f>Q861*C862/C861</f>
        <v>0</v>
      </c>
      <c r="T861" s="319">
        <f t="shared" si="49"/>
        <v>0</v>
      </c>
      <c r="U861" s="319"/>
      <c r="V861" s="319"/>
      <c r="W861" s="319"/>
    </row>
    <row r="862" spans="1:23" ht="13.2" hidden="1">
      <c r="A862" s="319"/>
      <c r="B862" s="319" t="s">
        <v>2661</v>
      </c>
      <c r="C862" s="319">
        <f>2*15.9994</f>
        <v>31.998799999999999</v>
      </c>
      <c r="D862" s="319">
        <f>(G850+G854+G849/2)*100*C862</f>
        <v>0</v>
      </c>
      <c r="E862" s="319">
        <f t="shared" si="46"/>
        <v>0</v>
      </c>
      <c r="F862" s="319">
        <f t="shared" si="47"/>
        <v>0</v>
      </c>
      <c r="G862" s="319">
        <f t="shared" si="48"/>
        <v>0</v>
      </c>
      <c r="H862" s="319"/>
      <c r="I862" s="319">
        <f>-G862</f>
        <v>0</v>
      </c>
      <c r="J862" s="319"/>
      <c r="K862" s="319"/>
      <c r="L862" s="319"/>
      <c r="M862" s="319"/>
      <c r="O862" s="319"/>
      <c r="P862" s="319"/>
      <c r="Q862" s="319">
        <f>D509</f>
        <v>0</v>
      </c>
      <c r="R862" s="319"/>
      <c r="S862" s="319">
        <f>-Q862</f>
        <v>0</v>
      </c>
      <c r="T862" s="319">
        <f t="shared" si="49"/>
        <v>0</v>
      </c>
      <c r="U862" s="319"/>
      <c r="V862" s="319"/>
      <c r="W862" s="319"/>
    </row>
    <row r="863" spans="1:23" ht="13.2" hidden="1">
      <c r="A863" s="319"/>
      <c r="B863" s="319" t="s">
        <v>4328</v>
      </c>
      <c r="C863" s="319"/>
      <c r="D863" s="319"/>
      <c r="E863" s="319"/>
      <c r="F863" s="319"/>
      <c r="G863" s="319"/>
      <c r="H863" s="319"/>
      <c r="I863" s="319"/>
      <c r="J863" s="319"/>
      <c r="K863" s="319"/>
      <c r="L863" s="319"/>
      <c r="M863" s="319"/>
      <c r="N863" s="319"/>
      <c r="O863" s="319"/>
      <c r="P863" s="319"/>
      <c r="Q863" s="319">
        <f>D512</f>
        <v>0</v>
      </c>
      <c r="R863" s="319" t="s">
        <v>2662</v>
      </c>
      <c r="S863" s="319"/>
      <c r="T863" s="319">
        <f>S864*D842/D841</f>
        <v>8.8491671417244415</v>
      </c>
      <c r="U863" s="319"/>
      <c r="V863" s="319"/>
      <c r="W863" s="319"/>
    </row>
    <row r="864" spans="1:23" ht="13.2" hidden="1">
      <c r="A864" s="319"/>
      <c r="B864" s="319"/>
      <c r="C864" s="319"/>
      <c r="D864" s="319">
        <f>SUM(D857:D863)</f>
        <v>4409.5619999999999</v>
      </c>
      <c r="E864" s="319">
        <f>SUM(E857:E863)</f>
        <v>2187.4129412465027</v>
      </c>
      <c r="F864" s="319">
        <f>SUM(F857:F862)</f>
        <v>1</v>
      </c>
      <c r="G864" s="319">
        <f>SUM(G857:G862)</f>
        <v>34724.289144195092</v>
      </c>
      <c r="H864" s="319"/>
      <c r="I864" s="319">
        <f>SUM(I857:I863)</f>
        <v>24803.063674425062</v>
      </c>
      <c r="J864" s="319">
        <f>SUM(J857:J862)</f>
        <v>3648595.5460917749</v>
      </c>
      <c r="K864" s="319"/>
      <c r="L864" s="319">
        <f>J864/G865</f>
        <v>16.679957758742226</v>
      </c>
      <c r="M864" s="319">
        <f>L864*10^6*L857/F489</f>
        <v>67.919591556150877</v>
      </c>
      <c r="N864" s="319" t="s">
        <v>1172</v>
      </c>
      <c r="O864" s="319"/>
      <c r="P864" s="319"/>
      <c r="Q864" s="319">
        <f>SUM(Q857:Q862)</f>
        <v>1</v>
      </c>
      <c r="R864" s="319"/>
      <c r="S864" s="319">
        <f>SUM(S857:S863)</f>
        <v>2.6641910962724902</v>
      </c>
      <c r="T864" s="319">
        <f>SUM(T857:T863)</f>
        <v>12.513358237996933</v>
      </c>
      <c r="U864" s="319"/>
      <c r="V864" s="319">
        <f>U865*U857*10^6/D516</f>
        <v>107.45428434816687</v>
      </c>
      <c r="W864" s="319" t="s">
        <v>1172</v>
      </c>
    </row>
    <row r="865" spans="1:23" ht="13.2" hidden="1">
      <c r="A865" s="319"/>
      <c r="B865" s="319"/>
      <c r="C865" s="319"/>
      <c r="D865" s="319"/>
      <c r="E865" s="319"/>
      <c r="F865" s="319"/>
      <c r="G865" s="319">
        <f>SUMPRODUCT(C857:C862*G857:G862)</f>
        <v>218741.29412465025</v>
      </c>
      <c r="H865" s="319"/>
      <c r="I865" s="319"/>
      <c r="J865" s="319"/>
      <c r="K865" s="319"/>
      <c r="L865" s="319"/>
      <c r="M865" s="319">
        <f>L864*10^6*L857/F488</f>
        <v>62.258606726188958</v>
      </c>
      <c r="N865" s="319" t="s">
        <v>4574</v>
      </c>
      <c r="O865" s="319"/>
      <c r="P865" s="319"/>
      <c r="Q865" s="319"/>
      <c r="R865" s="319"/>
      <c r="S865" s="319"/>
      <c r="T865" s="319"/>
      <c r="U865" s="319">
        <f>T864/Q864</f>
        <v>12.513358237996933</v>
      </c>
      <c r="V865" s="319">
        <f>U865*U857*10^6/D515</f>
        <v>107.45428434816687</v>
      </c>
      <c r="W865" s="319" t="s">
        <v>4574</v>
      </c>
    </row>
    <row r="866" spans="1:23" ht="13.2" hidden="1">
      <c r="A866" s="319"/>
      <c r="B866" s="319" t="s">
        <v>4850</v>
      </c>
      <c r="C866" s="319">
        <f>(D397*D846+(1-D397)*D850)*F776/(F776+20)</f>
        <v>1.2481585444799539</v>
      </c>
      <c r="D866" s="319" t="s">
        <v>4851</v>
      </c>
      <c r="E866" s="319"/>
      <c r="F866" s="319"/>
      <c r="G866" s="319"/>
      <c r="H866" s="319"/>
      <c r="I866" s="319"/>
      <c r="J866" s="319"/>
      <c r="K866" s="319"/>
      <c r="L866" s="319"/>
      <c r="M866" s="319"/>
      <c r="N866" s="319"/>
      <c r="O866" s="319"/>
      <c r="P866" s="319"/>
      <c r="Q866" s="319"/>
      <c r="R866" s="319"/>
      <c r="S866" s="319"/>
      <c r="T866" s="319"/>
      <c r="U866" s="319"/>
      <c r="V866" s="319"/>
      <c r="W866" s="319"/>
    </row>
    <row r="867" spans="1:23" ht="13.2" hidden="1">
      <c r="A867" s="319"/>
      <c r="B867" s="319" t="s">
        <v>5800</v>
      </c>
      <c r="C867" s="319"/>
      <c r="D867" s="319"/>
      <c r="E867" s="319"/>
      <c r="F867" s="319"/>
      <c r="G867" s="319"/>
      <c r="H867" s="319"/>
      <c r="I867" s="319"/>
      <c r="J867" s="319"/>
      <c r="K867" s="319"/>
      <c r="L867" s="319"/>
      <c r="M867" s="319"/>
      <c r="N867" s="319"/>
      <c r="O867" s="319"/>
      <c r="P867" s="319"/>
      <c r="Q867" s="319"/>
      <c r="R867" s="319"/>
      <c r="S867" s="319"/>
      <c r="T867" s="319"/>
      <c r="U867" s="319"/>
      <c r="V867" s="319"/>
      <c r="W867" s="319"/>
    </row>
    <row r="868" spans="1:23" ht="13.2" hidden="1">
      <c r="A868" s="319"/>
      <c r="B868" s="319" t="s">
        <v>5129</v>
      </c>
      <c r="C868" s="319"/>
      <c r="D868" s="319"/>
      <c r="E868" s="319"/>
      <c r="F868" s="319" t="s">
        <v>3629</v>
      </c>
      <c r="G868" s="319" t="s">
        <v>1671</v>
      </c>
      <c r="H868" s="319">
        <f>N410</f>
        <v>0</v>
      </c>
      <c r="I868" s="319"/>
      <c r="J868" s="319" t="s">
        <v>2546</v>
      </c>
      <c r="K868" s="319"/>
      <c r="L868" s="319"/>
      <c r="M868" s="319"/>
      <c r="N868" s="319"/>
      <c r="O868" s="319"/>
      <c r="P868" s="319"/>
      <c r="Q868" s="319"/>
      <c r="R868" s="319"/>
      <c r="S868" s="319"/>
      <c r="T868" s="319"/>
      <c r="U868" s="319"/>
      <c r="V868" s="319"/>
      <c r="W868" s="319"/>
    </row>
    <row r="869" spans="1:23" ht="15.6" hidden="1">
      <c r="A869" s="319"/>
      <c r="B869" s="319" t="s">
        <v>3877</v>
      </c>
      <c r="C869" s="319" t="str">
        <f>Language!C800</f>
        <v>Necessário</v>
      </c>
      <c r="D869" s="319" t="s">
        <v>1263</v>
      </c>
      <c r="E869" s="319" t="str">
        <f>Language!C798</f>
        <v>Teórico</v>
      </c>
      <c r="F869" s="319" t="str">
        <f>Language!C799</f>
        <v>Potencial</v>
      </c>
      <c r="G869" s="319">
        <f>IF(Unit=TRUE,1,1/$F$760)*SUM(G872:G971)</f>
        <v>0</v>
      </c>
      <c r="H869" s="319">
        <f>IF(Unit=TRUE,1,1/$F$760)*SUM(H872:H971)</f>
        <v>0</v>
      </c>
      <c r="I869" s="319" t="s">
        <v>984</v>
      </c>
      <c r="J869" s="319">
        <f>N413/8760</f>
        <v>0</v>
      </c>
      <c r="K869" s="319"/>
      <c r="L869" s="319"/>
      <c r="M869" s="319"/>
      <c r="N869" s="319"/>
      <c r="O869" s="319"/>
      <c r="P869" s="319"/>
      <c r="Q869" s="319"/>
      <c r="R869" s="319"/>
      <c r="S869" s="319"/>
      <c r="T869" s="319"/>
      <c r="U869" s="319"/>
      <c r="V869" s="319"/>
      <c r="W869" s="319"/>
    </row>
    <row r="870" spans="1:23" ht="13.2" hidden="1">
      <c r="A870" s="319"/>
      <c r="B870" s="319" t="s">
        <v>2746</v>
      </c>
      <c r="C870" s="319"/>
      <c r="D870" s="319" t="s">
        <v>1804</v>
      </c>
      <c r="E870" s="319" t="str">
        <f>IF(Unit=TRUE,Language!C1336,Q410)</f>
        <v>GJ/h</v>
      </c>
      <c r="F870" s="319" t="str">
        <f>E870</f>
        <v>GJ/h</v>
      </c>
      <c r="G870" s="319" t="s">
        <v>1039</v>
      </c>
      <c r="H870" s="319" t="s">
        <v>5342</v>
      </c>
      <c r="I870" s="319" t="str">
        <f>IF(Unit=TRUE,Language!C1376,S410)</f>
        <v>m³/h</v>
      </c>
      <c r="J870" s="319"/>
      <c r="K870" s="319"/>
      <c r="L870" s="319"/>
      <c r="M870" s="319"/>
      <c r="N870" s="319"/>
      <c r="O870" s="319"/>
      <c r="P870" s="319"/>
      <c r="Q870" s="319"/>
      <c r="R870" s="319"/>
      <c r="S870" s="319"/>
      <c r="T870" s="319"/>
      <c r="U870" s="319"/>
      <c r="V870" s="319"/>
      <c r="W870" s="319"/>
    </row>
    <row r="871" spans="1:23" ht="13.2" hidden="1">
      <c r="A871" s="319"/>
      <c r="B871" s="319">
        <f>B872+1</f>
        <v>1971</v>
      </c>
      <c r="C871" s="319">
        <f>C872+1</f>
        <v>2</v>
      </c>
      <c r="D871" s="319">
        <f>IF(ISERROR(IF(B873&lt;=$E$390,TREND($D$391:$E$391,$D$390:$E$390,B873),IF(B873&lt;=$F$390,TREND($E$391:$F$391,$E$390:$F$390,B873),IF(B873&lt;=$G$390,TREND($F$391:$G$391,$F$390:$G$390,B873),IF(B873&lt;=$H$390,TREND($G$391:$H$391,$G$390:$H$390,B873),IF(B873&lt;=$I$390,TREND($H$391:$I$391,$H$390:$I$390,B873),0)))))*(1-$D$399)),0,(IF(B873&lt;=$E$390,TREND($D$391:$E$391,$D$390:$E$390,B873),IF(B873&lt;=$F$390,TREND($E$391:$F$391,$E$390:$F$390,B873),IF(B873&lt;=$G$390,TREND($F$391:$G$391,$F$390:$G$390,B873),IF(B873&lt;=$H$390,TREND($G$391:$H$391,$G$390:$H$390,B873),IF(B873&lt;=$I$390,TREND($H$391:$I$391,$H$390:$I$390,B873),0)))))*(1-$D$399)))</f>
        <v>0</v>
      </c>
      <c r="E871" s="319">
        <f>IF(Unit=TRUE,1,$F$760)*LFGemissions($D$396,$N$400,$D$395,B873,$D$388,D$872:$D873)*$N$403/1000/8760</f>
        <v>0</v>
      </c>
      <c r="F871" s="319">
        <f>E873*$D$401</f>
        <v>0</v>
      </c>
      <c r="G871" s="319">
        <f>IF(Unit=TRUE,1,$F$760)*IF(OR(B873&lt;$D$407,B873&gt;=$D$407+$D$408),0,IF(F873&lt;$H$868,F873,$H$868))</f>
        <v>0</v>
      </c>
      <c r="H871" s="319">
        <f>IF(Unit=TRUE,1,$F$760)*IF(OR(B873&lt;$D$407,B873&gt;=$D$407+$D$408),0,$H$868)</f>
        <v>0</v>
      </c>
      <c r="I871" s="319">
        <f>IF(Unit=TRUE,1,$F$783*1000)*E873/$N$403*1000</f>
        <v>0</v>
      </c>
      <c r="J871" s="319">
        <f>IF(Unit=TRUE,1,$F$783*1000)*IF(OR(B873&lt;$D$407,B873&gt;=$D$407+$D$408),0,$J$869)</f>
        <v>0</v>
      </c>
      <c r="K871" s="319"/>
      <c r="L871" s="319"/>
      <c r="M871" s="319"/>
      <c r="N871" s="319"/>
      <c r="O871" s="319"/>
      <c r="P871" s="319"/>
      <c r="Q871" s="319"/>
      <c r="R871" s="319"/>
      <c r="S871" s="319"/>
      <c r="T871" s="319"/>
      <c r="U871" s="319"/>
      <c r="V871" s="319"/>
      <c r="W871" s="319"/>
    </row>
    <row r="872" spans="1:23" ht="13.2" hidden="1">
      <c r="A872" s="319"/>
      <c r="B872" s="319">
        <f>D388</f>
        <v>1970</v>
      </c>
      <c r="C872" s="319">
        <v>1</v>
      </c>
      <c r="D872" s="319">
        <f>D391*(1-$D$399)</f>
        <v>0</v>
      </c>
      <c r="E872" s="319">
        <f>IF(Unit=TRUE,1,$F$760)*LFGemissions($D$396,$N$400,$D$395,B872,$D$388,D$872:$D872)*$N$403/1000/8760</f>
        <v>0</v>
      </c>
      <c r="F872" s="319">
        <f>E872*$D$401</f>
        <v>0</v>
      </c>
      <c r="G872" s="319">
        <f>IF(Unit=TRUE,1,$F$760)*IF(OR(B872&lt;$D$407,B872&gt;=$D$407+$D$408),0,IF(F872&lt;$H$868,F872,$H$868))</f>
        <v>0</v>
      </c>
      <c r="H872" s="319">
        <f>IF(Unit=TRUE,1,$F$760)*IF(OR(B872&lt;$D$407,B872&gt;=$D$407+$D$408),0,$H$868)</f>
        <v>0</v>
      </c>
      <c r="I872" s="319">
        <f>IF(Unit=TRUE,1,$F$783*1000)*E872/$N$403*1000</f>
        <v>0</v>
      </c>
      <c r="J872" s="319">
        <f>IF(Unit=TRUE,1,$F$783*1000)*IF(OR(B872&lt;$D$407,B872&gt;=$D$407+$D$408),0,$J$869)</f>
        <v>0</v>
      </c>
      <c r="K872" s="319"/>
      <c r="L872" s="319"/>
      <c r="M872" s="319"/>
      <c r="N872" s="319"/>
      <c r="O872" s="319"/>
      <c r="P872" s="319"/>
      <c r="Q872" s="319"/>
      <c r="R872" s="319"/>
      <c r="S872" s="319"/>
      <c r="T872" s="319"/>
      <c r="U872" s="319"/>
      <c r="V872" s="319"/>
      <c r="W872" s="319"/>
    </row>
    <row r="873" spans="1:23" ht="13.2" hidden="1">
      <c r="A873" s="319"/>
      <c r="B873" s="319">
        <v>1971</v>
      </c>
      <c r="C873" s="319">
        <v>2</v>
      </c>
      <c r="D873" s="319">
        <v>0</v>
      </c>
      <c r="E873" s="319">
        <v>0</v>
      </c>
      <c r="F873" s="319">
        <v>0</v>
      </c>
      <c r="G873" s="319">
        <v>0</v>
      </c>
      <c r="H873" s="319">
        <v>0</v>
      </c>
      <c r="I873" s="319">
        <v>0</v>
      </c>
      <c r="J873" s="319">
        <v>0</v>
      </c>
      <c r="K873" s="319"/>
      <c r="L873" s="319"/>
      <c r="M873" s="319"/>
      <c r="N873" s="319"/>
      <c r="O873" s="319"/>
      <c r="P873" s="319"/>
      <c r="Q873" s="319"/>
      <c r="R873" s="319"/>
      <c r="S873" s="319"/>
      <c r="T873" s="319"/>
      <c r="U873" s="319"/>
      <c r="V873" s="319"/>
      <c r="W873" s="319"/>
    </row>
    <row r="874" spans="1:23" ht="13.2" hidden="1">
      <c r="A874" s="319"/>
      <c r="B874" s="319">
        <v>1972</v>
      </c>
      <c r="C874" s="319">
        <v>3</v>
      </c>
      <c r="D874" s="319">
        <v>0</v>
      </c>
      <c r="E874" s="319">
        <v>0</v>
      </c>
      <c r="F874" s="319">
        <v>0</v>
      </c>
      <c r="G874" s="319">
        <v>0</v>
      </c>
      <c r="H874" s="319">
        <v>0</v>
      </c>
      <c r="I874" s="319">
        <v>0</v>
      </c>
      <c r="J874" s="319">
        <v>0</v>
      </c>
      <c r="K874" s="319"/>
      <c r="L874" s="319"/>
      <c r="M874" s="319"/>
      <c r="N874" s="319"/>
      <c r="O874" s="319"/>
      <c r="P874" s="319"/>
      <c r="Q874" s="319"/>
      <c r="R874" s="319"/>
      <c r="S874" s="319"/>
      <c r="T874" s="319"/>
      <c r="U874" s="319"/>
      <c r="V874" s="319"/>
      <c r="W874" s="319"/>
    </row>
    <row r="875" spans="1:23" ht="13.2" hidden="1">
      <c r="A875" s="319"/>
      <c r="B875" s="319">
        <v>1973</v>
      </c>
      <c r="C875" s="319">
        <v>4</v>
      </c>
      <c r="D875" s="319">
        <v>0</v>
      </c>
      <c r="E875" s="319">
        <v>0</v>
      </c>
      <c r="F875" s="319">
        <v>0</v>
      </c>
      <c r="G875" s="319">
        <v>0</v>
      </c>
      <c r="H875" s="319">
        <v>0</v>
      </c>
      <c r="I875" s="319">
        <v>0</v>
      </c>
      <c r="J875" s="319">
        <v>0</v>
      </c>
      <c r="K875" s="319"/>
      <c r="L875" s="319"/>
      <c r="M875" s="319"/>
      <c r="N875" s="319"/>
      <c r="O875" s="319"/>
      <c r="P875" s="319"/>
      <c r="Q875" s="319"/>
      <c r="R875" s="319"/>
      <c r="S875" s="319"/>
      <c r="T875" s="319"/>
      <c r="U875" s="319"/>
      <c r="V875" s="319"/>
      <c r="W875" s="319"/>
    </row>
    <row r="876" spans="1:23" ht="13.2" hidden="1">
      <c r="A876" s="319"/>
      <c r="B876" s="319">
        <v>1974</v>
      </c>
      <c r="C876" s="319">
        <v>5</v>
      </c>
      <c r="D876" s="319">
        <v>0</v>
      </c>
      <c r="E876" s="319">
        <v>0</v>
      </c>
      <c r="F876" s="319">
        <v>0</v>
      </c>
      <c r="G876" s="319">
        <v>0</v>
      </c>
      <c r="H876" s="319">
        <v>0</v>
      </c>
      <c r="I876" s="319">
        <v>0</v>
      </c>
      <c r="J876" s="319">
        <v>0</v>
      </c>
      <c r="K876" s="319"/>
      <c r="L876" s="319"/>
      <c r="M876" s="319"/>
      <c r="N876" s="319"/>
      <c r="O876" s="319"/>
      <c r="P876" s="319"/>
      <c r="Q876" s="319"/>
      <c r="R876" s="319"/>
      <c r="S876" s="319"/>
      <c r="T876" s="319"/>
      <c r="U876" s="319"/>
      <c r="V876" s="319"/>
      <c r="W876" s="319"/>
    </row>
    <row r="877" spans="1:23" ht="13.2" hidden="1">
      <c r="A877" s="319"/>
      <c r="B877" s="319">
        <v>1975</v>
      </c>
      <c r="C877" s="319">
        <v>6</v>
      </c>
      <c r="D877" s="319">
        <v>0</v>
      </c>
      <c r="E877" s="319">
        <v>0</v>
      </c>
      <c r="F877" s="319">
        <v>0</v>
      </c>
      <c r="G877" s="319">
        <v>0</v>
      </c>
      <c r="H877" s="319">
        <v>0</v>
      </c>
      <c r="I877" s="319">
        <v>0</v>
      </c>
      <c r="J877" s="319">
        <v>0</v>
      </c>
      <c r="K877" s="319"/>
      <c r="L877" s="319"/>
      <c r="M877" s="319"/>
      <c r="N877" s="319"/>
      <c r="O877" s="319"/>
      <c r="P877" s="319"/>
      <c r="Q877" s="319"/>
      <c r="R877" s="319"/>
      <c r="S877" s="319"/>
      <c r="T877" s="319"/>
      <c r="U877" s="319"/>
      <c r="V877" s="319"/>
      <c r="W877" s="319"/>
    </row>
    <row r="878" spans="1:23" ht="13.2" hidden="1">
      <c r="A878" s="319"/>
      <c r="B878" s="319">
        <v>1976</v>
      </c>
      <c r="C878" s="319">
        <v>7</v>
      </c>
      <c r="D878" s="319">
        <v>0</v>
      </c>
      <c r="E878" s="319">
        <v>0</v>
      </c>
      <c r="F878" s="319">
        <v>0</v>
      </c>
      <c r="G878" s="319">
        <v>0</v>
      </c>
      <c r="H878" s="319">
        <v>0</v>
      </c>
      <c r="I878" s="319">
        <v>0</v>
      </c>
      <c r="J878" s="319">
        <v>0</v>
      </c>
      <c r="K878" s="319"/>
      <c r="L878" s="319"/>
      <c r="M878" s="319"/>
      <c r="N878" s="319"/>
      <c r="O878" s="319"/>
      <c r="P878" s="319"/>
      <c r="Q878" s="319"/>
      <c r="R878" s="319"/>
      <c r="S878" s="319"/>
      <c r="T878" s="319"/>
      <c r="U878" s="319"/>
      <c r="V878" s="319"/>
      <c r="W878" s="319"/>
    </row>
    <row r="879" spans="1:23" ht="13.2" hidden="1">
      <c r="A879" s="319"/>
      <c r="B879" s="319">
        <v>1977</v>
      </c>
      <c r="C879" s="319">
        <v>8</v>
      </c>
      <c r="D879" s="319">
        <v>0</v>
      </c>
      <c r="E879" s="319">
        <v>0</v>
      </c>
      <c r="F879" s="319">
        <v>0</v>
      </c>
      <c r="G879" s="319">
        <v>0</v>
      </c>
      <c r="H879" s="319">
        <v>0</v>
      </c>
      <c r="I879" s="319">
        <v>0</v>
      </c>
      <c r="J879" s="319">
        <v>0</v>
      </c>
      <c r="K879" s="319"/>
      <c r="L879" s="319"/>
      <c r="M879" s="319"/>
      <c r="N879" s="319"/>
      <c r="O879" s="319"/>
      <c r="P879" s="319"/>
      <c r="Q879" s="319"/>
      <c r="R879" s="319"/>
      <c r="S879" s="319"/>
      <c r="T879" s="319"/>
      <c r="U879" s="319"/>
      <c r="V879" s="319"/>
      <c r="W879" s="319"/>
    </row>
    <row r="880" spans="1:23" ht="13.2" hidden="1">
      <c r="A880" s="319"/>
      <c r="B880" s="319">
        <v>1978</v>
      </c>
      <c r="C880" s="319">
        <v>9</v>
      </c>
      <c r="D880" s="319">
        <v>0</v>
      </c>
      <c r="E880" s="319">
        <v>0</v>
      </c>
      <c r="F880" s="319">
        <v>0</v>
      </c>
      <c r="G880" s="319">
        <v>0</v>
      </c>
      <c r="H880" s="319">
        <v>0</v>
      </c>
      <c r="I880" s="319">
        <v>0</v>
      </c>
      <c r="J880" s="319">
        <v>0</v>
      </c>
      <c r="K880" s="319"/>
      <c r="L880" s="319"/>
      <c r="M880" s="319"/>
      <c r="N880" s="319"/>
      <c r="O880" s="319"/>
      <c r="P880" s="319"/>
      <c r="Q880" s="319"/>
      <c r="R880" s="319"/>
      <c r="S880" s="319"/>
      <c r="T880" s="319"/>
      <c r="U880" s="319"/>
      <c r="V880" s="319"/>
      <c r="W880" s="319"/>
    </row>
    <row r="881" spans="1:23" ht="13.2" hidden="1">
      <c r="A881" s="319"/>
      <c r="B881" s="319">
        <v>1979</v>
      </c>
      <c r="C881" s="319">
        <v>10</v>
      </c>
      <c r="D881" s="319">
        <v>0</v>
      </c>
      <c r="E881" s="319">
        <v>0</v>
      </c>
      <c r="F881" s="319">
        <v>0</v>
      </c>
      <c r="G881" s="319">
        <v>0</v>
      </c>
      <c r="H881" s="319">
        <v>0</v>
      </c>
      <c r="I881" s="319">
        <v>0</v>
      </c>
      <c r="J881" s="319">
        <v>0</v>
      </c>
      <c r="K881" s="319"/>
      <c r="L881" s="319"/>
      <c r="M881" s="319"/>
      <c r="N881" s="319"/>
      <c r="O881" s="319"/>
      <c r="P881" s="319"/>
      <c r="Q881" s="319"/>
      <c r="R881" s="319"/>
      <c r="S881" s="319"/>
      <c r="T881" s="319"/>
      <c r="U881" s="319"/>
      <c r="V881" s="319"/>
      <c r="W881" s="319"/>
    </row>
    <row r="882" spans="1:23" ht="13.2" hidden="1">
      <c r="A882" s="319"/>
      <c r="B882" s="319">
        <v>1980</v>
      </c>
      <c r="C882" s="319">
        <v>11</v>
      </c>
      <c r="D882" s="319">
        <v>0</v>
      </c>
      <c r="E882" s="319">
        <v>0</v>
      </c>
      <c r="F882" s="319">
        <v>0</v>
      </c>
      <c r="G882" s="319">
        <v>0</v>
      </c>
      <c r="H882" s="319">
        <v>0</v>
      </c>
      <c r="I882" s="319">
        <v>0</v>
      </c>
      <c r="J882" s="319">
        <v>0</v>
      </c>
      <c r="K882" s="319"/>
      <c r="L882" s="319"/>
      <c r="M882" s="319"/>
      <c r="N882" s="319"/>
      <c r="O882" s="319"/>
      <c r="P882" s="319"/>
      <c r="Q882" s="319"/>
      <c r="R882" s="319"/>
      <c r="S882" s="319"/>
      <c r="T882" s="319"/>
      <c r="U882" s="319"/>
      <c r="V882" s="319"/>
      <c r="W882" s="319"/>
    </row>
    <row r="883" spans="1:23" ht="13.2" hidden="1">
      <c r="A883" s="319"/>
      <c r="B883" s="319">
        <v>1981</v>
      </c>
      <c r="C883" s="319">
        <v>12</v>
      </c>
      <c r="D883" s="319">
        <v>0</v>
      </c>
      <c r="E883" s="319">
        <v>0</v>
      </c>
      <c r="F883" s="319">
        <v>0</v>
      </c>
      <c r="G883" s="319">
        <v>0</v>
      </c>
      <c r="H883" s="319">
        <v>0</v>
      </c>
      <c r="I883" s="319">
        <v>0</v>
      </c>
      <c r="J883" s="319">
        <v>0</v>
      </c>
      <c r="K883" s="319"/>
      <c r="L883" s="319"/>
      <c r="M883" s="319"/>
      <c r="N883" s="319"/>
      <c r="O883" s="319"/>
      <c r="P883" s="319"/>
      <c r="Q883" s="319"/>
      <c r="R883" s="319"/>
      <c r="S883" s="319"/>
      <c r="T883" s="319"/>
      <c r="U883" s="319"/>
      <c r="V883" s="319"/>
      <c r="W883" s="319"/>
    </row>
    <row r="884" spans="1:23" ht="13.2" hidden="1">
      <c r="A884" s="319"/>
      <c r="B884" s="319">
        <v>1982</v>
      </c>
      <c r="C884" s="319">
        <v>13</v>
      </c>
      <c r="D884" s="319">
        <v>0</v>
      </c>
      <c r="E884" s="319">
        <v>0</v>
      </c>
      <c r="F884" s="319">
        <v>0</v>
      </c>
      <c r="G884" s="319">
        <v>0</v>
      </c>
      <c r="H884" s="319">
        <v>0</v>
      </c>
      <c r="I884" s="319">
        <v>0</v>
      </c>
      <c r="J884" s="319">
        <v>0</v>
      </c>
      <c r="K884" s="319"/>
      <c r="L884" s="319"/>
      <c r="M884" s="319"/>
      <c r="N884" s="319"/>
      <c r="O884" s="319"/>
      <c r="P884" s="319"/>
      <c r="Q884" s="319"/>
      <c r="R884" s="319"/>
      <c r="S884" s="319"/>
      <c r="T884" s="319"/>
      <c r="U884" s="319"/>
      <c r="V884" s="319"/>
      <c r="W884" s="319"/>
    </row>
    <row r="885" spans="1:23" ht="13.2" hidden="1">
      <c r="A885" s="319"/>
      <c r="B885" s="319">
        <v>1983</v>
      </c>
      <c r="C885" s="319">
        <v>14</v>
      </c>
      <c r="D885" s="319">
        <v>0</v>
      </c>
      <c r="E885" s="319">
        <v>0</v>
      </c>
      <c r="F885" s="319">
        <v>0</v>
      </c>
      <c r="G885" s="319">
        <v>0</v>
      </c>
      <c r="H885" s="319">
        <v>0</v>
      </c>
      <c r="I885" s="319">
        <v>0</v>
      </c>
      <c r="J885" s="319">
        <v>0</v>
      </c>
      <c r="K885" s="319"/>
      <c r="L885" s="319"/>
      <c r="M885" s="319"/>
      <c r="N885" s="319"/>
      <c r="O885" s="319"/>
      <c r="P885" s="319"/>
      <c r="Q885" s="319"/>
      <c r="R885" s="319"/>
      <c r="S885" s="319"/>
      <c r="T885" s="319"/>
      <c r="U885" s="319"/>
      <c r="V885" s="319"/>
      <c r="W885" s="319"/>
    </row>
    <row r="886" spans="1:23" ht="13.2" hidden="1">
      <c r="A886" s="319"/>
      <c r="B886" s="319">
        <v>1984</v>
      </c>
      <c r="C886" s="319">
        <v>15</v>
      </c>
      <c r="D886" s="319">
        <v>0</v>
      </c>
      <c r="E886" s="319">
        <v>0</v>
      </c>
      <c r="F886" s="319">
        <v>0</v>
      </c>
      <c r="G886" s="319">
        <v>0</v>
      </c>
      <c r="H886" s="319">
        <v>0</v>
      </c>
      <c r="I886" s="319">
        <v>0</v>
      </c>
      <c r="J886" s="319">
        <v>0</v>
      </c>
      <c r="K886" s="319"/>
      <c r="L886" s="319"/>
      <c r="M886" s="319"/>
      <c r="N886" s="319"/>
      <c r="O886" s="319"/>
      <c r="P886" s="319"/>
      <c r="Q886" s="319"/>
      <c r="R886" s="319"/>
      <c r="S886" s="319"/>
      <c r="T886" s="319"/>
      <c r="U886" s="319"/>
      <c r="V886" s="319"/>
      <c r="W886" s="319"/>
    </row>
    <row r="887" spans="1:23" ht="13.2" hidden="1">
      <c r="A887" s="319"/>
      <c r="B887" s="319">
        <v>1985</v>
      </c>
      <c r="C887" s="319">
        <v>16</v>
      </c>
      <c r="D887" s="319">
        <v>0</v>
      </c>
      <c r="E887" s="319">
        <v>0</v>
      </c>
      <c r="F887" s="319">
        <v>0</v>
      </c>
      <c r="G887" s="319">
        <v>0</v>
      </c>
      <c r="H887" s="319">
        <v>0</v>
      </c>
      <c r="I887" s="319">
        <v>0</v>
      </c>
      <c r="J887" s="319">
        <v>0</v>
      </c>
      <c r="K887" s="319"/>
      <c r="L887" s="319"/>
      <c r="M887" s="319"/>
      <c r="N887" s="319"/>
      <c r="O887" s="319"/>
      <c r="P887" s="319"/>
      <c r="Q887" s="319"/>
      <c r="R887" s="319"/>
      <c r="S887" s="319"/>
      <c r="T887" s="319"/>
      <c r="U887" s="319"/>
      <c r="V887" s="319"/>
      <c r="W887" s="319"/>
    </row>
    <row r="888" spans="1:23" ht="13.2" hidden="1">
      <c r="A888" s="319"/>
      <c r="B888" s="319">
        <v>1986</v>
      </c>
      <c r="C888" s="319">
        <v>17</v>
      </c>
      <c r="D888" s="319">
        <v>0</v>
      </c>
      <c r="E888" s="319">
        <v>0</v>
      </c>
      <c r="F888" s="319">
        <v>0</v>
      </c>
      <c r="G888" s="319">
        <v>0</v>
      </c>
      <c r="H888" s="319">
        <v>0</v>
      </c>
      <c r="I888" s="319">
        <v>0</v>
      </c>
      <c r="J888" s="319">
        <v>0</v>
      </c>
      <c r="K888" s="319"/>
      <c r="L888" s="319"/>
      <c r="M888" s="319"/>
      <c r="N888" s="319"/>
      <c r="O888" s="319"/>
      <c r="P888" s="319"/>
      <c r="Q888" s="319"/>
      <c r="R888" s="319"/>
      <c r="S888" s="319"/>
      <c r="T888" s="319"/>
      <c r="U888" s="319"/>
      <c r="V888" s="319"/>
      <c r="W888" s="319"/>
    </row>
    <row r="889" spans="1:23" ht="13.2" hidden="1">
      <c r="A889" s="319"/>
      <c r="B889" s="319">
        <v>1987</v>
      </c>
      <c r="C889" s="319">
        <v>18</v>
      </c>
      <c r="D889" s="319">
        <v>0</v>
      </c>
      <c r="E889" s="319">
        <v>0</v>
      </c>
      <c r="F889" s="319">
        <v>0</v>
      </c>
      <c r="G889" s="319">
        <v>0</v>
      </c>
      <c r="H889" s="319">
        <v>0</v>
      </c>
      <c r="I889" s="319">
        <v>0</v>
      </c>
      <c r="J889" s="319">
        <v>0</v>
      </c>
      <c r="K889" s="319"/>
      <c r="L889" s="319"/>
      <c r="M889" s="319"/>
      <c r="N889" s="319"/>
      <c r="O889" s="319"/>
      <c r="P889" s="319"/>
      <c r="Q889" s="319"/>
      <c r="R889" s="319"/>
      <c r="S889" s="319"/>
      <c r="T889" s="319"/>
      <c r="U889" s="319"/>
      <c r="V889" s="319"/>
      <c r="W889" s="319"/>
    </row>
    <row r="890" spans="1:23" ht="13.2" hidden="1">
      <c r="A890" s="319"/>
      <c r="B890" s="319">
        <v>1988</v>
      </c>
      <c r="C890" s="319">
        <v>19</v>
      </c>
      <c r="D890" s="319">
        <v>0</v>
      </c>
      <c r="E890" s="319">
        <v>0</v>
      </c>
      <c r="F890" s="319">
        <v>0</v>
      </c>
      <c r="G890" s="319">
        <v>0</v>
      </c>
      <c r="H890" s="319">
        <v>0</v>
      </c>
      <c r="I890" s="319">
        <v>0</v>
      </c>
      <c r="J890" s="319">
        <v>0</v>
      </c>
      <c r="K890" s="319"/>
      <c r="L890" s="319"/>
      <c r="M890" s="319"/>
      <c r="N890" s="319"/>
      <c r="O890" s="319"/>
      <c r="P890" s="319"/>
      <c r="Q890" s="319"/>
      <c r="R890" s="319"/>
      <c r="S890" s="319"/>
      <c r="T890" s="319"/>
      <c r="U890" s="319"/>
      <c r="V890" s="319"/>
      <c r="W890" s="319"/>
    </row>
    <row r="891" spans="1:23" ht="13.2" hidden="1">
      <c r="A891" s="319"/>
      <c r="B891" s="319">
        <v>1989</v>
      </c>
      <c r="C891" s="319">
        <v>20</v>
      </c>
      <c r="D891" s="319">
        <v>0</v>
      </c>
      <c r="E891" s="319">
        <v>0</v>
      </c>
      <c r="F891" s="319">
        <v>0</v>
      </c>
      <c r="G891" s="319">
        <v>0</v>
      </c>
      <c r="H891" s="319">
        <v>0</v>
      </c>
      <c r="I891" s="319">
        <v>0</v>
      </c>
      <c r="J891" s="319">
        <v>0</v>
      </c>
      <c r="K891" s="319"/>
      <c r="L891" s="319"/>
      <c r="M891" s="319"/>
      <c r="N891" s="319"/>
      <c r="O891" s="319"/>
      <c r="P891" s="319"/>
      <c r="Q891" s="319"/>
      <c r="R891" s="319"/>
      <c r="S891" s="319"/>
      <c r="T891" s="319"/>
      <c r="U891" s="319"/>
      <c r="V891" s="319"/>
      <c r="W891" s="319"/>
    </row>
    <row r="892" spans="1:23" ht="13.2" hidden="1">
      <c r="A892" s="319"/>
      <c r="B892" s="319">
        <v>1990</v>
      </c>
      <c r="C892" s="319">
        <v>21</v>
      </c>
      <c r="D892" s="319">
        <v>0</v>
      </c>
      <c r="E892" s="319">
        <v>0</v>
      </c>
      <c r="F892" s="319">
        <v>0</v>
      </c>
      <c r="G892" s="319">
        <v>0</v>
      </c>
      <c r="H892" s="319">
        <v>0</v>
      </c>
      <c r="I892" s="319">
        <v>0</v>
      </c>
      <c r="J892" s="319">
        <v>0</v>
      </c>
      <c r="K892" s="319"/>
      <c r="L892" s="319"/>
      <c r="M892" s="319"/>
      <c r="N892" s="319"/>
      <c r="O892" s="319"/>
      <c r="P892" s="319"/>
      <c r="Q892" s="319"/>
      <c r="R892" s="319"/>
      <c r="S892" s="319"/>
      <c r="T892" s="319"/>
      <c r="U892" s="319"/>
      <c r="V892" s="319"/>
      <c r="W892" s="319"/>
    </row>
    <row r="893" spans="1:23" ht="13.2" hidden="1">
      <c r="A893" s="319"/>
      <c r="B893" s="319">
        <v>1991</v>
      </c>
      <c r="C893" s="319">
        <v>22</v>
      </c>
      <c r="D893" s="319">
        <v>0</v>
      </c>
      <c r="E893" s="319">
        <v>0</v>
      </c>
      <c r="F893" s="319">
        <v>0</v>
      </c>
      <c r="G893" s="319">
        <v>0</v>
      </c>
      <c r="H893" s="319">
        <v>0</v>
      </c>
      <c r="I893" s="319">
        <v>0</v>
      </c>
      <c r="J893" s="319">
        <v>0</v>
      </c>
      <c r="K893" s="319"/>
      <c r="L893" s="319"/>
      <c r="M893" s="319"/>
      <c r="N893" s="319"/>
      <c r="O893" s="319"/>
      <c r="P893" s="319"/>
      <c r="Q893" s="319"/>
      <c r="R893" s="319"/>
      <c r="S893" s="319"/>
      <c r="T893" s="319"/>
      <c r="U893" s="319"/>
      <c r="V893" s="319"/>
      <c r="W893" s="319"/>
    </row>
    <row r="894" spans="1:23" ht="13.2" hidden="1">
      <c r="A894" s="319"/>
      <c r="B894" s="319">
        <v>1992</v>
      </c>
      <c r="C894" s="319">
        <v>23</v>
      </c>
      <c r="D894" s="319">
        <v>0</v>
      </c>
      <c r="E894" s="319">
        <v>0</v>
      </c>
      <c r="F894" s="319">
        <v>0</v>
      </c>
      <c r="G894" s="319">
        <v>0</v>
      </c>
      <c r="H894" s="319">
        <v>0</v>
      </c>
      <c r="I894" s="319">
        <v>0</v>
      </c>
      <c r="J894" s="319">
        <v>0</v>
      </c>
      <c r="K894" s="319"/>
      <c r="L894" s="319"/>
      <c r="M894" s="319"/>
      <c r="N894" s="319"/>
      <c r="O894" s="319"/>
      <c r="P894" s="319"/>
      <c r="Q894" s="319"/>
      <c r="R894" s="319"/>
      <c r="S894" s="319"/>
      <c r="T894" s="319"/>
      <c r="U894" s="319"/>
      <c r="V894" s="319"/>
      <c r="W894" s="319"/>
    </row>
    <row r="895" spans="1:23" ht="13.2" hidden="1">
      <c r="A895" s="319"/>
      <c r="B895" s="319">
        <v>1993</v>
      </c>
      <c r="C895" s="319">
        <v>24</v>
      </c>
      <c r="D895" s="319">
        <v>0</v>
      </c>
      <c r="E895" s="319">
        <v>0</v>
      </c>
      <c r="F895" s="319">
        <v>0</v>
      </c>
      <c r="G895" s="319">
        <v>0</v>
      </c>
      <c r="H895" s="319">
        <v>0</v>
      </c>
      <c r="I895" s="319">
        <v>0</v>
      </c>
      <c r="J895" s="319">
        <v>0</v>
      </c>
      <c r="K895" s="319"/>
      <c r="L895" s="319"/>
      <c r="M895" s="319"/>
      <c r="N895" s="319"/>
      <c r="O895" s="319"/>
      <c r="P895" s="319"/>
      <c r="Q895" s="319"/>
      <c r="R895" s="319"/>
      <c r="S895" s="319"/>
      <c r="T895" s="319"/>
      <c r="U895" s="319"/>
      <c r="V895" s="319"/>
      <c r="W895" s="319"/>
    </row>
    <row r="896" spans="1:23" ht="13.2" hidden="1">
      <c r="A896" s="319"/>
      <c r="B896" s="319">
        <v>1994</v>
      </c>
      <c r="C896" s="319">
        <v>25</v>
      </c>
      <c r="D896" s="319">
        <v>0</v>
      </c>
      <c r="E896" s="319">
        <v>0</v>
      </c>
      <c r="F896" s="319">
        <v>0</v>
      </c>
      <c r="G896" s="319">
        <v>0</v>
      </c>
      <c r="H896" s="319">
        <v>0</v>
      </c>
      <c r="I896" s="319">
        <v>0</v>
      </c>
      <c r="J896" s="319">
        <v>0</v>
      </c>
      <c r="K896" s="319"/>
      <c r="L896" s="319"/>
      <c r="M896" s="319"/>
      <c r="N896" s="319"/>
      <c r="O896" s="319"/>
      <c r="P896" s="319"/>
      <c r="Q896" s="319"/>
      <c r="R896" s="319"/>
      <c r="S896" s="319"/>
      <c r="T896" s="319"/>
      <c r="U896" s="319"/>
      <c r="V896" s="319"/>
      <c r="W896" s="319"/>
    </row>
    <row r="897" spans="1:23" ht="13.2" hidden="1">
      <c r="A897" s="319"/>
      <c r="B897" s="319">
        <v>1995</v>
      </c>
      <c r="C897" s="319">
        <v>26</v>
      </c>
      <c r="D897" s="319">
        <v>0</v>
      </c>
      <c r="E897" s="319">
        <v>0</v>
      </c>
      <c r="F897" s="319">
        <v>0</v>
      </c>
      <c r="G897" s="319">
        <v>0</v>
      </c>
      <c r="H897" s="319">
        <v>0</v>
      </c>
      <c r="I897" s="319">
        <v>0</v>
      </c>
      <c r="J897" s="319">
        <v>0</v>
      </c>
      <c r="K897" s="319"/>
      <c r="L897" s="319"/>
      <c r="M897" s="319"/>
      <c r="N897" s="319"/>
      <c r="O897" s="319"/>
      <c r="P897" s="319"/>
      <c r="Q897" s="319"/>
      <c r="R897" s="319"/>
      <c r="S897" s="319"/>
      <c r="T897" s="319"/>
      <c r="U897" s="319"/>
      <c r="V897" s="319"/>
      <c r="W897" s="319"/>
    </row>
    <row r="898" spans="1:23" ht="13.2" hidden="1">
      <c r="A898" s="319"/>
      <c r="B898" s="319">
        <v>1996</v>
      </c>
      <c r="C898" s="319">
        <v>27</v>
      </c>
      <c r="D898" s="319">
        <v>0</v>
      </c>
      <c r="E898" s="319">
        <v>0</v>
      </c>
      <c r="F898" s="319">
        <v>0</v>
      </c>
      <c r="G898" s="319">
        <v>0</v>
      </c>
      <c r="H898" s="319">
        <v>0</v>
      </c>
      <c r="I898" s="319">
        <v>0</v>
      </c>
      <c r="J898" s="319">
        <v>0</v>
      </c>
      <c r="K898" s="319"/>
      <c r="L898" s="319"/>
      <c r="M898" s="319"/>
      <c r="N898" s="319"/>
      <c r="O898" s="319"/>
      <c r="P898" s="319"/>
      <c r="Q898" s="319"/>
      <c r="R898" s="319"/>
      <c r="S898" s="319"/>
      <c r="T898" s="319"/>
      <c r="U898" s="319"/>
      <c r="V898" s="319"/>
      <c r="W898" s="319"/>
    </row>
    <row r="899" spans="1:23" ht="13.2" hidden="1">
      <c r="A899" s="319"/>
      <c r="B899" s="319">
        <v>1997</v>
      </c>
      <c r="C899" s="319">
        <v>28</v>
      </c>
      <c r="D899" s="319">
        <v>0</v>
      </c>
      <c r="E899" s="319">
        <v>0</v>
      </c>
      <c r="F899" s="319">
        <v>0</v>
      </c>
      <c r="G899" s="319">
        <v>0</v>
      </c>
      <c r="H899" s="319">
        <v>0</v>
      </c>
      <c r="I899" s="319">
        <v>0</v>
      </c>
      <c r="J899" s="319">
        <v>0</v>
      </c>
      <c r="K899" s="319"/>
      <c r="L899" s="319"/>
      <c r="M899" s="319"/>
      <c r="N899" s="319"/>
      <c r="O899" s="319"/>
      <c r="P899" s="319"/>
      <c r="Q899" s="319"/>
      <c r="R899" s="319"/>
      <c r="S899" s="319"/>
      <c r="T899" s="319"/>
      <c r="U899" s="319"/>
      <c r="V899" s="319"/>
      <c r="W899" s="319"/>
    </row>
    <row r="900" spans="1:23" ht="13.2" hidden="1">
      <c r="A900" s="319"/>
      <c r="B900" s="319">
        <v>1998</v>
      </c>
      <c r="C900" s="319">
        <v>29</v>
      </c>
      <c r="D900" s="319">
        <v>0</v>
      </c>
      <c r="E900" s="319">
        <v>0</v>
      </c>
      <c r="F900" s="319">
        <v>0</v>
      </c>
      <c r="G900" s="319">
        <v>0</v>
      </c>
      <c r="H900" s="319">
        <v>0</v>
      </c>
      <c r="I900" s="319">
        <v>0</v>
      </c>
      <c r="J900" s="319">
        <v>0</v>
      </c>
      <c r="K900" s="319"/>
      <c r="L900" s="319"/>
      <c r="M900" s="319"/>
      <c r="N900" s="319"/>
      <c r="O900" s="319"/>
      <c r="P900" s="319"/>
      <c r="Q900" s="319"/>
      <c r="R900" s="319"/>
      <c r="S900" s="319"/>
      <c r="T900" s="319"/>
      <c r="U900" s="319"/>
      <c r="V900" s="319"/>
      <c r="W900" s="319"/>
    </row>
    <row r="901" spans="1:23" ht="13.2" hidden="1">
      <c r="A901" s="319"/>
      <c r="B901" s="319">
        <v>1999</v>
      </c>
      <c r="C901" s="319">
        <v>30</v>
      </c>
      <c r="D901" s="319">
        <v>0</v>
      </c>
      <c r="E901" s="319">
        <v>0</v>
      </c>
      <c r="F901" s="319">
        <v>0</v>
      </c>
      <c r="G901" s="319">
        <v>0</v>
      </c>
      <c r="H901" s="319">
        <v>0</v>
      </c>
      <c r="I901" s="319">
        <v>0</v>
      </c>
      <c r="J901" s="319">
        <v>0</v>
      </c>
      <c r="K901" s="319"/>
      <c r="L901" s="319"/>
      <c r="M901" s="319"/>
      <c r="N901" s="319"/>
      <c r="O901" s="319"/>
      <c r="P901" s="319"/>
      <c r="Q901" s="319"/>
      <c r="R901" s="319"/>
      <c r="S901" s="319"/>
      <c r="T901" s="319"/>
      <c r="U901" s="319"/>
      <c r="V901" s="319"/>
      <c r="W901" s="319"/>
    </row>
    <row r="902" spans="1:23" ht="13.2" hidden="1">
      <c r="A902" s="319"/>
      <c r="B902" s="319">
        <v>2000</v>
      </c>
      <c r="C902" s="319">
        <v>31</v>
      </c>
      <c r="D902" s="319">
        <v>0</v>
      </c>
      <c r="E902" s="319">
        <v>0</v>
      </c>
      <c r="F902" s="319">
        <v>0</v>
      </c>
      <c r="G902" s="319">
        <v>0</v>
      </c>
      <c r="H902" s="319">
        <v>0</v>
      </c>
      <c r="I902" s="319">
        <v>0</v>
      </c>
      <c r="J902" s="319">
        <v>0</v>
      </c>
      <c r="K902" s="319"/>
      <c r="L902" s="319"/>
      <c r="M902" s="319"/>
      <c r="N902" s="319"/>
      <c r="O902" s="319"/>
      <c r="P902" s="319"/>
      <c r="Q902" s="319"/>
      <c r="R902" s="319"/>
      <c r="S902" s="319"/>
      <c r="T902" s="319"/>
      <c r="U902" s="319"/>
      <c r="V902" s="319"/>
      <c r="W902" s="319"/>
    </row>
    <row r="903" spans="1:23" ht="13.2" hidden="1">
      <c r="A903" s="319"/>
      <c r="B903" s="319">
        <v>2001</v>
      </c>
      <c r="C903" s="319">
        <v>32</v>
      </c>
      <c r="D903" s="319">
        <v>0</v>
      </c>
      <c r="E903" s="319">
        <v>0</v>
      </c>
      <c r="F903" s="319">
        <v>0</v>
      </c>
      <c r="G903" s="319">
        <v>0</v>
      </c>
      <c r="H903" s="319">
        <v>0</v>
      </c>
      <c r="I903" s="319">
        <v>0</v>
      </c>
      <c r="J903" s="319">
        <v>0</v>
      </c>
      <c r="K903" s="319"/>
      <c r="L903" s="319"/>
      <c r="M903" s="319"/>
      <c r="N903" s="319"/>
      <c r="O903" s="319"/>
      <c r="P903" s="319"/>
      <c r="Q903" s="319"/>
      <c r="R903" s="319"/>
      <c r="S903" s="319"/>
      <c r="T903" s="319"/>
      <c r="U903" s="319"/>
      <c r="V903" s="319"/>
      <c r="W903" s="319"/>
    </row>
    <row r="904" spans="1:23" ht="13.2" hidden="1">
      <c r="A904" s="319"/>
      <c r="B904" s="319">
        <v>2002</v>
      </c>
      <c r="C904" s="319">
        <v>33</v>
      </c>
      <c r="D904" s="319">
        <v>0</v>
      </c>
      <c r="E904" s="319">
        <v>0</v>
      </c>
      <c r="F904" s="319">
        <v>0</v>
      </c>
      <c r="G904" s="319">
        <v>0</v>
      </c>
      <c r="H904" s="319">
        <v>0</v>
      </c>
      <c r="I904" s="319">
        <v>0</v>
      </c>
      <c r="J904" s="319">
        <v>0</v>
      </c>
      <c r="K904" s="319"/>
      <c r="L904" s="319"/>
      <c r="M904" s="319"/>
      <c r="N904" s="319"/>
      <c r="O904" s="319"/>
      <c r="P904" s="319"/>
      <c r="Q904" s="319"/>
      <c r="R904" s="319"/>
      <c r="S904" s="319"/>
      <c r="T904" s="319"/>
      <c r="U904" s="319"/>
      <c r="V904" s="319"/>
      <c r="W904" s="319"/>
    </row>
    <row r="905" spans="1:23" ht="13.2" hidden="1">
      <c r="A905" s="319"/>
      <c r="B905" s="319">
        <v>2003</v>
      </c>
      <c r="C905" s="319">
        <v>34</v>
      </c>
      <c r="D905" s="319">
        <v>0</v>
      </c>
      <c r="E905" s="319">
        <v>0</v>
      </c>
      <c r="F905" s="319">
        <v>0</v>
      </c>
      <c r="G905" s="319">
        <v>0</v>
      </c>
      <c r="H905" s="319">
        <v>0</v>
      </c>
      <c r="I905" s="319">
        <v>0</v>
      </c>
      <c r="J905" s="319">
        <v>0</v>
      </c>
      <c r="K905" s="319"/>
      <c r="L905" s="319"/>
      <c r="M905" s="319"/>
      <c r="N905" s="319"/>
      <c r="O905" s="319"/>
      <c r="P905" s="319"/>
      <c r="Q905" s="319"/>
      <c r="R905" s="319"/>
      <c r="S905" s="319"/>
      <c r="T905" s="319"/>
      <c r="U905" s="319"/>
      <c r="V905" s="319"/>
      <c r="W905" s="319"/>
    </row>
    <row r="906" spans="1:23" ht="13.2" hidden="1">
      <c r="A906" s="319"/>
      <c r="B906" s="319">
        <v>2004</v>
      </c>
      <c r="C906" s="319">
        <v>35</v>
      </c>
      <c r="D906" s="319">
        <v>0</v>
      </c>
      <c r="E906" s="319">
        <v>0</v>
      </c>
      <c r="F906" s="319">
        <v>0</v>
      </c>
      <c r="G906" s="319">
        <v>0</v>
      </c>
      <c r="H906" s="319">
        <v>0</v>
      </c>
      <c r="I906" s="319">
        <v>0</v>
      </c>
      <c r="J906" s="319">
        <v>0</v>
      </c>
      <c r="K906" s="319"/>
      <c r="L906" s="319"/>
      <c r="M906" s="319"/>
      <c r="N906" s="319"/>
      <c r="O906" s="319"/>
      <c r="P906" s="319"/>
      <c r="Q906" s="319"/>
      <c r="R906" s="319"/>
      <c r="S906" s="319"/>
      <c r="T906" s="319"/>
      <c r="U906" s="319"/>
      <c r="V906" s="319"/>
      <c r="W906" s="319"/>
    </row>
    <row r="907" spans="1:23" ht="13.2" hidden="1">
      <c r="A907" s="319"/>
      <c r="B907" s="319">
        <v>2005</v>
      </c>
      <c r="C907" s="319">
        <v>36</v>
      </c>
      <c r="D907" s="319">
        <v>0</v>
      </c>
      <c r="E907" s="319">
        <v>0</v>
      </c>
      <c r="F907" s="319">
        <v>0</v>
      </c>
      <c r="G907" s="319">
        <v>0</v>
      </c>
      <c r="H907" s="319">
        <v>0</v>
      </c>
      <c r="I907" s="319">
        <v>0</v>
      </c>
      <c r="J907" s="319">
        <v>0</v>
      </c>
      <c r="K907" s="319"/>
      <c r="L907" s="319"/>
      <c r="M907" s="319"/>
      <c r="N907" s="319"/>
      <c r="O907" s="319"/>
      <c r="P907" s="319"/>
      <c r="Q907" s="319"/>
      <c r="R907" s="319"/>
      <c r="S907" s="319"/>
      <c r="T907" s="319"/>
      <c r="U907" s="319"/>
      <c r="V907" s="319"/>
      <c r="W907" s="319"/>
    </row>
    <row r="908" spans="1:23" ht="13.2" hidden="1">
      <c r="A908" s="319"/>
      <c r="B908" s="319">
        <v>2006</v>
      </c>
      <c r="C908" s="319">
        <v>37</v>
      </c>
      <c r="D908" s="319">
        <v>0</v>
      </c>
      <c r="E908" s="319">
        <v>0</v>
      </c>
      <c r="F908" s="319">
        <v>0</v>
      </c>
      <c r="G908" s="319">
        <v>0</v>
      </c>
      <c r="H908" s="319">
        <v>0</v>
      </c>
      <c r="I908" s="319">
        <v>0</v>
      </c>
      <c r="J908" s="319">
        <v>0</v>
      </c>
      <c r="K908" s="319"/>
      <c r="L908" s="319"/>
      <c r="M908" s="319"/>
      <c r="N908" s="319"/>
      <c r="O908" s="319"/>
      <c r="P908" s="319"/>
      <c r="Q908" s="319"/>
      <c r="R908" s="319"/>
      <c r="S908" s="319"/>
      <c r="T908" s="319"/>
      <c r="U908" s="319"/>
      <c r="V908" s="319"/>
      <c r="W908" s="319"/>
    </row>
    <row r="909" spans="1:23" ht="13.2" hidden="1">
      <c r="A909" s="319"/>
      <c r="B909" s="319">
        <v>2007</v>
      </c>
      <c r="C909" s="319">
        <v>38</v>
      </c>
      <c r="D909" s="319">
        <v>0</v>
      </c>
      <c r="E909" s="319">
        <v>0</v>
      </c>
      <c r="F909" s="319">
        <v>0</v>
      </c>
      <c r="G909" s="319">
        <v>0</v>
      </c>
      <c r="H909" s="319">
        <v>0</v>
      </c>
      <c r="I909" s="319">
        <v>0</v>
      </c>
      <c r="J909" s="319">
        <v>0</v>
      </c>
      <c r="K909" s="319"/>
      <c r="L909" s="319"/>
      <c r="M909" s="319"/>
      <c r="N909" s="319"/>
      <c r="O909" s="319"/>
      <c r="P909" s="319"/>
      <c r="Q909" s="319"/>
      <c r="R909" s="319"/>
      <c r="S909" s="319"/>
      <c r="T909" s="319"/>
      <c r="U909" s="319"/>
      <c r="V909" s="319"/>
      <c r="W909" s="319"/>
    </row>
    <row r="910" spans="1:23" ht="13.2" hidden="1">
      <c r="A910" s="319"/>
      <c r="B910" s="319">
        <v>2008</v>
      </c>
      <c r="C910" s="319">
        <v>39</v>
      </c>
      <c r="D910" s="319">
        <v>0</v>
      </c>
      <c r="E910" s="319">
        <v>0</v>
      </c>
      <c r="F910" s="319">
        <v>0</v>
      </c>
      <c r="G910" s="319">
        <v>0</v>
      </c>
      <c r="H910" s="319">
        <v>0</v>
      </c>
      <c r="I910" s="319">
        <v>0</v>
      </c>
      <c r="J910" s="319">
        <v>0</v>
      </c>
      <c r="K910" s="319"/>
      <c r="L910" s="319"/>
      <c r="M910" s="319"/>
      <c r="N910" s="319"/>
      <c r="O910" s="319"/>
      <c r="P910" s="319"/>
      <c r="Q910" s="319"/>
      <c r="R910" s="319"/>
      <c r="S910" s="319"/>
      <c r="T910" s="319"/>
      <c r="U910" s="319"/>
      <c r="V910" s="319"/>
      <c r="W910" s="319"/>
    </row>
    <row r="911" spans="1:23" ht="13.2" hidden="1">
      <c r="A911" s="319"/>
      <c r="B911" s="319">
        <v>2009</v>
      </c>
      <c r="C911" s="319">
        <v>40</v>
      </c>
      <c r="D911" s="319">
        <v>0</v>
      </c>
      <c r="E911" s="319">
        <v>0</v>
      </c>
      <c r="F911" s="319">
        <v>0</v>
      </c>
      <c r="G911" s="319">
        <v>0</v>
      </c>
      <c r="H911" s="319">
        <v>0</v>
      </c>
      <c r="I911" s="319">
        <v>0</v>
      </c>
      <c r="J911" s="319">
        <v>0</v>
      </c>
      <c r="K911" s="319"/>
      <c r="L911" s="319"/>
      <c r="M911" s="319"/>
      <c r="N911" s="319"/>
      <c r="O911" s="319"/>
      <c r="P911" s="319"/>
      <c r="Q911" s="319"/>
      <c r="R911" s="319"/>
      <c r="S911" s="319"/>
      <c r="T911" s="319"/>
      <c r="U911" s="319"/>
      <c r="V911" s="319"/>
      <c r="W911" s="319"/>
    </row>
    <row r="912" spans="1:23" ht="13.2" hidden="1">
      <c r="A912" s="319"/>
      <c r="B912" s="319">
        <v>2010</v>
      </c>
      <c r="C912" s="319">
        <v>41</v>
      </c>
      <c r="D912" s="319">
        <v>0</v>
      </c>
      <c r="E912" s="319">
        <v>0</v>
      </c>
      <c r="F912" s="319">
        <v>0</v>
      </c>
      <c r="G912" s="319">
        <v>0</v>
      </c>
      <c r="H912" s="319">
        <v>0</v>
      </c>
      <c r="I912" s="319">
        <v>0</v>
      </c>
      <c r="J912" s="319">
        <v>0</v>
      </c>
      <c r="K912" s="319"/>
      <c r="L912" s="319"/>
      <c r="M912" s="319"/>
      <c r="N912" s="319"/>
      <c r="O912" s="319"/>
      <c r="P912" s="319"/>
      <c r="Q912" s="319"/>
      <c r="R912" s="319"/>
      <c r="S912" s="319"/>
      <c r="T912" s="319"/>
      <c r="U912" s="319"/>
      <c r="V912" s="319"/>
      <c r="W912" s="319"/>
    </row>
    <row r="913" spans="1:23" ht="13.2" hidden="1">
      <c r="A913" s="319"/>
      <c r="B913" s="319">
        <v>2011</v>
      </c>
      <c r="C913" s="319">
        <v>42</v>
      </c>
      <c r="D913" s="319">
        <v>0</v>
      </c>
      <c r="E913" s="319">
        <v>0</v>
      </c>
      <c r="F913" s="319">
        <v>0</v>
      </c>
      <c r="G913" s="319">
        <v>0</v>
      </c>
      <c r="H913" s="319">
        <v>0</v>
      </c>
      <c r="I913" s="319">
        <v>0</v>
      </c>
      <c r="J913" s="319">
        <v>0</v>
      </c>
      <c r="K913" s="319"/>
      <c r="L913" s="319"/>
      <c r="M913" s="319"/>
      <c r="N913" s="319"/>
      <c r="O913" s="319"/>
      <c r="P913" s="319"/>
      <c r="Q913" s="319"/>
      <c r="R913" s="319"/>
      <c r="S913" s="319"/>
      <c r="T913" s="319"/>
      <c r="U913" s="319"/>
      <c r="V913" s="319"/>
      <c r="W913" s="319"/>
    </row>
    <row r="914" spans="1:23" ht="13.2" hidden="1">
      <c r="A914" s="319"/>
      <c r="B914" s="319">
        <v>2012</v>
      </c>
      <c r="C914" s="319">
        <v>43</v>
      </c>
      <c r="D914" s="319">
        <v>0</v>
      </c>
      <c r="E914" s="319">
        <v>0</v>
      </c>
      <c r="F914" s="319">
        <v>0</v>
      </c>
      <c r="G914" s="319">
        <v>0</v>
      </c>
      <c r="H914" s="319">
        <v>0</v>
      </c>
      <c r="I914" s="319">
        <v>0</v>
      </c>
      <c r="J914" s="319">
        <v>0</v>
      </c>
      <c r="K914" s="319"/>
      <c r="L914" s="319"/>
      <c r="M914" s="319"/>
      <c r="N914" s="319"/>
      <c r="O914" s="319"/>
      <c r="P914" s="319"/>
      <c r="Q914" s="319"/>
      <c r="R914" s="319"/>
      <c r="S914" s="319"/>
      <c r="T914" s="319"/>
      <c r="U914" s="319"/>
      <c r="V914" s="319"/>
      <c r="W914" s="319"/>
    </row>
    <row r="915" spans="1:23" ht="13.2" hidden="1">
      <c r="A915" s="319"/>
      <c r="B915" s="319">
        <v>2013</v>
      </c>
      <c r="C915" s="319">
        <v>44</v>
      </c>
      <c r="D915" s="319">
        <v>0</v>
      </c>
      <c r="E915" s="319">
        <v>0</v>
      </c>
      <c r="F915" s="319">
        <v>0</v>
      </c>
      <c r="G915" s="319">
        <v>0</v>
      </c>
      <c r="H915" s="319">
        <v>0</v>
      </c>
      <c r="I915" s="319">
        <v>0</v>
      </c>
      <c r="J915" s="319">
        <v>0</v>
      </c>
      <c r="K915" s="319"/>
      <c r="L915" s="319"/>
      <c r="M915" s="319"/>
      <c r="N915" s="319"/>
      <c r="O915" s="319"/>
      <c r="P915" s="319"/>
      <c r="Q915" s="319"/>
      <c r="R915" s="319"/>
      <c r="S915" s="319"/>
      <c r="T915" s="319"/>
      <c r="U915" s="319"/>
      <c r="V915" s="319"/>
      <c r="W915" s="319"/>
    </row>
    <row r="916" spans="1:23" ht="13.2" hidden="1">
      <c r="A916" s="319"/>
      <c r="B916" s="319">
        <v>2014</v>
      </c>
      <c r="C916" s="319">
        <v>45</v>
      </c>
      <c r="D916" s="319">
        <v>0</v>
      </c>
      <c r="E916" s="319">
        <v>0</v>
      </c>
      <c r="F916" s="319">
        <v>0</v>
      </c>
      <c r="G916" s="319">
        <v>0</v>
      </c>
      <c r="H916" s="319">
        <v>0</v>
      </c>
      <c r="I916" s="319">
        <v>0</v>
      </c>
      <c r="J916" s="319">
        <v>0</v>
      </c>
      <c r="K916" s="319"/>
      <c r="L916" s="319"/>
      <c r="M916" s="319"/>
      <c r="N916" s="319"/>
      <c r="O916" s="319"/>
      <c r="P916" s="319"/>
      <c r="Q916" s="319"/>
      <c r="R916" s="319"/>
      <c r="S916" s="319"/>
      <c r="T916" s="319"/>
      <c r="U916" s="319"/>
      <c r="V916" s="319"/>
      <c r="W916" s="319"/>
    </row>
    <row r="917" spans="1:23" ht="13.2" hidden="1">
      <c r="A917" s="319"/>
      <c r="B917" s="319">
        <v>2015</v>
      </c>
      <c r="C917" s="319">
        <v>46</v>
      </c>
      <c r="D917" s="319">
        <v>0</v>
      </c>
      <c r="E917" s="319">
        <v>0</v>
      </c>
      <c r="F917" s="319">
        <v>0</v>
      </c>
      <c r="G917" s="319">
        <v>0</v>
      </c>
      <c r="H917" s="319">
        <v>0</v>
      </c>
      <c r="I917" s="319">
        <v>0</v>
      </c>
      <c r="J917" s="319">
        <v>0</v>
      </c>
      <c r="K917" s="319"/>
      <c r="L917" s="319"/>
      <c r="M917" s="319"/>
      <c r="N917" s="319"/>
      <c r="O917" s="319"/>
      <c r="P917" s="319"/>
      <c r="Q917" s="319"/>
      <c r="R917" s="319"/>
      <c r="S917" s="319"/>
      <c r="T917" s="319"/>
      <c r="U917" s="319"/>
      <c r="V917" s="319"/>
      <c r="W917" s="319"/>
    </row>
    <row r="918" spans="1:23" ht="13.2" hidden="1">
      <c r="A918" s="319"/>
      <c r="B918" s="319">
        <v>2016</v>
      </c>
      <c r="C918" s="319">
        <v>47</v>
      </c>
      <c r="D918" s="319">
        <v>0</v>
      </c>
      <c r="E918" s="319">
        <v>0</v>
      </c>
      <c r="F918" s="319">
        <v>0</v>
      </c>
      <c r="G918" s="319">
        <v>0</v>
      </c>
      <c r="H918" s="319">
        <v>0</v>
      </c>
      <c r="I918" s="319">
        <v>0</v>
      </c>
      <c r="J918" s="319">
        <v>0</v>
      </c>
      <c r="K918" s="319"/>
      <c r="L918" s="319"/>
      <c r="M918" s="319"/>
      <c r="N918" s="319"/>
      <c r="O918" s="319"/>
      <c r="P918" s="319"/>
      <c r="Q918" s="319"/>
      <c r="R918" s="319"/>
      <c r="S918" s="319"/>
      <c r="T918" s="319"/>
      <c r="U918" s="319"/>
      <c r="V918" s="319"/>
      <c r="W918" s="319"/>
    </row>
    <row r="919" spans="1:23" ht="13.2" hidden="1">
      <c r="A919" s="319"/>
      <c r="B919" s="319">
        <v>2017</v>
      </c>
      <c r="C919" s="319">
        <v>48</v>
      </c>
      <c r="D919" s="319">
        <v>0</v>
      </c>
      <c r="E919" s="319">
        <v>0</v>
      </c>
      <c r="F919" s="319">
        <v>0</v>
      </c>
      <c r="G919" s="319">
        <v>0</v>
      </c>
      <c r="H919" s="319">
        <v>0</v>
      </c>
      <c r="I919" s="319">
        <v>0</v>
      </c>
      <c r="J919" s="319">
        <v>0</v>
      </c>
      <c r="K919" s="319"/>
      <c r="L919" s="319"/>
      <c r="M919" s="319"/>
      <c r="N919" s="319"/>
      <c r="O919" s="319"/>
      <c r="P919" s="319"/>
      <c r="Q919" s="319"/>
      <c r="R919" s="319"/>
      <c r="S919" s="319"/>
      <c r="T919" s="319"/>
      <c r="U919" s="319"/>
      <c r="V919" s="319"/>
      <c r="W919" s="319"/>
    </row>
    <row r="920" spans="1:23" ht="13.2" hidden="1">
      <c r="A920" s="319"/>
      <c r="B920" s="319">
        <v>2018</v>
      </c>
      <c r="C920" s="319">
        <v>49</v>
      </c>
      <c r="D920" s="319">
        <v>0</v>
      </c>
      <c r="E920" s="319">
        <v>0</v>
      </c>
      <c r="F920" s="319">
        <v>0</v>
      </c>
      <c r="G920" s="319">
        <v>0</v>
      </c>
      <c r="H920" s="319">
        <v>0</v>
      </c>
      <c r="I920" s="319">
        <v>0</v>
      </c>
      <c r="J920" s="319">
        <v>0</v>
      </c>
      <c r="K920" s="319"/>
      <c r="L920" s="319"/>
      <c r="M920" s="319"/>
      <c r="N920" s="319"/>
      <c r="O920" s="319"/>
      <c r="P920" s="319"/>
      <c r="Q920" s="319"/>
      <c r="R920" s="319"/>
      <c r="S920" s="319"/>
      <c r="T920" s="319"/>
      <c r="U920" s="319"/>
      <c r="V920" s="319"/>
      <c r="W920" s="319"/>
    </row>
    <row r="921" spans="1:23" ht="13.2" hidden="1">
      <c r="A921" s="319"/>
      <c r="B921" s="319">
        <v>2019</v>
      </c>
      <c r="C921" s="319">
        <v>50</v>
      </c>
      <c r="D921" s="319">
        <v>0</v>
      </c>
      <c r="E921" s="319">
        <v>0</v>
      </c>
      <c r="F921" s="319">
        <v>0</v>
      </c>
      <c r="G921" s="319">
        <v>0</v>
      </c>
      <c r="H921" s="319">
        <v>0</v>
      </c>
      <c r="I921" s="319">
        <v>0</v>
      </c>
      <c r="J921" s="319">
        <v>0</v>
      </c>
      <c r="K921" s="319"/>
      <c r="L921" s="319"/>
      <c r="M921" s="319"/>
      <c r="N921" s="319"/>
      <c r="O921" s="319"/>
      <c r="P921" s="319"/>
      <c r="Q921" s="319"/>
      <c r="R921" s="319"/>
      <c r="S921" s="319"/>
      <c r="T921" s="319"/>
      <c r="U921" s="319"/>
      <c r="V921" s="319"/>
      <c r="W921" s="319"/>
    </row>
    <row r="922" spans="1:23" ht="13.2" hidden="1">
      <c r="A922" s="319"/>
      <c r="B922" s="319">
        <v>2020</v>
      </c>
      <c r="C922" s="319">
        <v>51</v>
      </c>
      <c r="D922" s="319">
        <v>0</v>
      </c>
      <c r="E922" s="319">
        <v>0</v>
      </c>
      <c r="F922" s="319">
        <v>0</v>
      </c>
      <c r="G922" s="319">
        <v>0</v>
      </c>
      <c r="H922" s="319">
        <v>0</v>
      </c>
      <c r="I922" s="319">
        <v>0</v>
      </c>
      <c r="J922" s="319">
        <v>0</v>
      </c>
      <c r="K922" s="319"/>
      <c r="L922" s="319"/>
      <c r="M922" s="319"/>
      <c r="N922" s="319"/>
      <c r="O922" s="319"/>
      <c r="P922" s="319"/>
      <c r="Q922" s="319"/>
      <c r="R922" s="319"/>
      <c r="S922" s="319"/>
      <c r="T922" s="319"/>
      <c r="U922" s="319"/>
      <c r="V922" s="319"/>
      <c r="W922" s="319"/>
    </row>
    <row r="923" spans="1:23" ht="13.2" hidden="1">
      <c r="A923" s="319"/>
      <c r="B923" s="319">
        <v>2021</v>
      </c>
      <c r="C923" s="319">
        <v>52</v>
      </c>
      <c r="D923" s="319">
        <v>0</v>
      </c>
      <c r="E923" s="319">
        <v>0</v>
      </c>
      <c r="F923" s="319">
        <v>0</v>
      </c>
      <c r="G923" s="319">
        <v>0</v>
      </c>
      <c r="H923" s="319">
        <v>0</v>
      </c>
      <c r="I923" s="319">
        <v>0</v>
      </c>
      <c r="J923" s="319">
        <v>0</v>
      </c>
      <c r="K923" s="319"/>
      <c r="L923" s="319"/>
      <c r="M923" s="319"/>
      <c r="N923" s="319"/>
      <c r="O923" s="319"/>
      <c r="P923" s="319"/>
      <c r="Q923" s="319"/>
      <c r="R923" s="319"/>
      <c r="S923" s="319"/>
      <c r="T923" s="319"/>
      <c r="U923" s="319"/>
      <c r="V923" s="319"/>
      <c r="W923" s="319"/>
    </row>
    <row r="924" spans="1:23" ht="13.2" hidden="1">
      <c r="A924" s="319"/>
      <c r="B924" s="319">
        <v>2022</v>
      </c>
      <c r="C924" s="319">
        <v>53</v>
      </c>
      <c r="D924" s="319">
        <v>0</v>
      </c>
      <c r="E924" s="319">
        <v>0</v>
      </c>
      <c r="F924" s="319">
        <v>0</v>
      </c>
      <c r="G924" s="319">
        <v>0</v>
      </c>
      <c r="H924" s="319">
        <v>0</v>
      </c>
      <c r="I924" s="319">
        <v>0</v>
      </c>
      <c r="J924" s="319">
        <v>0</v>
      </c>
      <c r="K924" s="319"/>
      <c r="L924" s="319"/>
      <c r="M924" s="319"/>
      <c r="N924" s="319"/>
      <c r="O924" s="319"/>
      <c r="P924" s="319"/>
      <c r="Q924" s="319"/>
      <c r="R924" s="319"/>
      <c r="S924" s="319"/>
      <c r="T924" s="319"/>
      <c r="U924" s="319"/>
      <c r="V924" s="319"/>
      <c r="W924" s="319"/>
    </row>
    <row r="925" spans="1:23" ht="13.2" hidden="1">
      <c r="A925" s="319"/>
      <c r="B925" s="319">
        <v>2023</v>
      </c>
      <c r="C925" s="319">
        <v>54</v>
      </c>
      <c r="D925" s="319">
        <v>0</v>
      </c>
      <c r="E925" s="319">
        <v>0</v>
      </c>
      <c r="F925" s="319">
        <v>0</v>
      </c>
      <c r="G925" s="319">
        <v>0</v>
      </c>
      <c r="H925" s="319">
        <v>0</v>
      </c>
      <c r="I925" s="319">
        <v>0</v>
      </c>
      <c r="J925" s="319">
        <v>0</v>
      </c>
      <c r="K925" s="319"/>
      <c r="L925" s="319"/>
      <c r="M925" s="319"/>
      <c r="N925" s="319"/>
      <c r="O925" s="319"/>
      <c r="P925" s="319"/>
      <c r="Q925" s="319"/>
      <c r="R925" s="319"/>
      <c r="S925" s="319"/>
      <c r="T925" s="319"/>
      <c r="U925" s="319"/>
      <c r="V925" s="319"/>
      <c r="W925" s="319"/>
    </row>
    <row r="926" spans="1:23" ht="13.2" hidden="1">
      <c r="A926" s="319"/>
      <c r="B926" s="319">
        <v>2024</v>
      </c>
      <c r="C926" s="319">
        <v>55</v>
      </c>
      <c r="D926" s="319">
        <v>0</v>
      </c>
      <c r="E926" s="319">
        <v>0</v>
      </c>
      <c r="F926" s="319">
        <v>0</v>
      </c>
      <c r="G926" s="319">
        <v>0</v>
      </c>
      <c r="H926" s="319">
        <v>0</v>
      </c>
      <c r="I926" s="319">
        <v>0</v>
      </c>
      <c r="J926" s="319">
        <v>0</v>
      </c>
      <c r="K926" s="319"/>
      <c r="L926" s="319"/>
      <c r="M926" s="319"/>
      <c r="N926" s="319"/>
      <c r="O926" s="319"/>
      <c r="P926" s="319"/>
      <c r="Q926" s="319"/>
      <c r="R926" s="319"/>
      <c r="S926" s="319"/>
      <c r="T926" s="319"/>
      <c r="U926" s="319"/>
      <c r="V926" s="319"/>
      <c r="W926" s="319"/>
    </row>
    <row r="927" spans="1:23" ht="13.2" hidden="1">
      <c r="A927" s="319"/>
      <c r="B927" s="319">
        <v>2025</v>
      </c>
      <c r="C927" s="319">
        <v>56</v>
      </c>
      <c r="D927" s="319">
        <v>0</v>
      </c>
      <c r="E927" s="319">
        <v>0</v>
      </c>
      <c r="F927" s="319">
        <v>0</v>
      </c>
      <c r="G927" s="319">
        <v>0</v>
      </c>
      <c r="H927" s="319">
        <v>0</v>
      </c>
      <c r="I927" s="319">
        <v>0</v>
      </c>
      <c r="J927" s="319">
        <v>0</v>
      </c>
      <c r="K927" s="319"/>
      <c r="L927" s="319"/>
      <c r="M927" s="319"/>
      <c r="N927" s="319"/>
      <c r="O927" s="319"/>
      <c r="P927" s="319"/>
      <c r="Q927" s="319"/>
      <c r="R927" s="319"/>
      <c r="S927" s="319"/>
      <c r="T927" s="319"/>
      <c r="U927" s="319"/>
      <c r="V927" s="319"/>
      <c r="W927" s="319"/>
    </row>
    <row r="928" spans="1:23" ht="13.2" hidden="1">
      <c r="A928" s="319"/>
      <c r="B928" s="319">
        <v>2026</v>
      </c>
      <c r="C928" s="319">
        <v>57</v>
      </c>
      <c r="D928" s="319">
        <v>0</v>
      </c>
      <c r="E928" s="319">
        <v>0</v>
      </c>
      <c r="F928" s="319">
        <v>0</v>
      </c>
      <c r="G928" s="319">
        <v>0</v>
      </c>
      <c r="H928" s="319">
        <v>0</v>
      </c>
      <c r="I928" s="319">
        <v>0</v>
      </c>
      <c r="J928" s="319">
        <v>0</v>
      </c>
      <c r="K928" s="319"/>
      <c r="L928" s="319"/>
      <c r="M928" s="319"/>
      <c r="N928" s="319"/>
      <c r="O928" s="319"/>
      <c r="P928" s="319"/>
      <c r="Q928" s="319"/>
      <c r="R928" s="319"/>
      <c r="S928" s="319"/>
      <c r="T928" s="319"/>
      <c r="U928" s="319"/>
      <c r="V928" s="319"/>
      <c r="W928" s="319"/>
    </row>
    <row r="929" spans="1:23" ht="13.2" hidden="1">
      <c r="A929" s="319"/>
      <c r="B929" s="319">
        <v>2027</v>
      </c>
      <c r="C929" s="319">
        <v>58</v>
      </c>
      <c r="D929" s="319">
        <v>0</v>
      </c>
      <c r="E929" s="319">
        <v>0</v>
      </c>
      <c r="F929" s="319">
        <v>0</v>
      </c>
      <c r="G929" s="319">
        <v>0</v>
      </c>
      <c r="H929" s="319">
        <v>0</v>
      </c>
      <c r="I929" s="319">
        <v>0</v>
      </c>
      <c r="J929" s="319">
        <v>0</v>
      </c>
      <c r="K929" s="319"/>
      <c r="L929" s="319"/>
      <c r="M929" s="319"/>
      <c r="N929" s="319"/>
      <c r="O929" s="319"/>
      <c r="P929" s="319"/>
      <c r="Q929" s="319"/>
      <c r="R929" s="319"/>
      <c r="S929" s="319"/>
      <c r="T929" s="319"/>
      <c r="U929" s="319"/>
      <c r="V929" s="319"/>
      <c r="W929" s="319"/>
    </row>
    <row r="930" spans="1:23" ht="13.2" hidden="1">
      <c r="A930" s="319"/>
      <c r="B930" s="319">
        <v>2028</v>
      </c>
      <c r="C930" s="319">
        <v>59</v>
      </c>
      <c r="D930" s="319">
        <v>0</v>
      </c>
      <c r="E930" s="319">
        <v>0</v>
      </c>
      <c r="F930" s="319">
        <v>0</v>
      </c>
      <c r="G930" s="319">
        <v>0</v>
      </c>
      <c r="H930" s="319">
        <v>0</v>
      </c>
      <c r="I930" s="319">
        <v>0</v>
      </c>
      <c r="J930" s="319">
        <v>0</v>
      </c>
      <c r="K930" s="319"/>
      <c r="L930" s="319"/>
      <c r="M930" s="319"/>
      <c r="N930" s="319"/>
      <c r="O930" s="319"/>
      <c r="P930" s="319"/>
      <c r="Q930" s="319"/>
      <c r="R930" s="319"/>
      <c r="S930" s="319"/>
      <c r="T930" s="319"/>
      <c r="U930" s="319"/>
      <c r="V930" s="319"/>
      <c r="W930" s="319"/>
    </row>
    <row r="931" spans="1:23" ht="13.2" hidden="1">
      <c r="A931" s="319"/>
      <c r="B931" s="319">
        <v>2029</v>
      </c>
      <c r="C931" s="319">
        <v>60</v>
      </c>
      <c r="D931" s="319">
        <v>0</v>
      </c>
      <c r="E931" s="319">
        <v>0</v>
      </c>
      <c r="F931" s="319">
        <v>0</v>
      </c>
      <c r="G931" s="319">
        <v>0</v>
      </c>
      <c r="H931" s="319">
        <v>0</v>
      </c>
      <c r="I931" s="319">
        <v>0</v>
      </c>
      <c r="J931" s="319">
        <v>0</v>
      </c>
      <c r="K931" s="319"/>
      <c r="L931" s="319"/>
      <c r="M931" s="319"/>
      <c r="N931" s="319"/>
      <c r="O931" s="319"/>
      <c r="P931" s="319"/>
      <c r="Q931" s="319"/>
      <c r="R931" s="319"/>
      <c r="S931" s="319"/>
      <c r="T931" s="319"/>
      <c r="U931" s="319"/>
      <c r="V931" s="319"/>
      <c r="W931" s="319"/>
    </row>
    <row r="932" spans="1:23" ht="13.2" hidden="1">
      <c r="A932" s="319"/>
      <c r="B932" s="319">
        <v>2030</v>
      </c>
      <c r="C932" s="319">
        <v>61</v>
      </c>
      <c r="D932" s="319">
        <v>0</v>
      </c>
      <c r="E932" s="319">
        <v>0</v>
      </c>
      <c r="F932" s="319">
        <v>0</v>
      </c>
      <c r="G932" s="319">
        <v>0</v>
      </c>
      <c r="H932" s="319">
        <v>0</v>
      </c>
      <c r="I932" s="319">
        <v>0</v>
      </c>
      <c r="J932" s="319">
        <v>0</v>
      </c>
      <c r="K932" s="319"/>
      <c r="L932" s="319"/>
      <c r="M932" s="319"/>
      <c r="N932" s="319"/>
      <c r="O932" s="319"/>
      <c r="P932" s="319"/>
      <c r="Q932" s="319"/>
      <c r="R932" s="319"/>
      <c r="S932" s="319"/>
      <c r="T932" s="319"/>
      <c r="U932" s="319"/>
      <c r="V932" s="319"/>
      <c r="W932" s="319"/>
    </row>
    <row r="933" spans="1:23" ht="13.2" hidden="1">
      <c r="A933" s="319"/>
      <c r="B933" s="319">
        <v>2031</v>
      </c>
      <c r="C933" s="319">
        <v>62</v>
      </c>
      <c r="D933" s="319">
        <v>0</v>
      </c>
      <c r="E933" s="319">
        <v>0</v>
      </c>
      <c r="F933" s="319">
        <v>0</v>
      </c>
      <c r="G933" s="319">
        <v>0</v>
      </c>
      <c r="H933" s="319">
        <v>0</v>
      </c>
      <c r="I933" s="319">
        <v>0</v>
      </c>
      <c r="J933" s="319">
        <v>0</v>
      </c>
      <c r="K933" s="319"/>
      <c r="L933" s="319"/>
      <c r="M933" s="319"/>
      <c r="N933" s="319"/>
      <c r="O933" s="319"/>
      <c r="P933" s="319"/>
      <c r="Q933" s="319"/>
      <c r="R933" s="319"/>
      <c r="S933" s="319"/>
      <c r="T933" s="319"/>
      <c r="U933" s="319"/>
      <c r="V933" s="319"/>
      <c r="W933" s="319"/>
    </row>
    <row r="934" spans="1:23" ht="13.2" hidden="1">
      <c r="A934" s="319"/>
      <c r="B934" s="319">
        <v>2032</v>
      </c>
      <c r="C934" s="319">
        <v>63</v>
      </c>
      <c r="D934" s="319">
        <v>0</v>
      </c>
      <c r="E934" s="319">
        <v>0</v>
      </c>
      <c r="F934" s="319">
        <v>0</v>
      </c>
      <c r="G934" s="319">
        <v>0</v>
      </c>
      <c r="H934" s="319">
        <v>0</v>
      </c>
      <c r="I934" s="319">
        <v>0</v>
      </c>
      <c r="J934" s="319">
        <v>0</v>
      </c>
      <c r="K934" s="319"/>
      <c r="L934" s="319"/>
      <c r="M934" s="319"/>
      <c r="N934" s="319"/>
      <c r="O934" s="319"/>
      <c r="P934" s="319"/>
      <c r="Q934" s="319"/>
      <c r="R934" s="319"/>
      <c r="S934" s="319"/>
      <c r="T934" s="319"/>
      <c r="U934" s="319"/>
      <c r="V934" s="319"/>
      <c r="W934" s="319"/>
    </row>
    <row r="935" spans="1:23" ht="13.2" hidden="1">
      <c r="A935" s="319"/>
      <c r="B935" s="319">
        <v>2033</v>
      </c>
      <c r="C935" s="319">
        <v>64</v>
      </c>
      <c r="D935" s="319">
        <v>0</v>
      </c>
      <c r="E935" s="319">
        <v>0</v>
      </c>
      <c r="F935" s="319">
        <v>0</v>
      </c>
      <c r="G935" s="319">
        <v>0</v>
      </c>
      <c r="H935" s="319">
        <v>0</v>
      </c>
      <c r="I935" s="319">
        <v>0</v>
      </c>
      <c r="J935" s="319">
        <v>0</v>
      </c>
      <c r="K935" s="319"/>
      <c r="L935" s="319"/>
      <c r="M935" s="319"/>
      <c r="N935" s="319"/>
      <c r="O935" s="319"/>
      <c r="P935" s="319"/>
      <c r="Q935" s="319"/>
      <c r="R935" s="319"/>
      <c r="S935" s="319"/>
      <c r="T935" s="319"/>
      <c r="U935" s="319"/>
      <c r="V935" s="319"/>
      <c r="W935" s="319"/>
    </row>
    <row r="936" spans="1:23" ht="13.2" hidden="1">
      <c r="A936" s="319"/>
      <c r="B936" s="319">
        <v>2034</v>
      </c>
      <c r="C936" s="319">
        <v>65</v>
      </c>
      <c r="D936" s="319">
        <v>0</v>
      </c>
      <c r="E936" s="319">
        <v>0</v>
      </c>
      <c r="F936" s="319">
        <v>0</v>
      </c>
      <c r="G936" s="319">
        <v>0</v>
      </c>
      <c r="H936" s="319">
        <v>0</v>
      </c>
      <c r="I936" s="319">
        <v>0</v>
      </c>
      <c r="J936" s="319">
        <v>0</v>
      </c>
      <c r="K936" s="319"/>
      <c r="L936" s="319"/>
      <c r="M936" s="319"/>
      <c r="N936" s="319"/>
      <c r="O936" s="319"/>
      <c r="P936" s="319"/>
      <c r="Q936" s="319"/>
      <c r="R936" s="319"/>
      <c r="S936" s="319"/>
      <c r="T936" s="319"/>
      <c r="U936" s="319"/>
      <c r="V936" s="319"/>
      <c r="W936" s="319"/>
    </row>
    <row r="937" spans="1:23" ht="13.2" hidden="1">
      <c r="A937" s="319"/>
      <c r="B937" s="319">
        <v>2035</v>
      </c>
      <c r="C937" s="319">
        <v>66</v>
      </c>
      <c r="D937" s="319">
        <v>0</v>
      </c>
      <c r="E937" s="319">
        <v>0</v>
      </c>
      <c r="F937" s="319">
        <v>0</v>
      </c>
      <c r="G937" s="319">
        <v>0</v>
      </c>
      <c r="H937" s="319">
        <v>0</v>
      </c>
      <c r="I937" s="319">
        <v>0</v>
      </c>
      <c r="J937" s="319">
        <v>0</v>
      </c>
      <c r="K937" s="319"/>
      <c r="L937" s="319"/>
      <c r="M937" s="319"/>
      <c r="N937" s="319"/>
      <c r="O937" s="319"/>
      <c r="P937" s="319"/>
      <c r="Q937" s="319"/>
      <c r="R937" s="319"/>
      <c r="S937" s="319"/>
      <c r="T937" s="319"/>
      <c r="U937" s="319"/>
      <c r="V937" s="319"/>
      <c r="W937" s="319"/>
    </row>
    <row r="938" spans="1:23" ht="13.2" hidden="1">
      <c r="A938" s="319"/>
      <c r="B938" s="319">
        <v>2036</v>
      </c>
      <c r="C938" s="319">
        <v>67</v>
      </c>
      <c r="D938" s="319">
        <v>0</v>
      </c>
      <c r="E938" s="319">
        <v>0</v>
      </c>
      <c r="F938" s="319">
        <v>0</v>
      </c>
      <c r="G938" s="319">
        <v>0</v>
      </c>
      <c r="H938" s="319">
        <v>0</v>
      </c>
      <c r="I938" s="319">
        <v>0</v>
      </c>
      <c r="J938" s="319">
        <v>0</v>
      </c>
      <c r="K938" s="319"/>
      <c r="L938" s="319"/>
      <c r="M938" s="319"/>
      <c r="N938" s="319"/>
      <c r="O938" s="319"/>
      <c r="P938" s="319"/>
      <c r="Q938" s="319"/>
      <c r="R938" s="319"/>
      <c r="S938" s="319"/>
      <c r="T938" s="319"/>
      <c r="U938" s="319"/>
      <c r="V938" s="319"/>
      <c r="W938" s="319"/>
    </row>
    <row r="939" spans="1:23" ht="13.2" hidden="1">
      <c r="A939" s="319"/>
      <c r="B939" s="319">
        <v>2037</v>
      </c>
      <c r="C939" s="319">
        <v>68</v>
      </c>
      <c r="D939" s="319">
        <v>0</v>
      </c>
      <c r="E939" s="319">
        <v>0</v>
      </c>
      <c r="F939" s="319">
        <v>0</v>
      </c>
      <c r="G939" s="319">
        <v>0</v>
      </c>
      <c r="H939" s="319">
        <v>0</v>
      </c>
      <c r="I939" s="319">
        <v>0</v>
      </c>
      <c r="J939" s="319">
        <v>0</v>
      </c>
      <c r="K939" s="319"/>
      <c r="L939" s="319"/>
      <c r="M939" s="319"/>
      <c r="N939" s="319"/>
      <c r="O939" s="319"/>
      <c r="P939" s="319"/>
      <c r="Q939" s="319"/>
      <c r="R939" s="319"/>
      <c r="S939" s="319"/>
      <c r="T939" s="319"/>
      <c r="U939" s="319"/>
      <c r="V939" s="319"/>
      <c r="W939" s="319"/>
    </row>
    <row r="940" spans="1:23" ht="13.2" hidden="1">
      <c r="A940" s="319"/>
      <c r="B940" s="319">
        <v>2038</v>
      </c>
      <c r="C940" s="319">
        <v>69</v>
      </c>
      <c r="D940" s="319">
        <v>0</v>
      </c>
      <c r="E940" s="319">
        <v>0</v>
      </c>
      <c r="F940" s="319">
        <v>0</v>
      </c>
      <c r="G940" s="319">
        <v>0</v>
      </c>
      <c r="H940" s="319">
        <v>0</v>
      </c>
      <c r="I940" s="319">
        <v>0</v>
      </c>
      <c r="J940" s="319">
        <v>0</v>
      </c>
      <c r="K940" s="319"/>
      <c r="L940" s="319"/>
      <c r="M940" s="319"/>
      <c r="N940" s="319"/>
      <c r="O940" s="319"/>
      <c r="P940" s="319"/>
      <c r="Q940" s="319"/>
      <c r="R940" s="319"/>
      <c r="S940" s="319"/>
      <c r="T940" s="319"/>
      <c r="U940" s="319"/>
      <c r="V940" s="319"/>
      <c r="W940" s="319"/>
    </row>
    <row r="941" spans="1:23" ht="13.2" hidden="1">
      <c r="A941" s="319"/>
      <c r="B941" s="319">
        <v>2039</v>
      </c>
      <c r="C941" s="319">
        <v>70</v>
      </c>
      <c r="D941" s="319">
        <v>0</v>
      </c>
      <c r="E941" s="319">
        <v>0</v>
      </c>
      <c r="F941" s="319">
        <v>0</v>
      </c>
      <c r="G941" s="319">
        <v>0</v>
      </c>
      <c r="H941" s="319">
        <v>0</v>
      </c>
      <c r="I941" s="319">
        <v>0</v>
      </c>
      <c r="J941" s="319">
        <v>0</v>
      </c>
      <c r="K941" s="319"/>
      <c r="L941" s="319"/>
      <c r="M941" s="319"/>
      <c r="N941" s="319"/>
      <c r="O941" s="319"/>
      <c r="P941" s="319"/>
      <c r="Q941" s="319"/>
      <c r="R941" s="319"/>
      <c r="S941" s="319"/>
      <c r="T941" s="319"/>
      <c r="U941" s="319"/>
      <c r="V941" s="319"/>
      <c r="W941" s="319"/>
    </row>
    <row r="942" spans="1:23" ht="13.2" hidden="1">
      <c r="A942" s="319"/>
      <c r="B942" s="319">
        <v>2040</v>
      </c>
      <c r="C942" s="319">
        <v>71</v>
      </c>
      <c r="D942" s="319">
        <v>0</v>
      </c>
      <c r="E942" s="319">
        <v>0</v>
      </c>
      <c r="F942" s="319">
        <v>0</v>
      </c>
      <c r="G942" s="319">
        <v>0</v>
      </c>
      <c r="H942" s="319">
        <v>0</v>
      </c>
      <c r="I942" s="319">
        <v>0</v>
      </c>
      <c r="J942" s="319">
        <v>0</v>
      </c>
      <c r="K942" s="319"/>
      <c r="L942" s="319"/>
      <c r="M942" s="319"/>
      <c r="N942" s="319"/>
      <c r="O942" s="319"/>
      <c r="P942" s="319"/>
      <c r="Q942" s="319"/>
      <c r="R942" s="319"/>
      <c r="S942" s="319"/>
      <c r="T942" s="319"/>
      <c r="U942" s="319"/>
      <c r="V942" s="319"/>
      <c r="W942" s="319"/>
    </row>
    <row r="943" spans="1:23" ht="13.2" hidden="1">
      <c r="A943" s="319"/>
      <c r="B943" s="319">
        <v>2041</v>
      </c>
      <c r="C943" s="319">
        <v>72</v>
      </c>
      <c r="D943" s="319">
        <v>0</v>
      </c>
      <c r="E943" s="319">
        <v>0</v>
      </c>
      <c r="F943" s="319">
        <v>0</v>
      </c>
      <c r="G943" s="319">
        <v>0</v>
      </c>
      <c r="H943" s="319">
        <v>0</v>
      </c>
      <c r="I943" s="319">
        <v>0</v>
      </c>
      <c r="J943" s="319">
        <v>0</v>
      </c>
      <c r="K943" s="319"/>
      <c r="L943" s="319"/>
      <c r="M943" s="319"/>
      <c r="N943" s="319"/>
      <c r="O943" s="319"/>
      <c r="P943" s="319"/>
      <c r="Q943" s="319"/>
      <c r="R943" s="319"/>
      <c r="S943" s="319"/>
      <c r="T943" s="319"/>
      <c r="U943" s="319"/>
      <c r="V943" s="319"/>
      <c r="W943" s="319"/>
    </row>
    <row r="944" spans="1:23" ht="13.2" hidden="1">
      <c r="A944" s="319"/>
      <c r="B944" s="319">
        <v>2042</v>
      </c>
      <c r="C944" s="319">
        <v>73</v>
      </c>
      <c r="D944" s="319">
        <v>0</v>
      </c>
      <c r="E944" s="319">
        <v>0</v>
      </c>
      <c r="F944" s="319">
        <v>0</v>
      </c>
      <c r="G944" s="319">
        <v>0</v>
      </c>
      <c r="H944" s="319">
        <v>0</v>
      </c>
      <c r="I944" s="319">
        <v>0</v>
      </c>
      <c r="J944" s="319">
        <v>0</v>
      </c>
      <c r="K944" s="319"/>
      <c r="L944" s="319"/>
      <c r="M944" s="319"/>
      <c r="N944" s="319"/>
      <c r="O944" s="319"/>
      <c r="P944" s="319"/>
      <c r="Q944" s="319"/>
      <c r="R944" s="319"/>
      <c r="S944" s="319"/>
      <c r="T944" s="319"/>
      <c r="U944" s="319"/>
      <c r="V944" s="319"/>
      <c r="W944" s="319"/>
    </row>
    <row r="945" spans="1:23" ht="13.2" hidden="1">
      <c r="A945" s="319"/>
      <c r="B945" s="319">
        <v>2043</v>
      </c>
      <c r="C945" s="319">
        <v>74</v>
      </c>
      <c r="D945" s="319">
        <v>0</v>
      </c>
      <c r="E945" s="319">
        <v>0</v>
      </c>
      <c r="F945" s="319">
        <v>0</v>
      </c>
      <c r="G945" s="319">
        <v>0</v>
      </c>
      <c r="H945" s="319">
        <v>0</v>
      </c>
      <c r="I945" s="319">
        <v>0</v>
      </c>
      <c r="J945" s="319">
        <v>0</v>
      </c>
      <c r="K945" s="319"/>
      <c r="L945" s="319"/>
      <c r="M945" s="319"/>
      <c r="N945" s="319"/>
      <c r="O945" s="319"/>
      <c r="P945" s="319"/>
      <c r="Q945" s="319"/>
      <c r="R945" s="319"/>
      <c r="S945" s="319"/>
      <c r="T945" s="319"/>
      <c r="U945" s="319"/>
      <c r="V945" s="319"/>
      <c r="W945" s="319"/>
    </row>
    <row r="946" spans="1:23" ht="13.2" hidden="1">
      <c r="A946" s="319"/>
      <c r="B946" s="319">
        <v>2044</v>
      </c>
      <c r="C946" s="319">
        <v>75</v>
      </c>
      <c r="D946" s="319">
        <v>0</v>
      </c>
      <c r="E946" s="319">
        <v>0</v>
      </c>
      <c r="F946" s="319">
        <v>0</v>
      </c>
      <c r="G946" s="319">
        <v>0</v>
      </c>
      <c r="H946" s="319">
        <v>0</v>
      </c>
      <c r="I946" s="319">
        <v>0</v>
      </c>
      <c r="J946" s="319">
        <v>0</v>
      </c>
      <c r="K946" s="319"/>
      <c r="L946" s="319"/>
      <c r="M946" s="319"/>
      <c r="N946" s="319"/>
      <c r="O946" s="319"/>
      <c r="P946" s="319"/>
      <c r="Q946" s="319"/>
      <c r="R946" s="319"/>
      <c r="S946" s="319"/>
      <c r="T946" s="319"/>
      <c r="U946" s="319"/>
      <c r="V946" s="319"/>
      <c r="W946" s="319"/>
    </row>
    <row r="947" spans="1:23" ht="13.2" hidden="1">
      <c r="A947" s="319"/>
      <c r="B947" s="319">
        <v>2045</v>
      </c>
      <c r="C947" s="319">
        <v>76</v>
      </c>
      <c r="D947" s="319">
        <v>0</v>
      </c>
      <c r="E947" s="319">
        <v>0</v>
      </c>
      <c r="F947" s="319">
        <v>0</v>
      </c>
      <c r="G947" s="319">
        <v>0</v>
      </c>
      <c r="H947" s="319">
        <v>0</v>
      </c>
      <c r="I947" s="319">
        <v>0</v>
      </c>
      <c r="J947" s="319">
        <v>0</v>
      </c>
      <c r="K947" s="319"/>
      <c r="L947" s="319"/>
      <c r="M947" s="319"/>
      <c r="N947" s="319"/>
      <c r="O947" s="319"/>
      <c r="P947" s="319"/>
      <c r="Q947" s="319"/>
      <c r="R947" s="319"/>
      <c r="S947" s="319"/>
      <c r="T947" s="319"/>
      <c r="U947" s="319"/>
      <c r="V947" s="319"/>
      <c r="W947" s="319"/>
    </row>
    <row r="948" spans="1:23" ht="13.2" hidden="1">
      <c r="A948" s="319"/>
      <c r="B948" s="319">
        <v>2046</v>
      </c>
      <c r="C948" s="319">
        <v>77</v>
      </c>
      <c r="D948" s="319">
        <v>0</v>
      </c>
      <c r="E948" s="319">
        <v>0</v>
      </c>
      <c r="F948" s="319">
        <v>0</v>
      </c>
      <c r="G948" s="319">
        <v>0</v>
      </c>
      <c r="H948" s="319">
        <v>0</v>
      </c>
      <c r="I948" s="319">
        <v>0</v>
      </c>
      <c r="J948" s="319">
        <v>0</v>
      </c>
      <c r="K948" s="319"/>
      <c r="L948" s="319"/>
      <c r="M948" s="319"/>
      <c r="N948" s="319"/>
      <c r="O948" s="319"/>
      <c r="P948" s="319"/>
      <c r="Q948" s="319"/>
      <c r="R948" s="319"/>
      <c r="S948" s="319"/>
      <c r="T948" s="319"/>
      <c r="U948" s="319"/>
      <c r="V948" s="319"/>
      <c r="W948" s="319"/>
    </row>
    <row r="949" spans="1:23" ht="13.2" hidden="1">
      <c r="A949" s="319"/>
      <c r="B949" s="319">
        <v>2047</v>
      </c>
      <c r="C949" s="319">
        <v>78</v>
      </c>
      <c r="D949" s="319">
        <v>0</v>
      </c>
      <c r="E949" s="319">
        <v>0</v>
      </c>
      <c r="F949" s="319">
        <v>0</v>
      </c>
      <c r="G949" s="319">
        <v>0</v>
      </c>
      <c r="H949" s="319">
        <v>0</v>
      </c>
      <c r="I949" s="319">
        <v>0</v>
      </c>
      <c r="J949" s="319">
        <v>0</v>
      </c>
      <c r="K949" s="319"/>
      <c r="L949" s="319"/>
      <c r="M949" s="319"/>
      <c r="N949" s="319"/>
      <c r="O949" s="319"/>
      <c r="P949" s="319"/>
      <c r="Q949" s="319"/>
      <c r="R949" s="319"/>
      <c r="S949" s="319"/>
      <c r="T949" s="319"/>
      <c r="U949" s="319"/>
      <c r="V949" s="319"/>
      <c r="W949" s="319"/>
    </row>
    <row r="950" spans="1:23" ht="13.2" hidden="1">
      <c r="A950" s="319"/>
      <c r="B950" s="319">
        <v>2048</v>
      </c>
      <c r="C950" s="319">
        <v>79</v>
      </c>
      <c r="D950" s="319">
        <v>0</v>
      </c>
      <c r="E950" s="319">
        <v>0</v>
      </c>
      <c r="F950" s="319">
        <v>0</v>
      </c>
      <c r="G950" s="319">
        <v>0</v>
      </c>
      <c r="H950" s="319">
        <v>0</v>
      </c>
      <c r="I950" s="319">
        <v>0</v>
      </c>
      <c r="J950" s="319">
        <v>0</v>
      </c>
      <c r="K950" s="319"/>
      <c r="L950" s="319"/>
      <c r="M950" s="319"/>
      <c r="N950" s="319"/>
      <c r="O950" s="319"/>
      <c r="P950" s="319"/>
      <c r="Q950" s="319"/>
      <c r="R950" s="319"/>
      <c r="S950" s="319"/>
      <c r="T950" s="319"/>
      <c r="U950" s="319"/>
      <c r="V950" s="319"/>
      <c r="W950" s="319"/>
    </row>
    <row r="951" spans="1:23" ht="13.2" hidden="1">
      <c r="A951" s="319"/>
      <c r="B951" s="319">
        <v>2049</v>
      </c>
      <c r="C951" s="319">
        <v>80</v>
      </c>
      <c r="D951" s="319">
        <v>0</v>
      </c>
      <c r="E951" s="319">
        <v>0</v>
      </c>
      <c r="F951" s="319">
        <v>0</v>
      </c>
      <c r="G951" s="319">
        <v>0</v>
      </c>
      <c r="H951" s="319">
        <v>0</v>
      </c>
      <c r="I951" s="319">
        <v>0</v>
      </c>
      <c r="J951" s="319">
        <v>0</v>
      </c>
      <c r="K951" s="319"/>
      <c r="L951" s="319"/>
      <c r="M951" s="319"/>
      <c r="N951" s="319"/>
      <c r="O951" s="319"/>
      <c r="P951" s="319"/>
      <c r="Q951" s="319"/>
      <c r="R951" s="319"/>
      <c r="S951" s="319"/>
      <c r="T951" s="319"/>
      <c r="U951" s="319"/>
      <c r="V951" s="319"/>
      <c r="W951" s="319"/>
    </row>
    <row r="952" spans="1:23" ht="13.2" hidden="1">
      <c r="A952" s="319"/>
      <c r="B952" s="319">
        <v>2050</v>
      </c>
      <c r="C952" s="319">
        <v>81</v>
      </c>
      <c r="D952" s="319">
        <v>0</v>
      </c>
      <c r="E952" s="319">
        <v>0</v>
      </c>
      <c r="F952" s="319">
        <v>0</v>
      </c>
      <c r="G952" s="319">
        <v>0</v>
      </c>
      <c r="H952" s="319">
        <v>0</v>
      </c>
      <c r="I952" s="319">
        <v>0</v>
      </c>
      <c r="J952" s="319">
        <v>0</v>
      </c>
      <c r="K952" s="319"/>
      <c r="L952" s="319"/>
      <c r="M952" s="319"/>
      <c r="N952" s="319"/>
      <c r="O952" s="319"/>
      <c r="P952" s="319"/>
      <c r="Q952" s="319"/>
      <c r="R952" s="319"/>
      <c r="S952" s="319"/>
      <c r="T952" s="319"/>
      <c r="U952" s="319"/>
      <c r="V952" s="319"/>
      <c r="W952" s="319"/>
    </row>
    <row r="953" spans="1:23" ht="13.2" hidden="1">
      <c r="A953" s="319"/>
      <c r="B953" s="319">
        <v>2051</v>
      </c>
      <c r="C953" s="319">
        <v>82</v>
      </c>
      <c r="D953" s="319">
        <v>0</v>
      </c>
      <c r="E953" s="319">
        <v>0</v>
      </c>
      <c r="F953" s="319">
        <v>0</v>
      </c>
      <c r="G953" s="319">
        <v>0</v>
      </c>
      <c r="H953" s="319">
        <v>0</v>
      </c>
      <c r="I953" s="319">
        <v>0</v>
      </c>
      <c r="J953" s="319">
        <v>0</v>
      </c>
      <c r="K953" s="319"/>
      <c r="L953" s="319"/>
      <c r="M953" s="319"/>
      <c r="N953" s="319"/>
      <c r="O953" s="319"/>
      <c r="P953" s="319"/>
      <c r="Q953" s="319"/>
      <c r="R953" s="319"/>
      <c r="S953" s="319"/>
      <c r="T953" s="319"/>
      <c r="U953" s="319"/>
      <c r="V953" s="319"/>
      <c r="W953" s="319"/>
    </row>
    <row r="954" spans="1:23" ht="13.2" hidden="1">
      <c r="A954" s="319"/>
      <c r="B954" s="319">
        <v>2052</v>
      </c>
      <c r="C954" s="319">
        <v>83</v>
      </c>
      <c r="D954" s="319">
        <v>0</v>
      </c>
      <c r="E954" s="319">
        <v>0</v>
      </c>
      <c r="F954" s="319">
        <v>0</v>
      </c>
      <c r="G954" s="319">
        <v>0</v>
      </c>
      <c r="H954" s="319">
        <v>0</v>
      </c>
      <c r="I954" s="319">
        <v>0</v>
      </c>
      <c r="J954" s="319">
        <v>0</v>
      </c>
      <c r="K954" s="319"/>
      <c r="L954" s="319"/>
      <c r="M954" s="319"/>
      <c r="N954" s="319"/>
      <c r="O954" s="319"/>
      <c r="P954" s="319"/>
      <c r="Q954" s="319"/>
      <c r="R954" s="319"/>
      <c r="S954" s="319"/>
      <c r="T954" s="319"/>
      <c r="U954" s="319"/>
      <c r="V954" s="319"/>
      <c r="W954" s="319"/>
    </row>
    <row r="955" spans="1:23" ht="13.2" hidden="1">
      <c r="A955" s="319"/>
      <c r="B955" s="319">
        <v>2053</v>
      </c>
      <c r="C955" s="319">
        <v>84</v>
      </c>
      <c r="D955" s="319">
        <v>0</v>
      </c>
      <c r="E955" s="319">
        <v>0</v>
      </c>
      <c r="F955" s="319">
        <v>0</v>
      </c>
      <c r="G955" s="319">
        <v>0</v>
      </c>
      <c r="H955" s="319">
        <v>0</v>
      </c>
      <c r="I955" s="319">
        <v>0</v>
      </c>
      <c r="J955" s="319">
        <v>0</v>
      </c>
      <c r="K955" s="319"/>
      <c r="L955" s="319"/>
      <c r="M955" s="319"/>
      <c r="N955" s="319"/>
      <c r="O955" s="319"/>
      <c r="P955" s="319"/>
      <c r="Q955" s="319"/>
      <c r="R955" s="319"/>
      <c r="S955" s="319"/>
      <c r="T955" s="319"/>
      <c r="U955" s="319"/>
      <c r="V955" s="319"/>
      <c r="W955" s="319"/>
    </row>
    <row r="956" spans="1:23" ht="13.2" hidden="1">
      <c r="A956" s="319"/>
      <c r="B956" s="319">
        <v>2054</v>
      </c>
      <c r="C956" s="319">
        <v>85</v>
      </c>
      <c r="D956" s="319">
        <v>0</v>
      </c>
      <c r="E956" s="319">
        <v>0</v>
      </c>
      <c r="F956" s="319">
        <v>0</v>
      </c>
      <c r="G956" s="319">
        <v>0</v>
      </c>
      <c r="H956" s="319">
        <v>0</v>
      </c>
      <c r="I956" s="319">
        <v>0</v>
      </c>
      <c r="J956" s="319">
        <v>0</v>
      </c>
      <c r="K956" s="319"/>
      <c r="L956" s="319"/>
      <c r="M956" s="319"/>
      <c r="N956" s="319"/>
      <c r="O956" s="319"/>
      <c r="P956" s="319"/>
      <c r="Q956" s="319"/>
      <c r="R956" s="319"/>
      <c r="S956" s="319"/>
      <c r="T956" s="319"/>
      <c r="U956" s="319"/>
      <c r="V956" s="319"/>
      <c r="W956" s="319"/>
    </row>
    <row r="957" spans="1:23" ht="13.2" hidden="1">
      <c r="A957" s="319"/>
      <c r="B957" s="319">
        <v>2055</v>
      </c>
      <c r="C957" s="319">
        <v>86</v>
      </c>
      <c r="D957" s="319">
        <v>0</v>
      </c>
      <c r="E957" s="319">
        <v>0</v>
      </c>
      <c r="F957" s="319">
        <v>0</v>
      </c>
      <c r="G957" s="319">
        <v>0</v>
      </c>
      <c r="H957" s="319">
        <v>0</v>
      </c>
      <c r="I957" s="319">
        <v>0</v>
      </c>
      <c r="J957" s="319">
        <v>0</v>
      </c>
      <c r="K957" s="319"/>
      <c r="L957" s="319"/>
      <c r="M957" s="319"/>
      <c r="N957" s="319"/>
      <c r="O957" s="319"/>
      <c r="P957" s="319"/>
      <c r="Q957" s="319"/>
      <c r="R957" s="319"/>
      <c r="S957" s="319"/>
      <c r="T957" s="319"/>
      <c r="U957" s="319"/>
      <c r="V957" s="319"/>
      <c r="W957" s="319"/>
    </row>
    <row r="958" spans="1:23" ht="13.2" hidden="1">
      <c r="A958" s="319"/>
      <c r="B958" s="319">
        <v>2056</v>
      </c>
      <c r="C958" s="319">
        <v>87</v>
      </c>
      <c r="D958" s="319">
        <v>0</v>
      </c>
      <c r="E958" s="319">
        <v>0</v>
      </c>
      <c r="F958" s="319">
        <v>0</v>
      </c>
      <c r="G958" s="319">
        <v>0</v>
      </c>
      <c r="H958" s="319">
        <v>0</v>
      </c>
      <c r="I958" s="319">
        <v>0</v>
      </c>
      <c r="J958" s="319">
        <v>0</v>
      </c>
      <c r="K958" s="319"/>
      <c r="L958" s="319"/>
      <c r="M958" s="319"/>
      <c r="N958" s="319"/>
      <c r="O958" s="319"/>
      <c r="P958" s="319"/>
      <c r="Q958" s="319"/>
      <c r="R958" s="319"/>
      <c r="S958" s="319"/>
      <c r="T958" s="319"/>
      <c r="U958" s="319"/>
      <c r="V958" s="319"/>
      <c r="W958" s="319"/>
    </row>
    <row r="959" spans="1:23" ht="13.2" hidden="1">
      <c r="A959" s="319"/>
      <c r="B959" s="319">
        <v>2057</v>
      </c>
      <c r="C959" s="319">
        <v>88</v>
      </c>
      <c r="D959" s="319">
        <v>0</v>
      </c>
      <c r="E959" s="319">
        <v>0</v>
      </c>
      <c r="F959" s="319">
        <v>0</v>
      </c>
      <c r="G959" s="319">
        <v>0</v>
      </c>
      <c r="H959" s="319">
        <v>0</v>
      </c>
      <c r="I959" s="319">
        <v>0</v>
      </c>
      <c r="J959" s="319">
        <v>0</v>
      </c>
      <c r="K959" s="319"/>
      <c r="L959" s="319"/>
      <c r="M959" s="319"/>
      <c r="N959" s="319"/>
      <c r="O959" s="319"/>
      <c r="P959" s="319"/>
      <c r="Q959" s="319"/>
      <c r="R959" s="319"/>
      <c r="S959" s="319"/>
      <c r="T959" s="319"/>
      <c r="U959" s="319"/>
      <c r="V959" s="319"/>
      <c r="W959" s="319"/>
    </row>
    <row r="960" spans="1:23" ht="13.2" hidden="1">
      <c r="A960" s="319"/>
      <c r="B960" s="319">
        <v>2058</v>
      </c>
      <c r="C960" s="319">
        <v>89</v>
      </c>
      <c r="D960" s="319">
        <v>0</v>
      </c>
      <c r="E960" s="319">
        <v>0</v>
      </c>
      <c r="F960" s="319">
        <v>0</v>
      </c>
      <c r="G960" s="319">
        <v>0</v>
      </c>
      <c r="H960" s="319">
        <v>0</v>
      </c>
      <c r="I960" s="319">
        <v>0</v>
      </c>
      <c r="J960" s="319">
        <v>0</v>
      </c>
      <c r="K960" s="319"/>
      <c r="L960" s="319"/>
      <c r="M960" s="319"/>
      <c r="N960" s="319"/>
      <c r="O960" s="319"/>
      <c r="P960" s="319"/>
      <c r="Q960" s="319"/>
      <c r="R960" s="319"/>
      <c r="S960" s="319"/>
      <c r="T960" s="319"/>
      <c r="U960" s="319"/>
      <c r="V960" s="319"/>
      <c r="W960" s="319"/>
    </row>
    <row r="961" spans="1:23" ht="13.2" hidden="1">
      <c r="A961" s="319"/>
      <c r="B961" s="319">
        <v>2059</v>
      </c>
      <c r="C961" s="319">
        <v>90</v>
      </c>
      <c r="D961" s="319">
        <v>0</v>
      </c>
      <c r="E961" s="319">
        <v>0</v>
      </c>
      <c r="F961" s="319">
        <v>0</v>
      </c>
      <c r="G961" s="319">
        <v>0</v>
      </c>
      <c r="H961" s="319">
        <v>0</v>
      </c>
      <c r="I961" s="319">
        <v>0</v>
      </c>
      <c r="J961" s="319">
        <v>0</v>
      </c>
      <c r="K961" s="319"/>
      <c r="L961" s="319"/>
      <c r="M961" s="319"/>
      <c r="N961" s="319"/>
      <c r="O961" s="319"/>
      <c r="P961" s="319"/>
      <c r="Q961" s="319"/>
      <c r="R961" s="319"/>
      <c r="S961" s="319"/>
      <c r="T961" s="319"/>
      <c r="U961" s="319"/>
      <c r="V961" s="319"/>
      <c r="W961" s="319"/>
    </row>
    <row r="962" spans="1:23" ht="13.2" hidden="1">
      <c r="A962" s="319"/>
      <c r="B962" s="319">
        <v>2060</v>
      </c>
      <c r="C962" s="319">
        <v>91</v>
      </c>
      <c r="D962" s="319">
        <v>0</v>
      </c>
      <c r="E962" s="319">
        <v>0</v>
      </c>
      <c r="F962" s="319">
        <v>0</v>
      </c>
      <c r="G962" s="319">
        <v>0</v>
      </c>
      <c r="H962" s="319">
        <v>0</v>
      </c>
      <c r="I962" s="319">
        <v>0</v>
      </c>
      <c r="J962" s="319">
        <v>0</v>
      </c>
      <c r="K962" s="319"/>
      <c r="L962" s="319"/>
      <c r="M962" s="319"/>
      <c r="N962" s="319"/>
      <c r="O962" s="319"/>
      <c r="P962" s="319"/>
      <c r="Q962" s="319"/>
      <c r="R962" s="319"/>
      <c r="S962" s="319"/>
      <c r="T962" s="319"/>
      <c r="U962" s="319"/>
      <c r="V962" s="319"/>
      <c r="W962" s="319"/>
    </row>
    <row r="963" spans="1:23" ht="13.2" hidden="1">
      <c r="A963" s="319"/>
      <c r="B963" s="319">
        <v>2061</v>
      </c>
      <c r="C963" s="319">
        <v>92</v>
      </c>
      <c r="D963" s="319">
        <v>0</v>
      </c>
      <c r="E963" s="319">
        <v>0</v>
      </c>
      <c r="F963" s="319">
        <v>0</v>
      </c>
      <c r="G963" s="319">
        <v>0</v>
      </c>
      <c r="H963" s="319">
        <v>0</v>
      </c>
      <c r="I963" s="319">
        <v>0</v>
      </c>
      <c r="J963" s="319">
        <v>0</v>
      </c>
      <c r="K963" s="319"/>
      <c r="L963" s="319"/>
      <c r="M963" s="319"/>
      <c r="N963" s="319"/>
      <c r="O963" s="319"/>
      <c r="P963" s="319"/>
      <c r="Q963" s="319"/>
      <c r="R963" s="319"/>
      <c r="S963" s="319"/>
      <c r="T963" s="319"/>
      <c r="U963" s="319"/>
      <c r="V963" s="319"/>
      <c r="W963" s="319"/>
    </row>
    <row r="964" spans="1:23" ht="13.2" hidden="1">
      <c r="A964" s="319"/>
      <c r="B964" s="319">
        <v>2062</v>
      </c>
      <c r="C964" s="319">
        <v>93</v>
      </c>
      <c r="D964" s="319">
        <v>0</v>
      </c>
      <c r="E964" s="319">
        <v>0</v>
      </c>
      <c r="F964" s="319">
        <v>0</v>
      </c>
      <c r="G964" s="319">
        <v>0</v>
      </c>
      <c r="H964" s="319">
        <v>0</v>
      </c>
      <c r="I964" s="319">
        <v>0</v>
      </c>
      <c r="J964" s="319">
        <v>0</v>
      </c>
      <c r="K964" s="319"/>
      <c r="L964" s="319"/>
      <c r="M964" s="319"/>
      <c r="N964" s="319"/>
      <c r="O964" s="319"/>
      <c r="P964" s="319"/>
      <c r="Q964" s="319"/>
      <c r="R964" s="319"/>
      <c r="S964" s="319"/>
      <c r="T964" s="319"/>
      <c r="U964" s="319"/>
      <c r="V964" s="319"/>
      <c r="W964" s="319"/>
    </row>
    <row r="965" spans="1:23" ht="13.2" hidden="1">
      <c r="A965" s="319"/>
      <c r="B965" s="319">
        <v>2063</v>
      </c>
      <c r="C965" s="319">
        <v>94</v>
      </c>
      <c r="D965" s="319">
        <v>0</v>
      </c>
      <c r="E965" s="319">
        <v>0</v>
      </c>
      <c r="F965" s="319">
        <v>0</v>
      </c>
      <c r="G965" s="319">
        <v>0</v>
      </c>
      <c r="H965" s="319">
        <v>0</v>
      </c>
      <c r="I965" s="319">
        <v>0</v>
      </c>
      <c r="J965" s="319">
        <v>0</v>
      </c>
      <c r="K965" s="319"/>
      <c r="L965" s="319"/>
      <c r="M965" s="319"/>
      <c r="N965" s="319"/>
      <c r="O965" s="319"/>
      <c r="P965" s="319"/>
      <c r="Q965" s="319"/>
      <c r="R965" s="319"/>
      <c r="S965" s="319"/>
      <c r="T965" s="319"/>
      <c r="U965" s="319"/>
      <c r="V965" s="319"/>
      <c r="W965" s="319"/>
    </row>
    <row r="966" spans="1:23" ht="13.2" hidden="1">
      <c r="A966" s="319"/>
      <c r="B966" s="319">
        <v>2064</v>
      </c>
      <c r="C966" s="319">
        <v>95</v>
      </c>
      <c r="D966" s="319">
        <v>0</v>
      </c>
      <c r="E966" s="319">
        <v>0</v>
      </c>
      <c r="F966" s="319">
        <v>0</v>
      </c>
      <c r="G966" s="319">
        <v>0</v>
      </c>
      <c r="H966" s="319">
        <v>0</v>
      </c>
      <c r="I966" s="319">
        <v>0</v>
      </c>
      <c r="J966" s="319">
        <v>0</v>
      </c>
      <c r="K966" s="319"/>
      <c r="L966" s="319"/>
      <c r="M966" s="319"/>
      <c r="N966" s="319"/>
      <c r="O966" s="319"/>
      <c r="P966" s="319"/>
      <c r="Q966" s="319"/>
      <c r="R966" s="319"/>
      <c r="S966" s="319"/>
      <c r="T966" s="319"/>
      <c r="U966" s="319"/>
      <c r="V966" s="319"/>
      <c r="W966" s="319"/>
    </row>
    <row r="967" spans="1:23" ht="13.2" hidden="1">
      <c r="A967" s="319"/>
      <c r="B967" s="319">
        <v>2065</v>
      </c>
      <c r="C967" s="319">
        <v>96</v>
      </c>
      <c r="D967" s="319">
        <v>0</v>
      </c>
      <c r="E967" s="319">
        <v>0</v>
      </c>
      <c r="F967" s="319">
        <v>0</v>
      </c>
      <c r="G967" s="319">
        <v>0</v>
      </c>
      <c r="H967" s="319">
        <v>0</v>
      </c>
      <c r="I967" s="319">
        <v>0</v>
      </c>
      <c r="J967" s="319">
        <v>0</v>
      </c>
      <c r="K967" s="319"/>
      <c r="L967" s="319"/>
      <c r="M967" s="319"/>
      <c r="N967" s="319"/>
      <c r="O967" s="319"/>
      <c r="P967" s="319"/>
      <c r="Q967" s="319"/>
      <c r="R967" s="319"/>
      <c r="S967" s="319"/>
      <c r="T967" s="319"/>
      <c r="U967" s="319"/>
      <c r="V967" s="319"/>
      <c r="W967" s="319"/>
    </row>
    <row r="968" spans="1:23" ht="13.2" hidden="1">
      <c r="A968" s="319"/>
      <c r="B968" s="319">
        <v>2066</v>
      </c>
      <c r="C968" s="319">
        <v>97</v>
      </c>
      <c r="D968" s="319">
        <v>0</v>
      </c>
      <c r="E968" s="319">
        <v>0</v>
      </c>
      <c r="F968" s="319">
        <v>0</v>
      </c>
      <c r="G968" s="319">
        <v>0</v>
      </c>
      <c r="H968" s="319">
        <v>0</v>
      </c>
      <c r="I968" s="319">
        <v>0</v>
      </c>
      <c r="J968" s="319">
        <v>0</v>
      </c>
      <c r="K968" s="319"/>
      <c r="L968" s="319"/>
      <c r="M968" s="319"/>
      <c r="N968" s="319"/>
      <c r="O968" s="319"/>
      <c r="P968" s="319"/>
      <c r="Q968" s="319"/>
      <c r="R968" s="319"/>
      <c r="S968" s="319"/>
      <c r="T968" s="319"/>
      <c r="U968" s="319"/>
      <c r="V968" s="319"/>
      <c r="W968" s="319"/>
    </row>
    <row r="969" spans="1:23" ht="13.2" hidden="1">
      <c r="A969" s="319"/>
      <c r="B969" s="319">
        <v>2067</v>
      </c>
      <c r="C969" s="319">
        <v>98</v>
      </c>
      <c r="D969" s="319">
        <v>0</v>
      </c>
      <c r="E969" s="319">
        <v>0</v>
      </c>
      <c r="F969" s="319">
        <v>0</v>
      </c>
      <c r="G969" s="319">
        <v>0</v>
      </c>
      <c r="H969" s="319">
        <v>0</v>
      </c>
      <c r="I969" s="319">
        <v>0</v>
      </c>
      <c r="J969" s="319">
        <v>0</v>
      </c>
      <c r="K969" s="319"/>
      <c r="L969" s="319"/>
      <c r="M969" s="319"/>
      <c r="N969" s="319"/>
      <c r="O969" s="319"/>
      <c r="P969" s="319"/>
      <c r="Q969" s="319"/>
      <c r="R969" s="319"/>
      <c r="S969" s="319"/>
      <c r="T969" s="319"/>
      <c r="U969" s="319"/>
      <c r="V969" s="319"/>
      <c r="W969" s="319"/>
    </row>
    <row r="970" spans="1:23" ht="13.2" hidden="1">
      <c r="A970" s="319"/>
      <c r="B970" s="319">
        <v>2068</v>
      </c>
      <c r="C970" s="319">
        <v>99</v>
      </c>
      <c r="D970" s="319">
        <v>0</v>
      </c>
      <c r="E970" s="319">
        <v>0</v>
      </c>
      <c r="F970" s="319">
        <v>0</v>
      </c>
      <c r="G970" s="319">
        <v>0</v>
      </c>
      <c r="H970" s="319">
        <v>0</v>
      </c>
      <c r="I970" s="319">
        <v>0</v>
      </c>
      <c r="J970" s="319">
        <v>0</v>
      </c>
      <c r="K970" s="319"/>
      <c r="L970" s="319"/>
      <c r="M970" s="319"/>
      <c r="N970" s="319"/>
      <c r="O970" s="319"/>
      <c r="P970" s="319"/>
      <c r="Q970" s="319"/>
      <c r="R970" s="319"/>
      <c r="S970" s="319"/>
      <c r="T970" s="319"/>
      <c r="U970" s="319"/>
      <c r="V970" s="319"/>
      <c r="W970" s="319"/>
    </row>
    <row r="971" spans="1:23" ht="13.2" hidden="1">
      <c r="A971" s="319"/>
      <c r="B971" s="319">
        <v>2069</v>
      </c>
      <c r="C971" s="319">
        <v>100</v>
      </c>
      <c r="D971" s="319">
        <v>0</v>
      </c>
      <c r="E971" s="319">
        <v>0</v>
      </c>
      <c r="F971" s="319">
        <v>0</v>
      </c>
      <c r="G971" s="319">
        <v>0</v>
      </c>
      <c r="H971" s="319">
        <v>0</v>
      </c>
      <c r="I971" s="319">
        <v>0</v>
      </c>
      <c r="J971" s="319">
        <v>0</v>
      </c>
      <c r="K971" s="319"/>
      <c r="L971" s="319"/>
      <c r="M971" s="319"/>
      <c r="N971" s="319"/>
      <c r="O971" s="319"/>
      <c r="P971" s="319"/>
      <c r="Q971" s="319"/>
      <c r="R971" s="319"/>
      <c r="S971" s="319"/>
      <c r="T971" s="319"/>
      <c r="U971" s="319"/>
      <c r="V971" s="319"/>
      <c r="W971" s="319"/>
    </row>
    <row r="972" spans="1:23" ht="13.2" hidden="1">
      <c r="A972" s="319"/>
      <c r="B972" s="319">
        <v>2070</v>
      </c>
      <c r="C972" s="319">
        <v>101</v>
      </c>
      <c r="D972" s="319">
        <v>0</v>
      </c>
      <c r="E972" s="319">
        <v>0</v>
      </c>
      <c r="F972" s="319">
        <v>0</v>
      </c>
      <c r="G972" s="319">
        <v>0</v>
      </c>
      <c r="H972" s="319">
        <v>0</v>
      </c>
      <c r="I972" s="319">
        <v>0</v>
      </c>
      <c r="J972" s="319">
        <v>0</v>
      </c>
      <c r="K972" s="319"/>
      <c r="L972" s="319"/>
      <c r="M972" s="319"/>
      <c r="N972" s="319"/>
      <c r="O972" s="319"/>
      <c r="P972" s="319"/>
      <c r="Q972" s="319"/>
      <c r="R972" s="319"/>
      <c r="S972" s="319"/>
      <c r="T972" s="319"/>
      <c r="U972" s="319"/>
      <c r="V972" s="319"/>
      <c r="W972" s="319"/>
    </row>
    <row r="973" spans="1:23" ht="13.2" hidden="1">
      <c r="A973" s="319"/>
      <c r="B973" s="319">
        <v>2071</v>
      </c>
      <c r="C973" s="319">
        <v>102</v>
      </c>
      <c r="D973" s="319">
        <v>0</v>
      </c>
      <c r="E973" s="319">
        <v>0</v>
      </c>
      <c r="F973" s="319">
        <v>0</v>
      </c>
      <c r="G973" s="319">
        <v>0</v>
      </c>
      <c r="H973" s="319">
        <v>0</v>
      </c>
      <c r="I973" s="319">
        <v>0</v>
      </c>
      <c r="J973" s="319">
        <v>0</v>
      </c>
      <c r="K973" s="319"/>
      <c r="L973" s="319"/>
      <c r="M973" s="319"/>
      <c r="N973" s="319"/>
      <c r="O973" s="319"/>
      <c r="P973" s="319"/>
      <c r="Q973" s="319"/>
      <c r="R973" s="319"/>
      <c r="S973" s="319"/>
      <c r="T973" s="319"/>
      <c r="U973" s="319"/>
      <c r="V973" s="319"/>
      <c r="W973" s="319"/>
    </row>
    <row r="974" spans="1:23" ht="13.2" hidden="1">
      <c r="A974" s="319"/>
      <c r="B974" s="319"/>
      <c r="C974" s="319"/>
      <c r="D974" s="319"/>
      <c r="E974" s="319"/>
      <c r="F974" s="319"/>
      <c r="G974" s="319"/>
      <c r="H974" s="319"/>
      <c r="I974" s="319"/>
      <c r="J974" s="319"/>
      <c r="K974" s="319"/>
      <c r="L974" s="319"/>
      <c r="M974" s="319"/>
      <c r="N974" s="319"/>
      <c r="O974" s="319"/>
      <c r="P974" s="319"/>
      <c r="Q974" s="319"/>
      <c r="R974" s="319"/>
      <c r="S974" s="319"/>
      <c r="T974" s="319"/>
      <c r="U974" s="319"/>
      <c r="V974" s="319"/>
      <c r="W974" s="319"/>
    </row>
    <row r="975" spans="1:23" ht="13.2" hidden="1">
      <c r="A975" s="319"/>
      <c r="B975" s="319"/>
      <c r="C975" s="319"/>
      <c r="D975" s="319"/>
      <c r="E975" s="319"/>
      <c r="F975" s="319"/>
      <c r="G975" s="319"/>
      <c r="H975" s="319"/>
      <c r="I975" s="319"/>
      <c r="J975" s="319"/>
      <c r="K975" s="319"/>
      <c r="L975" s="319"/>
      <c r="M975" s="319"/>
      <c r="N975" s="319"/>
      <c r="O975" s="319"/>
      <c r="P975" s="319"/>
      <c r="Q975" s="319"/>
      <c r="R975" s="319"/>
      <c r="S975" s="319"/>
      <c r="T975" s="319"/>
      <c r="U975" s="319"/>
      <c r="V975" s="319"/>
      <c r="W975" s="319"/>
    </row>
    <row r="976" spans="1:23" ht="13.2" hidden="1">
      <c r="A976" s="319"/>
      <c r="B976" s="319" t="str">
        <f>Language!C2063</f>
        <v>Circuito fechado vertical</v>
      </c>
      <c r="C976" s="319" t="str">
        <f>Language!C1707</f>
        <v>Configuração do trocador de calor com o solo</v>
      </c>
      <c r="D976" s="319"/>
      <c r="E976" s="319"/>
      <c r="F976" s="319" t="str">
        <f>Language!C1508</f>
        <v>Comprimento do poço</v>
      </c>
      <c r="G976" s="319" t="s">
        <v>3873</v>
      </c>
      <c r="H976" s="319" t="str">
        <f>Language!C117</f>
        <v>Padrão</v>
      </c>
      <c r="I976" s="319" t="str">
        <f>H976</f>
        <v>Padrão</v>
      </c>
      <c r="J976" s="319"/>
      <c r="K976" s="319"/>
      <c r="L976" s="319"/>
      <c r="M976" s="319"/>
      <c r="N976" s="319"/>
      <c r="O976" s="319"/>
      <c r="P976" s="319"/>
      <c r="Q976" s="319"/>
      <c r="R976" s="319"/>
      <c r="S976" s="319"/>
      <c r="T976" s="319"/>
      <c r="U976" s="319"/>
      <c r="V976" s="319"/>
      <c r="W976" s="319"/>
    </row>
    <row r="977" spans="1:23" ht="13.2" hidden="1">
      <c r="A977" s="319"/>
      <c r="B977" s="319" t="str">
        <f>Language!C1732</f>
        <v>Circuito fechado horizontal</v>
      </c>
      <c r="C977" s="319" t="str">
        <f>C976</f>
        <v>Configuração do trocador de calor com o solo</v>
      </c>
      <c r="D977" s="319" t="str">
        <f>Language!C2095</f>
        <v>Cobertura do solo no inverno</v>
      </c>
      <c r="E977" s="319"/>
      <c r="F977" s="319" t="str">
        <f>Language!C1791</f>
        <v>Comprimento do circuito</v>
      </c>
      <c r="G977" s="319" t="str">
        <f>Language!C2039</f>
        <v>Comprimento da trincheira</v>
      </c>
      <c r="H977" s="319" t="str">
        <f>Language!C1552</f>
        <v>Compacto</v>
      </c>
      <c r="I977" s="319" t="str">
        <f>Language!C1809</f>
        <v>Médio</v>
      </c>
      <c r="J977" s="319"/>
      <c r="K977" s="319"/>
      <c r="L977" s="319"/>
      <c r="M977" s="319"/>
      <c r="N977" s="319"/>
      <c r="O977" s="319"/>
      <c r="P977" s="319"/>
      <c r="Q977" s="319"/>
      <c r="R977" s="319"/>
      <c r="S977" s="319"/>
      <c r="T977" s="319"/>
      <c r="U977" s="319"/>
      <c r="V977" s="319"/>
      <c r="W977" s="319"/>
    </row>
    <row r="978" spans="1:23" ht="13.2" hidden="1">
      <c r="A978" s="319"/>
      <c r="B978" s="319" t="str">
        <f>Language!C1708</f>
        <v>Águas subterrâneas</v>
      </c>
      <c r="C978" s="319" t="s">
        <v>1997</v>
      </c>
      <c r="D978" s="319" t="str">
        <f>Language!C2078</f>
        <v>Profundidade do poço</v>
      </c>
      <c r="E978" s="319" t="str">
        <f>Language!C1801</f>
        <v>Vazão máxima do poço</v>
      </c>
      <c r="F978" s="319" t="str">
        <f>Language!C1709</f>
        <v>Vazão requerida de águas subterrâneas</v>
      </c>
      <c r="G978" s="319" t="str">
        <f>Language!C1842</f>
        <v>Número de poços de alimentação requeridos</v>
      </c>
      <c r="H978" s="319" t="str">
        <f>Language!C2064</f>
        <v>Muito compacto</v>
      </c>
      <c r="I978" s="319" t="str">
        <f>Language!C1729</f>
        <v>Alto</v>
      </c>
      <c r="J978" s="319"/>
      <c r="K978" s="319"/>
      <c r="L978" s="319"/>
      <c r="M978" s="319"/>
      <c r="N978" s="319"/>
      <c r="O978" s="319"/>
      <c r="P978" s="319"/>
      <c r="Q978" s="319"/>
      <c r="R978" s="319"/>
      <c r="S978" s="319"/>
      <c r="T978" s="319"/>
      <c r="U978" s="319"/>
      <c r="V978" s="319"/>
      <c r="W978" s="319"/>
    </row>
    <row r="979" spans="1:23" ht="13.2" hidden="1">
      <c r="A979" s="319"/>
      <c r="B979" s="319"/>
      <c r="C979" s="319"/>
      <c r="D979" s="319"/>
      <c r="E979" s="319"/>
      <c r="F979" s="319"/>
      <c r="G979" s="319"/>
      <c r="H979" s="319"/>
      <c r="I979" s="319" t="str">
        <f>Lang_Currency</f>
        <v>Definido pelo usuário</v>
      </c>
      <c r="J979" s="319"/>
      <c r="K979" s="319"/>
      <c r="L979" s="319"/>
      <c r="M979" s="319"/>
      <c r="N979" s="319"/>
      <c r="O979" s="319"/>
      <c r="P979" s="319"/>
      <c r="Q979" s="319"/>
      <c r="R979" s="319"/>
      <c r="S979" s="319"/>
      <c r="T979" s="319"/>
      <c r="U979" s="319"/>
      <c r="V979" s="319"/>
      <c r="W979" s="319"/>
    </row>
    <row r="980" spans="1:23" ht="13.2" hidden="1">
      <c r="A980" s="319"/>
      <c r="B980" s="319" t="str">
        <f>Language!C1586</f>
        <v>Por defeito </v>
      </c>
      <c r="C980" s="319"/>
      <c r="D980" s="319"/>
      <c r="E980" s="319"/>
      <c r="F980" s="319"/>
      <c r="G980" s="319"/>
      <c r="H980" s="319"/>
      <c r="I980" s="319"/>
      <c r="J980" s="319"/>
      <c r="K980" s="319"/>
      <c r="L980" s="319"/>
      <c r="M980" s="319"/>
      <c r="N980" s="319"/>
      <c r="O980" s="319"/>
      <c r="P980" s="319"/>
      <c r="Q980" s="319"/>
      <c r="R980" s="319"/>
      <c r="S980" s="319"/>
      <c r="T980" s="319"/>
      <c r="U980" s="319"/>
      <c r="V980" s="319"/>
      <c r="W980" s="319"/>
    </row>
    <row r="981" spans="1:23" ht="13.2" hidden="1">
      <c r="A981" s="319"/>
      <c r="B981" s="319" t="str">
        <f>Language!C1756</f>
        <v>Dimensão insuficiente - trocador de calor de solo</v>
      </c>
      <c r="C981" s="319"/>
      <c r="D981" s="319" t="s">
        <v>5466</v>
      </c>
      <c r="E981" s="319">
        <v>2</v>
      </c>
      <c r="F981" s="319"/>
      <c r="G981" s="319" t="str">
        <f>Language!C190</f>
        <v>Aquecimento</v>
      </c>
      <c r="H981" s="319" t="str">
        <f>E721</f>
        <v>m</v>
      </c>
      <c r="I981" s="319"/>
      <c r="J981" s="319"/>
      <c r="K981" s="319"/>
      <c r="L981" s="319"/>
      <c r="M981" s="319"/>
      <c r="N981" s="319"/>
      <c r="O981" s="319"/>
      <c r="P981" s="319"/>
      <c r="Q981" s="319"/>
      <c r="R981" s="319"/>
      <c r="S981" s="319"/>
      <c r="T981" s="319"/>
      <c r="U981" s="319"/>
      <c r="V981" s="319"/>
      <c r="W981" s="319"/>
    </row>
    <row r="982" spans="1:23" ht="13.2" hidden="1">
      <c r="A982" s="319"/>
      <c r="B982" s="319" t="str">
        <f>Language!C1757</f>
        <v>Área de terra insuficiente</v>
      </c>
      <c r="C982" s="319"/>
      <c r="D982" s="319" t="str">
        <f>Language!C1831</f>
        <v>Sem cobertura de neve</v>
      </c>
      <c r="E982" s="319"/>
      <c r="F982" s="319"/>
      <c r="G982" s="319" t="str">
        <f>Language!C191</f>
        <v>Refrigeração</v>
      </c>
      <c r="H982" s="319" t="s">
        <v>314</v>
      </c>
      <c r="I982" s="319"/>
      <c r="J982" s="319"/>
      <c r="K982" s="319"/>
      <c r="L982" s="319"/>
      <c r="M982" s="319"/>
      <c r="N982" s="319"/>
      <c r="O982" s="319"/>
      <c r="P982" s="319"/>
      <c r="Q982" s="319"/>
      <c r="R982" s="319"/>
      <c r="S982" s="319"/>
      <c r="T982" s="319"/>
      <c r="U982" s="319"/>
      <c r="V982" s="319"/>
      <c r="W982" s="319"/>
    </row>
    <row r="983" spans="1:23" ht="13.2" hidden="1">
      <c r="A983" s="319"/>
      <c r="B983" s="319" t="str">
        <f>Language!C1864</f>
        <v>Superdimensionado</v>
      </c>
      <c r="C983" s="319"/>
      <c r="D983" s="319"/>
      <c r="E983" s="319"/>
      <c r="F983" s="319"/>
      <c r="G983" s="319"/>
      <c r="H983" s="319"/>
      <c r="I983" s="319"/>
      <c r="J983" s="319"/>
      <c r="K983" s="319"/>
      <c r="L983" s="319"/>
      <c r="M983" s="319"/>
      <c r="N983" s="319"/>
      <c r="O983" s="319"/>
      <c r="P983" s="319"/>
      <c r="Q983" s="319"/>
      <c r="R983" s="319"/>
      <c r="S983" s="319"/>
      <c r="T983" s="319"/>
      <c r="U983" s="319"/>
      <c r="V983" s="319"/>
      <c r="W983" s="319"/>
    </row>
    <row r="984" spans="1:23" ht="13.2" hidden="1">
      <c r="A984" s="319"/>
      <c r="B984" s="319"/>
      <c r="C984" s="319"/>
      <c r="D984" s="319"/>
      <c r="E984" s="319"/>
      <c r="F984" s="319"/>
      <c r="G984" s="319"/>
      <c r="H984" s="319"/>
      <c r="I984" s="319"/>
      <c r="J984" s="319"/>
      <c r="K984" s="319"/>
      <c r="L984" s="319"/>
      <c r="M984" s="319"/>
      <c r="N984" s="319"/>
      <c r="O984" s="319"/>
      <c r="P984" s="319"/>
      <c r="Q984" s="319"/>
      <c r="R984" s="319"/>
      <c r="S984" s="319"/>
      <c r="T984" s="319"/>
      <c r="U984" s="319"/>
      <c r="V984" s="319"/>
      <c r="W984" s="319"/>
    </row>
    <row r="985" spans="1:23" ht="13.2" hidden="1">
      <c r="A985" s="319"/>
      <c r="B985" s="468"/>
      <c r="C985" s="872" t="s">
        <v>313</v>
      </c>
      <c r="D985" s="469"/>
      <c r="E985" s="469"/>
      <c r="F985" s="470"/>
      <c r="G985" s="319"/>
      <c r="H985" s="874" t="s">
        <v>3934</v>
      </c>
      <c r="I985" s="470"/>
      <c r="J985" s="319"/>
      <c r="K985" s="319"/>
      <c r="L985" s="319"/>
      <c r="M985" s="319"/>
      <c r="N985" s="319"/>
      <c r="O985" s="319"/>
      <c r="P985" s="319"/>
      <c r="Q985" s="319"/>
      <c r="R985" s="319"/>
      <c r="S985" s="319"/>
      <c r="T985" s="319"/>
      <c r="U985" s="319"/>
      <c r="V985" s="319"/>
      <c r="W985" s="319"/>
    </row>
    <row r="986" spans="1:23" ht="13.2" hidden="1">
      <c r="A986" s="319"/>
      <c r="B986" s="450" t="s">
        <v>3836</v>
      </c>
      <c r="C986" s="463" t="s">
        <v>626</v>
      </c>
      <c r="D986" s="463" t="s">
        <v>625</v>
      </c>
      <c r="E986" s="463" t="s">
        <v>559</v>
      </c>
      <c r="F986" s="471" t="s">
        <v>1876</v>
      </c>
      <c r="G986" s="319"/>
      <c r="H986" s="450" t="s">
        <v>558</v>
      </c>
      <c r="I986" s="471">
        <f>K1041</f>
        <v>1.6944999999999999</v>
      </c>
      <c r="J986" s="319"/>
      <c r="K986" s="319"/>
      <c r="L986" s="319"/>
      <c r="M986" s="319"/>
      <c r="N986" s="319"/>
      <c r="O986" s="319"/>
      <c r="P986" s="319"/>
      <c r="Q986" s="319"/>
      <c r="R986" s="319"/>
      <c r="S986" s="319"/>
      <c r="T986" s="319"/>
      <c r="U986" s="319"/>
      <c r="V986" s="319"/>
      <c r="W986" s="319"/>
    </row>
    <row r="987" spans="1:23" ht="13.2" hidden="1">
      <c r="A987" s="319"/>
      <c r="B987" s="450" t="str">
        <f>Language!C1780</f>
        <v>Solo leve - úmido</v>
      </c>
      <c r="C987" s="463">
        <v>0.02</v>
      </c>
      <c r="D987" s="463">
        <v>0.5</v>
      </c>
      <c r="E987" s="463">
        <v>0.25</v>
      </c>
      <c r="F987" s="471">
        <v>100</v>
      </c>
      <c r="G987" s="319"/>
      <c r="H987" s="450" t="s">
        <v>3879</v>
      </c>
      <c r="I987" s="471">
        <f ca="1">G1069</f>
        <v>2.1363042504287066</v>
      </c>
      <c r="J987" s="319"/>
      <c r="K987" s="319"/>
      <c r="L987" s="319"/>
      <c r="M987" s="319"/>
      <c r="N987" s="319"/>
      <c r="O987" s="319"/>
      <c r="P987" s="319"/>
      <c r="Q987" s="319"/>
      <c r="R987" s="319"/>
      <c r="S987" s="319"/>
      <c r="T987" s="319"/>
      <c r="U987" s="319"/>
      <c r="V987" s="319"/>
      <c r="W987" s="319"/>
    </row>
    <row r="988" spans="1:23" ht="13.2" hidden="1">
      <c r="A988" s="319"/>
      <c r="B988" s="450" t="str">
        <f>Language!C1781</f>
        <v>Solo leve - seco</v>
      </c>
      <c r="C988" s="463">
        <v>1.0999999999999999E-2</v>
      </c>
      <c r="D988" s="463">
        <v>0.2</v>
      </c>
      <c r="E988" s="463">
        <v>0.2</v>
      </c>
      <c r="F988" s="471">
        <v>90</v>
      </c>
      <c r="G988" s="319"/>
      <c r="H988" s="450" t="s">
        <v>4804</v>
      </c>
      <c r="I988" s="471">
        <v>0</v>
      </c>
      <c r="J988" s="319"/>
      <c r="K988" s="319"/>
      <c r="L988" s="319"/>
      <c r="M988" s="319"/>
      <c r="N988" s="319"/>
      <c r="O988" s="319"/>
      <c r="P988" s="319"/>
      <c r="Q988" s="319"/>
      <c r="R988" s="319"/>
      <c r="S988" s="319"/>
      <c r="T988" s="319"/>
      <c r="U988" s="319"/>
      <c r="V988" s="319"/>
      <c r="W988" s="319"/>
    </row>
    <row r="989" spans="1:23" ht="13.2" hidden="1">
      <c r="A989" s="319"/>
      <c r="B989" s="450" t="str">
        <f>Language!C1725</f>
        <v>Solo denso - úmido</v>
      </c>
      <c r="C989" s="463">
        <v>2.5000000000000001E-2</v>
      </c>
      <c r="D989" s="463">
        <v>0.75</v>
      </c>
      <c r="E989" s="463">
        <v>0.23</v>
      </c>
      <c r="F989" s="471">
        <v>131</v>
      </c>
      <c r="G989" s="319"/>
      <c r="H989" s="472" t="s">
        <v>4803</v>
      </c>
      <c r="I989" s="473">
        <f ca="1">INDEX(H986:I988,L268,2)</f>
        <v>2.1363042504287066</v>
      </c>
      <c r="J989" s="319"/>
      <c r="K989" s="319"/>
      <c r="L989" s="319"/>
      <c r="M989" s="319"/>
      <c r="N989" s="319"/>
      <c r="O989" s="319"/>
      <c r="P989" s="319"/>
      <c r="Q989" s="319"/>
      <c r="R989" s="319"/>
      <c r="S989" s="319"/>
      <c r="T989" s="319"/>
      <c r="U989" s="319"/>
      <c r="V989" s="319"/>
      <c r="W989" s="319"/>
    </row>
    <row r="990" spans="1:23" ht="13.2" hidden="1">
      <c r="A990" s="319"/>
      <c r="B990" s="450" t="str">
        <f>Language!C1726</f>
        <v>Solo denso - seco</v>
      </c>
      <c r="C990" s="463">
        <v>0.02</v>
      </c>
      <c r="D990" s="463">
        <v>0.5</v>
      </c>
      <c r="E990" s="463">
        <v>0.2</v>
      </c>
      <c r="F990" s="471">
        <v>125</v>
      </c>
      <c r="G990" s="319"/>
      <c r="H990" s="319"/>
      <c r="I990" s="319"/>
      <c r="J990" s="319"/>
      <c r="K990" s="319"/>
      <c r="L990" s="319"/>
      <c r="M990" s="319"/>
      <c r="N990" s="319"/>
      <c r="O990" s="319"/>
      <c r="P990" s="319"/>
      <c r="Q990" s="319"/>
      <c r="R990" s="319"/>
      <c r="S990" s="319"/>
      <c r="T990" s="319"/>
      <c r="U990" s="319"/>
      <c r="V990" s="319"/>
      <c r="W990" s="319"/>
    </row>
    <row r="991" spans="1:23" ht="13.2" hidden="1">
      <c r="A991" s="319"/>
      <c r="B991" s="450" t="str">
        <f>Language!C1782</f>
        <v>Rocha leve</v>
      </c>
      <c r="C991" s="463">
        <v>0.04</v>
      </c>
      <c r="D991" s="463">
        <v>1.4</v>
      </c>
      <c r="E991" s="463">
        <v>0.2</v>
      </c>
      <c r="F991" s="471">
        <v>175</v>
      </c>
      <c r="G991" s="319"/>
      <c r="H991" s="319"/>
      <c r="I991" s="319"/>
      <c r="J991" s="319"/>
      <c r="K991" s="319"/>
      <c r="L991" s="319"/>
      <c r="M991" s="319"/>
      <c r="N991" s="319"/>
      <c r="O991" s="319"/>
      <c r="P991" s="319"/>
      <c r="Q991" s="319"/>
      <c r="R991" s="319"/>
      <c r="S991" s="319"/>
      <c r="T991" s="319"/>
      <c r="U991" s="319"/>
      <c r="V991" s="319"/>
      <c r="W991" s="319"/>
    </row>
    <row r="992" spans="1:23" ht="13.2" hidden="1">
      <c r="A992" s="319"/>
      <c r="B992" s="450" t="str">
        <f>Language!C1724</f>
        <v>Rocha dura</v>
      </c>
      <c r="C992" s="463">
        <v>0.05</v>
      </c>
      <c r="D992" s="463">
        <v>2</v>
      </c>
      <c r="E992" s="463">
        <v>0.2</v>
      </c>
      <c r="F992" s="471">
        <v>200</v>
      </c>
      <c r="G992" s="319"/>
      <c r="H992" s="319"/>
      <c r="I992" s="319"/>
      <c r="J992" s="319"/>
      <c r="K992" s="319"/>
      <c r="L992" s="319"/>
      <c r="M992" s="319"/>
      <c r="N992" s="319"/>
      <c r="O992" s="319"/>
      <c r="P992" s="319"/>
      <c r="Q992" s="319"/>
      <c r="R992" s="319"/>
      <c r="S992" s="319"/>
      <c r="T992" s="319"/>
      <c r="U992" s="319"/>
      <c r="V992" s="319"/>
      <c r="W992" s="319"/>
    </row>
    <row r="993" spans="1:23" ht="13.2" hidden="1">
      <c r="A993" s="319"/>
      <c r="B993" s="450" t="str">
        <f>Language!C1881</f>
        <v>Camada de gelo - leve</v>
      </c>
      <c r="C993" s="463">
        <v>4.2553191489361708E-2</v>
      </c>
      <c r="D993" s="463">
        <v>0.76923076923076916</v>
      </c>
      <c r="E993" s="463">
        <v>0.17985611510791369</v>
      </c>
      <c r="F993" s="471">
        <v>98.716683119447197</v>
      </c>
      <c r="G993" s="319"/>
      <c r="H993" s="319"/>
      <c r="I993" s="319"/>
      <c r="J993" s="319"/>
      <c r="K993" s="319"/>
      <c r="L993" s="319"/>
      <c r="M993" s="319"/>
      <c r="N993" s="319"/>
      <c r="O993" s="319"/>
      <c r="P993" s="319"/>
      <c r="Q993" s="319"/>
      <c r="R993" s="319"/>
      <c r="S993" s="319"/>
      <c r="T993" s="319"/>
      <c r="U993" s="319"/>
      <c r="V993" s="319"/>
      <c r="W993" s="319"/>
    </row>
    <row r="994" spans="1:23" ht="13.2" hidden="1">
      <c r="A994" s="319"/>
      <c r="B994" s="450" t="str">
        <f>Language!C1880</f>
        <v>Camada de gelo - densa</v>
      </c>
      <c r="C994" s="463">
        <v>5.3191489361702135E-2</v>
      </c>
      <c r="D994" s="463">
        <v>1.1538461538461537</v>
      </c>
      <c r="E994" s="463">
        <v>0.1654676258992806</v>
      </c>
      <c r="F994" s="471">
        <v>129.31885488647583</v>
      </c>
      <c r="G994" s="319"/>
      <c r="H994" s="319"/>
      <c r="I994" s="319"/>
      <c r="J994" s="319"/>
      <c r="K994" s="319"/>
      <c r="L994" s="319"/>
      <c r="M994" s="319"/>
      <c r="N994" s="319"/>
      <c r="O994" s="319"/>
      <c r="P994" s="319"/>
      <c r="Q994" s="319"/>
      <c r="R994" s="319"/>
      <c r="S994" s="319"/>
      <c r="T994" s="319"/>
      <c r="U994" s="319"/>
      <c r="V994" s="319"/>
      <c r="W994" s="319"/>
    </row>
    <row r="995" spans="1:23" ht="13.2" hidden="1">
      <c r="A995" s="319"/>
      <c r="B995" s="472"/>
      <c r="C995" s="394">
        <f>VLOOKUP($D$262,$B$987:$F$994,2,FALSE)*IF(E981=2,1,5/10+0.01*5/10)</f>
        <v>0.02</v>
      </c>
      <c r="D995" s="394">
        <f>VLOOKUP($D$262,$B$987:$F$994,3,FALSE)</f>
        <v>0.5</v>
      </c>
      <c r="E995" s="394">
        <f>VLOOKUP($D$262,$B$987:$F$994,4,FALSE)</f>
        <v>0.25</v>
      </c>
      <c r="F995" s="473">
        <f>VLOOKUP($D$262,$B$987:$F$994,5,FALSE)</f>
        <v>100</v>
      </c>
      <c r="G995" s="319"/>
      <c r="H995" s="319"/>
      <c r="I995" s="319"/>
      <c r="J995" s="319"/>
      <c r="K995" s="319"/>
      <c r="L995" s="319"/>
      <c r="M995" s="319"/>
      <c r="N995" s="319"/>
      <c r="O995" s="319"/>
      <c r="P995" s="319"/>
      <c r="Q995" s="319"/>
      <c r="R995" s="319"/>
      <c r="S995" s="319"/>
      <c r="T995" s="319"/>
      <c r="U995" s="319"/>
      <c r="V995" s="319"/>
      <c r="W995" s="319"/>
    </row>
    <row r="996" spans="1:23" ht="13.2" hidden="1">
      <c r="A996" s="319"/>
      <c r="B996" s="319"/>
      <c r="C996" s="319"/>
      <c r="D996" s="319"/>
      <c r="E996" s="319"/>
      <c r="F996" s="319"/>
      <c r="G996" s="319"/>
      <c r="H996" s="319"/>
      <c r="I996" s="319"/>
      <c r="J996" s="319"/>
      <c r="K996" s="319"/>
      <c r="L996" s="319"/>
      <c r="M996" s="319"/>
      <c r="N996" s="319"/>
      <c r="O996" s="319"/>
      <c r="P996" s="319"/>
      <c r="Q996" s="319"/>
      <c r="R996" s="319"/>
      <c r="S996" s="319"/>
      <c r="T996" s="319"/>
      <c r="U996" s="319"/>
      <c r="V996" s="319"/>
      <c r="W996" s="319"/>
    </row>
    <row r="997" spans="1:23" ht="13.2" hidden="1">
      <c r="A997" s="319"/>
      <c r="B997" s="319"/>
      <c r="C997" s="319"/>
      <c r="D997" s="468"/>
      <c r="E997" s="872" t="s">
        <v>1780</v>
      </c>
      <c r="F997" s="469"/>
      <c r="G997" s="469"/>
      <c r="H997" s="872" t="s">
        <v>3962</v>
      </c>
      <c r="I997" s="470"/>
      <c r="J997" s="319"/>
      <c r="K997" s="319"/>
      <c r="L997" s="319"/>
      <c r="M997" s="319"/>
      <c r="N997" s="319"/>
      <c r="O997" s="319"/>
      <c r="P997" s="319"/>
      <c r="Q997" s="319"/>
      <c r="R997" s="319"/>
      <c r="S997" s="319"/>
      <c r="T997" s="319"/>
      <c r="U997" s="319"/>
      <c r="V997" s="319"/>
      <c r="W997" s="319"/>
    </row>
    <row r="998" spans="1:23" ht="13.2" hidden="1">
      <c r="A998" s="319"/>
      <c r="B998" s="319"/>
      <c r="C998" s="319"/>
      <c r="D998" s="450"/>
      <c r="E998" s="463" t="s">
        <v>726</v>
      </c>
      <c r="F998" s="463" t="s">
        <v>2506</v>
      </c>
      <c r="G998" s="463"/>
      <c r="H998" s="463" t="s">
        <v>726</v>
      </c>
      <c r="I998" s="471" t="s">
        <v>2506</v>
      </c>
      <c r="J998" s="319"/>
      <c r="K998" s="319"/>
      <c r="L998" s="319"/>
      <c r="M998" s="319"/>
      <c r="N998" s="319"/>
      <c r="O998" s="319"/>
      <c r="P998" s="319"/>
      <c r="Q998" s="319"/>
      <c r="R998" s="319"/>
      <c r="S998" s="319"/>
      <c r="T998" s="319"/>
      <c r="U998" s="319"/>
      <c r="V998" s="319"/>
      <c r="W998" s="319"/>
    </row>
    <row r="999" spans="1:23" ht="13.2" hidden="1">
      <c r="A999" s="319"/>
      <c r="B999" s="319"/>
      <c r="C999" s="319"/>
      <c r="D999" s="450"/>
      <c r="E999" s="463"/>
      <c r="F999" s="463"/>
      <c r="G999" s="463"/>
      <c r="H999" s="463"/>
      <c r="I999" s="471"/>
      <c r="J999" s="319"/>
      <c r="K999" s="319"/>
      <c r="L999" s="319"/>
      <c r="M999" s="319"/>
      <c r="N999" s="319"/>
      <c r="O999" s="319"/>
      <c r="P999" s="319"/>
      <c r="Q999" s="319"/>
      <c r="R999" s="319"/>
      <c r="S999" s="319"/>
      <c r="T999" s="319"/>
      <c r="U999" s="319"/>
      <c r="V999" s="319"/>
      <c r="W999" s="319"/>
    </row>
    <row r="1000" spans="1:23" ht="13.2" hidden="1">
      <c r="A1000" s="319"/>
      <c r="B1000" s="874" t="s">
        <v>1779</v>
      </c>
      <c r="C1000" s="469"/>
      <c r="D1000" s="450"/>
      <c r="E1000" s="463" t="s">
        <v>3703</v>
      </c>
      <c r="F1000" s="463"/>
      <c r="G1000" s="463"/>
      <c r="H1000" s="463" t="s">
        <v>3703</v>
      </c>
      <c r="I1000" s="471"/>
      <c r="J1000" s="319"/>
      <c r="K1000" s="319"/>
      <c r="L1000" s="319"/>
      <c r="M1000" s="319"/>
      <c r="N1000" s="319"/>
      <c r="O1000" s="319"/>
      <c r="P1000" s="319"/>
      <c r="Q1000" s="319"/>
      <c r="R1000" s="319"/>
      <c r="S1000" s="319"/>
      <c r="T1000" s="319"/>
      <c r="U1000" s="319"/>
      <c r="V1000" s="319"/>
      <c r="W1000" s="319"/>
    </row>
    <row r="1001" spans="1:23" ht="13.2" hidden="1">
      <c r="A1001" s="319"/>
      <c r="B1001" s="450" t="s">
        <v>1141</v>
      </c>
      <c r="C1001" s="463" t="s">
        <v>981</v>
      </c>
      <c r="D1001" s="450" t="s">
        <v>2601</v>
      </c>
      <c r="E1001" s="463">
        <v>1.8523114863000001</v>
      </c>
      <c r="F1001" s="463">
        <v>1.5999999999999999E-22</v>
      </c>
      <c r="G1001" s="463" t="s">
        <v>2601</v>
      </c>
      <c r="H1001" s="463">
        <f>E1001*F1018</f>
        <v>0</v>
      </c>
      <c r="I1001" s="471">
        <f>F1001*F1018</f>
        <v>0</v>
      </c>
      <c r="J1001" s="319"/>
      <c r="K1001" s="319"/>
      <c r="L1001" s="319"/>
      <c r="M1001" s="319"/>
      <c r="N1001" s="319"/>
      <c r="O1001" s="319"/>
      <c r="P1001" s="319"/>
      <c r="Q1001" s="319"/>
      <c r="R1001" s="319"/>
      <c r="S1001" s="319"/>
      <c r="T1001" s="319"/>
      <c r="U1001" s="319"/>
      <c r="V1001" s="319"/>
      <c r="W1001" s="319"/>
    </row>
    <row r="1002" spans="1:23" ht="13.2" hidden="1">
      <c r="A1002" s="319"/>
      <c r="B1002" s="450"/>
      <c r="C1002" s="463"/>
      <c r="D1002" s="450"/>
      <c r="E1002" s="463"/>
      <c r="F1002" s="463"/>
      <c r="G1002" s="463"/>
      <c r="H1002" s="463"/>
      <c r="I1002" s="471"/>
      <c r="J1002" s="319"/>
      <c r="K1002" s="319"/>
      <c r="L1002" s="319"/>
      <c r="M1002" s="319"/>
      <c r="N1002" s="319"/>
      <c r="O1002" s="319"/>
      <c r="P1002" s="319"/>
      <c r="Q1002" s="319"/>
      <c r="R1002" s="319"/>
      <c r="S1002" s="319"/>
      <c r="T1002" s="319"/>
      <c r="U1002" s="319"/>
      <c r="V1002" s="319"/>
      <c r="W1002" s="319"/>
    </row>
    <row r="1003" spans="1:23" ht="13.2" hidden="1">
      <c r="A1003" s="319"/>
      <c r="B1003" s="450">
        <v>2.8</v>
      </c>
      <c r="C1003" s="463">
        <v>3.5</v>
      </c>
      <c r="D1003" s="450" t="s">
        <v>3327</v>
      </c>
      <c r="E1003" s="463">
        <v>-5.2528945928000002E-3</v>
      </c>
      <c r="F1003" s="463">
        <v>8.8451000000000004</v>
      </c>
      <c r="G1003" s="463" t="s">
        <v>3327</v>
      </c>
      <c r="H1003" s="463">
        <f>E1003*F1018</f>
        <v>0</v>
      </c>
      <c r="I1003" s="471">
        <f>F1003</f>
        <v>8.8451000000000004</v>
      </c>
      <c r="J1003" s="319"/>
      <c r="K1003" s="319"/>
      <c r="L1003" s="319"/>
      <c r="M1003" s="319"/>
      <c r="N1003" s="319"/>
      <c r="O1003" s="319"/>
      <c r="P1003" s="319"/>
      <c r="Q1003" s="319"/>
      <c r="R1003" s="319"/>
      <c r="S1003" s="319"/>
      <c r="T1003" s="319"/>
      <c r="U1003" s="319"/>
      <c r="V1003" s="319"/>
      <c r="W1003" s="319"/>
    </row>
    <row r="1004" spans="1:23" ht="13.2" hidden="1">
      <c r="A1004" s="319"/>
      <c r="B1004" s="450">
        <v>3.2</v>
      </c>
      <c r="C1004" s="463">
        <v>4.5</v>
      </c>
      <c r="D1004" s="450" t="s">
        <v>2800</v>
      </c>
      <c r="E1004" s="463">
        <v>3.62713104E-5</v>
      </c>
      <c r="F1004" s="463">
        <v>0</v>
      </c>
      <c r="G1004" s="463" t="s">
        <v>2800</v>
      </c>
      <c r="H1004" s="463">
        <f>E1004*F1018</f>
        <v>0</v>
      </c>
      <c r="I1004" s="471">
        <f>F1004*F1018</f>
        <v>0</v>
      </c>
      <c r="J1004" s="319"/>
      <c r="K1004" s="319"/>
      <c r="L1004" s="319"/>
      <c r="M1004" s="319"/>
      <c r="N1004" s="319"/>
      <c r="O1004" s="319"/>
      <c r="P1004" s="319"/>
      <c r="Q1004" s="319"/>
      <c r="R1004" s="319"/>
      <c r="S1004" s="319"/>
      <c r="T1004" s="319"/>
      <c r="U1004" s="319"/>
      <c r="V1004" s="319"/>
      <c r="W1004" s="319"/>
    </row>
    <row r="1005" spans="1:23" ht="13.2" hidden="1">
      <c r="A1005" s="319"/>
      <c r="B1005" s="450">
        <v>4</v>
      </c>
      <c r="C1005" s="463">
        <v>5.5</v>
      </c>
      <c r="D1005" s="450"/>
      <c r="E1005" s="463" t="s">
        <v>2602</v>
      </c>
      <c r="F1005" s="463"/>
      <c r="G1005" s="463"/>
      <c r="H1005" s="463" t="s">
        <v>2602</v>
      </c>
      <c r="I1005" s="471"/>
      <c r="J1005" s="319"/>
      <c r="K1005" s="319"/>
      <c r="L1005" s="319"/>
      <c r="M1005" s="319"/>
      <c r="N1005" s="319"/>
      <c r="O1005" s="319"/>
      <c r="P1005" s="319"/>
      <c r="Q1005" s="319"/>
      <c r="R1005" s="319"/>
      <c r="S1005" s="319"/>
      <c r="T1005" s="319"/>
      <c r="U1005" s="319"/>
      <c r="V1005" s="319"/>
      <c r="W1005" s="319"/>
    </row>
    <row r="1006" spans="1:23" ht="13.2" hidden="1">
      <c r="A1006" s="319"/>
      <c r="B1006" s="875">
        <f>D259</f>
        <v>0</v>
      </c>
      <c r="C1006" s="876">
        <f>E259</f>
        <v>0</v>
      </c>
      <c r="D1006" s="450" t="s">
        <v>2601</v>
      </c>
      <c r="E1006" s="463">
        <v>1.5310583615763158</v>
      </c>
      <c r="F1006" s="463">
        <v>2.8</v>
      </c>
      <c r="G1006" s="463" t="s">
        <v>2601</v>
      </c>
      <c r="H1006" s="463">
        <f>E1006*$C$1007</f>
        <v>8.4208209886697372</v>
      </c>
      <c r="I1006" s="471">
        <f>F1006*$B$1007/$B$1003</f>
        <v>4</v>
      </c>
      <c r="J1006" s="319"/>
      <c r="K1006" s="319"/>
      <c r="L1006" s="319"/>
      <c r="M1006" s="319"/>
      <c r="N1006" s="319"/>
      <c r="O1006" s="319"/>
      <c r="P1006" s="319"/>
      <c r="Q1006" s="319"/>
      <c r="R1006" s="319"/>
      <c r="S1006" s="319"/>
      <c r="T1006" s="319"/>
      <c r="U1006" s="319"/>
      <c r="V1006" s="319"/>
      <c r="W1006" s="319"/>
    </row>
    <row r="1007" spans="1:23" ht="13.2" hidden="1">
      <c r="A1007" s="319"/>
      <c r="B1007" s="852">
        <f>INDEX(B1003:B1006,$M$257,1)</f>
        <v>4</v>
      </c>
      <c r="C1007" s="854">
        <f>INDEX(C1003:C1006,$M$257,1)</f>
        <v>5.5</v>
      </c>
      <c r="D1007" s="450" t="s">
        <v>3327</v>
      </c>
      <c r="E1007" s="463">
        <v>-2.2960945432653677E-2</v>
      </c>
      <c r="F1007" s="463">
        <v>1.1900000000000001E-2</v>
      </c>
      <c r="G1007" s="463" t="s">
        <v>3327</v>
      </c>
      <c r="H1007" s="463">
        <f>E1007*$C$1007</f>
        <v>-0.12628519987959522</v>
      </c>
      <c r="I1007" s="471">
        <f>F1007</f>
        <v>1.1900000000000001E-2</v>
      </c>
      <c r="J1007" s="319"/>
      <c r="K1007" s="319"/>
      <c r="L1007" s="319"/>
      <c r="M1007" s="319"/>
      <c r="N1007" s="319"/>
      <c r="O1007" s="319"/>
      <c r="P1007" s="319"/>
      <c r="Q1007" s="319"/>
      <c r="R1007" s="319"/>
      <c r="S1007" s="319"/>
      <c r="T1007" s="319"/>
      <c r="U1007" s="319"/>
      <c r="V1007" s="319"/>
      <c r="W1007" s="319"/>
    </row>
    <row r="1008" spans="1:23" ht="13.2" hidden="1">
      <c r="A1008" s="319"/>
      <c r="B1008" s="472"/>
      <c r="C1008" s="394"/>
      <c r="D1008" s="450" t="s">
        <v>2800</v>
      </c>
      <c r="E1008" s="463">
        <v>6.874443878404159E-5</v>
      </c>
      <c r="F1008" s="463">
        <v>0</v>
      </c>
      <c r="G1008" s="463" t="s">
        <v>2800</v>
      </c>
      <c r="H1008" s="463">
        <f>E1008*$C$1007</f>
        <v>3.7809441331222872E-4</v>
      </c>
      <c r="I1008" s="471">
        <f>F1008*$B$1007/$B$1003</f>
        <v>0</v>
      </c>
      <c r="J1008" s="319"/>
      <c r="K1008" s="319"/>
      <c r="L1008" s="319"/>
      <c r="M1008" s="319"/>
      <c r="N1008" s="319"/>
      <c r="O1008" s="319"/>
      <c r="P1008" s="319"/>
      <c r="Q1008" s="319"/>
      <c r="R1008" s="319"/>
      <c r="S1008" s="319"/>
      <c r="T1008" s="319"/>
      <c r="U1008" s="319"/>
      <c r="V1008" s="319"/>
      <c r="W1008" s="319"/>
    </row>
    <row r="1009" spans="1:23" ht="13.2" hidden="1">
      <c r="A1009" s="319"/>
      <c r="B1009" s="319"/>
      <c r="C1009" s="319"/>
      <c r="D1009" s="472" t="s">
        <v>3620</v>
      </c>
      <c r="E1009" s="394">
        <v>-8.3595220812000001E-8</v>
      </c>
      <c r="F1009" s="394"/>
      <c r="G1009" s="394"/>
      <c r="H1009" s="394">
        <f>E1009*F1018</f>
        <v>0</v>
      </c>
      <c r="I1009" s="473"/>
      <c r="J1009" s="319"/>
      <c r="K1009" s="319"/>
      <c r="L1009" s="319"/>
      <c r="M1009" s="319"/>
      <c r="N1009" s="319"/>
      <c r="O1009" s="319"/>
      <c r="P1009" s="319"/>
      <c r="Q1009" s="319"/>
      <c r="R1009" s="319"/>
      <c r="S1009" s="319"/>
      <c r="T1009" s="319"/>
      <c r="U1009" s="319"/>
      <c r="V1009" s="319"/>
      <c r="W1009" s="319"/>
    </row>
    <row r="1010" spans="1:23" ht="13.2" hidden="1">
      <c r="A1010" s="319"/>
      <c r="B1010" s="319"/>
      <c r="C1010" s="319"/>
      <c r="D1010" s="319"/>
      <c r="E1010" s="319"/>
      <c r="F1010" s="319"/>
      <c r="G1010" s="319"/>
      <c r="H1010" s="319"/>
      <c r="I1010" s="319"/>
      <c r="J1010" s="319"/>
      <c r="K1010" s="319"/>
      <c r="L1010" s="319"/>
      <c r="M1010" s="319"/>
      <c r="N1010" s="319"/>
      <c r="O1010" s="319"/>
      <c r="P1010" s="319"/>
      <c r="Q1010" s="319"/>
      <c r="R1010" s="319"/>
      <c r="S1010" s="319"/>
      <c r="T1010" s="319"/>
      <c r="U1010" s="319"/>
      <c r="V1010" s="319"/>
      <c r="W1010" s="319"/>
    </row>
    <row r="1011" spans="1:23" ht="13.2" hidden="1">
      <c r="A1011" s="319"/>
      <c r="B1011" s="874" t="s">
        <v>3619</v>
      </c>
      <c r="C1011" s="469"/>
      <c r="D1011" s="469"/>
      <c r="E1011" s="469" t="s">
        <v>5764</v>
      </c>
      <c r="F1011" s="470"/>
      <c r="G1011" s="319"/>
      <c r="H1011" s="319" t="s">
        <v>753</v>
      </c>
      <c r="I1011" s="319"/>
      <c r="J1011" s="319"/>
      <c r="K1011" s="319"/>
      <c r="L1011" s="319"/>
      <c r="M1011" s="319"/>
      <c r="N1011" s="319"/>
      <c r="O1011" s="319"/>
      <c r="P1011" s="319"/>
      <c r="Q1011" s="319"/>
      <c r="R1011" s="319"/>
      <c r="S1011" s="319"/>
      <c r="T1011" s="319"/>
      <c r="U1011" s="319"/>
      <c r="V1011" s="319"/>
      <c r="W1011" s="319"/>
    </row>
    <row r="1012" spans="1:23" ht="13.2" hidden="1">
      <c r="A1012" s="319"/>
      <c r="B1012" s="450">
        <f>(H1006+H1007*((C1031-32)*5/9)+H1008*((C1031-32)*5/9)^2)</f>
        <v>7.0643304237498192</v>
      </c>
      <c r="C1012" s="463">
        <f>(F1006*EXP(((C1030-32)*5/9*F1007)))*B1007/B1003</f>
        <v>3.6223670539384227</v>
      </c>
      <c r="D1012" s="463"/>
      <c r="E1012" s="463">
        <f>(E1001+E1003*((C1031-32)*5/9+273.15)+E1004*((C1031-32)*5/9+273.15)^2+E1009*((C1031-32)*5/9+273.15)^3)*B1012/(B1012+1)</f>
        <v>1.1999886889379252</v>
      </c>
      <c r="F1012" s="471">
        <f>(F1001*((C1030-32)*5/9+273.15)^(F1003))*C1012/(C1012-1)</f>
        <v>0.59650290151982355</v>
      </c>
      <c r="G1012" s="319"/>
      <c r="H1012" s="319" t="s">
        <v>5754</v>
      </c>
      <c r="I1012" s="319"/>
      <c r="J1012" s="319"/>
      <c r="K1012" s="319"/>
      <c r="L1012" s="319"/>
      <c r="M1012" s="319"/>
      <c r="N1012" s="319"/>
      <c r="O1012" s="319"/>
      <c r="P1012" s="319"/>
      <c r="Q1012" s="319"/>
      <c r="R1012" s="319"/>
      <c r="S1012" s="319"/>
      <c r="T1012" s="319"/>
      <c r="U1012" s="319"/>
      <c r="V1012" s="319"/>
      <c r="W1012" s="319"/>
    </row>
    <row r="1013" spans="1:23" ht="13.2" hidden="1">
      <c r="A1013" s="319"/>
      <c r="B1013" s="450" t="s">
        <v>2586</v>
      </c>
      <c r="C1013" s="463"/>
      <c r="D1013" s="463"/>
      <c r="E1013" s="463" t="s">
        <v>1539</v>
      </c>
      <c r="F1013" s="471"/>
      <c r="G1013" s="319"/>
      <c r="H1013" s="319" t="s">
        <v>2407</v>
      </c>
      <c r="I1013" s="319"/>
      <c r="J1013" s="319"/>
      <c r="K1013" s="319"/>
      <c r="L1013" s="319"/>
      <c r="M1013" s="319"/>
      <c r="N1013" s="319"/>
      <c r="O1013" s="319"/>
      <c r="P1013" s="319"/>
      <c r="Q1013" s="319"/>
      <c r="R1013" s="319"/>
      <c r="S1013" s="319"/>
      <c r="T1013" s="319"/>
      <c r="U1013" s="319"/>
      <c r="V1013" s="319"/>
      <c r="W1013" s="319"/>
    </row>
    <row r="1014" spans="1:23" ht="13.2" hidden="1">
      <c r="A1014" s="319"/>
      <c r="B1014" s="450">
        <f>(H1006+H1007*25+H1008*(25)^2)</f>
        <v>5.5</v>
      </c>
      <c r="C1014" s="463">
        <f>I1006</f>
        <v>4</v>
      </c>
      <c r="D1014" s="463"/>
      <c r="E1014" s="463">
        <f>(E1001+E1003*(25+273.15)+E1004*(25+273.15)^2+E1009*(25+273.15)^3)*B1014/(B1014+1)</f>
        <v>1.0956590356959095</v>
      </c>
      <c r="F1014" s="471">
        <f>(F1001*(273.15)^(F1003))*C1014/(C1014-1)</f>
        <v>0.7573053349514911</v>
      </c>
      <c r="G1014" s="319"/>
      <c r="H1014" s="319" t="s">
        <v>4924</v>
      </c>
      <c r="I1014" s="319"/>
      <c r="J1014" s="319"/>
      <c r="K1014" s="319"/>
      <c r="L1014" s="319"/>
      <c r="M1014" s="319"/>
      <c r="N1014" s="319"/>
      <c r="O1014" s="319"/>
      <c r="P1014" s="319"/>
      <c r="Q1014" s="319"/>
      <c r="R1014" s="319"/>
      <c r="S1014" s="319"/>
      <c r="T1014" s="319"/>
      <c r="U1014" s="319"/>
      <c r="V1014" s="319"/>
      <c r="W1014" s="319"/>
    </row>
    <row r="1015" spans="1:23" ht="13.2" hidden="1">
      <c r="A1015" s="319"/>
      <c r="B1015" s="450"/>
      <c r="C1015" s="463"/>
      <c r="D1015" s="463" t="s">
        <v>4923</v>
      </c>
      <c r="E1015" s="463">
        <f>P253/E1012</f>
        <v>0</v>
      </c>
      <c r="F1015" s="471">
        <f>O253/F1012</f>
        <v>0</v>
      </c>
      <c r="G1015" s="319"/>
      <c r="H1015" s="319"/>
      <c r="I1015" s="319"/>
      <c r="J1015" s="319"/>
      <c r="K1015" s="319"/>
      <c r="L1015" s="319"/>
      <c r="M1015" s="319"/>
      <c r="N1015" s="319"/>
      <c r="O1015" s="319"/>
      <c r="P1015" s="319"/>
      <c r="Q1015" s="319"/>
      <c r="R1015" s="319"/>
      <c r="S1015" s="319"/>
      <c r="T1015" s="319"/>
      <c r="U1015" s="319"/>
      <c r="V1015" s="319"/>
      <c r="W1015" s="319"/>
    </row>
    <row r="1016" spans="1:23" ht="13.2" hidden="1">
      <c r="A1016" s="319"/>
      <c r="B1016" s="450"/>
      <c r="C1016" s="463"/>
      <c r="D1016" s="463" t="s">
        <v>5041</v>
      </c>
      <c r="E1016" s="463">
        <f>(E1001+E1003*(25+273.15)+E1004*(25+273.15)^2+E1009*(25+273.15)^3)*E1015*B1014/(B1014+1)</f>
        <v>0</v>
      </c>
      <c r="F1016" s="471">
        <f>(F1001*(273.15)^(F1003))*F1015*C1014/(C1014-1)</f>
        <v>0</v>
      </c>
      <c r="G1016" s="319"/>
      <c r="H1016" s="319" t="s">
        <v>3878</v>
      </c>
      <c r="I1016" s="319" t="s">
        <v>3142</v>
      </c>
      <c r="J1016" s="319" t="s">
        <v>2657</v>
      </c>
      <c r="K1016" s="319"/>
      <c r="L1016" s="319"/>
      <c r="M1016" s="319"/>
      <c r="N1016" s="319"/>
      <c r="O1016" s="319"/>
      <c r="P1016" s="319"/>
      <c r="Q1016" s="319"/>
      <c r="R1016" s="319"/>
      <c r="S1016" s="319"/>
      <c r="T1016" s="319"/>
      <c r="U1016" s="319"/>
      <c r="V1016" s="319"/>
      <c r="W1016" s="319"/>
    </row>
    <row r="1017" spans="1:23" ht="13.2" hidden="1">
      <c r="A1017" s="319"/>
      <c r="B1017" s="450"/>
      <c r="C1017" s="463"/>
      <c r="D1017" s="463"/>
      <c r="E1017" s="463" t="s">
        <v>2072</v>
      </c>
      <c r="F1017" s="471" t="s">
        <v>2071</v>
      </c>
      <c r="G1017" s="319"/>
      <c r="H1017" s="319" t="s">
        <v>2989</v>
      </c>
      <c r="I1017" s="319" t="s">
        <v>2989</v>
      </c>
      <c r="J1017" s="319" t="s">
        <v>1997</v>
      </c>
      <c r="K1017" s="319"/>
      <c r="L1017" s="319"/>
      <c r="M1017" s="319"/>
      <c r="N1017" s="319"/>
      <c r="O1017" s="319"/>
      <c r="P1017" s="319"/>
      <c r="Q1017" s="319"/>
      <c r="R1017" s="319"/>
      <c r="S1017" s="319"/>
      <c r="T1017" s="319"/>
      <c r="U1017" s="319"/>
      <c r="V1017" s="319"/>
      <c r="W1017" s="319"/>
    </row>
    <row r="1018" spans="1:23" ht="13.2" hidden="1">
      <c r="A1018" s="319"/>
      <c r="B1018" s="450"/>
      <c r="C1018" s="463"/>
      <c r="D1018" s="463"/>
      <c r="E1018" s="463">
        <f>IF(M268=1,IF(E1015&gt;F1015,E1016,F1016),E1016)</f>
        <v>0</v>
      </c>
      <c r="F1018" s="471">
        <f>IF(M268=1,IF(E1015&gt;F1015,E1015,F1015),E1015)</f>
        <v>0</v>
      </c>
      <c r="G1018" s="319"/>
      <c r="H1018" s="319" t="s">
        <v>3873</v>
      </c>
      <c r="I1018" s="319" t="s">
        <v>1996</v>
      </c>
      <c r="J1018" s="319" t="s">
        <v>4058</v>
      </c>
      <c r="K1018" s="319"/>
      <c r="L1018" s="319"/>
      <c r="M1018" s="319"/>
      <c r="N1018" s="319"/>
      <c r="O1018" s="319"/>
      <c r="P1018" s="319"/>
      <c r="Q1018" s="319"/>
      <c r="R1018" s="319"/>
      <c r="S1018" s="319"/>
      <c r="T1018" s="319"/>
      <c r="U1018" s="319"/>
      <c r="V1018" s="319"/>
      <c r="W1018" s="319"/>
    </row>
    <row r="1019" spans="1:23" ht="13.2" hidden="1">
      <c r="A1019" s="319"/>
      <c r="B1019" s="450"/>
      <c r="C1019" s="463"/>
      <c r="D1019" s="463" t="s">
        <v>2638</v>
      </c>
      <c r="E1019" s="463">
        <f>(H1001+H1003*(25+273.15)+H1004*(25+273.15)^2+H1009*(25+273.15)^3)*B1014/(B1014+1)</f>
        <v>0</v>
      </c>
      <c r="F1019" s="471">
        <f>(I1001*(273.15)^(I1003))*C1014/(C1014-1)</f>
        <v>0</v>
      </c>
      <c r="G1019" s="319"/>
      <c r="H1019" s="319" t="s">
        <v>3873</v>
      </c>
      <c r="I1019" s="319" t="s">
        <v>3873</v>
      </c>
      <c r="J1019" s="319" t="s">
        <v>3876</v>
      </c>
      <c r="K1019" s="319"/>
      <c r="L1019" s="319"/>
      <c r="M1019" s="319"/>
      <c r="N1019" s="319"/>
      <c r="O1019" s="319"/>
      <c r="P1019" s="319"/>
      <c r="Q1019" s="319"/>
      <c r="R1019" s="319"/>
      <c r="S1019" s="319"/>
      <c r="T1019" s="319"/>
      <c r="U1019" s="319"/>
      <c r="V1019" s="319"/>
      <c r="W1019" s="319"/>
    </row>
    <row r="1020" spans="1:23" ht="13.2" hidden="1">
      <c r="A1020" s="319"/>
      <c r="B1020" s="450"/>
      <c r="C1020" s="463"/>
      <c r="D1020" s="463" t="s">
        <v>3875</v>
      </c>
      <c r="E1020" s="463">
        <f>(H1001+H1003*((C1031-32)*5/9+273.15)+H1004*((C1031-32)*5/9+273.15)^2+H1009*((C1031-32)*5/9+273.15)^3)*B1012/(B1012+1)</f>
        <v>0</v>
      </c>
      <c r="F1020" s="471">
        <f>(I1001*((C1030-32)*5/9+273.15)^(I1003))*C1012/(C1012-1)</f>
        <v>0</v>
      </c>
      <c r="G1020" s="319"/>
      <c r="H1020" s="319" t="s">
        <v>4166</v>
      </c>
      <c r="I1020" s="319" t="s">
        <v>4619</v>
      </c>
      <c r="J1020" s="319" t="s">
        <v>5206</v>
      </c>
      <c r="K1020" s="319"/>
      <c r="L1020" s="319"/>
      <c r="M1020" s="319"/>
      <c r="N1020" s="319"/>
      <c r="O1020" s="319"/>
      <c r="P1020" s="319"/>
      <c r="Q1020" s="319"/>
      <c r="R1020" s="319"/>
      <c r="S1020" s="319"/>
      <c r="T1020" s="319"/>
      <c r="U1020" s="319"/>
      <c r="V1020" s="319"/>
      <c r="W1020" s="319"/>
    </row>
    <row r="1021" spans="1:23" ht="13.2" hidden="1">
      <c r="A1021" s="319"/>
      <c r="B1021" s="472"/>
      <c r="C1021" s="394"/>
      <c r="D1021" s="394" t="s">
        <v>3874</v>
      </c>
      <c r="E1021" s="394">
        <f>E1020*3413</f>
        <v>0</v>
      </c>
      <c r="F1021" s="473">
        <f>F1020*3413</f>
        <v>0</v>
      </c>
      <c r="G1021" s="319"/>
      <c r="H1021" s="319" t="s">
        <v>3873</v>
      </c>
      <c r="I1021" s="319" t="s">
        <v>3872</v>
      </c>
      <c r="J1021" s="319" t="s">
        <v>4541</v>
      </c>
      <c r="K1021" s="319"/>
      <c r="L1021" s="319"/>
      <c r="M1021" s="319"/>
      <c r="N1021" s="319"/>
      <c r="O1021" s="319"/>
      <c r="P1021" s="319"/>
      <c r="Q1021" s="319"/>
      <c r="R1021" s="319"/>
      <c r="S1021" s="319"/>
      <c r="T1021" s="319"/>
      <c r="U1021" s="319"/>
      <c r="V1021" s="319"/>
      <c r="W1021" s="319"/>
    </row>
    <row r="1022" spans="1:23" ht="13.2" hidden="1">
      <c r="A1022" s="319"/>
      <c r="B1022" s="319"/>
      <c r="C1022" s="319"/>
      <c r="D1022" s="319"/>
      <c r="E1022" s="319"/>
      <c r="F1022" s="319"/>
      <c r="G1022" s="319"/>
      <c r="H1022" s="319"/>
      <c r="I1022" s="319"/>
      <c r="J1022" s="319"/>
      <c r="K1022" s="319"/>
      <c r="L1022" s="319"/>
      <c r="M1022" s="319"/>
      <c r="N1022" s="319"/>
      <c r="O1022" s="319"/>
      <c r="P1022" s="319"/>
      <c r="Q1022" s="319"/>
      <c r="R1022" s="319"/>
      <c r="S1022" s="319"/>
      <c r="T1022" s="319"/>
      <c r="U1022" s="319"/>
      <c r="V1022" s="319"/>
      <c r="W1022" s="319"/>
    </row>
    <row r="1023" spans="1:23" ht="13.2" hidden="1">
      <c r="A1023" s="319"/>
      <c r="B1023" s="874" t="s">
        <v>3143</v>
      </c>
      <c r="C1023" s="469"/>
      <c r="D1023" s="470"/>
      <c r="E1023" s="874" t="s">
        <v>1213</v>
      </c>
      <c r="F1023" s="469"/>
      <c r="G1023" s="469"/>
      <c r="H1023" s="469"/>
      <c r="I1023" s="469"/>
      <c r="J1023" s="469"/>
      <c r="K1023" s="469"/>
      <c r="L1023" s="470"/>
      <c r="M1023" s="319"/>
      <c r="N1023" s="319"/>
      <c r="O1023" s="319"/>
      <c r="P1023" s="319"/>
      <c r="Q1023" s="319"/>
      <c r="R1023" s="319"/>
      <c r="S1023" s="319"/>
      <c r="T1023" s="319"/>
      <c r="U1023" s="319"/>
      <c r="V1023" s="319"/>
      <c r="W1023" s="319"/>
    </row>
    <row r="1024" spans="1:23" ht="13.2" hidden="1">
      <c r="A1024" s="319"/>
      <c r="B1024" s="450" t="s">
        <v>3192</v>
      </c>
      <c r="C1024" s="463"/>
      <c r="D1024" s="471"/>
      <c r="E1024" s="450"/>
      <c r="F1024" s="463" t="s">
        <v>1866</v>
      </c>
      <c r="G1024" s="463"/>
      <c r="H1024" s="463"/>
      <c r="I1024" s="463"/>
      <c r="J1024" s="463"/>
      <c r="K1024" s="463"/>
      <c r="L1024" s="471"/>
      <c r="M1024" s="319"/>
      <c r="N1024" s="319"/>
      <c r="O1024" s="319"/>
      <c r="P1024" s="319"/>
      <c r="Q1024" s="319"/>
      <c r="R1024" s="319"/>
      <c r="S1024" s="319"/>
      <c r="T1024" s="319"/>
      <c r="U1024" s="319"/>
      <c r="V1024" s="319"/>
      <c r="W1024" s="319"/>
    </row>
    <row r="1025" spans="1:23" ht="13.2" hidden="1">
      <c r="A1025" s="319"/>
      <c r="B1025" s="450" t="s">
        <v>1588</v>
      </c>
      <c r="C1025" s="463" t="e">
        <f ca="1">(O253*3413)*((C1043-1)/(C1043))*(C1036+C1038*C1040)/(C1033-C1030)*0.3048</f>
        <v>#DIV/0!</v>
      </c>
      <c r="D1025" s="471" t="s">
        <v>3813</v>
      </c>
      <c r="E1025" s="450"/>
      <c r="F1025" s="463">
        <v>0.5</v>
      </c>
      <c r="G1025" s="463">
        <v>24</v>
      </c>
      <c r="H1025" s="463">
        <v>60</v>
      </c>
      <c r="I1025" s="463">
        <v>96</v>
      </c>
      <c r="J1025" s="463">
        <v>144</v>
      </c>
      <c r="K1025" s="463">
        <v>240</v>
      </c>
      <c r="L1025" s="471">
        <v>500</v>
      </c>
      <c r="M1025" s="319"/>
      <c r="N1025" s="319"/>
      <c r="O1025" s="319"/>
      <c r="P1025" s="319"/>
      <c r="Q1025" s="319"/>
      <c r="R1025" s="319"/>
      <c r="S1025" s="319"/>
      <c r="T1025" s="319"/>
      <c r="U1025" s="319"/>
      <c r="V1025" s="319"/>
      <c r="W1025" s="319"/>
    </row>
    <row r="1026" spans="1:23" ht="13.2" hidden="1">
      <c r="A1026" s="319"/>
      <c r="B1026" s="450" t="s">
        <v>3056</v>
      </c>
      <c r="C1026" s="463" t="e">
        <f ca="1">MAX(C1028/(((C1043-1)/(C1043))*(C1036+C1038*C1040)/(C1033-C1030)*0.3048)/3413,0)</f>
        <v>#DIV/0!</v>
      </c>
      <c r="D1026" s="471" t="s">
        <v>5700</v>
      </c>
      <c r="E1026" s="450" t="s">
        <v>1093</v>
      </c>
      <c r="F1026" s="463">
        <v>1.6819999999999999</v>
      </c>
      <c r="G1026" s="463">
        <v>0.45400000000000001</v>
      </c>
      <c r="H1026" s="463">
        <v>0.189</v>
      </c>
      <c r="I1026" s="463">
        <v>8.0299999999999996E-2</v>
      </c>
      <c r="J1026" s="463">
        <v>2.5000000000000001E-2</v>
      </c>
      <c r="K1026" s="463">
        <f t="shared" ref="K1026:L1031" si="50">J1026/2</f>
        <v>1.2500000000000001E-2</v>
      </c>
      <c r="L1026" s="471">
        <f t="shared" si="50"/>
        <v>6.2500000000000003E-3</v>
      </c>
      <c r="M1026" s="319"/>
      <c r="N1026" s="319"/>
      <c r="O1026" s="319"/>
      <c r="P1026" s="319"/>
      <c r="Q1026" s="319"/>
      <c r="R1026" s="319"/>
      <c r="S1026" s="319"/>
      <c r="T1026" s="319"/>
      <c r="U1026" s="319"/>
      <c r="V1026" s="319"/>
      <c r="W1026" s="319"/>
    </row>
    <row r="1027" spans="1:23" ht="13.2" hidden="1">
      <c r="A1027" s="319"/>
      <c r="B1027" s="450" t="s">
        <v>2009</v>
      </c>
      <c r="C1027" s="463"/>
      <c r="D1027" s="471"/>
      <c r="E1027" s="450" t="s">
        <v>2313</v>
      </c>
      <c r="F1027" s="463">
        <v>3.9660000000000002</v>
      </c>
      <c r="G1027" s="463">
        <v>0.91</v>
      </c>
      <c r="H1027" s="463">
        <v>0.29399999999999998</v>
      </c>
      <c r="I1027" s="463">
        <v>9.1999999999999998E-2</v>
      </c>
      <c r="J1027" s="463">
        <v>1.4999999999999999E-2</v>
      </c>
      <c r="K1027" s="463">
        <f t="shared" si="50"/>
        <v>7.4999999999999997E-3</v>
      </c>
      <c r="L1027" s="471">
        <f t="shared" si="50"/>
        <v>3.7499999999999999E-3</v>
      </c>
      <c r="M1027" s="319"/>
      <c r="N1027" s="319"/>
      <c r="O1027" s="319"/>
      <c r="P1027" s="319"/>
      <c r="Q1027" s="319"/>
      <c r="R1027" s="319"/>
      <c r="S1027" s="319"/>
      <c r="T1027" s="319"/>
      <c r="U1027" s="319"/>
      <c r="V1027" s="319"/>
      <c r="W1027" s="319"/>
    </row>
    <row r="1028" spans="1:23" ht="13.2" hidden="1">
      <c r="A1028" s="319"/>
      <c r="B1028" s="450" t="s">
        <v>2312</v>
      </c>
      <c r="C1028" s="463" t="e">
        <f ca="1">(P253*3413)*((C1044+1)/(C1044))*(C1036+C1038*C1041)/(C1031-C1034)*0.3048</f>
        <v>#DIV/0!</v>
      </c>
      <c r="D1028" s="471" t="s">
        <v>3813</v>
      </c>
      <c r="E1028" s="450" t="s">
        <v>1138</v>
      </c>
      <c r="F1028" s="463">
        <v>1.145</v>
      </c>
      <c r="G1028" s="463">
        <v>0.32900000000000001</v>
      </c>
      <c r="H1028" s="463">
        <v>0.14599999999999999</v>
      </c>
      <c r="I1028" s="463">
        <v>7.0000000000000007E-2</v>
      </c>
      <c r="J1028" s="463">
        <v>2.4E-2</v>
      </c>
      <c r="K1028" s="463">
        <f t="shared" si="50"/>
        <v>1.2E-2</v>
      </c>
      <c r="L1028" s="471">
        <f t="shared" si="50"/>
        <v>6.0000000000000001E-3</v>
      </c>
      <c r="M1028" s="319"/>
      <c r="N1028" s="319"/>
      <c r="O1028" s="319"/>
      <c r="P1028" s="319"/>
      <c r="Q1028" s="319"/>
      <c r="R1028" s="319"/>
      <c r="S1028" s="319"/>
      <c r="T1028" s="319"/>
      <c r="U1028" s="319"/>
      <c r="V1028" s="319"/>
      <c r="W1028" s="319"/>
    </row>
    <row r="1029" spans="1:23" ht="13.2" hidden="1">
      <c r="A1029" s="319"/>
      <c r="B1029" s="450" t="s">
        <v>983</v>
      </c>
      <c r="C1029" s="463" t="e">
        <f ca="1">MAX(C1025/(((C1044+1)/(C1044))*(C1036+C1038*C1041)/(C1031-C1034)*0.3048)/3413,0)</f>
        <v>#DIV/0!</v>
      </c>
      <c r="D1029" s="471" t="s">
        <v>5700</v>
      </c>
      <c r="E1029" s="450" t="s">
        <v>982</v>
      </c>
      <c r="F1029" s="463">
        <v>1.6819999999999999</v>
      </c>
      <c r="G1029" s="463">
        <v>0.45400000000000001</v>
      </c>
      <c r="H1029" s="463">
        <v>0.189</v>
      </c>
      <c r="I1029" s="463">
        <v>8.0299999999999996E-2</v>
      </c>
      <c r="J1029" s="463">
        <v>2.5000000000000001E-2</v>
      </c>
      <c r="K1029" s="463">
        <f t="shared" si="50"/>
        <v>1.2500000000000001E-2</v>
      </c>
      <c r="L1029" s="471">
        <f t="shared" si="50"/>
        <v>6.2500000000000003E-3</v>
      </c>
      <c r="M1029" s="319"/>
      <c r="N1029" s="319"/>
      <c r="O1029" s="319"/>
      <c r="P1029" s="319"/>
      <c r="Q1029" s="319"/>
      <c r="R1029" s="319"/>
      <c r="S1029" s="319"/>
      <c r="T1029" s="319"/>
      <c r="U1029" s="319"/>
      <c r="V1029" s="319"/>
      <c r="W1029" s="319"/>
    </row>
    <row r="1030" spans="1:23" ht="13.2" hidden="1">
      <c r="A1030" s="319"/>
      <c r="B1030" s="450" t="s">
        <v>5994</v>
      </c>
      <c r="C1030" s="463">
        <f>C1033-15</f>
        <v>17</v>
      </c>
      <c r="D1030" s="471" t="s">
        <v>5993</v>
      </c>
      <c r="E1030" s="450" t="s">
        <v>4817</v>
      </c>
      <c r="F1030" s="463">
        <v>0.64</v>
      </c>
      <c r="G1030" s="463">
        <v>0.20100000000000001</v>
      </c>
      <c r="H1030" s="463">
        <v>0.10199999999999999</v>
      </c>
      <c r="I1030" s="463">
        <v>5.7000000000000002E-2</v>
      </c>
      <c r="J1030" s="463">
        <v>2.5999999999999999E-2</v>
      </c>
      <c r="K1030" s="463">
        <f t="shared" si="50"/>
        <v>1.2999999999999999E-2</v>
      </c>
      <c r="L1030" s="471">
        <f t="shared" si="50"/>
        <v>6.4999999999999997E-3</v>
      </c>
      <c r="M1030" s="319"/>
      <c r="N1030" s="319"/>
      <c r="O1030" s="319"/>
      <c r="P1030" s="319"/>
      <c r="Q1030" s="319"/>
      <c r="R1030" s="319"/>
      <c r="S1030" s="319"/>
      <c r="T1030" s="319"/>
      <c r="U1030" s="319"/>
      <c r="V1030" s="319"/>
      <c r="W1030" s="319"/>
    </row>
    <row r="1031" spans="1:23" ht="13.2" hidden="1">
      <c r="A1031" s="319"/>
      <c r="B1031" s="450" t="s">
        <v>4807</v>
      </c>
      <c r="C1031" s="463">
        <f>MIN(110,C1034+20)</f>
        <v>52</v>
      </c>
      <c r="D1031" s="471" t="s">
        <v>4806</v>
      </c>
      <c r="E1031" s="450" t="s">
        <v>2524</v>
      </c>
      <c r="F1031" s="463">
        <v>0.45200000000000001</v>
      </c>
      <c r="G1031" s="463">
        <v>0.14899999999999999</v>
      </c>
      <c r="H1031" s="463">
        <v>7.9000000000000001E-2</v>
      </c>
      <c r="I1031" s="463">
        <v>4.7E-2</v>
      </c>
      <c r="J1031" s="463">
        <v>2.3E-2</v>
      </c>
      <c r="K1031" s="463">
        <f t="shared" si="50"/>
        <v>1.15E-2</v>
      </c>
      <c r="L1031" s="471">
        <f t="shared" si="50"/>
        <v>5.7499999999999999E-3</v>
      </c>
      <c r="M1031" s="319"/>
      <c r="N1031" s="319"/>
      <c r="O1031" s="319"/>
      <c r="P1031" s="319"/>
      <c r="Q1031" s="319"/>
      <c r="R1031" s="319"/>
      <c r="S1031" s="319"/>
      <c r="T1031" s="319"/>
      <c r="U1031" s="319"/>
      <c r="V1031" s="319"/>
      <c r="W1031" s="319"/>
    </row>
    <row r="1032" spans="1:23" ht="13.2" hidden="1">
      <c r="A1032" s="319"/>
      <c r="B1032" s="450" t="s">
        <v>1158</v>
      </c>
      <c r="C1032" s="463">
        <f>IF(L268=1,50,IF(E981=2,5,10))</f>
        <v>5</v>
      </c>
      <c r="D1032" s="471" t="s">
        <v>3368</v>
      </c>
      <c r="E1032" s="450" t="s">
        <v>1157</v>
      </c>
      <c r="F1032" s="463">
        <v>1.1006558333333334</v>
      </c>
      <c r="G1032" s="463">
        <v>0.3243134639745669</v>
      </c>
      <c r="H1032" s="463">
        <v>0.14902508613560184</v>
      </c>
      <c r="I1032" s="463">
        <v>7.5379928928059989E-2</v>
      </c>
      <c r="J1032" s="463">
        <v>3.0631387958891424E-2</v>
      </c>
      <c r="K1032" s="463">
        <v>1.5315693979445712E-2</v>
      </c>
      <c r="L1032" s="471">
        <v>7.657846989722856E-3</v>
      </c>
      <c r="M1032" s="319"/>
      <c r="N1032" s="319"/>
      <c r="O1032" s="319"/>
      <c r="P1032" s="319"/>
      <c r="Q1032" s="319"/>
      <c r="R1032" s="319"/>
      <c r="S1032" s="319"/>
      <c r="T1032" s="319"/>
      <c r="U1032" s="319"/>
      <c r="V1032" s="319"/>
      <c r="W1032" s="319"/>
    </row>
    <row r="1033" spans="1:23" ht="13.2" hidden="1">
      <c r="A1033" s="319"/>
      <c r="B1033" s="450" t="s">
        <v>4117</v>
      </c>
      <c r="C1033" s="463">
        <f>IF(L268=3,O263*9/5+32,(O263*9/5+32)-O264*9/5*EXP(-C1032*SQRT(PI()/(365*C995*24))))</f>
        <v>32</v>
      </c>
      <c r="D1033" s="471" t="s">
        <v>3809</v>
      </c>
      <c r="E1033" s="472" t="s">
        <v>4116</v>
      </c>
      <c r="F1033" s="394">
        <v>0.73377055555555559</v>
      </c>
      <c r="G1033" s="394">
        <v>0.23406025314268669</v>
      </c>
      <c r="H1033" s="394">
        <v>0.11470637261815109</v>
      </c>
      <c r="I1033" s="394">
        <v>6.206042990014974E-2</v>
      </c>
      <c r="J1033" s="394">
        <v>2.7167864704847472E-2</v>
      </c>
      <c r="K1033" s="394">
        <v>1.3583932352423736E-2</v>
      </c>
      <c r="L1033" s="473">
        <v>6.791966176211868E-3</v>
      </c>
      <c r="M1033" s="319"/>
      <c r="N1033" s="319"/>
      <c r="O1033" s="319"/>
      <c r="P1033" s="319"/>
      <c r="Q1033" s="319"/>
      <c r="R1033" s="319"/>
      <c r="S1033" s="319"/>
      <c r="T1033" s="319"/>
      <c r="U1033" s="319"/>
      <c r="V1033" s="319"/>
      <c r="W1033" s="319"/>
    </row>
    <row r="1034" spans="1:23" ht="13.2" hidden="1">
      <c r="A1034" s="319"/>
      <c r="B1034" s="450" t="s">
        <v>4115</v>
      </c>
      <c r="C1034" s="463">
        <f>IF(L268=3,O263*9/5+32,((O263*9/5+32)+O264*9/5*EXP(-C1032*(PI()/(365*(C995*24)))^0.5)))</f>
        <v>32</v>
      </c>
      <c r="D1034" s="471" t="s">
        <v>3809</v>
      </c>
      <c r="E1034" s="319"/>
      <c r="F1034" s="319"/>
      <c r="G1034" s="319"/>
      <c r="H1034" s="319"/>
      <c r="I1034" s="319"/>
      <c r="J1034" s="319"/>
      <c r="K1034" s="319"/>
      <c r="L1034" s="319"/>
      <c r="M1034" s="319"/>
      <c r="N1034" s="319"/>
      <c r="O1034" s="319"/>
      <c r="P1034" s="319"/>
      <c r="Q1034" s="319"/>
      <c r="R1034" s="319"/>
      <c r="S1034" s="319"/>
      <c r="T1034" s="319"/>
      <c r="U1034" s="319"/>
      <c r="V1034" s="319"/>
      <c r="W1034" s="319"/>
    </row>
    <row r="1035" spans="1:23" ht="13.2" hidden="1">
      <c r="A1035" s="319"/>
      <c r="B1035" s="450"/>
      <c r="C1035" s="463">
        <f>C995*24</f>
        <v>0.48</v>
      </c>
      <c r="D1035" s="463"/>
      <c r="E1035" s="874" t="s">
        <v>4879</v>
      </c>
      <c r="F1035" s="469"/>
      <c r="G1035" s="470"/>
      <c r="H1035" s="319"/>
      <c r="I1035" s="874" t="s">
        <v>4018</v>
      </c>
      <c r="J1035" s="469"/>
      <c r="K1035" s="469"/>
      <c r="L1035" s="470"/>
      <c r="M1035" s="319"/>
      <c r="N1035" s="319"/>
      <c r="O1035" s="319"/>
      <c r="P1035" s="319"/>
      <c r="Q1035" s="319"/>
      <c r="R1035" s="319"/>
      <c r="S1035" s="319"/>
      <c r="T1035" s="319"/>
      <c r="U1035" s="319"/>
      <c r="V1035" s="319"/>
      <c r="W1035" s="319"/>
    </row>
    <row r="1036" spans="1:23" ht="13.2" hidden="1">
      <c r="A1036" s="319"/>
      <c r="B1036" s="450" t="s">
        <v>2564</v>
      </c>
      <c r="C1036" s="463">
        <f>IF(L268=2,0.13,0.089)</f>
        <v>0.13</v>
      </c>
      <c r="D1036" s="463" t="s">
        <v>4292</v>
      </c>
      <c r="E1036" s="450" t="s">
        <v>2830</v>
      </c>
      <c r="F1036" s="463" t="s">
        <v>3136</v>
      </c>
      <c r="G1036" s="471" t="s">
        <v>448</v>
      </c>
      <c r="H1036" s="319"/>
      <c r="I1036" s="450" t="s">
        <v>3137</v>
      </c>
      <c r="J1036" s="463" t="s">
        <v>3136</v>
      </c>
      <c r="K1036" s="463" t="s">
        <v>448</v>
      </c>
      <c r="L1036" s="471"/>
      <c r="M1036" s="319"/>
      <c r="N1036" s="319"/>
      <c r="O1036" s="319"/>
      <c r="P1036" s="319"/>
      <c r="Q1036" s="319"/>
      <c r="R1036" s="319"/>
      <c r="S1036" s="319"/>
      <c r="T1036" s="319"/>
      <c r="U1036" s="319"/>
      <c r="V1036" s="319"/>
      <c r="W1036" s="319"/>
    </row>
    <row r="1037" spans="1:23" ht="13.2" hidden="1">
      <c r="A1037" s="319"/>
      <c r="B1037" s="450"/>
      <c r="C1037" s="463"/>
      <c r="D1037" s="463"/>
      <c r="E1037" s="450" t="s">
        <v>1374</v>
      </c>
      <c r="F1037" s="463">
        <v>0.5</v>
      </c>
      <c r="G1037" s="877">
        <f>HLOOKUP(F1037,$F$1025:$L$1033,$M$262+1)</f>
        <v>1.6819999999999999</v>
      </c>
      <c r="H1037" s="319"/>
      <c r="I1037" s="450" t="s">
        <v>1374</v>
      </c>
      <c r="J1037" s="463">
        <v>0.5</v>
      </c>
      <c r="K1037" s="463">
        <f>HLOOKUP(J1037,$F$1025:$L$1033,$M$262+1)</f>
        <v>1.6819999999999999</v>
      </c>
      <c r="L1037" s="471"/>
      <c r="M1037" s="319"/>
      <c r="N1037" s="319"/>
      <c r="O1037" s="319"/>
      <c r="P1037" s="319"/>
      <c r="Q1037" s="319"/>
      <c r="R1037" s="319"/>
      <c r="S1037" s="319"/>
      <c r="T1037" s="319"/>
      <c r="U1037" s="319"/>
      <c r="V1037" s="319"/>
      <c r="W1037" s="319"/>
    </row>
    <row r="1038" spans="1:23" ht="13.2" hidden="1">
      <c r="A1038" s="319"/>
      <c r="B1038" s="450" t="s">
        <v>2731</v>
      </c>
      <c r="C1038" s="463">
        <f ca="1">I989</f>
        <v>2.1363042504287066</v>
      </c>
      <c r="D1038" s="463" t="s">
        <v>5910</v>
      </c>
      <c r="E1038" s="450" t="s">
        <v>5909</v>
      </c>
      <c r="F1038" s="463">
        <v>24</v>
      </c>
      <c r="G1038" s="877">
        <f>HLOOKUP(F1038,$F$1025:$L$1033,$M$262+1)</f>
        <v>0.45400000000000001</v>
      </c>
      <c r="H1038" s="319"/>
      <c r="I1038" s="450" t="s">
        <v>5909</v>
      </c>
      <c r="J1038" s="463">
        <f>INDEX($G$1025:$K$1025,1,6-$M$274)</f>
        <v>240</v>
      </c>
      <c r="K1038" s="463">
        <f>HLOOKUP(J1038,$F$1025:$L$1033,$M$262+1)</f>
        <v>1.2500000000000001E-2</v>
      </c>
      <c r="L1038" s="471"/>
      <c r="M1038" s="319"/>
      <c r="N1038" s="319"/>
      <c r="O1038" s="319"/>
      <c r="P1038" s="319"/>
      <c r="Q1038" s="319"/>
      <c r="R1038" s="319"/>
      <c r="S1038" s="319"/>
      <c r="T1038" s="319"/>
      <c r="U1038" s="319"/>
      <c r="V1038" s="319"/>
      <c r="W1038" s="319"/>
    </row>
    <row r="1039" spans="1:23" ht="13.2" hidden="1">
      <c r="A1039" s="319"/>
      <c r="B1039" s="450"/>
      <c r="C1039" s="463"/>
      <c r="D1039" s="463"/>
      <c r="E1039" s="450" t="s">
        <v>5908</v>
      </c>
      <c r="F1039" s="463">
        <f>INDEX($G$1025:$I$1025,1,4-$M$274)</f>
        <v>96</v>
      </c>
      <c r="G1039" s="877">
        <f>HLOOKUP(F1039,$F$1025:$L$1033,$M$262+1)</f>
        <v>8.0299999999999996E-2</v>
      </c>
      <c r="H1039" s="319"/>
      <c r="I1039" s="450" t="s">
        <v>3721</v>
      </c>
      <c r="J1039" s="463">
        <f>J1038</f>
        <v>240</v>
      </c>
      <c r="K1039" s="463">
        <f>K1038</f>
        <v>1.2500000000000001E-2</v>
      </c>
      <c r="L1039" s="471"/>
      <c r="M1039" s="319"/>
      <c r="N1039" s="319"/>
      <c r="O1039" s="319"/>
      <c r="P1039" s="319"/>
      <c r="Q1039" s="319"/>
      <c r="R1039" s="319"/>
      <c r="S1039" s="319"/>
      <c r="T1039" s="319"/>
      <c r="U1039" s="319"/>
      <c r="V1039" s="319"/>
      <c r="W1039" s="319"/>
    </row>
    <row r="1040" spans="1:23" ht="13.2" hidden="1">
      <c r="A1040" s="319"/>
      <c r="B1040" s="450" t="s">
        <v>4384</v>
      </c>
      <c r="C1040" s="463" t="e">
        <f>O254/O253</f>
        <v>#DIV/0!</v>
      </c>
      <c r="D1040" s="463"/>
      <c r="E1040" s="450" t="s">
        <v>4383</v>
      </c>
      <c r="F1040" s="463">
        <f>(F1039^2+F1038^2)^0.5</f>
        <v>98.954535014823847</v>
      </c>
      <c r="G1040" s="878">
        <f ca="1">FORECAST($F1040,OFFSET($E$1025,$M$262,MATCH($F1040,$F$1025:$J$1025,1),1,2),OFFSET($E$1025,0,MATCH($F1040,$F$1025:$J$1025,1),1,2))</f>
        <v>7.689612945167168E-2</v>
      </c>
      <c r="H1040" s="319"/>
      <c r="I1040" s="450" t="s">
        <v>2352</v>
      </c>
      <c r="J1040" s="463">
        <v>0.5</v>
      </c>
      <c r="K1040" s="463">
        <f>K1037</f>
        <v>1.6819999999999999</v>
      </c>
      <c r="L1040" s="471"/>
      <c r="M1040" s="319"/>
      <c r="N1040" s="319"/>
      <c r="O1040" s="319"/>
      <c r="P1040" s="319"/>
      <c r="Q1040" s="319"/>
      <c r="R1040" s="319"/>
      <c r="S1040" s="319"/>
      <c r="T1040" s="319"/>
      <c r="U1040" s="319"/>
      <c r="V1040" s="319"/>
      <c r="W1040" s="319"/>
    </row>
    <row r="1041" spans="1:23" ht="13.2" hidden="1">
      <c r="A1041" s="319"/>
      <c r="B1041" s="450" t="s">
        <v>4382</v>
      </c>
      <c r="C1041" s="463" t="e">
        <f>P254/P253</f>
        <v>#DIV/0!</v>
      </c>
      <c r="D1041" s="463"/>
      <c r="E1041" s="450" t="s">
        <v>4381</v>
      </c>
      <c r="F1041" s="463">
        <f>($F$1039^2+(2*48)^2)^0.5</f>
        <v>135.76450198781711</v>
      </c>
      <c r="G1041" s="878">
        <f ca="1">-FORECAST($F1041,OFFSET($E$1025,$M$262,MATCH($F1041,$F$1025:$J$1025,1),1,2),OFFSET($E$1025,0,MATCH($F1041,$F$1025:$J$1025,1),1,2))</f>
        <v>-3.448798000153569E-2</v>
      </c>
      <c r="H1041" s="319"/>
      <c r="I1041" s="472"/>
      <c r="J1041" s="394"/>
      <c r="K1041" s="394">
        <f>SUM(K1037:K1040)/2</f>
        <v>1.6944999999999999</v>
      </c>
      <c r="L1041" s="473"/>
      <c r="M1041" s="319"/>
      <c r="N1041" s="319"/>
      <c r="O1041" s="319"/>
      <c r="P1041" s="319"/>
      <c r="Q1041" s="319"/>
      <c r="R1041" s="319"/>
      <c r="S1041" s="319"/>
      <c r="T1041" s="319"/>
      <c r="U1041" s="319"/>
      <c r="V1041" s="319"/>
      <c r="W1041" s="319"/>
    </row>
    <row r="1042" spans="1:23" ht="13.2" hidden="1">
      <c r="A1042" s="319"/>
      <c r="B1042" s="450"/>
      <c r="C1042" s="463"/>
      <c r="D1042" s="463"/>
      <c r="E1042" s="450" t="s">
        <v>4380</v>
      </c>
      <c r="F1042" s="463">
        <f>(F1039^2+(48+72)^2)^0.5</f>
        <v>153.67498169838836</v>
      </c>
      <c r="G1042" s="878">
        <f ca="1">-FORECAST($F1042,OFFSET($E$1025,$M$262,MATCH($F1042,$F$1025:$J$1025,1),1,2),OFFSET($E$1025,0,MATCH($F1042,$F$1025:$J$1025,1),1,2))</f>
        <v>-2.3740236758022355E-2</v>
      </c>
      <c r="H1042" s="319"/>
      <c r="I1042" s="319"/>
      <c r="J1042" s="319"/>
      <c r="K1042" s="319"/>
      <c r="L1042" s="319"/>
      <c r="M1042" s="319"/>
      <c r="N1042" s="319"/>
      <c r="O1042" s="319"/>
      <c r="P1042" s="319"/>
      <c r="Q1042" s="319"/>
      <c r="R1042" s="319"/>
      <c r="S1042" s="319"/>
      <c r="T1042" s="319"/>
      <c r="U1042" s="319"/>
      <c r="V1042" s="319"/>
      <c r="W1042" s="319"/>
    </row>
    <row r="1043" spans="1:23" ht="13.2" hidden="1">
      <c r="A1043" s="319"/>
      <c r="B1043" s="450" t="s">
        <v>1273</v>
      </c>
      <c r="C1043" s="463">
        <f>I1006*EXP(I1007*(C1030-32)*5/9)</f>
        <v>3.6223670539384223</v>
      </c>
      <c r="D1043" s="463" t="s">
        <v>1272</v>
      </c>
      <c r="E1043" s="450" t="s">
        <v>5051</v>
      </c>
      <c r="F1043" s="463">
        <f>2*48</f>
        <v>96</v>
      </c>
      <c r="G1043" s="877">
        <f>-HLOOKUP(F1043,$F$1025:$L$1033,$M$262+1)</f>
        <v>-8.0299999999999996E-2</v>
      </c>
      <c r="H1043" s="319"/>
      <c r="I1043" s="319"/>
      <c r="J1043" s="319"/>
      <c r="K1043" s="319"/>
      <c r="L1043" s="319"/>
      <c r="M1043" s="319"/>
      <c r="N1043" s="319"/>
      <c r="O1043" s="319"/>
      <c r="P1043" s="319"/>
      <c r="Q1043" s="319"/>
      <c r="R1043" s="319"/>
      <c r="S1043" s="319"/>
      <c r="T1043" s="319"/>
      <c r="U1043" s="319"/>
      <c r="V1043" s="319"/>
      <c r="W1043" s="319"/>
    </row>
    <row r="1044" spans="1:23" ht="13.2" hidden="1">
      <c r="A1044" s="319"/>
      <c r="B1044" s="450" t="s">
        <v>5799</v>
      </c>
      <c r="C1044" s="463">
        <f>H1006+H1007*((C1031-32)*5/9)+H1008*((C1031-32)*5/9)^2</f>
        <v>7.0643304237498192</v>
      </c>
      <c r="D1044" s="463" t="s">
        <v>5798</v>
      </c>
      <c r="E1044" s="450" t="s">
        <v>3722</v>
      </c>
      <c r="F1044" s="463">
        <f>2*48+24</f>
        <v>120</v>
      </c>
      <c r="G1044" s="471">
        <f ca="1">-FORECAST($F1044,OFFSET($E$1025,$M$262,MATCH($F1044,$F$1025:$J$1025,1),1,2),OFFSET($E$1025,0,MATCH($F1044,$F$1025:$J$1025,1),1,2))</f>
        <v>-5.2650000000000002E-2</v>
      </c>
      <c r="H1044" s="319"/>
      <c r="I1044" s="319"/>
      <c r="J1044" s="319"/>
      <c r="K1044" s="319"/>
      <c r="L1044" s="319"/>
      <c r="M1044" s="319"/>
      <c r="N1044" s="319"/>
      <c r="O1044" s="319"/>
      <c r="P1044" s="319"/>
      <c r="Q1044" s="319"/>
      <c r="R1044" s="319"/>
      <c r="S1044" s="319"/>
      <c r="T1044" s="319"/>
      <c r="U1044" s="319"/>
      <c r="V1044" s="319"/>
      <c r="W1044" s="319"/>
    </row>
    <row r="1045" spans="1:23" ht="13.2" hidden="1">
      <c r="A1045" s="319"/>
      <c r="B1045" s="450"/>
      <c r="C1045" s="463"/>
      <c r="D1045" s="463"/>
      <c r="E1045" s="450" t="s">
        <v>3721</v>
      </c>
      <c r="F1045" s="463">
        <v>24</v>
      </c>
      <c r="G1045" s="877">
        <f>G1038</f>
        <v>0.45400000000000001</v>
      </c>
      <c r="H1045" s="319"/>
      <c r="I1045" s="319"/>
      <c r="J1045" s="319"/>
      <c r="K1045" s="319"/>
      <c r="L1045" s="319"/>
      <c r="M1045" s="319"/>
      <c r="N1045" s="319"/>
      <c r="O1045" s="319"/>
      <c r="P1045" s="319"/>
      <c r="Q1045" s="319"/>
      <c r="R1045" s="319"/>
      <c r="S1045" s="319"/>
      <c r="T1045" s="319"/>
      <c r="U1045" s="319"/>
      <c r="V1045" s="319"/>
      <c r="W1045" s="319"/>
    </row>
    <row r="1046" spans="1:23" ht="13.2" hidden="1">
      <c r="A1046" s="319"/>
      <c r="B1046" s="450" t="s">
        <v>3177</v>
      </c>
      <c r="C1046" s="463" t="e">
        <f ca="1">IF(M268=1,C1025,C1028)</f>
        <v>#DIV/0!</v>
      </c>
      <c r="D1046" s="463" t="s">
        <v>229</v>
      </c>
      <c r="E1046" s="450" t="s">
        <v>2352</v>
      </c>
      <c r="F1046" s="463">
        <f>F1037</f>
        <v>0.5</v>
      </c>
      <c r="G1046" s="877">
        <f>G1037</f>
        <v>1.6819999999999999</v>
      </c>
      <c r="H1046" s="319"/>
      <c r="I1046" s="319"/>
      <c r="J1046" s="319"/>
      <c r="K1046" s="319"/>
      <c r="L1046" s="319"/>
      <c r="M1046" s="319"/>
      <c r="N1046" s="319"/>
      <c r="O1046" s="319"/>
      <c r="P1046" s="319"/>
      <c r="Q1046" s="319"/>
      <c r="R1046" s="319"/>
      <c r="S1046" s="319"/>
      <c r="T1046" s="319"/>
      <c r="U1046" s="319"/>
      <c r="V1046" s="319"/>
      <c r="W1046" s="319"/>
    </row>
    <row r="1047" spans="1:23" ht="13.2" hidden="1">
      <c r="A1047" s="319"/>
      <c r="B1047" s="450"/>
      <c r="C1047" s="463"/>
      <c r="D1047" s="463"/>
      <c r="E1047" s="450" t="s">
        <v>2658</v>
      </c>
      <c r="F1047" s="463">
        <f>F1040</f>
        <v>98.954535014823847</v>
      </c>
      <c r="G1047" s="879">
        <f ca="1">G1040</f>
        <v>7.689612945167168E-2</v>
      </c>
      <c r="H1047" s="319"/>
      <c r="I1047" s="319"/>
      <c r="J1047" s="319"/>
      <c r="K1047" s="319"/>
      <c r="L1047" s="319"/>
      <c r="M1047" s="319"/>
      <c r="N1047" s="319"/>
      <c r="O1047" s="319"/>
      <c r="P1047" s="319"/>
      <c r="Q1047" s="319"/>
      <c r="R1047" s="319"/>
      <c r="S1047" s="319"/>
      <c r="T1047" s="319"/>
      <c r="U1047" s="319"/>
      <c r="V1047" s="319"/>
      <c r="W1047" s="319"/>
    </row>
    <row r="1048" spans="1:23" ht="13.2" hidden="1">
      <c r="A1048" s="319"/>
      <c r="B1048" s="450" t="s">
        <v>2657</v>
      </c>
      <c r="C1048" s="463"/>
      <c r="D1048" s="463"/>
      <c r="E1048" s="450" t="s">
        <v>3139</v>
      </c>
      <c r="F1048" s="463">
        <f>F1039</f>
        <v>96</v>
      </c>
      <c r="G1048" s="879">
        <f>G1039</f>
        <v>8.0299999999999996E-2</v>
      </c>
      <c r="H1048" s="319"/>
      <c r="I1048" s="319"/>
      <c r="J1048" s="319"/>
      <c r="K1048" s="319"/>
      <c r="L1048" s="319"/>
      <c r="M1048" s="319"/>
      <c r="N1048" s="319"/>
      <c r="O1048" s="319"/>
      <c r="P1048" s="319"/>
      <c r="Q1048" s="319"/>
      <c r="R1048" s="319"/>
      <c r="S1048" s="319"/>
      <c r="T1048" s="319"/>
      <c r="U1048" s="319"/>
      <c r="V1048" s="319"/>
      <c r="W1048" s="319"/>
    </row>
    <row r="1049" spans="1:23" ht="13.2" hidden="1">
      <c r="A1049" s="319"/>
      <c r="B1049" s="450" t="s">
        <v>3138</v>
      </c>
      <c r="C1049" s="463">
        <f>(H1001+H1003*((C1054-32)*5/9)+H1004*((C1054-32)*5/9)^2)/(500*((C1052-5)-(O263*9/5+32)))*3413</f>
        <v>0</v>
      </c>
      <c r="D1049" s="463" t="s">
        <v>4710</v>
      </c>
      <c r="E1049" s="450" t="s">
        <v>2630</v>
      </c>
      <c r="F1049" s="463">
        <f>F1042</f>
        <v>153.67498169838836</v>
      </c>
      <c r="G1049" s="879">
        <f ca="1">G1042</f>
        <v>-2.3740236758022355E-2</v>
      </c>
      <c r="H1049" s="319"/>
      <c r="I1049" s="319"/>
      <c r="J1049" s="319"/>
      <c r="K1049" s="319"/>
      <c r="L1049" s="319"/>
      <c r="M1049" s="319"/>
      <c r="N1049" s="319"/>
      <c r="O1049" s="319"/>
      <c r="P1049" s="319"/>
      <c r="Q1049" s="319"/>
      <c r="R1049" s="319"/>
      <c r="S1049" s="319"/>
      <c r="T1049" s="319"/>
      <c r="U1049" s="319"/>
      <c r="V1049" s="319"/>
      <c r="W1049" s="319"/>
    </row>
    <row r="1050" spans="1:23" ht="13.2" hidden="1">
      <c r="A1050" s="319"/>
      <c r="B1050" s="450" t="s">
        <v>4711</v>
      </c>
      <c r="C1050" s="463">
        <f>(I1001*((C1058-32)*5/9+273.15)^I1003)/(500*(-(C1055+5)+(O263*9/5+32)))*3413</f>
        <v>0</v>
      </c>
      <c r="D1050" s="463" t="s">
        <v>4710</v>
      </c>
      <c r="E1050" s="450" t="s">
        <v>4709</v>
      </c>
      <c r="F1050" s="463">
        <f>($F$1039^2+(2*72)^2)^0.5</f>
        <v>173.0664612222715</v>
      </c>
      <c r="G1050" s="878">
        <f ca="1">-FORECAST($F1050,OFFSET($E$1025,$M$262,MATCH($F1050,$F$1025:$J$1025,1),1,2),OFFSET($E$1025,0,MATCH($F1050,$F$1025:$J$1025,1),1,2))</f>
        <v>-2.1215304528350073E-2</v>
      </c>
      <c r="H1050" s="319"/>
      <c r="I1050" s="319"/>
      <c r="J1050" s="319"/>
      <c r="K1050" s="319"/>
      <c r="L1050" s="319"/>
      <c r="M1050" s="319"/>
      <c r="N1050" s="319"/>
      <c r="O1050" s="319"/>
      <c r="P1050" s="319"/>
      <c r="Q1050" s="319"/>
      <c r="R1050" s="319"/>
      <c r="S1050" s="319"/>
      <c r="T1050" s="319"/>
      <c r="U1050" s="319"/>
      <c r="V1050" s="319"/>
      <c r="W1050" s="319"/>
    </row>
    <row r="1051" spans="1:23" ht="13.2" hidden="1">
      <c r="A1051" s="319"/>
      <c r="B1051" s="450"/>
      <c r="C1051" s="463"/>
      <c r="D1051" s="463"/>
      <c r="E1051" s="450" t="s">
        <v>4708</v>
      </c>
      <c r="F1051" s="463">
        <f>F1044</f>
        <v>120</v>
      </c>
      <c r="G1051" s="879">
        <f ca="1">G1044</f>
        <v>-5.2650000000000002E-2</v>
      </c>
      <c r="H1051" s="319"/>
      <c r="I1051" s="319"/>
      <c r="J1051" s="319"/>
      <c r="K1051" s="319"/>
      <c r="L1051" s="319"/>
      <c r="M1051" s="319"/>
      <c r="N1051" s="319"/>
      <c r="O1051" s="319"/>
      <c r="P1051" s="319"/>
      <c r="Q1051" s="319"/>
      <c r="R1051" s="319"/>
      <c r="S1051" s="319"/>
      <c r="T1051" s="319"/>
      <c r="U1051" s="319"/>
      <c r="V1051" s="319"/>
      <c r="W1051" s="319"/>
    </row>
    <row r="1052" spans="1:23" ht="13.2" hidden="1">
      <c r="A1052" s="319"/>
      <c r="B1052" s="450" t="s">
        <v>4707</v>
      </c>
      <c r="C1052" s="463">
        <f>(C1053+3.413)/C1053*8+C1054</f>
        <v>84.423543668884292</v>
      </c>
      <c r="D1052" s="463"/>
      <c r="E1052" s="450" t="s">
        <v>5171</v>
      </c>
      <c r="F1052" s="463">
        <f>2*72</f>
        <v>144</v>
      </c>
      <c r="G1052" s="877">
        <f>-HLOOKUP(F1052,$F$1025:$L$1033,$M$262+1)</f>
        <v>-2.5000000000000001E-2</v>
      </c>
      <c r="H1052" s="319"/>
      <c r="I1052" s="319"/>
      <c r="J1052" s="319"/>
      <c r="K1052" s="319"/>
      <c r="L1052" s="319"/>
      <c r="M1052" s="319"/>
      <c r="N1052" s="319"/>
      <c r="O1052" s="319"/>
      <c r="P1052" s="319"/>
      <c r="Q1052" s="319"/>
      <c r="R1052" s="319"/>
      <c r="S1052" s="319"/>
      <c r="T1052" s="319"/>
      <c r="U1052" s="319"/>
      <c r="V1052" s="319"/>
      <c r="W1052" s="319"/>
    </row>
    <row r="1053" spans="1:23" ht="13.2" hidden="1">
      <c r="A1053" s="319"/>
      <c r="B1053" s="450" t="s">
        <v>664</v>
      </c>
      <c r="C1053" s="463">
        <f>(H1006+H1007*(C1054-32)*5/9+H1008*(((C1054-32)*5/9)^2))*3.413</f>
        <v>19.180303770659538</v>
      </c>
      <c r="D1053" s="463" t="s">
        <v>5662</v>
      </c>
      <c r="E1053" s="450" t="s">
        <v>237</v>
      </c>
      <c r="F1053" s="463">
        <f>F1039</f>
        <v>96</v>
      </c>
      <c r="G1053" s="879">
        <f>G1039</f>
        <v>8.0299999999999996E-2</v>
      </c>
      <c r="H1053" s="319"/>
      <c r="I1053" s="319"/>
      <c r="J1053" s="319"/>
      <c r="K1053" s="319"/>
      <c r="L1053" s="319"/>
      <c r="M1053" s="319"/>
      <c r="N1053" s="319"/>
      <c r="O1053" s="319"/>
      <c r="P1053" s="319"/>
      <c r="Q1053" s="319"/>
      <c r="R1053" s="319"/>
      <c r="S1053" s="319"/>
      <c r="T1053" s="319"/>
      <c r="U1053" s="319"/>
      <c r="V1053" s="319"/>
      <c r="W1053" s="319"/>
    </row>
    <row r="1054" spans="1:23" ht="13.2" hidden="1">
      <c r="A1054" s="319"/>
      <c r="B1054" s="450" t="s">
        <v>236</v>
      </c>
      <c r="C1054" s="463">
        <v>75</v>
      </c>
      <c r="D1054" s="463"/>
      <c r="E1054" s="450" t="s">
        <v>235</v>
      </c>
      <c r="F1054" s="463">
        <f>F1047</f>
        <v>98.954535014823847</v>
      </c>
      <c r="G1054" s="879">
        <f ca="1">G1047</f>
        <v>7.689612945167168E-2</v>
      </c>
      <c r="H1054" s="319"/>
      <c r="I1054" s="319"/>
      <c r="J1054" s="319"/>
      <c r="K1054" s="319"/>
      <c r="L1054" s="319"/>
      <c r="M1054" s="319"/>
      <c r="N1054" s="319"/>
      <c r="O1054" s="319"/>
      <c r="P1054" s="319"/>
      <c r="Q1054" s="319"/>
      <c r="R1054" s="319"/>
      <c r="S1054" s="319"/>
      <c r="T1054" s="319"/>
      <c r="U1054" s="319"/>
      <c r="V1054" s="319"/>
      <c r="W1054" s="319"/>
    </row>
    <row r="1055" spans="1:23" ht="13.2" hidden="1">
      <c r="A1055" s="319"/>
      <c r="B1055" s="450" t="s">
        <v>234</v>
      </c>
      <c r="C1055" s="463">
        <f>C1058-8</f>
        <v>19</v>
      </c>
      <c r="D1055" s="463" t="s">
        <v>233</v>
      </c>
      <c r="E1055" s="450" t="s">
        <v>232</v>
      </c>
      <c r="F1055" s="463">
        <f>F1037</f>
        <v>0.5</v>
      </c>
      <c r="G1055" s="879">
        <f>G1037</f>
        <v>1.6819999999999999</v>
      </c>
      <c r="H1055" s="319"/>
      <c r="I1055" s="319"/>
      <c r="J1055" s="319"/>
      <c r="K1055" s="319"/>
      <c r="L1055" s="319"/>
      <c r="M1055" s="319"/>
      <c r="N1055" s="319"/>
      <c r="O1055" s="319"/>
      <c r="P1055" s="319"/>
      <c r="Q1055" s="319"/>
      <c r="R1055" s="319"/>
      <c r="S1055" s="319"/>
      <c r="T1055" s="319"/>
      <c r="U1055" s="319"/>
      <c r="V1055" s="319"/>
      <c r="W1055" s="319"/>
    </row>
    <row r="1056" spans="1:23" ht="13.2" hidden="1">
      <c r="A1056" s="319"/>
      <c r="B1056" s="450" t="s">
        <v>4460</v>
      </c>
      <c r="C1056" s="463">
        <f>I1006*EXP(I1007*(C1058-32)*5/9)</f>
        <v>3.8699392357596802</v>
      </c>
      <c r="D1056" s="463" t="s">
        <v>231</v>
      </c>
      <c r="E1056" s="450" t="s">
        <v>445</v>
      </c>
      <c r="F1056" s="463">
        <f>F1038</f>
        <v>24</v>
      </c>
      <c r="G1056" s="879">
        <f>G1038</f>
        <v>0.45400000000000001</v>
      </c>
      <c r="H1056" s="319"/>
      <c r="I1056" s="319"/>
      <c r="J1056" s="319"/>
      <c r="K1056" s="319"/>
      <c r="L1056" s="319"/>
      <c r="M1056" s="319"/>
      <c r="N1056" s="319"/>
      <c r="O1056" s="319"/>
      <c r="P1056" s="319"/>
      <c r="Q1056" s="319"/>
      <c r="R1056" s="319"/>
      <c r="S1056" s="319"/>
      <c r="T1056" s="319"/>
      <c r="U1056" s="319"/>
      <c r="V1056" s="319"/>
      <c r="W1056" s="319"/>
    </row>
    <row r="1057" spans="1:23" ht="13.2" hidden="1">
      <c r="A1057" s="319"/>
      <c r="B1057" s="450"/>
      <c r="C1057" s="463"/>
      <c r="D1057" s="463"/>
      <c r="E1057" s="450" t="s">
        <v>444</v>
      </c>
      <c r="F1057" s="463">
        <f>F1043</f>
        <v>96</v>
      </c>
      <c r="G1057" s="879">
        <f>G1043</f>
        <v>-8.0299999999999996E-2</v>
      </c>
      <c r="H1057" s="319"/>
      <c r="I1057" s="319"/>
      <c r="J1057" s="319"/>
      <c r="K1057" s="319"/>
      <c r="L1057" s="319"/>
      <c r="M1057" s="319"/>
      <c r="N1057" s="319"/>
      <c r="O1057" s="319"/>
      <c r="P1057" s="319"/>
      <c r="Q1057" s="319"/>
      <c r="R1057" s="319"/>
      <c r="S1057" s="319"/>
      <c r="T1057" s="319"/>
      <c r="U1057" s="319"/>
      <c r="V1057" s="319"/>
      <c r="W1057" s="319"/>
    </row>
    <row r="1058" spans="1:23" ht="13.2" hidden="1">
      <c r="A1058" s="319"/>
      <c r="B1058" s="450" t="s">
        <v>1108</v>
      </c>
      <c r="C1058" s="463">
        <f>MIN(43,O263*9/5+32-5)</f>
        <v>27</v>
      </c>
      <c r="D1058" s="463" t="s">
        <v>1107</v>
      </c>
      <c r="E1058" s="450" t="s">
        <v>958</v>
      </c>
      <c r="F1058" s="463">
        <f>F1044</f>
        <v>120</v>
      </c>
      <c r="G1058" s="879">
        <f ca="1">G1044</f>
        <v>-5.2650000000000002E-2</v>
      </c>
      <c r="H1058" s="319"/>
      <c r="I1058" s="319"/>
      <c r="J1058" s="319"/>
      <c r="K1058" s="319"/>
      <c r="L1058" s="319"/>
      <c r="M1058" s="319"/>
      <c r="N1058" s="319"/>
      <c r="O1058" s="319"/>
      <c r="P1058" s="319"/>
      <c r="Q1058" s="319"/>
      <c r="R1058" s="319"/>
      <c r="S1058" s="319"/>
      <c r="T1058" s="319"/>
      <c r="U1058" s="319"/>
      <c r="V1058" s="319"/>
      <c r="W1058" s="319"/>
    </row>
    <row r="1059" spans="1:23" ht="13.2" hidden="1">
      <c r="A1059" s="319"/>
      <c r="B1059" s="450"/>
      <c r="C1059" s="463"/>
      <c r="D1059" s="463"/>
      <c r="E1059" s="450" t="s">
        <v>5065</v>
      </c>
      <c r="F1059" s="463">
        <f>F1041</f>
        <v>135.76450198781711</v>
      </c>
      <c r="G1059" s="879">
        <f ca="1">G1041</f>
        <v>-3.448798000153569E-2</v>
      </c>
      <c r="H1059" s="319"/>
      <c r="I1059" s="319"/>
      <c r="J1059" s="319"/>
      <c r="K1059" s="319"/>
      <c r="L1059" s="319"/>
      <c r="M1059" s="319"/>
      <c r="N1059" s="319"/>
      <c r="O1059" s="319"/>
      <c r="P1059" s="319"/>
      <c r="Q1059" s="319"/>
      <c r="R1059" s="319"/>
      <c r="S1059" s="319"/>
      <c r="T1059" s="319"/>
      <c r="U1059" s="319"/>
      <c r="V1059" s="319"/>
      <c r="W1059" s="319"/>
    </row>
    <row r="1060" spans="1:23" ht="13.2" hidden="1">
      <c r="A1060" s="319"/>
      <c r="B1060" s="450" t="s">
        <v>5064</v>
      </c>
      <c r="C1060" s="463">
        <f>MAX(C1049:C1050)</f>
        <v>0</v>
      </c>
      <c r="D1060" s="463" t="s">
        <v>4660</v>
      </c>
      <c r="E1060" s="450" t="s">
        <v>5903</v>
      </c>
      <c r="F1060" s="463">
        <f>F1042</f>
        <v>153.67498169838836</v>
      </c>
      <c r="G1060" s="879">
        <f ca="1">G1042</f>
        <v>-2.3740236758022355E-2</v>
      </c>
      <c r="H1060" s="319"/>
      <c r="I1060" s="319"/>
      <c r="J1060" s="319"/>
      <c r="K1060" s="319"/>
      <c r="L1060" s="319"/>
      <c r="M1060" s="319"/>
      <c r="N1060" s="319"/>
      <c r="O1060" s="319"/>
      <c r="P1060" s="319"/>
      <c r="Q1060" s="319"/>
      <c r="R1060" s="319"/>
      <c r="S1060" s="319"/>
      <c r="T1060" s="319"/>
      <c r="U1060" s="319"/>
      <c r="V1060" s="319"/>
      <c r="W1060" s="319"/>
    </row>
    <row r="1061" spans="1:23" ht="13.2" hidden="1">
      <c r="A1061" s="319"/>
      <c r="B1061" s="450" t="s">
        <v>5902</v>
      </c>
      <c r="C1061" s="463">
        <f>((C1052-C1054)-5)*5/9</f>
        <v>2.4575242604912737</v>
      </c>
      <c r="D1061" s="463"/>
      <c r="E1061" s="450" t="s">
        <v>5901</v>
      </c>
      <c r="F1061" s="463">
        <f>F1040</f>
        <v>98.954535014823847</v>
      </c>
      <c r="G1061" s="879">
        <f ca="1">G1040</f>
        <v>7.689612945167168E-2</v>
      </c>
      <c r="H1061" s="319"/>
      <c r="I1061" s="319"/>
      <c r="J1061" s="319"/>
      <c r="K1061" s="319"/>
      <c r="L1061" s="319"/>
      <c r="M1061" s="319"/>
      <c r="N1061" s="319"/>
      <c r="O1061" s="319"/>
      <c r="P1061" s="319"/>
      <c r="Q1061" s="319"/>
      <c r="R1061" s="319"/>
      <c r="S1061" s="319"/>
      <c r="T1061" s="319"/>
      <c r="U1061" s="319"/>
      <c r="V1061" s="319"/>
      <c r="W1061" s="319"/>
    </row>
    <row r="1062" spans="1:23" ht="13.2" hidden="1">
      <c r="A1062" s="319"/>
      <c r="B1062" s="450" t="s">
        <v>5900</v>
      </c>
      <c r="C1062" s="463">
        <f>C1060*(O271/0.3048+50)/(3960*0.7)*(0.746/0.8)</f>
        <v>0</v>
      </c>
      <c r="D1062" s="463" t="s">
        <v>2403</v>
      </c>
      <c r="E1062" s="450" t="s">
        <v>2402</v>
      </c>
      <c r="F1062" s="463">
        <f>F1039</f>
        <v>96</v>
      </c>
      <c r="G1062" s="879">
        <f>G1039</f>
        <v>8.0299999999999996E-2</v>
      </c>
      <c r="H1062" s="319"/>
      <c r="I1062" s="319"/>
      <c r="J1062" s="319"/>
      <c r="K1062" s="319"/>
      <c r="L1062" s="319"/>
      <c r="M1062" s="319"/>
      <c r="N1062" s="319"/>
      <c r="O1062" s="319"/>
      <c r="P1062" s="319"/>
      <c r="Q1062" s="319"/>
      <c r="R1062" s="319"/>
      <c r="S1062" s="319"/>
      <c r="T1062" s="319"/>
      <c r="U1062" s="319"/>
      <c r="V1062" s="319"/>
      <c r="W1062" s="319"/>
    </row>
    <row r="1063" spans="1:23" ht="13.2" hidden="1">
      <c r="A1063" s="319"/>
      <c r="B1063" s="450"/>
      <c r="C1063" s="463"/>
      <c r="D1063" s="463"/>
      <c r="E1063" s="450" t="s">
        <v>2401</v>
      </c>
      <c r="F1063" s="463">
        <f>F1038</f>
        <v>24</v>
      </c>
      <c r="G1063" s="879">
        <f>G1038</f>
        <v>0.45400000000000001</v>
      </c>
      <c r="H1063" s="319"/>
      <c r="I1063" s="319"/>
      <c r="J1063" s="319"/>
      <c r="K1063" s="319"/>
      <c r="L1063" s="319"/>
      <c r="M1063" s="319"/>
      <c r="N1063" s="319"/>
      <c r="O1063" s="319"/>
      <c r="P1063" s="319"/>
      <c r="Q1063" s="319"/>
      <c r="R1063" s="319"/>
      <c r="S1063" s="319"/>
      <c r="T1063" s="319"/>
      <c r="U1063" s="319"/>
      <c r="V1063" s="319"/>
      <c r="W1063" s="319"/>
    </row>
    <row r="1064" spans="1:23" ht="13.2" hidden="1">
      <c r="A1064" s="319"/>
      <c r="B1064" s="472" t="s">
        <v>2400</v>
      </c>
      <c r="C1064" s="394">
        <f>9.81*(O271+50)/4180/0.7</f>
        <v>0.16763499658236503</v>
      </c>
      <c r="D1064" s="394" t="s">
        <v>4462</v>
      </c>
      <c r="E1064" s="450" t="s">
        <v>4461</v>
      </c>
      <c r="F1064" s="463">
        <f>F1037</f>
        <v>0.5</v>
      </c>
      <c r="G1064" s="879">
        <f>G1037</f>
        <v>1.6819999999999999</v>
      </c>
      <c r="H1064" s="319"/>
      <c r="I1064" s="319"/>
      <c r="J1064" s="319"/>
      <c r="K1064" s="319"/>
      <c r="L1064" s="319"/>
      <c r="M1064" s="319"/>
      <c r="N1064" s="319"/>
      <c r="O1064" s="319"/>
      <c r="P1064" s="319"/>
      <c r="Q1064" s="319"/>
      <c r="R1064" s="319"/>
      <c r="S1064" s="319"/>
      <c r="T1064" s="319"/>
      <c r="U1064" s="319"/>
      <c r="V1064" s="319"/>
      <c r="W1064" s="319"/>
    </row>
    <row r="1065" spans="1:23" ht="13.2" hidden="1">
      <c r="A1065" s="319"/>
      <c r="B1065" s="319"/>
      <c r="C1065" s="319"/>
      <c r="D1065" s="319"/>
      <c r="E1065" s="450" t="s">
        <v>3105</v>
      </c>
      <c r="F1065" s="463">
        <f>F1051</f>
        <v>120</v>
      </c>
      <c r="G1065" s="879">
        <f ca="1">G1051</f>
        <v>-5.2650000000000002E-2</v>
      </c>
      <c r="H1065" s="319"/>
      <c r="I1065" s="319"/>
      <c r="J1065" s="319"/>
      <c r="K1065" s="319"/>
      <c r="L1065" s="319"/>
      <c r="M1065" s="319"/>
      <c r="N1065" s="319"/>
      <c r="O1065" s="319"/>
      <c r="P1065" s="319"/>
      <c r="Q1065" s="319"/>
      <c r="R1065" s="319"/>
      <c r="S1065" s="319"/>
      <c r="T1065" s="319"/>
      <c r="U1065" s="319"/>
      <c r="V1065" s="319"/>
      <c r="W1065" s="319"/>
    </row>
    <row r="1066" spans="1:23" ht="13.2" hidden="1">
      <c r="A1066" s="319"/>
      <c r="B1066" s="319"/>
      <c r="C1066" s="319"/>
      <c r="D1066" s="319"/>
      <c r="E1066" s="450" t="s">
        <v>5614</v>
      </c>
      <c r="F1066" s="463">
        <f>F1052</f>
        <v>144</v>
      </c>
      <c r="G1066" s="879">
        <f>G1052</f>
        <v>-2.5000000000000001E-2</v>
      </c>
      <c r="H1066" s="319"/>
      <c r="I1066" s="319"/>
      <c r="J1066" s="319"/>
      <c r="K1066" s="319"/>
      <c r="L1066" s="319"/>
      <c r="M1066" s="319"/>
      <c r="N1066" s="319"/>
      <c r="O1066" s="319"/>
      <c r="P1066" s="319"/>
      <c r="Q1066" s="319"/>
      <c r="R1066" s="319"/>
      <c r="S1066" s="319"/>
      <c r="T1066" s="319"/>
      <c r="U1066" s="319"/>
      <c r="V1066" s="319"/>
      <c r="W1066" s="319"/>
    </row>
    <row r="1067" spans="1:23" ht="13.2" hidden="1">
      <c r="A1067" s="319"/>
      <c r="B1067" s="319"/>
      <c r="C1067" s="319"/>
      <c r="D1067" s="319"/>
      <c r="E1067" s="450" t="s">
        <v>3438</v>
      </c>
      <c r="F1067" s="463">
        <f>F1049</f>
        <v>153.67498169838836</v>
      </c>
      <c r="G1067" s="879">
        <f ca="1">G1049</f>
        <v>-2.3740236758022355E-2</v>
      </c>
      <c r="H1067" s="319"/>
      <c r="I1067" s="319"/>
      <c r="J1067" s="319"/>
      <c r="K1067" s="319"/>
      <c r="L1067" s="319"/>
      <c r="M1067" s="319"/>
      <c r="N1067" s="319"/>
      <c r="O1067" s="319"/>
      <c r="P1067" s="319"/>
      <c r="Q1067" s="319"/>
      <c r="R1067" s="319"/>
      <c r="S1067" s="319"/>
      <c r="T1067" s="319"/>
      <c r="U1067" s="319"/>
      <c r="V1067" s="319"/>
      <c r="W1067" s="319"/>
    </row>
    <row r="1068" spans="1:23" ht="13.2" hidden="1">
      <c r="A1068" s="319"/>
      <c r="B1068" s="319"/>
      <c r="C1068" s="319"/>
      <c r="D1068" s="319"/>
      <c r="E1068" s="450" t="s">
        <v>2004</v>
      </c>
      <c r="F1068" s="463">
        <f>F1050</f>
        <v>173.0664612222715</v>
      </c>
      <c r="G1068" s="879">
        <f ca="1">G1050</f>
        <v>-2.1215304528350073E-2</v>
      </c>
      <c r="H1068" s="319"/>
      <c r="I1068" s="319"/>
      <c r="J1068" s="319"/>
      <c r="K1068" s="319"/>
      <c r="L1068" s="319"/>
      <c r="M1068" s="319"/>
      <c r="N1068" s="319"/>
      <c r="O1068" s="319"/>
      <c r="P1068" s="319"/>
      <c r="Q1068" s="319"/>
      <c r="R1068" s="319"/>
      <c r="S1068" s="319"/>
      <c r="T1068" s="319"/>
      <c r="U1068" s="319"/>
      <c r="V1068" s="319"/>
      <c r="W1068" s="319"/>
    </row>
    <row r="1069" spans="1:23" ht="13.2" hidden="1">
      <c r="A1069" s="319"/>
      <c r="B1069" s="319"/>
      <c r="C1069" s="319"/>
      <c r="D1069" s="319"/>
      <c r="E1069" s="472"/>
      <c r="F1069" s="394"/>
      <c r="G1069" s="473">
        <f ca="1">SUM(G1037:G1068)/4</f>
        <v>2.1363042504287066</v>
      </c>
      <c r="H1069" s="319"/>
      <c r="I1069" s="319"/>
      <c r="J1069" s="319"/>
      <c r="K1069" s="319"/>
      <c r="L1069" s="319"/>
      <c r="M1069" s="319"/>
      <c r="N1069" s="319"/>
      <c r="O1069" s="319"/>
      <c r="P1069" s="319"/>
      <c r="Q1069" s="319"/>
      <c r="R1069" s="319"/>
      <c r="S1069" s="319"/>
      <c r="T1069" s="319"/>
      <c r="U1069" s="319"/>
      <c r="V1069" s="319"/>
      <c r="W1069" s="319"/>
    </row>
  </sheetData>
  <sortState xmlns:xlrd2="http://schemas.microsoft.com/office/spreadsheetml/2017/richdata2" ref="V659:V699">
    <sortCondition ref="V659"/>
  </sortState>
  <dataConsolidate/>
  <mergeCells count="92">
    <mergeCell ref="D64:E64"/>
    <mergeCell ref="F366:F367"/>
    <mergeCell ref="D71:E71"/>
    <mergeCell ref="D366:D367"/>
    <mergeCell ref="F549:G550"/>
    <mergeCell ref="D63:E63"/>
    <mergeCell ref="D76:E76"/>
    <mergeCell ref="D77:E77"/>
    <mergeCell ref="D78:E78"/>
    <mergeCell ref="D75:E75"/>
    <mergeCell ref="D68:E68"/>
    <mergeCell ref="A1:J2"/>
    <mergeCell ref="C110:F110"/>
    <mergeCell ref="G247:J247"/>
    <mergeCell ref="I88:J88"/>
    <mergeCell ref="I89:J89"/>
    <mergeCell ref="I90:J90"/>
    <mergeCell ref="I96:J96"/>
    <mergeCell ref="I99:J99"/>
    <mergeCell ref="D65:E65"/>
    <mergeCell ref="D67:E67"/>
    <mergeCell ref="I92:J92"/>
    <mergeCell ref="I93:J93"/>
    <mergeCell ref="I94:J94"/>
    <mergeCell ref="I95:J95"/>
    <mergeCell ref="I97:J97"/>
    <mergeCell ref="D66:E66"/>
    <mergeCell ref="D69:E69"/>
    <mergeCell ref="D70:E70"/>
    <mergeCell ref="I103:J103"/>
    <mergeCell ref="I291:J291"/>
    <mergeCell ref="B168:C168"/>
    <mergeCell ref="I253:J253"/>
    <mergeCell ref="A250:B250"/>
    <mergeCell ref="A291:B291"/>
    <mergeCell ref="I104:J104"/>
    <mergeCell ref="C268:E268"/>
    <mergeCell ref="C291:D291"/>
    <mergeCell ref="C256:E256"/>
    <mergeCell ref="C548:H548"/>
    <mergeCell ref="I548:J548"/>
    <mergeCell ref="C503:E503"/>
    <mergeCell ref="C471:E471"/>
    <mergeCell ref="C472:E472"/>
    <mergeCell ref="F291:G291"/>
    <mergeCell ref="C317:E317"/>
    <mergeCell ref="C451:E451"/>
    <mergeCell ref="C303:D303"/>
    <mergeCell ref="E393:J393"/>
    <mergeCell ref="I87:J87"/>
    <mergeCell ref="I101:J101"/>
    <mergeCell ref="I102:J102"/>
    <mergeCell ref="G7:I7"/>
    <mergeCell ref="G8:I8"/>
    <mergeCell ref="G9:I9"/>
    <mergeCell ref="G10:I10"/>
    <mergeCell ref="I100:J100"/>
    <mergeCell ref="I98:J98"/>
    <mergeCell ref="I91:J91"/>
    <mergeCell ref="G5:I5"/>
    <mergeCell ref="A3:B3"/>
    <mergeCell ref="A14:B14"/>
    <mergeCell ref="A29:B29"/>
    <mergeCell ref="D5:E5"/>
    <mergeCell ref="D6:E6"/>
    <mergeCell ref="D7:E7"/>
    <mergeCell ref="D8:E8"/>
    <mergeCell ref="G6:I6"/>
    <mergeCell ref="G11:I11"/>
    <mergeCell ref="A426:B426"/>
    <mergeCell ref="A448:B448"/>
    <mergeCell ref="A43:B43"/>
    <mergeCell ref="D9:E9"/>
    <mergeCell ref="D10:E10"/>
    <mergeCell ref="D11:E11"/>
    <mergeCell ref="C255:E255"/>
    <mergeCell ref="C46:E46"/>
    <mergeCell ref="C45:E45"/>
    <mergeCell ref="A301:B301"/>
    <mergeCell ref="A83:B83"/>
    <mergeCell ref="A108:B108"/>
    <mergeCell ref="A135:B135"/>
    <mergeCell ref="A245:B245"/>
    <mergeCell ref="A315:B315"/>
    <mergeCell ref="A385:B385"/>
    <mergeCell ref="A582:B582"/>
    <mergeCell ref="A587:B587"/>
    <mergeCell ref="A621:B621"/>
    <mergeCell ref="A469:B469"/>
    <mergeCell ref="A500:B500"/>
    <mergeCell ref="A526:B526"/>
    <mergeCell ref="A543:B543"/>
  </mergeCells>
  <phoneticPr fontId="0" type="noConversion"/>
  <conditionalFormatting sqref="B64:B71">
    <cfRule type="expression" dxfId="22" priority="1" stopIfTrue="1">
      <formula>$B64=0</formula>
    </cfRule>
  </conditionalFormatting>
  <conditionalFormatting sqref="G50 G59">
    <cfRule type="expression" dxfId="21" priority="2" stopIfTrue="1">
      <formula>$B50=#REF!</formula>
    </cfRule>
  </conditionalFormatting>
  <conditionalFormatting sqref="D64:F71">
    <cfRule type="expression" dxfId="20" priority="3" stopIfTrue="1">
      <formula>$D64=""</formula>
    </cfRule>
  </conditionalFormatting>
  <conditionalFormatting sqref="E51:F58">
    <cfRule type="expression" dxfId="19" priority="4" stopIfTrue="1">
      <formula>$B51=""</formula>
    </cfRule>
  </conditionalFormatting>
  <conditionalFormatting sqref="F256">
    <cfRule type="expression" dxfId="18" priority="5" stopIfTrue="1">
      <formula>L253=""</formula>
    </cfRule>
  </conditionalFormatting>
  <conditionalFormatting sqref="P536 F536">
    <cfRule type="expression" dxfId="17" priority="6" stopIfTrue="1">
      <formula>$O$536&lt;$D$535</formula>
    </cfRule>
  </conditionalFormatting>
  <conditionalFormatting sqref="P539 F539">
    <cfRule type="expression" dxfId="16" priority="7" stopIfTrue="1">
      <formula>$O$539&lt;$D$538</formula>
    </cfRule>
  </conditionalFormatting>
  <conditionalFormatting sqref="B515:D515 D521:D523 B488:F488 D495:D497 B457:D457 D464:D466">
    <cfRule type="expression" dxfId="15" priority="8" stopIfTrue="1">
      <formula>EMHV=2</formula>
    </cfRule>
  </conditionalFormatting>
  <conditionalFormatting sqref="B516:D516 E521:E523 B489:F489 B458:D458 E464:E466 E495:E497">
    <cfRule type="expression" dxfId="14" priority="9" stopIfTrue="1">
      <formula>EMHV=1</formula>
    </cfRule>
  </conditionalFormatting>
  <conditionalFormatting sqref="D513">
    <cfRule type="expression" dxfId="13" priority="10" stopIfTrue="1">
      <formula>$D$513&lt;&gt;1</formula>
    </cfRule>
  </conditionalFormatting>
  <conditionalFormatting sqref="B460:D460">
    <cfRule type="expression" dxfId="12" priority="11" stopIfTrue="1">
      <formula>$L$460=TRUE</formula>
    </cfRule>
  </conditionalFormatting>
  <conditionalFormatting sqref="D486">
    <cfRule type="expression" dxfId="11" priority="12" stopIfTrue="1">
      <formula>$D$486&lt;&gt;1</formula>
    </cfRule>
  </conditionalFormatting>
  <conditionalFormatting sqref="B418:C419 D419">
    <cfRule type="expression" dxfId="10" priority="13" stopIfTrue="1">
      <formula>$D$417=$B$669</formula>
    </cfRule>
  </conditionalFormatting>
  <conditionalFormatting sqref="B259:E259">
    <cfRule type="expression" dxfId="9" priority="14" stopIfTrue="1">
      <formula>$M$257&lt;4</formula>
    </cfRule>
  </conditionalFormatting>
  <conditionalFormatting sqref="C257">
    <cfRule type="cellIs" dxfId="8" priority="15" stopIfTrue="1" operator="equal">
      <formula>#REF!</formula>
    </cfRule>
  </conditionalFormatting>
  <conditionalFormatting sqref="B258:E258">
    <cfRule type="expression" dxfId="7" priority="16" stopIfTrue="1">
      <formula>$M$257=4</formula>
    </cfRule>
  </conditionalFormatting>
  <conditionalFormatting sqref="H88:H104 G64:G71 G51:G58 G76:G78">
    <cfRule type="expression" dxfId="6" priority="17" stopIfTrue="1">
      <formula>G51=0</formula>
    </cfRule>
  </conditionalFormatting>
  <conditionalFormatting sqref="G39 I39">
    <cfRule type="expression" dxfId="5" priority="18" stopIfTrue="1">
      <formula>$B$39=$L$694</formula>
    </cfRule>
  </conditionalFormatting>
  <conditionalFormatting sqref="D76:F76">
    <cfRule type="expression" dxfId="4" priority="19" stopIfTrue="1">
      <formula>$B$76=""</formula>
    </cfRule>
  </conditionalFormatting>
  <conditionalFormatting sqref="D78:F78">
    <cfRule type="expression" dxfId="3" priority="20" stopIfTrue="1">
      <formula>$B$78=""</formula>
    </cfRule>
  </conditionalFormatting>
  <conditionalFormatting sqref="D77:F77">
    <cfRule type="expression" dxfId="2" priority="21" stopIfTrue="1">
      <formula>$B$77=""</formula>
    </cfRule>
  </conditionalFormatting>
  <conditionalFormatting sqref="D408">
    <cfRule type="expression" dxfId="1" priority="22" stopIfTrue="1">
      <formula>ProjLife=0</formula>
    </cfRule>
  </conditionalFormatting>
  <conditionalFormatting sqref="D418">
    <cfRule type="expression" dxfId="0" priority="23" stopIfTrue="1">
      <formula>$D$417=$B$669</formula>
    </cfRule>
  </conditionalFormatting>
  <dataValidations count="65">
    <dataValidation type="whole" operator="greaterThan" allowBlank="1" showInputMessage="1" showErrorMessage="1" errorTitle="YEAR" error="Input year must be greater than previous year in table." sqref="D389" xr:uid="{8E76914E-2D60-439A-A3C3-39D50B37A01B}">
      <formula1>H390</formula1>
    </dataValidation>
    <dataValidation type="list" allowBlank="1" showInputMessage="1" showErrorMessage="1" sqref="D345" xr:uid="{8056E389-0386-45A5-AE75-F00910254C4C}">
      <formula1>Q318:Q319</formula1>
    </dataValidation>
    <dataValidation type="list" allowBlank="1" showInputMessage="1" showErrorMessage="1" sqref="D328" xr:uid="{85ED0E5D-B98C-434D-ABFF-C32E3B1205CE}">
      <formula1>O344:O349</formula1>
    </dataValidation>
    <dataValidation type="list" allowBlank="1" showInputMessage="1" showErrorMessage="1" sqref="M710 O710" xr:uid="{E2752650-B46D-48B2-9015-94D57F65C298}">
      <formula1>$N$714:$N$720</formula1>
    </dataValidation>
    <dataValidation type="list" allowBlank="1" showInputMessage="1" showErrorMessage="1" sqref="C551:C558" xr:uid="{A6ED83D6-2786-4C34-95B0-10059D695B24}">
      <formula1>$M$552:$M$555</formula1>
    </dataValidation>
    <dataValidation type="list" allowBlank="1" showInputMessage="1" showErrorMessage="1" sqref="D574:E574" xr:uid="{70F22A99-0B67-4D42-AE90-EBD9A75CF60E}">
      <formula1>$M$574:$M$575</formula1>
    </dataValidation>
    <dataValidation type="list" allowBlank="1" showInputMessage="1" showErrorMessage="1" sqref="C536 C539 C529:C530 C263:C264" xr:uid="{F4870B80-CAB8-4967-94B5-B3FCB3FD402A}">
      <formula1>$C$672:$C$673</formula1>
    </dataValidation>
    <dataValidation type="list" allowBlank="1" showInputMessage="1" showErrorMessage="1" sqref="C537 C534" xr:uid="{2B661D00-E0D0-44F5-B26F-7FC242F95477}">
      <formula1>$F$657:$F$660</formula1>
    </dataValidation>
    <dataValidation type="list" allowBlank="1" showInputMessage="1" showErrorMessage="1" sqref="D518 C431 E431" xr:uid="{F632ACF6-9FC8-4824-86CE-C21F8E903A77}">
      <formula1>$E$717:$E$719</formula1>
    </dataValidation>
    <dataValidation type="list" allowBlank="1" showInputMessage="1" showErrorMessage="1" sqref="C439 E439" xr:uid="{2CEB649B-6218-41F6-90B4-112C2F4D6BE8}">
      <formula1>$E$739:$E$742</formula1>
    </dataValidation>
    <dataValidation type="list" allowBlank="1" showInputMessage="1" showErrorMessage="1" sqref="C437 C306 E437" xr:uid="{F6305681-A111-469A-8EC4-A7819CC10B2E}">
      <formula1>$E$704:$E$706</formula1>
    </dataValidation>
    <dataValidation type="list" allowBlank="1" showInputMessage="1" showErrorMessage="1" sqref="D491" xr:uid="{A9A6708F-1250-479C-9EFD-4AFDD4AC8998}">
      <formula1>$F$661:$F$662</formula1>
    </dataValidation>
    <dataValidation type="list" allowBlank="1" showInputMessage="1" showErrorMessage="1" sqref="C473" xr:uid="{C954285C-2269-478A-9C4F-DE4583F1AB4E}">
      <formula1>$E$769:$E$770</formula1>
    </dataValidation>
    <dataValidation type="list" allowBlank="1" showInputMessage="1" showErrorMessage="1" sqref="D456" xr:uid="{CDC28BDC-A153-4CD3-813D-54CB19431AC7}">
      <formula1>$E$757:$E$767</formula1>
    </dataValidation>
    <dataValidation type="list" allowBlank="1" showInputMessage="1" showErrorMessage="1" sqref="C457:C458" xr:uid="{2445F3F5-082F-4130-A9E9-A0CC9FCD9BE6}">
      <formula1>$E$664:$E$670</formula1>
    </dataValidation>
    <dataValidation type="list" allowBlank="1" showInputMessage="1" showErrorMessage="1" sqref="C432 E432" xr:uid="{5C392D1A-84B8-4F28-AFA2-4BC7FC5B45C0}">
      <formula1>$E$708:$E$715</formula1>
    </dataValidation>
    <dataValidation type="list" allowBlank="1" showInputMessage="1" showErrorMessage="1" sqref="E429 C429" xr:uid="{685BE6EB-0653-4A77-9BDB-BAA5BD3F4B22}">
      <formula1>$E$727:$E$732</formula1>
    </dataValidation>
    <dataValidation type="list" allowBlank="1" showInputMessage="1" showErrorMessage="1" sqref="E428 C428" xr:uid="{0650CD0D-70C6-4D22-9D70-E72D68AE0B44}">
      <formula1>$E$721:$E$725</formula1>
    </dataValidation>
    <dataValidation type="list" allowBlank="1" showInputMessage="1" showErrorMessage="1" sqref="C430 E430" xr:uid="{F3F4A810-27FE-4DF2-A9EE-E45FDEABF38F}">
      <formula1>$E$778:$E$786</formula1>
    </dataValidation>
    <dataValidation type="list" allowBlank="1" showInputMessage="1" showErrorMessage="1" sqref="C433 E433" xr:uid="{0CAF77F4-69C0-400D-9413-4E76364896AF}">
      <formula1>$E$769:$E$771</formula1>
    </dataValidation>
    <dataValidation type="list" allowBlank="1" showInputMessage="1" showErrorMessage="1" sqref="E438 C438" xr:uid="{67BA2ED8-E4F1-44D0-B2DB-23EE17EF41D2}">
      <formula1>$E$733:$E$737</formula1>
    </dataValidation>
    <dataValidation type="list" allowBlank="1" showInputMessage="1" showErrorMessage="1" sqref="C435 E435" xr:uid="{571A9C89-752D-4E6D-BF07-A5736D6D74D1}">
      <formula1>$E$744:$E$755</formula1>
    </dataValidation>
    <dataValidation type="list" allowBlank="1" showInputMessage="1" showErrorMessage="1" sqref="C403" xr:uid="{676A3396-85A1-4909-98A1-DF13EB2C0ED7}">
      <formula1>$M$403:$M$404</formula1>
    </dataValidation>
    <dataValidation type="list" allowBlank="1" showInputMessage="1" showErrorMessage="1" sqref="C398" xr:uid="{5438924D-1804-48FB-BB54-8A297D7A38A6}">
      <formula1>$O$397:$O$398</formula1>
    </dataValidation>
    <dataValidation type="whole" operator="lessThan" showInputMessage="1" showErrorMessage="1" errorTitle="YEAR" error="Year must be less than next year in table." sqref="E390:H390 D388" xr:uid="{17FA383E-EC2F-4875-BB44-866FC39A7510}">
      <formula1>$D$389</formula1>
    </dataValidation>
    <dataValidation operator="greaterThan" allowBlank="1" showInputMessage="1" showErrorMessage="1" errorTitle="Tonnage" error="Value must be greater than 0 ton per year." sqref="D391:I391" xr:uid="{B55AEE94-6B7C-4BFD-82A4-4CA1444E650C}"/>
    <dataValidation type="list" allowBlank="1" showInputMessage="1" showErrorMessage="1" sqref="C445 E445" xr:uid="{75373DFA-DD54-46E9-8097-10E9A535349D}">
      <formula1>$E$810:$E$811</formula1>
    </dataValidation>
    <dataValidation type="list" allowBlank="1" showInputMessage="1" showErrorMessage="1" sqref="C444 E444" xr:uid="{C32A50A0-06FF-4128-A2A3-B36992C71FA5}">
      <formula1>$E$807:$E$808</formula1>
    </dataValidation>
    <dataValidation type="list" allowBlank="1" showInputMessage="1" showErrorMessage="1" sqref="C443 E443" xr:uid="{290BAA7C-F7A3-4476-9569-5939F59A1633}">
      <formula1>$E$804:$E$805</formula1>
    </dataValidation>
    <dataValidation type="list" allowBlank="1" showInputMessage="1" showErrorMessage="1" sqref="C442 E442" xr:uid="{A380A48D-D4DE-4B9B-B055-9F2160D8D324}">
      <formula1>$E$793:$E$803</formula1>
    </dataValidation>
    <dataValidation type="list" allowBlank="1" showInputMessage="1" showErrorMessage="1" sqref="C441 E441" xr:uid="{163D62E9-6FBB-4C90-8C66-D79171CA26CF}">
      <formula1>$E$787:$E$789</formula1>
    </dataValidation>
    <dataValidation type="list" allowBlank="1" showInputMessage="1" showErrorMessage="1" sqref="D409" xr:uid="{46EAF01F-0147-4F8A-9208-09756173549F}">
      <formula1>$C$681:$C$682</formula1>
    </dataValidation>
    <dataValidation type="list" allowBlank="1" showInputMessage="1" showErrorMessage="1" sqref="D417" xr:uid="{6BA2E375-E876-48B4-BCC5-A4A86AA5CB83}">
      <formula1>$B$669:$B$670</formula1>
    </dataValidation>
    <dataValidation type="list" allowBlank="1" showInputMessage="1" showErrorMessage="1" sqref="D361" xr:uid="{A61DDD8C-BA94-4866-AED7-ACDD10BF8833}">
      <formula1>$O$318:$O$320</formula1>
    </dataValidation>
    <dataValidation type="list" allowBlank="1" showInputMessage="1" showErrorMessage="1" sqref="C362 C338 C359" xr:uid="{0475E7BC-9C22-40EE-B53B-007B7246258D}">
      <formula1>$C$659:$C$660</formula1>
    </dataValidation>
    <dataValidation type="list" allowBlank="1" showInputMessage="1" showErrorMessage="1" sqref="C265 C348 C342 C326 C333 C273 C271 C354" xr:uid="{BD1A95F6-F0EC-4C82-BABC-E1238B212A41}">
      <formula1>$C$683:$C$684</formula1>
    </dataValidation>
    <dataValidation type="list" allowBlank="1" showInputMessage="1" showErrorMessage="1" sqref="C317:E317" xr:uid="{BAB7833F-7FD0-4F74-B68B-BC12222FFDF4}">
      <formula1>Lang_Cur3</formula1>
    </dataValidation>
    <dataValidation type="list" allowBlank="1" showInputMessage="1" showErrorMessage="1" sqref="D331" xr:uid="{1766120D-0E62-4E82-A421-C5E83FFA8A6A}">
      <formula1>$O$323:$O$325</formula1>
    </dataValidation>
    <dataValidation type="list" allowBlank="1" showInputMessage="1" showErrorMessage="1" sqref="D323 D332 D339 D334" xr:uid="{C6D6F573-6C82-4C83-B87E-BFF0F13AA001}">
      <formula1>YesNo</formula1>
    </dataValidation>
    <dataValidation type="list" allowBlank="1" showInputMessage="1" showErrorMessage="1" sqref="C303:D303" xr:uid="{55F6DB9B-BCC7-40AD-B49D-F22CECC949F1}">
      <formula1>ES_Fuel2</formula1>
    </dataValidation>
    <dataValidation type="list" allowBlank="1" showInputMessage="1" showErrorMessage="1" sqref="C270" xr:uid="{399C0F19-4992-473B-8A86-4A316F5BC0B1}">
      <formula1>$D$683:$D$684</formula1>
    </dataValidation>
    <dataValidation type="list" allowBlank="1" showInputMessage="1" showErrorMessage="1" sqref="D262" xr:uid="{17117292-B3C6-4277-9870-473B1B6ADAF9}">
      <formula1>$B$987:$B$994</formula1>
    </dataValidation>
    <dataValidation type="list" allowBlank="1" showInputMessage="1" showErrorMessage="1" sqref="C325" xr:uid="{C3D08197-6697-48F3-96A9-FB7C144DE382}">
      <formula1>$C$657:$C$658</formula1>
    </dataValidation>
    <dataValidation type="list" allowBlank="1" showInputMessage="1" showErrorMessage="1" sqref="C294:C295 F294:F295 I294:I295" xr:uid="{2EB5895E-120E-4BB0-A916-4DAA7CE55A20}">
      <formula1>$C$666:$C$668</formula1>
    </dataValidation>
    <dataValidation type="list" allowBlank="1" showInputMessage="1" showErrorMessage="1" sqref="C296 F296 I296" xr:uid="{F50C361A-9AA5-4DE2-9E22-5E49A51DF547}">
      <formula1>$C$664:$C$665</formula1>
    </dataValidation>
    <dataValidation type="list" allowBlank="1" showInputMessage="1" showErrorMessage="1" sqref="D272" xr:uid="{E064A48E-30FC-4589-8D0C-B6345AE1DB6B}">
      <formula1>$H$976:$H$978</formula1>
    </dataValidation>
    <dataValidation type="list" allowBlank="1" showInputMessage="1" showErrorMessage="1" sqref="D269" xr:uid="{4A3C4827-8D38-470E-8372-38059F58C6C3}">
      <formula1>$G$981:$G$982</formula1>
    </dataValidation>
    <dataValidation type="list" allowBlank="1" showInputMessage="1" showErrorMessage="1" sqref="C268:E268" xr:uid="{8C82C6DA-506B-4575-956B-14927A5FE36D}">
      <formula1>$B$976:$B$978</formula1>
    </dataValidation>
    <dataValidation type="list" allowBlank="1" showInputMessage="1" showErrorMessage="1" sqref="C274" xr:uid="{0B206D18-213C-4FE2-BCAF-0A29FBD4FCFA}">
      <formula1>$D$685:$D$687</formula1>
    </dataValidation>
    <dataValidation type="list" allowBlank="1" showInputMessage="1" showErrorMessage="1" sqref="C253:C254" xr:uid="{2EF5AF46-B850-4FBF-A36A-364A18D3178D}">
      <formula1>$C$685:$C$687</formula1>
    </dataValidation>
    <dataValidation type="list" allowBlank="1" showInputMessage="1" showErrorMessage="1" sqref="E49" xr:uid="{7F5503DA-43DC-4E89-865E-73A62056E0DC}">
      <formula1>$P$71:$P$72</formula1>
    </dataValidation>
    <dataValidation type="list" allowBlank="1" showInputMessage="1" showErrorMessage="1" sqref="E87" xr:uid="{2C61B1C3-E051-48C5-8732-A59E399951DB}">
      <formula1>$M$87:$M$90</formula1>
    </dataValidation>
    <dataValidation type="list" allowBlank="1" showInputMessage="1" showErrorMessage="1" sqref="C47" xr:uid="{FAC2B69E-F6A9-4B56-85C6-005138E7659D}">
      <formula1>$T$75:$T$78</formula1>
    </dataValidation>
    <dataValidation type="list" allowBlank="1" showInputMessage="1" showErrorMessage="1" sqref="C45:E45" xr:uid="{03341490-4D7D-42EC-9741-062FB8687778}">
      <formula1>$U$69:$U$72</formula1>
    </dataValidation>
    <dataValidation type="list" allowBlank="1" showInputMessage="1" showErrorMessage="1" sqref="C257" xr:uid="{98C53F76-F007-49C5-B266-12D3B7919AC8}">
      <formula1>$I$976:$I$979</formula1>
    </dataValidation>
    <dataValidation type="list" allowBlank="1" showInputMessage="1" showErrorMessage="1" sqref="G247:J247" xr:uid="{E1099098-150F-47C3-8A7B-AE170AA3C68F}">
      <formula1>$E$691:$E$698</formula1>
    </dataValidation>
    <dataValidation type="list" allowBlank="1" showInputMessage="1" showErrorMessage="1" sqref="B33:B37" xr:uid="{DB53D178-6075-461A-9B55-FE794EA171F5}">
      <formula1>$S$659:$S$694</formula1>
    </dataValidation>
    <dataValidation type="list" allowBlank="1" showInputMessage="1" showErrorMessage="1" sqref="C32" xr:uid="{D3BDF260-B060-4D78-BA74-989605DFC956}">
      <formula1>$D$681:$D$682</formula1>
    </dataValidation>
    <dataValidation type="list" allowBlank="1" showInputMessage="1" showErrorMessage="1" sqref="B88:B102" xr:uid="{2A7A4A87-571B-4C23-BBE6-8D9ED1B0835F}">
      <formula1>$V$659:$V$699</formula1>
    </dataValidation>
    <dataValidation type="list" allowBlank="1" showInputMessage="1" showErrorMessage="1" sqref="D64:E71 D76:E78" xr:uid="{EB52CDC4-3A1F-4DB1-ABC7-5BDF97A78F64}">
      <formula1>$N$696:$N$705</formula1>
    </dataValidation>
    <dataValidation type="list" allowBlank="1" showInputMessage="1" showErrorMessage="1" sqref="B51:B58" xr:uid="{ACEE9121-5620-44E5-B843-E64C25CDDF53}">
      <formula1>$J$659:$J$706</formula1>
    </dataValidation>
    <dataValidation type="list" allowBlank="1" showInputMessage="1" showErrorMessage="1" sqref="B76:B78" xr:uid="{CD7D033C-E57D-4F69-9211-88C6836FF8A0}">
      <formula1>$T$65:$T$68</formula1>
    </dataValidation>
    <dataValidation type="list" allowBlank="1" showInputMessage="1" showErrorMessage="1" sqref="C436 E436" xr:uid="{148ED133-63FD-4F2F-9728-ED37740B712E}">
      <formula1>$E$757:$E$768</formula1>
    </dataValidation>
    <dataValidation type="list" allowBlank="1" showInputMessage="1" showErrorMessage="1" sqref="C563" xr:uid="{6BC60918-4256-44B8-A39B-3561676EC6E0}">
      <formula1>$M$563:$M$564</formula1>
    </dataValidation>
    <dataValidation type="list" allowBlank="1" showInputMessage="1" showErrorMessage="1" sqref="H550 C562" xr:uid="{64F81F55-FC33-4724-87B7-90AA42CD8477}">
      <formula1>$N$563:$N$564</formula1>
    </dataValidation>
  </dataValidations>
  <printOptions horizontalCentered="1"/>
  <pageMargins left="0.51181102362204722" right="0.51181102362204722" top="0.51181102362204722" bottom="0.51181102362204722" header="0.51181102362204722" footer="0.31496062992125984"/>
  <pageSetup scale="56" orientation="portrait" r:id="rId1"/>
  <headerFooter alignWithMargins="0">
    <oddFooter>&amp;L_x000D_&amp;R2/13/2012_x000D_RETScreen4.xls</oddFooter>
  </headerFooter>
  <drawing r:id="rId2"/>
  <legacyDrawing r:id="rId3"/>
  <controls>
    <mc:AlternateContent xmlns:mc="http://schemas.openxmlformats.org/markup-compatibility/2006">
      <mc:Choice Requires="x14">
        <control shapeId="150570" r:id="rId4" name="OptionButton2">
          <controlPr defaultSize="0" autoLine="0" linkedCell="M504" r:id="rId5">
            <anchor moveWithCells="1" sizeWithCells="1">
              <from>
                <xdr:col>12</xdr:col>
                <xdr:colOff>838200</xdr:colOff>
                <xdr:row>503</xdr:row>
                <xdr:rowOff>7620</xdr:rowOff>
              </from>
              <to>
                <xdr:col>13</xdr:col>
                <xdr:colOff>152400</xdr:colOff>
                <xdr:row>504</xdr:row>
                <xdr:rowOff>0</xdr:rowOff>
              </to>
            </anchor>
          </controlPr>
        </control>
      </mc:Choice>
      <mc:Fallback>
        <control shapeId="150570" r:id="rId4" name="OptionButton2"/>
      </mc:Fallback>
    </mc:AlternateContent>
    <mc:AlternateContent xmlns:mc="http://schemas.openxmlformats.org/markup-compatibility/2006">
      <mc:Choice Requires="x14">
        <control shapeId="150569" r:id="rId6" name="OptionButton1">
          <controlPr defaultSize="0" autoLine="0" linkedCell="M503" r:id="rId7">
            <anchor moveWithCells="1" sizeWithCells="1">
              <from>
                <xdr:col>12</xdr:col>
                <xdr:colOff>838200</xdr:colOff>
                <xdr:row>502</xdr:row>
                <xdr:rowOff>7620</xdr:rowOff>
              </from>
              <to>
                <xdr:col>13</xdr:col>
                <xdr:colOff>152400</xdr:colOff>
                <xdr:row>503</xdr:row>
                <xdr:rowOff>0</xdr:rowOff>
              </to>
            </anchor>
          </controlPr>
        </control>
      </mc:Choice>
      <mc:Fallback>
        <control shapeId="150569" r:id="rId6" name="OptionButton1"/>
      </mc:Fallback>
    </mc:AlternateContent>
    <mc:AlternateContent xmlns:mc="http://schemas.openxmlformats.org/markup-compatibility/2006">
      <mc:Choice Requires="x14">
        <control shapeId="16793" r:id="rId8" name="CheckBox25">
          <controlPr defaultSize="0" autoLine="0" linkedCell="L353" r:id="rId9">
            <anchor moveWithCells="1" sizeWithCells="1">
              <from>
                <xdr:col>12</xdr:col>
                <xdr:colOff>213360</xdr:colOff>
                <xdr:row>352</xdr:row>
                <xdr:rowOff>76200</xdr:rowOff>
              </from>
              <to>
                <xdr:col>12</xdr:col>
                <xdr:colOff>411480</xdr:colOff>
                <xdr:row>353</xdr:row>
                <xdr:rowOff>68580</xdr:rowOff>
              </to>
            </anchor>
          </controlPr>
        </control>
      </mc:Choice>
      <mc:Fallback>
        <control shapeId="16793" r:id="rId8" name="CheckBox25"/>
      </mc:Fallback>
    </mc:AlternateContent>
    <mc:AlternateContent xmlns:mc="http://schemas.openxmlformats.org/markup-compatibility/2006">
      <mc:Choice Requires="x14">
        <control shapeId="16792" r:id="rId10" name="CheckBox241">
          <controlPr defaultSize="0" autoLine="0" linkedCell="L347" r:id="rId9">
            <anchor moveWithCells="1" sizeWithCells="1">
              <from>
                <xdr:col>12</xdr:col>
                <xdr:colOff>7620</xdr:colOff>
                <xdr:row>346</xdr:row>
                <xdr:rowOff>53340</xdr:rowOff>
              </from>
              <to>
                <xdr:col>12</xdr:col>
                <xdr:colOff>205740</xdr:colOff>
                <xdr:row>347</xdr:row>
                <xdr:rowOff>45720</xdr:rowOff>
              </to>
            </anchor>
          </controlPr>
        </control>
      </mc:Choice>
      <mc:Fallback>
        <control shapeId="16792" r:id="rId10" name="CheckBox241"/>
      </mc:Fallback>
    </mc:AlternateContent>
    <mc:AlternateContent xmlns:mc="http://schemas.openxmlformats.org/markup-compatibility/2006">
      <mc:Choice Requires="x14">
        <control shapeId="16791" r:id="rId11" name="CheckBox23">
          <controlPr defaultSize="0" autoLine="0" linkedCell="L341" r:id="rId9">
            <anchor moveWithCells="1" sizeWithCells="1">
              <from>
                <xdr:col>11</xdr:col>
                <xdr:colOff>624840</xdr:colOff>
                <xdr:row>341</xdr:row>
                <xdr:rowOff>0</xdr:rowOff>
              </from>
              <to>
                <xdr:col>12</xdr:col>
                <xdr:colOff>152400</xdr:colOff>
                <xdr:row>341</xdr:row>
                <xdr:rowOff>152400</xdr:rowOff>
              </to>
            </anchor>
          </controlPr>
        </control>
      </mc:Choice>
      <mc:Fallback>
        <control shapeId="16791" r:id="rId11" name="CheckBox23"/>
      </mc:Fallback>
    </mc:AlternateContent>
    <mc:AlternateContent xmlns:mc="http://schemas.openxmlformats.org/markup-compatibility/2006">
      <mc:Choice Requires="x14">
        <control shapeId="16790" r:id="rId12" name="CheckBox22">
          <controlPr defaultSize="0" autoLine="0" linkedCell="L337" r:id="rId9">
            <anchor moveWithCells="1" sizeWithCells="1">
              <from>
                <xdr:col>12</xdr:col>
                <xdr:colOff>45720</xdr:colOff>
                <xdr:row>336</xdr:row>
                <xdr:rowOff>68580</xdr:rowOff>
              </from>
              <to>
                <xdr:col>12</xdr:col>
                <xdr:colOff>243840</xdr:colOff>
                <xdr:row>337</xdr:row>
                <xdr:rowOff>53340</xdr:rowOff>
              </to>
            </anchor>
          </controlPr>
        </control>
      </mc:Choice>
      <mc:Fallback>
        <control shapeId="16790" r:id="rId12" name="CheckBox22"/>
      </mc:Fallback>
    </mc:AlternateContent>
    <mc:AlternateContent xmlns:mc="http://schemas.openxmlformats.org/markup-compatibility/2006">
      <mc:Choice Requires="x14">
        <control shapeId="16748" r:id="rId13" name="OptionButton11">
          <controlPr defaultSize="0" autoLine="0" linkedCell="M138" r:id="rId14">
            <anchor moveWithCells="1" sizeWithCells="1">
              <from>
                <xdr:col>11</xdr:col>
                <xdr:colOff>579120</xdr:colOff>
                <xdr:row>137</xdr:row>
                <xdr:rowOff>7620</xdr:rowOff>
              </from>
              <to>
                <xdr:col>12</xdr:col>
                <xdr:colOff>129540</xdr:colOff>
                <xdr:row>138</xdr:row>
                <xdr:rowOff>0</xdr:rowOff>
              </to>
            </anchor>
          </controlPr>
        </control>
      </mc:Choice>
      <mc:Fallback>
        <control shapeId="16748" r:id="rId13" name="OptionButton11"/>
      </mc:Fallback>
    </mc:AlternateContent>
    <mc:AlternateContent xmlns:mc="http://schemas.openxmlformats.org/markup-compatibility/2006">
      <mc:Choice Requires="x14">
        <control shapeId="16747" r:id="rId15" name="OptionButton10">
          <controlPr defaultSize="0" autoLine="0" linkedCell="M137" r:id="rId16">
            <anchor moveWithCells="1" sizeWithCells="1">
              <from>
                <xdr:col>11</xdr:col>
                <xdr:colOff>579120</xdr:colOff>
                <xdr:row>136</xdr:row>
                <xdr:rowOff>7620</xdr:rowOff>
              </from>
              <to>
                <xdr:col>12</xdr:col>
                <xdr:colOff>114300</xdr:colOff>
                <xdr:row>137</xdr:row>
                <xdr:rowOff>0</xdr:rowOff>
              </to>
            </anchor>
          </controlPr>
        </control>
      </mc:Choice>
      <mc:Fallback>
        <control shapeId="16747" r:id="rId15" name="OptionButton10"/>
      </mc:Fallback>
    </mc:AlternateContent>
    <mc:AlternateContent xmlns:mc="http://schemas.openxmlformats.org/markup-compatibility/2006">
      <mc:Choice Requires="x14">
        <control shapeId="16732" r:id="rId17" name="CheckBox21">
          <controlPr defaultSize="0" autoLine="0" linkedCell="$O$10" r:id="rId18">
            <anchor moveWithCells="1" sizeWithCells="1">
              <from>
                <xdr:col>12</xdr:col>
                <xdr:colOff>68580</xdr:colOff>
                <xdr:row>9</xdr:row>
                <xdr:rowOff>45720</xdr:rowOff>
              </from>
              <to>
                <xdr:col>12</xdr:col>
                <xdr:colOff>266700</xdr:colOff>
                <xdr:row>10</xdr:row>
                <xdr:rowOff>38100</xdr:rowOff>
              </to>
            </anchor>
          </controlPr>
        </control>
      </mc:Choice>
      <mc:Fallback>
        <control shapeId="16732" r:id="rId17" name="CheckBox21"/>
      </mc:Fallback>
    </mc:AlternateContent>
    <mc:AlternateContent xmlns:mc="http://schemas.openxmlformats.org/markup-compatibility/2006">
      <mc:Choice Requires="x14">
        <control shapeId="16731" r:id="rId19" name="CheckBox20">
          <controlPr defaultSize="0" autoLine="0" linkedCell="L5" r:id="rId9">
            <anchor moveWithCells="1" sizeWithCells="1">
              <from>
                <xdr:col>10</xdr:col>
                <xdr:colOff>243840</xdr:colOff>
                <xdr:row>6</xdr:row>
                <xdr:rowOff>45720</xdr:rowOff>
              </from>
              <to>
                <xdr:col>11</xdr:col>
                <xdr:colOff>182880</xdr:colOff>
                <xdr:row>7</xdr:row>
                <xdr:rowOff>38100</xdr:rowOff>
              </to>
            </anchor>
          </controlPr>
        </control>
      </mc:Choice>
      <mc:Fallback>
        <control shapeId="16731" r:id="rId19" name="CheckBox20"/>
      </mc:Fallback>
    </mc:AlternateContent>
    <mc:AlternateContent xmlns:mc="http://schemas.openxmlformats.org/markup-compatibility/2006">
      <mc:Choice Requires="x14">
        <control shapeId="16457" r:id="rId20" name="OptionButton8">
          <controlPr defaultSize="0" autoLine="0" linkedCell="L547" r:id="rId21">
            <anchor moveWithCells="1" sizeWithCells="1">
              <from>
                <xdr:col>12</xdr:col>
                <xdr:colOff>106680</xdr:colOff>
                <xdr:row>546</xdr:row>
                <xdr:rowOff>15240</xdr:rowOff>
              </from>
              <to>
                <xdr:col>12</xdr:col>
                <xdr:colOff>373380</xdr:colOff>
                <xdr:row>546</xdr:row>
                <xdr:rowOff>152400</xdr:rowOff>
              </to>
            </anchor>
          </controlPr>
        </control>
      </mc:Choice>
      <mc:Fallback>
        <control shapeId="16457" r:id="rId20" name="OptionButton8"/>
      </mc:Fallback>
    </mc:AlternateContent>
    <mc:AlternateContent xmlns:mc="http://schemas.openxmlformats.org/markup-compatibility/2006">
      <mc:Choice Requires="x14">
        <control shapeId="16456" r:id="rId22" name="OptionButton7">
          <controlPr defaultSize="0" autoLine="0" linkedCell="L546" r:id="rId23">
            <anchor moveWithCells="1" sizeWithCells="1">
              <from>
                <xdr:col>12</xdr:col>
                <xdr:colOff>106680</xdr:colOff>
                <xdr:row>545</xdr:row>
                <xdr:rowOff>38100</xdr:rowOff>
              </from>
              <to>
                <xdr:col>12</xdr:col>
                <xdr:colOff>373380</xdr:colOff>
                <xdr:row>546</xdr:row>
                <xdr:rowOff>7620</xdr:rowOff>
              </to>
            </anchor>
          </controlPr>
        </control>
      </mc:Choice>
      <mc:Fallback>
        <control shapeId="16456" r:id="rId22" name="OptionButton7"/>
      </mc:Fallback>
    </mc:AlternateContent>
    <mc:AlternateContent xmlns:mc="http://schemas.openxmlformats.org/markup-compatibility/2006">
      <mc:Choice Requires="x14">
        <control shapeId="16441" r:id="rId24" name="CheckBox19">
          <controlPr defaultSize="0" autoLine="0" linkedCell="O7" r:id="rId25">
            <anchor moveWithCells="1" sizeWithCells="1">
              <from>
                <xdr:col>12</xdr:col>
                <xdr:colOff>68580</xdr:colOff>
                <xdr:row>6</xdr:row>
                <xdr:rowOff>53340</xdr:rowOff>
              </from>
              <to>
                <xdr:col>12</xdr:col>
                <xdr:colOff>266700</xdr:colOff>
                <xdr:row>7</xdr:row>
                <xdr:rowOff>45720</xdr:rowOff>
              </to>
            </anchor>
          </controlPr>
        </control>
      </mc:Choice>
      <mc:Fallback>
        <control shapeId="16441" r:id="rId24" name="CheckBox19"/>
      </mc:Fallback>
    </mc:AlternateContent>
    <mc:AlternateContent xmlns:mc="http://schemas.openxmlformats.org/markup-compatibility/2006">
      <mc:Choice Requires="x14">
        <control shapeId="16440" r:id="rId26" name="CheckBox18">
          <controlPr defaultSize="0" autoLine="0" linkedCell="O8" r:id="rId9">
            <anchor moveWithCells="1" sizeWithCells="1">
              <from>
                <xdr:col>12</xdr:col>
                <xdr:colOff>68580</xdr:colOff>
                <xdr:row>7</xdr:row>
                <xdr:rowOff>53340</xdr:rowOff>
              </from>
              <to>
                <xdr:col>12</xdr:col>
                <xdr:colOff>266700</xdr:colOff>
                <xdr:row>8</xdr:row>
                <xdr:rowOff>45720</xdr:rowOff>
              </to>
            </anchor>
          </controlPr>
        </control>
      </mc:Choice>
      <mc:Fallback>
        <control shapeId="16440" r:id="rId26" name="CheckBox18"/>
      </mc:Fallback>
    </mc:AlternateContent>
    <mc:AlternateContent xmlns:mc="http://schemas.openxmlformats.org/markup-compatibility/2006">
      <mc:Choice Requires="x14">
        <control shapeId="16439" r:id="rId27" name="CheckBox17">
          <controlPr defaultSize="0" autoLine="0" linkedCell="L4" r:id="rId9">
            <anchor moveWithCells="1" sizeWithCells="1">
              <from>
                <xdr:col>10</xdr:col>
                <xdr:colOff>243840</xdr:colOff>
                <xdr:row>5</xdr:row>
                <xdr:rowOff>38100</xdr:rowOff>
              </from>
              <to>
                <xdr:col>11</xdr:col>
                <xdr:colOff>182880</xdr:colOff>
                <xdr:row>6</xdr:row>
                <xdr:rowOff>30480</xdr:rowOff>
              </to>
            </anchor>
          </controlPr>
        </control>
      </mc:Choice>
      <mc:Fallback>
        <control shapeId="16439" r:id="rId27" name="CheckBox17"/>
      </mc:Fallback>
    </mc:AlternateContent>
    <mc:AlternateContent xmlns:mc="http://schemas.openxmlformats.org/markup-compatibility/2006">
      <mc:Choice Requires="x14">
        <control shapeId="16438" r:id="rId28" name="CheckBox16">
          <controlPr defaultSize="0" autoLine="0" linkedCell="L12" r:id="rId9">
            <anchor moveWithCells="1" sizeWithCells="1">
              <from>
                <xdr:col>11</xdr:col>
                <xdr:colOff>289560</xdr:colOff>
                <xdr:row>6</xdr:row>
                <xdr:rowOff>76200</xdr:rowOff>
              </from>
              <to>
                <xdr:col>11</xdr:col>
                <xdr:colOff>487680</xdr:colOff>
                <xdr:row>7</xdr:row>
                <xdr:rowOff>68580</xdr:rowOff>
              </to>
            </anchor>
          </controlPr>
        </control>
      </mc:Choice>
      <mc:Fallback>
        <control shapeId="16438" r:id="rId28" name="CheckBox16"/>
      </mc:Fallback>
    </mc:AlternateContent>
    <mc:AlternateContent xmlns:mc="http://schemas.openxmlformats.org/markup-compatibility/2006">
      <mc:Choice Requires="x14">
        <control shapeId="16406" r:id="rId29" name="OptionButton6">
          <controlPr defaultSize="0" autoLine="0" linkedCell="M451" r:id="rId30">
            <anchor moveWithCells="1" sizeWithCells="1">
              <from>
                <xdr:col>12</xdr:col>
                <xdr:colOff>777240</xdr:colOff>
                <xdr:row>450</xdr:row>
                <xdr:rowOff>0</xdr:rowOff>
              </from>
              <to>
                <xdr:col>13</xdr:col>
                <xdr:colOff>152400</xdr:colOff>
                <xdr:row>451</xdr:row>
                <xdr:rowOff>68580</xdr:rowOff>
              </to>
            </anchor>
          </controlPr>
        </control>
      </mc:Choice>
      <mc:Fallback>
        <control shapeId="16406" r:id="rId29" name="OptionButton6"/>
      </mc:Fallback>
    </mc:AlternateContent>
    <mc:AlternateContent xmlns:mc="http://schemas.openxmlformats.org/markup-compatibility/2006">
      <mc:Choice Requires="x14">
        <control shapeId="16405" r:id="rId31" name="OptionButton5">
          <controlPr defaultSize="0" autoLine="0" linkedCell="$M$450" r:id="rId32">
            <anchor moveWithCells="1" sizeWithCells="1">
              <from>
                <xdr:col>12</xdr:col>
                <xdr:colOff>777240</xdr:colOff>
                <xdr:row>449</xdr:row>
                <xdr:rowOff>0</xdr:rowOff>
              </from>
              <to>
                <xdr:col>13</xdr:col>
                <xdr:colOff>91440</xdr:colOff>
                <xdr:row>450</xdr:row>
                <xdr:rowOff>7620</xdr:rowOff>
              </to>
            </anchor>
          </controlPr>
        </control>
      </mc:Choice>
      <mc:Fallback>
        <control shapeId="16405" r:id="rId31" name="OptionButton5"/>
      </mc:Fallback>
    </mc:AlternateContent>
    <mc:AlternateContent xmlns:mc="http://schemas.openxmlformats.org/markup-compatibility/2006">
      <mc:Choice Requires="x14">
        <control shapeId="16404" r:id="rId33" name="OptionButton4">
          <controlPr defaultSize="0" autoLine="0" linkedCell="M473" r:id="rId34">
            <anchor moveWithCells="1" sizeWithCells="1">
              <from>
                <xdr:col>12</xdr:col>
                <xdr:colOff>845820</xdr:colOff>
                <xdr:row>472</xdr:row>
                <xdr:rowOff>7620</xdr:rowOff>
              </from>
              <to>
                <xdr:col>13</xdr:col>
                <xdr:colOff>198120</xdr:colOff>
                <xdr:row>472</xdr:row>
                <xdr:rowOff>152400</xdr:rowOff>
              </to>
            </anchor>
          </controlPr>
        </control>
      </mc:Choice>
      <mc:Fallback>
        <control shapeId="16404" r:id="rId33" name="OptionButton4"/>
      </mc:Fallback>
    </mc:AlternateContent>
    <mc:AlternateContent xmlns:mc="http://schemas.openxmlformats.org/markup-compatibility/2006">
      <mc:Choice Requires="x14">
        <control shapeId="16403" r:id="rId35" name="OptionButton3">
          <controlPr defaultSize="0" autoLine="0" linkedCell="$M$472" r:id="rId5">
            <anchor moveWithCells="1" sizeWithCells="1">
              <from>
                <xdr:col>12</xdr:col>
                <xdr:colOff>845820</xdr:colOff>
                <xdr:row>471</xdr:row>
                <xdr:rowOff>7620</xdr:rowOff>
              </from>
              <to>
                <xdr:col>13</xdr:col>
                <xdr:colOff>167640</xdr:colOff>
                <xdr:row>472</xdr:row>
                <xdr:rowOff>0</xdr:rowOff>
              </to>
            </anchor>
          </controlPr>
        </control>
      </mc:Choice>
      <mc:Fallback>
        <control shapeId="16403" r:id="rId35" name="OptionButton3"/>
      </mc:Fallback>
    </mc:AlternateContent>
    <mc:AlternateContent xmlns:mc="http://schemas.openxmlformats.org/markup-compatibility/2006">
      <mc:Choice Requires="x14">
        <control shapeId="16400" r:id="rId36" name="CheckBox15">
          <controlPr defaultSize="0" autoLine="0" linkedCell="$O$9" r:id="rId37">
            <anchor moveWithCells="1" sizeWithCells="1">
              <from>
                <xdr:col>12</xdr:col>
                <xdr:colOff>68580</xdr:colOff>
                <xdr:row>8</xdr:row>
                <xdr:rowOff>53340</xdr:rowOff>
              </from>
              <to>
                <xdr:col>12</xdr:col>
                <xdr:colOff>266700</xdr:colOff>
                <xdr:row>9</xdr:row>
                <xdr:rowOff>45720</xdr:rowOff>
              </to>
            </anchor>
          </controlPr>
        </control>
      </mc:Choice>
      <mc:Fallback>
        <control shapeId="16400" r:id="rId36" name="CheckBox15"/>
      </mc:Fallback>
    </mc:AlternateContent>
    <mc:AlternateContent xmlns:mc="http://schemas.openxmlformats.org/markup-compatibility/2006">
      <mc:Choice Requires="x14">
        <control shapeId="16399" r:id="rId38" name="CheckBox14">
          <controlPr defaultSize="0" autoLine="0" linkedCell="$O$6" r:id="rId39">
            <anchor moveWithCells="1" sizeWithCells="1">
              <from>
                <xdr:col>12</xdr:col>
                <xdr:colOff>68580</xdr:colOff>
                <xdr:row>5</xdr:row>
                <xdr:rowOff>45720</xdr:rowOff>
              </from>
              <to>
                <xdr:col>12</xdr:col>
                <xdr:colOff>266700</xdr:colOff>
                <xdr:row>6</xdr:row>
                <xdr:rowOff>38100</xdr:rowOff>
              </to>
            </anchor>
          </controlPr>
        </control>
      </mc:Choice>
      <mc:Fallback>
        <control shapeId="16399" r:id="rId38" name="CheckBox14"/>
      </mc:Fallback>
    </mc:AlternateContent>
    <mc:AlternateContent xmlns:mc="http://schemas.openxmlformats.org/markup-compatibility/2006">
      <mc:Choice Requires="x14">
        <control shapeId="16398" r:id="rId40" name="CheckBox13">
          <controlPr defaultSize="0" autoLine="0" linkedCell="$O$5" r:id="rId41">
            <anchor moveWithCells="1" sizeWithCells="1">
              <from>
                <xdr:col>12</xdr:col>
                <xdr:colOff>68580</xdr:colOff>
                <xdr:row>4</xdr:row>
                <xdr:rowOff>53340</xdr:rowOff>
              </from>
              <to>
                <xdr:col>12</xdr:col>
                <xdr:colOff>266700</xdr:colOff>
                <xdr:row>5</xdr:row>
                <xdr:rowOff>45720</xdr:rowOff>
              </to>
            </anchor>
          </controlPr>
        </control>
      </mc:Choice>
      <mc:Fallback>
        <control shapeId="16398" r:id="rId40" name="CheckBox13"/>
      </mc:Fallback>
    </mc:AlternateContent>
    <mc:AlternateContent xmlns:mc="http://schemas.openxmlformats.org/markup-compatibility/2006">
      <mc:Choice Requires="x14">
        <control shapeId="16397" r:id="rId42" name="CheckBox12">
          <controlPr defaultSize="0" autoLine="0" linkedCell="$O$4" r:id="rId43">
            <anchor moveWithCells="1" sizeWithCells="1">
              <from>
                <xdr:col>12</xdr:col>
                <xdr:colOff>68580</xdr:colOff>
                <xdr:row>3</xdr:row>
                <xdr:rowOff>53340</xdr:rowOff>
              </from>
              <to>
                <xdr:col>12</xdr:col>
                <xdr:colOff>266700</xdr:colOff>
                <xdr:row>4</xdr:row>
                <xdr:rowOff>45720</xdr:rowOff>
              </to>
            </anchor>
          </controlPr>
        </control>
      </mc:Choice>
      <mc:Fallback>
        <control shapeId="16397" r:id="rId42" name="CheckBox12"/>
      </mc:Fallback>
    </mc:AlternateContent>
    <mc:AlternateContent xmlns:mc="http://schemas.openxmlformats.org/markup-compatibility/2006">
      <mc:Choice Requires="x14">
        <control shapeId="16396" r:id="rId44" name="CheckBox11">
          <controlPr defaultSize="0" autoLine="0" linkedCell="$O$3" r:id="rId45">
            <anchor moveWithCells="1" sizeWithCells="1">
              <from>
                <xdr:col>11</xdr:col>
                <xdr:colOff>289560</xdr:colOff>
                <xdr:row>9</xdr:row>
                <xdr:rowOff>76200</xdr:rowOff>
              </from>
              <to>
                <xdr:col>11</xdr:col>
                <xdr:colOff>487680</xdr:colOff>
                <xdr:row>10</xdr:row>
                <xdr:rowOff>68580</xdr:rowOff>
              </to>
            </anchor>
          </controlPr>
        </control>
      </mc:Choice>
      <mc:Fallback>
        <control shapeId="16396" r:id="rId44" name="CheckBox11"/>
      </mc:Fallback>
    </mc:AlternateContent>
    <mc:AlternateContent xmlns:mc="http://schemas.openxmlformats.org/markup-compatibility/2006">
      <mc:Choice Requires="x14">
        <control shapeId="16395" r:id="rId46" name="CheckBox10">
          <controlPr defaultSize="0" autoLine="0" linkedCell="$O$2" r:id="rId47">
            <anchor moveWithCells="1" sizeWithCells="1">
              <from>
                <xdr:col>11</xdr:col>
                <xdr:colOff>289560</xdr:colOff>
                <xdr:row>8</xdr:row>
                <xdr:rowOff>76200</xdr:rowOff>
              </from>
              <to>
                <xdr:col>11</xdr:col>
                <xdr:colOff>487680</xdr:colOff>
                <xdr:row>9</xdr:row>
                <xdr:rowOff>68580</xdr:rowOff>
              </to>
            </anchor>
          </controlPr>
        </control>
      </mc:Choice>
      <mc:Fallback>
        <control shapeId="16395" r:id="rId46" name="CheckBox10"/>
      </mc:Fallback>
    </mc:AlternateContent>
    <mc:AlternateContent xmlns:mc="http://schemas.openxmlformats.org/markup-compatibility/2006">
      <mc:Choice Requires="x14">
        <control shapeId="16394" r:id="rId48" name="CheckBox9">
          <controlPr defaultSize="0" autoLine="0" linkedCell="$L$13" r:id="rId49">
            <anchor moveWithCells="1" sizeWithCells="1">
              <from>
                <xdr:col>11</xdr:col>
                <xdr:colOff>289560</xdr:colOff>
                <xdr:row>7</xdr:row>
                <xdr:rowOff>76200</xdr:rowOff>
              </from>
              <to>
                <xdr:col>11</xdr:col>
                <xdr:colOff>487680</xdr:colOff>
                <xdr:row>8</xdr:row>
                <xdr:rowOff>68580</xdr:rowOff>
              </to>
            </anchor>
          </controlPr>
        </control>
      </mc:Choice>
      <mc:Fallback>
        <control shapeId="16394" r:id="rId48" name="CheckBox9"/>
      </mc:Fallback>
    </mc:AlternateContent>
    <mc:AlternateContent xmlns:mc="http://schemas.openxmlformats.org/markup-compatibility/2006">
      <mc:Choice Requires="x14">
        <control shapeId="16393" r:id="rId50" name="CheckBox8">
          <controlPr defaultSize="0" autoLine="0" linkedCell="$L$11" r:id="rId51">
            <anchor moveWithCells="1" sizeWithCells="1">
              <from>
                <xdr:col>11</xdr:col>
                <xdr:colOff>289560</xdr:colOff>
                <xdr:row>5</xdr:row>
                <xdr:rowOff>76200</xdr:rowOff>
              </from>
              <to>
                <xdr:col>11</xdr:col>
                <xdr:colOff>487680</xdr:colOff>
                <xdr:row>6</xdr:row>
                <xdr:rowOff>68580</xdr:rowOff>
              </to>
            </anchor>
          </controlPr>
        </control>
      </mc:Choice>
      <mc:Fallback>
        <control shapeId="16393" r:id="rId50" name="CheckBox8"/>
      </mc:Fallback>
    </mc:AlternateContent>
    <mc:AlternateContent xmlns:mc="http://schemas.openxmlformats.org/markup-compatibility/2006">
      <mc:Choice Requires="x14">
        <control shapeId="16392" r:id="rId52" name="CheckBox7">
          <controlPr defaultSize="0" autoLine="0" linkedCell="$L$10" r:id="rId53">
            <anchor moveWithCells="1" sizeWithCells="1">
              <from>
                <xdr:col>11</xdr:col>
                <xdr:colOff>289560</xdr:colOff>
                <xdr:row>4</xdr:row>
                <xdr:rowOff>76200</xdr:rowOff>
              </from>
              <to>
                <xdr:col>11</xdr:col>
                <xdr:colOff>487680</xdr:colOff>
                <xdr:row>5</xdr:row>
                <xdr:rowOff>68580</xdr:rowOff>
              </to>
            </anchor>
          </controlPr>
        </control>
      </mc:Choice>
      <mc:Fallback>
        <control shapeId="16392" r:id="rId52" name="CheckBox7"/>
      </mc:Fallback>
    </mc:AlternateContent>
    <mc:AlternateContent xmlns:mc="http://schemas.openxmlformats.org/markup-compatibility/2006">
      <mc:Choice Requires="x14">
        <control shapeId="16391" r:id="rId54" name="CheckBox6">
          <controlPr defaultSize="0" autoLine="0" linkedCell="$L$9" r:id="rId55">
            <anchor moveWithCells="1" sizeWithCells="1">
              <from>
                <xdr:col>11</xdr:col>
                <xdr:colOff>289560</xdr:colOff>
                <xdr:row>3</xdr:row>
                <xdr:rowOff>76200</xdr:rowOff>
              </from>
              <to>
                <xdr:col>11</xdr:col>
                <xdr:colOff>487680</xdr:colOff>
                <xdr:row>4</xdr:row>
                <xdr:rowOff>68580</xdr:rowOff>
              </to>
            </anchor>
          </controlPr>
        </control>
      </mc:Choice>
      <mc:Fallback>
        <control shapeId="16391" r:id="rId54" name="CheckBox6"/>
      </mc:Fallback>
    </mc:AlternateContent>
    <mc:AlternateContent xmlns:mc="http://schemas.openxmlformats.org/markup-compatibility/2006">
      <mc:Choice Requires="x14">
        <control shapeId="16390" r:id="rId56" name="CheckBox5">
          <controlPr defaultSize="0" autoLine="0" linkedCell="$L$8" r:id="rId57">
            <anchor moveWithCells="1" sizeWithCells="1">
              <from>
                <xdr:col>10</xdr:col>
                <xdr:colOff>243840</xdr:colOff>
                <xdr:row>9</xdr:row>
                <xdr:rowOff>38100</xdr:rowOff>
              </from>
              <to>
                <xdr:col>11</xdr:col>
                <xdr:colOff>182880</xdr:colOff>
                <xdr:row>10</xdr:row>
                <xdr:rowOff>30480</xdr:rowOff>
              </to>
            </anchor>
          </controlPr>
        </control>
      </mc:Choice>
      <mc:Fallback>
        <control shapeId="16390" r:id="rId56" name="CheckBox5"/>
      </mc:Fallback>
    </mc:AlternateContent>
    <mc:AlternateContent xmlns:mc="http://schemas.openxmlformats.org/markup-compatibility/2006">
      <mc:Choice Requires="x14">
        <control shapeId="16389" r:id="rId58" name="CheckBox4">
          <controlPr defaultSize="0" autoLine="0" linkedCell="$L$7" r:id="rId59">
            <anchor moveWithCells="1" sizeWithCells="1">
              <from>
                <xdr:col>10</xdr:col>
                <xdr:colOff>243840</xdr:colOff>
                <xdr:row>8</xdr:row>
                <xdr:rowOff>45720</xdr:rowOff>
              </from>
              <to>
                <xdr:col>11</xdr:col>
                <xdr:colOff>182880</xdr:colOff>
                <xdr:row>9</xdr:row>
                <xdr:rowOff>38100</xdr:rowOff>
              </to>
            </anchor>
          </controlPr>
        </control>
      </mc:Choice>
      <mc:Fallback>
        <control shapeId="16389" r:id="rId58" name="CheckBox4"/>
      </mc:Fallback>
    </mc:AlternateContent>
    <mc:AlternateContent xmlns:mc="http://schemas.openxmlformats.org/markup-compatibility/2006">
      <mc:Choice Requires="x14">
        <control shapeId="16388" r:id="rId60" name="CheckBox3">
          <controlPr defaultSize="0" autoLine="0" linkedCell="$L$6" r:id="rId53">
            <anchor moveWithCells="1" sizeWithCells="1">
              <from>
                <xdr:col>10</xdr:col>
                <xdr:colOff>243840</xdr:colOff>
                <xdr:row>7</xdr:row>
                <xdr:rowOff>45720</xdr:rowOff>
              </from>
              <to>
                <xdr:col>11</xdr:col>
                <xdr:colOff>182880</xdr:colOff>
                <xdr:row>8</xdr:row>
                <xdr:rowOff>38100</xdr:rowOff>
              </to>
            </anchor>
          </controlPr>
        </control>
      </mc:Choice>
      <mc:Fallback>
        <control shapeId="16388" r:id="rId60" name="CheckBox3"/>
      </mc:Fallback>
    </mc:AlternateContent>
    <mc:AlternateContent xmlns:mc="http://schemas.openxmlformats.org/markup-compatibility/2006">
      <mc:Choice Requires="x14">
        <control shapeId="16387" r:id="rId61" name="CheckBox2">
          <controlPr defaultSize="0" autoLine="0" linkedCell="$L$3" r:id="rId62">
            <anchor moveWithCells="1" sizeWithCells="1">
              <from>
                <xdr:col>10</xdr:col>
                <xdr:colOff>243840</xdr:colOff>
                <xdr:row>4</xdr:row>
                <xdr:rowOff>45720</xdr:rowOff>
              </from>
              <to>
                <xdr:col>11</xdr:col>
                <xdr:colOff>182880</xdr:colOff>
                <xdr:row>5</xdr:row>
                <xdr:rowOff>38100</xdr:rowOff>
              </to>
            </anchor>
          </controlPr>
        </control>
      </mc:Choice>
      <mc:Fallback>
        <control shapeId="16387" r:id="rId61" name="CheckBox2"/>
      </mc:Fallback>
    </mc:AlternateContent>
    <mc:AlternateContent xmlns:mc="http://schemas.openxmlformats.org/markup-compatibility/2006">
      <mc:Choice Requires="x14">
        <control shapeId="16386" r:id="rId63" name="CheckBox1">
          <controlPr defaultSize="0" autoLine="0" linkedCell="$L$2" r:id="rId64">
            <anchor moveWithCells="1" sizeWithCells="1">
              <from>
                <xdr:col>10</xdr:col>
                <xdr:colOff>243840</xdr:colOff>
                <xdr:row>3</xdr:row>
                <xdr:rowOff>45720</xdr:rowOff>
              </from>
              <to>
                <xdr:col>11</xdr:col>
                <xdr:colOff>182880</xdr:colOff>
                <xdr:row>4</xdr:row>
                <xdr:rowOff>38100</xdr:rowOff>
              </to>
            </anchor>
          </controlPr>
        </control>
      </mc:Choice>
      <mc:Fallback>
        <control shapeId="16386" r:id="rId63" name="CheckBox1"/>
      </mc:Fallback>
    </mc:AlternateContent>
  </control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109A5-1A1D-4F2F-B22A-E018234E4536}">
  <sheetPr codeName="CHP_Win">
    <pageSetUpPr fitToPage="1"/>
  </sheetPr>
  <dimension ref="A1:U81"/>
  <sheetViews>
    <sheetView showRowColHeaders="0" zoomScale="81" zoomScaleNormal="81" workbookViewId="0">
      <selection sqref="A1:P1"/>
    </sheetView>
  </sheetViews>
  <sheetFormatPr defaultColWidth="0" defaultRowHeight="13.35" customHeight="1" zeroHeight="1"/>
  <cols>
    <col min="1" max="1" width="5.77734375" customWidth="1"/>
    <col min="2" max="2" width="11.21875" customWidth="1"/>
    <col min="3" max="3" width="12.77734375" customWidth="1"/>
    <col min="4" max="4" width="11.44140625" customWidth="1"/>
    <col min="5" max="8" width="9.77734375" customWidth="1"/>
    <col min="9" max="9" width="13.33203125" customWidth="1"/>
    <col min="10" max="10" width="9.77734375" customWidth="1"/>
    <col min="11" max="11" width="13.33203125" customWidth="1"/>
    <col min="12" max="12" width="9.77734375" customWidth="1"/>
    <col min="13" max="13" width="13.33203125" customWidth="1"/>
    <col min="14" max="14" width="9.77734375" customWidth="1"/>
    <col min="15" max="15" width="30.77734375" customWidth="1"/>
    <col min="16" max="16" width="1.88671875" customWidth="1"/>
    <col min="17" max="17" width="2" customWidth="1"/>
  </cols>
  <sheetData>
    <row r="1" spans="1:21" ht="27.75" customHeight="1">
      <c r="A1" s="1219" t="str">
        <f>Language!C873&amp;'Análise de Emissões'!B188</f>
        <v>RETScreen Ferram. - Projeto produção de Eletricidade</v>
      </c>
      <c r="B1" s="1219"/>
      <c r="C1" s="1219"/>
      <c r="D1" s="1219"/>
      <c r="E1" s="1219"/>
      <c r="F1" s="1219"/>
      <c r="G1" s="1219"/>
      <c r="H1" s="1219"/>
      <c r="I1" s="1219"/>
      <c r="J1" s="1219"/>
      <c r="K1" s="1219"/>
      <c r="L1" s="1219"/>
      <c r="M1" s="1219"/>
      <c r="N1" s="1219"/>
      <c r="O1" s="1219"/>
      <c r="P1" s="1219"/>
      <c r="Q1" s="1"/>
      <c r="R1" s="319"/>
      <c r="S1" s="319"/>
      <c r="T1" s="319"/>
      <c r="U1">
        <v>112002</v>
      </c>
    </row>
    <row r="2" spans="1:21" ht="13.2">
      <c r="A2" s="1203" t="str">
        <f>Language!C2093</f>
        <v>Características da janela</v>
      </c>
      <c r="B2" s="1204"/>
      <c r="C2" s="1204"/>
      <c r="D2" s="1204"/>
      <c r="E2" s="147"/>
      <c r="F2" s="147"/>
      <c r="G2" s="147"/>
      <c r="H2" s="147"/>
      <c r="I2" s="147"/>
      <c r="J2" s="147"/>
      <c r="K2" s="147"/>
      <c r="L2" s="147"/>
      <c r="M2" s="147"/>
      <c r="N2" s="147"/>
      <c r="O2" s="147"/>
      <c r="P2" s="148"/>
      <c r="Q2" s="1"/>
      <c r="R2" s="319"/>
      <c r="S2" s="319"/>
      <c r="T2" s="319"/>
      <c r="U2">
        <v>112002</v>
      </c>
    </row>
    <row r="3" spans="1:21" ht="13.2">
      <c r="A3" s="18"/>
      <c r="B3" s="512"/>
      <c r="C3" s="512"/>
      <c r="D3" s="512"/>
      <c r="E3" s="512"/>
      <c r="F3" s="512"/>
      <c r="G3" s="512"/>
      <c r="H3" s="512"/>
      <c r="I3" s="512"/>
      <c r="J3" s="512"/>
      <c r="K3" s="512"/>
      <c r="L3" s="512"/>
      <c r="M3" s="512"/>
      <c r="N3" s="512"/>
      <c r="O3" s="512"/>
      <c r="P3" s="513"/>
      <c r="Q3" s="335"/>
      <c r="R3" s="319"/>
      <c r="S3" s="319"/>
      <c r="T3" s="319"/>
      <c r="U3">
        <v>112002</v>
      </c>
    </row>
    <row r="4" spans="1:21" ht="13.2">
      <c r="A4" s="1170" t="str">
        <f>Language!C1498</f>
        <v>Caso de referência</v>
      </c>
      <c r="B4" s="1171"/>
      <c r="C4" s="1171"/>
      <c r="D4" s="1171"/>
      <c r="E4" s="512"/>
      <c r="F4" s="512"/>
      <c r="G4" s="512"/>
      <c r="H4" s="512"/>
      <c r="I4" s="512"/>
      <c r="J4" s="512"/>
      <c r="K4" s="512"/>
      <c r="L4" s="512"/>
      <c r="M4" s="512"/>
      <c r="N4" s="8"/>
      <c r="O4" s="786" t="str">
        <f>Language!C61</f>
        <v>Ver banco de dados de produtos</v>
      </c>
      <c r="P4" s="513"/>
      <c r="Q4" s="335"/>
      <c r="R4" s="319"/>
      <c r="S4" s="319"/>
      <c r="T4" s="319"/>
      <c r="U4">
        <v>112002</v>
      </c>
    </row>
    <row r="5" spans="1:21" ht="12.75" customHeight="1">
      <c r="A5" s="18"/>
      <c r="B5" s="512"/>
      <c r="C5" s="512"/>
      <c r="D5" s="512"/>
      <c r="E5" s="512"/>
      <c r="F5" s="512"/>
      <c r="G5" s="512"/>
      <c r="H5" s="512"/>
      <c r="I5" s="1343" t="str">
        <f>Language!C1524</f>
        <v>Centro da vidraçaria</v>
      </c>
      <c r="J5" s="1343"/>
      <c r="K5" s="1343" t="str">
        <f>Language!C1929</f>
        <v>Janela nominal</v>
      </c>
      <c r="L5" s="1343"/>
      <c r="M5" s="1343" t="str">
        <f>Language!C1462</f>
        <v>Ajustado</v>
      </c>
      <c r="N5" s="1343"/>
      <c r="O5" s="512"/>
      <c r="P5" s="513"/>
      <c r="Q5" s="335"/>
      <c r="R5" s="319"/>
      <c r="S5" s="319">
        <f>IF(D7=$D$76,25.4,1)</f>
        <v>1</v>
      </c>
      <c r="T5" s="319"/>
      <c r="U5">
        <v>112002</v>
      </c>
    </row>
    <row r="6" spans="1:21" ht="25.5" customHeight="1">
      <c r="A6" s="18"/>
      <c r="B6" s="910" t="str">
        <f>Language!C1861</f>
        <v>Orientação</v>
      </c>
      <c r="C6" s="222" t="str">
        <f>Language!C200</f>
        <v>Tipo</v>
      </c>
      <c r="D6" s="35" t="str">
        <f>Language!C2080</f>
        <v>Largura</v>
      </c>
      <c r="E6" s="222" t="str">
        <f>Language!C1727</f>
        <v xml:space="preserve">Altura </v>
      </c>
      <c r="F6" s="899" t="str">
        <f>Language!C502</f>
        <v>Custo unitário</v>
      </c>
      <c r="G6" s="222" t="str">
        <f>Language!C1839</f>
        <v>Número</v>
      </c>
      <c r="H6" s="222" t="str">
        <f>Language!C809</f>
        <v>Área</v>
      </c>
      <c r="I6" s="20" t="str">
        <f>Language!C2056</f>
        <v>Ucv</v>
      </c>
      <c r="J6" s="896" t="str">
        <f>Language!C1968</f>
        <v>CARScv</v>
      </c>
      <c r="K6" s="20" t="str">
        <f>Language!C2055</f>
        <v>Valor - U</v>
      </c>
      <c r="L6" s="896" t="str">
        <f>Language!C1967</f>
        <v>CARS</v>
      </c>
      <c r="M6" s="20" t="str">
        <f>K6</f>
        <v>Valor - U</v>
      </c>
      <c r="N6" s="896" t="str">
        <f>L6</f>
        <v>CARS</v>
      </c>
      <c r="O6" s="135"/>
      <c r="P6" s="513"/>
      <c r="Q6" s="335"/>
      <c r="R6" s="319"/>
      <c r="S6" s="319">
        <f>IF(I7=F75,1,0.176110183682306)</f>
        <v>1</v>
      </c>
      <c r="T6" s="319"/>
      <c r="U6">
        <v>112002</v>
      </c>
    </row>
    <row r="7" spans="1:21" ht="12.75" customHeight="1">
      <c r="A7" s="18"/>
      <c r="B7" s="514"/>
      <c r="C7" s="365"/>
      <c r="D7" s="308" t="s">
        <v>5370</v>
      </c>
      <c r="E7" s="196" t="str">
        <f>D7</f>
        <v>mm</v>
      </c>
      <c r="F7" s="515" t="str">
        <f>D69</f>
        <v>€</v>
      </c>
      <c r="G7" s="365"/>
      <c r="H7" s="515" t="str">
        <f>IF(D75=D7,E75,E76)</f>
        <v>m²</v>
      </c>
      <c r="I7" s="790" t="s">
        <v>4938</v>
      </c>
      <c r="J7" s="515"/>
      <c r="K7" s="20" t="str">
        <f>I7</f>
        <v>(W/m²)/°C</v>
      </c>
      <c r="L7" s="515"/>
      <c r="M7" s="20" t="str">
        <f>I7</f>
        <v>(W/m²)/°C</v>
      </c>
      <c r="N7" s="515"/>
      <c r="O7" s="515" t="str">
        <f>Language!C461</f>
        <v>Descrição</v>
      </c>
      <c r="P7" s="513"/>
      <c r="Q7" s="335"/>
      <c r="R7" s="319"/>
      <c r="S7" s="319"/>
      <c r="T7" s="319"/>
      <c r="U7">
        <v>112002</v>
      </c>
    </row>
    <row r="8" spans="1:21" ht="13.2">
      <c r="A8" s="18">
        <v>1</v>
      </c>
      <c r="B8" s="518"/>
      <c r="C8" s="519"/>
      <c r="D8" s="520"/>
      <c r="E8" s="520"/>
      <c r="F8" s="521"/>
      <c r="G8" s="519"/>
      <c r="H8" s="732" t="str">
        <f t="shared" ref="H8:H32" si="0">IF(OR(ISERROR(D8*E8*G8),D8*E8*G8=0),"",D8*E8*G8*IF($D$7=$D$75,1/10^6,1/144))</f>
        <v/>
      </c>
      <c r="I8" s="522"/>
      <c r="J8" s="522"/>
      <c r="K8" s="522"/>
      <c r="L8" s="522"/>
      <c r="M8" s="516" t="str">
        <f t="shared" ref="M8:M32" si="1">IF(AND(COUNT(D8:E8,I8:L8)=6,C8&lt;&gt;""),u_adj(D8*$S$5,E8*$S$5,J8,L8,I8/$S$6,K8/$S$6,MATCH(C8,$C$75:$C$78,0)-1)*$S$6,"")</f>
        <v/>
      </c>
      <c r="N8" s="516" t="str">
        <f t="shared" ref="N8:N32" si="2">IF(AND(COUNT(D8:E8,I8:L8)=6,C8&lt;&gt;""),shgc_adj(D8*$S$5,E8*$S$5,J8,L8,MATCH(C8,$C$75:$C$78,0)-1),"")</f>
        <v/>
      </c>
      <c r="O8" s="523"/>
      <c r="P8" s="513"/>
      <c r="Q8" s="335"/>
      <c r="R8" s="319">
        <f t="shared" ref="R8:R32" si="3">IF(M8="",0,M8*H8)</f>
        <v>0</v>
      </c>
      <c r="S8" s="319">
        <f t="shared" ref="S8:S32" si="4">IF(N8="",0,H8*N8)</f>
        <v>0</v>
      </c>
      <c r="T8" s="319">
        <f t="shared" ref="T8:T32" si="5">G8*F8</f>
        <v>0</v>
      </c>
      <c r="U8">
        <v>112002</v>
      </c>
    </row>
    <row r="9" spans="1:21" ht="13.2">
      <c r="A9" s="18">
        <v>2</v>
      </c>
      <c r="B9" s="519"/>
      <c r="C9" s="519"/>
      <c r="D9" s="520"/>
      <c r="E9" s="520"/>
      <c r="F9" s="521"/>
      <c r="G9" s="519"/>
      <c r="H9" s="732" t="str">
        <f t="shared" si="0"/>
        <v/>
      </c>
      <c r="I9" s="522"/>
      <c r="J9" s="522"/>
      <c r="K9" s="522"/>
      <c r="L9" s="522"/>
      <c r="M9" s="516" t="str">
        <f t="shared" si="1"/>
        <v/>
      </c>
      <c r="N9" s="516" t="str">
        <f t="shared" si="2"/>
        <v/>
      </c>
      <c r="O9" s="523"/>
      <c r="P9" s="513"/>
      <c r="Q9" s="335"/>
      <c r="R9" s="319">
        <f t="shared" si="3"/>
        <v>0</v>
      </c>
      <c r="S9" s="319">
        <f t="shared" si="4"/>
        <v>0</v>
      </c>
      <c r="T9" s="319">
        <f t="shared" si="5"/>
        <v>0</v>
      </c>
      <c r="U9">
        <v>112002</v>
      </c>
    </row>
    <row r="10" spans="1:21" ht="13.2">
      <c r="A10" s="18">
        <v>3</v>
      </c>
      <c r="B10" s="519"/>
      <c r="C10" s="519"/>
      <c r="D10" s="520"/>
      <c r="E10" s="520"/>
      <c r="F10" s="521"/>
      <c r="G10" s="519"/>
      <c r="H10" s="732" t="str">
        <f t="shared" si="0"/>
        <v/>
      </c>
      <c r="I10" s="522"/>
      <c r="J10" s="522"/>
      <c r="K10" s="522"/>
      <c r="L10" s="522"/>
      <c r="M10" s="516" t="str">
        <f t="shared" si="1"/>
        <v/>
      </c>
      <c r="N10" s="516" t="str">
        <f t="shared" si="2"/>
        <v/>
      </c>
      <c r="O10" s="523"/>
      <c r="P10" s="513"/>
      <c r="Q10" s="335"/>
      <c r="R10" s="319">
        <f t="shared" si="3"/>
        <v>0</v>
      </c>
      <c r="S10" s="319">
        <f t="shared" si="4"/>
        <v>0</v>
      </c>
      <c r="T10" s="319">
        <f t="shared" si="5"/>
        <v>0</v>
      </c>
      <c r="U10">
        <v>112002</v>
      </c>
    </row>
    <row r="11" spans="1:21" ht="13.2">
      <c r="A11" s="18">
        <v>4</v>
      </c>
      <c r="B11" s="519"/>
      <c r="C11" s="519"/>
      <c r="D11" s="520"/>
      <c r="E11" s="520"/>
      <c r="F11" s="521"/>
      <c r="G11" s="519"/>
      <c r="H11" s="732" t="str">
        <f t="shared" si="0"/>
        <v/>
      </c>
      <c r="I11" s="522"/>
      <c r="J11" s="522"/>
      <c r="K11" s="522"/>
      <c r="L11" s="522"/>
      <c r="M11" s="516" t="str">
        <f t="shared" si="1"/>
        <v/>
      </c>
      <c r="N11" s="516" t="str">
        <f t="shared" si="2"/>
        <v/>
      </c>
      <c r="O11" s="523"/>
      <c r="P11" s="513"/>
      <c r="Q11" s="335"/>
      <c r="R11" s="319">
        <f t="shared" si="3"/>
        <v>0</v>
      </c>
      <c r="S11" s="319">
        <f t="shared" si="4"/>
        <v>0</v>
      </c>
      <c r="T11" s="319">
        <f t="shared" si="5"/>
        <v>0</v>
      </c>
      <c r="U11">
        <v>112002</v>
      </c>
    </row>
    <row r="12" spans="1:21" ht="13.2">
      <c r="A12" s="18">
        <v>5</v>
      </c>
      <c r="B12" s="519"/>
      <c r="C12" s="519"/>
      <c r="D12" s="520"/>
      <c r="E12" s="520"/>
      <c r="F12" s="521"/>
      <c r="G12" s="519"/>
      <c r="H12" s="732" t="str">
        <f t="shared" si="0"/>
        <v/>
      </c>
      <c r="I12" s="522"/>
      <c r="J12" s="522"/>
      <c r="K12" s="522"/>
      <c r="L12" s="522"/>
      <c r="M12" s="516" t="str">
        <f t="shared" si="1"/>
        <v/>
      </c>
      <c r="N12" s="516" t="str">
        <f t="shared" si="2"/>
        <v/>
      </c>
      <c r="O12" s="523"/>
      <c r="P12" s="513"/>
      <c r="Q12" s="335"/>
      <c r="R12" s="319">
        <f t="shared" si="3"/>
        <v>0</v>
      </c>
      <c r="S12" s="319">
        <f t="shared" si="4"/>
        <v>0</v>
      </c>
      <c r="T12" s="319">
        <f t="shared" si="5"/>
        <v>0</v>
      </c>
      <c r="U12">
        <v>112002</v>
      </c>
    </row>
    <row r="13" spans="1:21" ht="13.2">
      <c r="A13" s="18">
        <v>6</v>
      </c>
      <c r="B13" s="519"/>
      <c r="C13" s="519"/>
      <c r="D13" s="520"/>
      <c r="E13" s="520"/>
      <c r="F13" s="521"/>
      <c r="G13" s="519"/>
      <c r="H13" s="732" t="str">
        <f t="shared" si="0"/>
        <v/>
      </c>
      <c r="I13" s="522"/>
      <c r="J13" s="522"/>
      <c r="K13" s="522"/>
      <c r="L13" s="522"/>
      <c r="M13" s="516" t="str">
        <f t="shared" si="1"/>
        <v/>
      </c>
      <c r="N13" s="516" t="str">
        <f t="shared" si="2"/>
        <v/>
      </c>
      <c r="O13" s="523"/>
      <c r="P13" s="513"/>
      <c r="Q13" s="335"/>
      <c r="R13" s="319">
        <f t="shared" si="3"/>
        <v>0</v>
      </c>
      <c r="S13" s="319">
        <f t="shared" si="4"/>
        <v>0</v>
      </c>
      <c r="T13" s="319">
        <f t="shared" si="5"/>
        <v>0</v>
      </c>
      <c r="U13">
        <v>112002</v>
      </c>
    </row>
    <row r="14" spans="1:21" ht="13.2">
      <c r="A14" s="18">
        <v>7</v>
      </c>
      <c r="B14" s="519"/>
      <c r="C14" s="519"/>
      <c r="D14" s="520"/>
      <c r="E14" s="520"/>
      <c r="F14" s="521"/>
      <c r="G14" s="519"/>
      <c r="H14" s="732" t="str">
        <f t="shared" si="0"/>
        <v/>
      </c>
      <c r="I14" s="522"/>
      <c r="J14" s="522"/>
      <c r="K14" s="522"/>
      <c r="L14" s="522"/>
      <c r="M14" s="516" t="str">
        <f t="shared" si="1"/>
        <v/>
      </c>
      <c r="N14" s="516" t="str">
        <f t="shared" si="2"/>
        <v/>
      </c>
      <c r="O14" s="523"/>
      <c r="P14" s="513"/>
      <c r="Q14" s="335"/>
      <c r="R14" s="319">
        <f t="shared" si="3"/>
        <v>0</v>
      </c>
      <c r="S14" s="319">
        <f t="shared" si="4"/>
        <v>0</v>
      </c>
      <c r="T14" s="319">
        <f t="shared" si="5"/>
        <v>0</v>
      </c>
      <c r="U14">
        <v>112002</v>
      </c>
    </row>
    <row r="15" spans="1:21" ht="13.2">
      <c r="A15" s="18">
        <v>8</v>
      </c>
      <c r="B15" s="519"/>
      <c r="C15" s="519"/>
      <c r="D15" s="520"/>
      <c r="E15" s="520"/>
      <c r="F15" s="521"/>
      <c r="G15" s="519"/>
      <c r="H15" s="732" t="str">
        <f t="shared" si="0"/>
        <v/>
      </c>
      <c r="I15" s="522"/>
      <c r="J15" s="522"/>
      <c r="K15" s="522"/>
      <c r="L15" s="522"/>
      <c r="M15" s="516" t="str">
        <f t="shared" si="1"/>
        <v/>
      </c>
      <c r="N15" s="516" t="str">
        <f t="shared" si="2"/>
        <v/>
      </c>
      <c r="O15" s="523"/>
      <c r="P15" s="513"/>
      <c r="Q15" s="335"/>
      <c r="R15" s="319">
        <f t="shared" si="3"/>
        <v>0</v>
      </c>
      <c r="S15" s="319">
        <f t="shared" si="4"/>
        <v>0</v>
      </c>
      <c r="T15" s="319">
        <f t="shared" si="5"/>
        <v>0</v>
      </c>
      <c r="U15">
        <v>112002</v>
      </c>
    </row>
    <row r="16" spans="1:21" ht="13.2">
      <c r="A16" s="18">
        <v>9</v>
      </c>
      <c r="B16" s="519"/>
      <c r="C16" s="519"/>
      <c r="D16" s="520"/>
      <c r="E16" s="520"/>
      <c r="F16" s="521"/>
      <c r="G16" s="519"/>
      <c r="H16" s="732" t="str">
        <f t="shared" si="0"/>
        <v/>
      </c>
      <c r="I16" s="522"/>
      <c r="J16" s="522"/>
      <c r="K16" s="522"/>
      <c r="L16" s="522"/>
      <c r="M16" s="516" t="str">
        <f t="shared" si="1"/>
        <v/>
      </c>
      <c r="N16" s="516" t="str">
        <f t="shared" si="2"/>
        <v/>
      </c>
      <c r="O16" s="523"/>
      <c r="P16" s="513"/>
      <c r="Q16" s="335"/>
      <c r="R16" s="319">
        <f t="shared" si="3"/>
        <v>0</v>
      </c>
      <c r="S16" s="319">
        <f t="shared" si="4"/>
        <v>0</v>
      </c>
      <c r="T16" s="319">
        <f t="shared" si="5"/>
        <v>0</v>
      </c>
      <c r="U16">
        <v>112002</v>
      </c>
    </row>
    <row r="17" spans="1:21" ht="13.2">
      <c r="A17" s="18">
        <v>10</v>
      </c>
      <c r="B17" s="519"/>
      <c r="C17" s="519"/>
      <c r="D17" s="520"/>
      <c r="E17" s="520"/>
      <c r="F17" s="521"/>
      <c r="G17" s="519"/>
      <c r="H17" s="732" t="str">
        <f t="shared" si="0"/>
        <v/>
      </c>
      <c r="I17" s="522"/>
      <c r="J17" s="522"/>
      <c r="K17" s="522"/>
      <c r="L17" s="522"/>
      <c r="M17" s="516" t="str">
        <f t="shared" si="1"/>
        <v/>
      </c>
      <c r="N17" s="516" t="str">
        <f t="shared" si="2"/>
        <v/>
      </c>
      <c r="O17" s="523"/>
      <c r="P17" s="513"/>
      <c r="Q17" s="335"/>
      <c r="R17" s="319">
        <f t="shared" si="3"/>
        <v>0</v>
      </c>
      <c r="S17" s="319">
        <f t="shared" si="4"/>
        <v>0</v>
      </c>
      <c r="T17" s="319">
        <f t="shared" si="5"/>
        <v>0</v>
      </c>
      <c r="U17">
        <v>112002</v>
      </c>
    </row>
    <row r="18" spans="1:21" ht="13.2">
      <c r="A18" s="18">
        <v>11</v>
      </c>
      <c r="B18" s="519"/>
      <c r="C18" s="519"/>
      <c r="D18" s="520"/>
      <c r="E18" s="520"/>
      <c r="F18" s="521"/>
      <c r="G18" s="519"/>
      <c r="H18" s="732" t="str">
        <f t="shared" si="0"/>
        <v/>
      </c>
      <c r="I18" s="522"/>
      <c r="J18" s="522"/>
      <c r="K18" s="522"/>
      <c r="L18" s="522"/>
      <c r="M18" s="516" t="str">
        <f t="shared" si="1"/>
        <v/>
      </c>
      <c r="N18" s="516" t="str">
        <f t="shared" si="2"/>
        <v/>
      </c>
      <c r="O18" s="523"/>
      <c r="P18" s="513"/>
      <c r="Q18" s="335"/>
      <c r="R18" s="319">
        <f t="shared" si="3"/>
        <v>0</v>
      </c>
      <c r="S18" s="319">
        <f t="shared" si="4"/>
        <v>0</v>
      </c>
      <c r="T18" s="319">
        <f t="shared" si="5"/>
        <v>0</v>
      </c>
      <c r="U18">
        <v>112002</v>
      </c>
    </row>
    <row r="19" spans="1:21" ht="13.2">
      <c r="A19" s="18">
        <v>12</v>
      </c>
      <c r="B19" s="519"/>
      <c r="C19" s="519"/>
      <c r="D19" s="520"/>
      <c r="E19" s="520"/>
      <c r="F19" s="521"/>
      <c r="G19" s="519"/>
      <c r="H19" s="732" t="str">
        <f t="shared" si="0"/>
        <v/>
      </c>
      <c r="I19" s="522"/>
      <c r="J19" s="522"/>
      <c r="K19" s="522"/>
      <c r="L19" s="522"/>
      <c r="M19" s="516" t="str">
        <f t="shared" si="1"/>
        <v/>
      </c>
      <c r="N19" s="516" t="str">
        <f t="shared" si="2"/>
        <v/>
      </c>
      <c r="O19" s="523"/>
      <c r="P19" s="513"/>
      <c r="Q19" s="335"/>
      <c r="R19" s="319">
        <f t="shared" si="3"/>
        <v>0</v>
      </c>
      <c r="S19" s="319">
        <f t="shared" si="4"/>
        <v>0</v>
      </c>
      <c r="T19" s="319">
        <f t="shared" si="5"/>
        <v>0</v>
      </c>
      <c r="U19">
        <v>112002</v>
      </c>
    </row>
    <row r="20" spans="1:21" ht="13.2">
      <c r="A20" s="18">
        <v>13</v>
      </c>
      <c r="B20" s="519"/>
      <c r="C20" s="519"/>
      <c r="D20" s="520"/>
      <c r="E20" s="520"/>
      <c r="F20" s="521"/>
      <c r="G20" s="519"/>
      <c r="H20" s="732" t="str">
        <f t="shared" si="0"/>
        <v/>
      </c>
      <c r="I20" s="522"/>
      <c r="J20" s="522"/>
      <c r="K20" s="522"/>
      <c r="L20" s="522"/>
      <c r="M20" s="516" t="str">
        <f t="shared" si="1"/>
        <v/>
      </c>
      <c r="N20" s="516" t="str">
        <f t="shared" si="2"/>
        <v/>
      </c>
      <c r="O20" s="523"/>
      <c r="P20" s="513"/>
      <c r="Q20" s="335"/>
      <c r="R20" s="319">
        <f t="shared" si="3"/>
        <v>0</v>
      </c>
      <c r="S20" s="319">
        <f t="shared" si="4"/>
        <v>0</v>
      </c>
      <c r="T20" s="319">
        <f t="shared" si="5"/>
        <v>0</v>
      </c>
      <c r="U20">
        <v>112002</v>
      </c>
    </row>
    <row r="21" spans="1:21" ht="13.2">
      <c r="A21" s="18">
        <v>14</v>
      </c>
      <c r="B21" s="519"/>
      <c r="C21" s="519"/>
      <c r="D21" s="520"/>
      <c r="E21" s="520"/>
      <c r="F21" s="521"/>
      <c r="G21" s="519"/>
      <c r="H21" s="732" t="str">
        <f t="shared" si="0"/>
        <v/>
      </c>
      <c r="I21" s="522"/>
      <c r="J21" s="522"/>
      <c r="K21" s="522"/>
      <c r="L21" s="522"/>
      <c r="M21" s="516" t="str">
        <f t="shared" si="1"/>
        <v/>
      </c>
      <c r="N21" s="516" t="str">
        <f t="shared" si="2"/>
        <v/>
      </c>
      <c r="O21" s="523"/>
      <c r="P21" s="513"/>
      <c r="Q21" s="335"/>
      <c r="R21" s="319">
        <f t="shared" si="3"/>
        <v>0</v>
      </c>
      <c r="S21" s="319">
        <f t="shared" si="4"/>
        <v>0</v>
      </c>
      <c r="T21" s="319">
        <f t="shared" si="5"/>
        <v>0</v>
      </c>
      <c r="U21">
        <v>112002</v>
      </c>
    </row>
    <row r="22" spans="1:21" ht="13.2">
      <c r="A22" s="18">
        <v>15</v>
      </c>
      <c r="B22" s="519"/>
      <c r="C22" s="519"/>
      <c r="D22" s="520"/>
      <c r="E22" s="520"/>
      <c r="F22" s="521"/>
      <c r="G22" s="519"/>
      <c r="H22" s="732" t="str">
        <f t="shared" si="0"/>
        <v/>
      </c>
      <c r="I22" s="522"/>
      <c r="J22" s="522"/>
      <c r="K22" s="522"/>
      <c r="L22" s="522"/>
      <c r="M22" s="516" t="str">
        <f t="shared" si="1"/>
        <v/>
      </c>
      <c r="N22" s="516" t="str">
        <f t="shared" si="2"/>
        <v/>
      </c>
      <c r="O22" s="523"/>
      <c r="P22" s="513"/>
      <c r="Q22" s="335"/>
      <c r="R22" s="319">
        <f t="shared" si="3"/>
        <v>0</v>
      </c>
      <c r="S22" s="319">
        <f t="shared" si="4"/>
        <v>0</v>
      </c>
      <c r="T22" s="319">
        <f t="shared" si="5"/>
        <v>0</v>
      </c>
      <c r="U22">
        <v>112002</v>
      </c>
    </row>
    <row r="23" spans="1:21" ht="13.2">
      <c r="A23" s="18">
        <v>16</v>
      </c>
      <c r="B23" s="519"/>
      <c r="C23" s="519"/>
      <c r="D23" s="520"/>
      <c r="E23" s="520"/>
      <c r="F23" s="521"/>
      <c r="G23" s="519"/>
      <c r="H23" s="732" t="str">
        <f t="shared" si="0"/>
        <v/>
      </c>
      <c r="I23" s="522"/>
      <c r="J23" s="522"/>
      <c r="K23" s="522"/>
      <c r="L23" s="522"/>
      <c r="M23" s="516" t="str">
        <f t="shared" si="1"/>
        <v/>
      </c>
      <c r="N23" s="516" t="str">
        <f t="shared" si="2"/>
        <v/>
      </c>
      <c r="O23" s="523"/>
      <c r="P23" s="513"/>
      <c r="Q23" s="335"/>
      <c r="R23" s="319">
        <f t="shared" si="3"/>
        <v>0</v>
      </c>
      <c r="S23" s="319">
        <f t="shared" si="4"/>
        <v>0</v>
      </c>
      <c r="T23" s="319">
        <f t="shared" si="5"/>
        <v>0</v>
      </c>
      <c r="U23">
        <v>112002</v>
      </c>
    </row>
    <row r="24" spans="1:21" ht="13.2">
      <c r="A24" s="18">
        <v>17</v>
      </c>
      <c r="B24" s="519"/>
      <c r="C24" s="519"/>
      <c r="D24" s="520"/>
      <c r="E24" s="520"/>
      <c r="F24" s="521"/>
      <c r="G24" s="519"/>
      <c r="H24" s="732" t="str">
        <f t="shared" si="0"/>
        <v/>
      </c>
      <c r="I24" s="522"/>
      <c r="J24" s="522"/>
      <c r="K24" s="522"/>
      <c r="L24" s="522"/>
      <c r="M24" s="516" t="str">
        <f t="shared" si="1"/>
        <v/>
      </c>
      <c r="N24" s="516" t="str">
        <f t="shared" si="2"/>
        <v/>
      </c>
      <c r="O24" s="523"/>
      <c r="P24" s="513"/>
      <c r="Q24" s="335"/>
      <c r="R24" s="319">
        <f t="shared" si="3"/>
        <v>0</v>
      </c>
      <c r="S24" s="319">
        <f t="shared" si="4"/>
        <v>0</v>
      </c>
      <c r="T24" s="319">
        <f t="shared" si="5"/>
        <v>0</v>
      </c>
      <c r="U24">
        <v>112002</v>
      </c>
    </row>
    <row r="25" spans="1:21" ht="13.2">
      <c r="A25" s="18">
        <v>18</v>
      </c>
      <c r="B25" s="519"/>
      <c r="C25" s="519"/>
      <c r="D25" s="520"/>
      <c r="E25" s="520"/>
      <c r="F25" s="521"/>
      <c r="G25" s="519"/>
      <c r="H25" s="732" t="str">
        <f t="shared" si="0"/>
        <v/>
      </c>
      <c r="I25" s="522"/>
      <c r="J25" s="522"/>
      <c r="K25" s="522"/>
      <c r="L25" s="522"/>
      <c r="M25" s="516" t="str">
        <f t="shared" si="1"/>
        <v/>
      </c>
      <c r="N25" s="516" t="str">
        <f t="shared" si="2"/>
        <v/>
      </c>
      <c r="O25" s="523"/>
      <c r="P25" s="513"/>
      <c r="Q25" s="335"/>
      <c r="R25" s="319">
        <f t="shared" si="3"/>
        <v>0</v>
      </c>
      <c r="S25" s="319">
        <f t="shared" si="4"/>
        <v>0</v>
      </c>
      <c r="T25" s="319">
        <f t="shared" si="5"/>
        <v>0</v>
      </c>
      <c r="U25">
        <v>112002</v>
      </c>
    </row>
    <row r="26" spans="1:21" ht="13.2">
      <c r="A26" s="18">
        <v>19</v>
      </c>
      <c r="B26" s="519"/>
      <c r="C26" s="519"/>
      <c r="D26" s="520"/>
      <c r="E26" s="520"/>
      <c r="F26" s="521"/>
      <c r="G26" s="519"/>
      <c r="H26" s="732" t="str">
        <f t="shared" si="0"/>
        <v/>
      </c>
      <c r="I26" s="522"/>
      <c r="J26" s="522"/>
      <c r="K26" s="522"/>
      <c r="L26" s="522"/>
      <c r="M26" s="516" t="str">
        <f t="shared" si="1"/>
        <v/>
      </c>
      <c r="N26" s="516" t="str">
        <f t="shared" si="2"/>
        <v/>
      </c>
      <c r="O26" s="523"/>
      <c r="P26" s="513"/>
      <c r="Q26" s="335"/>
      <c r="R26" s="319">
        <f t="shared" si="3"/>
        <v>0</v>
      </c>
      <c r="S26" s="319">
        <f t="shared" si="4"/>
        <v>0</v>
      </c>
      <c r="T26" s="319">
        <f t="shared" si="5"/>
        <v>0</v>
      </c>
      <c r="U26">
        <v>112002</v>
      </c>
    </row>
    <row r="27" spans="1:21" ht="13.2">
      <c r="A27" s="18">
        <v>20</v>
      </c>
      <c r="B27" s="519"/>
      <c r="C27" s="519"/>
      <c r="D27" s="520"/>
      <c r="E27" s="520"/>
      <c r="F27" s="521"/>
      <c r="G27" s="519"/>
      <c r="H27" s="732" t="str">
        <f t="shared" si="0"/>
        <v/>
      </c>
      <c r="I27" s="522"/>
      <c r="J27" s="522"/>
      <c r="K27" s="522"/>
      <c r="L27" s="522"/>
      <c r="M27" s="516" t="str">
        <f t="shared" si="1"/>
        <v/>
      </c>
      <c r="N27" s="516" t="str">
        <f t="shared" si="2"/>
        <v/>
      </c>
      <c r="O27" s="523"/>
      <c r="P27" s="513"/>
      <c r="Q27" s="335"/>
      <c r="R27" s="319">
        <f t="shared" si="3"/>
        <v>0</v>
      </c>
      <c r="S27" s="319">
        <f t="shared" si="4"/>
        <v>0</v>
      </c>
      <c r="T27" s="319">
        <f t="shared" si="5"/>
        <v>0</v>
      </c>
      <c r="U27">
        <v>112002</v>
      </c>
    </row>
    <row r="28" spans="1:21" ht="13.2">
      <c r="A28" s="18">
        <v>21</v>
      </c>
      <c r="B28" s="519"/>
      <c r="C28" s="519"/>
      <c r="D28" s="520"/>
      <c r="E28" s="520"/>
      <c r="F28" s="521"/>
      <c r="G28" s="519"/>
      <c r="H28" s="732" t="str">
        <f t="shared" si="0"/>
        <v/>
      </c>
      <c r="I28" s="522"/>
      <c r="J28" s="522"/>
      <c r="K28" s="522"/>
      <c r="L28" s="522"/>
      <c r="M28" s="516" t="str">
        <f t="shared" si="1"/>
        <v/>
      </c>
      <c r="N28" s="516" t="str">
        <f t="shared" si="2"/>
        <v/>
      </c>
      <c r="O28" s="523"/>
      <c r="P28" s="513"/>
      <c r="Q28" s="335"/>
      <c r="R28" s="319">
        <f t="shared" si="3"/>
        <v>0</v>
      </c>
      <c r="S28" s="319">
        <f t="shared" si="4"/>
        <v>0</v>
      </c>
      <c r="T28" s="319">
        <f t="shared" si="5"/>
        <v>0</v>
      </c>
      <c r="U28">
        <v>112002</v>
      </c>
    </row>
    <row r="29" spans="1:21" ht="13.2">
      <c r="A29" s="18">
        <v>22</v>
      </c>
      <c r="B29" s="519"/>
      <c r="C29" s="519"/>
      <c r="D29" s="520"/>
      <c r="E29" s="520"/>
      <c r="F29" s="521"/>
      <c r="G29" s="519"/>
      <c r="H29" s="732" t="str">
        <f t="shared" si="0"/>
        <v/>
      </c>
      <c r="I29" s="522"/>
      <c r="J29" s="522"/>
      <c r="K29" s="522"/>
      <c r="L29" s="522"/>
      <c r="M29" s="516" t="str">
        <f t="shared" si="1"/>
        <v/>
      </c>
      <c r="N29" s="516" t="str">
        <f t="shared" si="2"/>
        <v/>
      </c>
      <c r="O29" s="523"/>
      <c r="P29" s="513"/>
      <c r="Q29" s="335"/>
      <c r="R29" s="319">
        <f t="shared" si="3"/>
        <v>0</v>
      </c>
      <c r="S29" s="319">
        <f t="shared" si="4"/>
        <v>0</v>
      </c>
      <c r="T29" s="319">
        <f t="shared" si="5"/>
        <v>0</v>
      </c>
      <c r="U29">
        <v>112002</v>
      </c>
    </row>
    <row r="30" spans="1:21" ht="13.2">
      <c r="A30" s="18">
        <v>23</v>
      </c>
      <c r="B30" s="519"/>
      <c r="C30" s="519"/>
      <c r="D30" s="520"/>
      <c r="E30" s="520"/>
      <c r="F30" s="521"/>
      <c r="G30" s="519"/>
      <c r="H30" s="732" t="str">
        <f t="shared" si="0"/>
        <v/>
      </c>
      <c r="I30" s="522"/>
      <c r="J30" s="522"/>
      <c r="K30" s="522"/>
      <c r="L30" s="522"/>
      <c r="M30" s="516" t="str">
        <f t="shared" si="1"/>
        <v/>
      </c>
      <c r="N30" s="516" t="str">
        <f t="shared" si="2"/>
        <v/>
      </c>
      <c r="O30" s="523"/>
      <c r="P30" s="513"/>
      <c r="Q30" s="335"/>
      <c r="R30" s="319">
        <f t="shared" si="3"/>
        <v>0</v>
      </c>
      <c r="S30" s="319">
        <f t="shared" si="4"/>
        <v>0</v>
      </c>
      <c r="T30" s="319">
        <f t="shared" si="5"/>
        <v>0</v>
      </c>
      <c r="U30">
        <v>112002</v>
      </c>
    </row>
    <row r="31" spans="1:21" ht="13.2">
      <c r="A31" s="18">
        <v>24</v>
      </c>
      <c r="B31" s="519"/>
      <c r="C31" s="519"/>
      <c r="D31" s="520"/>
      <c r="E31" s="520"/>
      <c r="F31" s="521"/>
      <c r="G31" s="519"/>
      <c r="H31" s="732" t="str">
        <f t="shared" si="0"/>
        <v/>
      </c>
      <c r="I31" s="522"/>
      <c r="J31" s="522"/>
      <c r="K31" s="522"/>
      <c r="L31" s="522"/>
      <c r="M31" s="516" t="str">
        <f t="shared" si="1"/>
        <v/>
      </c>
      <c r="N31" s="516" t="str">
        <f t="shared" si="2"/>
        <v/>
      </c>
      <c r="O31" s="523"/>
      <c r="P31" s="513"/>
      <c r="Q31" s="335"/>
      <c r="R31" s="319">
        <f t="shared" si="3"/>
        <v>0</v>
      </c>
      <c r="S31" s="319">
        <f t="shared" si="4"/>
        <v>0</v>
      </c>
      <c r="T31" s="319">
        <f t="shared" si="5"/>
        <v>0</v>
      </c>
      <c r="U31">
        <v>112002</v>
      </c>
    </row>
    <row r="32" spans="1:21" ht="13.2">
      <c r="A32" s="18">
        <v>25</v>
      </c>
      <c r="B32" s="519"/>
      <c r="C32" s="519"/>
      <c r="D32" s="520"/>
      <c r="E32" s="520"/>
      <c r="F32" s="521"/>
      <c r="G32" s="519"/>
      <c r="H32" s="732" t="str">
        <f t="shared" si="0"/>
        <v/>
      </c>
      <c r="I32" s="522"/>
      <c r="J32" s="522"/>
      <c r="K32" s="522"/>
      <c r="L32" s="522"/>
      <c r="M32" s="516" t="str">
        <f t="shared" si="1"/>
        <v/>
      </c>
      <c r="N32" s="516" t="str">
        <f t="shared" si="2"/>
        <v/>
      </c>
      <c r="O32" s="523"/>
      <c r="P32" s="513"/>
      <c r="Q32" s="335"/>
      <c r="R32" s="319">
        <f t="shared" si="3"/>
        <v>0</v>
      </c>
      <c r="S32" s="319">
        <f t="shared" si="4"/>
        <v>0</v>
      </c>
      <c r="T32" s="319">
        <f t="shared" si="5"/>
        <v>0</v>
      </c>
      <c r="U32">
        <v>112002</v>
      </c>
    </row>
    <row r="33" spans="1:21" ht="13.2">
      <c r="A33" s="18"/>
      <c r="B33" s="512"/>
      <c r="C33" s="512"/>
      <c r="D33" s="512"/>
      <c r="E33" s="512"/>
      <c r="F33" s="512"/>
      <c r="G33" s="512"/>
      <c r="H33" s="512"/>
      <c r="I33" s="512"/>
      <c r="J33" s="512"/>
      <c r="K33" s="512"/>
      <c r="L33" s="512"/>
      <c r="M33" s="512"/>
      <c r="N33" s="512"/>
      <c r="O33" s="512"/>
      <c r="P33" s="513"/>
      <c r="Q33" s="335"/>
      <c r="R33" s="319"/>
      <c r="S33" s="319"/>
      <c r="T33" s="319"/>
      <c r="U33">
        <v>112002</v>
      </c>
    </row>
    <row r="34" spans="1:21" ht="13.2">
      <c r="A34" s="1170" t="str">
        <f>Language!C1916</f>
        <v>Caso proposto</v>
      </c>
      <c r="B34" s="1171"/>
      <c r="C34" s="1171"/>
      <c r="D34" s="1237" t="str">
        <f>Language!C2327</f>
        <v>Caso de referência = Caso proposto</v>
      </c>
      <c r="E34" s="1237"/>
      <c r="F34" s="1237"/>
      <c r="G34" s="1237"/>
      <c r="H34" s="512"/>
      <c r="I34" s="512"/>
      <c r="J34" s="512"/>
      <c r="K34" s="512"/>
      <c r="L34" s="512"/>
      <c r="M34" s="512"/>
      <c r="N34" s="512"/>
      <c r="O34" s="786" t="str">
        <f>O4</f>
        <v>Ver banco de dados de produtos</v>
      </c>
      <c r="P34" s="513"/>
      <c r="Q34" s="335"/>
      <c r="R34" s="319"/>
      <c r="S34" s="319"/>
      <c r="T34" s="319"/>
      <c r="U34">
        <v>112002</v>
      </c>
    </row>
    <row r="35" spans="1:21" ht="12.75" customHeight="1">
      <c r="A35" s="18"/>
      <c r="B35" s="512"/>
      <c r="C35" s="512"/>
      <c r="D35" s="512"/>
      <c r="E35" s="512"/>
      <c r="F35" s="512"/>
      <c r="G35" s="512"/>
      <c r="H35" s="512"/>
      <c r="I35" s="1343" t="str">
        <f>I5</f>
        <v>Centro da vidraçaria</v>
      </c>
      <c r="J35" s="1343"/>
      <c r="K35" s="1343" t="str">
        <f>K5</f>
        <v>Janela nominal</v>
      </c>
      <c r="L35" s="1343"/>
      <c r="M35" s="1343" t="str">
        <f>M5</f>
        <v>Ajustado</v>
      </c>
      <c r="N35" s="1343"/>
      <c r="O35" s="512"/>
      <c r="P35" s="513"/>
      <c r="Q35" s="335"/>
      <c r="R35" s="319"/>
      <c r="S35" s="319"/>
      <c r="T35" s="319"/>
      <c r="U35">
        <v>112002</v>
      </c>
    </row>
    <row r="36" spans="1:21" ht="25.5" customHeight="1">
      <c r="A36" s="18"/>
      <c r="B36" s="910" t="str">
        <f t="shared" ref="B36:H36" si="6">B6</f>
        <v>Orientação</v>
      </c>
      <c r="C36" s="373" t="str">
        <f t="shared" si="6"/>
        <v>Tipo</v>
      </c>
      <c r="D36" s="222" t="str">
        <f t="shared" si="6"/>
        <v>Largura</v>
      </c>
      <c r="E36" s="517" t="str">
        <f t="shared" si="6"/>
        <v xml:space="preserve">Altura </v>
      </c>
      <c r="F36" s="899" t="str">
        <f t="shared" si="6"/>
        <v>Custo unitário</v>
      </c>
      <c r="G36" s="222" t="str">
        <f t="shared" si="6"/>
        <v>Número</v>
      </c>
      <c r="H36" s="222" t="str">
        <f t="shared" si="6"/>
        <v>Área</v>
      </c>
      <c r="I36" s="896" t="str">
        <f>I6</f>
        <v>Ucv</v>
      </c>
      <c r="J36" s="896" t="str">
        <f>J6</f>
        <v>CARScv</v>
      </c>
      <c r="K36" s="20" t="str">
        <f>K6</f>
        <v>Valor - U</v>
      </c>
      <c r="L36" s="896" t="str">
        <f>L6</f>
        <v>CARS</v>
      </c>
      <c r="M36" s="20" t="str">
        <f>M6</f>
        <v>Valor - U</v>
      </c>
      <c r="N36" s="896" t="str">
        <f>N6</f>
        <v>CARS</v>
      </c>
      <c r="O36" s="135"/>
      <c r="P36" s="513"/>
      <c r="Q36" s="335"/>
      <c r="R36" s="319"/>
      <c r="S36" s="319"/>
      <c r="T36" s="319"/>
      <c r="U36">
        <v>112002</v>
      </c>
    </row>
    <row r="37" spans="1:21" ht="13.2">
      <c r="A37" s="18"/>
      <c r="B37" s="514"/>
      <c r="C37" s="365"/>
      <c r="D37" s="515" t="str">
        <f>D7</f>
        <v>mm</v>
      </c>
      <c r="E37" s="196" t="str">
        <f>E7</f>
        <v>mm</v>
      </c>
      <c r="F37" s="515" t="str">
        <f>D69</f>
        <v>€</v>
      </c>
      <c r="G37" s="365"/>
      <c r="H37" s="515" t="str">
        <f>H7</f>
        <v>m²</v>
      </c>
      <c r="I37" s="900" t="str">
        <f>I7</f>
        <v>(W/m²)/°C</v>
      </c>
      <c r="J37" s="515"/>
      <c r="K37" s="20" t="str">
        <f>K7</f>
        <v>(W/m²)/°C</v>
      </c>
      <c r="L37" s="515"/>
      <c r="M37" s="20" t="str">
        <f>M7</f>
        <v>(W/m²)/°C</v>
      </c>
      <c r="N37" s="515"/>
      <c r="O37" s="515" t="str">
        <f>O7</f>
        <v>Descrição</v>
      </c>
      <c r="P37" s="513"/>
      <c r="Q37" s="335"/>
      <c r="R37" s="319"/>
      <c r="S37" s="319"/>
      <c r="T37" s="319"/>
      <c r="U37">
        <v>112002</v>
      </c>
    </row>
    <row r="38" spans="1:21" ht="13.2">
      <c r="A38" s="18">
        <v>1</v>
      </c>
      <c r="B38" s="518"/>
      <c r="C38" s="519"/>
      <c r="D38" s="520"/>
      <c r="E38" s="520"/>
      <c r="F38" s="521"/>
      <c r="G38" s="519"/>
      <c r="H38" s="732" t="str">
        <f t="shared" ref="H38:H62" si="7">IF(OR(ISERROR(D38*E38*G38),D38*E38*G38=0),"",D38*E38*G38*IF($D$7=$D$75,1/10^6,1/144))</f>
        <v/>
      </c>
      <c r="I38" s="522"/>
      <c r="J38" s="522"/>
      <c r="K38" s="522"/>
      <c r="L38" s="522"/>
      <c r="M38" s="516" t="str">
        <f t="shared" ref="M38:M62" si="8">IF(AND(COUNT(D38:E38,I38:L38)=6,C38&lt;&gt;""),u_adj(D38*$S$5,E38*$S$5,J38,L38,I38/$S$6,K38/$S$6,MATCH(C38,$C$75:$C$78,0)-1)*$S$6,"")</f>
        <v/>
      </c>
      <c r="N38" s="516" t="str">
        <f t="shared" ref="N38:N62" si="9">IF(AND(COUNT(D38:E38,I38:L38)=6,C38&lt;&gt;""),shgc_adj(D38*$S$5,E38*$S$5,J38,L38,MATCH(C38,$C$75:$C$78,0)-1),"")</f>
        <v/>
      </c>
      <c r="O38" s="523"/>
      <c r="P38" s="513"/>
      <c r="Q38" s="335"/>
      <c r="R38" s="319">
        <f t="shared" ref="R38:R62" si="10">IF(M38="",0,M38*H38)</f>
        <v>0</v>
      </c>
      <c r="S38" s="319">
        <f t="shared" ref="S38:S62" si="11">IF(N38="",0,H38*N38)</f>
        <v>0</v>
      </c>
      <c r="T38" s="319">
        <f t="shared" ref="T38:T62" si="12">G38*F38</f>
        <v>0</v>
      </c>
      <c r="U38">
        <v>112002</v>
      </c>
    </row>
    <row r="39" spans="1:21" ht="13.2">
      <c r="A39" s="18">
        <v>2</v>
      </c>
      <c r="B39" s="518"/>
      <c r="C39" s="519"/>
      <c r="D39" s="520"/>
      <c r="E39" s="520"/>
      <c r="F39" s="521"/>
      <c r="G39" s="519"/>
      <c r="H39" s="732" t="str">
        <f t="shared" si="7"/>
        <v/>
      </c>
      <c r="I39" s="522"/>
      <c r="J39" s="522"/>
      <c r="K39" s="522"/>
      <c r="L39" s="522"/>
      <c r="M39" s="516" t="str">
        <f t="shared" si="8"/>
        <v/>
      </c>
      <c r="N39" s="516" t="str">
        <f t="shared" si="9"/>
        <v/>
      </c>
      <c r="O39" s="523"/>
      <c r="P39" s="513"/>
      <c r="Q39" s="335"/>
      <c r="R39" s="319">
        <f t="shared" si="10"/>
        <v>0</v>
      </c>
      <c r="S39" s="319">
        <f t="shared" si="11"/>
        <v>0</v>
      </c>
      <c r="T39" s="319">
        <f t="shared" si="12"/>
        <v>0</v>
      </c>
      <c r="U39">
        <v>112002</v>
      </c>
    </row>
    <row r="40" spans="1:21" ht="13.2">
      <c r="A40" s="18">
        <v>3</v>
      </c>
      <c r="B40" s="518"/>
      <c r="C40" s="519"/>
      <c r="D40" s="520"/>
      <c r="E40" s="520"/>
      <c r="F40" s="521"/>
      <c r="G40" s="519"/>
      <c r="H40" s="732" t="str">
        <f t="shared" si="7"/>
        <v/>
      </c>
      <c r="I40" s="522"/>
      <c r="J40" s="522"/>
      <c r="K40" s="522"/>
      <c r="L40" s="522"/>
      <c r="M40" s="516" t="str">
        <f t="shared" si="8"/>
        <v/>
      </c>
      <c r="N40" s="516" t="str">
        <f t="shared" si="9"/>
        <v/>
      </c>
      <c r="O40" s="523"/>
      <c r="P40" s="513"/>
      <c r="Q40" s="335"/>
      <c r="R40" s="319">
        <f t="shared" si="10"/>
        <v>0</v>
      </c>
      <c r="S40" s="319">
        <f t="shared" si="11"/>
        <v>0</v>
      </c>
      <c r="T40" s="319">
        <f t="shared" si="12"/>
        <v>0</v>
      </c>
      <c r="U40">
        <v>112002</v>
      </c>
    </row>
    <row r="41" spans="1:21" ht="13.2">
      <c r="A41" s="18">
        <v>4</v>
      </c>
      <c r="B41" s="518"/>
      <c r="C41" s="519"/>
      <c r="D41" s="520"/>
      <c r="E41" s="520"/>
      <c r="F41" s="521"/>
      <c r="G41" s="519"/>
      <c r="H41" s="732" t="str">
        <f t="shared" si="7"/>
        <v/>
      </c>
      <c r="I41" s="522"/>
      <c r="J41" s="522"/>
      <c r="K41" s="522"/>
      <c r="L41" s="522"/>
      <c r="M41" s="516" t="str">
        <f t="shared" si="8"/>
        <v/>
      </c>
      <c r="N41" s="516" t="str">
        <f t="shared" si="9"/>
        <v/>
      </c>
      <c r="O41" s="523"/>
      <c r="P41" s="513"/>
      <c r="Q41" s="335"/>
      <c r="R41" s="319">
        <f t="shared" si="10"/>
        <v>0</v>
      </c>
      <c r="S41" s="319">
        <f t="shared" si="11"/>
        <v>0</v>
      </c>
      <c r="T41" s="319">
        <f t="shared" si="12"/>
        <v>0</v>
      </c>
      <c r="U41">
        <v>112002</v>
      </c>
    </row>
    <row r="42" spans="1:21" ht="13.2">
      <c r="A42" s="18">
        <v>5</v>
      </c>
      <c r="B42" s="518"/>
      <c r="C42" s="519"/>
      <c r="D42" s="520"/>
      <c r="E42" s="520"/>
      <c r="F42" s="521"/>
      <c r="G42" s="519"/>
      <c r="H42" s="732" t="str">
        <f t="shared" si="7"/>
        <v/>
      </c>
      <c r="I42" s="522"/>
      <c r="J42" s="522"/>
      <c r="K42" s="522"/>
      <c r="L42" s="522"/>
      <c r="M42" s="516" t="str">
        <f t="shared" si="8"/>
        <v/>
      </c>
      <c r="N42" s="516" t="str">
        <f t="shared" si="9"/>
        <v/>
      </c>
      <c r="O42" s="523"/>
      <c r="P42" s="513"/>
      <c r="Q42" s="335"/>
      <c r="R42" s="319">
        <f t="shared" si="10"/>
        <v>0</v>
      </c>
      <c r="S42" s="319">
        <f t="shared" si="11"/>
        <v>0</v>
      </c>
      <c r="T42" s="319">
        <f t="shared" si="12"/>
        <v>0</v>
      </c>
      <c r="U42">
        <v>112002</v>
      </c>
    </row>
    <row r="43" spans="1:21" ht="13.2">
      <c r="A43" s="18">
        <v>6</v>
      </c>
      <c r="B43" s="518"/>
      <c r="C43" s="519"/>
      <c r="D43" s="520"/>
      <c r="E43" s="520"/>
      <c r="F43" s="521"/>
      <c r="G43" s="519"/>
      <c r="H43" s="732" t="str">
        <f t="shared" si="7"/>
        <v/>
      </c>
      <c r="I43" s="522"/>
      <c r="J43" s="522"/>
      <c r="K43" s="522"/>
      <c r="L43" s="522"/>
      <c r="M43" s="516" t="str">
        <f t="shared" si="8"/>
        <v/>
      </c>
      <c r="N43" s="516" t="str">
        <f t="shared" si="9"/>
        <v/>
      </c>
      <c r="O43" s="523"/>
      <c r="P43" s="513"/>
      <c r="Q43" s="335"/>
      <c r="R43" s="319">
        <f t="shared" si="10"/>
        <v>0</v>
      </c>
      <c r="S43" s="319">
        <f t="shared" si="11"/>
        <v>0</v>
      </c>
      <c r="T43" s="319">
        <f t="shared" si="12"/>
        <v>0</v>
      </c>
      <c r="U43">
        <v>112002</v>
      </c>
    </row>
    <row r="44" spans="1:21" ht="13.2">
      <c r="A44" s="18">
        <v>7</v>
      </c>
      <c r="B44" s="518"/>
      <c r="C44" s="519"/>
      <c r="D44" s="520"/>
      <c r="E44" s="520"/>
      <c r="F44" s="521"/>
      <c r="G44" s="519"/>
      <c r="H44" s="732" t="str">
        <f t="shared" si="7"/>
        <v/>
      </c>
      <c r="I44" s="522"/>
      <c r="J44" s="522"/>
      <c r="K44" s="522"/>
      <c r="L44" s="522"/>
      <c r="M44" s="516" t="str">
        <f t="shared" si="8"/>
        <v/>
      </c>
      <c r="N44" s="516" t="str">
        <f t="shared" si="9"/>
        <v/>
      </c>
      <c r="O44" s="523"/>
      <c r="P44" s="513"/>
      <c r="Q44" s="335"/>
      <c r="R44" s="319">
        <f t="shared" si="10"/>
        <v>0</v>
      </c>
      <c r="S44" s="319">
        <f t="shared" si="11"/>
        <v>0</v>
      </c>
      <c r="T44" s="319">
        <f t="shared" si="12"/>
        <v>0</v>
      </c>
      <c r="U44">
        <v>112002</v>
      </c>
    </row>
    <row r="45" spans="1:21" ht="13.2">
      <c r="A45" s="18">
        <v>8</v>
      </c>
      <c r="B45" s="518"/>
      <c r="C45" s="519"/>
      <c r="D45" s="520"/>
      <c r="E45" s="520"/>
      <c r="F45" s="521"/>
      <c r="G45" s="519"/>
      <c r="H45" s="732" t="str">
        <f t="shared" si="7"/>
        <v/>
      </c>
      <c r="I45" s="522"/>
      <c r="J45" s="522"/>
      <c r="K45" s="522"/>
      <c r="L45" s="522"/>
      <c r="M45" s="516" t="str">
        <f t="shared" si="8"/>
        <v/>
      </c>
      <c r="N45" s="516" t="str">
        <f t="shared" si="9"/>
        <v/>
      </c>
      <c r="O45" s="523"/>
      <c r="P45" s="513"/>
      <c r="Q45" s="335"/>
      <c r="R45" s="319">
        <f t="shared" si="10"/>
        <v>0</v>
      </c>
      <c r="S45" s="319">
        <f t="shared" si="11"/>
        <v>0</v>
      </c>
      <c r="T45" s="319">
        <f t="shared" si="12"/>
        <v>0</v>
      </c>
      <c r="U45">
        <v>112002</v>
      </c>
    </row>
    <row r="46" spans="1:21" ht="13.2">
      <c r="A46" s="18">
        <v>9</v>
      </c>
      <c r="B46" s="518"/>
      <c r="C46" s="519"/>
      <c r="D46" s="520"/>
      <c r="E46" s="520"/>
      <c r="F46" s="521"/>
      <c r="G46" s="519"/>
      <c r="H46" s="732" t="str">
        <f t="shared" si="7"/>
        <v/>
      </c>
      <c r="I46" s="522"/>
      <c r="J46" s="522"/>
      <c r="K46" s="522"/>
      <c r="L46" s="522"/>
      <c r="M46" s="516" t="str">
        <f t="shared" si="8"/>
        <v/>
      </c>
      <c r="N46" s="516" t="str">
        <f t="shared" si="9"/>
        <v/>
      </c>
      <c r="O46" s="523"/>
      <c r="P46" s="513"/>
      <c r="Q46" s="335"/>
      <c r="R46" s="319">
        <f t="shared" si="10"/>
        <v>0</v>
      </c>
      <c r="S46" s="319">
        <f t="shared" si="11"/>
        <v>0</v>
      </c>
      <c r="T46" s="319">
        <f t="shared" si="12"/>
        <v>0</v>
      </c>
      <c r="U46">
        <v>112002</v>
      </c>
    </row>
    <row r="47" spans="1:21" ht="13.2">
      <c r="A47" s="18">
        <v>10</v>
      </c>
      <c r="B47" s="518"/>
      <c r="C47" s="519"/>
      <c r="D47" s="520"/>
      <c r="E47" s="520"/>
      <c r="F47" s="521"/>
      <c r="G47" s="519"/>
      <c r="H47" s="732" t="str">
        <f t="shared" si="7"/>
        <v/>
      </c>
      <c r="I47" s="522"/>
      <c r="J47" s="522"/>
      <c r="K47" s="522"/>
      <c r="L47" s="522"/>
      <c r="M47" s="516" t="str">
        <f t="shared" si="8"/>
        <v/>
      </c>
      <c r="N47" s="516" t="str">
        <f t="shared" si="9"/>
        <v/>
      </c>
      <c r="O47" s="523"/>
      <c r="P47" s="513"/>
      <c r="Q47" s="335"/>
      <c r="R47" s="319">
        <f t="shared" si="10"/>
        <v>0</v>
      </c>
      <c r="S47" s="319">
        <f t="shared" si="11"/>
        <v>0</v>
      </c>
      <c r="T47" s="319">
        <f t="shared" si="12"/>
        <v>0</v>
      </c>
      <c r="U47">
        <v>112002</v>
      </c>
    </row>
    <row r="48" spans="1:21" ht="13.2">
      <c r="A48" s="18">
        <v>11</v>
      </c>
      <c r="B48" s="518"/>
      <c r="C48" s="519"/>
      <c r="D48" s="520"/>
      <c r="E48" s="520"/>
      <c r="F48" s="521"/>
      <c r="G48" s="519"/>
      <c r="H48" s="732" t="str">
        <f t="shared" si="7"/>
        <v/>
      </c>
      <c r="I48" s="522"/>
      <c r="J48" s="522"/>
      <c r="K48" s="522"/>
      <c r="L48" s="522"/>
      <c r="M48" s="516" t="str">
        <f t="shared" si="8"/>
        <v/>
      </c>
      <c r="N48" s="516" t="str">
        <f t="shared" si="9"/>
        <v/>
      </c>
      <c r="O48" s="523"/>
      <c r="P48" s="513"/>
      <c r="Q48" s="335"/>
      <c r="R48" s="319">
        <f t="shared" si="10"/>
        <v>0</v>
      </c>
      <c r="S48" s="319">
        <f t="shared" si="11"/>
        <v>0</v>
      </c>
      <c r="T48" s="319">
        <f t="shared" si="12"/>
        <v>0</v>
      </c>
      <c r="U48">
        <v>112002</v>
      </c>
    </row>
    <row r="49" spans="1:21" ht="13.2">
      <c r="A49" s="18">
        <v>12</v>
      </c>
      <c r="B49" s="518"/>
      <c r="C49" s="519"/>
      <c r="D49" s="520"/>
      <c r="E49" s="520"/>
      <c r="F49" s="521"/>
      <c r="G49" s="519"/>
      <c r="H49" s="732" t="str">
        <f t="shared" si="7"/>
        <v/>
      </c>
      <c r="I49" s="522"/>
      <c r="J49" s="522"/>
      <c r="K49" s="522"/>
      <c r="L49" s="522"/>
      <c r="M49" s="516" t="str">
        <f t="shared" si="8"/>
        <v/>
      </c>
      <c r="N49" s="516" t="str">
        <f t="shared" si="9"/>
        <v/>
      </c>
      <c r="O49" s="523"/>
      <c r="P49" s="513"/>
      <c r="Q49" s="335"/>
      <c r="R49" s="319">
        <f t="shared" si="10"/>
        <v>0</v>
      </c>
      <c r="S49" s="319">
        <f t="shared" si="11"/>
        <v>0</v>
      </c>
      <c r="T49" s="319">
        <f t="shared" si="12"/>
        <v>0</v>
      </c>
      <c r="U49">
        <v>112002</v>
      </c>
    </row>
    <row r="50" spans="1:21" ht="13.2">
      <c r="A50" s="18">
        <v>13</v>
      </c>
      <c r="B50" s="518"/>
      <c r="C50" s="519"/>
      <c r="D50" s="520"/>
      <c r="E50" s="520"/>
      <c r="F50" s="521"/>
      <c r="G50" s="519"/>
      <c r="H50" s="732" t="str">
        <f t="shared" si="7"/>
        <v/>
      </c>
      <c r="I50" s="522"/>
      <c r="J50" s="522"/>
      <c r="K50" s="522"/>
      <c r="L50" s="522"/>
      <c r="M50" s="516" t="str">
        <f t="shared" si="8"/>
        <v/>
      </c>
      <c r="N50" s="516" t="str">
        <f t="shared" si="9"/>
        <v/>
      </c>
      <c r="O50" s="523"/>
      <c r="P50" s="513"/>
      <c r="Q50" s="335"/>
      <c r="R50" s="319">
        <f t="shared" si="10"/>
        <v>0</v>
      </c>
      <c r="S50" s="319">
        <f t="shared" si="11"/>
        <v>0</v>
      </c>
      <c r="T50" s="319">
        <f t="shared" si="12"/>
        <v>0</v>
      </c>
      <c r="U50">
        <v>112002</v>
      </c>
    </row>
    <row r="51" spans="1:21" ht="13.2">
      <c r="A51" s="18">
        <v>14</v>
      </c>
      <c r="B51" s="518"/>
      <c r="C51" s="519"/>
      <c r="D51" s="520"/>
      <c r="E51" s="520"/>
      <c r="F51" s="521"/>
      <c r="G51" s="519"/>
      <c r="H51" s="732" t="str">
        <f t="shared" si="7"/>
        <v/>
      </c>
      <c r="I51" s="522"/>
      <c r="J51" s="522"/>
      <c r="K51" s="522"/>
      <c r="L51" s="522"/>
      <c r="M51" s="516" t="str">
        <f t="shared" si="8"/>
        <v/>
      </c>
      <c r="N51" s="516" t="str">
        <f t="shared" si="9"/>
        <v/>
      </c>
      <c r="O51" s="523"/>
      <c r="P51" s="513"/>
      <c r="Q51" s="335"/>
      <c r="R51" s="319">
        <f t="shared" si="10"/>
        <v>0</v>
      </c>
      <c r="S51" s="319">
        <f t="shared" si="11"/>
        <v>0</v>
      </c>
      <c r="T51" s="319">
        <f t="shared" si="12"/>
        <v>0</v>
      </c>
      <c r="U51">
        <v>112002</v>
      </c>
    </row>
    <row r="52" spans="1:21" ht="13.2">
      <c r="A52" s="18">
        <v>15</v>
      </c>
      <c r="B52" s="518"/>
      <c r="C52" s="519"/>
      <c r="D52" s="520"/>
      <c r="E52" s="520"/>
      <c r="F52" s="521"/>
      <c r="G52" s="519"/>
      <c r="H52" s="732" t="str">
        <f t="shared" si="7"/>
        <v/>
      </c>
      <c r="I52" s="522"/>
      <c r="J52" s="522"/>
      <c r="K52" s="522"/>
      <c r="L52" s="522"/>
      <c r="M52" s="516" t="str">
        <f t="shared" si="8"/>
        <v/>
      </c>
      <c r="N52" s="516" t="str">
        <f t="shared" si="9"/>
        <v/>
      </c>
      <c r="O52" s="523"/>
      <c r="P52" s="513"/>
      <c r="Q52" s="335"/>
      <c r="R52" s="319">
        <f t="shared" si="10"/>
        <v>0</v>
      </c>
      <c r="S52" s="319">
        <f t="shared" si="11"/>
        <v>0</v>
      </c>
      <c r="T52" s="319">
        <f t="shared" si="12"/>
        <v>0</v>
      </c>
      <c r="U52">
        <v>112002</v>
      </c>
    </row>
    <row r="53" spans="1:21" ht="13.2">
      <c r="A53" s="18">
        <v>16</v>
      </c>
      <c r="B53" s="518"/>
      <c r="C53" s="519"/>
      <c r="D53" s="520"/>
      <c r="E53" s="520"/>
      <c r="F53" s="521"/>
      <c r="G53" s="519"/>
      <c r="H53" s="732" t="str">
        <f t="shared" si="7"/>
        <v/>
      </c>
      <c r="I53" s="522"/>
      <c r="J53" s="522"/>
      <c r="K53" s="522"/>
      <c r="L53" s="522"/>
      <c r="M53" s="516" t="str">
        <f t="shared" si="8"/>
        <v/>
      </c>
      <c r="N53" s="516" t="str">
        <f t="shared" si="9"/>
        <v/>
      </c>
      <c r="O53" s="523"/>
      <c r="P53" s="513"/>
      <c r="Q53" s="335"/>
      <c r="R53" s="319">
        <f t="shared" si="10"/>
        <v>0</v>
      </c>
      <c r="S53" s="319">
        <f t="shared" si="11"/>
        <v>0</v>
      </c>
      <c r="T53" s="319">
        <f t="shared" si="12"/>
        <v>0</v>
      </c>
      <c r="U53">
        <v>112002</v>
      </c>
    </row>
    <row r="54" spans="1:21" ht="13.2">
      <c r="A54" s="18">
        <v>17</v>
      </c>
      <c r="B54" s="518"/>
      <c r="C54" s="519"/>
      <c r="D54" s="520"/>
      <c r="E54" s="520"/>
      <c r="F54" s="521"/>
      <c r="G54" s="519"/>
      <c r="H54" s="732" t="str">
        <f t="shared" si="7"/>
        <v/>
      </c>
      <c r="I54" s="522"/>
      <c r="J54" s="522"/>
      <c r="K54" s="522"/>
      <c r="L54" s="522"/>
      <c r="M54" s="516" t="str">
        <f t="shared" si="8"/>
        <v/>
      </c>
      <c r="N54" s="516" t="str">
        <f t="shared" si="9"/>
        <v/>
      </c>
      <c r="O54" s="523"/>
      <c r="P54" s="513"/>
      <c r="Q54" s="335"/>
      <c r="R54" s="319">
        <f t="shared" si="10"/>
        <v>0</v>
      </c>
      <c r="S54" s="319">
        <f t="shared" si="11"/>
        <v>0</v>
      </c>
      <c r="T54" s="319">
        <f t="shared" si="12"/>
        <v>0</v>
      </c>
      <c r="U54">
        <v>112002</v>
      </c>
    </row>
    <row r="55" spans="1:21" ht="13.2">
      <c r="A55" s="18">
        <v>18</v>
      </c>
      <c r="B55" s="518"/>
      <c r="C55" s="519"/>
      <c r="D55" s="520"/>
      <c r="E55" s="520"/>
      <c r="F55" s="521"/>
      <c r="G55" s="519"/>
      <c r="H55" s="732" t="str">
        <f t="shared" si="7"/>
        <v/>
      </c>
      <c r="I55" s="522"/>
      <c r="J55" s="522"/>
      <c r="K55" s="522"/>
      <c r="L55" s="522"/>
      <c r="M55" s="516" t="str">
        <f t="shared" si="8"/>
        <v/>
      </c>
      <c r="N55" s="516" t="str">
        <f t="shared" si="9"/>
        <v/>
      </c>
      <c r="O55" s="523"/>
      <c r="P55" s="513"/>
      <c r="Q55" s="335"/>
      <c r="R55" s="319">
        <f t="shared" si="10"/>
        <v>0</v>
      </c>
      <c r="S55" s="319">
        <f t="shared" si="11"/>
        <v>0</v>
      </c>
      <c r="T55" s="319">
        <f t="shared" si="12"/>
        <v>0</v>
      </c>
      <c r="U55">
        <v>112002</v>
      </c>
    </row>
    <row r="56" spans="1:21" ht="13.2">
      <c r="A56" s="18">
        <v>19</v>
      </c>
      <c r="B56" s="518"/>
      <c r="C56" s="519"/>
      <c r="D56" s="520"/>
      <c r="E56" s="520"/>
      <c r="F56" s="521"/>
      <c r="G56" s="519"/>
      <c r="H56" s="732" t="str">
        <f t="shared" si="7"/>
        <v/>
      </c>
      <c r="I56" s="522"/>
      <c r="J56" s="522"/>
      <c r="K56" s="522"/>
      <c r="L56" s="522"/>
      <c r="M56" s="516" t="str">
        <f t="shared" si="8"/>
        <v/>
      </c>
      <c r="N56" s="516" t="str">
        <f t="shared" si="9"/>
        <v/>
      </c>
      <c r="O56" s="523"/>
      <c r="P56" s="513"/>
      <c r="Q56" s="335"/>
      <c r="R56" s="319">
        <f t="shared" si="10"/>
        <v>0</v>
      </c>
      <c r="S56" s="319">
        <f t="shared" si="11"/>
        <v>0</v>
      </c>
      <c r="T56" s="319">
        <f t="shared" si="12"/>
        <v>0</v>
      </c>
      <c r="U56">
        <v>112002</v>
      </c>
    </row>
    <row r="57" spans="1:21" ht="13.2">
      <c r="A57" s="18">
        <v>20</v>
      </c>
      <c r="B57" s="518"/>
      <c r="C57" s="519"/>
      <c r="D57" s="520"/>
      <c r="E57" s="520"/>
      <c r="F57" s="521"/>
      <c r="G57" s="519"/>
      <c r="H57" s="732" t="str">
        <f t="shared" si="7"/>
        <v/>
      </c>
      <c r="I57" s="522"/>
      <c r="J57" s="522"/>
      <c r="K57" s="522"/>
      <c r="L57" s="522"/>
      <c r="M57" s="516" t="str">
        <f t="shared" si="8"/>
        <v/>
      </c>
      <c r="N57" s="516" t="str">
        <f t="shared" si="9"/>
        <v/>
      </c>
      <c r="O57" s="523"/>
      <c r="P57" s="513"/>
      <c r="Q57" s="335"/>
      <c r="R57" s="319">
        <f t="shared" si="10"/>
        <v>0</v>
      </c>
      <c r="S57" s="319">
        <f t="shared" si="11"/>
        <v>0</v>
      </c>
      <c r="T57" s="319">
        <f t="shared" si="12"/>
        <v>0</v>
      </c>
      <c r="U57">
        <v>112002</v>
      </c>
    </row>
    <row r="58" spans="1:21" ht="13.2">
      <c r="A58" s="18">
        <v>21</v>
      </c>
      <c r="B58" s="518"/>
      <c r="C58" s="519"/>
      <c r="D58" s="520"/>
      <c r="E58" s="520"/>
      <c r="F58" s="521"/>
      <c r="G58" s="519"/>
      <c r="H58" s="732" t="str">
        <f t="shared" si="7"/>
        <v/>
      </c>
      <c r="I58" s="522"/>
      <c r="J58" s="522"/>
      <c r="K58" s="522"/>
      <c r="L58" s="522"/>
      <c r="M58" s="516" t="str">
        <f t="shared" si="8"/>
        <v/>
      </c>
      <c r="N58" s="516" t="str">
        <f t="shared" si="9"/>
        <v/>
      </c>
      <c r="O58" s="523"/>
      <c r="P58" s="513"/>
      <c r="Q58" s="335"/>
      <c r="R58" s="319">
        <f t="shared" si="10"/>
        <v>0</v>
      </c>
      <c r="S58" s="319">
        <f t="shared" si="11"/>
        <v>0</v>
      </c>
      <c r="T58" s="319">
        <f t="shared" si="12"/>
        <v>0</v>
      </c>
      <c r="U58">
        <v>112002</v>
      </c>
    </row>
    <row r="59" spans="1:21" ht="13.2">
      <c r="A59" s="18">
        <v>22</v>
      </c>
      <c r="B59" s="518"/>
      <c r="C59" s="519"/>
      <c r="D59" s="520"/>
      <c r="E59" s="520"/>
      <c r="F59" s="521"/>
      <c r="G59" s="519"/>
      <c r="H59" s="732" t="str">
        <f t="shared" si="7"/>
        <v/>
      </c>
      <c r="I59" s="522"/>
      <c r="J59" s="522"/>
      <c r="K59" s="522"/>
      <c r="L59" s="522"/>
      <c r="M59" s="516" t="str">
        <f t="shared" si="8"/>
        <v/>
      </c>
      <c r="N59" s="516" t="str">
        <f t="shared" si="9"/>
        <v/>
      </c>
      <c r="O59" s="523"/>
      <c r="P59" s="513"/>
      <c r="Q59" s="335"/>
      <c r="R59" s="319">
        <f t="shared" si="10"/>
        <v>0</v>
      </c>
      <c r="S59" s="319">
        <f t="shared" si="11"/>
        <v>0</v>
      </c>
      <c r="T59" s="319">
        <f t="shared" si="12"/>
        <v>0</v>
      </c>
      <c r="U59">
        <v>112002</v>
      </c>
    </row>
    <row r="60" spans="1:21" ht="13.2">
      <c r="A60" s="18">
        <v>23</v>
      </c>
      <c r="B60" s="518"/>
      <c r="C60" s="519"/>
      <c r="D60" s="520"/>
      <c r="E60" s="520"/>
      <c r="F60" s="521"/>
      <c r="G60" s="519"/>
      <c r="H60" s="732" t="str">
        <f t="shared" si="7"/>
        <v/>
      </c>
      <c r="I60" s="522"/>
      <c r="J60" s="522"/>
      <c r="K60" s="522"/>
      <c r="L60" s="522"/>
      <c r="M60" s="516" t="str">
        <f t="shared" si="8"/>
        <v/>
      </c>
      <c r="N60" s="516" t="str">
        <f t="shared" si="9"/>
        <v/>
      </c>
      <c r="O60" s="523"/>
      <c r="P60" s="513"/>
      <c r="Q60" s="335"/>
      <c r="R60" s="319">
        <f t="shared" si="10"/>
        <v>0</v>
      </c>
      <c r="S60" s="319">
        <f t="shared" si="11"/>
        <v>0</v>
      </c>
      <c r="T60" s="319">
        <f t="shared" si="12"/>
        <v>0</v>
      </c>
      <c r="U60">
        <v>112002</v>
      </c>
    </row>
    <row r="61" spans="1:21" ht="13.2">
      <c r="A61" s="18">
        <v>24</v>
      </c>
      <c r="B61" s="518"/>
      <c r="C61" s="519"/>
      <c r="D61" s="520"/>
      <c r="E61" s="520"/>
      <c r="F61" s="521"/>
      <c r="G61" s="519"/>
      <c r="H61" s="732" t="str">
        <f t="shared" si="7"/>
        <v/>
      </c>
      <c r="I61" s="522"/>
      <c r="J61" s="522"/>
      <c r="K61" s="522"/>
      <c r="L61" s="522"/>
      <c r="M61" s="516" t="str">
        <f t="shared" si="8"/>
        <v/>
      </c>
      <c r="N61" s="516" t="str">
        <f t="shared" si="9"/>
        <v/>
      </c>
      <c r="O61" s="523"/>
      <c r="P61" s="513"/>
      <c r="Q61" s="335"/>
      <c r="R61" s="319">
        <f t="shared" si="10"/>
        <v>0</v>
      </c>
      <c r="S61" s="319">
        <f t="shared" si="11"/>
        <v>0</v>
      </c>
      <c r="T61" s="319">
        <f t="shared" si="12"/>
        <v>0</v>
      </c>
      <c r="U61">
        <v>112002</v>
      </c>
    </row>
    <row r="62" spans="1:21" ht="13.2">
      <c r="A62" s="18">
        <v>25</v>
      </c>
      <c r="B62" s="518"/>
      <c r="C62" s="519"/>
      <c r="D62" s="520"/>
      <c r="E62" s="520"/>
      <c r="F62" s="521"/>
      <c r="G62" s="519"/>
      <c r="H62" s="732" t="str">
        <f t="shared" si="7"/>
        <v/>
      </c>
      <c r="I62" s="522"/>
      <c r="J62" s="522"/>
      <c r="K62" s="522"/>
      <c r="L62" s="522"/>
      <c r="M62" s="516" t="str">
        <f t="shared" si="8"/>
        <v/>
      </c>
      <c r="N62" s="516" t="str">
        <f t="shared" si="9"/>
        <v/>
      </c>
      <c r="O62" s="523"/>
      <c r="P62" s="513"/>
      <c r="Q62" s="335"/>
      <c r="R62" s="319">
        <f t="shared" si="10"/>
        <v>0</v>
      </c>
      <c r="S62" s="319">
        <f t="shared" si="11"/>
        <v>0</v>
      </c>
      <c r="T62" s="319">
        <f t="shared" si="12"/>
        <v>0</v>
      </c>
      <c r="U62">
        <v>112002</v>
      </c>
    </row>
    <row r="63" spans="1:21" ht="13.2">
      <c r="A63" s="12"/>
      <c r="B63" s="8"/>
      <c r="C63" s="8"/>
      <c r="D63" s="8"/>
      <c r="E63" s="8"/>
      <c r="F63" s="8"/>
      <c r="G63" s="8"/>
      <c r="H63" s="8"/>
      <c r="I63" s="8"/>
      <c r="J63" s="8"/>
      <c r="K63" s="8"/>
      <c r="L63" s="8"/>
      <c r="M63" s="8"/>
      <c r="N63" s="8"/>
      <c r="O63" s="8"/>
      <c r="P63" s="9"/>
      <c r="Q63" s="1"/>
      <c r="R63" s="319"/>
      <c r="S63" s="319"/>
      <c r="T63" s="319"/>
      <c r="U63">
        <v>112002</v>
      </c>
    </row>
    <row r="64" spans="1:21" ht="13.2">
      <c r="A64" s="12"/>
      <c r="B64" s="8"/>
      <c r="C64" s="8"/>
      <c r="D64" s="8"/>
      <c r="E64" s="1223" t="str">
        <f>A4</f>
        <v>Caso de referência</v>
      </c>
      <c r="F64" s="1223"/>
      <c r="G64" s="1223"/>
      <c r="H64" s="1223"/>
      <c r="I64" s="8"/>
      <c r="J64" s="1223" t="str">
        <f>A34</f>
        <v>Caso proposto</v>
      </c>
      <c r="K64" s="1223"/>
      <c r="L64" s="1223"/>
      <c r="M64" s="1223"/>
      <c r="N64" s="8"/>
      <c r="O64" s="8"/>
      <c r="P64" s="9"/>
      <c r="Q64" s="1"/>
      <c r="R64" s="319"/>
      <c r="S64" s="319"/>
      <c r="T64" s="319"/>
      <c r="U64">
        <v>112002</v>
      </c>
    </row>
    <row r="65" spans="1:21" ht="13.2">
      <c r="A65" s="12"/>
      <c r="B65" s="15"/>
      <c r="C65" s="15"/>
      <c r="D65" s="128" t="str">
        <f>Language!C180</f>
        <v>Unidade</v>
      </c>
      <c r="E65" s="128" t="str">
        <f>B75</f>
        <v>Norte</v>
      </c>
      <c r="F65" s="128" t="str">
        <f>B76</f>
        <v>Leste</v>
      </c>
      <c r="G65" s="128" t="str">
        <f>B77</f>
        <v>Sul</v>
      </c>
      <c r="H65" s="128" t="str">
        <f>B78</f>
        <v>Oeste</v>
      </c>
      <c r="I65" s="15"/>
      <c r="J65" s="128" t="str">
        <f>E65</f>
        <v>Norte</v>
      </c>
      <c r="K65" s="128" t="str">
        <f>F65</f>
        <v>Leste</v>
      </c>
      <c r="L65" s="128" t="str">
        <f>G65</f>
        <v>Sul</v>
      </c>
      <c r="M65" s="128" t="str">
        <f>H65</f>
        <v>Oeste</v>
      </c>
      <c r="N65" s="8"/>
      <c r="O65" s="8"/>
      <c r="P65" s="9"/>
      <c r="Q65" s="1"/>
      <c r="R65" s="319"/>
      <c r="S65" s="319"/>
      <c r="T65" s="319"/>
      <c r="U65">
        <v>112002</v>
      </c>
    </row>
    <row r="66" spans="1:21" ht="13.2">
      <c r="A66" s="12"/>
      <c r="B66" s="8" t="str">
        <f>H6</f>
        <v>Área</v>
      </c>
      <c r="C66" s="8"/>
      <c r="D66" s="21" t="str">
        <f>H7</f>
        <v>m²</v>
      </c>
      <c r="E66" s="217">
        <f>SUMIF($B$8:$B$32,E$65,$H$8:$H$32)</f>
        <v>0</v>
      </c>
      <c r="F66" s="217">
        <f>SUMIF($B$8:$B$32,F$65,$H$8:$H$32)</f>
        <v>0</v>
      </c>
      <c r="G66" s="217">
        <f>SUMIF($B$8:$B$32,G$65,$H$8:$H$32)</f>
        <v>0</v>
      </c>
      <c r="H66" s="217">
        <f>SUMIF($B$8:$B$32,H$65,$H$8:$H$32)</f>
        <v>0</v>
      </c>
      <c r="I66" s="8"/>
      <c r="J66" s="217">
        <f>SUMIF($B$38:$B$62,J$65,$H$38:$H$62)</f>
        <v>0</v>
      </c>
      <c r="K66" s="217">
        <f>SUMIF($B$38:$B$62,K$65,$H$38:$H$62)</f>
        <v>0</v>
      </c>
      <c r="L66" s="217">
        <f>SUMIF($B$38:$B$62,L$65,$H$38:$H$62)</f>
        <v>0</v>
      </c>
      <c r="M66" s="217">
        <f>SUMIF($B$38:$B$62,M$65,$H$38:$H$62)</f>
        <v>0</v>
      </c>
      <c r="N66" s="8"/>
      <c r="O66" s="8"/>
      <c r="P66" s="9"/>
      <c r="Q66" s="1"/>
      <c r="R66" s="319"/>
      <c r="S66" s="319"/>
      <c r="T66" s="319"/>
      <c r="U66">
        <v>112002</v>
      </c>
    </row>
    <row r="67" spans="1:21" ht="13.2">
      <c r="A67" s="12"/>
      <c r="B67" s="8" t="str">
        <f>K6</f>
        <v>Valor - U</v>
      </c>
      <c r="C67" s="8"/>
      <c r="D67" s="21" t="str">
        <f>I7</f>
        <v>(W/m²)/°C</v>
      </c>
      <c r="E67" s="217">
        <f>IF(E$66=0,0,SUMIF($B$8:$B$32,E$65,$R$8:$R$32)/E$66)</f>
        <v>0</v>
      </c>
      <c r="F67" s="217">
        <f>IF(F$66=0,0,SUMIF($B$8:$B$32,F$65,$R$8:$R$32)/F$66)</f>
        <v>0</v>
      </c>
      <c r="G67" s="217">
        <f>IF(G$66=0,0,SUMIF($B$8:$B$32,G$65,$R$8:$R$32)/G$66)</f>
        <v>0</v>
      </c>
      <c r="H67" s="217">
        <f>IF(H$66=0,0,SUMIF($B$8:$B$32,H$65,$R$8:$R$32)/H$66)</f>
        <v>0</v>
      </c>
      <c r="I67" s="8"/>
      <c r="J67" s="217">
        <f>IF(J$66=0,0,SUMIF($B$38:$B$62,J$65,$R$38:$R$62)/J$66)</f>
        <v>0</v>
      </c>
      <c r="K67" s="217">
        <f>IF(K$66=0,0,SUMIF($B$38:$B$62,K$65,$R$38:$R$62)/K$66)</f>
        <v>0</v>
      </c>
      <c r="L67" s="217">
        <f>IF(L$66=0,0,SUMIF($B$38:$B$62,L$65,$R$38:$R$62)/L$66)</f>
        <v>0</v>
      </c>
      <c r="M67" s="217">
        <f>IF(M$66=0,0,SUMIF($B$38:$B$62,M$65,$R$38:$R$62)/M$66)</f>
        <v>0</v>
      </c>
      <c r="N67" s="8"/>
      <c r="O67" s="8"/>
      <c r="P67" s="9"/>
      <c r="Q67" s="1"/>
      <c r="R67" s="319"/>
      <c r="S67" s="319"/>
      <c r="T67" s="319"/>
      <c r="U67">
        <v>112002</v>
      </c>
    </row>
    <row r="68" spans="1:21" ht="13.2">
      <c r="A68" s="12"/>
      <c r="B68" s="1334" t="str">
        <f>N6</f>
        <v>CARS</v>
      </c>
      <c r="C68" s="1289"/>
      <c r="D68" s="21" t="s">
        <v>637</v>
      </c>
      <c r="E68" s="217">
        <f>IF(E$66=0,0,SUMIF($B$8:$B$32,E$65,$S$8:$S$32)/E$66)</f>
        <v>0</v>
      </c>
      <c r="F68" s="217">
        <f>IF(F$66=0,0,SUMIF($B$8:$B$32,F$65,$S$8:$S$32)/F$66)</f>
        <v>0</v>
      </c>
      <c r="G68" s="217">
        <f>IF(G$66=0,0,SUMIF($B$8:$B$32,G$65,$S$8:$S$32)/G$66)</f>
        <v>0</v>
      </c>
      <c r="H68" s="217">
        <f>IF(H$66=0,0,SUMIF($B$8:$B$32,H$65,$S$8:$S$32)/H$66)</f>
        <v>0</v>
      </c>
      <c r="I68" s="8"/>
      <c r="J68" s="217">
        <f>IF(J$66=0,0,SUMIF($B$38:$B$62,J$65,$S$38:$S$62)/J$66)</f>
        <v>0</v>
      </c>
      <c r="K68" s="217">
        <f>IF(K$66=0,0,SUMIF($B$38:$B$62,K$65,$S$38:$S$62)/K$66)</f>
        <v>0</v>
      </c>
      <c r="L68" s="217">
        <f>IF(L$66=0,0,SUMIF($B$38:$B$62,L$65,$S$38:$S$62)/L$66)</f>
        <v>0</v>
      </c>
      <c r="M68" s="217">
        <f>IF(M$66=0,0,SUMIF($B$38:$B$62,M$65,$S$38:$S$62)/M$66)</f>
        <v>0</v>
      </c>
      <c r="N68" s="8"/>
      <c r="O68" s="8"/>
      <c r="P68" s="9"/>
      <c r="Q68" s="1"/>
      <c r="R68" s="319"/>
      <c r="S68" s="319"/>
      <c r="T68" s="319"/>
      <c r="U68">
        <v>112002</v>
      </c>
    </row>
    <row r="69" spans="1:21" ht="13.2">
      <c r="A69" s="12"/>
      <c r="B69" s="8" t="str">
        <f>Language!C1567</f>
        <v xml:space="preserve">Custo </v>
      </c>
      <c r="C69" s="8"/>
      <c r="D69" s="21" t="str">
        <f>Currency</f>
        <v>€</v>
      </c>
      <c r="E69" s="88">
        <f>SUMIF($B$8:$B$32,E$65,$T$8:$T$32)</f>
        <v>0</v>
      </c>
      <c r="F69" s="88">
        <f>SUMIF($B$8:$B$32,F$65,$T$8:$T$32)</f>
        <v>0</v>
      </c>
      <c r="G69" s="88">
        <f>SUMIF($B$8:$B$32,G$65,$T$8:$T$32)</f>
        <v>0</v>
      </c>
      <c r="H69" s="88">
        <f>SUMIF($B$8:$B$32,H$65,$T$8:$T$32)</f>
        <v>0</v>
      </c>
      <c r="I69" s="8"/>
      <c r="J69" s="88">
        <f>SUMIF($B$38:$B$62,J$65,$T$38:$T$62)</f>
        <v>0</v>
      </c>
      <c r="K69" s="88">
        <f>SUMIF($B$38:$B$62,K$65,$T$38:$T$62)</f>
        <v>0</v>
      </c>
      <c r="L69" s="88">
        <f>SUMIF($B$38:$B$62,L$65,$T$38:$T$62)</f>
        <v>0</v>
      </c>
      <c r="M69" s="88">
        <f>SUMIF($B$38:$B$62,M$65,$T$38:$T$62)</f>
        <v>0</v>
      </c>
      <c r="N69" s="8"/>
      <c r="O69" s="8"/>
      <c r="P69" s="9"/>
      <c r="Q69" s="1"/>
      <c r="R69" s="319"/>
      <c r="S69" s="319"/>
      <c r="T69" s="319"/>
      <c r="U69">
        <v>112002</v>
      </c>
    </row>
    <row r="70" spans="1:21" ht="13.2">
      <c r="A70" s="12"/>
      <c r="B70" s="8"/>
      <c r="C70" s="8"/>
      <c r="D70" s="21"/>
      <c r="E70" s="8"/>
      <c r="F70" s="8"/>
      <c r="G70" s="8"/>
      <c r="H70" s="8"/>
      <c r="I70" s="8"/>
      <c r="J70" s="8"/>
      <c r="K70" s="8"/>
      <c r="L70" s="8"/>
      <c r="M70" s="8"/>
      <c r="N70" s="8"/>
      <c r="O70" s="8"/>
      <c r="P70" s="9"/>
      <c r="Q70" s="1"/>
      <c r="R70" s="319"/>
      <c r="S70" s="319"/>
      <c r="T70" s="319"/>
      <c r="U70">
        <v>112002</v>
      </c>
    </row>
    <row r="71" spans="1:21" ht="13.2">
      <c r="A71" s="12"/>
      <c r="B71" s="8" t="str">
        <f>Language!C1746</f>
        <v>Custo inicial incremental</v>
      </c>
      <c r="C71" s="8"/>
      <c r="D71" s="21" t="str">
        <f>D69</f>
        <v>€</v>
      </c>
      <c r="E71" s="88">
        <f>SUM(J69:M69)-SUM(E69:H69)</f>
        <v>0</v>
      </c>
      <c r="F71" s="8"/>
      <c r="G71" s="8"/>
      <c r="H71" s="8"/>
      <c r="I71" s="537" t="str">
        <f>Language!C2590</f>
        <v>Voltar</v>
      </c>
      <c r="J71" s="8"/>
      <c r="K71" s="8"/>
      <c r="L71" s="8"/>
      <c r="M71" s="8"/>
      <c r="N71" s="8"/>
      <c r="O71" s="8"/>
      <c r="P71" s="9"/>
      <c r="Q71" s="1"/>
      <c r="R71" s="319"/>
      <c r="S71" s="319"/>
      <c r="T71" s="319"/>
      <c r="U71">
        <v>112002</v>
      </c>
    </row>
    <row r="72" spans="1:21" ht="13.2">
      <c r="A72" s="14"/>
      <c r="B72" s="15"/>
      <c r="C72" s="15"/>
      <c r="D72" s="15"/>
      <c r="E72" s="15"/>
      <c r="F72" s="15"/>
      <c r="G72" s="15"/>
      <c r="H72" s="15"/>
      <c r="I72" s="15"/>
      <c r="J72" s="15"/>
      <c r="K72" s="15"/>
      <c r="L72" s="15"/>
      <c r="M72" s="15"/>
      <c r="N72" s="15"/>
      <c r="O72" s="15"/>
      <c r="P72" s="11"/>
      <c r="Q72" s="1"/>
      <c r="R72" s="319"/>
      <c r="S72" s="319"/>
      <c r="T72" s="319"/>
      <c r="U72">
        <v>112002</v>
      </c>
    </row>
    <row r="73" spans="1:21" ht="13.2">
      <c r="A73" s="8"/>
      <c r="B73" s="8"/>
      <c r="C73" s="8"/>
      <c r="D73" s="8"/>
      <c r="E73" s="8"/>
      <c r="F73" s="8"/>
      <c r="G73" s="8"/>
      <c r="H73" s="8"/>
      <c r="I73" s="8"/>
      <c r="J73" s="8"/>
      <c r="K73" s="8"/>
      <c r="L73" s="8"/>
      <c r="M73" s="8"/>
      <c r="N73" s="8"/>
      <c r="O73" s="8"/>
      <c r="P73" s="8"/>
      <c r="Q73" s="1"/>
      <c r="R73" s="319"/>
      <c r="S73" s="319"/>
      <c r="T73" s="319"/>
      <c r="U73">
        <v>112002</v>
      </c>
    </row>
    <row r="74" spans="1:21" ht="13.2" hidden="1">
      <c r="A74" s="319"/>
      <c r="B74" s="319"/>
      <c r="C74" s="319"/>
      <c r="D74" s="319"/>
      <c r="E74" s="319"/>
      <c r="F74" s="319"/>
      <c r="G74" s="319"/>
      <c r="H74" s="319"/>
      <c r="I74" s="319"/>
      <c r="J74" s="319"/>
      <c r="K74" s="319"/>
      <c r="L74" s="319"/>
      <c r="M74" s="319"/>
      <c r="N74" s="319"/>
      <c r="O74" s="319"/>
      <c r="P74" s="319"/>
      <c r="Q74" s="319"/>
      <c r="R74" s="319"/>
      <c r="S74" s="319"/>
      <c r="T74" s="319"/>
    </row>
    <row r="75" spans="1:21" ht="13.2" hidden="1">
      <c r="A75" s="319"/>
      <c r="B75" s="319" t="str">
        <f>Language!C1836</f>
        <v>Norte</v>
      </c>
      <c r="C75" s="319" t="str">
        <f>Language!C1516</f>
        <v>Escotilha</v>
      </c>
      <c r="D75" s="319" t="str">
        <f>Language!C1392</f>
        <v>mm</v>
      </c>
      <c r="E75" s="319" t="str">
        <f>Language!C1374</f>
        <v>m²</v>
      </c>
      <c r="F75" s="319" t="str">
        <f>Language!C2189</f>
        <v>(W/m²)/°C</v>
      </c>
      <c r="G75" s="319"/>
      <c r="H75" s="319"/>
      <c r="I75" s="319"/>
      <c r="J75" s="319"/>
      <c r="K75" s="319"/>
      <c r="L75" s="319"/>
      <c r="M75" s="319"/>
      <c r="N75" s="319"/>
      <c r="O75" s="319"/>
      <c r="P75" s="319"/>
      <c r="Q75" s="319"/>
      <c r="R75" s="319"/>
      <c r="S75" s="319"/>
      <c r="T75" s="319"/>
    </row>
    <row r="76" spans="1:21" ht="13.2" hidden="1">
      <c r="A76" s="319"/>
      <c r="B76" s="319" t="str">
        <f>Language!C1617</f>
        <v>Leste</v>
      </c>
      <c r="C76" s="319" t="str">
        <f>Language!C1663</f>
        <v>Fixo</v>
      </c>
      <c r="D76" s="319" t="str">
        <f>Language!C1345</f>
        <v>po</v>
      </c>
      <c r="E76" s="319" t="str">
        <f>Language!C1329</f>
        <v>pe²</v>
      </c>
      <c r="F76" s="319" t="str">
        <f>Language!C2185</f>
        <v>(Btu/h)/pé²/°F</v>
      </c>
      <c r="G76" s="319"/>
      <c r="H76" s="319"/>
      <c r="I76" s="319"/>
      <c r="J76" s="319"/>
      <c r="K76" s="319"/>
      <c r="L76" s="319"/>
      <c r="M76" s="319"/>
      <c r="N76" s="319"/>
      <c r="O76" s="319"/>
      <c r="P76" s="319"/>
      <c r="Q76" s="319"/>
      <c r="R76" s="319"/>
      <c r="S76" s="319"/>
      <c r="T76" s="319"/>
    </row>
    <row r="77" spans="1:21" ht="13.2" hidden="1">
      <c r="A77" s="319"/>
      <c r="B77" s="319" t="str">
        <f>Language!C1993</f>
        <v>Sul</v>
      </c>
      <c r="C77" s="319" t="str">
        <f>Language!C1867</f>
        <v>Porta do pátio</v>
      </c>
      <c r="D77" s="319"/>
      <c r="E77" s="319"/>
      <c r="F77" s="319"/>
      <c r="G77" s="319"/>
      <c r="H77" s="319"/>
      <c r="I77" s="319"/>
      <c r="J77" s="319"/>
      <c r="K77" s="319"/>
      <c r="L77" s="319"/>
      <c r="M77" s="319"/>
      <c r="N77" s="319"/>
      <c r="O77" s="319"/>
      <c r="P77" s="319"/>
      <c r="Q77" s="319"/>
      <c r="R77" s="319"/>
      <c r="S77" s="319"/>
      <c r="T77" s="319"/>
    </row>
    <row r="78" spans="1:21" ht="13.2" hidden="1">
      <c r="A78" s="319"/>
      <c r="B78" s="319" t="str">
        <f>Language!C2079</f>
        <v>Oeste</v>
      </c>
      <c r="C78" s="319" t="str">
        <f>Language!C1975</f>
        <v>Trilho</v>
      </c>
      <c r="D78" s="319"/>
      <c r="E78" s="319"/>
      <c r="F78" s="319"/>
      <c r="G78" s="319"/>
      <c r="H78" s="319"/>
      <c r="I78" s="319"/>
      <c r="J78" s="319"/>
      <c r="K78" s="319"/>
      <c r="L78" s="319"/>
      <c r="M78" s="319"/>
      <c r="N78" s="319"/>
      <c r="O78" s="319"/>
      <c r="P78" s="319"/>
      <c r="Q78" s="319"/>
      <c r="R78" s="319"/>
      <c r="S78" s="319"/>
      <c r="T78" s="319"/>
    </row>
    <row r="80" spans="1:21" ht="13.35" hidden="1" customHeight="1" thickBot="1"/>
    <row r="81" spans="1:15" s="950" customFormat="1" ht="13.35" hidden="1" customHeight="1" thickBot="1">
      <c r="A81" s="951">
        <v>1</v>
      </c>
      <c r="B81"/>
      <c r="C81" s="951" t="s">
        <v>5091</v>
      </c>
      <c r="I81" s="948">
        <v>2.73</v>
      </c>
      <c r="J81" s="949">
        <v>0.75</v>
      </c>
      <c r="K81" s="949">
        <v>2.5299999999999998</v>
      </c>
      <c r="L81" s="952">
        <v>0.55000000000000004</v>
      </c>
      <c r="O81" s="951" t="s">
        <v>970</v>
      </c>
    </row>
  </sheetData>
  <mergeCells count="14">
    <mergeCell ref="A1:P1"/>
    <mergeCell ref="D34:G34"/>
    <mergeCell ref="I5:J5"/>
    <mergeCell ref="K5:L5"/>
    <mergeCell ref="M5:N5"/>
    <mergeCell ref="A2:D2"/>
    <mergeCell ref="A4:D4"/>
    <mergeCell ref="A34:C34"/>
    <mergeCell ref="M35:N35"/>
    <mergeCell ref="B68:C68"/>
    <mergeCell ref="E64:H64"/>
    <mergeCell ref="J64:M64"/>
    <mergeCell ref="I35:J35"/>
    <mergeCell ref="K35:L35"/>
  </mergeCells>
  <phoneticPr fontId="17" type="noConversion"/>
  <dataValidations count="4">
    <dataValidation type="list" allowBlank="1" showInputMessage="1" showErrorMessage="1" sqref="B8:B32 B38:B62" xr:uid="{E1648864-8CD7-4D8A-B133-6F5D9B64775A}">
      <formula1>$B$75:$B$78</formula1>
    </dataValidation>
    <dataValidation type="list" allowBlank="1" showInputMessage="1" showErrorMessage="1" sqref="C8:C32 C38:C62" xr:uid="{05F2DFF8-ABAB-4359-87F5-DD9FB8302904}">
      <formula1>$C$75:$C$78</formula1>
    </dataValidation>
    <dataValidation type="list" allowBlank="1" showInputMessage="1" showErrorMessage="1" sqref="D7" xr:uid="{CDF17200-18C7-4AB3-BE0C-5CEE162BC0CC}">
      <formula1>$D$75:$D$76</formula1>
    </dataValidation>
    <dataValidation type="list" allowBlank="1" showInputMessage="1" showErrorMessage="1" sqref="I7" xr:uid="{106F88F6-FB2D-4008-8747-C8F16B7FE0FC}">
      <formula1>$F$75:$F$76</formula1>
    </dataValidation>
  </dataValidations>
  <pageMargins left="0.75" right="0.75" top="0.52" bottom="1" header="0.5" footer="0.5"/>
  <pageSetup scale="50" orientation="portrait" r:id="rId1"/>
  <headerFooter alignWithMargins="0">
    <oddFooter>&amp;L_x000D_Danish - Dansk&amp;R27/04/2007_x000D_RETScreen4-v177-37.xls</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181F8-DF28-4EDE-8523-8BF7C47FEFBE}">
  <sheetPr codeName="CHP_EET2"/>
  <dimension ref="A1:AW183"/>
  <sheetViews>
    <sheetView topLeftCell="A137" workbookViewId="0">
      <selection activeCell="O168" sqref="O168"/>
    </sheetView>
  </sheetViews>
  <sheetFormatPr defaultRowHeight="12.75" customHeight="1"/>
  <cols>
    <col min="3" max="3" width="11" bestFit="1" customWidth="1"/>
    <col min="4" max="4" width="11.44140625" customWidth="1"/>
    <col min="7" max="7" width="9.44140625" customWidth="1"/>
    <col min="10" max="10" width="9.88671875" customWidth="1"/>
    <col min="14" max="14" width="18.5546875" customWidth="1"/>
    <col min="21" max="26" width="11" customWidth="1"/>
  </cols>
  <sheetData>
    <row r="1" spans="4:15" ht="13.2">
      <c r="D1" t="s">
        <v>4826</v>
      </c>
      <c r="N1" t="s">
        <v>1594</v>
      </c>
    </row>
    <row r="3" spans="4:15" ht="13.2">
      <c r="D3" t="s">
        <v>4953</v>
      </c>
      <c r="G3" t="s">
        <v>3584</v>
      </c>
      <c r="J3" t="s">
        <v>3535</v>
      </c>
      <c r="N3" t="s">
        <v>3296</v>
      </c>
    </row>
    <row r="4" spans="4:15" ht="13.2">
      <c r="D4" t="s">
        <v>5878</v>
      </c>
      <c r="E4">
        <v>365</v>
      </c>
      <c r="F4">
        <v>24</v>
      </c>
      <c r="G4" t="str">
        <f>Language!C1352</f>
        <v>kg</v>
      </c>
      <c r="H4">
        <v>1</v>
      </c>
      <c r="J4" t="str">
        <f>Language!C1366</f>
        <v>L</v>
      </c>
      <c r="K4">
        <v>1</v>
      </c>
      <c r="N4" t="s">
        <v>60</v>
      </c>
      <c r="O4">
        <f>'Modelo Energético '!W723</f>
        <v>13.738479452054793</v>
      </c>
    </row>
    <row r="5" spans="4:15" ht="13.2">
      <c r="D5" t="s">
        <v>3075</v>
      </c>
      <c r="E5">
        <f>E4/7</f>
        <v>52.142857142857146</v>
      </c>
      <c r="F5">
        <v>168</v>
      </c>
      <c r="G5" t="str">
        <f>Language!C1367</f>
        <v>lb</v>
      </c>
      <c r="H5">
        <v>2.2046226218487757</v>
      </c>
      <c r="J5" t="str">
        <f>Language!C1334</f>
        <v>gal</v>
      </c>
      <c r="K5">
        <v>0.26417205235814845</v>
      </c>
      <c r="N5" t="s">
        <v>4534</v>
      </c>
      <c r="O5">
        <f>'Modelo Energético '!W724</f>
        <v>17.868479452054792</v>
      </c>
    </row>
    <row r="6" spans="4:15" ht="13.2">
      <c r="D6" t="s">
        <v>1940</v>
      </c>
      <c r="E6">
        <v>12</v>
      </c>
      <c r="F6">
        <v>730</v>
      </c>
    </row>
    <row r="7" spans="4:15" ht="13.2">
      <c r="D7" t="s">
        <v>4755</v>
      </c>
      <c r="E7">
        <v>1</v>
      </c>
      <c r="F7">
        <v>8760</v>
      </c>
      <c r="G7" t="s">
        <v>5448</v>
      </c>
      <c r="J7" t="s">
        <v>2821</v>
      </c>
      <c r="N7" t="s">
        <v>5595</v>
      </c>
    </row>
    <row r="8" spans="4:15" ht="13.2">
      <c r="G8" t="str">
        <f>Language!C1363</f>
        <v>kPa</v>
      </c>
      <c r="H8">
        <v>1000</v>
      </c>
      <c r="I8">
        <v>0.14503795661859201</v>
      </c>
      <c r="J8" t="str">
        <f>Language!C1310</f>
        <v>°C</v>
      </c>
      <c r="K8">
        <v>1</v>
      </c>
      <c r="N8" t="str">
        <f>Language!C1737</f>
        <v>Casa</v>
      </c>
      <c r="O8">
        <f>'Modelo Energético '!D1150</f>
        <v>60</v>
      </c>
    </row>
    <row r="9" spans="4:15" ht="13.2">
      <c r="D9" t="s">
        <v>744</v>
      </c>
      <c r="G9" t="str">
        <f>Language!C1319</f>
        <v>bar</v>
      </c>
      <c r="H9">
        <v>10</v>
      </c>
      <c r="I9">
        <v>14.50379566185919</v>
      </c>
      <c r="J9" t="str">
        <f>Language!C1313</f>
        <v>°F</v>
      </c>
      <c r="K9">
        <v>1.8</v>
      </c>
      <c r="L9">
        <v>40</v>
      </c>
      <c r="N9" t="str">
        <f>Language!C1481</f>
        <v>Apartamento</v>
      </c>
      <c r="O9">
        <f>'Modelo Energético '!D1151</f>
        <v>169.45</v>
      </c>
    </row>
    <row r="10" spans="4:15" ht="13.2">
      <c r="D10" t="str">
        <f>Language!C1364</f>
        <v>kW</v>
      </c>
      <c r="E10">
        <v>1</v>
      </c>
      <c r="G10" t="str">
        <f>Language!C1401</f>
        <v>psig</v>
      </c>
      <c r="H10">
        <v>1.4503795661859189</v>
      </c>
      <c r="I10">
        <v>1</v>
      </c>
      <c r="J10" t="s">
        <v>694</v>
      </c>
      <c r="K10">
        <v>273.14999999999998</v>
      </c>
      <c r="N10" t="str">
        <f>Language!C1735</f>
        <v>Hotel/Motel</v>
      </c>
      <c r="O10">
        <f>'Modelo Energético '!D1152</f>
        <v>75.8</v>
      </c>
    </row>
    <row r="11" spans="4:15" ht="13.2">
      <c r="D11" t="str">
        <f>Language!C1383</f>
        <v>milhão Btu/h</v>
      </c>
      <c r="E11">
        <f>Ferramentas!F750</f>
        <v>3.4121416331279429E-3</v>
      </c>
      <c r="G11" t="str">
        <f>Language!C1400</f>
        <v>psia</v>
      </c>
      <c r="H11">
        <f>Ferramentas!F711*10</f>
        <v>145.03795661859189</v>
      </c>
      <c r="N11" t="str">
        <f>Language!C1734</f>
        <v>Hospital</v>
      </c>
      <c r="O11">
        <f>'Modelo Energético '!D1153</f>
        <v>196.84</v>
      </c>
    </row>
    <row r="12" spans="4:15" ht="13.2">
      <c r="D12" t="str">
        <f>Language!C1403</f>
        <v>TR</v>
      </c>
      <c r="E12">
        <f>Ferramentas!F748</f>
        <v>0.28434513609399525</v>
      </c>
      <c r="G12" t="s">
        <v>3985</v>
      </c>
      <c r="H12">
        <f>Ferramentas!E831</f>
        <v>14.695970954378822</v>
      </c>
      <c r="L12" t="s">
        <v>3647</v>
      </c>
      <c r="N12" t="str">
        <f>Language!C1850</f>
        <v>Escritório</v>
      </c>
      <c r="O12">
        <f>'Modelo Energético '!D1154</f>
        <v>3.8</v>
      </c>
    </row>
    <row r="13" spans="4:15" ht="13.2">
      <c r="D13" t="str">
        <f>Language!C2212</f>
        <v>hp</v>
      </c>
      <c r="E13">
        <f>Ferramentas!F754</f>
        <v>1.3404825737265416</v>
      </c>
      <c r="G13" t="s">
        <v>1219</v>
      </c>
      <c r="J13" t="s">
        <v>3647</v>
      </c>
      <c r="L13" t="str">
        <f>Language!C2228</f>
        <v>L/s</v>
      </c>
      <c r="M13">
        <v>1</v>
      </c>
      <c r="N13" t="str">
        <f>Language!C1653</f>
        <v>Restaurante - Fast food</v>
      </c>
      <c r="O13">
        <f>'Modelo Energético '!D1155</f>
        <v>2.6</v>
      </c>
    </row>
    <row r="14" spans="4:15" ht="13.2">
      <c r="G14" t="str">
        <f>Language!C1396</f>
        <v>MWh</v>
      </c>
      <c r="H14">
        <v>1</v>
      </c>
      <c r="J14" t="str">
        <f>Language!C2228</f>
        <v>L/s</v>
      </c>
      <c r="K14">
        <v>3600</v>
      </c>
      <c r="L14" t="str">
        <f>Language!C2227</f>
        <v>L/min</v>
      </c>
      <c r="M14">
        <f>M13*60</f>
        <v>60</v>
      </c>
      <c r="N14" t="str">
        <f>Language!C1940</f>
        <v>Restaurante</v>
      </c>
      <c r="O14">
        <f>'Modelo Energético '!D1156</f>
        <v>9.1</v>
      </c>
    </row>
    <row r="15" spans="4:15" ht="13.2">
      <c r="D15" t="str">
        <f>Language!C1374</f>
        <v>m²</v>
      </c>
      <c r="E15">
        <v>1</v>
      </c>
      <c r="G15" t="str">
        <f>Language!C1335</f>
        <v>GJ</v>
      </c>
      <c r="H15">
        <v>3.6</v>
      </c>
      <c r="J15" t="str">
        <f>Language!C2227</f>
        <v>L/min</v>
      </c>
      <c r="K15">
        <v>60</v>
      </c>
      <c r="L15" t="str">
        <f>Language!C2223</f>
        <v>L/d</v>
      </c>
      <c r="M15">
        <f>M13*60*60*24</f>
        <v>86400</v>
      </c>
      <c r="N15" t="str">
        <f>Language!C1958</f>
        <v>Escola</v>
      </c>
      <c r="O15">
        <f>'Modelo Energético '!D1157</f>
        <v>2.2999999999999998</v>
      </c>
    </row>
    <row r="16" spans="4:15" ht="13.2">
      <c r="D16" t="str">
        <f>Language!C1329</f>
        <v>pe²</v>
      </c>
      <c r="E16">
        <v>9.2903039999999978E-2</v>
      </c>
      <c r="G16" t="str">
        <f>Language!C1382</f>
        <v>milhão Btu</v>
      </c>
      <c r="H16">
        <v>3.4121416331279426</v>
      </c>
      <c r="J16" t="str">
        <f>Language!C1355</f>
        <v>kg/h</v>
      </c>
      <c r="K16">
        <v>1</v>
      </c>
      <c r="L16" t="str">
        <f>Language!C1376</f>
        <v>m³/h</v>
      </c>
      <c r="M16">
        <v>3.6</v>
      </c>
      <c r="N16" t="str">
        <f>Language!C1959</f>
        <v>Escola - com chuveiros</v>
      </c>
      <c r="O16">
        <f>'Modelo Energético '!D1158</f>
        <v>6.8</v>
      </c>
    </row>
    <row r="17" spans="3:18" ht="13.2">
      <c r="D17" t="str">
        <f>Language!C1372</f>
        <v>m</v>
      </c>
      <c r="E17">
        <v>1</v>
      </c>
      <c r="J17" t="str">
        <f>Language!C1368</f>
        <v>lb/h</v>
      </c>
      <c r="K17">
        <v>0.45359237000000002</v>
      </c>
      <c r="L17" t="str">
        <f>Language!C2383</f>
        <v>gal/min</v>
      </c>
      <c r="M17">
        <f>K5*60</f>
        <v>15.850323141488907</v>
      </c>
      <c r="N17" t="str">
        <f>Language!C1772</f>
        <v>Lavanderia</v>
      </c>
      <c r="O17">
        <f>'Modelo Energético '!D1159</f>
        <v>173</v>
      </c>
    </row>
    <row r="18" spans="3:18" ht="13.2">
      <c r="D18" t="str">
        <f>Language!C1327</f>
        <v>pe</v>
      </c>
      <c r="E18">
        <v>0.30480000000000002</v>
      </c>
      <c r="G18" t="s">
        <v>3647</v>
      </c>
      <c r="J18" t="str">
        <f>Language!C2383</f>
        <v>gal/min</v>
      </c>
      <c r="K18">
        <v>227.12470703999998</v>
      </c>
      <c r="L18" t="str">
        <f>Language!C2610</f>
        <v>gal/d</v>
      </c>
      <c r="M18">
        <f>M17*60*24</f>
        <v>22824.465323744029</v>
      </c>
      <c r="N18" t="str">
        <f>Language!C1515</f>
        <v>Lava carro</v>
      </c>
      <c r="O18">
        <f>'Modelo Energético '!D1160</f>
        <v>34</v>
      </c>
    </row>
    <row r="19" spans="3:18" ht="13.2">
      <c r="G19" t="str">
        <f>Language!C2228</f>
        <v>L/s</v>
      </c>
      <c r="H19">
        <v>1</v>
      </c>
    </row>
    <row r="20" spans="3:18" ht="13.2">
      <c r="D20" t="s">
        <v>1876</v>
      </c>
      <c r="G20" t="str">
        <f>Language!C2227</f>
        <v>L/min</v>
      </c>
      <c r="H20">
        <v>60</v>
      </c>
      <c r="J20" t="str">
        <f>Language!C2249</f>
        <v>s</v>
      </c>
      <c r="K20">
        <v>1</v>
      </c>
      <c r="M20" t="str">
        <f>Language!C2195</f>
        <v>pcm</v>
      </c>
      <c r="N20">
        <v>1</v>
      </c>
    </row>
    <row r="21" spans="3:18" ht="13.2">
      <c r="D21" t="str">
        <f>Language!C2623</f>
        <v>kg/m³</v>
      </c>
      <c r="E21">
        <v>1</v>
      </c>
      <c r="G21" t="str">
        <f>Language!C2383</f>
        <v>gal/min</v>
      </c>
      <c r="H21">
        <v>15.850323141488907</v>
      </c>
      <c r="J21" t="str">
        <f>Language!C2242</f>
        <v>min</v>
      </c>
      <c r="K21">
        <v>60</v>
      </c>
      <c r="M21" t="str">
        <f>Language!C2238</f>
        <v>m³/s</v>
      </c>
      <c r="N21">
        <v>1</v>
      </c>
    </row>
    <row r="22" spans="3:18" ht="13.2">
      <c r="D22" t="str">
        <f>Language!C2624</f>
        <v>lb/pe³</v>
      </c>
      <c r="E22">
        <v>6.2427960576144595E-2</v>
      </c>
      <c r="J22" t="str">
        <f>Language!C1339</f>
        <v>h</v>
      </c>
      <c r="K22">
        <v>3600</v>
      </c>
    </row>
    <row r="23" spans="3:18" ht="13.2">
      <c r="H23" t="s">
        <v>5648</v>
      </c>
    </row>
    <row r="24" spans="3:18" ht="13.2">
      <c r="D24" t="s">
        <v>2980</v>
      </c>
      <c r="H24" t="str">
        <f>Language!C2625</f>
        <v>kJ/kg/°C</v>
      </c>
      <c r="I24">
        <v>1</v>
      </c>
      <c r="J24" t="str">
        <f>Language!C2228</f>
        <v>L/s</v>
      </c>
      <c r="K24">
        <v>1</v>
      </c>
      <c r="N24" t="s">
        <v>4253</v>
      </c>
      <c r="Q24" t="s">
        <v>3758</v>
      </c>
    </row>
    <row r="25" spans="3:18" ht="13.2">
      <c r="D25">
        <v>3600000</v>
      </c>
      <c r="E25" t="s">
        <v>706</v>
      </c>
      <c r="H25" t="str">
        <f>Language!C2626</f>
        <v>Btu/lb/°F</v>
      </c>
      <c r="I25">
        <v>0.23884589662749603</v>
      </c>
      <c r="J25" t="str">
        <f>Language!C1376</f>
        <v>m³/h</v>
      </c>
      <c r="K25">
        <v>3.6</v>
      </c>
      <c r="N25" t="str">
        <f>Language!C2332</f>
        <v>Sala de aula</v>
      </c>
      <c r="O25" s="219">
        <v>500</v>
      </c>
      <c r="Q25" s="146" t="str">
        <f>Language!C2521</f>
        <v>Halógena de metal cerâmico</v>
      </c>
      <c r="R25">
        <v>80.400000000000006</v>
      </c>
    </row>
    <row r="26" spans="3:18" ht="13.2">
      <c r="D26">
        <v>4.2</v>
      </c>
      <c r="E26" t="s">
        <v>140</v>
      </c>
      <c r="J26" t="str">
        <f>Language!C1331 &amp; "/" &amp; Language!C2242</f>
        <v>pe³/min</v>
      </c>
      <c r="K26">
        <v>2.1188800032893158</v>
      </c>
      <c r="N26" t="str">
        <f>Language!C2539</f>
        <v>Corredor</v>
      </c>
      <c r="O26" s="219">
        <v>100</v>
      </c>
      <c r="Q26" s="146" t="str">
        <f>Language!C2522</f>
        <v>Fluorescente compacta - plug in</v>
      </c>
      <c r="R26">
        <v>64.3</v>
      </c>
    </row>
    <row r="27" spans="3:18" ht="13.2">
      <c r="D27">
        <f>SteamP</f>
        <v>1.1100000000000001E-3</v>
      </c>
      <c r="E27" t="s">
        <v>1981</v>
      </c>
      <c r="N27" t="str">
        <f>Language!C2540</f>
        <v>Refeitório</v>
      </c>
      <c r="O27" s="219">
        <v>100</v>
      </c>
      <c r="Q27" s="146" t="str">
        <f>Language!C2523</f>
        <v>Fluorescente compacta - rosquear</v>
      </c>
      <c r="R27">
        <v>56.7</v>
      </c>
    </row>
    <row r="28" spans="3:18" ht="13.2">
      <c r="D28" s="496">
        <v>0.17611018368230585</v>
      </c>
      <c r="E28" t="s">
        <v>2875</v>
      </c>
      <c r="J28" t="str">
        <f>Language!C2229</f>
        <v>L/s/m²</v>
      </c>
      <c r="K28">
        <v>1</v>
      </c>
      <c r="N28" t="str">
        <f>Language!C2385</f>
        <v>Ginásio</v>
      </c>
      <c r="O28" s="219">
        <v>300</v>
      </c>
      <c r="Q28" s="146" t="str">
        <f>Language!C2524</f>
        <v>Fluorescente T8 - reator eletrônico</v>
      </c>
      <c r="R28">
        <v>85.5</v>
      </c>
    </row>
    <row r="29" spans="3:18" ht="13.2">
      <c r="H29" t="s">
        <v>726</v>
      </c>
      <c r="J29" t="str">
        <f>Language!C2632</f>
        <v>pcm/pé²</v>
      </c>
      <c r="K29">
        <v>22.807434539163804</v>
      </c>
      <c r="N29" t="str">
        <f>Language!C2413</f>
        <v>Cozinha</v>
      </c>
      <c r="O29" s="219">
        <v>500</v>
      </c>
      <c r="Q29" s="146" t="str">
        <f>Language!C2525</f>
        <v>Fluorescente T5 - reator eletrônico</v>
      </c>
      <c r="R29">
        <v>90.6</v>
      </c>
    </row>
    <row r="30" spans="3:18" ht="13.2">
      <c r="D30" t="s">
        <v>4322</v>
      </c>
      <c r="F30" t="s">
        <v>2506</v>
      </c>
      <c r="G30" t="s">
        <v>726</v>
      </c>
      <c r="H30" t="s">
        <v>1271</v>
      </c>
      <c r="I30" t="s">
        <v>3395</v>
      </c>
      <c r="J30" t="s">
        <v>5914</v>
      </c>
      <c r="K30">
        <f>IF(ISERROR('Modelo Energético '!D33),0,'Modelo Energético '!D33)</f>
        <v>166</v>
      </c>
      <c r="L30" t="str">
        <f>'Modelo Energético '!B33</f>
        <v>Duração da estação de calor</v>
      </c>
      <c r="N30" t="str">
        <f>Language!C2541</f>
        <v>Biblioteca</v>
      </c>
      <c r="O30" s="219">
        <v>300</v>
      </c>
      <c r="Q30" s="146" t="str">
        <f>Language!C2526</f>
        <v>Fluorescente T12 - reator eletrônico</v>
      </c>
      <c r="R30">
        <v>76.400000000000006</v>
      </c>
    </row>
    <row r="31" spans="3:18" ht="13.2">
      <c r="C31">
        <v>0</v>
      </c>
      <c r="D31" t="str">
        <f>Language!C2469 &amp; " 1"</f>
        <v>Horário 1</v>
      </c>
      <c r="E31" s="204">
        <f>'Modelo Energético '!E29</f>
        <v>8760</v>
      </c>
      <c r="F31" s="204">
        <f>IF(ISERROR(IF('Modelo Energético '!E16="",'Modelo Energético '!Q17,'Modelo Energético '!Q16)),0,IF('Modelo Energético '!E16="",'Modelo Energético '!Q17,'Modelo Energético '!Q16))</f>
        <v>0</v>
      </c>
      <c r="G31" s="204">
        <f>IF(ISERROR(IF('Modelo Energético '!E17="",'Modelo Energético '!Q16,'Modelo Energético '!Q17)),0,IF('Modelo Energético '!E17="",'Modelo Energético '!Q16,'Modelo Energético '!Q17))</f>
        <v>0</v>
      </c>
      <c r="H31" s="204">
        <f>EET!CH16</f>
        <v>0</v>
      </c>
      <c r="I31" s="204">
        <v>0</v>
      </c>
      <c r="J31" t="str">
        <f>'Modelo Energético '!E$14</f>
        <v>24/7</v>
      </c>
      <c r="K31" s="342">
        <f>EET!CE16</f>
        <v>0</v>
      </c>
      <c r="L31" t="b">
        <f>IF(AND('Modelo Energético '!E16="",'Modelo Energético '!E17=""),FALSE,TRUE)</f>
        <v>0</v>
      </c>
      <c r="N31" t="str">
        <f>Language!C2542</f>
        <v>Hall</v>
      </c>
      <c r="O31" s="219">
        <v>100</v>
      </c>
      <c r="Q31" s="146" t="str">
        <f>Language!C2527</f>
        <v>Fluorescente T5 - BE saída elevada</v>
      </c>
      <c r="R31">
        <v>80.599999999999994</v>
      </c>
    </row>
    <row r="32" spans="3:18" ht="13.2">
      <c r="C32">
        <v>1</v>
      </c>
      <c r="D32" t="str">
        <f>Language!C2469 &amp; " 2"</f>
        <v>Horário 2</v>
      </c>
      <c r="E32" s="204">
        <f>'Modelo Energético '!F29</f>
        <v>0</v>
      </c>
      <c r="F32" s="204">
        <f>IF(ISERROR(IF('Modelo Energético '!F16="",'Modelo Energético '!R17,'Modelo Energético '!R16)),0,IF('Modelo Energético '!F16="",'Modelo Energético '!R17,'Modelo Energético '!R16))</f>
        <v>0</v>
      </c>
      <c r="G32" s="204">
        <f>IF(ISERROR(IF('Modelo Energético '!F17="",'Modelo Energético '!R16,'Modelo Energético '!R17)),0,IF('Modelo Energético '!F17="",'Modelo Energético '!R16,'Modelo Energético '!R17))</f>
        <v>0</v>
      </c>
      <c r="H32" s="204">
        <f>EET!CH17</f>
        <v>0</v>
      </c>
      <c r="I32" s="204">
        <f>IF(ISERROR('Modelo Energético '!R19),0,'Modelo Energético '!R19)</f>
        <v>0</v>
      </c>
      <c r="J32">
        <f>'Modelo Energético '!F$14</f>
        <v>0</v>
      </c>
      <c r="K32" s="344">
        <f>EET!CE17</f>
        <v>0</v>
      </c>
      <c r="L32" t="b">
        <f>IF(AND('Modelo Energético '!F16="",'Modelo Energético '!F17=""),FALSE,TRUE)</f>
        <v>0</v>
      </c>
      <c r="N32" t="str">
        <f>Language!C2543</f>
        <v>Fabricação</v>
      </c>
      <c r="O32" s="219">
        <v>300</v>
      </c>
      <c r="Q32" s="146" t="str">
        <f>Language!C2528</f>
        <v>Fluorescente T12 - BM saída elevada</v>
      </c>
      <c r="R32">
        <v>54.3</v>
      </c>
    </row>
    <row r="33" spans="3:18" ht="13.2">
      <c r="C33">
        <v>2</v>
      </c>
      <c r="D33" t="str">
        <f>Language!C2469 &amp; " 3"</f>
        <v>Horário 3</v>
      </c>
      <c r="E33" s="204">
        <f>'Modelo Energético '!G29</f>
        <v>0</v>
      </c>
      <c r="F33" s="204">
        <f>IF(ISERROR(IF('Modelo Energético '!G16="",'Modelo Energético '!S17,'Modelo Energético '!S16)),0,IF('Modelo Energético '!G16="",'Modelo Energético '!S17,'Modelo Energético '!S16))</f>
        <v>0</v>
      </c>
      <c r="G33" s="204">
        <f>IF(ISERROR(IF('Modelo Energético '!G17="",'Modelo Energético '!S16,'Modelo Energético '!S17)),0,IF('Modelo Energético '!G17="",'Modelo Energético '!S16,'Modelo Energético '!S17))</f>
        <v>0</v>
      </c>
      <c r="H33" s="204">
        <f>EET!CH18</f>
        <v>0</v>
      </c>
      <c r="I33" s="204">
        <f>IF(ISERROR('Modelo Energético '!S19),0,'Modelo Energético '!S19)</f>
        <v>0</v>
      </c>
      <c r="J33">
        <f>'Modelo Energético '!G$14</f>
        <v>0</v>
      </c>
      <c r="K33" s="344">
        <f>EET!CE18</f>
        <v>0</v>
      </c>
      <c r="L33" t="b">
        <f>IF(AND('Modelo Energético '!G16="",'Modelo Energético '!G17=""),FALSE,TRUE)</f>
        <v>0</v>
      </c>
      <c r="N33" t="str">
        <f>Language!C2544</f>
        <v>Sala de Reunião</v>
      </c>
      <c r="O33" s="219">
        <v>300</v>
      </c>
      <c r="Q33" s="146" t="str">
        <f>Language!C2529</f>
        <v>Fluorescente T8 - reator magnético</v>
      </c>
      <c r="R33">
        <v>71.7</v>
      </c>
    </row>
    <row r="34" spans="3:18" ht="13.2">
      <c r="C34">
        <v>3</v>
      </c>
      <c r="D34" t="str">
        <f>Language!C2469 &amp; " 4"</f>
        <v>Horário 4</v>
      </c>
      <c r="E34" s="204">
        <f>'Modelo Energético '!H29</f>
        <v>0</v>
      </c>
      <c r="F34" s="204">
        <f>IF(ISERROR(IF('Modelo Energético '!H16="",'Modelo Energético '!T17,'Modelo Energético '!T16)),0,IF('Modelo Energético '!H16="",'Modelo Energético '!T17,'Modelo Energético '!T16))</f>
        <v>0</v>
      </c>
      <c r="G34" s="204">
        <f>IF(ISERROR(IF('Modelo Energético '!H17="",'Modelo Energético '!T16,'Modelo Energético '!T17)),0,IF('Modelo Energético '!H17="",'Modelo Energético '!T16,'Modelo Energético '!T17))</f>
        <v>0</v>
      </c>
      <c r="H34" s="204">
        <f>EET!CH19</f>
        <v>0</v>
      </c>
      <c r="I34" s="204">
        <f>IF(ISERROR('Modelo Energético '!T19),0,'Modelo Energético '!T19)</f>
        <v>0</v>
      </c>
      <c r="J34">
        <f>'Modelo Energético '!H$14</f>
        <v>0</v>
      </c>
      <c r="K34" s="344">
        <f>EET!CE19</f>
        <v>0</v>
      </c>
      <c r="L34" t="b">
        <f>IF(AND('Modelo Energético '!H16="",'Modelo Energético '!H17=""),FALSE,TRUE)</f>
        <v>0</v>
      </c>
      <c r="N34" t="str">
        <f>Language!C1850</f>
        <v>Escritório</v>
      </c>
      <c r="O34" s="219" t="s">
        <v>5422</v>
      </c>
      <c r="Q34" s="146" t="str">
        <f>Language!C2530</f>
        <v>Fluorescente T12 - reator magnético</v>
      </c>
      <c r="R34">
        <v>50.5</v>
      </c>
    </row>
    <row r="35" spans="3:18" ht="13.2">
      <c r="C35">
        <v>4</v>
      </c>
      <c r="D35" t="str">
        <f>Language!C2469 &amp; " 5"</f>
        <v>Horário 5</v>
      </c>
      <c r="E35" s="204">
        <f>'Modelo Energético '!I29</f>
        <v>0</v>
      </c>
      <c r="F35" s="204">
        <f>IF(ISERROR(IF('Modelo Energético '!I16="",'Modelo Energético '!U17,'Modelo Energético '!U16)),0,IF('Modelo Energético '!I16="",'Modelo Energético '!U17,'Modelo Energético '!U16))</f>
        <v>0</v>
      </c>
      <c r="G35" s="204">
        <f>IF(ISERROR(IF('Modelo Energético '!I17="",'Modelo Energético '!U16,'Modelo Energético '!U17)),0,IF('Modelo Energético '!I17="",'Modelo Energético '!U16,'Modelo Energético '!U17))</f>
        <v>0</v>
      </c>
      <c r="H35" s="204">
        <f>EET!CH20</f>
        <v>0</v>
      </c>
      <c r="I35" s="204">
        <f>IF(ISERROR('Modelo Energético '!U19),0,'Modelo Energético '!U19)</f>
        <v>0</v>
      </c>
      <c r="J35">
        <f>'Modelo Energético '!I$14</f>
        <v>0</v>
      </c>
      <c r="K35" s="344">
        <f>EET!CE20</f>
        <v>0</v>
      </c>
      <c r="L35" t="b">
        <f>IF(AND('Modelo Energético '!I16="",'Modelo Energético '!I17=""),FALSE,TRUE)</f>
        <v>0</v>
      </c>
      <c r="N35" t="str">
        <f>Language!C2545</f>
        <v>Garagem de estacionamento</v>
      </c>
      <c r="O35" s="219">
        <v>100</v>
      </c>
      <c r="Q35" s="146" t="str">
        <f>Language!C2531</f>
        <v>Halogênio</v>
      </c>
      <c r="R35">
        <v>13</v>
      </c>
    </row>
    <row r="36" spans="3:18" ht="13.2">
      <c r="C36">
        <v>5</v>
      </c>
      <c r="D36" t="str">
        <f>Language!C2469 &amp; " 6"</f>
        <v>Horário 6</v>
      </c>
      <c r="E36" s="444">
        <f>'Modelo Energético '!J29</f>
        <v>0</v>
      </c>
      <c r="F36" s="444">
        <f>IF(ISERROR(IF('Modelo Energético '!J16="",'Modelo Energético '!V17,'Modelo Energético '!V16)),0,IF('Modelo Energético '!J16="",'Modelo Energético '!V17,'Modelo Energético '!V16))</f>
        <v>0</v>
      </c>
      <c r="G36" s="444">
        <f>IF(ISERROR(IF('Modelo Energético '!J17="",'Modelo Energético '!V16,'Modelo Energético '!V17)),0,IF('Modelo Energético '!J17="",'Modelo Energético '!V16,'Modelo Energético '!V17))</f>
        <v>0</v>
      </c>
      <c r="H36" s="204">
        <f>EET!CH21</f>
        <v>0</v>
      </c>
      <c r="I36" s="444">
        <f>IF(ISERROR('Modelo Energético '!V19),0,'Modelo Energético '!V19)</f>
        <v>0</v>
      </c>
      <c r="J36">
        <f>'Modelo Energético '!J$14</f>
        <v>0</v>
      </c>
      <c r="K36" s="344">
        <f>EET!CE21</f>
        <v>0</v>
      </c>
      <c r="L36" t="b">
        <f>IF(AND('Modelo Energético '!J16="",'Modelo Energético '!J17=""),FALSE,TRUE)</f>
        <v>0</v>
      </c>
      <c r="N36" t="str">
        <f>Language!C1937</f>
        <v>Residencial</v>
      </c>
      <c r="O36" s="219">
        <v>100</v>
      </c>
      <c r="Q36" s="146" t="str">
        <f>Language!C2532</f>
        <v>Vapor de sódio de alta pressão</v>
      </c>
      <c r="R36">
        <v>104.6</v>
      </c>
    </row>
    <row r="37" spans="3:18" ht="13.2">
      <c r="D37">
        <f>HideCode_projectType</f>
        <v>2</v>
      </c>
      <c r="I37" s="684"/>
      <c r="J37" s="684"/>
      <c r="K37" s="344" t="s">
        <v>2506</v>
      </c>
      <c r="N37" t="str">
        <f>Language!C2546</f>
        <v>Área de vendas</v>
      </c>
      <c r="O37" s="219">
        <v>500</v>
      </c>
      <c r="Q37" s="146" t="str">
        <f>Language!C2533</f>
        <v>Incandescente</v>
      </c>
      <c r="R37">
        <v>14.7</v>
      </c>
    </row>
    <row r="38" spans="3:18" ht="13.2">
      <c r="D38" t="s">
        <v>3467</v>
      </c>
      <c r="I38" s="684"/>
      <c r="J38" s="22"/>
      <c r="K38" s="343" t="s">
        <v>1271</v>
      </c>
      <c r="N38" t="str">
        <f>Language!C2547</f>
        <v>Escada</v>
      </c>
      <c r="O38" s="219">
        <v>100</v>
      </c>
      <c r="Q38" s="146" t="str">
        <f>Language!C2534</f>
        <v>Diodo foto emissor</v>
      </c>
      <c r="R38">
        <v>70</v>
      </c>
    </row>
    <row r="39" spans="3:18" ht="13.2">
      <c r="I39" s="684"/>
      <c r="J39" s="22"/>
      <c r="N39" t="str">
        <f>Language!C2548</f>
        <v>Local de armazenamento</v>
      </c>
      <c r="O39" s="219">
        <v>200</v>
      </c>
      <c r="Q39" s="146" t="str">
        <f>Language!C2535</f>
        <v>Vapor de Sódio de baixa pressão</v>
      </c>
      <c r="R39">
        <v>108</v>
      </c>
    </row>
    <row r="40" spans="3:18" ht="13.2">
      <c r="D40" t="s">
        <v>206</v>
      </c>
      <c r="N40" t="str">
        <f>Language!C2549</f>
        <v>Local de serviço</v>
      </c>
      <c r="O40" s="219">
        <v>200</v>
      </c>
      <c r="Q40" s="146" t="str">
        <f>Language!C2536</f>
        <v>Vapor de Mercúrio</v>
      </c>
      <c r="R40">
        <v>51.1</v>
      </c>
    </row>
    <row r="41" spans="3:18" ht="13.2">
      <c r="D41" t="s">
        <v>2654</v>
      </c>
      <c r="E41">
        <f>MIN(Iniciar!O58:O69)</f>
        <v>10</v>
      </c>
      <c r="F41" t="str">
        <f>Language!C1310</f>
        <v>°C</v>
      </c>
      <c r="J41" t="s">
        <v>2653</v>
      </c>
      <c r="N41" t="str">
        <f>Language!C2550</f>
        <v>Almoxarifado</v>
      </c>
      <c r="O41" s="219">
        <v>100</v>
      </c>
      <c r="Q41" s="146" t="str">
        <f>Language!C2537</f>
        <v>Vapor metálico - partida à sonda</v>
      </c>
      <c r="R41">
        <v>73</v>
      </c>
    </row>
    <row r="42" spans="3:18" ht="13.2">
      <c r="D42" t="s">
        <v>2652</v>
      </c>
      <c r="E42">
        <f>Iniciar!P52</f>
        <v>3.2999999999999972</v>
      </c>
      <c r="F42" t="str">
        <f>Language!C1310</f>
        <v>°C</v>
      </c>
      <c r="J42" t="str">
        <f>Language!C2233</f>
        <v>m² - ºC/W</v>
      </c>
      <c r="K42">
        <v>1</v>
      </c>
      <c r="L42">
        <v>1</v>
      </c>
      <c r="N42" t="str">
        <f>Language!C2516</f>
        <v>Banheiros</v>
      </c>
      <c r="O42" s="219">
        <v>100</v>
      </c>
      <c r="Q42" s="146" t="str">
        <f>Language!C2538</f>
        <v>Vapor metálico - partida pulso</v>
      </c>
      <c r="R42">
        <v>92.9</v>
      </c>
    </row>
    <row r="43" spans="3:18" ht="13.2">
      <c r="D43" t="s">
        <v>1788</v>
      </c>
      <c r="E43">
        <f>Iniciar!P53</f>
        <v>31.299999999999997</v>
      </c>
      <c r="F43" t="str">
        <f>Language!C1310</f>
        <v>°C</v>
      </c>
      <c r="J43" t="str">
        <f>Language!C2201</f>
        <v>pé² - ºF/(Btu/h)</v>
      </c>
      <c r="K43">
        <v>5.6785917092561045</v>
      </c>
      <c r="L43">
        <v>18.63055022721819</v>
      </c>
    </row>
    <row r="44" spans="3:18" ht="13.2">
      <c r="D44" t="s">
        <v>3921</v>
      </c>
      <c r="E44" s="204">
        <f>IF(ISERROR('Modelo Energético '!Q32),16,'Modelo Energético '!Q32)</f>
        <v>16</v>
      </c>
      <c r="F44" t="str">
        <f>Language!C1310</f>
        <v>°C</v>
      </c>
      <c r="J44" t="str">
        <f>Language!C2189</f>
        <v>(W/m²)/°C</v>
      </c>
      <c r="K44">
        <v>1</v>
      </c>
      <c r="L44">
        <v>1</v>
      </c>
      <c r="N44" t="str">
        <f>Language!C2506</f>
        <v>Não isolado / grade ao nível do solo</v>
      </c>
      <c r="O44">
        <v>0.72</v>
      </c>
    </row>
    <row r="45" spans="3:18" ht="13.2">
      <c r="D45" s="257" t="s">
        <v>3920</v>
      </c>
      <c r="E45" s="257">
        <v>1.1783790891015928</v>
      </c>
      <c r="F45" t="str">
        <f>Language!C2623</f>
        <v>kg/m³</v>
      </c>
      <c r="J45" t="str">
        <f>Language!C2185</f>
        <v>(Btu/h)/pé²/°F</v>
      </c>
      <c r="K45">
        <v>5.6785917092561045</v>
      </c>
      <c r="L45">
        <v>1.7308347529812607</v>
      </c>
      <c r="N45" t="str">
        <f>Language!C2505</f>
        <v>Não isolado / grade inferior</v>
      </c>
      <c r="O45">
        <v>0.4</v>
      </c>
    </row>
    <row r="46" spans="3:18" ht="13.2">
      <c r="D46" s="257" t="s">
        <v>1110</v>
      </c>
      <c r="E46" s="257">
        <v>1.004</v>
      </c>
      <c r="F46" t="str">
        <f>Language!C2625</f>
        <v>kJ/kg/°C</v>
      </c>
      <c r="N46" t="str">
        <f>Language!C2410</f>
        <v>Isolada / nível do solo</v>
      </c>
      <c r="O46">
        <v>0.62</v>
      </c>
    </row>
    <row r="47" spans="3:18" ht="13.2">
      <c r="D47" s="257" t="s">
        <v>3919</v>
      </c>
      <c r="E47" s="429">
        <v>0.6</v>
      </c>
      <c r="F47" t="s">
        <v>530</v>
      </c>
      <c r="J47" t="s">
        <v>4521</v>
      </c>
      <c r="N47" t="str">
        <f>Language!C2408</f>
        <v>Isolada / Grade inferior</v>
      </c>
      <c r="O47">
        <v>0.32</v>
      </c>
    </row>
    <row r="48" spans="3:18" ht="13.2">
      <c r="D48" s="257" t="s">
        <v>1704</v>
      </c>
      <c r="E48">
        <f>Iniciar!T70</f>
        <v>1188.3</v>
      </c>
      <c r="F48" t="str">
        <f>Language!C1310</f>
        <v>°C</v>
      </c>
      <c r="K48" t="str">
        <f>Language!C2515</f>
        <v>Muros</v>
      </c>
      <c r="L48" t="str">
        <f>Language!C2520</f>
        <v>Janelas</v>
      </c>
      <c r="M48" t="str">
        <f>Language!C2352</f>
        <v>Portas</v>
      </c>
      <c r="N48" t="str">
        <f>Language!C880</f>
        <v>Definido pelo usuário</v>
      </c>
    </row>
    <row r="49" spans="2:49" ht="13.2">
      <c r="D49" s="257" t="s">
        <v>3909</v>
      </c>
      <c r="E49">
        <f>Iniciar!U70</f>
        <v>2099.3000000000002</v>
      </c>
      <c r="F49" t="str">
        <f>Language!C1310</f>
        <v>°C</v>
      </c>
      <c r="J49" t="str">
        <f>Language!C2501</f>
        <v>Apertado</v>
      </c>
      <c r="K49">
        <v>0.1</v>
      </c>
      <c r="L49">
        <v>0.5</v>
      </c>
      <c r="M49">
        <v>1</v>
      </c>
    </row>
    <row r="50" spans="2:49" ht="13.2">
      <c r="D50" s="257" t="s">
        <v>1861</v>
      </c>
      <c r="E50">
        <f>Iniciar!E49</f>
        <v>40.200000000000003</v>
      </c>
      <c r="F50">
        <f>E50*PI()/180</f>
        <v>0.70162235930172046</v>
      </c>
      <c r="J50" t="str">
        <f>Language!C1809</f>
        <v>Médio</v>
      </c>
      <c r="K50">
        <v>0.5</v>
      </c>
      <c r="L50">
        <v>1</v>
      </c>
      <c r="M50">
        <v>3</v>
      </c>
    </row>
    <row r="51" spans="2:49" ht="13.2">
      <c r="D51" s="257" t="s">
        <v>4867</v>
      </c>
      <c r="E51">
        <v>90</v>
      </c>
      <c r="J51" t="str">
        <f>Language!C2419</f>
        <v>Com vazamento</v>
      </c>
      <c r="K51">
        <v>2</v>
      </c>
      <c r="L51">
        <v>5</v>
      </c>
      <c r="M51">
        <v>7</v>
      </c>
    </row>
    <row r="54" spans="2:49" ht="13.2">
      <c r="D54" t="s">
        <v>2980</v>
      </c>
    </row>
    <row r="55" spans="2:49" ht="13.2">
      <c r="D55">
        <v>3.6</v>
      </c>
      <c r="E55" t="s">
        <v>2829</v>
      </c>
    </row>
    <row r="56" spans="2:49" ht="13.2">
      <c r="D56">
        <v>21</v>
      </c>
      <c r="E56" t="s">
        <v>2979</v>
      </c>
    </row>
    <row r="57" spans="2:49" ht="13.2">
      <c r="D57">
        <v>18</v>
      </c>
      <c r="E57" t="s">
        <v>2979</v>
      </c>
      <c r="AW57" t="s">
        <v>3120</v>
      </c>
    </row>
    <row r="59" spans="2:49" ht="13.2">
      <c r="M59" t="str">
        <f>Language!C1498</f>
        <v>Caso de referência</v>
      </c>
      <c r="Q59" t="str">
        <f>Language!C1916</f>
        <v>Caso proposto</v>
      </c>
      <c r="U59" t="str">
        <f>Language!C2469 &amp; " 1"</f>
        <v>Horário 1</v>
      </c>
      <c r="V59" t="str">
        <f>Language!C2469 &amp; " 2"</f>
        <v>Horário 2</v>
      </c>
      <c r="W59" t="str">
        <f>Language!C2469 &amp; " 3"</f>
        <v>Horário 3</v>
      </c>
      <c r="X59" t="str">
        <f>Language!C2469 &amp; " 4"</f>
        <v>Horário 4</v>
      </c>
      <c r="Y59" t="str">
        <f>Language!C2469 &amp; " 5"</f>
        <v>Horário 5</v>
      </c>
      <c r="Z59" t="str">
        <f>Language!C2469 &amp; " 6"</f>
        <v>Horário 6</v>
      </c>
    </row>
    <row r="60" spans="2:49" ht="13.2">
      <c r="D60" t="s">
        <v>241</v>
      </c>
      <c r="E60" t="s">
        <v>2820</v>
      </c>
      <c r="F60" t="s">
        <v>3424</v>
      </c>
      <c r="G60" t="s">
        <v>351</v>
      </c>
      <c r="H60" t="s">
        <v>583</v>
      </c>
      <c r="I60" t="s">
        <v>1369</v>
      </c>
      <c r="J60" t="s">
        <v>294</v>
      </c>
      <c r="K60" t="s">
        <v>3432</v>
      </c>
      <c r="L60" t="s">
        <v>5807</v>
      </c>
      <c r="M60" t="s">
        <v>2229</v>
      </c>
      <c r="N60" t="s">
        <v>2230</v>
      </c>
      <c r="O60" t="s">
        <v>2231</v>
      </c>
      <c r="P60" t="s">
        <v>5087</v>
      </c>
      <c r="Q60" t="s">
        <v>2229</v>
      </c>
      <c r="R60" t="s">
        <v>2230</v>
      </c>
      <c r="S60" t="s">
        <v>2231</v>
      </c>
      <c r="T60" t="s">
        <v>5087</v>
      </c>
      <c r="U60" t="s">
        <v>5161</v>
      </c>
      <c r="V60" t="s">
        <v>5161</v>
      </c>
      <c r="W60" t="s">
        <v>5161</v>
      </c>
      <c r="X60" t="s">
        <v>5161</v>
      </c>
      <c r="Y60" t="s">
        <v>5161</v>
      </c>
    </row>
    <row r="61" spans="2:49" ht="13.2">
      <c r="B61">
        <v>31</v>
      </c>
      <c r="C61" t="s">
        <v>3015</v>
      </c>
      <c r="D61" s="430">
        <f>IF(Iniciar!O58&gt;$E$44,1,IF(Iniciar!O69&gt;$E$44,(Iniciar!O69-$E$44)/(Iniciar!O69-Iniciar!O58),IF(Iniciar!O59&gt;$E$44,(Iniciar!O59-$E$44)/(Iniciar!O59-Iniciar!O58),0)))</f>
        <v>0</v>
      </c>
      <c r="E61" t="b">
        <f>IF(Iniciar!O58&gt;Iniciar!$O$70, TRUE, FALSE)</f>
        <v>0</v>
      </c>
      <c r="F61" s="78">
        <f>Iniciar!P58*3.6</f>
        <v>7.1280000000000001</v>
      </c>
      <c r="G61" s="78">
        <f>Iniciar!AE58</f>
        <v>0.2</v>
      </c>
      <c r="H61" s="328">
        <v>17</v>
      </c>
      <c r="I61">
        <f>Iniciar!O58</f>
        <v>10</v>
      </c>
      <c r="J61">
        <f>Iniciar!E58</f>
        <v>0.8</v>
      </c>
      <c r="K61">
        <f>Iniciar!Q58</f>
        <v>100.38</v>
      </c>
      <c r="L61">
        <f>GetHumRatioFromRelHum(I61,J61,K61*1000)</f>
        <v>6.1681675596518843E-3</v>
      </c>
      <c r="M61" s="204">
        <f t="shared" ref="M61:M72" si="0">GetMonthlyTrackingRadiation($F$50,0,PI()/2,($C$113+180)*PI()/180,$H61,$F61*10^6,$G61)/10^6*277.778*$B61</f>
        <v>18990.031280569303</v>
      </c>
      <c r="N61" s="204">
        <f t="shared" ref="N61:N72" si="1">GetMonthlyTrackingRadiation($F$50,0,PI()/2,($C$113+90)*PI()/180,$H61,$F61*10^6,$G61)/10^6*277.778*$B61</f>
        <v>43821.436968822112</v>
      </c>
      <c r="O61" s="204">
        <f t="shared" ref="O61:O72" si="2">GetMonthlyTrackingRadiation($F$50,0,PI()/2,($C$113)*PI()/180,$H61,$F61*10^6,$G61)/10^6*277.778*$B61</f>
        <v>98707.292744905804</v>
      </c>
      <c r="P61" s="204">
        <f t="shared" ref="P61:P72" si="3">GetMonthlyTrackingRadiation($F$50,0,PI()/2,($C$113-90)*PI()/180,$H61,$F61*10^6,$G61)/10^6*277.778*$B61</f>
        <v>43821.436968822112</v>
      </c>
      <c r="Q61" s="204">
        <f t="shared" ref="Q61:Q72" si="4">GetMonthlyTrackingRadiation($F$50,0,PI()/2,($C$114+180)*PI()/180,$H61,$F61*10^6,$G61)/10^6*277.778*$B61</f>
        <v>18990.031280569303</v>
      </c>
      <c r="R61" s="204">
        <f t="shared" ref="R61:R72" si="5">GetMonthlyTrackingRadiation($F$50,0,PI()/2,($C$114+90)*PI()/180,$H61,$F61*10^6,$G61)/10^6*277.778*$B61</f>
        <v>43821.436968822112</v>
      </c>
      <c r="S61" s="204">
        <f t="shared" ref="S61:S72" si="6">GetMonthlyTrackingRadiation($F$50,0,PI()/2,($C$114)*PI()/180,$H61,$F61*10^6,$G61)/10^6*277.778*$B61</f>
        <v>98707.292744905804</v>
      </c>
      <c r="T61" s="204">
        <f t="shared" ref="T61:T72" si="7">GetMonthlyTrackingRadiation($F$50,0,PI()/2,($C$114-90)*PI()/180,$H61,$F61*10^6,$G61)/10^6*277.778*$B61</f>
        <v>43821.436968822112</v>
      </c>
      <c r="U61" s="715">
        <f>GetHumRatioFromRelHum($H$31,$E$47,$K61*1000)</f>
        <v>2.2913785996960356E-3</v>
      </c>
      <c r="V61" s="715">
        <f>GetHumRatioFromRelHum($H$32,$E$47,$K61*1000)</f>
        <v>2.2913785996960356E-3</v>
      </c>
      <c r="W61" s="715">
        <f>GetHumRatioFromRelHum($H$33,$E$47,$K61*1000)</f>
        <v>2.2913785996960356E-3</v>
      </c>
      <c r="X61" s="715">
        <f>GetHumRatioFromRelHum($H$34,$E$47,$K61*1000)</f>
        <v>2.2913785996960356E-3</v>
      </c>
      <c r="Y61" s="715">
        <f>GetHumRatioFromRelHum($H$35,$E$47,$K61*1000)</f>
        <v>2.2913785996960356E-3</v>
      </c>
      <c r="Z61" s="715">
        <f>GetHumRatioFromRelHum($H$36,$E$47,$K61*1000)</f>
        <v>2.2913785996960356E-3</v>
      </c>
    </row>
    <row r="62" spans="2:49" ht="13.2">
      <c r="B62">
        <v>28</v>
      </c>
      <c r="C62" t="s">
        <v>3358</v>
      </c>
      <c r="D62" s="430">
        <f>IF(Iniciar!O59&gt;$E$44,1,IF(Iniciar!O58&gt;$E$44,(Iniciar!O58-$E$44)/(Iniciar!O58-Iniciar!O59),IF(Iniciar!O60&gt;$E$44,(Iniciar!O60-$E$44)/(Iniciar!O60-Iniciar!O59),0)))</f>
        <v>0</v>
      </c>
      <c r="E62" t="b">
        <f>IF(Iniciar!O59&gt;Iniciar!$O$70, TRUE, FALSE)</f>
        <v>0</v>
      </c>
      <c r="F62" s="78">
        <f>Iniciar!P59*3.6</f>
        <v>10.44</v>
      </c>
      <c r="G62" s="78">
        <f>Iniciar!AE59</f>
        <v>0.2</v>
      </c>
      <c r="H62" s="328">
        <v>47</v>
      </c>
      <c r="I62">
        <f>Iniciar!O59</f>
        <v>11</v>
      </c>
      <c r="J62">
        <f>Iniciar!E59</f>
        <v>0.77599999999999991</v>
      </c>
      <c r="K62">
        <f>Iniciar!Q59</f>
        <v>100.14</v>
      </c>
      <c r="L62">
        <f t="shared" ref="L62:L72" si="8">GetHumRatioFromRelHum(I62,J62,K62*1000)</f>
        <v>6.4136832807830356E-3</v>
      </c>
      <c r="M62" s="204">
        <f t="shared" si="0"/>
        <v>23563.602341199403</v>
      </c>
      <c r="N62" s="204">
        <f t="shared" si="1"/>
        <v>52323.879694598858</v>
      </c>
      <c r="O62" s="204">
        <f t="shared" si="2"/>
        <v>99747.565640529749</v>
      </c>
      <c r="P62" s="204">
        <f t="shared" si="3"/>
        <v>52323.879694598843</v>
      </c>
      <c r="Q62" s="204">
        <f t="shared" si="4"/>
        <v>23563.602341199403</v>
      </c>
      <c r="R62" s="204">
        <f t="shared" si="5"/>
        <v>52323.879694598858</v>
      </c>
      <c r="S62" s="204">
        <f t="shared" si="6"/>
        <v>99747.565640529749</v>
      </c>
      <c r="T62" s="204">
        <f t="shared" si="7"/>
        <v>52323.879694598843</v>
      </c>
      <c r="U62" s="715">
        <f t="shared" ref="U62:U72" si="9">GetHumRatioFromRelHum($H$31,$E$47,K62*1000)</f>
        <v>2.2968904998999949E-3</v>
      </c>
      <c r="V62" s="715">
        <f t="shared" ref="V62:V72" si="10">GetHumRatioFromRelHum($H$32,$E$47,$K62*1000)</f>
        <v>2.2968904998999949E-3</v>
      </c>
      <c r="W62" s="715">
        <f t="shared" ref="W62:W72" si="11">GetHumRatioFromRelHum($H$33,$E$47,$K62*1000)</f>
        <v>2.2968904998999949E-3</v>
      </c>
      <c r="X62" s="715">
        <f t="shared" ref="X62:X72" si="12">GetHumRatioFromRelHum($H$34,$E$47,$K62*1000)</f>
        <v>2.2968904998999949E-3</v>
      </c>
      <c r="Y62" s="715">
        <f t="shared" ref="Y62:Y72" si="13">GetHumRatioFromRelHum($H$35,$E$47,$K62*1000)</f>
        <v>2.2968904998999949E-3</v>
      </c>
      <c r="Z62" s="715">
        <f t="shared" ref="Z62:Z72" si="14">GetHumRatioFromRelHum($H$36,$E$47,$K62*1000)</f>
        <v>2.2968904998999949E-3</v>
      </c>
    </row>
    <row r="63" spans="2:49" ht="13.2">
      <c r="B63">
        <v>31</v>
      </c>
      <c r="C63" t="s">
        <v>3359</v>
      </c>
      <c r="D63" s="430">
        <f>IF(Iniciar!O60&gt;$E$44,1,IF(Iniciar!O59&gt;$E$44,(Iniciar!O59-$E$44)/(Iniciar!O59-Iniciar!O60),IF(Iniciar!O61&gt;$E$44,(Iniciar!O61-$E$44)/(Iniciar!O61-Iniciar!O60),0)))</f>
        <v>0</v>
      </c>
      <c r="E63" t="b">
        <f>IF(Iniciar!O60&gt;Iniciar!$O$70, TRUE, FALSE)</f>
        <v>0</v>
      </c>
      <c r="F63" s="78">
        <f>Iniciar!P60*3.6</f>
        <v>15.768000000000001</v>
      </c>
      <c r="G63" s="78">
        <f>Iniciar!AE60</f>
        <v>0.2</v>
      </c>
      <c r="H63" s="328">
        <v>75</v>
      </c>
      <c r="I63">
        <f>Iniciar!O60</f>
        <v>12.5</v>
      </c>
      <c r="J63">
        <f>Iniciar!E60</f>
        <v>0.73299999999999998</v>
      </c>
      <c r="K63">
        <f>Iniciar!Q60</f>
        <v>100.16</v>
      </c>
      <c r="L63">
        <f t="shared" si="8"/>
        <v>6.6908486696744107E-3</v>
      </c>
      <c r="M63" s="204">
        <f t="shared" si="0"/>
        <v>37936.803418290016</v>
      </c>
      <c r="N63" s="204">
        <f t="shared" si="1"/>
        <v>86354.827971113235</v>
      </c>
      <c r="O63" s="204">
        <f t="shared" si="2"/>
        <v>120861.30031011418</v>
      </c>
      <c r="P63" s="204">
        <f t="shared" si="3"/>
        <v>86354.827971113205</v>
      </c>
      <c r="Q63" s="204">
        <f t="shared" si="4"/>
        <v>37936.803418290016</v>
      </c>
      <c r="R63" s="204">
        <f t="shared" si="5"/>
        <v>86354.827971113235</v>
      </c>
      <c r="S63" s="204">
        <f t="shared" si="6"/>
        <v>120861.30031011418</v>
      </c>
      <c r="T63" s="204">
        <f t="shared" si="7"/>
        <v>86354.827971113205</v>
      </c>
      <c r="U63" s="715">
        <f t="shared" si="9"/>
        <v>2.2964301622572106E-3</v>
      </c>
      <c r="V63" s="715">
        <f t="shared" si="10"/>
        <v>2.2964301622572106E-3</v>
      </c>
      <c r="W63" s="715">
        <f t="shared" si="11"/>
        <v>2.2964301622572106E-3</v>
      </c>
      <c r="X63" s="715">
        <f t="shared" si="12"/>
        <v>2.2964301622572106E-3</v>
      </c>
      <c r="Y63" s="715">
        <f t="shared" si="13"/>
        <v>2.2964301622572106E-3</v>
      </c>
      <c r="Z63" s="715">
        <f t="shared" si="14"/>
        <v>2.2964301622572106E-3</v>
      </c>
    </row>
    <row r="64" spans="2:49" ht="13.2">
      <c r="B64">
        <v>30</v>
      </c>
      <c r="C64" t="s">
        <v>916</v>
      </c>
      <c r="D64" s="430">
        <f>IF(Iniciar!O61&gt;$E$44,1,IF(Iniciar!O60&gt;$E$44,(Iniciar!O60-$E$44)/(Iniciar!O60-Iniciar!O61),IF(Iniciar!O62&gt;$E$44,(Iniciar!O62-$E$44)/(Iniciar!O62-Iniciar!O61),0)))</f>
        <v>0.16666666666666619</v>
      </c>
      <c r="E64" t="b">
        <f>IF(Iniciar!O61&gt;Iniciar!$O$70, TRUE, FALSE)</f>
        <v>0</v>
      </c>
      <c r="F64" s="78">
        <f>Iniciar!P61*3.6</f>
        <v>19.62</v>
      </c>
      <c r="G64" s="78">
        <f>Iniciar!AE61</f>
        <v>0.2</v>
      </c>
      <c r="H64" s="328">
        <v>105</v>
      </c>
      <c r="I64">
        <f>Iniciar!O61</f>
        <v>14</v>
      </c>
      <c r="J64">
        <f>Iniciar!E61</f>
        <v>0.747</v>
      </c>
      <c r="K64">
        <f>Iniciar!Q61</f>
        <v>99.88</v>
      </c>
      <c r="L64">
        <f t="shared" si="8"/>
        <v>7.5513969711144217E-3</v>
      </c>
      <c r="M64" s="204">
        <f t="shared" si="0"/>
        <v>50081.941539848223</v>
      </c>
      <c r="N64" s="204">
        <f t="shared" si="1"/>
        <v>100644.93109731181</v>
      </c>
      <c r="O64" s="204">
        <f t="shared" si="2"/>
        <v>99367.82685426253</v>
      </c>
      <c r="P64" s="204">
        <f t="shared" si="3"/>
        <v>100644.93109731181</v>
      </c>
      <c r="Q64" s="204">
        <f t="shared" si="4"/>
        <v>50081.941539848223</v>
      </c>
      <c r="R64" s="204">
        <f t="shared" si="5"/>
        <v>100644.93109731181</v>
      </c>
      <c r="S64" s="204">
        <f t="shared" si="6"/>
        <v>99367.82685426253</v>
      </c>
      <c r="T64" s="204">
        <f t="shared" si="7"/>
        <v>100644.93109731181</v>
      </c>
      <c r="U64" s="715">
        <f t="shared" si="9"/>
        <v>2.3028917277930867E-3</v>
      </c>
      <c r="V64" s="715">
        <f t="shared" si="10"/>
        <v>2.3028917277930867E-3</v>
      </c>
      <c r="W64" s="715">
        <f t="shared" si="11"/>
        <v>2.3028917277930867E-3</v>
      </c>
      <c r="X64" s="715">
        <f t="shared" si="12"/>
        <v>2.3028917277930867E-3</v>
      </c>
      <c r="Y64" s="715">
        <f t="shared" si="13"/>
        <v>2.3028917277930867E-3</v>
      </c>
      <c r="Z64" s="715">
        <f t="shared" si="14"/>
        <v>2.3028917277930867E-3</v>
      </c>
    </row>
    <row r="65" spans="1:26" ht="13.2">
      <c r="B65">
        <v>31</v>
      </c>
      <c r="C65" t="s">
        <v>917</v>
      </c>
      <c r="D65" s="430">
        <f>IF(Iniciar!O62&gt;$E$44,1,IF(Iniciar!O61&gt;$E$44,(Iniciar!O61-$E$44)/(Iniciar!O61-Iniciar!O62),IF(Iniciar!O63&gt;$E$44,(Iniciar!O63-$E$44)/(Iniciar!O63-Iniciar!O62),0)))</f>
        <v>1</v>
      </c>
      <c r="E65" t="b">
        <f>IF(Iniciar!O62&gt;Iniciar!$O$70, TRUE, FALSE)</f>
        <v>1</v>
      </c>
      <c r="F65" s="78">
        <f>Iniciar!P62*3.6</f>
        <v>21.852</v>
      </c>
      <c r="G65" s="78">
        <f>Iniciar!AE62</f>
        <v>0.2</v>
      </c>
      <c r="H65" s="328">
        <v>135</v>
      </c>
      <c r="I65">
        <f>Iniciar!O62</f>
        <v>16.399999999999999</v>
      </c>
      <c r="J65">
        <f>Iniciar!E62</f>
        <v>0.74299999999999999</v>
      </c>
      <c r="K65">
        <f>Iniciar!Q62</f>
        <v>99.95</v>
      </c>
      <c r="L65">
        <f t="shared" si="8"/>
        <v>8.7746868912535123E-3</v>
      </c>
      <c r="M65" s="204">
        <f t="shared" si="0"/>
        <v>63559.334726551126</v>
      </c>
      <c r="N65" s="204">
        <f t="shared" si="1"/>
        <v>107880.59810528666</v>
      </c>
      <c r="O65" s="204">
        <f t="shared" si="2"/>
        <v>86578.50635479654</v>
      </c>
      <c r="P65" s="204">
        <f t="shared" si="3"/>
        <v>107880.59810528667</v>
      </c>
      <c r="Q65" s="204">
        <f t="shared" si="4"/>
        <v>63559.334726551126</v>
      </c>
      <c r="R65" s="204">
        <f t="shared" si="5"/>
        <v>107880.59810528666</v>
      </c>
      <c r="S65" s="204">
        <f t="shared" si="6"/>
        <v>86578.50635479654</v>
      </c>
      <c r="T65" s="204">
        <f t="shared" si="7"/>
        <v>107880.59810528667</v>
      </c>
      <c r="U65" s="715">
        <f t="shared" si="9"/>
        <v>2.3012729298326215E-3</v>
      </c>
      <c r="V65" s="715">
        <f t="shared" si="10"/>
        <v>2.3012729298326215E-3</v>
      </c>
      <c r="W65" s="715">
        <f t="shared" si="11"/>
        <v>2.3012729298326215E-3</v>
      </c>
      <c r="X65" s="715">
        <f t="shared" si="12"/>
        <v>2.3012729298326215E-3</v>
      </c>
      <c r="Y65" s="715">
        <f t="shared" si="13"/>
        <v>2.3012729298326215E-3</v>
      </c>
      <c r="Z65" s="715">
        <f t="shared" si="14"/>
        <v>2.3012729298326215E-3</v>
      </c>
    </row>
    <row r="66" spans="1:26" ht="13.2">
      <c r="B66">
        <v>30</v>
      </c>
      <c r="C66" t="s">
        <v>2783</v>
      </c>
      <c r="D66" s="430">
        <f>IF(Iniciar!O63&gt;$E$44,1,IF(Iniciar!O62&gt;$E$44,(Iniciar!O62-$E$44)/(Iniciar!O62-Iniciar!O63),IF(Iniciar!O64&gt;$E$44,(Iniciar!O64-$E$44)/(Iniciar!O64-Iniciar!O63),0)))</f>
        <v>1</v>
      </c>
      <c r="E66" t="b">
        <f>IF(Iniciar!O63&gt;Iniciar!$O$70, TRUE, FALSE)</f>
        <v>1</v>
      </c>
      <c r="F66" s="78">
        <f>Iniciar!P63*3.6</f>
        <v>23.112000000000002</v>
      </c>
      <c r="G66" s="78">
        <f>Iniciar!AE63</f>
        <v>0.2</v>
      </c>
      <c r="H66" s="328">
        <v>162</v>
      </c>
      <c r="I66">
        <f>Iniciar!O63</f>
        <v>19.600000000000001</v>
      </c>
      <c r="J66">
        <f>Iniciar!E63</f>
        <v>0.747</v>
      </c>
      <c r="K66">
        <f>Iniciar!Q63</f>
        <v>100.01</v>
      </c>
      <c r="L66">
        <f t="shared" si="8"/>
        <v>1.0817001809637168E-2</v>
      </c>
      <c r="M66" s="204">
        <f t="shared" si="0"/>
        <v>68270.071612418251</v>
      </c>
      <c r="N66" s="204">
        <f t="shared" si="1"/>
        <v>107245.72375232104</v>
      </c>
      <c r="O66" s="204">
        <f t="shared" si="2"/>
        <v>78830.494892944946</v>
      </c>
      <c r="P66" s="204">
        <f t="shared" si="3"/>
        <v>107245.72375232102</v>
      </c>
      <c r="Q66" s="204">
        <f t="shared" si="4"/>
        <v>68270.071612418251</v>
      </c>
      <c r="R66" s="204">
        <f t="shared" si="5"/>
        <v>107245.72375232104</v>
      </c>
      <c r="S66" s="204">
        <f t="shared" si="6"/>
        <v>78830.494892944946</v>
      </c>
      <c r="T66" s="204">
        <f t="shared" si="7"/>
        <v>107245.72375232102</v>
      </c>
      <c r="U66" s="715">
        <f t="shared" si="9"/>
        <v>2.2998871990159639E-3</v>
      </c>
      <c r="V66" s="715">
        <f t="shared" si="10"/>
        <v>2.2998871990159639E-3</v>
      </c>
      <c r="W66" s="715">
        <f t="shared" si="11"/>
        <v>2.2998871990159639E-3</v>
      </c>
      <c r="X66" s="715">
        <f t="shared" si="12"/>
        <v>2.2998871990159639E-3</v>
      </c>
      <c r="Y66" s="715">
        <f t="shared" si="13"/>
        <v>2.2998871990159639E-3</v>
      </c>
      <c r="Z66" s="715">
        <f t="shared" si="14"/>
        <v>2.2998871990159639E-3</v>
      </c>
    </row>
    <row r="67" spans="1:26" ht="13.2">
      <c r="B67">
        <v>31</v>
      </c>
      <c r="C67" t="s">
        <v>4453</v>
      </c>
      <c r="D67" s="430">
        <f>IF(Iniciar!O64&gt;$E$44,1,IF(Iniciar!O63&gt;$E$44,(Iniciar!O63-$E$44)/(Iniciar!O63-Iniciar!O64),IF(Iniciar!O65&gt;$E$44,(Iniciar!O65-$E$44)/(Iniciar!O65-Iniciar!O64),0)))</f>
        <v>1</v>
      </c>
      <c r="E67" t="b">
        <f>IF(Iniciar!O64&gt;Iniciar!$O$70, TRUE, FALSE)</f>
        <v>1</v>
      </c>
      <c r="F67" s="78">
        <f>Iniciar!P64*3.6</f>
        <v>24.515999999999998</v>
      </c>
      <c r="G67" s="78">
        <f>Iniciar!AE64</f>
        <v>0.2</v>
      </c>
      <c r="H67" s="328">
        <v>198</v>
      </c>
      <c r="I67">
        <f>Iniciar!O64</f>
        <v>21.799999999999997</v>
      </c>
      <c r="J67">
        <f>Iniciar!E64</f>
        <v>0.72599999999999998</v>
      </c>
      <c r="K67">
        <f>Iniciar!Q64</f>
        <v>100.06</v>
      </c>
      <c r="L67">
        <f t="shared" si="8"/>
        <v>1.2055887876190684E-2</v>
      </c>
      <c r="M67" s="204">
        <f t="shared" si="0"/>
        <v>69867.338290522574</v>
      </c>
      <c r="N67" s="204">
        <f t="shared" si="1"/>
        <v>119332.94325185854</v>
      </c>
      <c r="O67" s="204">
        <f t="shared" si="2"/>
        <v>88271.860766070386</v>
      </c>
      <c r="P67" s="204">
        <f t="shared" si="3"/>
        <v>119332.94325185854</v>
      </c>
      <c r="Q67" s="204">
        <f t="shared" si="4"/>
        <v>69867.338290522574</v>
      </c>
      <c r="R67" s="204">
        <f t="shared" si="5"/>
        <v>119332.94325185854</v>
      </c>
      <c r="S67" s="204">
        <f t="shared" si="6"/>
        <v>88271.860766070386</v>
      </c>
      <c r="T67" s="204">
        <f t="shared" si="7"/>
        <v>119332.94325185854</v>
      </c>
      <c r="U67" s="715">
        <f t="shared" si="9"/>
        <v>2.2987336975187973E-3</v>
      </c>
      <c r="V67" s="715">
        <f t="shared" si="10"/>
        <v>2.2987336975187973E-3</v>
      </c>
      <c r="W67" s="715">
        <f t="shared" si="11"/>
        <v>2.2987336975187973E-3</v>
      </c>
      <c r="X67" s="715">
        <f t="shared" si="12"/>
        <v>2.2987336975187973E-3</v>
      </c>
      <c r="Y67" s="715">
        <f t="shared" si="13"/>
        <v>2.2987336975187973E-3</v>
      </c>
      <c r="Z67" s="715">
        <f t="shared" si="14"/>
        <v>2.2987336975187973E-3</v>
      </c>
    </row>
    <row r="68" spans="1:26" ht="13.2">
      <c r="B68">
        <v>31</v>
      </c>
      <c r="C68" t="s">
        <v>1648</v>
      </c>
      <c r="D68" s="430">
        <f>IF(Iniciar!O65&gt;$E$44,1,IF(Iniciar!O64&gt;$E$44,(Iniciar!O64-$E$44)/(Iniciar!O64-Iniciar!O65),IF(Iniciar!O66&gt;$E$44,(Iniciar!O66-$E$44)/(Iniciar!O66-Iniciar!O65),0)))</f>
        <v>1</v>
      </c>
      <c r="E68" t="b">
        <f>IF(Iniciar!O65&gt;Iniciar!$O$70, TRUE, FALSE)</f>
        <v>1</v>
      </c>
      <c r="F68" s="78">
        <f>Iniciar!P65*3.6</f>
        <v>22.428000000000001</v>
      </c>
      <c r="G68" s="78">
        <f>Iniciar!AE65</f>
        <v>0.2</v>
      </c>
      <c r="H68" s="328">
        <v>228</v>
      </c>
      <c r="I68">
        <f>Iniciar!O65</f>
        <v>21.799999999999997</v>
      </c>
      <c r="J68">
        <f>Iniciar!E65</f>
        <v>0.71700000000000008</v>
      </c>
      <c r="K68">
        <f>Iniciar!Q65</f>
        <v>100.02</v>
      </c>
      <c r="L68">
        <f t="shared" si="8"/>
        <v>1.1908426078854294E-2</v>
      </c>
      <c r="M68" s="204">
        <f t="shared" si="0"/>
        <v>57957.736415419866</v>
      </c>
      <c r="N68" s="204">
        <f t="shared" si="1"/>
        <v>116217.33604764927</v>
      </c>
      <c r="O68" s="204">
        <f t="shared" si="2"/>
        <v>102707.16503043979</v>
      </c>
      <c r="P68" s="204">
        <f t="shared" si="3"/>
        <v>116217.33604764927</v>
      </c>
      <c r="Q68" s="204">
        <f t="shared" si="4"/>
        <v>57957.736415419866</v>
      </c>
      <c r="R68" s="204">
        <f t="shared" si="5"/>
        <v>116217.33604764927</v>
      </c>
      <c r="S68" s="204">
        <f t="shared" si="6"/>
        <v>102707.16503043979</v>
      </c>
      <c r="T68" s="204">
        <f t="shared" si="7"/>
        <v>116217.33604764927</v>
      </c>
      <c r="U68" s="715">
        <f t="shared" si="9"/>
        <v>2.2996564061137426E-3</v>
      </c>
      <c r="V68" s="715">
        <f t="shared" si="10"/>
        <v>2.2996564061137426E-3</v>
      </c>
      <c r="W68" s="715">
        <f t="shared" si="11"/>
        <v>2.2996564061137426E-3</v>
      </c>
      <c r="X68" s="715">
        <f t="shared" si="12"/>
        <v>2.2996564061137426E-3</v>
      </c>
      <c r="Y68" s="715">
        <f t="shared" si="13"/>
        <v>2.2996564061137426E-3</v>
      </c>
      <c r="Z68" s="715">
        <f t="shared" si="14"/>
        <v>2.2996564061137426E-3</v>
      </c>
    </row>
    <row r="69" spans="1:26" ht="13.2">
      <c r="B69">
        <v>30</v>
      </c>
      <c r="C69" t="s">
        <v>3426</v>
      </c>
      <c r="D69" s="430">
        <f>IF(Iniciar!O66&gt;$E$44,1,IF(Iniciar!O65&gt;$E$44,(Iniciar!O65-$E$44)/(Iniciar!O65-Iniciar!O66),IF(Iniciar!O67&gt;$E$44,(Iniciar!O67-$E$44)/(Iniciar!O67-Iniciar!O66),0)))</f>
        <v>1</v>
      </c>
      <c r="E69" t="b">
        <f>IF(Iniciar!O66&gt;Iniciar!$O$70, TRUE, FALSE)</f>
        <v>1</v>
      </c>
      <c r="F69" s="78">
        <f>Iniciar!P66*3.6</f>
        <v>16.920000000000002</v>
      </c>
      <c r="G69" s="78">
        <f>Iniciar!AE66</f>
        <v>0.2</v>
      </c>
      <c r="H69" s="328">
        <v>258</v>
      </c>
      <c r="I69">
        <f>Iniciar!O66</f>
        <v>20.799999999999997</v>
      </c>
      <c r="J69">
        <f>Iniciar!E66</f>
        <v>0.72400000000000009</v>
      </c>
      <c r="K69">
        <f>Iniciar!Q66</f>
        <v>100.07</v>
      </c>
      <c r="L69">
        <f t="shared" si="8"/>
        <v>1.1293051960428915E-2</v>
      </c>
      <c r="M69" s="204">
        <f t="shared" si="0"/>
        <v>40086.610111467002</v>
      </c>
      <c r="N69" s="204">
        <f t="shared" si="1"/>
        <v>85677.199379670215</v>
      </c>
      <c r="O69" s="204">
        <f t="shared" si="2"/>
        <v>107310.74061768033</v>
      </c>
      <c r="P69" s="204">
        <f t="shared" si="3"/>
        <v>85677.199379670215</v>
      </c>
      <c r="Q69" s="204">
        <f t="shared" si="4"/>
        <v>40086.610111467002</v>
      </c>
      <c r="R69" s="204">
        <f t="shared" si="5"/>
        <v>85677.199379670215</v>
      </c>
      <c r="S69" s="204">
        <f t="shared" si="6"/>
        <v>107310.74061768033</v>
      </c>
      <c r="T69" s="204">
        <f t="shared" si="7"/>
        <v>85677.199379670215</v>
      </c>
      <c r="U69" s="715">
        <f t="shared" si="9"/>
        <v>2.298503136053886E-3</v>
      </c>
      <c r="V69" s="715">
        <f t="shared" si="10"/>
        <v>2.298503136053886E-3</v>
      </c>
      <c r="W69" s="715">
        <f t="shared" si="11"/>
        <v>2.298503136053886E-3</v>
      </c>
      <c r="X69" s="715">
        <f t="shared" si="12"/>
        <v>2.298503136053886E-3</v>
      </c>
      <c r="Y69" s="715">
        <f t="shared" si="13"/>
        <v>2.298503136053886E-3</v>
      </c>
      <c r="Z69" s="715">
        <f t="shared" si="14"/>
        <v>2.298503136053886E-3</v>
      </c>
    </row>
    <row r="70" spans="1:26" ht="13.2">
      <c r="B70">
        <v>31</v>
      </c>
      <c r="C70" t="s">
        <v>5753</v>
      </c>
      <c r="D70" s="430">
        <f>IF(Iniciar!O67&gt;$E$44,1,IF(Iniciar!O66&gt;$E$44,(Iniciar!O66-$E$44)/(Iniciar!O66-Iniciar!O67),IF(Iniciar!O68&gt;$E$44,(Iniciar!O68-$E$44)/(Iniciar!O68-Iniciar!O67),0)))</f>
        <v>1</v>
      </c>
      <c r="E70" t="b">
        <f>IF(Iniciar!O67&gt;Iniciar!$O$70, TRUE, FALSE)</f>
        <v>1</v>
      </c>
      <c r="F70" s="78">
        <f>Iniciar!P67*3.6</f>
        <v>12.78</v>
      </c>
      <c r="G70" s="78">
        <f>Iniciar!AE67</f>
        <v>0.2</v>
      </c>
      <c r="H70" s="328">
        <v>288</v>
      </c>
      <c r="I70">
        <f>Iniciar!O67</f>
        <v>17.399999999999999</v>
      </c>
      <c r="J70">
        <f>Iniciar!E67</f>
        <v>0.77700000000000002</v>
      </c>
      <c r="K70">
        <f>Iniciar!Q67</f>
        <v>100.07</v>
      </c>
      <c r="L70">
        <f t="shared" si="8"/>
        <v>9.7809619441039334E-3</v>
      </c>
      <c r="M70" s="204">
        <f t="shared" si="0"/>
        <v>31074.621228130098</v>
      </c>
      <c r="N70" s="204">
        <f t="shared" si="1"/>
        <v>68347.521359980485</v>
      </c>
      <c r="O70" s="204">
        <f t="shared" si="2"/>
        <v>121962.73379329882</v>
      </c>
      <c r="P70" s="204">
        <f t="shared" si="3"/>
        <v>68347.521359980485</v>
      </c>
      <c r="Q70" s="204">
        <f t="shared" si="4"/>
        <v>31074.621228130098</v>
      </c>
      <c r="R70" s="204">
        <f t="shared" si="5"/>
        <v>68347.521359980485</v>
      </c>
      <c r="S70" s="204">
        <f t="shared" si="6"/>
        <v>121962.73379329882</v>
      </c>
      <c r="T70" s="204">
        <f t="shared" si="7"/>
        <v>68347.521359980485</v>
      </c>
      <c r="U70" s="715">
        <f t="shared" si="9"/>
        <v>2.298503136053886E-3</v>
      </c>
      <c r="V70" s="715">
        <f t="shared" si="10"/>
        <v>2.298503136053886E-3</v>
      </c>
      <c r="W70" s="715">
        <f t="shared" si="11"/>
        <v>2.298503136053886E-3</v>
      </c>
      <c r="X70" s="715">
        <f t="shared" si="12"/>
        <v>2.298503136053886E-3</v>
      </c>
      <c r="Y70" s="715">
        <f t="shared" si="13"/>
        <v>2.298503136053886E-3</v>
      </c>
      <c r="Z70" s="715">
        <f t="shared" si="14"/>
        <v>2.298503136053886E-3</v>
      </c>
    </row>
    <row r="71" spans="1:26" ht="13.2">
      <c r="B71">
        <v>30</v>
      </c>
      <c r="C71" t="s">
        <v>5390</v>
      </c>
      <c r="D71" s="430">
        <f>IF(Iniciar!O68&gt;$E$44,1,IF(Iniciar!O67&gt;$E$44,(Iniciar!O67-$E$44)/(Iniciar!O67-Iniciar!O68),IF(Iniciar!O69&gt;$E$44,(Iniciar!O69-$E$44)/(Iniciar!O69-Iniciar!O68),0)))</f>
        <v>0.31818181818181795</v>
      </c>
      <c r="E71" t="b">
        <f>IF(Iniciar!O68&gt;Iniciar!$O$70, TRUE, FALSE)</f>
        <v>0</v>
      </c>
      <c r="F71" s="78">
        <f>Iniciar!P68*3.6</f>
        <v>8.8559999999999999</v>
      </c>
      <c r="G71" s="78">
        <f>Iniciar!AE68</f>
        <v>0.2</v>
      </c>
      <c r="H71" s="328">
        <v>318</v>
      </c>
      <c r="I71">
        <f>Iniciar!O68</f>
        <v>13</v>
      </c>
      <c r="J71">
        <f>Iniciar!E68</f>
        <v>0.82200000000000006</v>
      </c>
      <c r="K71">
        <f>Iniciar!Q68</f>
        <v>100.14</v>
      </c>
      <c r="L71">
        <f t="shared" si="8"/>
        <v>7.7679849241087187E-3</v>
      </c>
      <c r="M71" s="204">
        <f t="shared" si="0"/>
        <v>20340.943692420089</v>
      </c>
      <c r="N71" s="204">
        <f t="shared" si="1"/>
        <v>52597.892890491792</v>
      </c>
      <c r="O71" s="204">
        <f t="shared" si="2"/>
        <v>117397.33349119125</v>
      </c>
      <c r="P71" s="204">
        <f t="shared" si="3"/>
        <v>52597.89289049177</v>
      </c>
      <c r="Q71" s="204">
        <f t="shared" si="4"/>
        <v>20340.943692420089</v>
      </c>
      <c r="R71" s="204">
        <f t="shared" si="5"/>
        <v>52597.892890491792</v>
      </c>
      <c r="S71" s="204">
        <f t="shared" si="6"/>
        <v>117397.33349119125</v>
      </c>
      <c r="T71" s="204">
        <f t="shared" si="7"/>
        <v>52597.89289049177</v>
      </c>
      <c r="U71" s="715">
        <f t="shared" si="9"/>
        <v>2.2968904998999949E-3</v>
      </c>
      <c r="V71" s="715">
        <f t="shared" si="10"/>
        <v>2.2968904998999949E-3</v>
      </c>
      <c r="W71" s="715">
        <f t="shared" si="11"/>
        <v>2.2968904998999949E-3</v>
      </c>
      <c r="X71" s="715">
        <f t="shared" si="12"/>
        <v>2.2968904998999949E-3</v>
      </c>
      <c r="Y71" s="715">
        <f t="shared" si="13"/>
        <v>2.2968904998999949E-3</v>
      </c>
      <c r="Z71" s="715">
        <f t="shared" si="14"/>
        <v>2.2968904998999949E-3</v>
      </c>
    </row>
    <row r="72" spans="1:26" ht="13.2">
      <c r="A72" s="430"/>
      <c r="B72">
        <v>31</v>
      </c>
      <c r="C72" t="s">
        <v>3389</v>
      </c>
      <c r="D72" s="430">
        <f>IF(Iniciar!O69&gt;$E$44,1,IF(Iniciar!O68&gt;$E$44,(Iniciar!O68-$E$44)/(Iniciar!O68-Iniciar!O69),IF(Iniciar!O58&gt;$E$44,(Iniciar!O58-$E$44)/(Iniciar!O58-Iniciar!O69),0)))</f>
        <v>0</v>
      </c>
      <c r="E72" t="b">
        <f>IF(Iniciar!O69&gt;Iniciar!$O$70, TRUE, FALSE)</f>
        <v>0</v>
      </c>
      <c r="F72" s="78">
        <f>Iniciar!P69*3.6</f>
        <v>7.8120000000000003</v>
      </c>
      <c r="G72" s="78">
        <f>Iniciar!AE69</f>
        <v>0.2</v>
      </c>
      <c r="H72" s="431">
        <v>344</v>
      </c>
      <c r="I72">
        <f>Iniciar!O69</f>
        <v>10.399999999999999</v>
      </c>
      <c r="J72">
        <f>Iniciar!E69</f>
        <v>0.80500000000000005</v>
      </c>
      <c r="K72">
        <f>Iniciar!Q69</f>
        <v>100.31</v>
      </c>
      <c r="L72">
        <f t="shared" si="8"/>
        <v>6.3815814456969064E-3</v>
      </c>
      <c r="M72" s="204">
        <f t="shared" si="0"/>
        <v>17640.81438336772</v>
      </c>
      <c r="N72" s="204">
        <f t="shared" si="1"/>
        <v>52992.517028953036</v>
      </c>
      <c r="O72" s="204">
        <f t="shared" si="2"/>
        <v>133392.69069244896</v>
      </c>
      <c r="P72" s="204">
        <f t="shared" si="3"/>
        <v>52992.517028953036</v>
      </c>
      <c r="Q72" s="204">
        <f t="shared" si="4"/>
        <v>17640.81438336772</v>
      </c>
      <c r="R72" s="204">
        <f t="shared" si="5"/>
        <v>52992.517028953036</v>
      </c>
      <c r="S72" s="204">
        <f t="shared" si="6"/>
        <v>133392.69069244896</v>
      </c>
      <c r="T72" s="204">
        <f t="shared" si="7"/>
        <v>52992.517028953036</v>
      </c>
      <c r="U72" s="715">
        <f t="shared" si="9"/>
        <v>2.2929835026734937E-3</v>
      </c>
      <c r="V72" s="715">
        <f t="shared" si="10"/>
        <v>2.2929835026734937E-3</v>
      </c>
      <c r="W72" s="715">
        <f t="shared" si="11"/>
        <v>2.2929835026734937E-3</v>
      </c>
      <c r="X72" s="715">
        <f t="shared" si="12"/>
        <v>2.2929835026734937E-3</v>
      </c>
      <c r="Y72" s="715">
        <f t="shared" si="13"/>
        <v>2.2929835026734937E-3</v>
      </c>
      <c r="Z72" s="715">
        <f t="shared" si="14"/>
        <v>2.2929835026734937E-3</v>
      </c>
    </row>
    <row r="73" spans="1:26" ht="13.2">
      <c r="D73">
        <f>ROUND(SUMPRODUCT(B61:B72,D61:D72),0)</f>
        <v>199</v>
      </c>
      <c r="M73" s="204"/>
      <c r="N73" s="204"/>
      <c r="O73" s="204"/>
      <c r="P73" s="204"/>
      <c r="Q73" s="204"/>
      <c r="R73" s="204"/>
      <c r="S73" s="204"/>
      <c r="T73" s="204"/>
      <c r="U73" s="715"/>
      <c r="V73" s="715"/>
      <c r="W73" s="715"/>
      <c r="X73" s="715"/>
      <c r="Y73" s="715"/>
    </row>
    <row r="74" spans="1:26" ht="13.2">
      <c r="C74" t="s">
        <v>5148</v>
      </c>
      <c r="D74" t="s">
        <v>3673</v>
      </c>
      <c r="E74" t="s">
        <v>3674</v>
      </c>
      <c r="F74" t="s">
        <v>3675</v>
      </c>
      <c r="H74" t="s">
        <v>3676</v>
      </c>
      <c r="I74" t="s">
        <v>540</v>
      </c>
      <c r="J74" t="s">
        <v>1915</v>
      </c>
      <c r="K74" t="s">
        <v>4027</v>
      </c>
      <c r="U74" s="715" t="s">
        <v>2381</v>
      </c>
      <c r="V74" s="715"/>
      <c r="W74" s="715"/>
      <c r="X74" s="715"/>
      <c r="Y74" s="715"/>
    </row>
    <row r="75" spans="1:26" ht="13.2">
      <c r="C75" s="319">
        <f>IF(EET!S179=FALSE,0,(IF(EET!S180=0,IF(EET!S158=0,1,0.0929)*EET!S167*EET!S188/100,IF(EET!S180=1,EET!S188,EET!S188*0.0929))))</f>
        <v>0</v>
      </c>
      <c r="D75" s="319">
        <f>IF(EET!S179=FALSE,0,(IF(EET!S180=0,IF(EET!S158=0,1,0.0929)*EET!S166*EET!S187/100,IF(EET!S180=1,EET!S187,EET!S187*0.0929))))</f>
        <v>0</v>
      </c>
      <c r="E75" s="319">
        <f>IF(EET!S179=FALSE,0,(IF(EET!S180=0,IF(EET!S158=0,1,0.0929)*EET!S164*EET!S185/100,IF(EET!S180=1,EET!S185,EET!S185*0.0929))))</f>
        <v>0</v>
      </c>
      <c r="F75" s="319">
        <f>IF(EET!S179=FALSE,0,(IF(EET!S180=0,IF(EET!S158=0,1,0.0929)*EET!S165*EET!S186/100,IF(EET!S180=1,EET!S186,EET!S186*0.0929))))</f>
        <v>0</v>
      </c>
      <c r="H75" s="556">
        <f>IF(EET!S179=FALSE,0,(IF(EET!S180=0,IF(EET!S158=0,1,0.0929)*EET!S163*EET!S184/100,IF(EET!S180=1,EET!S184,EET!S184*0.0929))))</f>
        <v>0</v>
      </c>
      <c r="I75" s="319">
        <f>IF(EET!S179=FALSE,0,(IF(EET!S180=0,IF(EET!S158=0,1,0.0929)*EET!S162*EET!S183/100,IF(EET!S180=1,EET!S183,EET!S183*0.0929))))</f>
        <v>0</v>
      </c>
      <c r="J75" s="319">
        <f>IF(EET!S179=FALSE,0,(IF(EET!S180=0,IF(EET!S158=0,1,0.0929)*EET!S160*EET!S177/100,IF(EET!S180=1,EET!S177,EET!S177*0.0929))))</f>
        <v>0</v>
      </c>
      <c r="K75" s="319">
        <f>IF(EET!S179=FALSE,0,(IF(EET!S180=0,IF(EET!S158=0,1,0.0929)*EET!S161*EET!S182/100,IF(EET!S180=1,EET!S182,EET!S182*0.0929))))</f>
        <v>0</v>
      </c>
      <c r="M75" s="204">
        <f t="shared" ref="M75:M86" si="15">GetMonthlyTrackingRadiation($F$50,0,PI()/2,($D$113+180)*PI()/180,$H61,$F61*10^6,$G61)/10^6*277.778*$B61</f>
        <v>18990.031280569303</v>
      </c>
      <c r="N75" s="204">
        <f t="shared" ref="N75:N86" si="16">GetMonthlyTrackingRadiation($F$50,0,PI()/2,($D$113+90)*PI()/180,$H61,$F61*10^6,$G61)/10^6*277.778*$B61</f>
        <v>43821.436968822112</v>
      </c>
      <c r="O75" s="204">
        <f t="shared" ref="O75:O86" si="17">GetMonthlyTrackingRadiation($F$50,0,PI()/2,($D$113)*PI()/180,$H61,$F61*10^6,$G61)/10^6*277.778*$B61</f>
        <v>98707.292744905804</v>
      </c>
      <c r="P75" s="204">
        <f t="shared" ref="P75:P86" si="18">GetMonthlyTrackingRadiation($F$50,0,PI()/2,($D$113-90)*PI()/180,$H61,$F61*10^6,$G61)/10^6*277.778*$B61</f>
        <v>43821.436968822112</v>
      </c>
      <c r="Q75" s="204">
        <f t="shared" ref="Q75:Q86" si="19">GetMonthlyTrackingRadiation($F$50,0,PI()/2,($D$114+180)*PI()/180,$H61,$F61*10^6,$G61)/10^6*277.778*$B61</f>
        <v>18990.031280569303</v>
      </c>
      <c r="R75" s="204">
        <f t="shared" ref="R75:R86" si="20">GetMonthlyTrackingRadiation($F$50,0,PI()/2,($D$114+90)*PI()/180,$H61,$F61*10^6,$G61)/10^6*277.778*$B61</f>
        <v>43821.436968822112</v>
      </c>
      <c r="S75" s="204">
        <f t="shared" ref="S75:S86" si="21">GetMonthlyTrackingRadiation($F$50,0,PI()/2,($D$114)*PI()/180,$H61,$F61*10^6,$G61)/10^6*277.778*$B61</f>
        <v>98707.292744905804</v>
      </c>
      <c r="T75" s="204">
        <f t="shared" ref="T75:T86" si="22">GetMonthlyTrackingRadiation($F$50,0,PI()/2,($D$114-90)*PI()/180,$H61,$F61*10^6,$G61)/10^6*277.778*$B61</f>
        <v>43821.436968822112</v>
      </c>
      <c r="U75" s="715">
        <f t="shared" ref="U75:Z86" si="23">$E$45/1000*(GetEnthalpyFromTempAndHumrat($I61,$L61)-GetEnthalpyFromTempAndHumrat($I61,U61))*24*$B61/1000*$D61</f>
        <v>0</v>
      </c>
      <c r="V75" s="715">
        <f t="shared" si="23"/>
        <v>0</v>
      </c>
      <c r="W75" s="715">
        <f t="shared" si="23"/>
        <v>0</v>
      </c>
      <c r="X75" s="715">
        <f t="shared" si="23"/>
        <v>0</v>
      </c>
      <c r="Y75" s="715">
        <f t="shared" si="23"/>
        <v>0</v>
      </c>
      <c r="Z75" s="715">
        <f t="shared" si="23"/>
        <v>0</v>
      </c>
    </row>
    <row r="76" spans="1:26" ht="13.2">
      <c r="C76" s="319">
        <f>IF(EET!T179=FALSE,0,(IF(EET!T180=0,IF(EET!T158=0,1,0.0929)*EET!T167*EET!T188/100,IF(EET!T180=1,EET!T188,EET!T188*0.0929))))</f>
        <v>0</v>
      </c>
      <c r="D76" s="319">
        <f>IF(EET!T179=FALSE,0,(IF(EET!T180=0,IF(EET!T158=0,1,0.0929)*EET!T166*EET!T187/100,IF(EET!T180=1,EET!T187,EET!T187*0.0929))))</f>
        <v>0</v>
      </c>
      <c r="E76" s="319">
        <f>IF(EET!T179=FALSE,0,(IF(EET!T180=0,IF(EET!T158=0,1,0.0929)*EET!T164*EET!T185/100,IF(EET!T180=1,EET!T185,EET!T185*0.0929))))</f>
        <v>0</v>
      </c>
      <c r="F76" s="319">
        <f>IF(EET!T179=FALSE,0,(IF(EET!T180=0,IF(EET!T158=0,1,0.0929)*EET!T165*EET!T186/100,IF(EET!T180=1,EET!T186,EET!T186*0.0929))))</f>
        <v>0</v>
      </c>
      <c r="H76" s="556">
        <f>IF(EET!T179=FALSE,0,(IF(EET!T180=0,IF(EET!T158=0,1,0.0929)*EET!T163*EET!T184/100,IF(EET!T180=1,EET!T184,EET!T184*0.0929))))</f>
        <v>0</v>
      </c>
      <c r="I76" s="319">
        <f>IF(EET!T179=FALSE,0,(IF(EET!T180=0,IF(EET!T158=0,1,0.0929)*EET!T162*EET!T183/100,IF(EET!T180=1,EET!T183,EET!T183*0.0929))))</f>
        <v>0</v>
      </c>
      <c r="J76" s="319">
        <f>IF(EET!T179=FALSE,0,(IF(EET!T180=0,IF(EET!T158=0,1,0.0929)*EET!T160*EET!T177/100,IF(EET!T180=1,EET!T177,EET!T177*0.0929))))</f>
        <v>0</v>
      </c>
      <c r="K76" s="319">
        <f>IF(EET!T179=FALSE,0,(IF(EET!T180=0,IF(EET!T158=0,1,0.0929)*EET!T161*EET!T182/100,IF(EET!T180=1,EET!T182,EET!T182*0.0929))))</f>
        <v>0</v>
      </c>
      <c r="M76" s="204">
        <f t="shared" si="15"/>
        <v>23563.602341199403</v>
      </c>
      <c r="N76" s="204">
        <f t="shared" si="16"/>
        <v>52323.879694598858</v>
      </c>
      <c r="O76" s="204">
        <f t="shared" si="17"/>
        <v>99747.565640529749</v>
      </c>
      <c r="P76" s="204">
        <f t="shared" si="18"/>
        <v>52323.879694598843</v>
      </c>
      <c r="Q76" s="204">
        <f t="shared" si="19"/>
        <v>23563.602341199403</v>
      </c>
      <c r="R76" s="204">
        <f t="shared" si="20"/>
        <v>52323.879694598858</v>
      </c>
      <c r="S76" s="204">
        <f t="shared" si="21"/>
        <v>99747.565640529749</v>
      </c>
      <c r="T76" s="204">
        <f t="shared" si="22"/>
        <v>52323.879694598843</v>
      </c>
      <c r="U76" s="715">
        <f t="shared" si="23"/>
        <v>0</v>
      </c>
      <c r="V76" s="715">
        <f t="shared" si="23"/>
        <v>0</v>
      </c>
      <c r="W76" s="715">
        <f t="shared" si="23"/>
        <v>0</v>
      </c>
      <c r="X76" s="715">
        <f t="shared" si="23"/>
        <v>0</v>
      </c>
      <c r="Y76" s="715">
        <f t="shared" si="23"/>
        <v>0</v>
      </c>
      <c r="Z76" s="715">
        <f t="shared" si="23"/>
        <v>0</v>
      </c>
    </row>
    <row r="77" spans="1:26" ht="13.2">
      <c r="C77" s="319">
        <f>IF(EET!U179=FALSE,0,(IF(EET!U180=0,IF(EET!U158=0,1,0.0929)*EET!U167*EET!U188/100,IF(EET!U180=1,EET!U188,EET!U188*0.0929))))</f>
        <v>0</v>
      </c>
      <c r="D77" s="319">
        <f>IF(EET!U179=FALSE,0,(IF(EET!U180=0,IF(EET!U158=0,1,0.0929)*EET!U166*EET!U187/100,IF(EET!U180=1,EET!U187,EET!U187*0.0929))))</f>
        <v>0</v>
      </c>
      <c r="E77" s="319">
        <f>IF(EET!U179=FALSE,0,(IF(EET!U180=0,IF(EET!U158=0,1,0.0929)*EET!U164*EET!U185/100,IF(EET!U180=1,EET!U185,EET!U185*0.0929))))</f>
        <v>0</v>
      </c>
      <c r="F77" s="319">
        <f>IF(EET!U179=FALSE,0,(IF(EET!U180=0,IF(EET!U158=0,1,0.0929)*EET!U165*EET!U186/100,IF(EET!U180=1,EET!U186,EET!U186*0.0929))))</f>
        <v>0</v>
      </c>
      <c r="H77" s="556">
        <f>IF(EET!U179=FALSE,0,(IF(EET!U180=0,IF(EET!U158=0,1,0.0929)*EET!U163*EET!U184/100,IF(EET!U180=1,EET!U184,EET!U184*0.0929))))</f>
        <v>0</v>
      </c>
      <c r="I77" s="319">
        <f>IF(EET!U179=FALSE,0,(IF(EET!U180=0,IF(EET!U158=0,1,0.0929)*EET!U162*EET!U183/100,IF(EET!U180=1,EET!U183,EET!U183*0.0929))))</f>
        <v>0</v>
      </c>
      <c r="J77" s="319">
        <f>IF(EET!U179=FALSE,0,(IF(EET!U180=0,IF(EET!U158=0,1,0.0929)*EET!U160*EET!U177/100,IF(EET!U180=1,EET!U177,EET!U177*0.0929))))</f>
        <v>0</v>
      </c>
      <c r="K77" s="319">
        <f>IF(EET!U179=FALSE,0,(IF(EET!U180=0,IF(EET!U158=0,1,0.0929)*EET!U161*EET!U182/100,IF(EET!U180=1,EET!U182,EET!U182*0.0929))))</f>
        <v>0</v>
      </c>
      <c r="M77" s="204">
        <f t="shared" si="15"/>
        <v>37936.803418290016</v>
      </c>
      <c r="N77" s="204">
        <f t="shared" si="16"/>
        <v>86354.827971113235</v>
      </c>
      <c r="O77" s="204">
        <f t="shared" si="17"/>
        <v>120861.30031011418</v>
      </c>
      <c r="P77" s="204">
        <f t="shared" si="18"/>
        <v>86354.827971113205</v>
      </c>
      <c r="Q77" s="204">
        <f t="shared" si="19"/>
        <v>37936.803418290016</v>
      </c>
      <c r="R77" s="204">
        <f t="shared" si="20"/>
        <v>86354.827971113235</v>
      </c>
      <c r="S77" s="204">
        <f t="shared" si="21"/>
        <v>120861.30031011418</v>
      </c>
      <c r="T77" s="204">
        <f t="shared" si="22"/>
        <v>86354.827971113205</v>
      </c>
      <c r="U77" s="715">
        <f t="shared" si="23"/>
        <v>0</v>
      </c>
      <c r="V77" s="715">
        <f t="shared" si="23"/>
        <v>0</v>
      </c>
      <c r="W77" s="715">
        <f t="shared" si="23"/>
        <v>0</v>
      </c>
      <c r="X77" s="715">
        <f t="shared" si="23"/>
        <v>0</v>
      </c>
      <c r="Y77" s="715">
        <f t="shared" si="23"/>
        <v>0</v>
      </c>
      <c r="Z77" s="715">
        <f t="shared" si="23"/>
        <v>0</v>
      </c>
    </row>
    <row r="78" spans="1:26" ht="13.2">
      <c r="C78" s="319">
        <f>IF(EET!V179=FALSE,0,(IF(EET!V180=0,IF(EET!V158=0,1,0.0929)*EET!V167*EET!V188/100,IF(EET!V180=1,EET!V188,EET!V188*0.0929))))</f>
        <v>0</v>
      </c>
      <c r="D78" s="319">
        <f>IF(EET!V179=FALSE,0,(IF(EET!V180=0,IF(EET!V158=0,1,0.0929)*EET!V166*EET!V187/100,IF(EET!V180=1,EET!V187,EET!V187*0.0929))))</f>
        <v>0</v>
      </c>
      <c r="E78" s="319">
        <f>IF(EET!V179=FALSE,0,(IF(EET!V180=0,IF(EET!V158=0,1,0.0929)*EET!V164*EET!V185/100,IF(EET!V180=1,EET!V185,EET!V185*0.0929))))</f>
        <v>0</v>
      </c>
      <c r="F78" s="319">
        <f>IF(EET!V179=FALSE,0,(IF(EET!V180=0,IF(EET!V158=0,1,0.0929)*EET!V165*EET!V186/100,IF(EET!V180=1,EET!V186,EET!V186*0.0929))))</f>
        <v>0</v>
      </c>
      <c r="H78" s="556">
        <f>IF(EET!V179=FALSE,0,(IF(EET!V180=0,IF(EET!V158=0,1,0.0929)*EET!V163*EET!V184/100,IF(EET!V180=1,EET!V184,EET!V184*0.0929))))</f>
        <v>0</v>
      </c>
      <c r="I78" s="319">
        <f>IF(EET!V179=FALSE,0,(IF(EET!V180=0,IF(EET!V158=0,1,0.0929)*EET!V162*EET!V183/100,IF(EET!V180=1,EET!V183,EET!V183*0.0929))))</f>
        <v>0</v>
      </c>
      <c r="J78" s="319">
        <f>IF(EET!V179=FALSE,0,(IF(EET!V180=0,IF(EET!V158=0,1,0.0929)*EET!V160*EET!V177/100,IF(EET!V180=1,EET!V177,EET!V177*0.0929))))</f>
        <v>0</v>
      </c>
      <c r="K78" s="319">
        <f>IF(EET!V179=FALSE,0,(IF(EET!V180=0,IF(EET!V158=0,1,0.0929)*EET!V161*EET!V182/100,IF(EET!V180=1,EET!V182,EET!V182*0.0929))))</f>
        <v>0</v>
      </c>
      <c r="M78" s="204">
        <f t="shared" si="15"/>
        <v>50081.941539848223</v>
      </c>
      <c r="N78" s="204">
        <f t="shared" si="16"/>
        <v>100644.93109731181</v>
      </c>
      <c r="O78" s="204">
        <f t="shared" si="17"/>
        <v>99367.82685426253</v>
      </c>
      <c r="P78" s="204">
        <f t="shared" si="18"/>
        <v>100644.93109731181</v>
      </c>
      <c r="Q78" s="204">
        <f t="shared" si="19"/>
        <v>50081.941539848223</v>
      </c>
      <c r="R78" s="204">
        <f t="shared" si="20"/>
        <v>100644.93109731181</v>
      </c>
      <c r="S78" s="204">
        <f t="shared" si="21"/>
        <v>99367.82685426253</v>
      </c>
      <c r="T78" s="204">
        <f t="shared" si="22"/>
        <v>100644.93109731181</v>
      </c>
      <c r="U78" s="715">
        <f t="shared" si="23"/>
        <v>1.8754868564313213E-3</v>
      </c>
      <c r="V78" s="715">
        <f t="shared" si="23"/>
        <v>1.8754868564313213E-3</v>
      </c>
      <c r="W78" s="715">
        <f t="shared" si="23"/>
        <v>1.8754868564313213E-3</v>
      </c>
      <c r="X78" s="715">
        <f t="shared" si="23"/>
        <v>1.8754868564313213E-3</v>
      </c>
      <c r="Y78" s="715">
        <f t="shared" si="23"/>
        <v>1.8754868564313213E-3</v>
      </c>
      <c r="Z78" s="715">
        <f t="shared" si="23"/>
        <v>1.8754868564313213E-3</v>
      </c>
    </row>
    <row r="79" spans="1:26" ht="13.2">
      <c r="C79" s="319">
        <f>IF(EET!W179=FALSE,0,(IF(EET!W180=0,IF(EET!W158=0,1,0.0929)*EET!W167*EET!W188/100,IF(EET!W180=1,EET!W188,EET!W188*0.0929))))</f>
        <v>0</v>
      </c>
      <c r="D79" s="319">
        <f>IF(EET!W179=FALSE,0,(IF(EET!W180=0,IF(EET!W158=0,1,0.0929)*EET!W166*EET!W187/100,IF(EET!W180=1,EET!W187,EET!W187*0.0929))))</f>
        <v>0</v>
      </c>
      <c r="E79" s="319">
        <f>IF(EET!W179=FALSE,0,(IF(EET!W180=0,IF(EET!W158=0,1,0.0929)*EET!W164*EET!W185/100,IF(EET!W180=1,EET!W185,EET!W185*0.0929))))</f>
        <v>0</v>
      </c>
      <c r="F79" s="319">
        <f>IF(EET!W179=FALSE,0,(IF(EET!W180=0,IF(EET!W158=0,1,0.0929)*EET!W165*EET!W186/100,IF(EET!W180=1,EET!W186,EET!W186*0.0929))))</f>
        <v>0</v>
      </c>
      <c r="H79" s="556">
        <f>IF(EET!W179=FALSE,0,(IF(EET!W180=0,IF(EET!W158=0,1,0.0929)*EET!W163*EET!W184/100,IF(EET!W180=1,EET!W184,EET!W184*0.0929))))</f>
        <v>0</v>
      </c>
      <c r="I79" s="319">
        <f>IF(EET!W179=FALSE,0,(IF(EET!W180=0,IF(EET!W158=0,1,0.0929)*EET!W162*EET!W183/100,IF(EET!W180=1,EET!W183,EET!W183*0.0929))))</f>
        <v>0</v>
      </c>
      <c r="J79" s="319">
        <f>IF(EET!W179=FALSE,0,(IF(EET!W180=0,IF(EET!W158=0,1,0.0929)*EET!W160*EET!W177/100,IF(EET!W180=1,EET!W177,EET!W177*0.0929))))</f>
        <v>0</v>
      </c>
      <c r="K79" s="319">
        <f>IF(EET!W179=FALSE,0,(IF(EET!W180=0,IF(EET!W158=0,1,0.0929)*EET!W161*EET!W182/100,IF(EET!W180=1,EET!W182,EET!W182*0.0929))))</f>
        <v>0</v>
      </c>
      <c r="M79" s="204">
        <f t="shared" si="15"/>
        <v>63559.334726551126</v>
      </c>
      <c r="N79" s="204">
        <f t="shared" si="16"/>
        <v>107880.59810528666</v>
      </c>
      <c r="O79" s="204">
        <f t="shared" si="17"/>
        <v>86578.50635479654</v>
      </c>
      <c r="P79" s="204">
        <f t="shared" si="18"/>
        <v>107880.59810528667</v>
      </c>
      <c r="Q79" s="204">
        <f t="shared" si="19"/>
        <v>63559.334726551126</v>
      </c>
      <c r="R79" s="204">
        <f t="shared" si="20"/>
        <v>107880.59810528666</v>
      </c>
      <c r="S79" s="204">
        <f t="shared" si="21"/>
        <v>86578.50635479654</v>
      </c>
      <c r="T79" s="204">
        <f t="shared" si="22"/>
        <v>107880.59810528667</v>
      </c>
      <c r="U79" s="715">
        <f t="shared" si="23"/>
        <v>1.4367127992220551E-2</v>
      </c>
      <c r="V79" s="715">
        <f t="shared" si="23"/>
        <v>1.4367127992220551E-2</v>
      </c>
      <c r="W79" s="715">
        <f t="shared" si="23"/>
        <v>1.4367127992220551E-2</v>
      </c>
      <c r="X79" s="715">
        <f t="shared" si="23"/>
        <v>1.4367127992220551E-2</v>
      </c>
      <c r="Y79" s="715">
        <f t="shared" si="23"/>
        <v>1.4367127992220551E-2</v>
      </c>
      <c r="Z79" s="715">
        <f t="shared" si="23"/>
        <v>1.4367127992220551E-2</v>
      </c>
    </row>
    <row r="80" spans="1:26" ht="13.2">
      <c r="C80" t="s">
        <v>3416</v>
      </c>
      <c r="D80" t="s">
        <v>5609</v>
      </c>
      <c r="E80" t="s">
        <v>1843</v>
      </c>
      <c r="F80" t="s">
        <v>1844</v>
      </c>
      <c r="H80" t="s">
        <v>5110</v>
      </c>
      <c r="I80" t="s">
        <v>5111</v>
      </c>
      <c r="J80" t="s">
        <v>2092</v>
      </c>
      <c r="K80" t="s">
        <v>3628</v>
      </c>
      <c r="M80" s="204">
        <f t="shared" si="15"/>
        <v>68270.071612418251</v>
      </c>
      <c r="N80" s="204">
        <f t="shared" si="16"/>
        <v>107245.72375232104</v>
      </c>
      <c r="O80" s="204">
        <f t="shared" si="17"/>
        <v>78830.494892944946</v>
      </c>
      <c r="P80" s="204">
        <f t="shared" si="18"/>
        <v>107245.72375232102</v>
      </c>
      <c r="Q80" s="204">
        <f t="shared" si="19"/>
        <v>68270.071612418251</v>
      </c>
      <c r="R80" s="204">
        <f t="shared" si="20"/>
        <v>107245.72375232104</v>
      </c>
      <c r="S80" s="204">
        <f t="shared" si="21"/>
        <v>78830.494892944946</v>
      </c>
      <c r="T80" s="204">
        <f t="shared" si="22"/>
        <v>107245.72375232102</v>
      </c>
      <c r="U80" s="715">
        <f t="shared" si="23"/>
        <v>1.8336166132549556E-2</v>
      </c>
      <c r="V80" s="715">
        <f t="shared" si="23"/>
        <v>1.8336166132549556E-2</v>
      </c>
      <c r="W80" s="715">
        <f t="shared" si="23"/>
        <v>1.8336166132549556E-2</v>
      </c>
      <c r="X80" s="715">
        <f t="shared" si="23"/>
        <v>1.8336166132549556E-2</v>
      </c>
      <c r="Y80" s="715">
        <f t="shared" si="23"/>
        <v>1.8336166132549556E-2</v>
      </c>
      <c r="Z80" s="715">
        <f t="shared" si="23"/>
        <v>1.8336166132549556E-2</v>
      </c>
    </row>
    <row r="81" spans="3:27" ht="13.2">
      <c r="C81" s="743">
        <f>IF(EET!S206=TRUE,(100-EET!S214)/100,1)*EET!S197</f>
        <v>0</v>
      </c>
      <c r="D81" s="743">
        <f>IF(EET!S206=TRUE,(100-EET!S220)/100,1)*EET!S203</f>
        <v>0</v>
      </c>
      <c r="E81" s="743">
        <f>IF(EET!S206=TRUE,(100-EET!S218)/100,1)*EET!S201</f>
        <v>0</v>
      </c>
      <c r="F81" s="743">
        <f>IF(EET!S206=TRUE,(100-EET!S219)/100,1)*EET!S202</f>
        <v>0</v>
      </c>
      <c r="G81" s="715"/>
      <c r="H81" s="743">
        <f>IF(EET!S206=TRUE,(100-EET!S217)/100,1)*EET!S200</f>
        <v>0</v>
      </c>
      <c r="I81" s="743">
        <f>IF(EET!S206=TRUE,(100-EET!S216)/100,1)*EET!S199</f>
        <v>0</v>
      </c>
      <c r="J81" s="743">
        <f>IF(EET!S206=TRUE,(100-EET!S205)/100,1)*EET!S196</f>
        <v>0</v>
      </c>
      <c r="K81" s="743">
        <f>IF(EET!S206=TRUE,(100-EET!S215)/100,1)*EET!S198</f>
        <v>0</v>
      </c>
      <c r="M81" s="204">
        <f t="shared" si="15"/>
        <v>69867.338290522574</v>
      </c>
      <c r="N81" s="204">
        <f t="shared" si="16"/>
        <v>119332.94325185854</v>
      </c>
      <c r="O81" s="204">
        <f t="shared" si="17"/>
        <v>88271.860766070386</v>
      </c>
      <c r="P81" s="204">
        <f t="shared" si="18"/>
        <v>119332.94325185854</v>
      </c>
      <c r="Q81" s="204">
        <f t="shared" si="19"/>
        <v>69867.338290522574</v>
      </c>
      <c r="R81" s="204">
        <f t="shared" si="20"/>
        <v>119332.94325185854</v>
      </c>
      <c r="S81" s="204">
        <f t="shared" si="21"/>
        <v>88271.860766070386</v>
      </c>
      <c r="T81" s="204">
        <f t="shared" si="22"/>
        <v>119332.94325185854</v>
      </c>
      <c r="U81" s="715">
        <f t="shared" si="23"/>
        <v>2.1740996520721749E-2</v>
      </c>
      <c r="V81" s="715">
        <f t="shared" si="23"/>
        <v>2.1740996520721749E-2</v>
      </c>
      <c r="W81" s="715">
        <f t="shared" si="23"/>
        <v>2.1740996520721749E-2</v>
      </c>
      <c r="X81" s="715">
        <f t="shared" si="23"/>
        <v>2.1740996520721749E-2</v>
      </c>
      <c r="Y81" s="715">
        <f t="shared" si="23"/>
        <v>2.1740996520721749E-2</v>
      </c>
      <c r="Z81" s="715">
        <f t="shared" si="23"/>
        <v>2.1740996520721749E-2</v>
      </c>
    </row>
    <row r="82" spans="3:27" ht="13.2">
      <c r="C82" s="743">
        <f>IF(EET!T206=TRUE,(100-EET!T214)/100,1)*EET!T197</f>
        <v>0</v>
      </c>
      <c r="D82" s="743">
        <f>IF(EET!T206=TRUE,(100-EET!T220)/100,1)*EET!T203</f>
        <v>0</v>
      </c>
      <c r="E82" s="743">
        <f>IF(EET!T206=TRUE,(100-EET!T218)/100,1)*EET!T201</f>
        <v>0</v>
      </c>
      <c r="F82" s="743">
        <f>IF(EET!T206=TRUE,(100-EET!T219)/100,1)*EET!T202</f>
        <v>0</v>
      </c>
      <c r="G82" s="715"/>
      <c r="H82" s="743">
        <f>IF(EET!T206=TRUE,(100-EET!T217)/100,1)*EET!T200</f>
        <v>0</v>
      </c>
      <c r="I82" s="743">
        <f>IF(EET!T206=TRUE,(100-EET!T216)/100,1)*EET!T199</f>
        <v>0</v>
      </c>
      <c r="J82" s="743">
        <f>IF(EET!T206=TRUE,(100-EET!T205)/100,1)*EET!T196</f>
        <v>0</v>
      </c>
      <c r="K82" s="743">
        <f>IF(EET!T206=TRUE,(100-EET!T215)/100,1)*EET!T198</f>
        <v>0</v>
      </c>
      <c r="M82" s="204">
        <f t="shared" si="15"/>
        <v>57957.736415419866</v>
      </c>
      <c r="N82" s="204">
        <f t="shared" si="16"/>
        <v>116217.33604764927</v>
      </c>
      <c r="O82" s="204">
        <f t="shared" si="17"/>
        <v>102707.16503043979</v>
      </c>
      <c r="P82" s="204">
        <f t="shared" si="18"/>
        <v>116217.33604764927</v>
      </c>
      <c r="Q82" s="204">
        <f t="shared" si="19"/>
        <v>57957.736415419866</v>
      </c>
      <c r="R82" s="204">
        <f t="shared" si="20"/>
        <v>116217.33604764927</v>
      </c>
      <c r="S82" s="204">
        <f t="shared" si="21"/>
        <v>102707.16503043979</v>
      </c>
      <c r="T82" s="204">
        <f t="shared" si="22"/>
        <v>116217.33604764927</v>
      </c>
      <c r="U82" s="715">
        <f t="shared" si="23"/>
        <v>2.1410364558972703E-2</v>
      </c>
      <c r="V82" s="715">
        <f t="shared" si="23"/>
        <v>2.1410364558972703E-2</v>
      </c>
      <c r="W82" s="715">
        <f t="shared" si="23"/>
        <v>2.1410364558972703E-2</v>
      </c>
      <c r="X82" s="715">
        <f t="shared" si="23"/>
        <v>2.1410364558972703E-2</v>
      </c>
      <c r="Y82" s="715">
        <f t="shared" si="23"/>
        <v>2.1410364558972703E-2</v>
      </c>
      <c r="Z82" s="715">
        <f t="shared" si="23"/>
        <v>2.1410364558972703E-2</v>
      </c>
    </row>
    <row r="83" spans="3:27" ht="13.2">
      <c r="C83" s="743">
        <f>IF(EET!U206=TRUE,(100-EET!U214)/100,1)*EET!U197</f>
        <v>0</v>
      </c>
      <c r="D83" s="743">
        <f>IF(EET!U206=TRUE,(100-EET!U220)/100,1)*EET!U203</f>
        <v>0</v>
      </c>
      <c r="E83" s="743">
        <f>IF(EET!U206=TRUE,(100-EET!U218)/100,1)*EET!U201</f>
        <v>0</v>
      </c>
      <c r="F83" s="743">
        <f>IF(EET!U206=TRUE,(100-EET!U219)/100,1)*EET!U202</f>
        <v>0</v>
      </c>
      <c r="G83" s="715"/>
      <c r="H83" s="743">
        <f>IF(EET!U206=TRUE,(100-EET!U217)/100,1)*EET!U200</f>
        <v>0</v>
      </c>
      <c r="I83" s="743">
        <f>IF(EET!U206=TRUE,(100-EET!U216)/100,1)*EET!U199</f>
        <v>0</v>
      </c>
      <c r="J83" s="743">
        <f>IF(EET!U206=TRUE,(100-EET!U205)/100,1)*EET!U196</f>
        <v>0</v>
      </c>
      <c r="K83" s="743">
        <f>IF(EET!U206=TRUE,(100-EET!U215)/100,1)*EET!U198</f>
        <v>0</v>
      </c>
      <c r="M83" s="204">
        <f t="shared" si="15"/>
        <v>40086.610111467002</v>
      </c>
      <c r="N83" s="204">
        <f t="shared" si="16"/>
        <v>85677.199379670215</v>
      </c>
      <c r="O83" s="204">
        <f t="shared" si="17"/>
        <v>107310.74061768033</v>
      </c>
      <c r="P83" s="204">
        <f t="shared" si="18"/>
        <v>85677.199379670215</v>
      </c>
      <c r="Q83" s="204">
        <f t="shared" si="19"/>
        <v>40086.610111467002</v>
      </c>
      <c r="R83" s="204">
        <f t="shared" si="20"/>
        <v>85677.199379670215</v>
      </c>
      <c r="S83" s="204">
        <f t="shared" si="21"/>
        <v>107310.74061768033</v>
      </c>
      <c r="T83" s="204">
        <f t="shared" si="22"/>
        <v>85677.199379670215</v>
      </c>
      <c r="U83" s="715">
        <f t="shared" si="23"/>
        <v>1.9381048755879475E-2</v>
      </c>
      <c r="V83" s="715">
        <f t="shared" si="23"/>
        <v>1.9381048755879475E-2</v>
      </c>
      <c r="W83" s="715">
        <f t="shared" si="23"/>
        <v>1.9381048755879475E-2</v>
      </c>
      <c r="X83" s="715">
        <f t="shared" si="23"/>
        <v>1.9381048755879475E-2</v>
      </c>
      <c r="Y83" s="715">
        <f t="shared" si="23"/>
        <v>1.9381048755879475E-2</v>
      </c>
      <c r="Z83" s="715">
        <f t="shared" si="23"/>
        <v>1.9381048755879475E-2</v>
      </c>
    </row>
    <row r="84" spans="3:27" ht="13.2">
      <c r="C84" s="743">
        <f>IF(EET!V206=TRUE,(100-EET!V214)/100,1)*EET!V197</f>
        <v>0</v>
      </c>
      <c r="D84" s="743">
        <f>IF(EET!V206=TRUE,(100-EET!V220)/100,1)*EET!V203</f>
        <v>0</v>
      </c>
      <c r="E84" s="743">
        <f>IF(EET!V206=TRUE,(100-EET!V218)/100,1)*EET!V201</f>
        <v>0</v>
      </c>
      <c r="F84" s="743">
        <f>IF(EET!V206=TRUE,(100-EET!V219)/100,1)*EET!V202</f>
        <v>0</v>
      </c>
      <c r="G84" s="715"/>
      <c r="H84" s="743">
        <f>IF(EET!V206=TRUE,(100-EET!V217)/100,1)*EET!V200</f>
        <v>0</v>
      </c>
      <c r="I84" s="743">
        <f>IF(EET!V206=TRUE,(100-EET!V216)/100,1)*EET!V199</f>
        <v>0</v>
      </c>
      <c r="J84" s="743">
        <f>IF(EET!V206=TRUE,(100-EET!V205)/100,1)*EET!V196</f>
        <v>0</v>
      </c>
      <c r="K84" s="743">
        <f>IF(EET!V206=TRUE,(100-EET!V215)/100,1)*EET!V198</f>
        <v>0</v>
      </c>
      <c r="M84" s="204">
        <f t="shared" si="15"/>
        <v>31074.621228130098</v>
      </c>
      <c r="N84" s="204">
        <f t="shared" si="16"/>
        <v>68347.521359980485</v>
      </c>
      <c r="O84" s="204">
        <f t="shared" si="17"/>
        <v>121962.73379329882</v>
      </c>
      <c r="P84" s="204">
        <f t="shared" si="18"/>
        <v>68347.521359980485</v>
      </c>
      <c r="Q84" s="204">
        <f t="shared" si="19"/>
        <v>31074.621228130098</v>
      </c>
      <c r="R84" s="204">
        <f t="shared" si="20"/>
        <v>68347.521359980485</v>
      </c>
      <c r="S84" s="204">
        <f t="shared" si="21"/>
        <v>121962.73379329882</v>
      </c>
      <c r="T84" s="204">
        <f t="shared" si="22"/>
        <v>68347.521359980485</v>
      </c>
      <c r="U84" s="715">
        <f t="shared" si="23"/>
        <v>1.6618808832596484E-2</v>
      </c>
      <c r="V84" s="715">
        <f t="shared" si="23"/>
        <v>1.6618808832596484E-2</v>
      </c>
      <c r="W84" s="715">
        <f t="shared" si="23"/>
        <v>1.6618808832596484E-2</v>
      </c>
      <c r="X84" s="715">
        <f t="shared" si="23"/>
        <v>1.6618808832596484E-2</v>
      </c>
      <c r="Y84" s="715">
        <f t="shared" si="23"/>
        <v>1.6618808832596484E-2</v>
      </c>
      <c r="Z84" s="715">
        <f t="shared" si="23"/>
        <v>1.6618808832596484E-2</v>
      </c>
    </row>
    <row r="85" spans="3:27" ht="13.2">
      <c r="C85" s="743">
        <f>IF(EET!W206=TRUE,(100-EET!W214)/100,1)*EET!W197</f>
        <v>0</v>
      </c>
      <c r="D85" s="743">
        <f>IF(EET!W206=TRUE,(100-EET!W220)/100,1)*EET!W203</f>
        <v>0</v>
      </c>
      <c r="E85" s="743">
        <f>IF(EET!W206=TRUE,(100-EET!W218)/100,1)*EET!W201</f>
        <v>0</v>
      </c>
      <c r="F85" s="743">
        <f>IF(EET!W206=TRUE,(100-EET!W219)/100,1)*EET!W202</f>
        <v>0</v>
      </c>
      <c r="G85" s="715"/>
      <c r="H85" s="743">
        <f>IF(EET!W206=TRUE,(100-EET!W217)/100,1)*EET!W200</f>
        <v>0</v>
      </c>
      <c r="I85" s="743">
        <f>IF(EET!W206=TRUE,(100-EET!W216)/100,1)*EET!W199</f>
        <v>0</v>
      </c>
      <c r="J85" s="743">
        <f>IF(EET!W206=TRUE,(100-EET!W205)/100,1)*EET!W196</f>
        <v>0</v>
      </c>
      <c r="K85" s="743">
        <f>IF(EET!W206=TRUE,(100-EET!W215)/100,1)*EET!W198</f>
        <v>0</v>
      </c>
      <c r="M85" s="204">
        <f t="shared" si="15"/>
        <v>20340.943692420089</v>
      </c>
      <c r="N85" s="204">
        <f t="shared" si="16"/>
        <v>52597.892890491792</v>
      </c>
      <c r="O85" s="204">
        <f t="shared" si="17"/>
        <v>117397.33349119125</v>
      </c>
      <c r="P85" s="204">
        <f t="shared" si="18"/>
        <v>52597.89289049177</v>
      </c>
      <c r="Q85" s="204">
        <f t="shared" si="19"/>
        <v>20340.943692420089</v>
      </c>
      <c r="R85" s="204">
        <f t="shared" si="20"/>
        <v>52597.892890491792</v>
      </c>
      <c r="S85" s="204">
        <f t="shared" si="21"/>
        <v>117397.33349119125</v>
      </c>
      <c r="T85" s="204">
        <f t="shared" si="22"/>
        <v>52597.89289049177</v>
      </c>
      <c r="U85" s="715">
        <f t="shared" si="23"/>
        <v>3.7295757635006708E-3</v>
      </c>
      <c r="V85" s="715">
        <f t="shared" si="23"/>
        <v>3.7295757635006708E-3</v>
      </c>
      <c r="W85" s="715">
        <f t="shared" si="23"/>
        <v>3.7295757635006708E-3</v>
      </c>
      <c r="X85" s="715">
        <f t="shared" si="23"/>
        <v>3.7295757635006708E-3</v>
      </c>
      <c r="Y85" s="715">
        <f t="shared" si="23"/>
        <v>3.7295757635006708E-3</v>
      </c>
      <c r="Z85" s="715">
        <f t="shared" si="23"/>
        <v>3.7295757635006708E-3</v>
      </c>
    </row>
    <row r="86" spans="3:27" ht="13.2">
      <c r="C86" t="s">
        <v>5737</v>
      </c>
      <c r="D86" t="s">
        <v>2967</v>
      </c>
      <c r="E86" t="s">
        <v>2408</v>
      </c>
      <c r="F86" t="s">
        <v>5109</v>
      </c>
      <c r="H86" t="s">
        <v>2765</v>
      </c>
      <c r="I86" t="s">
        <v>2766</v>
      </c>
      <c r="J86" t="s">
        <v>2985</v>
      </c>
      <c r="K86" t="s">
        <v>1782</v>
      </c>
      <c r="M86" s="204">
        <f t="shared" si="15"/>
        <v>17640.81438336772</v>
      </c>
      <c r="N86" s="204">
        <f t="shared" si="16"/>
        <v>52992.517028953036</v>
      </c>
      <c r="O86" s="204">
        <f t="shared" si="17"/>
        <v>133392.69069244896</v>
      </c>
      <c r="P86" s="204">
        <f t="shared" si="18"/>
        <v>52992.517028953036</v>
      </c>
      <c r="Q86" s="204">
        <f t="shared" si="19"/>
        <v>17640.81438336772</v>
      </c>
      <c r="R86" s="204">
        <f t="shared" si="20"/>
        <v>52992.517028953036</v>
      </c>
      <c r="S86" s="204">
        <f t="shared" si="21"/>
        <v>133392.69069244896</v>
      </c>
      <c r="T86" s="204">
        <f t="shared" si="22"/>
        <v>52992.517028953036</v>
      </c>
      <c r="U86" s="716">
        <f t="shared" si="23"/>
        <v>0</v>
      </c>
      <c r="V86" s="716">
        <f t="shared" si="23"/>
        <v>0</v>
      </c>
      <c r="W86" s="716">
        <f t="shared" si="23"/>
        <v>0</v>
      </c>
      <c r="X86" s="716">
        <f t="shared" si="23"/>
        <v>0</v>
      </c>
      <c r="Y86" s="716">
        <f t="shared" si="23"/>
        <v>0</v>
      </c>
      <c r="Z86" s="716">
        <f t="shared" si="23"/>
        <v>0</v>
      </c>
    </row>
    <row r="87" spans="3:27" ht="13.2">
      <c r="C87" s="744">
        <f>IF(EET!S206=TRUE,(100-EET!S213)/100,1)*EET!S197</f>
        <v>0</v>
      </c>
      <c r="D87" s="743">
        <f>IF(EET!S206=TRUE,(100-EET!S212)/100,1)*EET!S203</f>
        <v>0</v>
      </c>
      <c r="E87" s="743">
        <f>IF(EET!S206=TRUE,(100-EET!S210)/100,1)*EET!S201</f>
        <v>0</v>
      </c>
      <c r="F87" s="743">
        <f>IF(EET!S206=TRUE,(100-EET!S211)/100,1)*EET!S202</f>
        <v>0</v>
      </c>
      <c r="G87" s="715"/>
      <c r="H87" s="743">
        <f>IF(EET!S206=TRUE,(100-EET!S209)/100,1)*EET!S200</f>
        <v>0</v>
      </c>
      <c r="I87" s="743">
        <f>IF(EET!S206=TRUE,(100-EET!S208)/100,1)*EET!S199</f>
        <v>0</v>
      </c>
      <c r="J87" s="743">
        <f>IF(EET!S206=TRUE,(100-EET!S204)/100,1)*EET!S196</f>
        <v>0</v>
      </c>
      <c r="K87" s="743">
        <f>IF(EET!S206=TRUE,(100-EET!S207)/100,1)*EET!S198</f>
        <v>0</v>
      </c>
      <c r="M87" s="204"/>
      <c r="N87" s="204"/>
      <c r="O87" s="204"/>
      <c r="P87" s="204"/>
      <c r="Q87" s="204"/>
      <c r="R87" s="204"/>
      <c r="S87" s="204"/>
      <c r="T87" s="204"/>
      <c r="U87" s="219">
        <v>0</v>
      </c>
      <c r="V87" s="219">
        <v>1</v>
      </c>
      <c r="W87" s="219">
        <v>2</v>
      </c>
      <c r="X87" s="219">
        <v>3</v>
      </c>
      <c r="Y87" s="219">
        <v>4</v>
      </c>
      <c r="Z87" s="219">
        <v>5</v>
      </c>
    </row>
    <row r="88" spans="3:27" ht="13.2">
      <c r="C88" s="744">
        <f>IF(EET!T206=TRUE,(100-EET!T213)/100,1)*EET!T197</f>
        <v>0</v>
      </c>
      <c r="D88" s="743">
        <f>IF(EET!T206=TRUE,(100-EET!T212)/100,1)*EET!T203</f>
        <v>0</v>
      </c>
      <c r="E88" s="743">
        <f>IF(EET!T206=TRUE,(100-EET!T210)/100,1)*EET!T201</f>
        <v>0</v>
      </c>
      <c r="F88" s="743">
        <f>IF(EET!T206=TRUE,(100-EET!T211)/100,1)*EET!T202</f>
        <v>0</v>
      </c>
      <c r="G88" s="715"/>
      <c r="H88" s="743">
        <f>IF(EET!T206=TRUE,(100-EET!T209)/100,1)*EET!T200</f>
        <v>0</v>
      </c>
      <c r="I88" s="743">
        <f>IF(EET!T206=TRUE,(100-EET!T208)/100,1)*EET!T199</f>
        <v>0</v>
      </c>
      <c r="J88" s="743">
        <f>IF(EET!T206=TRUE,(100-EET!T204)/100,1)*EET!T196</f>
        <v>0</v>
      </c>
      <c r="K88" s="743">
        <f>IF(EET!T206=TRUE,(100-EET!T207)/100,1)*EET!T198</f>
        <v>0</v>
      </c>
      <c r="U88" s="717">
        <f t="shared" ref="U88:Z88" si="24">SUMIF(U75:U86,"&gt;0",U75:U86)</f>
        <v>0.1174595754128725</v>
      </c>
      <c r="V88" s="717">
        <f t="shared" si="24"/>
        <v>0.1174595754128725</v>
      </c>
      <c r="W88" s="717">
        <f t="shared" si="24"/>
        <v>0.1174595754128725</v>
      </c>
      <c r="X88" s="717">
        <f t="shared" si="24"/>
        <v>0.1174595754128725</v>
      </c>
      <c r="Y88" s="717">
        <f t="shared" si="24"/>
        <v>0.1174595754128725</v>
      </c>
      <c r="Z88" s="717">
        <f t="shared" si="24"/>
        <v>0.1174595754128725</v>
      </c>
      <c r="AA88" t="s">
        <v>4387</v>
      </c>
    </row>
    <row r="89" spans="3:27" ht="13.2">
      <c r="C89" s="744">
        <f>IF(EET!U206=TRUE,(100-EET!U213)/100,1)*EET!U197</f>
        <v>0</v>
      </c>
      <c r="D89" s="743">
        <f>IF(EET!U206=TRUE,(100-EET!U212)/100,1)*EET!U203</f>
        <v>0</v>
      </c>
      <c r="E89" s="743">
        <f>IF(EET!U206=TRUE,(100-EET!U210)/100,1)*EET!U201</f>
        <v>0</v>
      </c>
      <c r="F89" s="743">
        <f>IF(EET!U206=TRUE,(100-EET!U211)/100,1)*EET!U202</f>
        <v>0</v>
      </c>
      <c r="G89" s="715"/>
      <c r="H89" s="743">
        <f>IF(EET!U206=TRUE,(100-EET!U209)/100,1)*EET!U200</f>
        <v>0</v>
      </c>
      <c r="I89" s="743">
        <f>IF(EET!U206=TRUE,(100-EET!U208)/100,1)*EET!U199</f>
        <v>0</v>
      </c>
      <c r="J89" s="743">
        <f>IF(EET!U206=TRUE,(100-EET!U204)/100,1)*EET!U196</f>
        <v>0</v>
      </c>
      <c r="K89" s="743">
        <f>IF(EET!U206=TRUE,(100-EET!U207)/100,1)*EET!U198</f>
        <v>0</v>
      </c>
      <c r="M89" s="204">
        <f t="shared" ref="M89:M100" si="25">GetMonthlyTrackingRadiation($F$50,0,PI()/2,($E$113+180)*PI()/180,$H61,$F61*10^6,$G61)/10^6*277.778*$B61</f>
        <v>18990.031280569303</v>
      </c>
      <c r="N89" s="204">
        <f t="shared" ref="N89:N100" si="26">GetMonthlyTrackingRadiation($F$50,0,PI()/2,($E$113+90)*PI()/180,$H61,$F61*10^6,$G61)/10^6*277.778*$B61</f>
        <v>43821.436968822112</v>
      </c>
      <c r="O89" s="204">
        <f t="shared" ref="O89:O100" si="27">GetMonthlyTrackingRadiation($F$50,0,PI()/2,($E$113)*PI()/180,$H61,$F61*10^6,$G61)/10^6*277.778*$B61</f>
        <v>98707.292744905804</v>
      </c>
      <c r="P89" s="204">
        <f t="shared" ref="P89:P100" si="28">GetMonthlyTrackingRadiation($F$50,0,PI()/2,($E$113-90)*PI()/180,$H61,$F61*10^6,$G61)/10^6*277.778*$B61</f>
        <v>43821.436968822112</v>
      </c>
      <c r="Q89" s="204">
        <f t="shared" ref="Q89:Q100" si="29">GetMonthlyTrackingRadiation($F$50,0,PI()/2,($E$114+180)*PI()/180,$H61,$F61*10^6,$G61)/10^6*277.778*$B61</f>
        <v>18990.031280569303</v>
      </c>
      <c r="R89" s="204">
        <f t="shared" ref="R89:R100" si="30">GetMonthlyTrackingRadiation($F$50,0,PI()/2,($E$114+90)*PI()/180,$H61,$F61*10^6,$G61)/10^6*277.778*$B61</f>
        <v>43821.436968822112</v>
      </c>
      <c r="S89" s="204">
        <f t="shared" ref="S89:S100" si="31">GetMonthlyTrackingRadiation($F$50,0,PI()/2,($E$114)*PI()/180,$H61,$F61*10^6,$G61)/10^6*277.778*$B61</f>
        <v>98707.292744905804</v>
      </c>
      <c r="T89" s="204">
        <f t="shared" ref="T89:T100" si="32">GetMonthlyTrackingRadiation($F$50,0,PI()/2,($E$114-90)*PI()/180,$H61,$F61*10^6,$G61)/10^6*277.778*$B61</f>
        <v>43821.436968822112</v>
      </c>
    </row>
    <row r="90" spans="3:27" ht="13.2">
      <c r="C90" s="744">
        <f>IF(EET!V206=TRUE,(100-EET!V213)/100,1)*EET!V197</f>
        <v>0</v>
      </c>
      <c r="D90" s="743">
        <f>IF(EET!V206=TRUE,(100-EET!V212)/100,1)*EET!V203</f>
        <v>0</v>
      </c>
      <c r="E90" s="743">
        <f>IF(EET!V206=TRUE,(100-EET!V210)/100,1)*EET!V201</f>
        <v>0</v>
      </c>
      <c r="F90" s="743">
        <f>IF(EET!V206=TRUE,(100-EET!V211)/100,1)*EET!V202</f>
        <v>0</v>
      </c>
      <c r="G90" s="715"/>
      <c r="H90" s="743">
        <f>IF(EET!V206=TRUE,(100-EET!V209)/100,1)*EET!V200</f>
        <v>0</v>
      </c>
      <c r="I90" s="743">
        <f>IF(EET!V206=TRUE,(100-EET!V208)/100,1)*EET!V199</f>
        <v>0</v>
      </c>
      <c r="J90" s="743">
        <f>IF(EET!V206=TRUE,(100-EET!V204)/100,1)*EET!V196</f>
        <v>0</v>
      </c>
      <c r="K90" s="743">
        <f>IF(EET!V206=TRUE,(100-EET!V207)/100,1)*EET!V198</f>
        <v>0</v>
      </c>
      <c r="M90" s="204">
        <f t="shared" si="25"/>
        <v>23563.602341199403</v>
      </c>
      <c r="N90" s="204">
        <f t="shared" si="26"/>
        <v>52323.879694598858</v>
      </c>
      <c r="O90" s="204">
        <f t="shared" si="27"/>
        <v>99747.565640529749</v>
      </c>
      <c r="P90" s="204">
        <f t="shared" si="28"/>
        <v>52323.879694598843</v>
      </c>
      <c r="Q90" s="204">
        <f t="shared" si="29"/>
        <v>23563.602341199403</v>
      </c>
      <c r="R90" s="204">
        <f t="shared" si="30"/>
        <v>52323.879694598858</v>
      </c>
      <c r="S90" s="204">
        <f t="shared" si="31"/>
        <v>99747.565640529749</v>
      </c>
      <c r="T90" s="204">
        <f t="shared" si="32"/>
        <v>52323.879694598843</v>
      </c>
    </row>
    <row r="91" spans="3:27" ht="13.2">
      <c r="C91" s="744">
        <f>IF(EET!W206=TRUE,(100-EET!W213)/100,1)*EET!W197</f>
        <v>0</v>
      </c>
      <c r="D91" s="743">
        <f>IF(EET!W206=TRUE,(100-EET!W212)/100,1)*EET!W203</f>
        <v>0</v>
      </c>
      <c r="E91" s="743">
        <f>IF(EET!W206=TRUE,(100-EET!W210)/100,1)*EET!W201</f>
        <v>0</v>
      </c>
      <c r="F91" s="743">
        <f>IF(EET!W206=TRUE,(100-EET!W211)/100,1)*EET!W202</f>
        <v>0</v>
      </c>
      <c r="G91" s="715"/>
      <c r="H91" s="743">
        <f>IF(EET!W206=TRUE,(100-EET!W209)/100,1)*EET!W200</f>
        <v>0</v>
      </c>
      <c r="I91" s="743">
        <f>IF(EET!W206=TRUE,(100-EET!W208)/100,1)*EET!W199</f>
        <v>0</v>
      </c>
      <c r="J91" s="743">
        <f>IF(EET!W206=TRUE,(100-EET!W204)/100,1)*EET!W196</f>
        <v>0</v>
      </c>
      <c r="K91" s="743">
        <f>IF(EET!W206=TRUE,(100-EET!W207)/100,1)*EET!W198</f>
        <v>0</v>
      </c>
      <c r="M91" s="204">
        <f t="shared" si="25"/>
        <v>37936.803418290016</v>
      </c>
      <c r="N91" s="204">
        <f t="shared" si="26"/>
        <v>86354.827971113235</v>
      </c>
      <c r="O91" s="204">
        <f t="shared" si="27"/>
        <v>120861.30031011418</v>
      </c>
      <c r="P91" s="204">
        <f t="shared" si="28"/>
        <v>86354.827971113205</v>
      </c>
      <c r="Q91" s="204">
        <f t="shared" si="29"/>
        <v>37936.803418290016</v>
      </c>
      <c r="R91" s="204">
        <f t="shared" si="30"/>
        <v>86354.827971113235</v>
      </c>
      <c r="S91" s="204">
        <f t="shared" si="31"/>
        <v>120861.30031011418</v>
      </c>
      <c r="T91" s="204">
        <f t="shared" si="32"/>
        <v>86354.827971113205</v>
      </c>
    </row>
    <row r="92" spans="3:27" ht="13.2">
      <c r="C92" t="s">
        <v>4139</v>
      </c>
      <c r="H92" t="s">
        <v>5966</v>
      </c>
      <c r="M92" s="204">
        <f t="shared" si="25"/>
        <v>50081.941539848223</v>
      </c>
      <c r="N92" s="204">
        <f t="shared" si="26"/>
        <v>100644.93109731181</v>
      </c>
      <c r="O92" s="204">
        <f t="shared" si="27"/>
        <v>99367.82685426253</v>
      </c>
      <c r="P92" s="204">
        <f t="shared" si="28"/>
        <v>100644.93109731181</v>
      </c>
      <c r="Q92" s="204">
        <f t="shared" si="29"/>
        <v>50081.941539848223</v>
      </c>
      <c r="R92" s="204">
        <f t="shared" si="30"/>
        <v>100644.93109731181</v>
      </c>
      <c r="S92" s="204">
        <f t="shared" si="31"/>
        <v>99367.82685426253</v>
      </c>
      <c r="T92" s="204">
        <f t="shared" si="32"/>
        <v>100644.93109731181</v>
      </c>
    </row>
    <row r="93" spans="3:27" ht="13.2">
      <c r="C93" t="s">
        <v>5088</v>
      </c>
      <c r="H93" t="s">
        <v>5088</v>
      </c>
      <c r="M93" s="204">
        <f t="shared" si="25"/>
        <v>63559.334726551126</v>
      </c>
      <c r="N93" s="204">
        <f t="shared" si="26"/>
        <v>107880.59810528666</v>
      </c>
      <c r="O93" s="204">
        <f t="shared" si="27"/>
        <v>86578.50635479654</v>
      </c>
      <c r="P93" s="204">
        <f t="shared" si="28"/>
        <v>107880.59810528667</v>
      </c>
      <c r="Q93" s="204">
        <f t="shared" si="29"/>
        <v>63559.334726551126</v>
      </c>
      <c r="R93" s="204">
        <f t="shared" si="30"/>
        <v>107880.59810528666</v>
      </c>
      <c r="S93" s="204">
        <f t="shared" si="31"/>
        <v>86578.50635479654</v>
      </c>
      <c r="T93" s="204">
        <f t="shared" si="32"/>
        <v>107880.59810528667</v>
      </c>
    </row>
    <row r="94" spans="3:27" ht="13.2">
      <c r="C94" s="203">
        <f>IF($E61,SUMPRODUCT($M61:$P61,$C$75:$F$75,$C$81:$F$81),SUMPRODUCT($M61:$P61,$C$75:$F$75,$C$87:$F$87))/10^6</f>
        <v>0</v>
      </c>
      <c r="D94" s="203">
        <f>IF($E61,SUMPRODUCT($M75:$P75,$C$76:$F$76,$C$82:$F$82),SUMPRODUCT($M75:$P75,$C$76:$F$76,$C$88:$F$88))/10^6</f>
        <v>0</v>
      </c>
      <c r="E94" s="203">
        <f>IF($E61,SUMPRODUCT($M89:$P89,$C$77:$F$77,$C$83:$F$83),SUMPRODUCT($M89:$P89,$C$77:$F$77,$C$89:$F$89))/10^6</f>
        <v>0</v>
      </c>
      <c r="F94" s="203">
        <f>IF($E61,SUMPRODUCT($M103:$P103,$C$78:$F$78,$C$84:$F$84),SUMPRODUCT($M103:$P103,$C$78:$F$78,$C$90:$F$90))/10^6</f>
        <v>0</v>
      </c>
      <c r="G94" s="203">
        <f>IF($E61,SUMPRODUCT($M117:$P117,$C$79:$F$79,$C$85:$F$85),SUMPRODUCT($M117:$P117,$C$79:$F$79,$C$91:$F$91))/10^6</f>
        <v>0</v>
      </c>
      <c r="H94" s="203">
        <f>IF($E61,SUMPRODUCT($Q61:$T61,$H$75:$K$75,$H$81:$K$81),SUMPRODUCT($Q61:$T61,$H$75:$K$75,$H$87:$K$87))/10^6</f>
        <v>0</v>
      </c>
      <c r="I94" s="203">
        <f>IF($E61,SUMPRODUCT($Q75:$T75,$H$76:$K$76,$H$82:$K$82),SUMPRODUCT($Q75:$T75,$H$76:$K$76,$H$88:$K$88))/10^6</f>
        <v>0</v>
      </c>
      <c r="J94" s="203">
        <f>IF($E61,SUMPRODUCT($Q89:$T89,$H$77:$K$77,$H$83:$K$83),SUMPRODUCT($Q89:$T89,$H$77:$K$77,$H$89:$K$89))/10^6</f>
        <v>0</v>
      </c>
      <c r="K94" s="203">
        <f>IF($E61,SUMPRODUCT($Q103:$T103,$H$78:$K$78,$H$84:$K$84),SUMPRODUCT($Q103:$T103,$H$78:$K$78,$H$90:$K$90))/10^6</f>
        <v>0</v>
      </c>
      <c r="L94" s="203">
        <f>IF($E61,SUMPRODUCT($Q117:$T117,$H$79:$K$79,$H$85:$K$85),SUMPRODUCT($Q117:$T117,$H$79:$K$79,$H$91:$K$91))/10^6</f>
        <v>0</v>
      </c>
      <c r="M94" s="204">
        <f t="shared" si="25"/>
        <v>68270.071612418251</v>
      </c>
      <c r="N94" s="204">
        <f t="shared" si="26"/>
        <v>107245.72375232104</v>
      </c>
      <c r="O94" s="204">
        <f t="shared" si="27"/>
        <v>78830.494892944946</v>
      </c>
      <c r="P94" s="204">
        <f t="shared" si="28"/>
        <v>107245.72375232102</v>
      </c>
      <c r="Q94" s="204">
        <f t="shared" si="29"/>
        <v>68270.071612418251</v>
      </c>
      <c r="R94" s="204">
        <f t="shared" si="30"/>
        <v>107245.72375232104</v>
      </c>
      <c r="S94" s="204">
        <f t="shared" si="31"/>
        <v>78830.494892944946</v>
      </c>
      <c r="T94" s="204">
        <f t="shared" si="32"/>
        <v>107245.72375232102</v>
      </c>
    </row>
    <row r="95" spans="3:27" ht="13.2">
      <c r="C95" s="203">
        <f t="shared" ref="C95:C105" si="33">IF($E62,SUMPRODUCT($M62:$P62,$C$75:$F$75,$C$81:$F$81),SUMPRODUCT($M62:$P62,$C$75:$F$75,$C$87:$F$87))/10^6</f>
        <v>0</v>
      </c>
      <c r="D95" s="203">
        <f t="shared" ref="D95:D105" si="34">IF($E62,SUMPRODUCT($M76:$P76,$C$76:$F$76,$C$82:$F$82),SUMPRODUCT($M76:$P76,$C$76:$F$76,$C$88:$F$88))/10^6</f>
        <v>0</v>
      </c>
      <c r="E95" s="203">
        <f t="shared" ref="E95:E105" si="35">IF($E62,SUMPRODUCT($M90:$P90,$C$77:$F$77,$C$83:$F$83),SUMPRODUCT($M90:$P90,$C$77:$F$77,$C$89:$F$89))/10^6</f>
        <v>0</v>
      </c>
      <c r="F95" s="203">
        <f t="shared" ref="F95:F105" si="36">IF($E62,SUMPRODUCT($M104:$P104,$C$78:$F$78,$C$84:$F$84),SUMPRODUCT($M104:$P104,$C$78:$F$78,$C$90:$F$90))/10^6</f>
        <v>0</v>
      </c>
      <c r="G95" s="203">
        <f t="shared" ref="G95:G105" si="37">IF($E62,SUMPRODUCT($M118:$P118,$C$79:$F$79,$C$85:$F$85),SUMPRODUCT($M118:$P118,$C$79:$F$79,$C$91:$F$91))/10^6</f>
        <v>0</v>
      </c>
      <c r="H95" s="203">
        <f t="shared" ref="H95:H105" si="38">IF($E62,SUMPRODUCT($Q62:$T62,$H$75:$K$75,$H$81:$K$81),SUMPRODUCT($Q62:$T62,$H$75:$K$75,$H$87:$K$87))/10^6</f>
        <v>0</v>
      </c>
      <c r="I95" s="203">
        <f t="shared" ref="I95:I105" si="39">IF($E62,SUMPRODUCT($Q76:$T76,$H$76:$K$76,$H$82:$K$82),SUMPRODUCT($Q76:$T76,$H$76:$K$76,$H$88:$K$88))/10^6</f>
        <v>0</v>
      </c>
      <c r="J95" s="203">
        <f t="shared" ref="J95:J105" si="40">IF($E62,SUMPRODUCT($Q90:$T90,$H$77:$K$77,$H$83:$K$83),SUMPRODUCT($Q90:$T90,$H$77:$K$77,$H$89:$K$89))/10^6</f>
        <v>0</v>
      </c>
      <c r="K95" s="203">
        <f t="shared" ref="K95:K105" si="41">IF($E62,SUMPRODUCT($Q104:$T104,$H$78:$K$78,$H$84:$K$84),SUMPRODUCT($Q104:$T104,$H$78:$K$78,$H$90:$K$90))/10^6</f>
        <v>0</v>
      </c>
      <c r="L95" s="203">
        <f t="shared" ref="L95:L105" si="42">IF($E62,SUMPRODUCT($Q118:$T118,$H$79:$K$79,$H$85:$K$85),SUMPRODUCT($Q118:$T118,$H$79:$K$79,$H$91:$K$91))/10^6</f>
        <v>0</v>
      </c>
      <c r="M95" s="204">
        <f t="shared" si="25"/>
        <v>69867.338290522574</v>
      </c>
      <c r="N95" s="204">
        <f t="shared" si="26"/>
        <v>119332.94325185854</v>
      </c>
      <c r="O95" s="204">
        <f t="shared" si="27"/>
        <v>88271.860766070386</v>
      </c>
      <c r="P95" s="204">
        <f t="shared" si="28"/>
        <v>119332.94325185854</v>
      </c>
      <c r="Q95" s="204">
        <f t="shared" si="29"/>
        <v>69867.338290522574</v>
      </c>
      <c r="R95" s="204">
        <f t="shared" si="30"/>
        <v>119332.94325185854</v>
      </c>
      <c r="S95" s="204">
        <f t="shared" si="31"/>
        <v>88271.860766070386</v>
      </c>
      <c r="T95" s="204">
        <f t="shared" si="32"/>
        <v>119332.94325185854</v>
      </c>
    </row>
    <row r="96" spans="3:27" ht="13.2">
      <c r="C96" s="203">
        <f t="shared" si="33"/>
        <v>0</v>
      </c>
      <c r="D96" s="203">
        <f t="shared" si="34"/>
        <v>0</v>
      </c>
      <c r="E96" s="203">
        <f t="shared" si="35"/>
        <v>0</v>
      </c>
      <c r="F96" s="203">
        <f t="shared" si="36"/>
        <v>0</v>
      </c>
      <c r="G96" s="203">
        <f t="shared" si="37"/>
        <v>0</v>
      </c>
      <c r="H96" s="203">
        <f t="shared" si="38"/>
        <v>0</v>
      </c>
      <c r="I96" s="203">
        <f t="shared" si="39"/>
        <v>0</v>
      </c>
      <c r="J96" s="203">
        <f t="shared" si="40"/>
        <v>0</v>
      </c>
      <c r="K96" s="203">
        <f t="shared" si="41"/>
        <v>0</v>
      </c>
      <c r="L96" s="203">
        <f t="shared" si="42"/>
        <v>0</v>
      </c>
      <c r="M96" s="204">
        <f t="shared" si="25"/>
        <v>57957.736415419866</v>
      </c>
      <c r="N96" s="204">
        <f t="shared" si="26"/>
        <v>116217.33604764927</v>
      </c>
      <c r="O96" s="204">
        <f t="shared" si="27"/>
        <v>102707.16503043979</v>
      </c>
      <c r="P96" s="204">
        <f t="shared" si="28"/>
        <v>116217.33604764927</v>
      </c>
      <c r="Q96" s="204">
        <f t="shared" si="29"/>
        <v>57957.736415419866</v>
      </c>
      <c r="R96" s="204">
        <f t="shared" si="30"/>
        <v>116217.33604764927</v>
      </c>
      <c r="S96" s="204">
        <f t="shared" si="31"/>
        <v>102707.16503043979</v>
      </c>
      <c r="T96" s="204">
        <f t="shared" si="32"/>
        <v>116217.33604764927</v>
      </c>
    </row>
    <row r="97" spans="2:20" ht="13.2">
      <c r="C97" s="203">
        <f t="shared" si="33"/>
        <v>0</v>
      </c>
      <c r="D97" s="203">
        <f t="shared" si="34"/>
        <v>0</v>
      </c>
      <c r="E97" s="203">
        <f t="shared" si="35"/>
        <v>0</v>
      </c>
      <c r="F97" s="203">
        <f t="shared" si="36"/>
        <v>0</v>
      </c>
      <c r="G97" s="203">
        <f t="shared" si="37"/>
        <v>0</v>
      </c>
      <c r="H97" s="203">
        <f t="shared" si="38"/>
        <v>0</v>
      </c>
      <c r="I97" s="203">
        <f t="shared" si="39"/>
        <v>0</v>
      </c>
      <c r="J97" s="203">
        <f t="shared" si="40"/>
        <v>0</v>
      </c>
      <c r="K97" s="203">
        <f t="shared" si="41"/>
        <v>0</v>
      </c>
      <c r="L97" s="203">
        <f t="shared" si="42"/>
        <v>0</v>
      </c>
      <c r="M97" s="204">
        <f t="shared" si="25"/>
        <v>40086.610111467002</v>
      </c>
      <c r="N97" s="204">
        <f t="shared" si="26"/>
        <v>85677.199379670215</v>
      </c>
      <c r="O97" s="204">
        <f t="shared" si="27"/>
        <v>107310.74061768033</v>
      </c>
      <c r="P97" s="204">
        <f t="shared" si="28"/>
        <v>85677.199379670215</v>
      </c>
      <c r="Q97" s="204">
        <f t="shared" si="29"/>
        <v>40086.610111467002</v>
      </c>
      <c r="R97" s="204">
        <f t="shared" si="30"/>
        <v>85677.199379670215</v>
      </c>
      <c r="S97" s="204">
        <f t="shared" si="31"/>
        <v>107310.74061768033</v>
      </c>
      <c r="T97" s="204">
        <f t="shared" si="32"/>
        <v>85677.199379670215</v>
      </c>
    </row>
    <row r="98" spans="2:20" ht="13.2">
      <c r="C98" s="203">
        <f t="shared" si="33"/>
        <v>0</v>
      </c>
      <c r="D98" s="203">
        <f t="shared" si="34"/>
        <v>0</v>
      </c>
      <c r="E98" s="203">
        <f t="shared" si="35"/>
        <v>0</v>
      </c>
      <c r="F98" s="203">
        <f t="shared" si="36"/>
        <v>0</v>
      </c>
      <c r="G98" s="203">
        <f t="shared" si="37"/>
        <v>0</v>
      </c>
      <c r="H98" s="203">
        <f t="shared" si="38"/>
        <v>0</v>
      </c>
      <c r="I98" s="203">
        <f t="shared" si="39"/>
        <v>0</v>
      </c>
      <c r="J98" s="203">
        <f t="shared" si="40"/>
        <v>0</v>
      </c>
      <c r="K98" s="203">
        <f t="shared" si="41"/>
        <v>0</v>
      </c>
      <c r="L98" s="203">
        <f t="shared" si="42"/>
        <v>0</v>
      </c>
      <c r="M98" s="204">
        <f t="shared" si="25"/>
        <v>31074.621228130098</v>
      </c>
      <c r="N98" s="204">
        <f t="shared" si="26"/>
        <v>68347.521359980485</v>
      </c>
      <c r="O98" s="204">
        <f t="shared" si="27"/>
        <v>121962.73379329882</v>
      </c>
      <c r="P98" s="204">
        <f t="shared" si="28"/>
        <v>68347.521359980485</v>
      </c>
      <c r="Q98" s="204">
        <f t="shared" si="29"/>
        <v>31074.621228130098</v>
      </c>
      <c r="R98" s="204">
        <f t="shared" si="30"/>
        <v>68347.521359980485</v>
      </c>
      <c r="S98" s="204">
        <f t="shared" si="31"/>
        <v>121962.73379329882</v>
      </c>
      <c r="T98" s="204">
        <f t="shared" si="32"/>
        <v>68347.521359980485</v>
      </c>
    </row>
    <row r="99" spans="2:20" ht="13.2">
      <c r="C99" s="203">
        <f t="shared" si="33"/>
        <v>0</v>
      </c>
      <c r="D99" s="203">
        <f t="shared" si="34"/>
        <v>0</v>
      </c>
      <c r="E99" s="203">
        <f t="shared" si="35"/>
        <v>0</v>
      </c>
      <c r="F99" s="203">
        <f t="shared" si="36"/>
        <v>0</v>
      </c>
      <c r="G99" s="203">
        <f t="shared" si="37"/>
        <v>0</v>
      </c>
      <c r="H99" s="203">
        <f t="shared" si="38"/>
        <v>0</v>
      </c>
      <c r="I99" s="203">
        <f t="shared" si="39"/>
        <v>0</v>
      </c>
      <c r="J99" s="203">
        <f t="shared" si="40"/>
        <v>0</v>
      </c>
      <c r="K99" s="203">
        <f t="shared" si="41"/>
        <v>0</v>
      </c>
      <c r="L99" s="203">
        <f t="shared" si="42"/>
        <v>0</v>
      </c>
      <c r="M99" s="204">
        <f t="shared" si="25"/>
        <v>20340.943692420089</v>
      </c>
      <c r="N99" s="204">
        <f t="shared" si="26"/>
        <v>52597.892890491792</v>
      </c>
      <c r="O99" s="204">
        <f t="shared" si="27"/>
        <v>117397.33349119125</v>
      </c>
      <c r="P99" s="204">
        <f t="shared" si="28"/>
        <v>52597.89289049177</v>
      </c>
      <c r="Q99" s="204">
        <f t="shared" si="29"/>
        <v>20340.943692420089</v>
      </c>
      <c r="R99" s="204">
        <f t="shared" si="30"/>
        <v>52597.892890491792</v>
      </c>
      <c r="S99" s="204">
        <f t="shared" si="31"/>
        <v>117397.33349119125</v>
      </c>
      <c r="T99" s="204">
        <f t="shared" si="32"/>
        <v>52597.89289049177</v>
      </c>
    </row>
    <row r="100" spans="2:20" ht="13.2">
      <c r="C100" s="203">
        <f t="shared" si="33"/>
        <v>0</v>
      </c>
      <c r="D100" s="203">
        <f t="shared" si="34"/>
        <v>0</v>
      </c>
      <c r="E100" s="203">
        <f t="shared" si="35"/>
        <v>0</v>
      </c>
      <c r="F100" s="203">
        <f t="shared" si="36"/>
        <v>0</v>
      </c>
      <c r="G100" s="203">
        <f t="shared" si="37"/>
        <v>0</v>
      </c>
      <c r="H100" s="203">
        <f t="shared" si="38"/>
        <v>0</v>
      </c>
      <c r="I100" s="203">
        <f t="shared" si="39"/>
        <v>0</v>
      </c>
      <c r="J100" s="203">
        <f t="shared" si="40"/>
        <v>0</v>
      </c>
      <c r="K100" s="203">
        <f t="shared" si="41"/>
        <v>0</v>
      </c>
      <c r="L100" s="203">
        <f t="shared" si="42"/>
        <v>0</v>
      </c>
      <c r="M100" s="204">
        <f t="shared" si="25"/>
        <v>17640.81438336772</v>
      </c>
      <c r="N100" s="204">
        <f t="shared" si="26"/>
        <v>52992.517028953036</v>
      </c>
      <c r="O100" s="204">
        <f t="shared" si="27"/>
        <v>133392.69069244896</v>
      </c>
      <c r="P100" s="204">
        <f t="shared" si="28"/>
        <v>52992.517028953036</v>
      </c>
      <c r="Q100" s="204">
        <f t="shared" si="29"/>
        <v>17640.81438336772</v>
      </c>
      <c r="R100" s="204">
        <f t="shared" si="30"/>
        <v>52992.517028953036</v>
      </c>
      <c r="S100" s="204">
        <f t="shared" si="31"/>
        <v>133392.69069244896</v>
      </c>
      <c r="T100" s="204">
        <f t="shared" si="32"/>
        <v>52992.517028953036</v>
      </c>
    </row>
    <row r="101" spans="2:20" ht="13.2">
      <c r="C101" s="203">
        <f t="shared" si="33"/>
        <v>0</v>
      </c>
      <c r="D101" s="203">
        <f t="shared" si="34"/>
        <v>0</v>
      </c>
      <c r="E101" s="203">
        <f t="shared" si="35"/>
        <v>0</v>
      </c>
      <c r="F101" s="203">
        <f t="shared" si="36"/>
        <v>0</v>
      </c>
      <c r="G101" s="203">
        <f t="shared" si="37"/>
        <v>0</v>
      </c>
      <c r="H101" s="203">
        <f t="shared" si="38"/>
        <v>0</v>
      </c>
      <c r="I101" s="203">
        <f t="shared" si="39"/>
        <v>0</v>
      </c>
      <c r="J101" s="203">
        <f t="shared" si="40"/>
        <v>0</v>
      </c>
      <c r="K101" s="203">
        <f t="shared" si="41"/>
        <v>0</v>
      </c>
      <c r="L101" s="203">
        <f t="shared" si="42"/>
        <v>0</v>
      </c>
      <c r="M101" s="204"/>
      <c r="N101" s="204"/>
      <c r="O101" s="204"/>
      <c r="P101" s="204"/>
      <c r="Q101" s="204"/>
      <c r="R101" s="204"/>
      <c r="S101" s="204"/>
      <c r="T101" s="204"/>
    </row>
    <row r="102" spans="2:20" ht="13.2">
      <c r="C102" s="203">
        <f t="shared" si="33"/>
        <v>0</v>
      </c>
      <c r="D102" s="203">
        <f t="shared" si="34"/>
        <v>0</v>
      </c>
      <c r="E102" s="203">
        <f t="shared" si="35"/>
        <v>0</v>
      </c>
      <c r="F102" s="203">
        <f t="shared" si="36"/>
        <v>0</v>
      </c>
      <c r="G102" s="203">
        <f t="shared" si="37"/>
        <v>0</v>
      </c>
      <c r="H102" s="203">
        <f t="shared" si="38"/>
        <v>0</v>
      </c>
      <c r="I102" s="203">
        <f t="shared" si="39"/>
        <v>0</v>
      </c>
      <c r="J102" s="203">
        <f t="shared" si="40"/>
        <v>0</v>
      </c>
      <c r="K102" s="203">
        <f t="shared" si="41"/>
        <v>0</v>
      </c>
      <c r="L102" s="203">
        <f t="shared" si="42"/>
        <v>0</v>
      </c>
    </row>
    <row r="103" spans="2:20" ht="13.2">
      <c r="C103" s="203">
        <f t="shared" si="33"/>
        <v>0</v>
      </c>
      <c r="D103" s="203">
        <f t="shared" si="34"/>
        <v>0</v>
      </c>
      <c r="E103" s="203">
        <f t="shared" si="35"/>
        <v>0</v>
      </c>
      <c r="F103" s="203">
        <f t="shared" si="36"/>
        <v>0</v>
      </c>
      <c r="G103" s="203">
        <f t="shared" si="37"/>
        <v>0</v>
      </c>
      <c r="H103" s="203">
        <f t="shared" si="38"/>
        <v>0</v>
      </c>
      <c r="I103" s="203">
        <f t="shared" si="39"/>
        <v>0</v>
      </c>
      <c r="J103" s="203">
        <f t="shared" si="40"/>
        <v>0</v>
      </c>
      <c r="K103" s="203">
        <f t="shared" si="41"/>
        <v>0</v>
      </c>
      <c r="L103" s="203">
        <f t="shared" si="42"/>
        <v>0</v>
      </c>
      <c r="M103" s="204">
        <f t="shared" ref="M103:M114" si="43">GetMonthlyTrackingRadiation($F$50,0,PI()/2,($F$113+180)*PI()/180,$H61,$F61*10^6,$G61)/10^6*277.778*$B61</f>
        <v>18990.031280569303</v>
      </c>
      <c r="N103" s="204">
        <f t="shared" ref="N103:N114" si="44">GetMonthlyTrackingRadiation($F$50,0,PI()/2,($F$113+90)*PI()/180,$H61,$F61*10^6,$G61)/10^6*277.778*$B61</f>
        <v>43821.436968822112</v>
      </c>
      <c r="O103" s="204">
        <f t="shared" ref="O103:O114" si="45">GetMonthlyTrackingRadiation($F$50,0,PI()/2,($F$113)*PI()/180,$H61,$F61*10^6,$G61)/10^6*277.778*$B61</f>
        <v>98707.292744905804</v>
      </c>
      <c r="P103" s="204">
        <f t="shared" ref="P103:P114" si="46">GetMonthlyTrackingRadiation($F$50,0,PI()/2,($F$113-90)*PI()/180,$H61,$F61*10^6,$G61)/10^6*277.778*$B61</f>
        <v>43821.436968822112</v>
      </c>
      <c r="Q103" s="204">
        <f t="shared" ref="Q103:Q114" si="47">GetMonthlyTrackingRadiation($F$50,0,PI()/2,($F$114+180)*PI()/180,$H61,$F61*10^6,$G61)/10^6*277.778*$B61</f>
        <v>18990.031280569303</v>
      </c>
      <c r="R103" s="204">
        <f t="shared" ref="R103:R114" si="48">GetMonthlyTrackingRadiation($F$50,0,PI()/2,($F$114+90)*PI()/180,$H61,$F61*10^6,$G61)/10^6*277.778*$B61</f>
        <v>43821.436968822112</v>
      </c>
      <c r="S103" s="204">
        <f t="shared" ref="S103:S114" si="49">GetMonthlyTrackingRadiation($F$50,0,PI()/2,($F$114)*PI()/180,$H61,$F61*10^6,$G61)/10^6*277.778*$B61</f>
        <v>98707.292744905804</v>
      </c>
      <c r="T103" s="204">
        <f t="shared" ref="T103:T114" si="50">GetMonthlyTrackingRadiation($F$50,0,PI()/2,($F$114-90)*PI()/180,$H61,$F61*10^6,$G61)/10^6*277.778*$B61</f>
        <v>43821.436968822112</v>
      </c>
    </row>
    <row r="104" spans="2:20" ht="13.2">
      <c r="C104" s="203">
        <f t="shared" si="33"/>
        <v>0</v>
      </c>
      <c r="D104" s="203">
        <f t="shared" si="34"/>
        <v>0</v>
      </c>
      <c r="E104" s="203">
        <f t="shared" si="35"/>
        <v>0</v>
      </c>
      <c r="F104" s="203">
        <f t="shared" si="36"/>
        <v>0</v>
      </c>
      <c r="G104" s="203">
        <f t="shared" si="37"/>
        <v>0</v>
      </c>
      <c r="H104" s="203">
        <f t="shared" si="38"/>
        <v>0</v>
      </c>
      <c r="I104" s="203">
        <f t="shared" si="39"/>
        <v>0</v>
      </c>
      <c r="J104" s="203">
        <f t="shared" si="40"/>
        <v>0</v>
      </c>
      <c r="K104" s="203">
        <f t="shared" si="41"/>
        <v>0</v>
      </c>
      <c r="L104" s="203">
        <f t="shared" si="42"/>
        <v>0</v>
      </c>
      <c r="M104" s="204">
        <f t="shared" si="43"/>
        <v>23563.602341199403</v>
      </c>
      <c r="N104" s="204">
        <f t="shared" si="44"/>
        <v>52323.879694598858</v>
      </c>
      <c r="O104" s="204">
        <f t="shared" si="45"/>
        <v>99747.565640529749</v>
      </c>
      <c r="P104" s="204">
        <f t="shared" si="46"/>
        <v>52323.879694598843</v>
      </c>
      <c r="Q104" s="204">
        <f t="shared" si="47"/>
        <v>23563.602341199403</v>
      </c>
      <c r="R104" s="204">
        <f t="shared" si="48"/>
        <v>52323.879694598858</v>
      </c>
      <c r="S104" s="204">
        <f t="shared" si="49"/>
        <v>99747.565640529749</v>
      </c>
      <c r="T104" s="204">
        <f t="shared" si="50"/>
        <v>52323.879694598843</v>
      </c>
    </row>
    <row r="105" spans="2:20" ht="13.2">
      <c r="C105" s="203">
        <f t="shared" si="33"/>
        <v>0</v>
      </c>
      <c r="D105" s="203">
        <f t="shared" si="34"/>
        <v>0</v>
      </c>
      <c r="E105" s="203">
        <f t="shared" si="35"/>
        <v>0</v>
      </c>
      <c r="F105" s="203">
        <f t="shared" si="36"/>
        <v>0</v>
      </c>
      <c r="G105" s="203">
        <f t="shared" si="37"/>
        <v>0</v>
      </c>
      <c r="H105" s="203">
        <f t="shared" si="38"/>
        <v>0</v>
      </c>
      <c r="I105" s="203">
        <f t="shared" si="39"/>
        <v>0</v>
      </c>
      <c r="J105" s="203">
        <f t="shared" si="40"/>
        <v>0</v>
      </c>
      <c r="K105" s="203">
        <f t="shared" si="41"/>
        <v>0</v>
      </c>
      <c r="L105" s="203">
        <f t="shared" si="42"/>
        <v>0</v>
      </c>
      <c r="M105" s="204">
        <f t="shared" si="43"/>
        <v>37936.803418290016</v>
      </c>
      <c r="N105" s="204">
        <f t="shared" si="44"/>
        <v>86354.827971113235</v>
      </c>
      <c r="O105" s="204">
        <f t="shared" si="45"/>
        <v>120861.30031011418</v>
      </c>
      <c r="P105" s="204">
        <f t="shared" si="46"/>
        <v>86354.827971113205</v>
      </c>
      <c r="Q105" s="204">
        <f t="shared" si="47"/>
        <v>37936.803418290016</v>
      </c>
      <c r="R105" s="204">
        <f t="shared" si="48"/>
        <v>86354.827971113235</v>
      </c>
      <c r="S105" s="204">
        <f t="shared" si="49"/>
        <v>120861.30031011418</v>
      </c>
      <c r="T105" s="204">
        <f t="shared" si="50"/>
        <v>86354.827971113205</v>
      </c>
    </row>
    <row r="106" spans="2:20" ht="13.2">
      <c r="D106" t="s">
        <v>5508</v>
      </c>
      <c r="I106" t="s">
        <v>5508</v>
      </c>
      <c r="M106" s="204">
        <f t="shared" si="43"/>
        <v>50081.941539848223</v>
      </c>
      <c r="N106" s="204">
        <f t="shared" si="44"/>
        <v>100644.93109731181</v>
      </c>
      <c r="O106" s="204">
        <f t="shared" si="45"/>
        <v>99367.82685426253</v>
      </c>
      <c r="P106" s="204">
        <f t="shared" si="46"/>
        <v>100644.93109731181</v>
      </c>
      <c r="Q106" s="204">
        <f t="shared" si="47"/>
        <v>50081.941539848223</v>
      </c>
      <c r="R106" s="204">
        <f t="shared" si="48"/>
        <v>100644.93109731181</v>
      </c>
      <c r="S106" s="204">
        <f t="shared" si="49"/>
        <v>99367.82685426253</v>
      </c>
      <c r="T106" s="204">
        <f t="shared" si="50"/>
        <v>100644.93109731181</v>
      </c>
    </row>
    <row r="107" spans="2:20" ht="13.2">
      <c r="B107">
        <v>1</v>
      </c>
      <c r="C107" s="714">
        <f>SUM(C94:C105)</f>
        <v>0</v>
      </c>
      <c r="D107" s="714">
        <f>SUMPRODUCT($D$61:$D$72,C94:C105)</f>
        <v>0</v>
      </c>
      <c r="H107" s="714">
        <f>SUM(H94:H105)</f>
        <v>0</v>
      </c>
      <c r="I107" s="714">
        <f>SUMPRODUCT($D$61:$D$72,H94:H105)</f>
        <v>0</v>
      </c>
      <c r="M107" s="204">
        <f t="shared" si="43"/>
        <v>63559.334726551126</v>
      </c>
      <c r="N107" s="204">
        <f t="shared" si="44"/>
        <v>107880.59810528666</v>
      </c>
      <c r="O107" s="204">
        <f t="shared" si="45"/>
        <v>86578.50635479654</v>
      </c>
      <c r="P107" s="204">
        <f t="shared" si="46"/>
        <v>107880.59810528667</v>
      </c>
      <c r="Q107" s="204">
        <f t="shared" si="47"/>
        <v>63559.334726551126</v>
      </c>
      <c r="R107" s="204">
        <f t="shared" si="48"/>
        <v>107880.59810528666</v>
      </c>
      <c r="S107" s="204">
        <f t="shared" si="49"/>
        <v>86578.50635479654</v>
      </c>
      <c r="T107" s="204">
        <f t="shared" si="50"/>
        <v>107880.59810528667</v>
      </c>
    </row>
    <row r="108" spans="2:20" ht="13.2">
      <c r="B108">
        <v>2</v>
      </c>
      <c r="C108" s="714">
        <f>SUM(D94:D105)</f>
        <v>0</v>
      </c>
      <c r="D108" s="714">
        <f>SUMPRODUCT($D$61:$D$72,D94:D105)</f>
        <v>0</v>
      </c>
      <c r="H108" s="714">
        <f>SUM(I94:I105)</f>
        <v>0</v>
      </c>
      <c r="I108" s="714">
        <f>SUMPRODUCT($D$61:$D$72,I94:I105)</f>
        <v>0</v>
      </c>
      <c r="M108" s="204">
        <f t="shared" si="43"/>
        <v>68270.071612418251</v>
      </c>
      <c r="N108" s="204">
        <f t="shared" si="44"/>
        <v>107245.72375232104</v>
      </c>
      <c r="O108" s="204">
        <f t="shared" si="45"/>
        <v>78830.494892944946</v>
      </c>
      <c r="P108" s="204">
        <f t="shared" si="46"/>
        <v>107245.72375232102</v>
      </c>
      <c r="Q108" s="204">
        <f t="shared" si="47"/>
        <v>68270.071612418251</v>
      </c>
      <c r="R108" s="204">
        <f t="shared" si="48"/>
        <v>107245.72375232104</v>
      </c>
      <c r="S108" s="204">
        <f t="shared" si="49"/>
        <v>78830.494892944946</v>
      </c>
      <c r="T108" s="204">
        <f t="shared" si="50"/>
        <v>107245.72375232102</v>
      </c>
    </row>
    <row r="109" spans="2:20" ht="13.2">
      <c r="B109">
        <v>3</v>
      </c>
      <c r="C109" s="714">
        <f>SUM(E94:E105)</f>
        <v>0</v>
      </c>
      <c r="D109" s="714">
        <f>SUMPRODUCT($D$61:$D$72,E94:E105)</f>
        <v>0</v>
      </c>
      <c r="H109" s="714">
        <f>SUM(J94:J105)</f>
        <v>0</v>
      </c>
      <c r="I109" s="714">
        <f>SUMPRODUCT($D$61:$D$72,J94:J105)</f>
        <v>0</v>
      </c>
      <c r="M109" s="204">
        <f t="shared" si="43"/>
        <v>69867.338290522574</v>
      </c>
      <c r="N109" s="204">
        <f t="shared" si="44"/>
        <v>119332.94325185854</v>
      </c>
      <c r="O109" s="204">
        <f t="shared" si="45"/>
        <v>88271.860766070386</v>
      </c>
      <c r="P109" s="204">
        <f t="shared" si="46"/>
        <v>119332.94325185854</v>
      </c>
      <c r="Q109" s="204">
        <f t="shared" si="47"/>
        <v>69867.338290522574</v>
      </c>
      <c r="R109" s="204">
        <f t="shared" si="48"/>
        <v>119332.94325185854</v>
      </c>
      <c r="S109" s="204">
        <f t="shared" si="49"/>
        <v>88271.860766070386</v>
      </c>
      <c r="T109" s="204">
        <f t="shared" si="50"/>
        <v>119332.94325185854</v>
      </c>
    </row>
    <row r="110" spans="2:20" ht="13.2">
      <c r="B110">
        <v>4</v>
      </c>
      <c r="C110" s="714">
        <f>SUM(F94:F105)</f>
        <v>0</v>
      </c>
      <c r="D110" s="714">
        <f>SUMPRODUCT($D$61:$D$72,F94:F105)</f>
        <v>0</v>
      </c>
      <c r="H110" s="714">
        <f>SUM(K94:K105)</f>
        <v>0</v>
      </c>
      <c r="I110" s="714">
        <f>SUMPRODUCT($D$61:$D$72,K94:K105)</f>
        <v>0</v>
      </c>
      <c r="M110" s="204">
        <f t="shared" si="43"/>
        <v>57957.736415419866</v>
      </c>
      <c r="N110" s="204">
        <f t="shared" si="44"/>
        <v>116217.33604764927</v>
      </c>
      <c r="O110" s="204">
        <f t="shared" si="45"/>
        <v>102707.16503043979</v>
      </c>
      <c r="P110" s="204">
        <f t="shared" si="46"/>
        <v>116217.33604764927</v>
      </c>
      <c r="Q110" s="204">
        <f t="shared" si="47"/>
        <v>57957.736415419866</v>
      </c>
      <c r="R110" s="204">
        <f t="shared" si="48"/>
        <v>116217.33604764927</v>
      </c>
      <c r="S110" s="204">
        <f t="shared" si="49"/>
        <v>102707.16503043979</v>
      </c>
      <c r="T110" s="204">
        <f t="shared" si="50"/>
        <v>116217.33604764927</v>
      </c>
    </row>
    <row r="111" spans="2:20" ht="13.2">
      <c r="B111">
        <v>5</v>
      </c>
      <c r="C111" s="714">
        <f>SUM(G94:G105)</f>
        <v>0</v>
      </c>
      <c r="D111" s="714">
        <f>SUMPRODUCT($D$61:$D$72,G94:G105)</f>
        <v>0</v>
      </c>
      <c r="H111" s="714">
        <f>SUM(L94:L105)</f>
        <v>0</v>
      </c>
      <c r="I111" s="714">
        <f>SUMPRODUCT($D$61:$D$72,L94:L105)</f>
        <v>0</v>
      </c>
      <c r="M111" s="204">
        <f t="shared" si="43"/>
        <v>40086.610111467002</v>
      </c>
      <c r="N111" s="204">
        <f t="shared" si="44"/>
        <v>85677.199379670215</v>
      </c>
      <c r="O111" s="204">
        <f t="shared" si="45"/>
        <v>107310.74061768033</v>
      </c>
      <c r="P111" s="204">
        <f t="shared" si="46"/>
        <v>85677.199379670215</v>
      </c>
      <c r="Q111" s="204">
        <f t="shared" si="47"/>
        <v>40086.610111467002</v>
      </c>
      <c r="R111" s="204">
        <f t="shared" si="48"/>
        <v>85677.199379670215</v>
      </c>
      <c r="S111" s="204">
        <f t="shared" si="49"/>
        <v>107310.74061768033</v>
      </c>
      <c r="T111" s="204">
        <f t="shared" si="50"/>
        <v>85677.199379670215</v>
      </c>
    </row>
    <row r="112" spans="2:20" ht="13.2">
      <c r="C112" s="281">
        <v>1</v>
      </c>
      <c r="D112" s="281">
        <v>2</v>
      </c>
      <c r="E112" s="281">
        <v>3</v>
      </c>
      <c r="F112" s="281">
        <v>4</v>
      </c>
      <c r="G112" s="281">
        <v>5</v>
      </c>
      <c r="M112" s="204">
        <f t="shared" si="43"/>
        <v>31074.621228130098</v>
      </c>
      <c r="N112" s="204">
        <f t="shared" si="44"/>
        <v>68347.521359980485</v>
      </c>
      <c r="O112" s="204">
        <f t="shared" si="45"/>
        <v>121962.73379329882</v>
      </c>
      <c r="P112" s="204">
        <f t="shared" si="46"/>
        <v>68347.521359980485</v>
      </c>
      <c r="Q112" s="204">
        <f t="shared" si="47"/>
        <v>31074.621228130098</v>
      </c>
      <c r="R112" s="204">
        <f t="shared" si="48"/>
        <v>68347.521359980485</v>
      </c>
      <c r="S112" s="204">
        <f t="shared" si="49"/>
        <v>121962.73379329882</v>
      </c>
      <c r="T112" s="204">
        <f t="shared" si="50"/>
        <v>68347.521359980485</v>
      </c>
    </row>
    <row r="113" spans="1:20" ht="13.2">
      <c r="C113" s="319">
        <f>EET!S275</f>
        <v>0</v>
      </c>
      <c r="D113" s="319">
        <f>EET!T275</f>
        <v>0</v>
      </c>
      <c r="E113" s="319">
        <f>EET!U275</f>
        <v>0</v>
      </c>
      <c r="F113" s="319">
        <f>EET!V275</f>
        <v>0</v>
      </c>
      <c r="G113" s="319">
        <f>EET!W275</f>
        <v>0</v>
      </c>
      <c r="H113" t="s">
        <v>526</v>
      </c>
      <c r="M113" s="204">
        <f t="shared" si="43"/>
        <v>20340.943692420089</v>
      </c>
      <c r="N113" s="204">
        <f t="shared" si="44"/>
        <v>52597.892890491792</v>
      </c>
      <c r="O113" s="204">
        <f t="shared" si="45"/>
        <v>117397.33349119125</v>
      </c>
      <c r="P113" s="204">
        <f t="shared" si="46"/>
        <v>52597.89289049177</v>
      </c>
      <c r="Q113" s="204">
        <f t="shared" si="47"/>
        <v>20340.943692420089</v>
      </c>
      <c r="R113" s="204">
        <f t="shared" si="48"/>
        <v>52597.892890491792</v>
      </c>
      <c r="S113" s="204">
        <f t="shared" si="49"/>
        <v>117397.33349119125</v>
      </c>
      <c r="T113" s="204">
        <f t="shared" si="50"/>
        <v>52597.89289049177</v>
      </c>
    </row>
    <row r="114" spans="1:20" ht="13.2">
      <c r="C114" s="319">
        <f>EET!S311</f>
        <v>0</v>
      </c>
      <c r="D114" s="319">
        <f>EET!T311</f>
        <v>0</v>
      </c>
      <c r="E114" s="319">
        <f>EET!U311</f>
        <v>0</v>
      </c>
      <c r="F114" s="319">
        <f>EET!V311</f>
        <v>0</v>
      </c>
      <c r="G114" s="319">
        <f>EET!W311</f>
        <v>0</v>
      </c>
      <c r="H114" t="s">
        <v>1256</v>
      </c>
      <c r="M114" s="204">
        <f t="shared" si="43"/>
        <v>17640.81438336772</v>
      </c>
      <c r="N114" s="204">
        <f t="shared" si="44"/>
        <v>52992.517028953036</v>
      </c>
      <c r="O114" s="204">
        <f t="shared" si="45"/>
        <v>133392.69069244896</v>
      </c>
      <c r="P114" s="204">
        <f t="shared" si="46"/>
        <v>52992.517028953036</v>
      </c>
      <c r="Q114" s="204">
        <f t="shared" si="47"/>
        <v>17640.81438336772</v>
      </c>
      <c r="R114" s="204">
        <f t="shared" si="48"/>
        <v>52992.517028953036</v>
      </c>
      <c r="S114" s="204">
        <f t="shared" si="49"/>
        <v>133392.69069244896</v>
      </c>
      <c r="T114" s="204">
        <f t="shared" si="50"/>
        <v>52992.517028953036</v>
      </c>
    </row>
    <row r="115" spans="1:20" ht="13.2">
      <c r="M115" s="204"/>
      <c r="N115" s="204"/>
      <c r="O115" s="204"/>
      <c r="P115" s="204"/>
      <c r="Q115" s="204"/>
      <c r="R115" s="204"/>
      <c r="S115" s="204"/>
      <c r="T115" s="204"/>
    </row>
    <row r="116" spans="1:20" ht="12.75" customHeight="1">
      <c r="C116" t="s">
        <v>4139</v>
      </c>
      <c r="H116" t="s">
        <v>5966</v>
      </c>
    </row>
    <row r="117" spans="1:20" ht="13.2">
      <c r="A117" t="s">
        <v>5147</v>
      </c>
      <c r="B117" t="s">
        <v>2941</v>
      </c>
      <c r="C117" t="s">
        <v>1584</v>
      </c>
      <c r="H117" t="s">
        <v>1584</v>
      </c>
      <c r="M117" s="204">
        <f t="shared" ref="M117:M128" si="51">GetMonthlyTrackingRadiation($F$50,0,PI()/2,($G$113+180)*PI()/180,$H61,$F61*10^6,$G61)/10^6*277.778*$B61</f>
        <v>18990.031280569303</v>
      </c>
      <c r="N117" s="204">
        <f t="shared" ref="N117:N128" si="52">GetMonthlyTrackingRadiation($F$50,0,PI()/2,($G$113+90)*PI()/180,$H61,$F61*10^6,$G61)/10^6*277.778*$B61</f>
        <v>43821.436968822112</v>
      </c>
      <c r="O117" s="204">
        <f t="shared" ref="O117:O128" si="53">GetMonthlyTrackingRadiation($F$50,0,PI()/2,($G$113)*PI()/180,$H61,$F61*10^6,$G61)/10^6*277.778*$B61</f>
        <v>98707.292744905804</v>
      </c>
      <c r="P117" s="204">
        <f t="shared" ref="P117:P128" si="54">GetMonthlyTrackingRadiation($F$50,0,PI()/2,($G$113-90)*PI()/180,$H61,$F61*10^6,$G61)/10^6*277.778*$B61</f>
        <v>43821.436968822112</v>
      </c>
      <c r="Q117" s="204">
        <f t="shared" ref="Q117:Q128" si="55">GetMonthlyTrackingRadiation($F$50,0,PI()/2,($G$114+180)*PI()/180,$H61,$F61*10^6,$G61)/10^6*277.778*$B61</f>
        <v>18990.031280569303</v>
      </c>
      <c r="R117" s="204">
        <f t="shared" ref="R117:R128" si="56">GetMonthlyTrackingRadiation($F$50,0,PI()/2,($G$114+90)*PI()/180,$H61,$F61*10^6,$G61)/10^6*277.778*$B61</f>
        <v>43821.436968822112</v>
      </c>
      <c r="S117" s="204">
        <f t="shared" ref="S117:S128" si="57">GetMonthlyTrackingRadiation($F$50,0,PI()/2,($G$114)*PI()/180,$H61,$F61*10^6,$G61)/10^6*277.778*$B61</f>
        <v>98707.292744905804</v>
      </c>
      <c r="T117" s="204">
        <f t="shared" ref="T117:T128" si="58">GetMonthlyTrackingRadiation($F$50,0,PI()/2,($G$114-90)*PI()/180,$H61,$F61*10^6,$G61)/10^6*277.778*$B61</f>
        <v>43821.436968822112</v>
      </c>
    </row>
    <row r="118" spans="1:20" ht="13.2">
      <c r="A118" s="78">
        <f>H145</f>
        <v>155</v>
      </c>
      <c r="B118" s="78">
        <f>Iniciar!AA58</f>
        <v>9.4875490860223799</v>
      </c>
      <c r="C118">
        <f t="shared" ref="C118:L118" si="59">IF(C94*(1-$D61)&gt;C$133*$A118*C$130*0.5,C$133*$A118*C$130*0.5,C94*(1-$D61))</f>
        <v>0</v>
      </c>
      <c r="D118">
        <f t="shared" si="59"/>
        <v>0</v>
      </c>
      <c r="E118">
        <f t="shared" si="59"/>
        <v>0</v>
      </c>
      <c r="F118">
        <f t="shared" si="59"/>
        <v>0</v>
      </c>
      <c r="G118">
        <f t="shared" si="59"/>
        <v>0</v>
      </c>
      <c r="H118">
        <f t="shared" si="59"/>
        <v>0</v>
      </c>
      <c r="I118">
        <f t="shared" si="59"/>
        <v>0</v>
      </c>
      <c r="J118">
        <f t="shared" si="59"/>
        <v>0</v>
      </c>
      <c r="K118">
        <f t="shared" si="59"/>
        <v>0</v>
      </c>
      <c r="L118">
        <f t="shared" si="59"/>
        <v>0</v>
      </c>
      <c r="M118" s="204">
        <f t="shared" si="51"/>
        <v>23563.602341199403</v>
      </c>
      <c r="N118" s="204">
        <f t="shared" si="52"/>
        <v>52323.879694598858</v>
      </c>
      <c r="O118" s="204">
        <f t="shared" si="53"/>
        <v>99747.565640529749</v>
      </c>
      <c r="P118" s="204">
        <f t="shared" si="54"/>
        <v>52323.879694598843</v>
      </c>
      <c r="Q118" s="204">
        <f t="shared" si="55"/>
        <v>23563.602341199403</v>
      </c>
      <c r="R118" s="204">
        <f t="shared" si="56"/>
        <v>52323.879694598858</v>
      </c>
      <c r="S118" s="204">
        <f t="shared" si="57"/>
        <v>99747.565640529749</v>
      </c>
      <c r="T118" s="204">
        <f t="shared" si="58"/>
        <v>52323.879694598843</v>
      </c>
    </row>
    <row r="119" spans="1:20" ht="13.2">
      <c r="A119" s="78">
        <f t="shared" ref="A119:A129" si="60">H146</f>
        <v>112</v>
      </c>
      <c r="B119" s="78">
        <f>Iniciar!AA59</f>
        <v>10.505453743480471</v>
      </c>
      <c r="C119">
        <f t="shared" ref="C119:G129" si="61">IF(C95*(1-$D62)&gt;C$133*$A119*C$130*0.5,C$133*$A119*C$130*0.5,C95*(1-$D62))</f>
        <v>0</v>
      </c>
      <c r="D119">
        <f t="shared" si="61"/>
        <v>0</v>
      </c>
      <c r="E119">
        <f t="shared" si="61"/>
        <v>0</v>
      </c>
      <c r="F119">
        <f t="shared" si="61"/>
        <v>0</v>
      </c>
      <c r="G119">
        <f t="shared" si="61"/>
        <v>0</v>
      </c>
      <c r="H119">
        <f t="shared" ref="H119:L129" si="62">IF(H95*(1-$D62)&gt;H$133*$A119*H$130*0.5,H$133*$A119*H$130*0.5,H95*(1-$D62))</f>
        <v>0</v>
      </c>
      <c r="I119">
        <f t="shared" si="62"/>
        <v>0</v>
      </c>
      <c r="J119">
        <f t="shared" si="62"/>
        <v>0</v>
      </c>
      <c r="K119">
        <f t="shared" si="62"/>
        <v>0</v>
      </c>
      <c r="L119">
        <f t="shared" si="62"/>
        <v>0</v>
      </c>
      <c r="M119" s="204">
        <f t="shared" si="51"/>
        <v>37936.803418290016</v>
      </c>
      <c r="N119" s="204">
        <f t="shared" si="52"/>
        <v>86354.827971113235</v>
      </c>
      <c r="O119" s="204">
        <f t="shared" si="53"/>
        <v>120861.30031011418</v>
      </c>
      <c r="P119" s="204">
        <f t="shared" si="54"/>
        <v>86354.827971113205</v>
      </c>
      <c r="Q119" s="204">
        <f t="shared" si="55"/>
        <v>37936.803418290016</v>
      </c>
      <c r="R119" s="204">
        <f t="shared" si="56"/>
        <v>86354.827971113235</v>
      </c>
      <c r="S119" s="204">
        <f t="shared" si="57"/>
        <v>120861.30031011418</v>
      </c>
      <c r="T119" s="204">
        <f t="shared" si="58"/>
        <v>86354.827971113205</v>
      </c>
    </row>
    <row r="120" spans="1:20" ht="13.2">
      <c r="A120" s="78">
        <f t="shared" si="60"/>
        <v>77.5</v>
      </c>
      <c r="B120" s="78">
        <f>Iniciar!AA60</f>
        <v>11.727389140282183</v>
      </c>
      <c r="C120">
        <f t="shared" si="61"/>
        <v>0</v>
      </c>
      <c r="D120">
        <f t="shared" si="61"/>
        <v>0</v>
      </c>
      <c r="E120">
        <f t="shared" si="61"/>
        <v>0</v>
      </c>
      <c r="F120">
        <f t="shared" si="61"/>
        <v>0</v>
      </c>
      <c r="G120">
        <f t="shared" si="61"/>
        <v>0</v>
      </c>
      <c r="H120">
        <f t="shared" si="62"/>
        <v>0</v>
      </c>
      <c r="I120">
        <f t="shared" si="62"/>
        <v>0</v>
      </c>
      <c r="J120">
        <f t="shared" si="62"/>
        <v>0</v>
      </c>
      <c r="K120">
        <f t="shared" si="62"/>
        <v>0</v>
      </c>
      <c r="L120">
        <f t="shared" si="62"/>
        <v>0</v>
      </c>
      <c r="M120" s="204">
        <f t="shared" si="51"/>
        <v>50081.941539848223</v>
      </c>
      <c r="N120" s="204">
        <f t="shared" si="52"/>
        <v>100644.93109731181</v>
      </c>
      <c r="O120" s="204">
        <f t="shared" si="53"/>
        <v>99367.82685426253</v>
      </c>
      <c r="P120" s="204">
        <f t="shared" si="54"/>
        <v>100644.93109731181</v>
      </c>
      <c r="Q120" s="204">
        <f t="shared" si="55"/>
        <v>50081.941539848223</v>
      </c>
      <c r="R120" s="204">
        <f t="shared" si="56"/>
        <v>100644.93109731181</v>
      </c>
      <c r="S120" s="204">
        <f t="shared" si="57"/>
        <v>99367.82685426253</v>
      </c>
      <c r="T120" s="204">
        <f t="shared" si="58"/>
        <v>100644.93109731181</v>
      </c>
    </row>
    <row r="121" spans="1:20" ht="13.2">
      <c r="A121" s="78">
        <f t="shared" si="60"/>
        <v>30</v>
      </c>
      <c r="B121" s="78">
        <f>Iniciar!AA61</f>
        <v>13.074041627385576</v>
      </c>
      <c r="C121">
        <f t="shared" si="61"/>
        <v>0</v>
      </c>
      <c r="D121">
        <f t="shared" si="61"/>
        <v>0</v>
      </c>
      <c r="E121">
        <f t="shared" si="61"/>
        <v>0</v>
      </c>
      <c r="F121">
        <f t="shared" si="61"/>
        <v>0</v>
      </c>
      <c r="G121">
        <f t="shared" si="61"/>
        <v>0</v>
      </c>
      <c r="H121">
        <f t="shared" si="62"/>
        <v>0</v>
      </c>
      <c r="I121">
        <f t="shared" si="62"/>
        <v>0</v>
      </c>
      <c r="J121">
        <f t="shared" si="62"/>
        <v>0</v>
      </c>
      <c r="K121">
        <f t="shared" si="62"/>
        <v>0</v>
      </c>
      <c r="L121">
        <f t="shared" si="62"/>
        <v>0</v>
      </c>
      <c r="M121" s="204">
        <f t="shared" si="51"/>
        <v>63559.334726551126</v>
      </c>
      <c r="N121" s="204">
        <f t="shared" si="52"/>
        <v>107880.59810528666</v>
      </c>
      <c r="O121" s="204">
        <f t="shared" si="53"/>
        <v>86578.50635479654</v>
      </c>
      <c r="P121" s="204">
        <f t="shared" si="54"/>
        <v>107880.59810528667</v>
      </c>
      <c r="Q121" s="204">
        <f t="shared" si="55"/>
        <v>63559.334726551126</v>
      </c>
      <c r="R121" s="204">
        <f t="shared" si="56"/>
        <v>107880.59810528666</v>
      </c>
      <c r="S121" s="204">
        <f t="shared" si="57"/>
        <v>86578.50635479654</v>
      </c>
      <c r="T121" s="204">
        <f t="shared" si="58"/>
        <v>107880.59810528667</v>
      </c>
    </row>
    <row r="122" spans="1:20" ht="13.2">
      <c r="A122" s="78">
        <f t="shared" si="60"/>
        <v>0</v>
      </c>
      <c r="B122" s="78">
        <f>Iniciar!AA62</f>
        <v>14.228212019243358</v>
      </c>
      <c r="C122">
        <f t="shared" si="61"/>
        <v>0</v>
      </c>
      <c r="D122">
        <f t="shared" si="61"/>
        <v>0</v>
      </c>
      <c r="E122">
        <f t="shared" si="61"/>
        <v>0</v>
      </c>
      <c r="F122">
        <f t="shared" si="61"/>
        <v>0</v>
      </c>
      <c r="G122">
        <f t="shared" si="61"/>
        <v>0</v>
      </c>
      <c r="H122">
        <f t="shared" si="62"/>
        <v>0</v>
      </c>
      <c r="I122">
        <f t="shared" si="62"/>
        <v>0</v>
      </c>
      <c r="J122">
        <f t="shared" si="62"/>
        <v>0</v>
      </c>
      <c r="K122">
        <f t="shared" si="62"/>
        <v>0</v>
      </c>
      <c r="L122">
        <f t="shared" si="62"/>
        <v>0</v>
      </c>
      <c r="M122" s="204">
        <f t="shared" si="51"/>
        <v>68270.071612418251</v>
      </c>
      <c r="N122" s="204">
        <f t="shared" si="52"/>
        <v>107245.72375232104</v>
      </c>
      <c r="O122" s="204">
        <f t="shared" si="53"/>
        <v>78830.494892944946</v>
      </c>
      <c r="P122" s="204">
        <f t="shared" si="54"/>
        <v>107245.72375232102</v>
      </c>
      <c r="Q122" s="204">
        <f t="shared" si="55"/>
        <v>68270.071612418251</v>
      </c>
      <c r="R122" s="204">
        <f t="shared" si="56"/>
        <v>107245.72375232104</v>
      </c>
      <c r="S122" s="204">
        <f t="shared" si="57"/>
        <v>78830.494892944946</v>
      </c>
      <c r="T122" s="204">
        <f t="shared" si="58"/>
        <v>107245.72375232102</v>
      </c>
    </row>
    <row r="123" spans="1:20" ht="13.2">
      <c r="A123" s="78">
        <f t="shared" si="60"/>
        <v>0</v>
      </c>
      <c r="B123" s="78">
        <f>Iniciar!AA63</f>
        <v>14.815069582176353</v>
      </c>
      <c r="C123">
        <f t="shared" si="61"/>
        <v>0</v>
      </c>
      <c r="D123">
        <f t="shared" si="61"/>
        <v>0</v>
      </c>
      <c r="E123">
        <f t="shared" si="61"/>
        <v>0</v>
      </c>
      <c r="F123">
        <f t="shared" si="61"/>
        <v>0</v>
      </c>
      <c r="G123">
        <f t="shared" si="61"/>
        <v>0</v>
      </c>
      <c r="H123">
        <f t="shared" si="62"/>
        <v>0</v>
      </c>
      <c r="I123">
        <f t="shared" si="62"/>
        <v>0</v>
      </c>
      <c r="J123">
        <f t="shared" si="62"/>
        <v>0</v>
      </c>
      <c r="K123">
        <f t="shared" si="62"/>
        <v>0</v>
      </c>
      <c r="L123">
        <f t="shared" si="62"/>
        <v>0</v>
      </c>
      <c r="M123" s="204">
        <f t="shared" si="51"/>
        <v>69867.338290522574</v>
      </c>
      <c r="N123" s="204">
        <f t="shared" si="52"/>
        <v>119332.94325185854</v>
      </c>
      <c r="O123" s="204">
        <f t="shared" si="53"/>
        <v>88271.860766070386</v>
      </c>
      <c r="P123" s="204">
        <f t="shared" si="54"/>
        <v>119332.94325185854</v>
      </c>
      <c r="Q123" s="204">
        <f t="shared" si="55"/>
        <v>69867.338290522574</v>
      </c>
      <c r="R123" s="204">
        <f t="shared" si="56"/>
        <v>119332.94325185854</v>
      </c>
      <c r="S123" s="204">
        <f t="shared" si="57"/>
        <v>88271.860766070386</v>
      </c>
      <c r="T123" s="204">
        <f t="shared" si="58"/>
        <v>119332.94325185854</v>
      </c>
    </row>
    <row r="124" spans="1:20" ht="13.2">
      <c r="A124" s="78">
        <f t="shared" si="60"/>
        <v>0</v>
      </c>
      <c r="B124" s="78">
        <f>Iniciar!AA64</f>
        <v>14.548996947755207</v>
      </c>
      <c r="C124">
        <f t="shared" si="61"/>
        <v>0</v>
      </c>
      <c r="D124">
        <f t="shared" si="61"/>
        <v>0</v>
      </c>
      <c r="E124">
        <f t="shared" si="61"/>
        <v>0</v>
      </c>
      <c r="F124">
        <f t="shared" si="61"/>
        <v>0</v>
      </c>
      <c r="G124">
        <f t="shared" si="61"/>
        <v>0</v>
      </c>
      <c r="H124">
        <f t="shared" si="62"/>
        <v>0</v>
      </c>
      <c r="I124">
        <f t="shared" si="62"/>
        <v>0</v>
      </c>
      <c r="J124">
        <f t="shared" si="62"/>
        <v>0</v>
      </c>
      <c r="K124">
        <f t="shared" si="62"/>
        <v>0</v>
      </c>
      <c r="L124">
        <f t="shared" si="62"/>
        <v>0</v>
      </c>
      <c r="M124" s="204">
        <f t="shared" si="51"/>
        <v>57957.736415419866</v>
      </c>
      <c r="N124" s="204">
        <f t="shared" si="52"/>
        <v>116217.33604764927</v>
      </c>
      <c r="O124" s="204">
        <f t="shared" si="53"/>
        <v>102707.16503043979</v>
      </c>
      <c r="P124" s="204">
        <f t="shared" si="54"/>
        <v>116217.33604764927</v>
      </c>
      <c r="Q124" s="204">
        <f t="shared" si="55"/>
        <v>57957.736415419866</v>
      </c>
      <c r="R124" s="204">
        <f t="shared" si="56"/>
        <v>116217.33604764927</v>
      </c>
      <c r="S124" s="204">
        <f t="shared" si="57"/>
        <v>102707.16503043979</v>
      </c>
      <c r="T124" s="204">
        <f t="shared" si="58"/>
        <v>116217.33604764927</v>
      </c>
    </row>
    <row r="125" spans="1:20" ht="13.2">
      <c r="A125" s="78">
        <f t="shared" si="60"/>
        <v>0</v>
      </c>
      <c r="B125" s="78">
        <f>Iniciar!AA65</f>
        <v>13.555289103181799</v>
      </c>
      <c r="C125">
        <f t="shared" si="61"/>
        <v>0</v>
      </c>
      <c r="D125">
        <f t="shared" si="61"/>
        <v>0</v>
      </c>
      <c r="E125">
        <f t="shared" si="61"/>
        <v>0</v>
      </c>
      <c r="F125">
        <f t="shared" si="61"/>
        <v>0</v>
      </c>
      <c r="G125">
        <f t="shared" si="61"/>
        <v>0</v>
      </c>
      <c r="H125">
        <f t="shared" si="62"/>
        <v>0</v>
      </c>
      <c r="I125">
        <f t="shared" si="62"/>
        <v>0</v>
      </c>
      <c r="J125">
        <f t="shared" si="62"/>
        <v>0</v>
      </c>
      <c r="K125">
        <f t="shared" si="62"/>
        <v>0</v>
      </c>
      <c r="L125">
        <f t="shared" si="62"/>
        <v>0</v>
      </c>
      <c r="M125" s="204">
        <f t="shared" si="51"/>
        <v>40086.610111467002</v>
      </c>
      <c r="N125" s="204">
        <f t="shared" si="52"/>
        <v>85677.199379670215</v>
      </c>
      <c r="O125" s="204">
        <f t="shared" si="53"/>
        <v>107310.74061768033</v>
      </c>
      <c r="P125" s="204">
        <f t="shared" si="54"/>
        <v>85677.199379670215</v>
      </c>
      <c r="Q125" s="204">
        <f t="shared" si="55"/>
        <v>40086.610111467002</v>
      </c>
      <c r="R125" s="204">
        <f t="shared" si="56"/>
        <v>85677.199379670215</v>
      </c>
      <c r="S125" s="204">
        <f t="shared" si="57"/>
        <v>107310.74061768033</v>
      </c>
      <c r="T125" s="204">
        <f t="shared" si="58"/>
        <v>85677.199379670215</v>
      </c>
    </row>
    <row r="126" spans="1:20" ht="13.2">
      <c r="A126" s="78">
        <f t="shared" si="60"/>
        <v>0</v>
      </c>
      <c r="B126" s="78">
        <f>Iniciar!AA66</f>
        <v>12.249985993752288</v>
      </c>
      <c r="C126">
        <f t="shared" si="61"/>
        <v>0</v>
      </c>
      <c r="D126">
        <f t="shared" si="61"/>
        <v>0</v>
      </c>
      <c r="E126">
        <f t="shared" si="61"/>
        <v>0</v>
      </c>
      <c r="F126">
        <f t="shared" si="61"/>
        <v>0</v>
      </c>
      <c r="G126">
        <f t="shared" si="61"/>
        <v>0</v>
      </c>
      <c r="H126">
        <f t="shared" si="62"/>
        <v>0</v>
      </c>
      <c r="I126">
        <f t="shared" si="62"/>
        <v>0</v>
      </c>
      <c r="J126">
        <f t="shared" si="62"/>
        <v>0</v>
      </c>
      <c r="K126">
        <f t="shared" si="62"/>
        <v>0</v>
      </c>
      <c r="L126">
        <f t="shared" si="62"/>
        <v>0</v>
      </c>
      <c r="M126" s="204">
        <f t="shared" si="51"/>
        <v>31074.621228130098</v>
      </c>
      <c r="N126" s="204">
        <f t="shared" si="52"/>
        <v>68347.521359980485</v>
      </c>
      <c r="O126" s="204">
        <f t="shared" si="53"/>
        <v>121962.73379329882</v>
      </c>
      <c r="P126" s="204">
        <f t="shared" si="54"/>
        <v>68347.521359980485</v>
      </c>
      <c r="Q126" s="204">
        <f t="shared" si="55"/>
        <v>31074.621228130098</v>
      </c>
      <c r="R126" s="204">
        <f t="shared" si="56"/>
        <v>68347.521359980485</v>
      </c>
      <c r="S126" s="204">
        <f t="shared" si="57"/>
        <v>121962.73379329882</v>
      </c>
      <c r="T126" s="204">
        <f t="shared" si="58"/>
        <v>68347.521359980485</v>
      </c>
    </row>
    <row r="127" spans="1:20" ht="13.2">
      <c r="A127" s="78">
        <f t="shared" si="60"/>
        <v>0</v>
      </c>
      <c r="B127" s="78">
        <f>Iniciar!AA67</f>
        <v>10.904425056107408</v>
      </c>
      <c r="C127">
        <f t="shared" si="61"/>
        <v>0</v>
      </c>
      <c r="D127">
        <f t="shared" si="61"/>
        <v>0</v>
      </c>
      <c r="E127">
        <f t="shared" si="61"/>
        <v>0</v>
      </c>
      <c r="F127">
        <f t="shared" si="61"/>
        <v>0</v>
      </c>
      <c r="G127">
        <f t="shared" si="61"/>
        <v>0</v>
      </c>
      <c r="H127">
        <f t="shared" si="62"/>
        <v>0</v>
      </c>
      <c r="I127">
        <f t="shared" si="62"/>
        <v>0</v>
      </c>
      <c r="J127">
        <f t="shared" si="62"/>
        <v>0</v>
      </c>
      <c r="K127">
        <f t="shared" si="62"/>
        <v>0</v>
      </c>
      <c r="L127">
        <f t="shared" si="62"/>
        <v>0</v>
      </c>
      <c r="M127" s="204">
        <f t="shared" si="51"/>
        <v>20340.943692420089</v>
      </c>
      <c r="N127" s="204">
        <f t="shared" si="52"/>
        <v>52597.892890491792</v>
      </c>
      <c r="O127" s="204">
        <f t="shared" si="53"/>
        <v>117397.33349119125</v>
      </c>
      <c r="P127" s="204">
        <f t="shared" si="54"/>
        <v>52597.89289049177</v>
      </c>
      <c r="Q127" s="204">
        <f t="shared" si="55"/>
        <v>20340.943692420089</v>
      </c>
      <c r="R127" s="204">
        <f t="shared" si="56"/>
        <v>52597.892890491792</v>
      </c>
      <c r="S127" s="204">
        <f t="shared" si="57"/>
        <v>117397.33349119125</v>
      </c>
      <c r="T127" s="204">
        <f t="shared" si="58"/>
        <v>52597.89289049177</v>
      </c>
    </row>
    <row r="128" spans="1:20" ht="13.2">
      <c r="A128" s="78">
        <f t="shared" si="60"/>
        <v>60</v>
      </c>
      <c r="B128" s="78">
        <f>Iniciar!AA68</f>
        <v>9.7560712124877753</v>
      </c>
      <c r="C128">
        <f t="shared" si="61"/>
        <v>0</v>
      </c>
      <c r="D128">
        <f t="shared" si="61"/>
        <v>0</v>
      </c>
      <c r="E128">
        <f t="shared" si="61"/>
        <v>0</v>
      </c>
      <c r="F128">
        <f t="shared" si="61"/>
        <v>0</v>
      </c>
      <c r="G128">
        <f t="shared" si="61"/>
        <v>0</v>
      </c>
      <c r="H128">
        <f t="shared" si="62"/>
        <v>0</v>
      </c>
      <c r="I128">
        <f t="shared" si="62"/>
        <v>0</v>
      </c>
      <c r="J128">
        <f t="shared" si="62"/>
        <v>0</v>
      </c>
      <c r="K128">
        <f t="shared" si="62"/>
        <v>0</v>
      </c>
      <c r="L128">
        <f t="shared" si="62"/>
        <v>0</v>
      </c>
      <c r="M128" s="204">
        <f t="shared" si="51"/>
        <v>17640.81438336772</v>
      </c>
      <c r="N128" s="204">
        <f t="shared" si="52"/>
        <v>52992.517028953036</v>
      </c>
      <c r="O128" s="204">
        <f t="shared" si="53"/>
        <v>133392.69069244896</v>
      </c>
      <c r="P128" s="204">
        <f t="shared" si="54"/>
        <v>52992.517028953036</v>
      </c>
      <c r="Q128" s="204">
        <f t="shared" si="55"/>
        <v>17640.81438336772</v>
      </c>
      <c r="R128" s="204">
        <f t="shared" si="56"/>
        <v>52992.517028953036</v>
      </c>
      <c r="S128" s="204">
        <f t="shared" si="57"/>
        <v>133392.69069244896</v>
      </c>
      <c r="T128" s="204">
        <f t="shared" si="58"/>
        <v>52992.517028953036</v>
      </c>
    </row>
    <row r="129" spans="1:18" ht="12.75" customHeight="1">
      <c r="A129" s="78">
        <f t="shared" si="60"/>
        <v>142.60000000000005</v>
      </c>
      <c r="B129" s="78">
        <f>Iniciar!AA69</f>
        <v>9.1901631086923121</v>
      </c>
      <c r="C129">
        <f t="shared" si="61"/>
        <v>0</v>
      </c>
      <c r="D129">
        <f t="shared" si="61"/>
        <v>0</v>
      </c>
      <c r="E129">
        <f t="shared" si="61"/>
        <v>0</v>
      </c>
      <c r="F129">
        <f t="shared" si="61"/>
        <v>0</v>
      </c>
      <c r="G129">
        <f t="shared" si="61"/>
        <v>0</v>
      </c>
      <c r="H129">
        <f t="shared" si="62"/>
        <v>0</v>
      </c>
      <c r="I129">
        <f t="shared" si="62"/>
        <v>0</v>
      </c>
      <c r="J129">
        <f t="shared" si="62"/>
        <v>0</v>
      </c>
      <c r="K129">
        <f t="shared" si="62"/>
        <v>0</v>
      </c>
      <c r="L129">
        <f t="shared" si="62"/>
        <v>0</v>
      </c>
    </row>
    <row r="130" spans="1:18" ht="12.75" customHeight="1">
      <c r="A130" s="1190" t="s">
        <v>1585</v>
      </c>
      <c r="B130" s="1190"/>
      <c r="C130">
        <f>EET!$F134/$A$131</f>
        <v>0</v>
      </c>
      <c r="D130">
        <f>EET!$F135/$A$131</f>
        <v>0</v>
      </c>
      <c r="E130">
        <f>EET!$F136/$A$131</f>
        <v>0</v>
      </c>
      <c r="F130">
        <f>EET!$F137/$A$131</f>
        <v>0</v>
      </c>
      <c r="G130">
        <f>EET!$F138/$A$131</f>
        <v>0</v>
      </c>
      <c r="H130">
        <f>EET!$G134/$A$131</f>
        <v>0</v>
      </c>
      <c r="I130">
        <f>EET!$G135/$A$131</f>
        <v>0</v>
      </c>
      <c r="J130">
        <f>EET!$G136/$A$131</f>
        <v>0</v>
      </c>
      <c r="K130">
        <f>EET!$G137/$A$131</f>
        <v>0</v>
      </c>
      <c r="L130">
        <f>EET!$G138/$A$131</f>
        <v>0</v>
      </c>
    </row>
    <row r="131" spans="1:18" ht="12.75" customHeight="1">
      <c r="A131">
        <f>SUM(A118:A129)</f>
        <v>577.1</v>
      </c>
      <c r="B131" s="78" t="s">
        <v>1586</v>
      </c>
      <c r="C131">
        <f t="shared" ref="C131:L131" si="63">SUM(C118:C129)</f>
        <v>0</v>
      </c>
      <c r="D131">
        <f t="shared" si="63"/>
        <v>0</v>
      </c>
      <c r="E131">
        <f t="shared" si="63"/>
        <v>0</v>
      </c>
      <c r="F131">
        <f t="shared" si="63"/>
        <v>0</v>
      </c>
      <c r="G131">
        <f t="shared" si="63"/>
        <v>0</v>
      </c>
      <c r="H131">
        <f t="shared" si="63"/>
        <v>0</v>
      </c>
      <c r="I131">
        <f t="shared" si="63"/>
        <v>0</v>
      </c>
      <c r="J131">
        <f t="shared" si="63"/>
        <v>0</v>
      </c>
      <c r="K131">
        <f t="shared" si="63"/>
        <v>0</v>
      </c>
      <c r="L131">
        <f t="shared" si="63"/>
        <v>0</v>
      </c>
    </row>
    <row r="132" spans="1:18" ht="12.75" customHeight="1">
      <c r="B132" s="78"/>
      <c r="C132" s="680"/>
      <c r="H132" s="680"/>
    </row>
    <row r="133" spans="1:18" ht="12.75" customHeight="1">
      <c r="A133" t="s">
        <v>5612</v>
      </c>
      <c r="C133">
        <f>EET!BD134</f>
        <v>0</v>
      </c>
      <c r="D133">
        <f>EET!BD135</f>
        <v>0</v>
      </c>
      <c r="E133">
        <f>EET!BD136</f>
        <v>0</v>
      </c>
      <c r="F133">
        <f>EET!BD137</f>
        <v>0</v>
      </c>
      <c r="G133">
        <f>EET!BD138</f>
        <v>0</v>
      </c>
      <c r="H133">
        <f>EET!BH134</f>
        <v>0</v>
      </c>
      <c r="I133">
        <f>EET!BH135</f>
        <v>0</v>
      </c>
      <c r="J133">
        <f>EET!BH136</f>
        <v>0</v>
      </c>
      <c r="K133">
        <f>EET!BH137</f>
        <v>0</v>
      </c>
      <c r="L133">
        <f>EET!BH138</f>
        <v>0</v>
      </c>
    </row>
    <row r="135" spans="1:18" ht="12.75" customHeight="1">
      <c r="E135" s="267" t="s">
        <v>2506</v>
      </c>
      <c r="M135" s="267" t="s">
        <v>726</v>
      </c>
    </row>
    <row r="136" spans="1:18" ht="12.75" customHeight="1">
      <c r="A136" t="s">
        <v>244</v>
      </c>
      <c r="E136" s="1035">
        <v>16</v>
      </c>
      <c r="F136" s="204">
        <f>E44</f>
        <v>16</v>
      </c>
      <c r="I136" s="1056">
        <f>E44</f>
        <v>16</v>
      </c>
      <c r="M136">
        <f>E136</f>
        <v>16</v>
      </c>
      <c r="R136" s="204">
        <f>E44</f>
        <v>16</v>
      </c>
    </row>
    <row r="137" spans="1:18" ht="12.75" customHeight="1">
      <c r="A137" t="s">
        <v>245</v>
      </c>
      <c r="E137" s="1035">
        <v>21</v>
      </c>
      <c r="I137" s="1035">
        <v>24</v>
      </c>
      <c r="M137" s="1035">
        <v>23</v>
      </c>
      <c r="R137" s="1035">
        <v>21</v>
      </c>
    </row>
    <row r="138" spans="1:18" ht="12.75" customHeight="1">
      <c r="A138" t="s">
        <v>247</v>
      </c>
      <c r="E138" s="1035">
        <v>1</v>
      </c>
      <c r="G138">
        <f>MAX(G145:G156)+E138</f>
        <v>15</v>
      </c>
      <c r="M138" s="1035">
        <v>1</v>
      </c>
      <c r="P138">
        <f>MIN(P145:P156)-M138</f>
        <v>12</v>
      </c>
    </row>
    <row r="139" spans="1:18" ht="12.75" customHeight="1">
      <c r="A139" t="s">
        <v>1190</v>
      </c>
      <c r="E139" s="1035">
        <v>0.85</v>
      </c>
      <c r="M139" s="1035">
        <v>0.36</v>
      </c>
    </row>
    <row r="140" spans="1:18" ht="12.75" customHeight="1">
      <c r="A140" t="s">
        <v>242</v>
      </c>
      <c r="M140" s="1035">
        <v>0.6</v>
      </c>
    </row>
    <row r="141" spans="1:18" ht="12.75" customHeight="1">
      <c r="A141" t="s">
        <v>243</v>
      </c>
      <c r="E141" s="146">
        <f>D158*E139</f>
        <v>1010.0550000000002</v>
      </c>
      <c r="I141" s="204">
        <f>IF($E$141+(I137-$E$137)*$E$158+IF($I$136&gt;$E$136,+$F$158+($E$158-$F$158)/2,-$E$158-($F$158-$E$158)/2)*(ABS($E$136-$I$136))&lt;0,0,$E$141+(I137-$E$137)*$E$158+IF($I$136&gt;$E$136,+$F$158+($E$158-$F$158)/2,-$E$158-($F$158-$E$158)/2)*(ABS($E$136-$I$136)))*IF($F$158=0,0,1)</f>
        <v>1509.4186363636366</v>
      </c>
      <c r="M141" s="204">
        <f>M158*M139</f>
        <v>755.74799999999982</v>
      </c>
      <c r="R141" s="204">
        <f>IF($M$141+($M$137-R137)*$N$158*$M$140+IF($R$136&gt;$M$136,-$O$158-($N$158-$O$158)/2,+$N$158+($O$158-$N$158)/2)*(ABS($M$136-$R$136))&lt;0,0,$M$141+($M$137-R137)*$N$158*$M$140+IF($R$136&gt;$M$136,-$O$158-($N$158-$O$158)/2,+$N$158+($O$158-$N$158)/2)*(ABS($M$136-$R$136)*$M$140))*IF($O$158=0,0,1)</f>
        <v>994.00254545454527</v>
      </c>
    </row>
    <row r="142" spans="1:18" ht="12.75" customHeight="1">
      <c r="A142" t="s">
        <v>2821</v>
      </c>
      <c r="D142" s="1035">
        <v>18</v>
      </c>
      <c r="M142" s="1035">
        <v>10</v>
      </c>
    </row>
    <row r="143" spans="1:18" ht="12.75" customHeight="1">
      <c r="B143" t="s">
        <v>1249</v>
      </c>
      <c r="C143" t="str">
        <f>I60</f>
        <v>Average temperature</v>
      </c>
      <c r="D143" t="s">
        <v>248</v>
      </c>
      <c r="E143" t="str">
        <f>"Days at "&amp;E136&amp;" C  COT"</f>
        <v>Days at 16 C  COT</v>
      </c>
      <c r="F143" t="str">
        <f>"Days at "&amp;F136&amp;" C  COT actual"</f>
        <v>Days at 16 C  COT actual</v>
      </c>
      <c r="G143" t="s">
        <v>246</v>
      </c>
      <c r="H143" t="str">
        <f>"degreedays at "&amp;G138&amp;" C"</f>
        <v>degreedays at 15 C</v>
      </c>
      <c r="M143" t="s">
        <v>249</v>
      </c>
      <c r="N143" t="s">
        <v>1822</v>
      </c>
      <c r="O143" t="s">
        <v>1823</v>
      </c>
      <c r="P143" t="s">
        <v>337</v>
      </c>
      <c r="Q143" t="str">
        <f>"degreedays at "&amp;P138&amp;" C"</f>
        <v>degreedays at 12 C</v>
      </c>
    </row>
    <row r="144" spans="1:18" ht="12.75" customHeight="1">
      <c r="A144" t="s">
        <v>3389</v>
      </c>
      <c r="C144" s="1037">
        <f>C156</f>
        <v>10.399999999999999</v>
      </c>
    </row>
    <row r="145" spans="1:18" ht="12.75" customHeight="1">
      <c r="A145" t="s">
        <v>3015</v>
      </c>
      <c r="B145">
        <v>31</v>
      </c>
      <c r="C145" s="1037">
        <f t="shared" ref="C145:C156" si="64">I61</f>
        <v>10</v>
      </c>
      <c r="D145">
        <f t="shared" ref="D145:D156" si="65">IF(C145&lt;$D$142,$D$142-C145,0)*B145</f>
        <v>248</v>
      </c>
      <c r="E145" s="78">
        <f>1-IF($C145&gt;E$136,1,IF($C144&gt;E$136,($C144-E$136)/($C144-$C145),IF($C146&gt;E$136,($C146-E$136)/($C146-$C145),0)))</f>
        <v>1</v>
      </c>
      <c r="F145" s="78">
        <f>1-IF($C145&gt;F$136,1,IF($C144&gt;F$136,($C144-F$136)/($C144-$C145),IF($C146&gt;F$136,($C146-F$136)/($C146-$C145),0)))</f>
        <v>1</v>
      </c>
      <c r="G145">
        <f>IF(F145&gt;0,$C145,"")</f>
        <v>10</v>
      </c>
      <c r="H145">
        <f>IF(OR(G145&gt;$G$138,G145=""),0,$G$138-G145)*B145</f>
        <v>155</v>
      </c>
      <c r="I145" s="204">
        <f>IF(ISERROR(H145*$I$141/$H$158),0,H145*$I$141/$H$158)</f>
        <v>405.40614908397794</v>
      </c>
      <c r="M145">
        <f>IF(C145&gt;$M$142,C145-$M$142,0)*B145</f>
        <v>0</v>
      </c>
      <c r="N145" s="78">
        <f>1-E145</f>
        <v>0</v>
      </c>
      <c r="O145" s="78">
        <f>1-F145</f>
        <v>0</v>
      </c>
      <c r="P145" t="str">
        <f>IF(O145&gt;0,$C145,"")</f>
        <v/>
      </c>
      <c r="Q145" s="204">
        <f>IF(OR(C145&lt;$P$138,P145=""),0,P145-$P$138)*B145</f>
        <v>0</v>
      </c>
      <c r="R145" s="204">
        <f>IF(ISERROR(Q145*R$141/$Q$158),0,Q145*R$141/$Q$158)</f>
        <v>0</v>
      </c>
    </row>
    <row r="146" spans="1:18" ht="12.75" customHeight="1">
      <c r="A146" t="s">
        <v>3358</v>
      </c>
      <c r="B146">
        <v>28</v>
      </c>
      <c r="C146" s="1037">
        <f t="shared" si="64"/>
        <v>11</v>
      </c>
      <c r="D146">
        <f t="shared" si="65"/>
        <v>196</v>
      </c>
      <c r="E146" s="78">
        <f t="shared" ref="E146:E156" si="66">1-IF(C146&gt;$E$136,1,IF(C145&gt;$E$136,(C145-$E$136)/(C145-C146),IF(C147&gt;$E$136,(C147-$E$136)/(C147-C146),0)))</f>
        <v>1</v>
      </c>
      <c r="F146" s="78">
        <f t="shared" ref="F146:F156" si="67">1-IF($C146&gt;F$136,1,IF($C145&gt;F$136,($C145-F$136)/($C145-$C146),IF($C147&gt;F$136,($C147-F$136)/($C147-$C146),0)))</f>
        <v>1</v>
      </c>
      <c r="G146">
        <f t="shared" ref="G146:G156" si="68">IF(F146&gt;0,$C146,"")</f>
        <v>11</v>
      </c>
      <c r="H146">
        <f t="shared" ref="H146:H156" si="69">IF(OR(G146&gt;$G$138,G146=""),0,$G$138-G146)*B146</f>
        <v>112</v>
      </c>
      <c r="I146" s="204">
        <f t="shared" ref="I146:I156" si="70">IF(ISERROR(H146*$I$141/$H$158),0,H146*$I$141/$H$158)</f>
        <v>292.93863675745501</v>
      </c>
      <c r="M146">
        <f t="shared" ref="M146:M156" si="71">IF(C146&gt;$M$142,C146-$M$142,0)*B146</f>
        <v>28</v>
      </c>
      <c r="N146" s="78">
        <f t="shared" ref="N146:N156" si="72">1-E146</f>
        <v>0</v>
      </c>
      <c r="O146" s="78">
        <f t="shared" ref="O146:O156" si="73">1-F146</f>
        <v>0</v>
      </c>
      <c r="P146" t="str">
        <f t="shared" ref="P146:P156" si="74">IF(O146&gt;0,$C146,"")</f>
        <v/>
      </c>
      <c r="Q146" s="204">
        <f t="shared" ref="Q146:Q156" si="75">IF(OR(C146&lt;$P$138,P146=""),0,P146-$P$138)*B146</f>
        <v>0</v>
      </c>
      <c r="R146" s="204">
        <f t="shared" ref="R146:R156" si="76">IF(ISERROR(Q146*R$141/$Q$158),0,Q146*R$141/$Q$158)</f>
        <v>0</v>
      </c>
    </row>
    <row r="147" spans="1:18" ht="12.75" customHeight="1">
      <c r="A147" t="s">
        <v>3359</v>
      </c>
      <c r="B147">
        <v>31</v>
      </c>
      <c r="C147" s="1037">
        <f t="shared" si="64"/>
        <v>12.5</v>
      </c>
      <c r="D147">
        <f t="shared" si="65"/>
        <v>170.5</v>
      </c>
      <c r="E147" s="78">
        <f t="shared" si="66"/>
        <v>1</v>
      </c>
      <c r="F147" s="78">
        <f t="shared" si="67"/>
        <v>1</v>
      </c>
      <c r="G147">
        <f t="shared" si="68"/>
        <v>12.5</v>
      </c>
      <c r="H147">
        <f t="shared" si="69"/>
        <v>77.5</v>
      </c>
      <c r="I147" s="204">
        <f t="shared" si="70"/>
        <v>202.70307454198897</v>
      </c>
      <c r="M147">
        <f t="shared" si="71"/>
        <v>77.5</v>
      </c>
      <c r="N147" s="78">
        <f t="shared" si="72"/>
        <v>0</v>
      </c>
      <c r="O147" s="78">
        <f t="shared" si="73"/>
        <v>0</v>
      </c>
      <c r="P147" t="str">
        <f t="shared" si="74"/>
        <v/>
      </c>
      <c r="Q147" s="204">
        <f t="shared" si="75"/>
        <v>0</v>
      </c>
      <c r="R147" s="204">
        <f t="shared" si="76"/>
        <v>0</v>
      </c>
    </row>
    <row r="148" spans="1:18" ht="12.75" customHeight="1">
      <c r="A148" t="s">
        <v>916</v>
      </c>
      <c r="B148">
        <v>30</v>
      </c>
      <c r="C148" s="1037">
        <f t="shared" si="64"/>
        <v>14</v>
      </c>
      <c r="D148">
        <f t="shared" si="65"/>
        <v>120</v>
      </c>
      <c r="E148" s="78">
        <f t="shared" si="66"/>
        <v>0.83333333333333381</v>
      </c>
      <c r="F148" s="78">
        <f t="shared" si="67"/>
        <v>0.83333333333333381</v>
      </c>
      <c r="G148">
        <f t="shared" si="68"/>
        <v>14</v>
      </c>
      <c r="H148">
        <f t="shared" si="69"/>
        <v>30</v>
      </c>
      <c r="I148" s="204">
        <f t="shared" si="70"/>
        <v>78.465706274318308</v>
      </c>
      <c r="M148">
        <f t="shared" si="71"/>
        <v>120</v>
      </c>
      <c r="N148" s="78">
        <f t="shared" si="72"/>
        <v>0.16666666666666619</v>
      </c>
      <c r="O148" s="78">
        <f t="shared" si="73"/>
        <v>0.16666666666666619</v>
      </c>
      <c r="P148">
        <f t="shared" si="74"/>
        <v>14</v>
      </c>
      <c r="Q148" s="204">
        <f t="shared" si="75"/>
        <v>60</v>
      </c>
      <c r="R148" s="204">
        <f t="shared" si="76"/>
        <v>39.935819423645867</v>
      </c>
    </row>
    <row r="149" spans="1:18" ht="12.75" customHeight="1">
      <c r="A149" t="s">
        <v>917</v>
      </c>
      <c r="B149">
        <v>31</v>
      </c>
      <c r="C149" s="1037">
        <f t="shared" si="64"/>
        <v>16.399999999999999</v>
      </c>
      <c r="D149">
        <f t="shared" si="65"/>
        <v>49.600000000000044</v>
      </c>
      <c r="E149" s="78">
        <f t="shared" si="66"/>
        <v>0</v>
      </c>
      <c r="F149" s="78">
        <f t="shared" si="67"/>
        <v>0</v>
      </c>
      <c r="G149" t="str">
        <f t="shared" si="68"/>
        <v/>
      </c>
      <c r="H149">
        <f t="shared" si="69"/>
        <v>0</v>
      </c>
      <c r="I149" s="204">
        <f t="shared" si="70"/>
        <v>0</v>
      </c>
      <c r="M149">
        <f t="shared" si="71"/>
        <v>198.39999999999995</v>
      </c>
      <c r="N149" s="78">
        <f t="shared" si="72"/>
        <v>1</v>
      </c>
      <c r="O149" s="78">
        <f t="shared" si="73"/>
        <v>1</v>
      </c>
      <c r="P149">
        <f t="shared" si="74"/>
        <v>16.399999999999999</v>
      </c>
      <c r="Q149" s="204">
        <f t="shared" si="75"/>
        <v>136.39999999999995</v>
      </c>
      <c r="R149" s="204">
        <f t="shared" si="76"/>
        <v>90.787429489754913</v>
      </c>
    </row>
    <row r="150" spans="1:18" ht="12.75" customHeight="1">
      <c r="A150" t="s">
        <v>2783</v>
      </c>
      <c r="B150">
        <v>30</v>
      </c>
      <c r="C150" s="1037">
        <f t="shared" si="64"/>
        <v>19.600000000000001</v>
      </c>
      <c r="D150">
        <f t="shared" si="65"/>
        <v>0</v>
      </c>
      <c r="E150" s="78">
        <f t="shared" si="66"/>
        <v>0</v>
      </c>
      <c r="F150" s="78">
        <f t="shared" si="67"/>
        <v>0</v>
      </c>
      <c r="G150" t="str">
        <f t="shared" si="68"/>
        <v/>
      </c>
      <c r="H150">
        <f t="shared" si="69"/>
        <v>0</v>
      </c>
      <c r="I150" s="204">
        <f t="shared" si="70"/>
        <v>0</v>
      </c>
      <c r="M150">
        <f t="shared" si="71"/>
        <v>288.00000000000006</v>
      </c>
      <c r="N150" s="78">
        <f t="shared" si="72"/>
        <v>1</v>
      </c>
      <c r="O150" s="78">
        <f t="shared" si="73"/>
        <v>1</v>
      </c>
      <c r="P150">
        <f t="shared" si="74"/>
        <v>19.600000000000001</v>
      </c>
      <c r="Q150" s="204">
        <f t="shared" si="75"/>
        <v>228.00000000000006</v>
      </c>
      <c r="R150" s="204">
        <f t="shared" si="76"/>
        <v>151.75611380985433</v>
      </c>
    </row>
    <row r="151" spans="1:18" ht="12.75" customHeight="1">
      <c r="A151" t="s">
        <v>4453</v>
      </c>
      <c r="B151">
        <v>31</v>
      </c>
      <c r="C151" s="1037">
        <f t="shared" si="64"/>
        <v>21.799999999999997</v>
      </c>
      <c r="D151">
        <f t="shared" si="65"/>
        <v>0</v>
      </c>
      <c r="E151" s="78">
        <f t="shared" si="66"/>
        <v>0</v>
      </c>
      <c r="F151" s="78">
        <f t="shared" si="67"/>
        <v>0</v>
      </c>
      <c r="G151" t="str">
        <f t="shared" si="68"/>
        <v/>
      </c>
      <c r="H151">
        <f t="shared" si="69"/>
        <v>0</v>
      </c>
      <c r="I151" s="204">
        <f t="shared" si="70"/>
        <v>0</v>
      </c>
      <c r="M151">
        <f t="shared" si="71"/>
        <v>365.7999999999999</v>
      </c>
      <c r="N151" s="78">
        <f t="shared" si="72"/>
        <v>1</v>
      </c>
      <c r="O151" s="78">
        <f t="shared" si="73"/>
        <v>1</v>
      </c>
      <c r="P151">
        <f t="shared" si="74"/>
        <v>21.799999999999997</v>
      </c>
      <c r="Q151" s="204">
        <f t="shared" si="75"/>
        <v>303.7999999999999</v>
      </c>
      <c r="R151" s="204">
        <f t="shared" si="76"/>
        <v>202.20836568172686</v>
      </c>
    </row>
    <row r="152" spans="1:18" ht="12.75" customHeight="1">
      <c r="A152" t="s">
        <v>1648</v>
      </c>
      <c r="B152">
        <v>31</v>
      </c>
      <c r="C152" s="1037">
        <f t="shared" si="64"/>
        <v>21.799999999999997</v>
      </c>
      <c r="D152">
        <f t="shared" si="65"/>
        <v>0</v>
      </c>
      <c r="E152" s="78">
        <f t="shared" si="66"/>
        <v>0</v>
      </c>
      <c r="F152" s="78">
        <f t="shared" si="67"/>
        <v>0</v>
      </c>
      <c r="G152" t="str">
        <f t="shared" si="68"/>
        <v/>
      </c>
      <c r="H152">
        <f t="shared" si="69"/>
        <v>0</v>
      </c>
      <c r="I152" s="204">
        <f t="shared" si="70"/>
        <v>0</v>
      </c>
      <c r="M152">
        <f t="shared" si="71"/>
        <v>365.7999999999999</v>
      </c>
      <c r="N152" s="78">
        <f t="shared" si="72"/>
        <v>1</v>
      </c>
      <c r="O152" s="78">
        <f t="shared" si="73"/>
        <v>1</v>
      </c>
      <c r="P152">
        <f t="shared" si="74"/>
        <v>21.799999999999997</v>
      </c>
      <c r="Q152" s="204">
        <f t="shared" si="75"/>
        <v>303.7999999999999</v>
      </c>
      <c r="R152" s="204">
        <f t="shared" si="76"/>
        <v>202.20836568172686</v>
      </c>
    </row>
    <row r="153" spans="1:18" ht="12.75" customHeight="1">
      <c r="A153" t="s">
        <v>3426</v>
      </c>
      <c r="B153">
        <v>30</v>
      </c>
      <c r="C153" s="1037">
        <f t="shared" si="64"/>
        <v>20.799999999999997</v>
      </c>
      <c r="D153">
        <f t="shared" si="65"/>
        <v>0</v>
      </c>
      <c r="E153" s="78">
        <f t="shared" si="66"/>
        <v>0</v>
      </c>
      <c r="F153" s="78">
        <f t="shared" si="67"/>
        <v>0</v>
      </c>
      <c r="G153" t="str">
        <f t="shared" si="68"/>
        <v/>
      </c>
      <c r="H153">
        <f t="shared" si="69"/>
        <v>0</v>
      </c>
      <c r="I153" s="204">
        <f t="shared" si="70"/>
        <v>0</v>
      </c>
      <c r="M153">
        <f t="shared" si="71"/>
        <v>323.99999999999989</v>
      </c>
      <c r="N153" s="78">
        <f t="shared" si="72"/>
        <v>1</v>
      </c>
      <c r="O153" s="78">
        <f t="shared" si="73"/>
        <v>1</v>
      </c>
      <c r="P153">
        <f t="shared" si="74"/>
        <v>20.799999999999997</v>
      </c>
      <c r="Q153" s="204">
        <f t="shared" si="75"/>
        <v>263.99999999999989</v>
      </c>
      <c r="R153" s="204">
        <f t="shared" si="76"/>
        <v>175.71760546404175</v>
      </c>
    </row>
    <row r="154" spans="1:18" ht="12.75" customHeight="1">
      <c r="A154" t="s">
        <v>5753</v>
      </c>
      <c r="B154">
        <v>31</v>
      </c>
      <c r="C154" s="1037">
        <f t="shared" si="64"/>
        <v>17.399999999999999</v>
      </c>
      <c r="D154">
        <f t="shared" si="65"/>
        <v>18.600000000000044</v>
      </c>
      <c r="E154" s="78">
        <f t="shared" si="66"/>
        <v>0</v>
      </c>
      <c r="F154" s="78">
        <f t="shared" si="67"/>
        <v>0</v>
      </c>
      <c r="G154" t="str">
        <f t="shared" si="68"/>
        <v/>
      </c>
      <c r="H154">
        <f t="shared" si="69"/>
        <v>0</v>
      </c>
      <c r="I154" s="204">
        <f t="shared" si="70"/>
        <v>0</v>
      </c>
      <c r="M154">
        <f t="shared" si="71"/>
        <v>229.39999999999995</v>
      </c>
      <c r="N154" s="78">
        <f t="shared" si="72"/>
        <v>1</v>
      </c>
      <c r="O154" s="78">
        <f t="shared" si="73"/>
        <v>1</v>
      </c>
      <c r="P154">
        <f t="shared" si="74"/>
        <v>17.399999999999999</v>
      </c>
      <c r="Q154" s="204">
        <f t="shared" si="75"/>
        <v>167.39999999999995</v>
      </c>
      <c r="R154" s="204">
        <f t="shared" si="76"/>
        <v>111.42093619197195</v>
      </c>
    </row>
    <row r="155" spans="1:18" ht="12.75" customHeight="1">
      <c r="A155" t="s">
        <v>5390</v>
      </c>
      <c r="B155">
        <v>30</v>
      </c>
      <c r="C155" s="1037">
        <f t="shared" si="64"/>
        <v>13</v>
      </c>
      <c r="D155">
        <f t="shared" si="65"/>
        <v>150</v>
      </c>
      <c r="E155" s="78">
        <f t="shared" si="66"/>
        <v>0.6818181818181821</v>
      </c>
      <c r="F155" s="78">
        <f t="shared" si="67"/>
        <v>0.6818181818181821</v>
      </c>
      <c r="G155">
        <f t="shared" si="68"/>
        <v>13</v>
      </c>
      <c r="H155">
        <f t="shared" si="69"/>
        <v>60</v>
      </c>
      <c r="I155" s="204">
        <f t="shared" si="70"/>
        <v>156.93141254863662</v>
      </c>
      <c r="M155">
        <f t="shared" si="71"/>
        <v>90</v>
      </c>
      <c r="N155" s="78">
        <f t="shared" si="72"/>
        <v>0.3181818181818179</v>
      </c>
      <c r="O155" s="78">
        <f t="shared" si="73"/>
        <v>0.3181818181818179</v>
      </c>
      <c r="P155">
        <f t="shared" si="74"/>
        <v>13</v>
      </c>
      <c r="Q155" s="204">
        <f t="shared" si="75"/>
        <v>30</v>
      </c>
      <c r="R155" s="204">
        <f t="shared" si="76"/>
        <v>19.967909711822934</v>
      </c>
    </row>
    <row r="156" spans="1:18" ht="12.75" customHeight="1">
      <c r="A156" t="s">
        <v>3389</v>
      </c>
      <c r="B156">
        <v>31</v>
      </c>
      <c r="C156" s="1037">
        <f t="shared" si="64"/>
        <v>10.399999999999999</v>
      </c>
      <c r="D156">
        <f t="shared" si="65"/>
        <v>235.60000000000005</v>
      </c>
      <c r="E156" s="78">
        <f t="shared" si="66"/>
        <v>1</v>
      </c>
      <c r="F156" s="78">
        <f t="shared" si="67"/>
        <v>1</v>
      </c>
      <c r="G156">
        <f t="shared" si="68"/>
        <v>10.399999999999999</v>
      </c>
      <c r="H156">
        <f t="shared" si="69"/>
        <v>142.60000000000005</v>
      </c>
      <c r="I156" s="204">
        <f t="shared" si="70"/>
        <v>372.97365715725982</v>
      </c>
      <c r="M156">
        <f t="shared" si="71"/>
        <v>12.399999999999956</v>
      </c>
      <c r="N156" s="78">
        <f t="shared" si="72"/>
        <v>0</v>
      </c>
      <c r="O156" s="78">
        <f t="shared" si="73"/>
        <v>0</v>
      </c>
      <c r="P156" t="str">
        <f t="shared" si="74"/>
        <v/>
      </c>
      <c r="Q156" s="204">
        <f t="shared" si="75"/>
        <v>0</v>
      </c>
      <c r="R156" s="204">
        <f t="shared" si="76"/>
        <v>0</v>
      </c>
    </row>
    <row r="157" spans="1:18" ht="12.75" customHeight="1">
      <c r="A157" t="s">
        <v>3015</v>
      </c>
      <c r="C157" s="1037">
        <f>C145</f>
        <v>10</v>
      </c>
    </row>
    <row r="158" spans="1:18" ht="12.75" customHeight="1">
      <c r="A158" s="267" t="s">
        <v>2746</v>
      </c>
      <c r="B158" s="267">
        <f>SUM(B145:B157)</f>
        <v>365</v>
      </c>
      <c r="C158" s="267"/>
      <c r="D158" s="1036">
        <f>SUM(D145:D156)</f>
        <v>1188.3000000000002</v>
      </c>
      <c r="E158" s="1036">
        <f>SUMPRODUCT($B145:$B156,E145:E156)</f>
        <v>166.45454545454547</v>
      </c>
      <c r="F158" s="1036">
        <f>SUMPRODUCT($B145:$B156,F145:F156)</f>
        <v>166.45454545454547</v>
      </c>
      <c r="H158" s="1036">
        <f>SUM(H145:H156)</f>
        <v>577.1</v>
      </c>
      <c r="I158" s="1036">
        <f>SUM(I145:I156)</f>
        <v>1509.4186363636366</v>
      </c>
      <c r="M158" s="1036">
        <f>SUM(M145:M156)</f>
        <v>2099.2999999999997</v>
      </c>
      <c r="N158" s="1036">
        <f>SUMPRODUCT($B145:$B156,N145:N156)</f>
        <v>198.54545454545453</v>
      </c>
      <c r="O158" s="1036">
        <f>SUMPRODUCT($B145:$B156,O145:O156)</f>
        <v>198.54545454545453</v>
      </c>
      <c r="Q158" s="1036">
        <f>SUM(Q145:Q156)</f>
        <v>1493.3999999999994</v>
      </c>
      <c r="R158" s="1036">
        <f>SUM(R145:R156)</f>
        <v>994.00254545454538</v>
      </c>
    </row>
    <row r="160" spans="1:18" ht="12.75" customHeight="1" thickBot="1">
      <c r="I160" t="s">
        <v>1824</v>
      </c>
      <c r="J160" t="s">
        <v>1037</v>
      </c>
      <c r="K160" t="s">
        <v>1825</v>
      </c>
      <c r="L160" t="s">
        <v>1036</v>
      </c>
      <c r="N160" t="s">
        <v>1826</v>
      </c>
    </row>
    <row r="161" spans="8:13" ht="12.75" customHeight="1" thickBot="1">
      <c r="H161" s="1042" t="str">
        <f t="shared" ref="H161:H166" si="77">D31</f>
        <v>Horário 1</v>
      </c>
      <c r="I161" s="1057">
        <f t="shared" ref="I161:I166" si="78">K31</f>
        <v>0</v>
      </c>
      <c r="J161" s="1044">
        <f t="shared" ref="J161:J166" si="79">IF($E$141+(I161-$E$137)*$E$158+IF($I$136&gt;$E$136,+$F$158+($E$158-$F$158)/2,-$E$158-($F$158-$E$158)/2)*(ABS($E$136-$I$136))&lt;0,0,$E$141+(I161-$E$137)*$E$158+IF($I$136&gt;$E$136,+$F$158+($E$158-$F$158)/2,-$E$158-($F$158-$E$158)/2)*(ABS($E$136-$I$136)))*IF($F$158=0,0,1)</f>
        <v>0</v>
      </c>
      <c r="K161" s="1043">
        <f t="shared" ref="K161:K166" si="80">H31</f>
        <v>0</v>
      </c>
      <c r="L161" s="1044">
        <f t="shared" ref="L161:L166" si="81">IF($M$141+($M$137-K161)*$N$158*$M$140+IF($R$136&gt;$M$136,-$O$158-($N$158-$O$158)/2,+$N$158+($O$158-$N$158)/2)*(ABS($M$136-$R$136))&lt;0,0,$M$141+($M$137-K161)*$N$158*$M$140+IF($R$136&gt;$M$136,-$O$158-($N$158-$O$158)/2,+$N$158+($O$158-$N$158)/2)*(ABS($M$136-$R$136)*$M$140))*IF($O$158=0,0,1)</f>
        <v>3495.6752727272724</v>
      </c>
      <c r="M161" s="1055">
        <f t="shared" ref="M161:M166" si="82">IF(ISERROR(J161/$H$158),0,J161/$H$158)</f>
        <v>0</v>
      </c>
    </row>
    <row r="162" spans="8:13" ht="12.75" customHeight="1" thickBot="1">
      <c r="H162" s="1045" t="str">
        <f t="shared" si="77"/>
        <v>Horário 2</v>
      </c>
      <c r="I162" s="1046">
        <f t="shared" si="78"/>
        <v>0</v>
      </c>
      <c r="J162" s="1047">
        <f t="shared" si="79"/>
        <v>0</v>
      </c>
      <c r="K162" s="1046">
        <f t="shared" si="80"/>
        <v>0</v>
      </c>
      <c r="L162" s="1047">
        <f t="shared" si="81"/>
        <v>3495.6752727272724</v>
      </c>
      <c r="M162" s="1055">
        <f t="shared" si="82"/>
        <v>0</v>
      </c>
    </row>
    <row r="163" spans="8:13" ht="12.75" customHeight="1" thickBot="1">
      <c r="H163" s="1045" t="str">
        <f t="shared" si="77"/>
        <v>Horário 3</v>
      </c>
      <c r="I163" s="1046">
        <f t="shared" si="78"/>
        <v>0</v>
      </c>
      <c r="J163" s="1047">
        <f t="shared" si="79"/>
        <v>0</v>
      </c>
      <c r="K163" s="1046">
        <f t="shared" si="80"/>
        <v>0</v>
      </c>
      <c r="L163" s="1047">
        <f t="shared" si="81"/>
        <v>3495.6752727272724</v>
      </c>
      <c r="M163" s="1055">
        <f t="shared" si="82"/>
        <v>0</v>
      </c>
    </row>
    <row r="164" spans="8:13" ht="12.75" customHeight="1" thickBot="1">
      <c r="H164" s="1045" t="str">
        <f t="shared" si="77"/>
        <v>Horário 4</v>
      </c>
      <c r="I164" s="1046">
        <f t="shared" si="78"/>
        <v>0</v>
      </c>
      <c r="J164" s="1047">
        <f t="shared" si="79"/>
        <v>0</v>
      </c>
      <c r="K164" s="1046">
        <f t="shared" si="80"/>
        <v>0</v>
      </c>
      <c r="L164" s="1047">
        <f t="shared" si="81"/>
        <v>3495.6752727272724</v>
      </c>
      <c r="M164" s="1055">
        <f t="shared" si="82"/>
        <v>0</v>
      </c>
    </row>
    <row r="165" spans="8:13" ht="12.75" customHeight="1" thickBot="1">
      <c r="H165" s="1045" t="str">
        <f t="shared" si="77"/>
        <v>Horário 5</v>
      </c>
      <c r="I165" s="1046">
        <f t="shared" si="78"/>
        <v>0</v>
      </c>
      <c r="J165" s="1047">
        <f t="shared" si="79"/>
        <v>0</v>
      </c>
      <c r="K165" s="1046">
        <f t="shared" si="80"/>
        <v>0</v>
      </c>
      <c r="L165" s="1047">
        <f t="shared" si="81"/>
        <v>3495.6752727272724</v>
      </c>
      <c r="M165" s="1055">
        <f t="shared" si="82"/>
        <v>0</v>
      </c>
    </row>
    <row r="166" spans="8:13" ht="12.75" customHeight="1" thickBot="1">
      <c r="H166" s="989" t="str">
        <f t="shared" si="77"/>
        <v>Horário 6</v>
      </c>
      <c r="I166" s="1048">
        <f t="shared" si="78"/>
        <v>0</v>
      </c>
      <c r="J166" s="1049">
        <f t="shared" si="79"/>
        <v>0</v>
      </c>
      <c r="K166" s="1048">
        <f t="shared" si="80"/>
        <v>0</v>
      </c>
      <c r="L166" s="1049">
        <f t="shared" si="81"/>
        <v>3495.6752727272724</v>
      </c>
      <c r="M166" s="1055">
        <f t="shared" si="82"/>
        <v>0</v>
      </c>
    </row>
    <row r="168" spans="8:13" ht="12.75" customHeight="1" thickBot="1">
      <c r="H168" s="267" t="s">
        <v>2506</v>
      </c>
      <c r="I168" t="s">
        <v>4491</v>
      </c>
      <c r="J168" s="22" t="s">
        <v>1037</v>
      </c>
      <c r="K168" t="s">
        <v>4713</v>
      </c>
      <c r="L168" t="s">
        <v>1037</v>
      </c>
    </row>
    <row r="169" spans="8:13" ht="12.75" customHeight="1">
      <c r="H169" s="1042" t="str">
        <f t="shared" ref="H169:H174" si="83">H161</f>
        <v>Horário 1</v>
      </c>
      <c r="I169" s="1044">
        <f>EET!CC16</f>
        <v>0</v>
      </c>
      <c r="J169" s="1044">
        <f t="shared" ref="J169:J174" si="84">IF($E$141+(I169-$E$137)*$E$158+IF($I$136&gt;$E$136,+$F$158+($E$158-$F$158)/2,-$E$158-($F$158-$E$158)/2)*(ABS($E$136-$I$136))&lt;0,0,$E$141+(I169-$E$137)*$E$158+IF($I$136&gt;$E$136,+$F$158+($E$158-$F$158)/2,-$E$158-($F$158-$E$158)/2)*(ABS($E$136-$I$136)))*IF($F$158=0,0,1)</f>
        <v>0</v>
      </c>
      <c r="K169" s="1044">
        <f>EET!CD16</f>
        <v>0</v>
      </c>
      <c r="L169" s="1058">
        <f t="shared" ref="L169:L174" si="85">IF($E$141+(K169-$E$137)*$E$158+IF($I$136&gt;$E$136,+$F$158+($E$158-$F$158)/2,-$E$158-($F$158-$E$158)/2)*(ABS($E$136-$I$136))&lt;0,0,$E$141+(K169-$E$137)*$E$158+IF($I$136&gt;$E$136,+$F$158+($E$158-$F$158)/2,-$E$158-($F$158-$E$158)/2)*(ABS($E$136-$I$136)))*IF($F$158=0,0,1)</f>
        <v>0</v>
      </c>
    </row>
    <row r="170" spans="8:13" ht="12.75" customHeight="1">
      <c r="H170" s="1045" t="str">
        <f t="shared" si="83"/>
        <v>Horário 2</v>
      </c>
      <c r="I170" s="1047">
        <f>EET!CC17</f>
        <v>0</v>
      </c>
      <c r="J170" s="1047">
        <f t="shared" si="84"/>
        <v>0</v>
      </c>
      <c r="K170" s="1047">
        <f>EET!CD17</f>
        <v>0</v>
      </c>
      <c r="L170" s="1059">
        <f t="shared" si="85"/>
        <v>0</v>
      </c>
    </row>
    <row r="171" spans="8:13" ht="12.75" customHeight="1">
      <c r="H171" s="1045" t="str">
        <f t="shared" si="83"/>
        <v>Horário 3</v>
      </c>
      <c r="I171" s="1047">
        <f>EET!CC18</f>
        <v>0</v>
      </c>
      <c r="J171" s="1047">
        <f t="shared" si="84"/>
        <v>0</v>
      </c>
      <c r="K171" s="1047">
        <f>EET!CD18</f>
        <v>0</v>
      </c>
      <c r="L171" s="1059">
        <f t="shared" si="85"/>
        <v>0</v>
      </c>
    </row>
    <row r="172" spans="8:13" ht="12.75" customHeight="1">
      <c r="H172" s="1045" t="str">
        <f t="shared" si="83"/>
        <v>Horário 4</v>
      </c>
      <c r="I172" s="1047">
        <f>EET!CC19</f>
        <v>0</v>
      </c>
      <c r="J172" s="1047">
        <f t="shared" si="84"/>
        <v>0</v>
      </c>
      <c r="K172" s="1047">
        <f>EET!CD19</f>
        <v>0</v>
      </c>
      <c r="L172" s="1059">
        <f t="shared" si="85"/>
        <v>0</v>
      </c>
    </row>
    <row r="173" spans="8:13" ht="12.75" customHeight="1">
      <c r="H173" s="1045" t="str">
        <f t="shared" si="83"/>
        <v>Horário 5</v>
      </c>
      <c r="I173" s="1047">
        <f>EET!CC20</f>
        <v>0</v>
      </c>
      <c r="J173" s="1047">
        <f t="shared" si="84"/>
        <v>0</v>
      </c>
      <c r="K173" s="1047">
        <f>EET!CD20</f>
        <v>0</v>
      </c>
      <c r="L173" s="1059">
        <f t="shared" si="85"/>
        <v>0</v>
      </c>
    </row>
    <row r="174" spans="8:13" ht="12.75" customHeight="1" thickBot="1">
      <c r="H174" s="989" t="str">
        <f t="shared" si="83"/>
        <v>Horário 6</v>
      </c>
      <c r="I174" s="1049">
        <f>EET!CC21</f>
        <v>0</v>
      </c>
      <c r="J174" s="1049">
        <f t="shared" si="84"/>
        <v>0</v>
      </c>
      <c r="K174" s="1049">
        <f>EET!CD21</f>
        <v>0</v>
      </c>
      <c r="L174" s="1060">
        <f t="shared" si="85"/>
        <v>0</v>
      </c>
    </row>
    <row r="175" spans="8:13" ht="12.75" customHeight="1">
      <c r="J175" s="1047"/>
    </row>
    <row r="176" spans="8:13" ht="12.75" customHeight="1" thickBot="1">
      <c r="H176" s="267" t="s">
        <v>726</v>
      </c>
      <c r="I176" t="s">
        <v>4491</v>
      </c>
      <c r="J176" s="1047" t="s">
        <v>1036</v>
      </c>
      <c r="K176" t="s">
        <v>4713</v>
      </c>
      <c r="L176" t="s">
        <v>1036</v>
      </c>
    </row>
    <row r="177" spans="8:12" ht="12.75" customHeight="1">
      <c r="H177" s="1042" t="str">
        <f t="shared" ref="H177:H182" si="86">H161</f>
        <v>Horário 1</v>
      </c>
      <c r="I177" s="1044">
        <f>EET!CF16</f>
        <v>0</v>
      </c>
      <c r="J177" s="1044">
        <f t="shared" ref="J177:J182" si="87">IF($M$141+($M$137-I177)*$N$158*$M$140+IF($R$136&gt;$M$136,-$O$158-($N$158-$O$158)/2,+$N$158+($O$158-$N$158)/2)*(ABS($M$136-$R$136))&lt;0,0,$M$141+($M$137-I177)*$N$158*$M$140+IF($R$136&gt;$M$136,-$O$158-($N$158-$O$158)/2,+$N$158+($O$158-$N$158)/2)*(ABS($M$136-$R$136)*$M$140))*IF($O$158=0,0,1)</f>
        <v>3495.6752727272724</v>
      </c>
      <c r="K177" s="1044">
        <f>EET!CG16</f>
        <v>0</v>
      </c>
      <c r="L177" s="1058">
        <f t="shared" ref="L177:L182" si="88">IF($M$141+($M$137-K177)*$N$158*$M$140+IF($R$136&gt;$M$136,-$O$158-($N$158-$O$158)/2,+$N$158+($O$158-$N$158)/2)*(ABS($M$136-$R$136))&lt;0,0,$M$141+($M$137-K177)*$N$158*$M$140+IF($R$136&gt;$M$136,-$O$158-($N$158-$O$158)/2,+$N$158+($O$158-$N$158)/2)*(ABS($M$136-$R$136)*$M$140))*IF($O$158=0,0,1)</f>
        <v>3495.6752727272724</v>
      </c>
    </row>
    <row r="178" spans="8:12" ht="12.75" customHeight="1">
      <c r="H178" s="1045" t="str">
        <f t="shared" si="86"/>
        <v>Horário 2</v>
      </c>
      <c r="I178" s="1047">
        <f>EET!CF17</f>
        <v>0</v>
      </c>
      <c r="J178" s="1047">
        <f t="shared" si="87"/>
        <v>3495.6752727272724</v>
      </c>
      <c r="K178" s="1047">
        <f>EET!CG17</f>
        <v>0</v>
      </c>
      <c r="L178" s="1059">
        <f t="shared" si="88"/>
        <v>3495.6752727272724</v>
      </c>
    </row>
    <row r="179" spans="8:12" ht="12.75" customHeight="1">
      <c r="H179" s="1045" t="str">
        <f t="shared" si="86"/>
        <v>Horário 3</v>
      </c>
      <c r="I179" s="1047">
        <f>EET!CF18</f>
        <v>0</v>
      </c>
      <c r="J179" s="1047">
        <f t="shared" si="87"/>
        <v>3495.6752727272724</v>
      </c>
      <c r="K179" s="1047">
        <f>EET!CG18</f>
        <v>0</v>
      </c>
      <c r="L179" s="1059">
        <f t="shared" si="88"/>
        <v>3495.6752727272724</v>
      </c>
    </row>
    <row r="180" spans="8:12" ht="12.75" customHeight="1">
      <c r="H180" s="1045" t="str">
        <f t="shared" si="86"/>
        <v>Horário 4</v>
      </c>
      <c r="I180" s="1047">
        <f>EET!CF19</f>
        <v>0</v>
      </c>
      <c r="J180" s="1047">
        <f t="shared" si="87"/>
        <v>3495.6752727272724</v>
      </c>
      <c r="K180" s="1047">
        <f>EET!CG19</f>
        <v>0</v>
      </c>
      <c r="L180" s="1059">
        <f t="shared" si="88"/>
        <v>3495.6752727272724</v>
      </c>
    </row>
    <row r="181" spans="8:12" ht="12.75" customHeight="1">
      <c r="H181" s="1045" t="str">
        <f t="shared" si="86"/>
        <v>Horário 5</v>
      </c>
      <c r="I181" s="1047">
        <f>EET!CF20</f>
        <v>0</v>
      </c>
      <c r="J181" s="1047">
        <f t="shared" si="87"/>
        <v>3495.6752727272724</v>
      </c>
      <c r="K181" s="1047">
        <f>EET!CG20</f>
        <v>0</v>
      </c>
      <c r="L181" s="1059">
        <f t="shared" si="88"/>
        <v>3495.6752727272724</v>
      </c>
    </row>
    <row r="182" spans="8:12" ht="12.75" customHeight="1" thickBot="1">
      <c r="H182" s="989" t="str">
        <f t="shared" si="86"/>
        <v>Horário 6</v>
      </c>
      <c r="I182" s="1049">
        <f>EET!CF21</f>
        <v>0</v>
      </c>
      <c r="J182" s="1049">
        <f t="shared" si="87"/>
        <v>3495.6752727272724</v>
      </c>
      <c r="K182" s="1049">
        <f>EET!CG21</f>
        <v>0</v>
      </c>
      <c r="L182" s="1060">
        <f t="shared" si="88"/>
        <v>3495.6752727272724</v>
      </c>
    </row>
    <row r="183" spans="8:12" ht="12.75" customHeight="1">
      <c r="I183" s="204"/>
    </row>
  </sheetData>
  <mergeCells count="1">
    <mergeCell ref="A130:B130"/>
  </mergeCells>
  <phoneticPr fontId="0" type="noConversion"/>
  <pageMargins left="0.75" right="0.75" top="1" bottom="1" header="0.5" footer="0.5"/>
  <pageSetup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2B59B-0025-414A-BFFE-0131B06B8381}">
  <sheetPr codeName="CHP_EET"/>
  <dimension ref="A1:IV326"/>
  <sheetViews>
    <sheetView topLeftCell="CN1" workbookViewId="0">
      <selection activeCell="GX151" sqref="GX151:HB151"/>
    </sheetView>
  </sheetViews>
  <sheetFormatPr defaultRowHeight="12.75" customHeight="1"/>
  <cols>
    <col min="1" max="1" width="19.6640625" customWidth="1"/>
    <col min="5" max="5" width="18.109375" customWidth="1"/>
    <col min="9" max="9" width="12.109375" customWidth="1"/>
    <col min="13" max="13" width="16" customWidth="1"/>
    <col min="18" max="18" width="17.33203125" customWidth="1"/>
    <col min="22" max="22" width="12" customWidth="1"/>
    <col min="26" max="26" width="11" customWidth="1"/>
    <col min="41" max="41" width="11.5546875" bestFit="1" customWidth="1"/>
    <col min="51" max="51" width="12.109375" customWidth="1"/>
    <col min="64" max="64" width="14.33203125" customWidth="1"/>
    <col min="93" max="93" width="9.5546875" bestFit="1" customWidth="1"/>
    <col min="99" max="99" width="10.5546875" bestFit="1" customWidth="1"/>
    <col min="102" max="102" width="12.44140625" bestFit="1" customWidth="1"/>
    <col min="104" max="104" width="10.5546875" bestFit="1" customWidth="1"/>
    <col min="205" max="205" width="15.33203125" customWidth="1"/>
  </cols>
  <sheetData>
    <row r="1" spans="1:256" s="319" customFormat="1" ht="13.2">
      <c r="U1" s="319" t="s">
        <v>1038</v>
      </c>
      <c r="Z1" s="309"/>
      <c r="AE1" s="319">
        <f>SUM(AE3:AE8)</f>
        <v>0</v>
      </c>
      <c r="AZ1" s="319">
        <f>SUM(AZ3:AZ8)</f>
        <v>0</v>
      </c>
      <c r="BV1" s="319" t="s">
        <v>4322</v>
      </c>
      <c r="BW1" s="319" t="s">
        <v>5436</v>
      </c>
      <c r="CJ1" s="319" t="s">
        <v>1037</v>
      </c>
      <c r="CK1" s="481">
        <f>'EET2'!E48</f>
        <v>1188.3</v>
      </c>
      <c r="CM1" s="319">
        <f>IF(HideCode_projectType=8,3.6,0)</f>
        <v>0</v>
      </c>
      <c r="CN1" s="319" t="s">
        <v>629</v>
      </c>
      <c r="CO1" s="319" t="s">
        <v>5237</v>
      </c>
      <c r="CP1" s="319" t="s">
        <v>5238</v>
      </c>
      <c r="CQ1" s="319" t="s">
        <v>1948</v>
      </c>
      <c r="CR1" s="319" t="s">
        <v>1948</v>
      </c>
      <c r="DD1" s="556"/>
      <c r="DE1" s="556"/>
      <c r="DF1" s="556"/>
      <c r="DH1" s="556"/>
      <c r="DI1" s="556"/>
      <c r="DJ1" s="556"/>
      <c r="DL1" s="556"/>
      <c r="DN1" s="556"/>
      <c r="DP1" s="556"/>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s="319" customFormat="1" ht="13.2">
      <c r="N2" s="319" t="s">
        <v>5915</v>
      </c>
      <c r="U2" s="319" t="s">
        <v>5237</v>
      </c>
      <c r="V2" s="319" t="s">
        <v>5238</v>
      </c>
      <c r="X2" s="319" t="s">
        <v>1119</v>
      </c>
      <c r="Z2" s="309" t="s">
        <v>2981</v>
      </c>
      <c r="AA2" s="319" t="s">
        <v>1441</v>
      </c>
      <c r="AE2" s="319" t="s">
        <v>5563</v>
      </c>
      <c r="AS2" s="319" t="s">
        <v>5564</v>
      </c>
      <c r="AZ2" s="319" t="s">
        <v>5565</v>
      </c>
      <c r="BI2" s="319" t="s">
        <v>4866</v>
      </c>
      <c r="BK2" s="319" t="s">
        <v>3087</v>
      </c>
      <c r="BV2" s="319">
        <v>0</v>
      </c>
      <c r="BW2" s="319" t="b">
        <f>'EET2'!L31</f>
        <v>0</v>
      </c>
      <c r="CJ2" s="319" t="s">
        <v>1036</v>
      </c>
      <c r="CK2" s="481">
        <f>'EET2'!E49</f>
        <v>2099.3000000000002</v>
      </c>
      <c r="CN2" s="319" t="s">
        <v>2506</v>
      </c>
      <c r="CO2" s="476"/>
      <c r="CP2" s="476">
        <f>SUM(AL16:AL20)*$CM$1</f>
        <v>0</v>
      </c>
      <c r="CQ2" s="787"/>
      <c r="CR2" s="787">
        <v>0</v>
      </c>
      <c r="DD2" s="556"/>
      <c r="DE2" s="556"/>
      <c r="DF2" s="556"/>
      <c r="DH2" s="556"/>
      <c r="DI2" s="556"/>
      <c r="DJ2" s="556"/>
      <c r="DL2" s="556"/>
      <c r="DN2" s="556"/>
      <c r="DP2" s="556"/>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319" customFormat="1" ht="13.2">
      <c r="H3" s="319">
        <v>0</v>
      </c>
      <c r="I3" s="319" t="str">
        <f>getL("fuelType") &amp; " 1"</f>
        <v>Tipo de Combustível 1</v>
      </c>
      <c r="J3" s="319" t="str">
        <f>'Modelo Energético '!E7</f>
        <v>Eletricidade</v>
      </c>
      <c r="K3" s="319">
        <f>'Modelo Energético '!E10</f>
        <v>0</v>
      </c>
      <c r="N3" s="309">
        <f t="shared" ref="N3:N8" si="0">IF(ISERROR(K3/VLOOKUP(J3,LN_FuelList,4,FALSE)),0,K3/VLOOKUP(J3,LN_FuelList,4,FALSE))*IF(J3=$J$3,10^6,1000)</f>
        <v>0</v>
      </c>
      <c r="O3" s="309"/>
      <c r="Q3" s="319">
        <v>0</v>
      </c>
      <c r="R3" s="481" t="str">
        <f>getL("heatingsystem") &amp; " 1"</f>
        <v>Sistema de Aquecimento 1</v>
      </c>
      <c r="S3" s="481" t="str">
        <f>getL("coolingsystem") &amp; " 1"</f>
        <v>Sistema de refrigeração 1</v>
      </c>
      <c r="U3" s="319">
        <f t="shared" ref="U3:U8" si="1">(X3+AS3+BI3)/VLOOKUP($J3,LN_FuelList,4,FALSE)*1000</f>
        <v>0</v>
      </c>
      <c r="V3" s="319">
        <f t="shared" ref="V3:V8" si="2">(AE3+AZ3+BK3)/VLOOKUP($J3,LN_FuelList,4,FALSE)*1000</f>
        <v>0</v>
      </c>
      <c r="W3" s="319">
        <v>1</v>
      </c>
      <c r="X3" s="319">
        <f t="shared" ref="X3:X8" si="3">SUMIF($V$28:$V$122,H3,$X$28:$X$122)</f>
        <v>0</v>
      </c>
      <c r="Z3" s="309">
        <f>BU16</f>
        <v>0</v>
      </c>
      <c r="AA3" s="319">
        <f>BU22</f>
        <v>0</v>
      </c>
      <c r="AE3" s="319">
        <f t="shared" ref="AE3:AE8" si="4">SUMIF($AD$28:$AD$122,H3,$AF$28:$AF$122)</f>
        <v>0</v>
      </c>
      <c r="AS3" s="319">
        <f t="shared" ref="AS3:AS8" si="5">SUMIF($AQ$28:$AQ$122,H3,$AS$28:$AS$122)</f>
        <v>0</v>
      </c>
      <c r="AZ3" s="319">
        <f t="shared" ref="AZ3:AZ8" si="6">SUMIF($AY$28:$AY$122,H3,$BA$28:$BA$122)</f>
        <v>0</v>
      </c>
      <c r="BI3" s="319">
        <f>SUM(BI28:BI122)</f>
        <v>0</v>
      </c>
      <c r="BK3" s="319">
        <f>SUM(BK28:BK122)</f>
        <v>0</v>
      </c>
      <c r="BV3" s="319">
        <v>1</v>
      </c>
      <c r="BW3" s="319" t="b">
        <f>'EET2'!L32</f>
        <v>0</v>
      </c>
      <c r="CJ3" s="319" t="s">
        <v>320</v>
      </c>
      <c r="CK3" s="1052">
        <f>'EET2'!E44</f>
        <v>16</v>
      </c>
      <c r="CN3" s="319" t="s">
        <v>726</v>
      </c>
      <c r="CO3" s="476"/>
      <c r="CP3" s="476">
        <f>SUM(AL22:AL26)*$CM$1</f>
        <v>0</v>
      </c>
      <c r="CQ3" s="787"/>
      <c r="CR3" s="787">
        <v>0</v>
      </c>
      <c r="DD3" s="556"/>
      <c r="DE3" s="556"/>
      <c r="DF3" s="556"/>
      <c r="DH3" s="556"/>
      <c r="DI3" s="556"/>
      <c r="DJ3" s="556"/>
      <c r="DL3" s="556"/>
      <c r="DN3" s="556"/>
      <c r="DP3" s="556"/>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4" spans="1:256" s="319" customFormat="1" ht="13.2">
      <c r="H4" s="319">
        <v>1</v>
      </c>
      <c r="I4" s="319" t="str">
        <f>getL("fuelType") &amp; " 2"</f>
        <v>Tipo de Combustível 2</v>
      </c>
      <c r="J4" s="319" t="str">
        <f>IF('Modelo Energético '!F7="",$J$3,'Modelo Energético '!F7)</f>
        <v>Eletricidade</v>
      </c>
      <c r="K4" s="319">
        <f>IF('Modelo Energético '!F7="",'Modelo Energético '!E10,'Modelo Energético '!F10)</f>
        <v>0</v>
      </c>
      <c r="N4" s="309">
        <f t="shared" si="0"/>
        <v>0</v>
      </c>
      <c r="O4" s="309"/>
      <c r="Q4" s="319">
        <v>1</v>
      </c>
      <c r="R4" s="481" t="str">
        <f>getL("heatingsystem") &amp; " 2"</f>
        <v>Sistema de Aquecimento 2</v>
      </c>
      <c r="S4" s="481" t="str">
        <f>getL("coolingsystem") &amp; " 2"</f>
        <v>Sistema de refrigeração 2</v>
      </c>
      <c r="U4" s="319">
        <f t="shared" si="1"/>
        <v>0</v>
      </c>
      <c r="V4" s="319">
        <f t="shared" si="2"/>
        <v>0</v>
      </c>
      <c r="W4" s="319">
        <v>2</v>
      </c>
      <c r="X4" s="319">
        <f t="shared" si="3"/>
        <v>0</v>
      </c>
      <c r="Z4" s="309">
        <f>BU17</f>
        <v>0</v>
      </c>
      <c r="AA4" s="319">
        <f>BU23</f>
        <v>0</v>
      </c>
      <c r="AE4" s="319">
        <f t="shared" si="4"/>
        <v>0</v>
      </c>
      <c r="AS4" s="319">
        <f t="shared" si="5"/>
        <v>0</v>
      </c>
      <c r="AZ4" s="319">
        <f t="shared" si="6"/>
        <v>0</v>
      </c>
      <c r="BV4" s="319">
        <v>2</v>
      </c>
      <c r="BW4" s="319" t="b">
        <f>'EET2'!L33</f>
        <v>0</v>
      </c>
      <c r="CJ4" s="319" t="s">
        <v>668</v>
      </c>
      <c r="CK4" s="481">
        <f>'EET2'!E41</f>
        <v>10</v>
      </c>
      <c r="CN4" s="319" t="s">
        <v>5160</v>
      </c>
      <c r="CO4" s="476">
        <f>(SUM(X28:X32)+SUM(AS28:AS32))*$CM$1</f>
        <v>0</v>
      </c>
      <c r="CP4" s="476">
        <f>(SUM(AF28:AF32)+SUM(BA28:BA32))*$CM$1</f>
        <v>0</v>
      </c>
      <c r="CQ4" s="787">
        <v>0</v>
      </c>
      <c r="CR4" s="787">
        <v>0</v>
      </c>
      <c r="DD4" s="556"/>
      <c r="DE4" s="556"/>
      <c r="DF4" s="556"/>
      <c r="DH4" s="556"/>
      <c r="DI4" s="556"/>
      <c r="DJ4" s="556"/>
      <c r="DL4" s="556"/>
      <c r="DN4" s="556"/>
      <c r="DP4" s="556"/>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row>
    <row r="5" spans="1:256" s="319" customFormat="1" ht="13.2">
      <c r="H5" s="319">
        <v>2</v>
      </c>
      <c r="I5" s="319" t="str">
        <f>getL("fuelType") &amp; " 3"</f>
        <v>Tipo de Combustível 3</v>
      </c>
      <c r="J5" s="319" t="str">
        <f>IF('Modelo Energético '!G$7="",$J$3,'Modelo Energético '!G$7)</f>
        <v>Eletricidade</v>
      </c>
      <c r="K5" s="319">
        <f>IF('Modelo Energético '!G7="",'Modelo Energético '!E10,'Modelo Energético '!G10)</f>
        <v>0</v>
      </c>
      <c r="N5" s="309">
        <f t="shared" si="0"/>
        <v>0</v>
      </c>
      <c r="O5" s="309"/>
      <c r="Q5" s="319">
        <v>2</v>
      </c>
      <c r="R5" s="481" t="str">
        <f>getL("heatingsystem") &amp; " 3"</f>
        <v>Sistema de Aquecimento 3</v>
      </c>
      <c r="S5" s="481" t="str">
        <f>getL("coolingsystem") &amp; " 3"</f>
        <v>Sistema de refrigeração 3</v>
      </c>
      <c r="U5" s="319">
        <f t="shared" si="1"/>
        <v>0</v>
      </c>
      <c r="V5" s="319">
        <f t="shared" si="2"/>
        <v>0</v>
      </c>
      <c r="W5" s="319">
        <v>3</v>
      </c>
      <c r="X5" s="319">
        <f t="shared" si="3"/>
        <v>0</v>
      </c>
      <c r="Z5" s="309">
        <f>BU18</f>
        <v>0</v>
      </c>
      <c r="AA5" s="319">
        <f>BU24</f>
        <v>0</v>
      </c>
      <c r="AE5" s="319">
        <f t="shared" si="4"/>
        <v>0</v>
      </c>
      <c r="AS5" s="319">
        <f t="shared" si="5"/>
        <v>0</v>
      </c>
      <c r="AZ5" s="319">
        <f t="shared" si="6"/>
        <v>0</v>
      </c>
      <c r="BV5" s="319">
        <v>3</v>
      </c>
      <c r="BW5" s="319" t="b">
        <f>'EET2'!L34</f>
        <v>0</v>
      </c>
      <c r="CJ5" s="257" t="s">
        <v>3920</v>
      </c>
      <c r="CK5" s="481">
        <f>'EET2'!E45</f>
        <v>1.1783790891015928</v>
      </c>
      <c r="CN5" s="319" t="s">
        <v>4450</v>
      </c>
      <c r="CO5" s="476">
        <f>(SUM(X34:X38)+SUM(AS34:AS38))*$CM$1</f>
        <v>0</v>
      </c>
      <c r="CP5" s="476">
        <f>(SUM(AF34:AF38)+SUM(BA34:BA38))*$CM$1</f>
        <v>0</v>
      </c>
      <c r="CQ5" s="787">
        <v>0</v>
      </c>
      <c r="CR5" s="787">
        <v>0</v>
      </c>
      <c r="DD5" s="556"/>
      <c r="DE5" s="556"/>
      <c r="DF5" s="556"/>
      <c r="DH5" s="556"/>
      <c r="DI5" s="556"/>
      <c r="DJ5" s="556"/>
      <c r="DL5" s="556"/>
      <c r="DN5" s="556"/>
      <c r="DP5" s="556"/>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row>
    <row r="6" spans="1:256" s="319" customFormat="1" ht="13.2">
      <c r="H6" s="319">
        <v>3</v>
      </c>
      <c r="I6" s="319" t="str">
        <f>getL("fuelType") &amp; " 4"</f>
        <v>Tipo de Combustível 4</v>
      </c>
      <c r="J6" s="319" t="str">
        <f>IF('Modelo Energético '!H$7="",$J$3,'Modelo Energético '!H$7)</f>
        <v>Eletricidade</v>
      </c>
      <c r="K6" s="319">
        <f>IF('Modelo Energético '!H7="",'Modelo Energético '!E10,'Modelo Energético '!H10)</f>
        <v>0</v>
      </c>
      <c r="N6" s="309">
        <f t="shared" si="0"/>
        <v>0</v>
      </c>
      <c r="O6" s="309"/>
      <c r="Q6" s="319">
        <v>3</v>
      </c>
      <c r="R6" s="481" t="str">
        <f>getL("heatingsystem") &amp; " 4"</f>
        <v>Sistema de Aquecimento 4</v>
      </c>
      <c r="S6" s="481" t="str">
        <f>getL("coolingsystem") &amp; " 4"</f>
        <v>Sistema de refrigeração 4</v>
      </c>
      <c r="U6" s="319">
        <f t="shared" si="1"/>
        <v>0</v>
      </c>
      <c r="V6" s="319">
        <f t="shared" si="2"/>
        <v>0</v>
      </c>
      <c r="W6" s="319">
        <v>4</v>
      </c>
      <c r="X6" s="319">
        <f t="shared" si="3"/>
        <v>0</v>
      </c>
      <c r="Z6" s="309">
        <f>BU19</f>
        <v>0</v>
      </c>
      <c r="AA6" s="319">
        <f>BU25</f>
        <v>0</v>
      </c>
      <c r="AE6" s="319">
        <f t="shared" si="4"/>
        <v>0</v>
      </c>
      <c r="AS6" s="319">
        <f t="shared" si="5"/>
        <v>0</v>
      </c>
      <c r="AZ6" s="319">
        <f t="shared" si="6"/>
        <v>0</v>
      </c>
      <c r="BV6" s="319">
        <v>4</v>
      </c>
      <c r="BW6" s="319" t="b">
        <f>'EET2'!L35</f>
        <v>0</v>
      </c>
      <c r="CJ6" s="257" t="s">
        <v>1110</v>
      </c>
      <c r="CK6" s="481">
        <f>'EET2'!E46</f>
        <v>1.004</v>
      </c>
      <c r="CN6" s="319" t="s">
        <v>2660</v>
      </c>
      <c r="CO6" s="476">
        <f>SUM(BI40:BI44)*$CM$1</f>
        <v>0</v>
      </c>
      <c r="CP6" s="476">
        <f>SUM(BJ40:BJ44)*$CM$1</f>
        <v>0</v>
      </c>
      <c r="CQ6" s="787">
        <v>0</v>
      </c>
      <c r="CR6" s="787">
        <v>0</v>
      </c>
      <c r="DD6" s="556"/>
      <c r="DE6" s="556"/>
      <c r="DF6" s="556"/>
      <c r="DH6" s="556"/>
      <c r="DI6" s="556"/>
      <c r="DJ6" s="556"/>
      <c r="DL6" s="556"/>
      <c r="DN6" s="556"/>
      <c r="DP6" s="55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row>
    <row r="7" spans="1:256" s="319" customFormat="1" ht="13.2">
      <c r="H7" s="319">
        <v>4</v>
      </c>
      <c r="I7" s="319" t="str">
        <f>getL("fuelType") &amp; " 5"</f>
        <v>Tipo de Combustível 5</v>
      </c>
      <c r="J7" s="319" t="str">
        <f>IF('Modelo Energético '!I$7="",$J$3,'Modelo Energético '!I$7)</f>
        <v>Eletricidade</v>
      </c>
      <c r="K7" s="319">
        <f>IF('Modelo Energético '!I7="",'Modelo Energético '!E10,'Modelo Energético '!I10)</f>
        <v>0</v>
      </c>
      <c r="N7" s="309">
        <f t="shared" si="0"/>
        <v>0</v>
      </c>
      <c r="O7" s="309"/>
      <c r="Q7" s="319">
        <v>4</v>
      </c>
      <c r="R7" s="481" t="str">
        <f>getL("heatingsystem") &amp; " 5"</f>
        <v>Sistema de Aquecimento 5</v>
      </c>
      <c r="S7" s="481" t="str">
        <f>getL("coolingsystem") &amp; " 5"</f>
        <v>Sistema de refrigeração 5</v>
      </c>
      <c r="U7" s="319">
        <f t="shared" si="1"/>
        <v>0</v>
      </c>
      <c r="V7" s="319">
        <f t="shared" si="2"/>
        <v>0</v>
      </c>
      <c r="W7" s="319">
        <v>5</v>
      </c>
      <c r="X7" s="319">
        <f t="shared" si="3"/>
        <v>0</v>
      </c>
      <c r="Z7" s="309">
        <f>BU20</f>
        <v>0</v>
      </c>
      <c r="AA7" s="319">
        <f>BU26</f>
        <v>0</v>
      </c>
      <c r="AE7" s="319">
        <f t="shared" si="4"/>
        <v>0</v>
      </c>
      <c r="AS7" s="319">
        <f t="shared" si="5"/>
        <v>0</v>
      </c>
      <c r="AZ7" s="319">
        <f t="shared" si="6"/>
        <v>0</v>
      </c>
      <c r="BV7" s="319">
        <v>5</v>
      </c>
      <c r="BW7" s="319" t="b">
        <f>'EET2'!L36</f>
        <v>0</v>
      </c>
      <c r="CJ7" s="319" t="s">
        <v>190</v>
      </c>
      <c r="CK7" s="481">
        <f>'Modelo Energético '!D33</f>
        <v>166</v>
      </c>
      <c r="CL7" s="319">
        <f>CK7/(365)</f>
        <v>0.45479452054794522</v>
      </c>
      <c r="CN7" s="319" t="s">
        <v>5049</v>
      </c>
      <c r="CO7" s="476">
        <f>SUM(BI46:BI50)*$CM$1</f>
        <v>0</v>
      </c>
      <c r="CP7" s="476">
        <f>SUM(BJ46:BJ50)*$CM$1</f>
        <v>0</v>
      </c>
      <c r="CQ7" s="787">
        <v>0</v>
      </c>
      <c r="CR7" s="787">
        <v>0</v>
      </c>
      <c r="DD7" s="556"/>
      <c r="DE7" s="556"/>
      <c r="DF7" s="556"/>
      <c r="DH7" s="556"/>
      <c r="DI7" s="556"/>
      <c r="DJ7" s="556"/>
      <c r="DL7" s="556"/>
      <c r="DN7" s="556"/>
      <c r="DP7" s="556"/>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row>
    <row r="8" spans="1:256" s="319" customFormat="1" ht="13.2">
      <c r="H8" s="319">
        <v>5</v>
      </c>
      <c r="I8" s="319" t="str">
        <f>getL("fuelType") &amp; " 6"</f>
        <v>Tipo de Combustível 6</v>
      </c>
      <c r="J8" s="319" t="str">
        <f>IF('Modelo Energético '!J$7="",$J$3,'Modelo Energético '!J$7)</f>
        <v>Eletricidade</v>
      </c>
      <c r="K8" s="319">
        <f>IF('Modelo Energético '!J7="",'Modelo Energético '!E10,'Modelo Energético '!J10)</f>
        <v>0</v>
      </c>
      <c r="N8" s="309">
        <f t="shared" si="0"/>
        <v>0</v>
      </c>
      <c r="O8" s="309"/>
      <c r="U8" s="319">
        <f t="shared" si="1"/>
        <v>0</v>
      </c>
      <c r="V8" s="319">
        <f t="shared" si="2"/>
        <v>0</v>
      </c>
      <c r="W8" s="319">
        <v>6</v>
      </c>
      <c r="X8" s="319">
        <f t="shared" si="3"/>
        <v>0</v>
      </c>
      <c r="Z8" s="309"/>
      <c r="AE8" s="319">
        <f t="shared" si="4"/>
        <v>0</v>
      </c>
      <c r="AS8" s="319">
        <f t="shared" si="5"/>
        <v>0</v>
      </c>
      <c r="AZ8" s="319">
        <f t="shared" si="6"/>
        <v>0</v>
      </c>
      <c r="CJ8" s="319" t="s">
        <v>2302</v>
      </c>
      <c r="CK8" s="481">
        <f>'Modelo Energético '!D34</f>
        <v>199</v>
      </c>
      <c r="CN8" s="319" t="s">
        <v>1527</v>
      </c>
      <c r="CO8" s="476">
        <f>SUM(X52:X56)*$CM$1</f>
        <v>0</v>
      </c>
      <c r="CP8" s="476">
        <f>SUM(AF52:AF56)*$CM$1</f>
        <v>0</v>
      </c>
      <c r="CQ8" s="787">
        <v>0</v>
      </c>
      <c r="CR8" s="787">
        <v>0</v>
      </c>
      <c r="DD8" s="556"/>
      <c r="DE8" s="556"/>
      <c r="DF8" s="556"/>
      <c r="DH8" s="556"/>
      <c r="DI8" s="556"/>
      <c r="DJ8" s="556"/>
      <c r="DL8" s="556"/>
      <c r="DN8" s="556"/>
      <c r="DP8" s="556"/>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s="319" customFormat="1" ht="13.2">
      <c r="R9" s="481"/>
      <c r="Z9" s="309"/>
      <c r="CJ9" s="319" t="s">
        <v>2178</v>
      </c>
      <c r="CK9" s="481">
        <f>'EET2'!E43</f>
        <v>31.299999999999997</v>
      </c>
      <c r="CN9" s="319" t="s">
        <v>963</v>
      </c>
      <c r="CO9" s="476">
        <f>SUM(BI58:BI62)*$CM$1</f>
        <v>0</v>
      </c>
      <c r="CP9" s="476">
        <f>SUM(BJ58:BJ62)*$CM$1</f>
        <v>0</v>
      </c>
      <c r="CQ9" s="787">
        <v>0</v>
      </c>
      <c r="CR9" s="787">
        <v>0</v>
      </c>
      <c r="DD9" s="556"/>
      <c r="DE9" s="556"/>
      <c r="DF9" s="556"/>
      <c r="DH9" s="556"/>
      <c r="DI9" s="556"/>
      <c r="DJ9" s="556"/>
      <c r="DL9" s="556"/>
      <c r="DN9" s="556"/>
      <c r="DP9" s="556"/>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s="319" customFormat="1" ht="13.2">
      <c r="C10" s="319">
        <f>Iniciar!N22</f>
        <v>4</v>
      </c>
      <c r="Z10" s="309"/>
      <c r="CN10" s="319" t="s">
        <v>964</v>
      </c>
      <c r="CO10" s="476">
        <f>SUM(BI64:BI68)*$CM$1</f>
        <v>0</v>
      </c>
      <c r="CP10" s="476">
        <f>SUM(BJ64:BJ68)*$CM$1</f>
        <v>0</v>
      </c>
      <c r="CQ10" s="787">
        <v>0</v>
      </c>
      <c r="CR10" s="787">
        <v>0</v>
      </c>
      <c r="DD10" s="556"/>
      <c r="DE10" s="556"/>
      <c r="DF10" s="556"/>
      <c r="DH10" s="556"/>
      <c r="DI10" s="556"/>
      <c r="DJ10" s="556"/>
      <c r="DL10" s="556"/>
      <c r="DN10" s="556"/>
      <c r="DP10" s="556"/>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s="319" customFormat="1" ht="13.2">
      <c r="E11" s="468"/>
      <c r="F11" s="469"/>
      <c r="G11" s="470"/>
      <c r="H11" s="557" t="s">
        <v>1095</v>
      </c>
      <c r="I11" s="558"/>
      <c r="J11" s="558"/>
      <c r="K11" s="559"/>
      <c r="L11" s="557" t="s">
        <v>2506</v>
      </c>
      <c r="M11" s="559"/>
      <c r="N11" s="557" t="s">
        <v>726</v>
      </c>
      <c r="O11" s="559"/>
      <c r="Z11" s="309"/>
      <c r="CN11" s="319" t="s">
        <v>4537</v>
      </c>
      <c r="CO11" s="476">
        <f>SUM(BI70:BI74)*$CM$1</f>
        <v>0</v>
      </c>
      <c r="CP11" s="476">
        <f>SUM(BJ70:BJ74)*$CM$1</f>
        <v>0</v>
      </c>
      <c r="CQ11" s="787">
        <v>0</v>
      </c>
      <c r="CR11" s="787">
        <v>0</v>
      </c>
      <c r="DD11" s="556"/>
      <c r="DE11" s="556"/>
      <c r="DF11" s="556"/>
      <c r="DH11" s="556"/>
      <c r="DI11" s="556"/>
      <c r="DJ11" s="556"/>
      <c r="DL11" s="556"/>
      <c r="DN11" s="556"/>
      <c r="DP11" s="556"/>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row>
    <row r="12" spans="1:256" s="319" customFormat="1" ht="13.2">
      <c r="E12" s="450"/>
      <c r="F12" s="463"/>
      <c r="G12" s="471"/>
      <c r="H12" s="450" t="s">
        <v>2506</v>
      </c>
      <c r="I12" s="463"/>
      <c r="J12" s="463" t="s">
        <v>726</v>
      </c>
      <c r="K12" s="471"/>
      <c r="L12" s="560"/>
      <c r="M12" s="561"/>
      <c r="N12" s="560"/>
      <c r="O12" s="561"/>
      <c r="Z12" s="309"/>
      <c r="CN12" s="319" t="s">
        <v>1980</v>
      </c>
      <c r="CO12" s="476">
        <f>SUM(BI76:BI80)*$CM$1</f>
        <v>0</v>
      </c>
      <c r="CP12" s="476">
        <f>SUM(BJ76:BJ80)*$CM$1</f>
        <v>0</v>
      </c>
      <c r="CQ12" s="787">
        <v>0</v>
      </c>
      <c r="CR12" s="787">
        <v>0</v>
      </c>
      <c r="DD12" s="556"/>
      <c r="DE12" s="556"/>
      <c r="DF12" s="556"/>
      <c r="DH12" s="556"/>
      <c r="DI12" s="556"/>
      <c r="DJ12" s="556"/>
      <c r="DL12" s="556"/>
      <c r="DN12" s="556"/>
      <c r="DP12" s="556"/>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row>
    <row r="13" spans="1:256" s="319" customFormat="1" ht="39.6">
      <c r="A13" s="481"/>
      <c r="B13" s="481"/>
      <c r="C13" s="481"/>
      <c r="E13" s="562" t="s">
        <v>4514</v>
      </c>
      <c r="F13" s="563" t="s">
        <v>561</v>
      </c>
      <c r="G13" s="564" t="s">
        <v>5763</v>
      </c>
      <c r="H13" s="562" t="s">
        <v>4139</v>
      </c>
      <c r="I13" s="565" t="s">
        <v>5966</v>
      </c>
      <c r="J13" s="565" t="s">
        <v>4139</v>
      </c>
      <c r="K13" s="566" t="s">
        <v>5966</v>
      </c>
      <c r="L13" s="562" t="s">
        <v>4139</v>
      </c>
      <c r="M13" s="566" t="s">
        <v>5966</v>
      </c>
      <c r="N13" s="562" t="s">
        <v>4139</v>
      </c>
      <c r="O13" s="566" t="s">
        <v>5966</v>
      </c>
      <c r="P13" s="565" t="s">
        <v>1716</v>
      </c>
      <c r="Q13" s="371" t="s">
        <v>1717</v>
      </c>
      <c r="S13" s="565" t="s">
        <v>4092</v>
      </c>
      <c r="T13" s="565" t="s">
        <v>1669</v>
      </c>
      <c r="U13" s="565" t="s">
        <v>5226</v>
      </c>
      <c r="V13" s="565" t="s">
        <v>4217</v>
      </c>
      <c r="W13" s="565" t="s">
        <v>1041</v>
      </c>
      <c r="X13" s="565" t="s">
        <v>2123</v>
      </c>
      <c r="Y13" s="565" t="s">
        <v>2603</v>
      </c>
      <c r="Z13" s="565" t="s">
        <v>5758</v>
      </c>
      <c r="AA13" s="565" t="s">
        <v>1963</v>
      </c>
      <c r="AB13" s="565" t="s">
        <v>3510</v>
      </c>
      <c r="AC13" s="565" t="s">
        <v>4024</v>
      </c>
      <c r="AD13" s="565" t="s">
        <v>3071</v>
      </c>
      <c r="AE13" s="565" t="s">
        <v>1446</v>
      </c>
      <c r="AF13" s="565" t="s">
        <v>4038</v>
      </c>
      <c r="AG13" s="565" t="s">
        <v>4039</v>
      </c>
      <c r="AH13" s="565" t="s">
        <v>256</v>
      </c>
      <c r="AI13" s="565" t="s">
        <v>3072</v>
      </c>
      <c r="AJ13" s="565" t="s">
        <v>3073</v>
      </c>
      <c r="AL13" s="565" t="s">
        <v>2891</v>
      </c>
      <c r="CB13" s="319" t="s">
        <v>3307</v>
      </c>
      <c r="CC13" s="603" t="s">
        <v>5818</v>
      </c>
      <c r="CD13" s="603" t="s">
        <v>5663</v>
      </c>
      <c r="CE13" s="603" t="s">
        <v>2508</v>
      </c>
      <c r="CF13" s="603" t="s">
        <v>5664</v>
      </c>
      <c r="CG13" s="603" t="s">
        <v>5665</v>
      </c>
      <c r="CH13" s="603" t="s">
        <v>4197</v>
      </c>
      <c r="CI13" s="603" t="s">
        <v>736</v>
      </c>
      <c r="CJ13" s="319" t="s">
        <v>1037</v>
      </c>
      <c r="CK13" s="319" t="s">
        <v>1036</v>
      </c>
      <c r="CN13" s="319" t="s">
        <v>3094</v>
      </c>
      <c r="CO13" s="476">
        <f>SUM(X82:X86)*$CM$1</f>
        <v>0</v>
      </c>
      <c r="CP13" s="476">
        <f>SUM(AF82:AF86)*$CM$1</f>
        <v>0</v>
      </c>
      <c r="CQ13" s="787">
        <v>0</v>
      </c>
      <c r="CR13" s="787">
        <v>0</v>
      </c>
      <c r="DD13" s="556"/>
      <c r="DE13" s="556"/>
      <c r="DF13" s="556"/>
      <c r="DH13" s="556"/>
      <c r="DI13" s="556"/>
      <c r="DJ13" s="556"/>
      <c r="DL13" s="556"/>
      <c r="DN13" s="556"/>
      <c r="DP13" s="556"/>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row>
    <row r="14" spans="1:256" s="319" customFormat="1" ht="13.2">
      <c r="A14" s="481"/>
      <c r="B14" s="481"/>
      <c r="C14" s="481"/>
      <c r="D14" s="319" t="s">
        <v>5914</v>
      </c>
      <c r="E14" s="567" t="s">
        <v>709</v>
      </c>
      <c r="F14" s="568" t="s">
        <v>709</v>
      </c>
      <c r="G14" s="569" t="s">
        <v>709</v>
      </c>
      <c r="H14" s="567" t="s">
        <v>2745</v>
      </c>
      <c r="I14" s="570" t="s">
        <v>2745</v>
      </c>
      <c r="J14" s="570" t="s">
        <v>2745</v>
      </c>
      <c r="K14" s="571" t="s">
        <v>2745</v>
      </c>
      <c r="L14" s="567" t="s">
        <v>2745</v>
      </c>
      <c r="M14" s="571" t="s">
        <v>2745</v>
      </c>
      <c r="N14" s="567" t="s">
        <v>2745</v>
      </c>
      <c r="O14" s="571" t="s">
        <v>2745</v>
      </c>
      <c r="P14" s="372" t="s">
        <v>709</v>
      </c>
      <c r="Q14" s="372" t="s">
        <v>709</v>
      </c>
      <c r="T14" s="372" t="s">
        <v>739</v>
      </c>
      <c r="W14" s="393" t="s">
        <v>739</v>
      </c>
      <c r="Y14" s="393" t="s">
        <v>2745</v>
      </c>
      <c r="Z14" s="309" t="s">
        <v>709</v>
      </c>
      <c r="AA14" s="393" t="s">
        <v>709</v>
      </c>
      <c r="AG14" s="393" t="s">
        <v>2745</v>
      </c>
      <c r="AL14" s="393" t="s">
        <v>2745</v>
      </c>
      <c r="BX14" s="319" t="s">
        <v>2328</v>
      </c>
      <c r="BY14" s="319">
        <f>SUM(Iniciar!O58:P70)+Iniciar!P49+Iniciar!P52+Iniciar!P53</f>
        <v>297.30871824971274</v>
      </c>
      <c r="BZ14" s="319">
        <v>-238.05106227121428</v>
      </c>
      <c r="CA14" s="319">
        <f>IF(BY14=BZ14,0,1)</f>
        <v>1</v>
      </c>
      <c r="CB14" s="393"/>
      <c r="CC14" s="393"/>
      <c r="CD14" s="393"/>
      <c r="CM14" s="603"/>
      <c r="CN14" s="319" t="s">
        <v>3089</v>
      </c>
      <c r="CO14" s="476">
        <f>SUM(X88:X92)*$CM$1</f>
        <v>0</v>
      </c>
      <c r="CP14" s="476">
        <f>SUM(AF88:AF92)*$CM$1</f>
        <v>0</v>
      </c>
      <c r="CQ14" s="787">
        <v>0</v>
      </c>
      <c r="CR14" s="787">
        <v>0</v>
      </c>
      <c r="CX14" s="1261" t="s">
        <v>4717</v>
      </c>
      <c r="CY14" s="1261"/>
      <c r="CZ14" s="1261" t="s">
        <v>4716</v>
      </c>
      <c r="DA14" s="1261"/>
      <c r="DD14" s="556"/>
      <c r="DE14" s="556"/>
      <c r="DF14" s="556"/>
      <c r="DH14" s="556"/>
      <c r="DI14" s="556"/>
      <c r="DJ14" s="556"/>
      <c r="DL14" s="556"/>
      <c r="DN14" s="556"/>
      <c r="DP14" s="556"/>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row>
    <row r="15" spans="1:256" s="319" customFormat="1" ht="13.2">
      <c r="A15" s="481"/>
      <c r="B15" s="481"/>
      <c r="C15" s="481"/>
      <c r="D15" s="481"/>
      <c r="E15" s="572"/>
      <c r="F15" s="573"/>
      <c r="G15" s="559"/>
      <c r="H15" s="468"/>
      <c r="I15" s="469"/>
      <c r="J15" s="469"/>
      <c r="K15" s="470"/>
      <c r="L15" s="574"/>
      <c r="M15" s="575"/>
      <c r="N15" s="574"/>
      <c r="O15" s="575"/>
      <c r="Z15" s="309"/>
      <c r="BU15" s="319">
        <f>SUM(BU16:BU122)*3</f>
        <v>0</v>
      </c>
      <c r="BX15" s="319" t="s">
        <v>4828</v>
      </c>
      <c r="BY15" s="319">
        <f>SUM(Iniciar!O58:O70)</f>
        <v>204.45150684931505</v>
      </c>
      <c r="BZ15" s="319">
        <v>-235.63287671232874</v>
      </c>
      <c r="CA15" s="319">
        <f t="shared" ref="CA15:CA21" si="7">IF(BY15=BZ15,0,1)</f>
        <v>1</v>
      </c>
      <c r="CB15" s="393"/>
      <c r="CC15" s="393"/>
      <c r="CD15" s="393"/>
      <c r="CM15" s="659"/>
      <c r="CN15" s="319" t="s">
        <v>3090</v>
      </c>
      <c r="CO15" s="476">
        <f>SUM(X90:X94)*$CM$1</f>
        <v>0</v>
      </c>
      <c r="CP15" s="476">
        <f>SUM(AF90:AF94)*$CM$1</f>
        <v>0</v>
      </c>
      <c r="CQ15" s="787">
        <v>0</v>
      </c>
      <c r="CR15" s="787">
        <v>0</v>
      </c>
      <c r="CX15" s="319" t="s">
        <v>4714</v>
      </c>
      <c r="CY15" s="319" t="s">
        <v>4715</v>
      </c>
      <c r="CZ15" s="319" t="s">
        <v>4714</v>
      </c>
      <c r="DA15" s="319" t="s">
        <v>4715</v>
      </c>
      <c r="DD15" s="556"/>
      <c r="DE15" s="556"/>
      <c r="DF15" s="556"/>
      <c r="DH15" s="556"/>
      <c r="DI15" s="556"/>
      <c r="DJ15" s="556"/>
      <c r="DL15" s="556"/>
      <c r="DN15" s="556"/>
      <c r="DP15" s="556"/>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row>
    <row r="16" spans="1:256" s="319" customFormat="1" ht="13.2">
      <c r="A16" s="319" t="s">
        <v>662</v>
      </c>
      <c r="D16" s="405"/>
      <c r="E16" s="576">
        <f>IF(AK16=TRUE,P16,0)</f>
        <v>0</v>
      </c>
      <c r="F16" s="577">
        <f>SUMIF($BV$28:$BV$122,Q3,$AL$28:$AL$122)</f>
        <v>0</v>
      </c>
      <c r="G16" s="578">
        <f>IF(AK16=TRUE,Q16,0)</f>
        <v>0</v>
      </c>
      <c r="H16" s="450"/>
      <c r="I16" s="463"/>
      <c r="J16" s="463"/>
      <c r="K16" s="471"/>
      <c r="L16" s="579"/>
      <c r="M16" s="580"/>
      <c r="N16" s="579"/>
      <c r="O16" s="580"/>
      <c r="P16" s="638">
        <v>0</v>
      </c>
      <c r="Q16" s="638">
        <v>0</v>
      </c>
      <c r="R16" s="393">
        <v>0</v>
      </c>
      <c r="S16" s="552">
        <v>0</v>
      </c>
      <c r="T16" s="640">
        <v>0</v>
      </c>
      <c r="U16" s="552">
        <v>0</v>
      </c>
      <c r="V16" s="581">
        <f>IF('Modelo Energético '!Q41=TRUE,U16,S16)</f>
        <v>0</v>
      </c>
      <c r="W16" s="640">
        <v>0</v>
      </c>
      <c r="X16" s="582">
        <f>IF(AK16=TRUE,W16,T16)</f>
        <v>0</v>
      </c>
      <c r="Y16" s="309">
        <f>SUMIF($U$28:$U$122,Q3,$X$28:$X$122)+SUMIF($BV$28:$BV$122,Q3,$AF$28:$AF$122)</f>
        <v>0</v>
      </c>
      <c r="Z16" s="309">
        <f>IF(OR(T16="",T16=0),0,VLOOKUP(S16,$H$3:$N$8,7,FALSE)/T16)</f>
        <v>0</v>
      </c>
      <c r="AA16" s="309">
        <f>IF(OR(X16=0,X16=""),0,VLOOKUP(V16,$H$3:$N$8,7,FALSE)/X16)</f>
        <v>0</v>
      </c>
      <c r="AK16" s="319" t="b">
        <f>'Modelo Energético '!$Q41</f>
        <v>1</v>
      </c>
      <c r="AL16" s="458">
        <f>SUMIF($BV$28:$BV$122,Q3,$AH$28:$AH$122)</f>
        <v>0</v>
      </c>
      <c r="BU16" s="405">
        <v>0</v>
      </c>
      <c r="BW16" s="319">
        <v>0</v>
      </c>
      <c r="BX16" s="319" t="s">
        <v>3698</v>
      </c>
      <c r="BY16" s="494">
        <f>IF(ISERROR(SUM('Modelo Energético '!Q16:Q17)),0,SUM('Modelo Energético '!Q16:Q17))</f>
        <v>0</v>
      </c>
      <c r="BZ16" s="319">
        <v>46</v>
      </c>
      <c r="CA16" s="319">
        <f t="shared" si="7"/>
        <v>1</v>
      </c>
      <c r="CB16" s="657">
        <f>'Modelo Energético '!E$29</f>
        <v>8760</v>
      </c>
      <c r="CC16" s="657">
        <f>'EET2'!F31</f>
        <v>0</v>
      </c>
      <c r="CD16" s="657">
        <f>CC16-'EET2'!I31</f>
        <v>0</v>
      </c>
      <c r="CE16" s="658">
        <f t="shared" ref="CE16:CE21" si="8">(CC16*CB16+CD16*(8760-CB16))/8760</f>
        <v>0</v>
      </c>
      <c r="CF16" s="494">
        <f>'EET2'!G31</f>
        <v>0</v>
      </c>
      <c r="CG16" s="494">
        <f>CF16+'EET2'!I31</f>
        <v>0</v>
      </c>
      <c r="CH16" s="658">
        <f t="shared" ref="CH16:CH21" si="9">(CF16*CB16+CG16*(8760-CB16))/8760</f>
        <v>0</v>
      </c>
      <c r="CI16" s="658">
        <f t="shared" ref="CI16:CI21" si="10">$CL$7*CE16+(1-$CL$7)*CH16</f>
        <v>0</v>
      </c>
      <c r="CJ16" s="494">
        <f>'EET2'!J161</f>
        <v>0</v>
      </c>
      <c r="CK16" s="494">
        <f>'EET2'!L161</f>
        <v>3495.6752727272724</v>
      </c>
      <c r="CM16" s="659"/>
      <c r="CN16" s="319" t="s">
        <v>3091</v>
      </c>
      <c r="CO16" s="476">
        <f>(SUM(X100:X104)+SUM(AS100:AS104))*$CM$1</f>
        <v>0</v>
      </c>
      <c r="CP16" s="476">
        <f>(SUM(AF100:AF104)+SUM(BA100:BA104))*$CM$1</f>
        <v>0</v>
      </c>
      <c r="CQ16" s="787">
        <v>0</v>
      </c>
      <c r="CR16" s="787">
        <v>0</v>
      </c>
      <c r="CV16" s="319">
        <f t="shared" ref="CV16:CW21" si="11">BW16</f>
        <v>0</v>
      </c>
      <c r="CW16" s="319" t="str">
        <f t="shared" si="11"/>
        <v>Sched 1</v>
      </c>
      <c r="CX16" s="494">
        <f>'EET2'!J169*EET!CB16/8760</f>
        <v>0</v>
      </c>
      <c r="CY16" s="494">
        <f>'EET2'!L169*(8760-EET!CB16)/8760</f>
        <v>0</v>
      </c>
      <c r="CZ16" s="494">
        <f>'EET2'!J177*CB16/8760</f>
        <v>3495.6752727272724</v>
      </c>
      <c r="DA16" s="494">
        <f>'EET2'!L177*(8760-CB16)/8760</f>
        <v>0</v>
      </c>
      <c r="DD16" s="556"/>
      <c r="DE16" s="556"/>
      <c r="DF16" s="556"/>
      <c r="DH16" s="556"/>
      <c r="DI16" s="556"/>
      <c r="DJ16" s="556"/>
      <c r="DL16" s="556"/>
      <c r="DN16" s="556"/>
      <c r="DP16" s="55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row>
    <row r="17" spans="1:256" s="319" customFormat="1" ht="13.2">
      <c r="A17" s="319" t="s">
        <v>4014</v>
      </c>
      <c r="D17" s="405"/>
      <c r="E17" s="576">
        <f>IF(AK17=TRUE,P17,0)</f>
        <v>0</v>
      </c>
      <c r="F17" s="577">
        <f>SUMIF($BV$28:$BV$122,Q4,$AL$28:$AL$122)</f>
        <v>0</v>
      </c>
      <c r="G17" s="578">
        <f>IF(AK17=TRUE,Q17,0)</f>
        <v>0</v>
      </c>
      <c r="H17" s="450"/>
      <c r="I17" s="463"/>
      <c r="J17" s="463"/>
      <c r="K17" s="471"/>
      <c r="L17" s="583"/>
      <c r="M17" s="584"/>
      <c r="N17" s="583"/>
      <c r="O17" s="584"/>
      <c r="P17" s="639"/>
      <c r="Q17" s="639"/>
      <c r="R17" s="393">
        <v>1</v>
      </c>
      <c r="S17" s="552">
        <v>0</v>
      </c>
      <c r="T17" s="640">
        <v>0</v>
      </c>
      <c r="U17" s="552">
        <v>0</v>
      </c>
      <c r="V17" s="581">
        <f>IF('Modelo Energético '!Q42=TRUE,U17,S17)</f>
        <v>0</v>
      </c>
      <c r="W17" s="640">
        <v>0</v>
      </c>
      <c r="X17" s="582">
        <f>IF(AK17=TRUE,W17,T17)</f>
        <v>0</v>
      </c>
      <c r="Y17" s="309">
        <f>SUMIF($U$28:$U$122,Q4,$X$28:$X$122)+SUMIF($BV$28:$BV$122,Q4,$AF$28:$AF$122)</f>
        <v>0</v>
      </c>
      <c r="Z17" s="309">
        <f>IF(OR(T17="",T17=0),0,VLOOKUP(S17,$H$3:$N$8,7,FALSE)/T17)</f>
        <v>0</v>
      </c>
      <c r="AA17" s="309">
        <f>IF(OR(X17=0,X17=""),0,VLOOKUP(V17,$H$3:$N$8,7,FALSE)/X17)</f>
        <v>0</v>
      </c>
      <c r="AK17" s="319" t="b">
        <f>'Modelo Energético '!$Q42</f>
        <v>1</v>
      </c>
      <c r="AL17" s="458">
        <f>SUMIF($BV$28:$BV$122,Q4,$AH$28:$AH$122)</f>
        <v>0</v>
      </c>
      <c r="BU17" s="405">
        <v>0</v>
      </c>
      <c r="BW17" s="319">
        <v>1</v>
      </c>
      <c r="BX17" s="319" t="s">
        <v>3699</v>
      </c>
      <c r="BY17" s="494">
        <f>IF(ISERROR(SUM('Modelo Energético '!R16:R18)+'Modelo Energético '!F29+'Modelo Energético '!$Q$32),0,SUM('Modelo Energético '!R16:R18)+'Modelo Energético '!F29+'Modelo Energético '!$Q$32)</f>
        <v>16</v>
      </c>
      <c r="BZ17" s="319">
        <v>2142.7142857142858</v>
      </c>
      <c r="CA17" s="319">
        <f t="shared" si="7"/>
        <v>1</v>
      </c>
      <c r="CB17" s="657">
        <f>'Modelo Energético '!F$29</f>
        <v>0</v>
      </c>
      <c r="CC17" s="657">
        <f>'EET2'!F32</f>
        <v>0</v>
      </c>
      <c r="CD17" s="657">
        <f>CC17-'EET2'!I32</f>
        <v>0</v>
      </c>
      <c r="CE17" s="658">
        <f t="shared" si="8"/>
        <v>0</v>
      </c>
      <c r="CF17" s="494">
        <f>'EET2'!G32</f>
        <v>0</v>
      </c>
      <c r="CG17" s="494">
        <f>CF17+'EET2'!I32</f>
        <v>0</v>
      </c>
      <c r="CH17" s="658">
        <f t="shared" si="9"/>
        <v>0</v>
      </c>
      <c r="CI17" s="658">
        <f t="shared" si="10"/>
        <v>0</v>
      </c>
      <c r="CJ17" s="494">
        <f>'EET2'!J162</f>
        <v>0</v>
      </c>
      <c r="CK17" s="494">
        <f>'EET2'!L162</f>
        <v>3495.6752727272724</v>
      </c>
      <c r="CM17" s="659"/>
      <c r="CN17" s="319" t="s">
        <v>3092</v>
      </c>
      <c r="CO17" s="476">
        <f>SUM(BI106:BI110)*$CM$1</f>
        <v>0</v>
      </c>
      <c r="CP17" s="476">
        <f>SUM(BJ106:BJ110)*$CM$1</f>
        <v>0</v>
      </c>
      <c r="CQ17" s="787">
        <v>0</v>
      </c>
      <c r="CR17" s="787">
        <v>0</v>
      </c>
      <c r="CV17" s="319">
        <f t="shared" si="11"/>
        <v>1</v>
      </c>
      <c r="CW17" s="319" t="str">
        <f t="shared" si="11"/>
        <v>Sched 2</v>
      </c>
      <c r="CX17" s="494">
        <f>'EET2'!J170*EET!CB17/8760</f>
        <v>0</v>
      </c>
      <c r="CY17" s="494">
        <f>'EET2'!L170*(8760-EET!CB17)/8760</f>
        <v>0</v>
      </c>
      <c r="CZ17" s="494">
        <f>'EET2'!J178*CB17/8760</f>
        <v>0</v>
      </c>
      <c r="DA17" s="494">
        <f>'EET2'!L178*(8760-CB17)/8760</f>
        <v>3495.6752727272724</v>
      </c>
      <c r="DD17" s="556"/>
      <c r="DE17" s="556"/>
      <c r="DF17" s="556"/>
      <c r="DH17" s="556"/>
      <c r="DI17" s="556"/>
      <c r="DJ17" s="556"/>
      <c r="DL17" s="556"/>
      <c r="DN17" s="556"/>
      <c r="DP17" s="556"/>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row>
    <row r="18" spans="1:256" s="319" customFormat="1" ht="13.2">
      <c r="A18" s="319" t="s">
        <v>4127</v>
      </c>
      <c r="D18" s="405"/>
      <c r="E18" s="576">
        <f>IF(AK18=TRUE,P18,0)</f>
        <v>0</v>
      </c>
      <c r="F18" s="577">
        <f>SUMIF($BV$28:$BV$122,Q5,$AL$28:$AL$122)</f>
        <v>0</v>
      </c>
      <c r="G18" s="578">
        <f>IF(AK18=TRUE,Q18,0)</f>
        <v>0</v>
      </c>
      <c r="H18" s="450"/>
      <c r="I18" s="463"/>
      <c r="J18" s="463"/>
      <c r="K18" s="471"/>
      <c r="L18" s="583"/>
      <c r="M18" s="584"/>
      <c r="N18" s="583"/>
      <c r="O18" s="584"/>
      <c r="P18" s="639"/>
      <c r="Q18" s="639"/>
      <c r="R18" s="393">
        <v>2</v>
      </c>
      <c r="S18" s="552">
        <v>0</v>
      </c>
      <c r="T18" s="640">
        <v>0</v>
      </c>
      <c r="U18" s="552">
        <v>0</v>
      </c>
      <c r="V18" s="581">
        <f>IF('Modelo Energético '!Q43=TRUE,U18,S18)</f>
        <v>0</v>
      </c>
      <c r="W18" s="640">
        <v>0</v>
      </c>
      <c r="X18" s="582">
        <f>IF(AK18=TRUE,W18,T18)</f>
        <v>0</v>
      </c>
      <c r="Y18" s="309">
        <f>SUMIF($U$28:$U$122,Q5,$X$28:$X$122)+SUMIF($BV$28:$BV$122,Q5,$AF$28:$AF$122)</f>
        <v>0</v>
      </c>
      <c r="Z18" s="309">
        <f>IF(OR(T18="",T18=0),0,VLOOKUP(S18,$H$3:$N$8,7,FALSE)/T18)</f>
        <v>0</v>
      </c>
      <c r="AA18" s="309">
        <f>IF(OR(X18=0,X18=""),0,VLOOKUP(V18,$H$3:$N$8,7,FALSE)/X18)</f>
        <v>0</v>
      </c>
      <c r="AK18" s="319" t="b">
        <f>'Modelo Energético '!$Q43</f>
        <v>1</v>
      </c>
      <c r="AL18" s="458">
        <f>SUMIF($BV$28:$BV$122,Q5,$AH$28:$AH$122)</f>
        <v>0</v>
      </c>
      <c r="BU18" s="405">
        <v>0</v>
      </c>
      <c r="BW18" s="319">
        <v>2</v>
      </c>
      <c r="BX18" s="319" t="s">
        <v>3700</v>
      </c>
      <c r="BY18" s="494">
        <f>IF(ISERROR(SUM('Modelo Energético '!S16:S18)+'Modelo Energético '!G29+'Modelo Energético '!$Q$32),0,SUM('Modelo Energético '!S16:S18)+'Modelo Energético '!G29+'Modelo Energético '!$Q$32)</f>
        <v>16</v>
      </c>
      <c r="BZ18" s="319">
        <v>2144.7142857142858</v>
      </c>
      <c r="CA18" s="319">
        <f>IF(BY18=BZ18,0,1)</f>
        <v>1</v>
      </c>
      <c r="CB18" s="657">
        <f>'Modelo Energético '!G$29</f>
        <v>0</v>
      </c>
      <c r="CC18" s="657">
        <f>'EET2'!F33</f>
        <v>0</v>
      </c>
      <c r="CD18" s="657">
        <f>CC18-'EET2'!I33</f>
        <v>0</v>
      </c>
      <c r="CE18" s="658">
        <f t="shared" si="8"/>
        <v>0</v>
      </c>
      <c r="CF18" s="494">
        <f>'EET2'!G33</f>
        <v>0</v>
      </c>
      <c r="CG18" s="494">
        <f>CF18+'EET2'!I33</f>
        <v>0</v>
      </c>
      <c r="CH18" s="658">
        <f t="shared" si="9"/>
        <v>0</v>
      </c>
      <c r="CI18" s="658">
        <f t="shared" si="10"/>
        <v>0</v>
      </c>
      <c r="CJ18" s="494">
        <f>'EET2'!J163</f>
        <v>0</v>
      </c>
      <c r="CK18" s="494">
        <f>'EET2'!L163</f>
        <v>3495.6752727272724</v>
      </c>
      <c r="CM18" s="659"/>
      <c r="CN18" s="319" t="s">
        <v>3093</v>
      </c>
      <c r="CO18" s="476">
        <f>SUM(AS112:AS116)*$CM$1</f>
        <v>0</v>
      </c>
      <c r="CP18" s="476">
        <f>SUM(BA112:BA116)*$CM$1</f>
        <v>0</v>
      </c>
      <c r="CQ18" s="787">
        <v>0</v>
      </c>
      <c r="CR18" s="787">
        <v>0</v>
      </c>
      <c r="CV18" s="319">
        <f t="shared" si="11"/>
        <v>2</v>
      </c>
      <c r="CW18" s="319" t="str">
        <f t="shared" si="11"/>
        <v>Sched 3</v>
      </c>
      <c r="CX18" s="494">
        <f>'EET2'!J171*EET!CB18/8760</f>
        <v>0</v>
      </c>
      <c r="CY18" s="494">
        <f>'EET2'!L171*(8760-EET!CB18)/8760</f>
        <v>0</v>
      </c>
      <c r="CZ18" s="494">
        <f>'EET2'!J179*CB18/8760</f>
        <v>0</v>
      </c>
      <c r="DA18" s="494">
        <f>'EET2'!L179*(8760-CB18)/8760</f>
        <v>3495.6752727272724</v>
      </c>
      <c r="DD18" s="556"/>
      <c r="DE18" s="556"/>
      <c r="DF18" s="556"/>
      <c r="DH18" s="556"/>
      <c r="DI18" s="556"/>
      <c r="DJ18" s="556"/>
      <c r="DL18" s="556"/>
      <c r="DN18" s="556"/>
      <c r="DP18" s="556"/>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row>
    <row r="19" spans="1:256" s="319" customFormat="1" ht="13.2">
      <c r="A19" s="319" t="s">
        <v>5459</v>
      </c>
      <c r="D19" s="405"/>
      <c r="E19" s="576">
        <f>IF(AK19=TRUE,P19,0)</f>
        <v>0</v>
      </c>
      <c r="F19" s="577">
        <f>SUMIF($BV$28:$BV$122,Q6,$AL$28:$AL$122)</f>
        <v>0</v>
      </c>
      <c r="G19" s="578">
        <f>IF(AK19=TRUE,Q19,0)</f>
        <v>0</v>
      </c>
      <c r="H19" s="450"/>
      <c r="I19" s="463"/>
      <c r="J19" s="463"/>
      <c r="K19" s="471"/>
      <c r="L19" s="583"/>
      <c r="M19" s="584"/>
      <c r="N19" s="583"/>
      <c r="O19" s="584"/>
      <c r="P19" s="639"/>
      <c r="Q19" s="639"/>
      <c r="R19" s="393">
        <v>3</v>
      </c>
      <c r="S19" s="552">
        <v>0</v>
      </c>
      <c r="T19" s="640">
        <v>0</v>
      </c>
      <c r="U19" s="552">
        <v>0</v>
      </c>
      <c r="V19" s="581">
        <f>IF('Modelo Energético '!Q44=TRUE,U19,S19)</f>
        <v>0</v>
      </c>
      <c r="W19" s="640">
        <v>0</v>
      </c>
      <c r="X19" s="582">
        <f>IF(AK19=TRUE,W19,T19)</f>
        <v>0</v>
      </c>
      <c r="Y19" s="309">
        <f>SUMIF($U$28:$U$122,Q6,$X$28:$X$122)+SUMIF($BV$28:$BV$122,Q6,$AF$28:$AF$122)</f>
        <v>0</v>
      </c>
      <c r="Z19" s="309">
        <f>IF(OR(T19="",T19=0),0,VLOOKUP(S19,$H$3:$N$8,7,FALSE)/T19)</f>
        <v>0</v>
      </c>
      <c r="AA19" s="309">
        <f>IF(OR(X19=0,X19=""),0,VLOOKUP(V19,$H$3:$N$8,7,FALSE)/X19)</f>
        <v>0</v>
      </c>
      <c r="AK19" s="319" t="b">
        <f>'Modelo Energético '!$Q44</f>
        <v>1</v>
      </c>
      <c r="AL19" s="458">
        <f>SUMIF($BV$28:$BV$122,Q6,$AH$28:$AH$122)</f>
        <v>0</v>
      </c>
      <c r="BU19" s="405">
        <v>0</v>
      </c>
      <c r="BW19" s="319">
        <v>3</v>
      </c>
      <c r="BX19" s="319" t="s">
        <v>657</v>
      </c>
      <c r="BY19" s="494">
        <f>IF(ISERROR(SUM('Modelo Energético '!T16:T18)+'Modelo Energético '!H29+'Modelo Energético '!$Q$32),0,SUM('Modelo Energético '!T16:T18)+'Modelo Energético '!H29+'Modelo Energético '!$Q$32)</f>
        <v>16</v>
      </c>
      <c r="BZ19" s="319">
        <v>15</v>
      </c>
      <c r="CA19" s="319">
        <f t="shared" si="7"/>
        <v>1</v>
      </c>
      <c r="CB19" s="657">
        <f>'Modelo Energético '!H$29</f>
        <v>0</v>
      </c>
      <c r="CC19" s="657">
        <f>'EET2'!F34</f>
        <v>0</v>
      </c>
      <c r="CD19" s="657">
        <f>CC19-'EET2'!I34</f>
        <v>0</v>
      </c>
      <c r="CE19" s="658">
        <f t="shared" si="8"/>
        <v>0</v>
      </c>
      <c r="CF19" s="494">
        <f>'EET2'!G34</f>
        <v>0</v>
      </c>
      <c r="CG19" s="494">
        <f>CF19+'EET2'!I34</f>
        <v>0</v>
      </c>
      <c r="CH19" s="658">
        <f t="shared" si="9"/>
        <v>0</v>
      </c>
      <c r="CI19" s="658">
        <f t="shared" si="10"/>
        <v>0</v>
      </c>
      <c r="CJ19" s="494">
        <f>'EET2'!J164</f>
        <v>0</v>
      </c>
      <c r="CK19" s="494">
        <f>'EET2'!L164</f>
        <v>3495.6752727272724</v>
      </c>
      <c r="CM19" s="659"/>
      <c r="CN19" s="319" t="s">
        <v>2982</v>
      </c>
      <c r="CO19" s="476">
        <f>(SUM(BI118:BI122)+SUM(X118:X122)+SUM(AS118:AS122))*$CM$1</f>
        <v>0</v>
      </c>
      <c r="CP19" s="476">
        <f>(SUM(BJ118:BJ122)+SUM(AF118:AF122)+SUM(BA118:BA122))*$CM$1</f>
        <v>0</v>
      </c>
      <c r="CQ19" s="787">
        <v>0</v>
      </c>
      <c r="CR19" s="787">
        <v>0</v>
      </c>
      <c r="CV19" s="319">
        <f t="shared" si="11"/>
        <v>3</v>
      </c>
      <c r="CW19" s="319" t="str">
        <f t="shared" si="11"/>
        <v>Sched 4</v>
      </c>
      <c r="CX19" s="494">
        <f>'EET2'!J172*EET!CB19/8760</f>
        <v>0</v>
      </c>
      <c r="CY19" s="494">
        <f>'EET2'!L172*(8760-EET!CB19)/8760</f>
        <v>0</v>
      </c>
      <c r="CZ19" s="494">
        <f>'EET2'!J180*CB19/8760</f>
        <v>0</v>
      </c>
      <c r="DA19" s="494">
        <f>'EET2'!L180*(8760-CB19)/8760</f>
        <v>3495.6752727272724</v>
      </c>
      <c r="DD19" s="556"/>
      <c r="DE19" s="556"/>
      <c r="DF19" s="556"/>
      <c r="DH19" s="556"/>
      <c r="DI19" s="556"/>
      <c r="DJ19" s="556"/>
      <c r="DL19" s="556"/>
      <c r="DN19" s="556"/>
      <c r="DP19" s="556"/>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row>
    <row r="20" spans="1:256" s="319" customFormat="1" ht="13.2">
      <c r="A20" s="319" t="s">
        <v>1768</v>
      </c>
      <c r="D20" s="405"/>
      <c r="E20" s="576">
        <f>IF(AK20=TRUE,P20,0)</f>
        <v>0</v>
      </c>
      <c r="F20" s="577">
        <f>SUMIF($BV$28:$BV$122,Q7,$AL$28:$AL$122)</f>
        <v>0</v>
      </c>
      <c r="G20" s="578">
        <f>IF(AK20=TRUE,Q20,0)</f>
        <v>0</v>
      </c>
      <c r="H20" s="450"/>
      <c r="I20" s="463"/>
      <c r="J20" s="463"/>
      <c r="K20" s="471"/>
      <c r="L20" s="583"/>
      <c r="M20" s="584"/>
      <c r="N20" s="583"/>
      <c r="O20" s="584"/>
      <c r="P20" s="639"/>
      <c r="Q20" s="639"/>
      <c r="R20" s="393">
        <v>4</v>
      </c>
      <c r="S20" s="552">
        <v>0</v>
      </c>
      <c r="T20" s="640">
        <v>0</v>
      </c>
      <c r="U20" s="552">
        <v>0</v>
      </c>
      <c r="V20" s="581">
        <f>IF('Modelo Energético '!Q45=TRUE,U20,S20)</f>
        <v>0</v>
      </c>
      <c r="W20" s="640">
        <v>0</v>
      </c>
      <c r="X20" s="582">
        <f>IF(AK20=TRUE,W20,T20)</f>
        <v>0</v>
      </c>
      <c r="Y20" s="309">
        <f>SUMIF($U$28:$U$122,Q7,$X$28:$X$122)+SUMIF($BV$28:$BV$122,Q7,$AF$28:$AF$122)</f>
        <v>0</v>
      </c>
      <c r="Z20" s="309">
        <f>IF(OR(T20="",T20=0),0,VLOOKUP(S20,$H$3:$N$8,7,FALSE)/T20)</f>
        <v>0</v>
      </c>
      <c r="AA20" s="309">
        <f>IF(OR(X20=0,X20=""),0,VLOOKUP(V20,$H$3:$N$8,7,FALSE)/X20)</f>
        <v>0</v>
      </c>
      <c r="AK20" s="319" t="b">
        <f>'Modelo Energético '!$Q45</f>
        <v>1</v>
      </c>
      <c r="AL20" s="458">
        <f>SUMIF($BV$28:$BV$122,Q7,$AH$28:$AH$122)</f>
        <v>0</v>
      </c>
      <c r="BU20" s="405">
        <v>0</v>
      </c>
      <c r="BW20" s="319">
        <v>4</v>
      </c>
      <c r="BX20" s="319" t="s">
        <v>658</v>
      </c>
      <c r="BY20" s="494">
        <f>IF(ISERROR(SUM('Modelo Energético '!U16:U18)+'Modelo Energético '!I29+'Modelo Energético '!$Q$32),0,SUM('Modelo Energético '!U16:U18)+'Modelo Energético '!I29+'Modelo Energético '!$Q$32)</f>
        <v>16</v>
      </c>
      <c r="BZ20" s="319">
        <v>15</v>
      </c>
      <c r="CA20" s="319">
        <f t="shared" si="7"/>
        <v>1</v>
      </c>
      <c r="CB20" s="657">
        <f>'Modelo Energético '!I$29</f>
        <v>0</v>
      </c>
      <c r="CC20" s="657">
        <f>'EET2'!F35</f>
        <v>0</v>
      </c>
      <c r="CD20" s="657">
        <f>CC20-'EET2'!I35</f>
        <v>0</v>
      </c>
      <c r="CE20" s="658">
        <f t="shared" si="8"/>
        <v>0</v>
      </c>
      <c r="CF20" s="494">
        <f>'EET2'!G35</f>
        <v>0</v>
      </c>
      <c r="CG20" s="494">
        <f>CF20+'EET2'!I35</f>
        <v>0</v>
      </c>
      <c r="CH20" s="658">
        <f t="shared" si="9"/>
        <v>0</v>
      </c>
      <c r="CI20" s="658">
        <f t="shared" si="10"/>
        <v>0</v>
      </c>
      <c r="CJ20" s="494">
        <f>'EET2'!J165</f>
        <v>0</v>
      </c>
      <c r="CK20" s="494">
        <f>'EET2'!L165</f>
        <v>3495.6752727272724</v>
      </c>
      <c r="CV20" s="319">
        <f t="shared" si="11"/>
        <v>4</v>
      </c>
      <c r="CW20" s="319" t="str">
        <f t="shared" si="11"/>
        <v>Sched 5</v>
      </c>
      <c r="CX20" s="494">
        <f>'EET2'!J173*EET!CB20/8760</f>
        <v>0</v>
      </c>
      <c r="CY20" s="494">
        <f>'EET2'!L173*(8760-EET!CB20)/8760</f>
        <v>0</v>
      </c>
      <c r="CZ20" s="494">
        <f>'EET2'!J181*CB20/8760</f>
        <v>0</v>
      </c>
      <c r="DA20" s="494">
        <f>'EET2'!L181*(8760-CB20)/8760</f>
        <v>3495.6752727272724</v>
      </c>
      <c r="DD20" s="556"/>
      <c r="DE20" s="556"/>
      <c r="DF20" s="556"/>
      <c r="DH20" s="556"/>
      <c r="DI20" s="556"/>
      <c r="DJ20" s="556"/>
      <c r="DL20" s="556"/>
      <c r="DN20" s="556"/>
      <c r="DP20" s="556"/>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row>
    <row r="21" spans="1:256" s="319" customFormat="1" ht="13.2">
      <c r="E21" s="450"/>
      <c r="F21" s="577"/>
      <c r="G21" s="578"/>
      <c r="H21" s="450"/>
      <c r="I21" s="463"/>
      <c r="J21" s="463"/>
      <c r="K21" s="471"/>
      <c r="L21" s="585"/>
      <c r="M21" s="586"/>
      <c r="N21" s="585"/>
      <c r="O21" s="586"/>
      <c r="R21" s="481"/>
      <c r="S21" s="587"/>
      <c r="U21" s="581"/>
      <c r="V21" s="581"/>
      <c r="Z21" s="309"/>
      <c r="AA21" s="309"/>
      <c r="BI21" s="318" t="s">
        <v>1766</v>
      </c>
      <c r="BJ21" s="319">
        <f>'Modelo Energético '!D33</f>
        <v>166</v>
      </c>
      <c r="BW21" s="319">
        <v>5</v>
      </c>
      <c r="BX21" s="319" t="s">
        <v>659</v>
      </c>
      <c r="BY21" s="494">
        <f>IF(ISERROR(SUM('Modelo Energético '!V16:V18)+'Modelo Energético '!J29+'Modelo Energético '!$Q$32),0,SUM('Modelo Energético '!V16:V18)+'Modelo Energético '!J29+'Modelo Energético '!$Q$32)</f>
        <v>16</v>
      </c>
      <c r="BZ21" s="319">
        <v>15</v>
      </c>
      <c r="CA21" s="319">
        <f t="shared" si="7"/>
        <v>1</v>
      </c>
      <c r="CB21" s="657">
        <f>'Modelo Energético '!J$29</f>
        <v>0</v>
      </c>
      <c r="CC21" s="657">
        <f>'EET2'!F36</f>
        <v>0</v>
      </c>
      <c r="CD21" s="657">
        <f>CC21-'EET2'!I36</f>
        <v>0</v>
      </c>
      <c r="CE21" s="658">
        <f t="shared" si="8"/>
        <v>0</v>
      </c>
      <c r="CF21" s="494">
        <f>'EET2'!G36</f>
        <v>0</v>
      </c>
      <c r="CG21" s="494">
        <f>CF21+'EET2'!I36</f>
        <v>0</v>
      </c>
      <c r="CH21" s="658">
        <f t="shared" si="9"/>
        <v>0</v>
      </c>
      <c r="CI21" s="658">
        <f t="shared" si="10"/>
        <v>0</v>
      </c>
      <c r="CJ21" s="494">
        <f>'EET2'!J166</f>
        <v>0</v>
      </c>
      <c r="CK21" s="494">
        <f>'EET2'!L166</f>
        <v>3495.6752727272724</v>
      </c>
      <c r="CV21" s="319">
        <f t="shared" si="11"/>
        <v>5</v>
      </c>
      <c r="CW21" s="319" t="str">
        <f t="shared" si="11"/>
        <v>Sched 6</v>
      </c>
      <c r="CX21" s="494">
        <f>'EET2'!J174*EET!CB21/8760</f>
        <v>0</v>
      </c>
      <c r="CY21" s="494">
        <f>'EET2'!L174*(8760-EET!CB21)/8760</f>
        <v>0</v>
      </c>
      <c r="CZ21" s="494">
        <f>'EET2'!J182*CB21/8760</f>
        <v>0</v>
      </c>
      <c r="DA21" s="494">
        <f>'EET2'!L182*(8760-CB21)/8760</f>
        <v>3495.6752727272724</v>
      </c>
      <c r="DD21" s="556"/>
      <c r="DE21" s="556"/>
      <c r="DF21" s="556"/>
      <c r="DH21" s="556"/>
      <c r="DI21" s="556"/>
      <c r="DJ21" s="556"/>
      <c r="DL21" s="556"/>
      <c r="DN21" s="556"/>
      <c r="DP21" s="556"/>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row>
    <row r="22" spans="1:256" s="319" customFormat="1" ht="13.2">
      <c r="A22" s="319" t="s">
        <v>1455</v>
      </c>
      <c r="D22" s="405"/>
      <c r="E22" s="576">
        <f>IF(AK22=TRUE,P22,0)</f>
        <v>0</v>
      </c>
      <c r="F22" s="577">
        <f>SUMIF($BW$28:$BW$122,Q3,$BG$28:$BG$122)</f>
        <v>0</v>
      </c>
      <c r="G22" s="578">
        <f>IF(AK22=TRUE,Q22,0)</f>
        <v>0</v>
      </c>
      <c r="H22" s="450"/>
      <c r="I22" s="463"/>
      <c r="J22" s="463"/>
      <c r="K22" s="471"/>
      <c r="L22" s="585"/>
      <c r="M22" s="586"/>
      <c r="N22" s="585"/>
      <c r="O22" s="586"/>
      <c r="P22" s="639">
        <v>0</v>
      </c>
      <c r="Q22" s="639">
        <v>0</v>
      </c>
      <c r="R22" s="371">
        <v>0</v>
      </c>
      <c r="S22" s="552">
        <v>0</v>
      </c>
      <c r="T22" s="640">
        <v>0</v>
      </c>
      <c r="U22" s="552">
        <v>0</v>
      </c>
      <c r="V22" s="581">
        <f>IF('Modelo Energético '!Q47=TRUE,U22,S22)</f>
        <v>0</v>
      </c>
      <c r="W22" s="640">
        <v>0</v>
      </c>
      <c r="X22" s="582">
        <f>IF(AK22=TRUE,W22,T22)</f>
        <v>0</v>
      </c>
      <c r="Y22" s="309">
        <f>SUMIF($AP$28:$AP$122,Q3,$AS$28:$AS$122)+SUMIF($BW$28:$BW$122,Q3,$BA$28:$BA$122)</f>
        <v>0</v>
      </c>
      <c r="Z22" s="309">
        <f>IF(OR(T22="",T22=0),0,VLOOKUP(S22,$H$3:$N$8,7,FALSE)/T22)</f>
        <v>0</v>
      </c>
      <c r="AA22" s="309">
        <f>IF(OR(X22=0,X22=""),0,VLOOKUP(V22,$H$3:$N$8,7,FALSE)/X22)</f>
        <v>0</v>
      </c>
      <c r="AB22" s="463"/>
      <c r="AC22" s="405"/>
      <c r="AD22" s="405"/>
      <c r="AE22" s="319">
        <f>IF(AK22=TRUE,AD22,AC22)</f>
        <v>0</v>
      </c>
      <c r="AF22" s="405"/>
      <c r="AG22" s="405"/>
      <c r="AH22" s="319">
        <f>IF(AK22=TRUE,AG22,AF22)</f>
        <v>0</v>
      </c>
      <c r="AI22" s="405"/>
      <c r="AJ22" s="405"/>
      <c r="AK22" s="319" t="b">
        <f>'Modelo Energético '!$Q47</f>
        <v>1</v>
      </c>
      <c r="AL22" s="393">
        <f>SUMIF($BW$28:$BW$122,Q3,$BC$28:$BC$122)</f>
        <v>0</v>
      </c>
      <c r="BI22" s="319" t="s">
        <v>3814</v>
      </c>
      <c r="BJ22" s="481">
        <f>IF(BJ21=365,12,IF(ROUND(BJ21/36.5,0)&lt;1,0,IF(ROUND(BJ21/36.5,0)&gt;10,10,ROUND(BJ21/36.5,0))))</f>
        <v>5</v>
      </c>
      <c r="BK22" s="319" t="s">
        <v>4372</v>
      </c>
      <c r="BL22" s="318" t="s">
        <v>429</v>
      </c>
      <c r="BU22" s="405">
        <v>0</v>
      </c>
      <c r="DD22" s="556"/>
      <c r="DE22" s="556"/>
      <c r="DF22" s="556"/>
      <c r="DH22" s="556"/>
      <c r="DI22" s="556"/>
      <c r="DJ22" s="556"/>
      <c r="DL22" s="556"/>
      <c r="DN22" s="556"/>
      <c r="DP22" s="556"/>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row>
    <row r="23" spans="1:256" s="319" customFormat="1" ht="13.2">
      <c r="A23" s="319" t="s">
        <v>4868</v>
      </c>
      <c r="D23" s="405"/>
      <c r="E23" s="576">
        <f>IF(AK23=TRUE,P23,0)</f>
        <v>0</v>
      </c>
      <c r="F23" s="577">
        <f>SUMIF($BW$28:$BW$122,Q4,$BG$28:$BG$122)</f>
        <v>0</v>
      </c>
      <c r="G23" s="578">
        <f>IF(AK23=TRUE,Q23,0)</f>
        <v>0</v>
      </c>
      <c r="H23" s="450"/>
      <c r="I23" s="463"/>
      <c r="J23" s="463"/>
      <c r="K23" s="471"/>
      <c r="L23" s="585"/>
      <c r="M23" s="586"/>
      <c r="N23" s="585"/>
      <c r="O23" s="586"/>
      <c r="P23" s="639">
        <v>0</v>
      </c>
      <c r="Q23" s="639">
        <v>0</v>
      </c>
      <c r="R23" s="371">
        <v>1</v>
      </c>
      <c r="S23" s="552">
        <v>0</v>
      </c>
      <c r="T23" s="640">
        <v>0</v>
      </c>
      <c r="U23" s="552">
        <v>0</v>
      </c>
      <c r="V23" s="581">
        <f>IF('Modelo Energético '!Q48=TRUE,U23,S23)</f>
        <v>0</v>
      </c>
      <c r="W23" s="640">
        <v>0</v>
      </c>
      <c r="X23" s="582">
        <f>IF(AK23=TRUE,W23,T23)</f>
        <v>0</v>
      </c>
      <c r="Y23" s="309">
        <f>SUMIF($AP$28:$AP$122,Q4,$AS$28:$AS$122)+SUMIF($BW$28:$BW$122,Q4,$BA$28:$BA$122)</f>
        <v>0</v>
      </c>
      <c r="Z23" s="309">
        <f>IF(OR(T23="",T23=0),0,VLOOKUP(S23,$H$3:$N$8,7,FALSE)/T23)</f>
        <v>0</v>
      </c>
      <c r="AA23" s="309">
        <f>IF(OR(X23=0,X23=""),0,VLOOKUP(V23,$H$3:$N$8,7,FALSE)/X23)</f>
        <v>0</v>
      </c>
      <c r="AB23" s="463"/>
      <c r="AC23" s="405"/>
      <c r="AD23" s="405"/>
      <c r="AE23" s="319">
        <f>IF(AK23=TRUE,AD23,AC23)</f>
        <v>0</v>
      </c>
      <c r="AF23" s="405"/>
      <c r="AG23" s="405"/>
      <c r="AH23" s="319">
        <f>IF(AK23=TRUE,AG23,AF23)</f>
        <v>0</v>
      </c>
      <c r="AI23" s="405"/>
      <c r="AJ23" s="405"/>
      <c r="AK23" s="319" t="b">
        <f>'Modelo Energético '!$Q48</f>
        <v>1</v>
      </c>
      <c r="AL23" s="393">
        <f>SUMIF($BW$28:$BW$122,Q4,$BC$28:$BC$122)</f>
        <v>0</v>
      </c>
      <c r="BI23" s="319" t="s">
        <v>3815</v>
      </c>
      <c r="BJ23" s="319">
        <f>IF(BJ22=12,0,IF(BJ22=0,10,10-BJ22))</f>
        <v>5</v>
      </c>
      <c r="BL23" s="319" t="s">
        <v>1129</v>
      </c>
      <c r="BU23" s="405">
        <v>0</v>
      </c>
      <c r="CW23" s="319" t="s">
        <v>4718</v>
      </c>
      <c r="CX23" s="319">
        <f>$CK$5*$CK$6*24/10^6</f>
        <v>2.8394222530991978E-5</v>
      </c>
      <c r="DD23" s="556"/>
      <c r="DE23" s="556"/>
      <c r="DF23" s="556"/>
      <c r="DH23" s="556"/>
      <c r="DI23" s="556"/>
      <c r="DJ23" s="556"/>
      <c r="DL23" s="556"/>
      <c r="DN23" s="556"/>
      <c r="DP23" s="556"/>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row>
    <row r="24" spans="1:256" s="319" customFormat="1" ht="13.2">
      <c r="A24" s="319" t="s">
        <v>1532</v>
      </c>
      <c r="D24" s="405"/>
      <c r="E24" s="576">
        <f>IF(AK24=TRUE,P24,0)</f>
        <v>0</v>
      </c>
      <c r="F24" s="577">
        <f>SUMIF($BW$28:$BW$122,Q5,$BG$28:$BG$122)</f>
        <v>0</v>
      </c>
      <c r="G24" s="578">
        <f>IF(AK24=TRUE,Q24,0)</f>
        <v>0</v>
      </c>
      <c r="H24" s="450"/>
      <c r="I24" s="463"/>
      <c r="J24" s="463"/>
      <c r="K24" s="471"/>
      <c r="L24" s="585"/>
      <c r="M24" s="586"/>
      <c r="N24" s="585"/>
      <c r="O24" s="586"/>
      <c r="P24" s="639">
        <v>0</v>
      </c>
      <c r="Q24" s="639">
        <v>0</v>
      </c>
      <c r="R24" s="371">
        <v>2</v>
      </c>
      <c r="S24" s="552">
        <v>0</v>
      </c>
      <c r="T24" s="640">
        <v>0</v>
      </c>
      <c r="U24" s="552">
        <v>0</v>
      </c>
      <c r="V24" s="581">
        <f>IF('Modelo Energético '!Q49=TRUE,U24,S24)</f>
        <v>0</v>
      </c>
      <c r="W24" s="640">
        <v>0</v>
      </c>
      <c r="X24" s="582">
        <f>IF(AK24=TRUE,W24,T24)</f>
        <v>0</v>
      </c>
      <c r="Y24" s="309">
        <f>SUMIF($AP$28:$AP$122,Q5,$AS$28:$AS$122)+SUMIF($BW$28:$BW$122,Q5,$BA$28:$BA$122)</f>
        <v>0</v>
      </c>
      <c r="Z24" s="309">
        <f>IF(OR(T24="",T24=0),0,VLOOKUP(S24,$H$3:$N$8,7,FALSE)/T24)</f>
        <v>0</v>
      </c>
      <c r="AA24" s="309">
        <f>IF(OR(X24=0,X24=""),0,VLOOKUP(V24,$H$3:$N$8,7,FALSE)/X24)</f>
        <v>0</v>
      </c>
      <c r="AB24" s="463"/>
      <c r="AC24" s="405"/>
      <c r="AD24" s="405"/>
      <c r="AE24" s="319">
        <f>IF(AK24=TRUE,AD24,AC24)</f>
        <v>0</v>
      </c>
      <c r="AF24" s="405"/>
      <c r="AG24" s="405"/>
      <c r="AH24" s="319">
        <f>IF(AK24=TRUE,AG24,AF24)</f>
        <v>0</v>
      </c>
      <c r="AI24" s="405"/>
      <c r="AJ24" s="405"/>
      <c r="AK24" s="319" t="b">
        <f>'Modelo Energético '!$Q49</f>
        <v>1</v>
      </c>
      <c r="AL24" s="393">
        <f>SUMIF($BW$28:$BW$122,Q5,$BC$28:$BC$122)</f>
        <v>0</v>
      </c>
      <c r="BF24" s="475"/>
      <c r="BU24" s="405">
        <v>0</v>
      </c>
      <c r="CT24" s="1040"/>
      <c r="DD24" s="556"/>
      <c r="DE24" s="556"/>
      <c r="DF24" s="556"/>
      <c r="DH24" s="556"/>
      <c r="DI24" s="556"/>
      <c r="DJ24" s="556"/>
      <c r="DL24" s="556"/>
      <c r="DN24" s="556"/>
      <c r="DP24" s="556"/>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row>
    <row r="25" spans="1:256" s="319" customFormat="1" ht="13.2">
      <c r="A25" s="319" t="s">
        <v>3031</v>
      </c>
      <c r="D25" s="405"/>
      <c r="E25" s="576">
        <f>IF(AK25=TRUE,P25,0)</f>
        <v>0</v>
      </c>
      <c r="F25" s="577">
        <f>SUMIF($BW$28:$BW$122,Q6,$BG$28:$BG$122)</f>
        <v>0</v>
      </c>
      <c r="G25" s="578">
        <f>IF(AK25=TRUE,Q25,0)</f>
        <v>0</v>
      </c>
      <c r="H25" s="450"/>
      <c r="I25" s="463"/>
      <c r="J25" s="463"/>
      <c r="K25" s="471"/>
      <c r="L25" s="585"/>
      <c r="M25" s="586"/>
      <c r="N25" s="585"/>
      <c r="O25" s="586"/>
      <c r="P25" s="639">
        <v>0</v>
      </c>
      <c r="Q25" s="639">
        <v>0</v>
      </c>
      <c r="R25" s="371">
        <v>3</v>
      </c>
      <c r="S25" s="552">
        <v>0</v>
      </c>
      <c r="T25" s="640">
        <v>0</v>
      </c>
      <c r="U25" s="552">
        <v>0</v>
      </c>
      <c r="V25" s="581">
        <f>IF('Modelo Energético '!Q50=TRUE,U25,S25)</f>
        <v>0</v>
      </c>
      <c r="W25" s="640">
        <v>0</v>
      </c>
      <c r="X25" s="582">
        <f>IF(AK25=TRUE,W25,T25)</f>
        <v>0</v>
      </c>
      <c r="Y25" s="309">
        <f>SUMIF($AP$28:$AP$122,Q6,$AS$28:$AS$122)+SUMIF($BW$28:$BW$122,Q6,$BA$28:$BA$122)</f>
        <v>0</v>
      </c>
      <c r="Z25" s="309">
        <f>IF(OR(T25="",T25=0),0,VLOOKUP(S25,$H$3:$N$8,7,FALSE)/T25)</f>
        <v>0</v>
      </c>
      <c r="AA25" s="309">
        <f>IF(OR(X25=0,X25=""),0,VLOOKUP(V25,$H$3:$N$8,7,FALSE)/X25)</f>
        <v>0</v>
      </c>
      <c r="AC25" s="405"/>
      <c r="AD25" s="405"/>
      <c r="AE25" s="319">
        <f>IF(AK25=TRUE,AD25,AC25)</f>
        <v>0</v>
      </c>
      <c r="AF25" s="405"/>
      <c r="AG25" s="405"/>
      <c r="AH25" s="319">
        <f>IF(AK25=TRUE,AG25,AF25)</f>
        <v>0</v>
      </c>
      <c r="AI25" s="405"/>
      <c r="AJ25" s="405"/>
      <c r="AK25" s="319" t="b">
        <f>'Modelo Energético '!$Q50</f>
        <v>1</v>
      </c>
      <c r="AL25" s="393">
        <f>SUMIF($BW$28:$BW$122,Q6,$BC$28:$BC$122)</f>
        <v>0</v>
      </c>
      <c r="BG25" s="475"/>
      <c r="BU25" s="405">
        <v>0</v>
      </c>
      <c r="DH25" s="556"/>
      <c r="DI25" s="556"/>
      <c r="DJ25" s="556"/>
      <c r="DL25" s="556"/>
      <c r="DN25" s="556"/>
      <c r="DP25" s="556"/>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row>
    <row r="26" spans="1:256" s="319" customFormat="1" ht="12.75" customHeight="1">
      <c r="A26" s="319" t="s">
        <v>3032</v>
      </c>
      <c r="D26" s="405"/>
      <c r="E26" s="576">
        <f>IF(AK26=TRUE,P26,0)</f>
        <v>0</v>
      </c>
      <c r="F26" s="577">
        <f>SUMIF($BW$28:$BW$122,Q7,$BG$28:$BG$122)</f>
        <v>0</v>
      </c>
      <c r="G26" s="578">
        <f>IF(AK26=TRUE,Q26,0)</f>
        <v>0</v>
      </c>
      <c r="H26" s="450"/>
      <c r="I26" s="463"/>
      <c r="J26" s="463"/>
      <c r="K26" s="471"/>
      <c r="L26" s="585"/>
      <c r="M26" s="586"/>
      <c r="N26" s="585"/>
      <c r="O26" s="586"/>
      <c r="P26" s="639">
        <v>0</v>
      </c>
      <c r="Q26" s="639">
        <v>0</v>
      </c>
      <c r="R26" s="371">
        <v>4</v>
      </c>
      <c r="S26" s="552">
        <v>0</v>
      </c>
      <c r="T26" s="640">
        <v>0</v>
      </c>
      <c r="U26" s="552">
        <v>0</v>
      </c>
      <c r="V26" s="581">
        <f>IF('Modelo Energético '!Q51=TRUE,U26,S26)</f>
        <v>0</v>
      </c>
      <c r="W26" s="640">
        <v>0</v>
      </c>
      <c r="X26" s="582">
        <f>IF(AK26=TRUE,W26,T26)</f>
        <v>0</v>
      </c>
      <c r="Y26" s="309">
        <f>SUMIF($AP$28:$AP$122,Q7,$AS$28:$AS$122)+SUMIF($BW$28:$BW$122,Q7,$BA$28:$BA$122)</f>
        <v>0</v>
      </c>
      <c r="Z26" s="309">
        <f>IF(OR(T26="",T26=0),0,VLOOKUP(S26,$H$3:$N$8,7,FALSE)/T26)</f>
        <v>0</v>
      </c>
      <c r="AA26" s="309">
        <f>IF(OR(X26=0,X26=""),0,VLOOKUP(V26,$H$3:$N$8,7,FALSE)/X26)</f>
        <v>0</v>
      </c>
      <c r="AC26" s="405"/>
      <c r="AD26" s="405"/>
      <c r="AE26" s="319">
        <f>IF(AK26=TRUE,AD26,AC26)</f>
        <v>0</v>
      </c>
      <c r="AF26" s="405"/>
      <c r="AG26" s="405"/>
      <c r="AH26" s="319">
        <f>IF(AK26=TRUE,AG26,AF26)</f>
        <v>0</v>
      </c>
      <c r="AI26" s="405"/>
      <c r="AJ26" s="405"/>
      <c r="AK26" s="319" t="b">
        <f>'Modelo Energético '!$Q51</f>
        <v>1</v>
      </c>
      <c r="AL26" s="393">
        <f>SUMIF($BW$28:$BW$122,Q7,$BC$28:$BC$122)</f>
        <v>0</v>
      </c>
      <c r="BD26" s="319" t="s">
        <v>3816</v>
      </c>
      <c r="BH26" s="319" t="s">
        <v>5983</v>
      </c>
      <c r="BI26" s="588" t="s">
        <v>1320</v>
      </c>
      <c r="BJ26" s="589"/>
      <c r="BK26" s="481"/>
      <c r="BL26" s="481"/>
      <c r="BM26" s="481"/>
      <c r="BN26" s="557" t="s">
        <v>2506</v>
      </c>
      <c r="BO26" s="559"/>
      <c r="BP26" s="557" t="s">
        <v>726</v>
      </c>
      <c r="BQ26" s="559"/>
      <c r="BR26" s="468" t="s">
        <v>1320</v>
      </c>
      <c r="BS26" s="470"/>
      <c r="BU26" s="405">
        <v>0</v>
      </c>
      <c r="DH26" s="556"/>
      <c r="DI26" s="556"/>
      <c r="DJ26" s="556"/>
      <c r="DL26" s="556"/>
      <c r="DN26" s="556"/>
      <c r="DP26" s="55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row>
    <row r="27" spans="1:256" s="319" customFormat="1" ht="39.6">
      <c r="A27" s="481"/>
      <c r="B27" s="481"/>
      <c r="C27" s="481"/>
      <c r="D27" s="481"/>
      <c r="E27" s="560"/>
      <c r="F27" s="353"/>
      <c r="G27" s="578"/>
      <c r="H27" s="450"/>
      <c r="I27" s="463"/>
      <c r="J27" s="463"/>
      <c r="K27" s="471"/>
      <c r="L27" s="585"/>
      <c r="M27" s="586"/>
      <c r="N27" s="585"/>
      <c r="O27" s="586"/>
      <c r="P27" s="590" t="s">
        <v>1134</v>
      </c>
      <c r="Q27" s="590" t="s">
        <v>1135</v>
      </c>
      <c r="R27" s="565" t="s">
        <v>2918</v>
      </c>
      <c r="S27" s="565" t="s">
        <v>2919</v>
      </c>
      <c r="T27" s="565" t="s">
        <v>3219</v>
      </c>
      <c r="U27" s="565" t="s">
        <v>4344</v>
      </c>
      <c r="V27" s="565" t="s">
        <v>4345</v>
      </c>
      <c r="W27" s="565" t="s">
        <v>4346</v>
      </c>
      <c r="X27" s="565" t="s">
        <v>3343</v>
      </c>
      <c r="Y27" s="565" t="s">
        <v>3082</v>
      </c>
      <c r="Z27" s="565" t="s">
        <v>3610</v>
      </c>
      <c r="AA27" s="565" t="s">
        <v>4128</v>
      </c>
      <c r="AB27" s="565" t="s">
        <v>596</v>
      </c>
      <c r="AC27" s="565" t="s">
        <v>597</v>
      </c>
      <c r="AD27" s="565" t="s">
        <v>598</v>
      </c>
      <c r="AE27" s="565" t="s">
        <v>2817</v>
      </c>
      <c r="AF27" s="565" t="s">
        <v>633</v>
      </c>
      <c r="AG27" s="565" t="s">
        <v>1114</v>
      </c>
      <c r="AH27" s="565" t="s">
        <v>5236</v>
      </c>
      <c r="AI27" s="565" t="s">
        <v>650</v>
      </c>
      <c r="AJ27" s="565" t="s">
        <v>649</v>
      </c>
      <c r="AK27" s="565" t="s">
        <v>5098</v>
      </c>
      <c r="AL27" s="565" t="s">
        <v>3665</v>
      </c>
      <c r="AM27" s="565" t="s">
        <v>3666</v>
      </c>
      <c r="AN27" s="565" t="s">
        <v>4756</v>
      </c>
      <c r="AO27" s="565" t="s">
        <v>3853</v>
      </c>
      <c r="AP27" s="565" t="s">
        <v>4344</v>
      </c>
      <c r="AQ27" s="565" t="s">
        <v>4345</v>
      </c>
      <c r="AR27" s="565" t="s">
        <v>4346</v>
      </c>
      <c r="AS27" s="565" t="s">
        <v>3343</v>
      </c>
      <c r="AT27" s="565" t="s">
        <v>5401</v>
      </c>
      <c r="AU27" s="565" t="s">
        <v>4465</v>
      </c>
      <c r="AV27" s="565" t="s">
        <v>4128</v>
      </c>
      <c r="AW27" s="565" t="s">
        <v>2304</v>
      </c>
      <c r="AX27" s="565" t="s">
        <v>2024</v>
      </c>
      <c r="AY27" s="565" t="s">
        <v>598</v>
      </c>
      <c r="AZ27" s="565" t="s">
        <v>2817</v>
      </c>
      <c r="BA27" s="565" t="s">
        <v>633</v>
      </c>
      <c r="BB27" s="565" t="s">
        <v>1114</v>
      </c>
      <c r="BC27" s="565" t="s">
        <v>5236</v>
      </c>
      <c r="BD27" s="565" t="s">
        <v>5237</v>
      </c>
      <c r="BE27" s="565" t="s">
        <v>5238</v>
      </c>
      <c r="BF27" s="565" t="s">
        <v>5098</v>
      </c>
      <c r="BG27" s="565" t="s">
        <v>3665</v>
      </c>
      <c r="BH27" s="565" t="s">
        <v>709</v>
      </c>
      <c r="BI27" s="591" t="s">
        <v>4139</v>
      </c>
      <c r="BJ27" s="592" t="s">
        <v>5966</v>
      </c>
      <c r="BK27" s="565" t="s">
        <v>4146</v>
      </c>
      <c r="BL27" s="593" t="s">
        <v>949</v>
      </c>
      <c r="BM27" s="593" t="s">
        <v>950</v>
      </c>
      <c r="BN27" s="591" t="s">
        <v>4139</v>
      </c>
      <c r="BO27" s="592" t="s">
        <v>5966</v>
      </c>
      <c r="BP27" s="591" t="s">
        <v>4139</v>
      </c>
      <c r="BQ27" s="592" t="s">
        <v>5966</v>
      </c>
      <c r="BR27" s="591" t="s">
        <v>4139</v>
      </c>
      <c r="BS27" s="592" t="s">
        <v>5966</v>
      </c>
      <c r="BT27" s="565" t="s">
        <v>2778</v>
      </c>
      <c r="BU27" s="565" t="s">
        <v>4203</v>
      </c>
      <c r="BV27" s="565" t="s">
        <v>5641</v>
      </c>
      <c r="BW27" s="565" t="s">
        <v>1545</v>
      </c>
      <c r="BX27" s="565" t="s">
        <v>1724</v>
      </c>
      <c r="BY27" s="393" t="s">
        <v>3642</v>
      </c>
      <c r="CA27" s="680"/>
      <c r="CB27" s="680"/>
      <c r="CC27" s="598"/>
      <c r="CD27" s="598"/>
      <c r="CE27" s="598"/>
      <c r="CF27" s="598"/>
      <c r="CG27" s="598"/>
      <c r="CH27" s="598"/>
      <c r="CI27" s="598"/>
      <c r="CJ27" s="598"/>
      <c r="CK27" s="598"/>
      <c r="CL27" s="598"/>
      <c r="CM27" s="598"/>
      <c r="CR27" s="598"/>
      <c r="CS27" s="598"/>
      <c r="CT27" s="1039"/>
      <c r="CU27" s="598"/>
      <c r="CV27" s="598"/>
      <c r="CW27" s="598"/>
      <c r="CX27" s="598"/>
      <c r="CY27" s="598"/>
      <c r="CZ27" s="598"/>
      <c r="DA27" s="598"/>
      <c r="DB27" s="598"/>
      <c r="DC27" s="598"/>
      <c r="DD27" s="678"/>
      <c r="DE27" s="678"/>
      <c r="DF27" s="678"/>
      <c r="DG27" s="598"/>
      <c r="DH27" s="678"/>
      <c r="DI27" s="678"/>
      <c r="DJ27" s="678"/>
      <c r="DK27" s="598"/>
      <c r="DL27" s="678"/>
      <c r="DM27" s="598"/>
      <c r="DN27" s="678"/>
      <c r="DO27" s="598"/>
      <c r="DP27" s="678"/>
      <c r="DQ27" s="598"/>
      <c r="DR27" s="598"/>
      <c r="DS27" s="598"/>
      <c r="DT27" s="598"/>
      <c r="DU27" s="598"/>
      <c r="DV27" s="598"/>
      <c r="DW27" s="598"/>
      <c r="DX27" s="598"/>
      <c r="DY27" s="598"/>
      <c r="DZ27" s="598"/>
      <c r="EA27" s="598"/>
      <c r="EB27" s="598"/>
      <c r="EC27" s="598"/>
      <c r="ED27" s="598"/>
      <c r="EE27" s="598"/>
      <c r="EF27" s="598"/>
      <c r="EG27" s="598"/>
      <c r="EH27" s="598"/>
      <c r="EI27" s="598"/>
      <c r="EJ27" s="598"/>
      <c r="EK27" s="598"/>
      <c r="EL27" s="598"/>
      <c r="EM27" s="598"/>
      <c r="EN27" s="598"/>
      <c r="EO27" s="603"/>
      <c r="EP27" s="603"/>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row>
    <row r="28" spans="1:256" s="319" customFormat="1" ht="13.2">
      <c r="A28" s="594" t="s">
        <v>5102</v>
      </c>
      <c r="B28" s="481"/>
      <c r="C28" s="594">
        <v>1</v>
      </c>
      <c r="D28" s="637"/>
      <c r="E28" s="576">
        <f t="shared" ref="E28:E92" si="12">P28*BX28*C28</f>
        <v>0</v>
      </c>
      <c r="F28" s="353">
        <f>(AK28+BF28+BH28)*C28</f>
        <v>0</v>
      </c>
      <c r="G28" s="471">
        <f>Q28*BX28*C28</f>
        <v>0</v>
      </c>
      <c r="H28" s="450"/>
      <c r="I28" s="463"/>
      <c r="J28" s="463"/>
      <c r="K28" s="471"/>
      <c r="L28" s="585">
        <f>R28</f>
        <v>0</v>
      </c>
      <c r="M28" s="586">
        <f>Z28</f>
        <v>0</v>
      </c>
      <c r="N28" s="585">
        <f>AM28</f>
        <v>0</v>
      </c>
      <c r="O28" s="586">
        <f>AU28</f>
        <v>0</v>
      </c>
      <c r="P28" s="639">
        <v>0</v>
      </c>
      <c r="Q28" s="639">
        <v>0</v>
      </c>
      <c r="R28" s="309">
        <f>IF(BT134 = 1, 0, BG134)</f>
        <v>0</v>
      </c>
      <c r="S28" s="309">
        <f>IF($L$123=0,0,R28*$H$123/$L$123)</f>
        <v>0</v>
      </c>
      <c r="T28" s="309">
        <f>IF(R28-S28&lt;0,0,R28-S28)*C28</f>
        <v>0</v>
      </c>
      <c r="U28" s="555">
        <v>0</v>
      </c>
      <c r="V28" s="595">
        <f t="shared" ref="V28:V38" si="13">VLOOKUP(U28,$R$16:$X$20,2,FALSE)</f>
        <v>0</v>
      </c>
      <c r="W28" s="596">
        <f t="shared" ref="W28:W38" si="14">VLOOKUP(U28,$R$16:$X$20,3,FALSE)</f>
        <v>0</v>
      </c>
      <c r="X28" s="597">
        <f>IF(W28=0,0,T28/W28)</f>
        <v>0</v>
      </c>
      <c r="Y28" s="678">
        <f>IF(BU134 = 1, 0, BK134)</f>
        <v>0</v>
      </c>
      <c r="Z28" s="309">
        <f>IF(BX28=1,Y28,R28)*C28</f>
        <v>0</v>
      </c>
      <c r="AA28" s="309">
        <f>IF($M$123=0,0,Z28*$I$123/$M$123)</f>
        <v>0</v>
      </c>
      <c r="AB28" s="309">
        <f>IF(Z28-AA28&lt;0,0,Z28-AA28)</f>
        <v>0</v>
      </c>
      <c r="AC28" s="555">
        <v>0</v>
      </c>
      <c r="AD28" s="595">
        <f t="shared" ref="AD28:AD38" si="15">VLOOKUP(BV28,$R$16:$X$20,5,FALSE)</f>
        <v>0</v>
      </c>
      <c r="AE28" s="596">
        <f t="shared" ref="AE28:AE38" si="16">VLOOKUP(BV28,$R$16:$X$20,7,FALSE)</f>
        <v>0</v>
      </c>
      <c r="AF28" s="597">
        <f>IF(AE28=0,0,AB28/AE28)</f>
        <v>0</v>
      </c>
      <c r="AG28" s="458">
        <f>IF(AE28=0,0,(T28-AB28)/AE28)</f>
        <v>0</v>
      </c>
      <c r="AH28" s="458">
        <f>X28-AF28-AG28</f>
        <v>0</v>
      </c>
      <c r="AI28" s="458">
        <f>VLOOKUP(V28,$H$3:$N$8,7,FALSE)</f>
        <v>0</v>
      </c>
      <c r="AJ28" s="458">
        <f>VLOOKUP(AD28,$H$3:$N$8,7,FALSE)</f>
        <v>0</v>
      </c>
      <c r="AK28" s="458">
        <f>IF(AND(AG28=0,AH28=0),0,(X28*AI28-AF28*AJ28)/IF(AG28+AH28=0,ABS(AG28)*2,AG28+AH28)*AG28)</f>
        <v>0</v>
      </c>
      <c r="AL28" s="458">
        <f>IF(AND(AG28=0,AH28=0),0,(X28*AI28-AF28*AJ28)/IF(AG28+AH28=0,ABS(AG28)*2,AG28+AH28)*AH28)</f>
        <v>0</v>
      </c>
      <c r="AM28" s="309">
        <f>IF(BT134 = 0, 0, BO134)</f>
        <v>0</v>
      </c>
      <c r="AN28" s="309">
        <f>IF($N$123=0,0,AM28*$J$123/$N$123)</f>
        <v>0</v>
      </c>
      <c r="AO28" s="309">
        <f>AM28+AN28</f>
        <v>0</v>
      </c>
      <c r="AP28" s="555">
        <v>0</v>
      </c>
      <c r="AQ28" s="595">
        <f>VLOOKUP(BW28,$R$22:$X$26,2,FALSE)</f>
        <v>0</v>
      </c>
      <c r="AR28" s="596">
        <f>VLOOKUP(BW28,$R$22:$X$26,3,FALSE)</f>
        <v>0</v>
      </c>
      <c r="AS28" s="458">
        <f>IF(AR28=0,0,AO28/AR28)</f>
        <v>0</v>
      </c>
      <c r="AT28" s="598">
        <f>IF(BU134 = 0, 0, BS134)</f>
        <v>0</v>
      </c>
      <c r="AU28" s="598">
        <f>IF(BX28=1,AT28,AM28)</f>
        <v>0</v>
      </c>
      <c r="AV28" s="309">
        <f>IF($O$123=0,0,AU28*$K$123/$O$123)</f>
        <v>0</v>
      </c>
      <c r="AW28" s="309">
        <f>AU28+AV28</f>
        <v>0</v>
      </c>
      <c r="AX28" s="555">
        <v>0</v>
      </c>
      <c r="AY28" s="595">
        <f>VLOOKUP(BW28,$R$22:$X$26,5,FALSE)</f>
        <v>0</v>
      </c>
      <c r="AZ28" s="596">
        <f>VLOOKUP(BW28,$R$22:$X$26,7,FALSE)</f>
        <v>0</v>
      </c>
      <c r="BA28" s="458">
        <f>IF(AZ28=0,0,AW28/AZ28)</f>
        <v>0</v>
      </c>
      <c r="BB28" s="458">
        <f>IF(AZ28=0,0,(AO28-AW28)/AZ28)</f>
        <v>0</v>
      </c>
      <c r="BC28" s="458">
        <f>AS28-BA28-BB28</f>
        <v>0</v>
      </c>
      <c r="BD28" s="458">
        <f>VLOOKUP(AQ28,$H$3:$N$8,7,FALSE)</f>
        <v>0</v>
      </c>
      <c r="BE28" s="458">
        <f>VLOOKUP(AY28,$H$3:$N$8,7,FALSE)</f>
        <v>0</v>
      </c>
      <c r="BF28" s="458">
        <f>IF(AND(BB28=0,BC28=0),0,(AS28*BD28-BA28*BE28)/IF(BB28+BC28=0,ABS(BB28)*2,BB28+BC28)*BB28)</f>
        <v>0</v>
      </c>
      <c r="BG28" s="458">
        <f>IF(AND(BB28=0,BC28=0),0,(AS28*BD28-BA28*BE28)/IF(BB28+BC28=0,ABS(BB28)*2,BB28+BC28)*BC28)</f>
        <v>0</v>
      </c>
      <c r="BH28" s="458"/>
      <c r="BT28" s="476"/>
      <c r="BU28" s="405">
        <v>0</v>
      </c>
      <c r="BV28" s="319">
        <f>IF(BX28=1,AC28,U28)</f>
        <v>0</v>
      </c>
      <c r="BW28" s="319">
        <f>IF(BX28=1,AX28,AP28)</f>
        <v>0</v>
      </c>
      <c r="BX28" s="319">
        <f>IF('Modelo Energético '!$Q53=TRUE,1,0)</f>
        <v>1</v>
      </c>
      <c r="CA28" s="681">
        <v>0</v>
      </c>
      <c r="CB28" s="681">
        <v>0</v>
      </c>
      <c r="CC28" s="681">
        <v>1.5711721188021201E-2</v>
      </c>
      <c r="CD28" s="681">
        <v>7.8558605940106194E-3</v>
      </c>
      <c r="CE28" s="667"/>
      <c r="CF28" s="667"/>
      <c r="CG28" s="667"/>
      <c r="CH28" s="667"/>
      <c r="CI28" s="667"/>
      <c r="CJ28" s="667"/>
      <c r="CK28" s="667"/>
      <c r="CL28" s="667"/>
      <c r="CM28" s="667"/>
      <c r="CR28" s="667"/>
      <c r="CS28" s="667"/>
      <c r="CT28" s="667"/>
      <c r="CU28" s="667"/>
      <c r="CV28" s="667"/>
      <c r="CW28" s="667"/>
      <c r="CX28" s="667"/>
      <c r="CY28" s="667"/>
      <c r="CZ28" s="667"/>
      <c r="DA28" s="667"/>
      <c r="DB28" s="667"/>
      <c r="DC28" s="667"/>
      <c r="DD28" s="667"/>
      <c r="DE28" s="667"/>
      <c r="DF28" s="667"/>
      <c r="DG28" s="667"/>
      <c r="DH28" s="668"/>
      <c r="DI28" s="668"/>
      <c r="DJ28" s="668"/>
      <c r="DK28" s="667"/>
      <c r="DL28" s="668"/>
      <c r="DM28" s="667"/>
      <c r="DN28" s="668"/>
      <c r="DO28" s="667"/>
      <c r="DP28" s="668"/>
      <c r="DQ28" s="667"/>
      <c r="DR28" s="667"/>
      <c r="DS28" s="667"/>
      <c r="DT28" s="667"/>
      <c r="DU28" s="667"/>
      <c r="DV28" s="667"/>
      <c r="DW28" s="667"/>
      <c r="DX28" s="667"/>
      <c r="DY28" s="667"/>
      <c r="DZ28" s="667"/>
      <c r="EA28" s="667"/>
      <c r="EB28" s="667"/>
      <c r="EC28" s="681">
        <v>2.8574568072773299E-2</v>
      </c>
      <c r="ED28" s="667"/>
      <c r="EE28" s="681">
        <v>2.0687284036386699E-2</v>
      </c>
      <c r="EF28" s="667"/>
      <c r="EG28" s="681">
        <v>2.8574568072773299E-2</v>
      </c>
      <c r="EH28" s="681">
        <v>0</v>
      </c>
      <c r="EI28" s="681">
        <v>1</v>
      </c>
      <c r="EJ28" s="667"/>
      <c r="EK28" s="681">
        <v>2.0687284036386699E-2</v>
      </c>
      <c r="EL28" s="681">
        <v>0</v>
      </c>
      <c r="EM28" s="681">
        <v>1</v>
      </c>
      <c r="EN28" s="667"/>
      <c r="EO28" s="679"/>
      <c r="EP28" s="679"/>
      <c r="EQ28" s="667"/>
      <c r="ER28" s="667"/>
      <c r="ES28" s="667"/>
      <c r="ET28" s="667"/>
      <c r="EU28" s="667"/>
      <c r="EV28" s="667"/>
      <c r="EW28" s="667"/>
      <c r="EX28" s="667"/>
      <c r="EY28" s="667"/>
      <c r="EZ28" s="667"/>
      <c r="FA28" s="667"/>
      <c r="FB28" s="667"/>
      <c r="FC28" s="667"/>
      <c r="FD28" s="667"/>
      <c r="FE28" s="667"/>
      <c r="FF28" s="667"/>
      <c r="FG28" s="667"/>
      <c r="FH28" s="667"/>
      <c r="FI28" s="667"/>
      <c r="FJ28" s="667"/>
      <c r="FK28" s="667"/>
      <c r="FL28" s="667"/>
      <c r="FM28" s="667"/>
      <c r="FN28" s="667"/>
      <c r="FO28" s="667"/>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row>
    <row r="29" spans="1:256" s="319" customFormat="1" ht="13.2">
      <c r="A29" s="594" t="s">
        <v>4508</v>
      </c>
      <c r="B29" s="481"/>
      <c r="C29" s="594">
        <v>1</v>
      </c>
      <c r="D29" s="637"/>
      <c r="E29" s="576">
        <f t="shared" si="12"/>
        <v>0</v>
      </c>
      <c r="F29" s="353">
        <f t="shared" ref="F29:F92" si="17">(AK29+BF29+BH29)*C29</f>
        <v>0</v>
      </c>
      <c r="G29" s="471">
        <f t="shared" ref="G29:G92" si="18">Q29*BX29*C29</f>
        <v>0</v>
      </c>
      <c r="H29" s="450"/>
      <c r="I29" s="463"/>
      <c r="J29" s="463"/>
      <c r="K29" s="471"/>
      <c r="L29" s="585">
        <f>R29</f>
        <v>0</v>
      </c>
      <c r="M29" s="586">
        <f>Z29</f>
        <v>0</v>
      </c>
      <c r="N29" s="585">
        <f>AM29</f>
        <v>0</v>
      </c>
      <c r="O29" s="586">
        <f>AU29</f>
        <v>0</v>
      </c>
      <c r="P29" s="639">
        <v>0</v>
      </c>
      <c r="Q29" s="639">
        <v>0</v>
      </c>
      <c r="R29" s="309">
        <f>IF(BT135 = 1, 0, BG135)</f>
        <v>0</v>
      </c>
      <c r="S29" s="309">
        <f>IF($L$123=0,0,R29*$H$123/$L$123)</f>
        <v>0</v>
      </c>
      <c r="T29" s="309">
        <f>IF(R29-S29&lt;0,0,R29-S29)*C29</f>
        <v>0</v>
      </c>
      <c r="U29" s="555">
        <v>0</v>
      </c>
      <c r="V29" s="595">
        <f t="shared" si="13"/>
        <v>0</v>
      </c>
      <c r="W29" s="596">
        <f t="shared" si="14"/>
        <v>0</v>
      </c>
      <c r="X29" s="597">
        <f>IF(W29=0,0,T29/W29)</f>
        <v>0</v>
      </c>
      <c r="Y29" s="678">
        <f>IF(BU135 = 1, 0, BK135)</f>
        <v>0</v>
      </c>
      <c r="Z29" s="309">
        <f>IF(BX29=1,Y29,R29)*C29</f>
        <v>0</v>
      </c>
      <c r="AA29" s="309">
        <f t="shared" ref="AA29:AA38" si="19">IF($M$123=0,0,Z29*$I$123/$M$123)</f>
        <v>0</v>
      </c>
      <c r="AB29" s="309">
        <f t="shared" ref="AB29:AB38" si="20">IF(Z29-AA29&lt;0,0,Z29-AA29)</f>
        <v>0</v>
      </c>
      <c r="AC29" s="555">
        <v>0</v>
      </c>
      <c r="AD29" s="595">
        <f t="shared" si="15"/>
        <v>0</v>
      </c>
      <c r="AE29" s="596">
        <f t="shared" si="16"/>
        <v>0</v>
      </c>
      <c r="AF29" s="597">
        <f>IF(AE29=0,0,AB29/AE29)</f>
        <v>0</v>
      </c>
      <c r="AG29" s="458">
        <f>IF(AE29=0,0,(T29-AB29)/AE29)</f>
        <v>0</v>
      </c>
      <c r="AH29" s="458">
        <f>X29-AF29-AG29</f>
        <v>0</v>
      </c>
      <c r="AI29" s="458">
        <f>VLOOKUP(V29,$H$3:$N$8,7,FALSE)</f>
        <v>0</v>
      </c>
      <c r="AJ29" s="458">
        <f>VLOOKUP(AD29,$H$3:$N$8,7,FALSE)</f>
        <v>0</v>
      </c>
      <c r="AK29" s="458">
        <f>IF(AND(AG29=0,AH29=0),0,(X29*AI29-AF29*AJ29)/IF(AG29+AH29=0,ABS(AG29)*2,AG29+AH29)*AG29)</f>
        <v>0</v>
      </c>
      <c r="AL29" s="458">
        <f>IF(AND(AG29=0,AH29=0),0,(X29*AI29-AF29*AJ29)/IF(AG29+AH29=0,ABS(AG29)*2,AG29+AH29)*AH29)</f>
        <v>0</v>
      </c>
      <c r="AM29" s="309">
        <f>IF(BT135 = 0, 0, BO135)</f>
        <v>0</v>
      </c>
      <c r="AN29" s="309">
        <f t="shared" ref="AN29:AN38" si="21">IF($N$123=0,0,AM29*$J$123/$N$123)</f>
        <v>0</v>
      </c>
      <c r="AO29" s="309">
        <f>AM29+AN29</f>
        <v>0</v>
      </c>
      <c r="AP29" s="555">
        <v>0</v>
      </c>
      <c r="AQ29" s="595">
        <f t="shared" ref="AQ29:AQ38" si="22">VLOOKUP(BW29,$R$22:$X$26,2,FALSE)</f>
        <v>0</v>
      </c>
      <c r="AR29" s="596">
        <f t="shared" ref="AR29:AR38" si="23">VLOOKUP(BW29,$R$22:$X$26,3,FALSE)</f>
        <v>0</v>
      </c>
      <c r="AS29" s="458">
        <f>IF(AR29=0,0,AO29/AR29)</f>
        <v>0</v>
      </c>
      <c r="AT29" s="598">
        <f>IF(BU135 = 0, 0, BS135)</f>
        <v>0</v>
      </c>
      <c r="AU29" s="598">
        <f>IF(BX29=1,AT29,AM29)</f>
        <v>0</v>
      </c>
      <c r="AV29" s="309">
        <f t="shared" ref="AV29:AV38" si="24">IF($O$123=0,0,AU29*$K$123/$O$123)</f>
        <v>0</v>
      </c>
      <c r="AW29" s="309">
        <f>AU29+AV29</f>
        <v>0</v>
      </c>
      <c r="AX29" s="555">
        <v>0</v>
      </c>
      <c r="AY29" s="595">
        <f t="shared" ref="AY29:AY38" si="25">VLOOKUP(BW29,$R$22:$X$26,5,FALSE)</f>
        <v>0</v>
      </c>
      <c r="AZ29" s="596">
        <f t="shared" ref="AZ29:AZ38" si="26">VLOOKUP(BW29,$R$22:$X$26,7,FALSE)</f>
        <v>0</v>
      </c>
      <c r="BA29" s="458">
        <f>IF(AZ29=0,0,AW29/AZ29)</f>
        <v>0</v>
      </c>
      <c r="BB29" s="458">
        <f>IF(AZ29=0,0,(AO29-AW29)/AZ29)</f>
        <v>0</v>
      </c>
      <c r="BC29" s="458">
        <f>AS29-BA29-BB29</f>
        <v>0</v>
      </c>
      <c r="BD29" s="458">
        <f>VLOOKUP(AQ29,$H$3:$N$8,7,FALSE)</f>
        <v>0</v>
      </c>
      <c r="BE29" s="458">
        <f>VLOOKUP(AY29,$H$3:$N$8,7,FALSE)</f>
        <v>0</v>
      </c>
      <c r="BF29" s="458">
        <f>IF(AND(BB29=0,BC29=0),0,(AS29*BD29-BA29*BE29)/IF(BB29+BC29=0,ABS(BB29)*2,BB29+BC29)*BB29)</f>
        <v>0</v>
      </c>
      <c r="BG29" s="458">
        <f>IF(AND(BB29=0,BC29=0),0,(AS29*BD29-BA29*BE29)/IF(BB29+BC29=0,ABS(BB29)*2,BB29+BC29)*BC29)</f>
        <v>0</v>
      </c>
      <c r="BH29" s="458"/>
      <c r="BT29" s="476"/>
      <c r="BU29" s="405">
        <v>0</v>
      </c>
      <c r="BV29" s="319">
        <f t="shared" ref="BV29:BV38" si="27">IF(BX29=1,AC29,U29)</f>
        <v>0</v>
      </c>
      <c r="BW29" s="319">
        <f t="shared" ref="BW29:BW38" si="28">IF(BX29=1,AX29,AP29)</f>
        <v>0</v>
      </c>
      <c r="BX29" s="319">
        <f>IF('Modelo Energético '!$Q54=TRUE,1,0)</f>
        <v>1</v>
      </c>
      <c r="CA29" s="681">
        <v>0</v>
      </c>
      <c r="CB29" s="681">
        <v>0</v>
      </c>
      <c r="CC29" s="681">
        <v>0</v>
      </c>
      <c r="CD29" s="681">
        <v>0</v>
      </c>
      <c r="CE29" s="667"/>
      <c r="CF29" s="667"/>
      <c r="CG29" s="667"/>
      <c r="CH29" s="667"/>
      <c r="CI29" s="667"/>
      <c r="CJ29" s="667"/>
      <c r="CK29" s="667"/>
      <c r="CL29" s="667"/>
      <c r="CM29" s="667"/>
      <c r="CN29" s="667"/>
      <c r="CR29" s="667"/>
      <c r="CS29" s="667"/>
      <c r="CT29" s="667"/>
      <c r="CU29" s="667"/>
      <c r="CV29" s="667"/>
      <c r="CW29" s="667"/>
      <c r="CX29" s="667"/>
      <c r="CY29" s="667"/>
      <c r="CZ29" s="667"/>
      <c r="DA29" s="667"/>
      <c r="DB29" s="667"/>
      <c r="DC29" s="667"/>
      <c r="DD29" s="667"/>
      <c r="DE29" s="667"/>
      <c r="DF29" s="667"/>
      <c r="DG29" s="667"/>
      <c r="DH29" s="668"/>
      <c r="DI29" s="668"/>
      <c r="DJ29" s="668"/>
      <c r="DK29" s="667"/>
      <c r="DL29" s="668"/>
      <c r="DM29" s="667"/>
      <c r="DN29" s="668"/>
      <c r="DO29" s="667"/>
      <c r="DP29" s="668"/>
      <c r="DQ29" s="667"/>
      <c r="DR29" s="667"/>
      <c r="DS29" s="667"/>
      <c r="DT29" s="667"/>
      <c r="DU29" s="667"/>
      <c r="DV29" s="667"/>
      <c r="DW29" s="667"/>
      <c r="DX29" s="667"/>
      <c r="DY29" s="667"/>
      <c r="DZ29" s="667"/>
      <c r="EA29" s="667"/>
      <c r="EB29" s="667"/>
      <c r="EC29" s="681">
        <v>0</v>
      </c>
      <c r="ED29" s="667"/>
      <c r="EE29" s="681">
        <v>0</v>
      </c>
      <c r="EF29" s="667"/>
      <c r="EG29" s="681">
        <v>0</v>
      </c>
      <c r="EH29" s="681">
        <v>0</v>
      </c>
      <c r="EI29" s="681">
        <v>1</v>
      </c>
      <c r="EJ29" s="667"/>
      <c r="EK29" s="681">
        <v>0</v>
      </c>
      <c r="EL29" s="681">
        <v>0</v>
      </c>
      <c r="EM29" s="681">
        <v>1</v>
      </c>
      <c r="EN29" s="667"/>
      <c r="EO29" s="679"/>
      <c r="EP29" s="679"/>
      <c r="EQ29" s="667"/>
      <c r="ER29" s="667"/>
      <c r="ES29" s="667"/>
      <c r="ET29" s="667"/>
      <c r="EU29" s="667"/>
      <c r="EV29" s="667"/>
      <c r="EW29" s="667"/>
      <c r="EX29" s="667"/>
      <c r="EY29" s="667"/>
      <c r="EZ29" s="667"/>
      <c r="FA29" s="667"/>
      <c r="FB29" s="667"/>
      <c r="FC29" s="667"/>
      <c r="FD29" s="667"/>
      <c r="FE29" s="667"/>
      <c r="FF29" s="667"/>
      <c r="FG29" s="667"/>
      <c r="FH29" s="667"/>
      <c r="FI29" s="667"/>
      <c r="FJ29" s="667"/>
      <c r="FK29" s="667"/>
      <c r="FL29" s="667"/>
      <c r="FM29" s="667"/>
      <c r="FN29" s="667"/>
      <c r="FO29" s="667"/>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row>
    <row r="30" spans="1:256" s="319" customFormat="1" ht="13.2">
      <c r="A30" s="594" t="s">
        <v>5684</v>
      </c>
      <c r="B30" s="481"/>
      <c r="C30" s="594">
        <v>1</v>
      </c>
      <c r="D30" s="637"/>
      <c r="E30" s="576">
        <f t="shared" si="12"/>
        <v>0</v>
      </c>
      <c r="F30" s="353">
        <f t="shared" si="17"/>
        <v>0</v>
      </c>
      <c r="G30" s="471">
        <f t="shared" si="18"/>
        <v>0</v>
      </c>
      <c r="H30" s="450"/>
      <c r="I30" s="463"/>
      <c r="J30" s="463"/>
      <c r="K30" s="471"/>
      <c r="L30" s="585">
        <f>R30</f>
        <v>0</v>
      </c>
      <c r="M30" s="586">
        <f>Z30</f>
        <v>0</v>
      </c>
      <c r="N30" s="585">
        <f>AM30</f>
        <v>0</v>
      </c>
      <c r="O30" s="586">
        <f>AU30</f>
        <v>0</v>
      </c>
      <c r="P30" s="639">
        <v>0</v>
      </c>
      <c r="Q30" s="639">
        <v>0</v>
      </c>
      <c r="R30" s="309">
        <f>IF(BT136 = 1, 0, BG136)</f>
        <v>0</v>
      </c>
      <c r="S30" s="309">
        <f>IF($L$123=0,0,R30*$H$123/$L$123)</f>
        <v>0</v>
      </c>
      <c r="T30" s="309">
        <f>IF(R30-S30&lt;0,0,R30-S30)*C30</f>
        <v>0</v>
      </c>
      <c r="U30" s="555">
        <v>0</v>
      </c>
      <c r="V30" s="595">
        <f t="shared" si="13"/>
        <v>0</v>
      </c>
      <c r="W30" s="596">
        <f t="shared" si="14"/>
        <v>0</v>
      </c>
      <c r="X30" s="597">
        <f>IF(W30=0,0,T30/W30)</f>
        <v>0</v>
      </c>
      <c r="Y30" s="678">
        <f>IF(BU136 = 1, 0, BK136)</f>
        <v>0</v>
      </c>
      <c r="Z30" s="309">
        <f>IF(BX30=1,Y30,R30)*C30</f>
        <v>0</v>
      </c>
      <c r="AA30" s="309">
        <f t="shared" si="19"/>
        <v>0</v>
      </c>
      <c r="AB30" s="309">
        <f t="shared" si="20"/>
        <v>0</v>
      </c>
      <c r="AC30" s="555">
        <v>0</v>
      </c>
      <c r="AD30" s="595">
        <f t="shared" si="15"/>
        <v>0</v>
      </c>
      <c r="AE30" s="596">
        <f t="shared" si="16"/>
        <v>0</v>
      </c>
      <c r="AF30" s="597">
        <f>IF(AE30=0,0,AB30/AE30)</f>
        <v>0</v>
      </c>
      <c r="AG30" s="458">
        <f>IF(AE30=0,0,(T30-AB30)/AE30)</f>
        <v>0</v>
      </c>
      <c r="AH30" s="458">
        <f>X30-AF30-AG30</f>
        <v>0</v>
      </c>
      <c r="AI30" s="458">
        <f>VLOOKUP(V30,$H$3:$N$8,7,FALSE)</f>
        <v>0</v>
      </c>
      <c r="AJ30" s="458">
        <f>VLOOKUP(AD30,$H$3:$N$8,7,FALSE)</f>
        <v>0</v>
      </c>
      <c r="AK30" s="458">
        <f>IF(AND(AG30=0,AH30=0),0,(X30*AI30-AF30*AJ30)/IF(AG30+AH30=0,ABS(AG30)*2,AG30+AH30)*AG30)</f>
        <v>0</v>
      </c>
      <c r="AL30" s="458">
        <f>IF(AND(AG30=0,AH30=0),0,(X30*AI30-AF30*AJ30)/IF(AG30+AH30=0,ABS(AG30)*2,AG30+AH30)*AH30)</f>
        <v>0</v>
      </c>
      <c r="AM30" s="309">
        <f>IF(BT136 = 0, 0, BO136)</f>
        <v>0</v>
      </c>
      <c r="AN30" s="309">
        <f t="shared" si="21"/>
        <v>0</v>
      </c>
      <c r="AO30" s="309">
        <f>AM30+AN30</f>
        <v>0</v>
      </c>
      <c r="AP30" s="555">
        <v>0</v>
      </c>
      <c r="AQ30" s="595">
        <f t="shared" si="22"/>
        <v>0</v>
      </c>
      <c r="AR30" s="596">
        <f t="shared" si="23"/>
        <v>0</v>
      </c>
      <c r="AS30" s="458">
        <f>IF(AR30=0,0,AO30/AR30)</f>
        <v>0</v>
      </c>
      <c r="AT30" s="598">
        <f>IF(BU136 = 0, 0, BS136)</f>
        <v>0</v>
      </c>
      <c r="AU30" s="598">
        <f>IF(BX30=1,AT30,AM30)</f>
        <v>0</v>
      </c>
      <c r="AV30" s="309">
        <f t="shared" si="24"/>
        <v>0</v>
      </c>
      <c r="AW30" s="309">
        <f>AU30+AV30</f>
        <v>0</v>
      </c>
      <c r="AX30" s="555">
        <v>0</v>
      </c>
      <c r="AY30" s="595">
        <f t="shared" si="25"/>
        <v>0</v>
      </c>
      <c r="AZ30" s="596">
        <f t="shared" si="26"/>
        <v>0</v>
      </c>
      <c r="BA30" s="458">
        <f>IF(AZ30=0,0,AW30/AZ30)</f>
        <v>0</v>
      </c>
      <c r="BB30" s="458">
        <f>IF(AZ30=0,0,(AO30-AW30)/AZ30)</f>
        <v>0</v>
      </c>
      <c r="BC30" s="458">
        <f>AS30-BA30-BB30</f>
        <v>0</v>
      </c>
      <c r="BD30" s="458">
        <f>VLOOKUP(AQ30,$H$3:$N$8,7,FALSE)</f>
        <v>0</v>
      </c>
      <c r="BE30" s="458">
        <f>VLOOKUP(AY30,$H$3:$N$8,7,FALSE)</f>
        <v>0</v>
      </c>
      <c r="BF30" s="458">
        <f>IF(AND(BB30=0,BC30=0),0,(AS30*BD30-BA30*BE30)/IF(BB30+BC30=0,ABS(BB30)*2,BB30+BC30)*BB30)</f>
        <v>0</v>
      </c>
      <c r="BG30" s="458">
        <f>IF(AND(BB30=0,BC30=0),0,(AS30*BD30-BA30*BE30)/IF(BB30+BC30=0,ABS(BB30)*2,BB30+BC30)*BC30)</f>
        <v>0</v>
      </c>
      <c r="BH30" s="458"/>
      <c r="BJ30" s="463"/>
      <c r="BT30" s="476"/>
      <c r="BU30" s="405">
        <v>0</v>
      </c>
      <c r="BV30" s="319">
        <f t="shared" si="27"/>
        <v>0</v>
      </c>
      <c r="BW30" s="319">
        <f t="shared" si="28"/>
        <v>0</v>
      </c>
      <c r="BX30" s="319">
        <f>IF('Modelo Energético '!$Q55=TRUE,1,0)</f>
        <v>1</v>
      </c>
      <c r="CA30" s="681">
        <v>0</v>
      </c>
      <c r="CB30" s="681">
        <v>0</v>
      </c>
      <c r="CC30" s="681">
        <v>0</v>
      </c>
      <c r="CD30" s="681">
        <v>0</v>
      </c>
      <c r="CE30" s="667"/>
      <c r="CF30" s="667"/>
      <c r="CG30" s="667"/>
      <c r="CH30" s="667"/>
      <c r="CI30" s="667"/>
      <c r="CJ30" s="667"/>
      <c r="CK30" s="667"/>
      <c r="CL30" s="667"/>
      <c r="CM30" s="667"/>
      <c r="CR30" s="667"/>
      <c r="CS30" s="667"/>
      <c r="CT30" s="667"/>
      <c r="CU30" s="667"/>
      <c r="CV30" s="667"/>
      <c r="CW30" s="667"/>
      <c r="CX30" s="667"/>
      <c r="CY30" s="667"/>
      <c r="CZ30" s="667"/>
      <c r="DA30" s="667"/>
      <c r="DB30" s="667"/>
      <c r="DC30" s="667"/>
      <c r="DD30" s="667"/>
      <c r="DE30" s="667"/>
      <c r="DF30" s="667"/>
      <c r="DG30" s="667"/>
      <c r="DH30" s="668"/>
      <c r="DI30" s="668"/>
      <c r="DJ30" s="668"/>
      <c r="DK30" s="667"/>
      <c r="DL30" s="668"/>
      <c r="DM30" s="667"/>
      <c r="DN30" s="668"/>
      <c r="DO30" s="667"/>
      <c r="DP30" s="668"/>
      <c r="DQ30" s="667"/>
      <c r="DR30" s="667"/>
      <c r="DS30" s="667"/>
      <c r="DT30" s="667"/>
      <c r="DU30" s="667"/>
      <c r="DV30" s="667"/>
      <c r="DW30" s="667"/>
      <c r="DX30" s="667"/>
      <c r="DY30" s="667"/>
      <c r="DZ30" s="667"/>
      <c r="EA30" s="667"/>
      <c r="EB30" s="667"/>
      <c r="EC30" s="681">
        <v>0</v>
      </c>
      <c r="ED30" s="667"/>
      <c r="EE30" s="681">
        <v>0</v>
      </c>
      <c r="EF30" s="667"/>
      <c r="EG30" s="681">
        <v>0</v>
      </c>
      <c r="EH30" s="681">
        <v>0</v>
      </c>
      <c r="EI30" s="681">
        <v>1</v>
      </c>
      <c r="EJ30" s="667"/>
      <c r="EK30" s="681">
        <v>0</v>
      </c>
      <c r="EL30" s="681">
        <v>0</v>
      </c>
      <c r="EM30" s="681">
        <v>1</v>
      </c>
      <c r="EN30" s="667"/>
      <c r="EO30" s="679"/>
      <c r="EP30" s="679"/>
      <c r="EQ30" s="667"/>
      <c r="ER30" s="667"/>
      <c r="ES30" s="667"/>
      <c r="ET30" s="667"/>
      <c r="EU30" s="667"/>
      <c r="EV30" s="667"/>
      <c r="EW30" s="667"/>
      <c r="EX30" s="667"/>
      <c r="EY30" s="667"/>
      <c r="EZ30" s="667"/>
      <c r="FA30" s="667"/>
      <c r="FB30" s="667"/>
      <c r="FC30" s="667"/>
      <c r="FD30" s="667"/>
      <c r="FE30" s="667"/>
      <c r="FF30" s="667"/>
      <c r="FG30" s="667"/>
      <c r="FH30" s="667"/>
      <c r="FI30" s="667"/>
      <c r="FJ30" s="667"/>
      <c r="FK30" s="667"/>
      <c r="FL30" s="667"/>
      <c r="FM30" s="667"/>
      <c r="FN30" s="667"/>
      <c r="FO30" s="667"/>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row>
    <row r="31" spans="1:256" s="319" customFormat="1" ht="13.2">
      <c r="A31" s="594" t="s">
        <v>510</v>
      </c>
      <c r="B31" s="481"/>
      <c r="C31" s="594">
        <v>1</v>
      </c>
      <c r="D31" s="637"/>
      <c r="E31" s="576">
        <f t="shared" si="12"/>
        <v>0</v>
      </c>
      <c r="F31" s="353">
        <f t="shared" si="17"/>
        <v>0</v>
      </c>
      <c r="G31" s="471">
        <f t="shared" si="18"/>
        <v>0</v>
      </c>
      <c r="H31" s="450"/>
      <c r="I31" s="463"/>
      <c r="J31" s="463"/>
      <c r="K31" s="471"/>
      <c r="L31" s="585">
        <f>R31</f>
        <v>0</v>
      </c>
      <c r="M31" s="586">
        <f>Z31</f>
        <v>0</v>
      </c>
      <c r="N31" s="585">
        <f>AM31</f>
        <v>0</v>
      </c>
      <c r="O31" s="586">
        <f>AU31</f>
        <v>0</v>
      </c>
      <c r="P31" s="639">
        <v>0</v>
      </c>
      <c r="Q31" s="639">
        <v>0</v>
      </c>
      <c r="R31" s="309">
        <f>IF(BT137 = 1, 0, BG137)</f>
        <v>0</v>
      </c>
      <c r="S31" s="309">
        <f>IF($L$123=0,0,R31*$H$123/$L$123)</f>
        <v>0</v>
      </c>
      <c r="T31" s="309">
        <f>IF(R31-S31&lt;0,0,R31-S31)*C31</f>
        <v>0</v>
      </c>
      <c r="U31" s="555">
        <v>0</v>
      </c>
      <c r="V31" s="595">
        <f t="shared" si="13"/>
        <v>0</v>
      </c>
      <c r="W31" s="596">
        <f t="shared" si="14"/>
        <v>0</v>
      </c>
      <c r="X31" s="597">
        <f>IF(W31=0,0,T31/W31)</f>
        <v>0</v>
      </c>
      <c r="Y31" s="678">
        <f>IF(BU137 = 1, 0, BK137)</f>
        <v>0</v>
      </c>
      <c r="Z31" s="309">
        <f>IF(BX31=1,Y31,R31)*C31</f>
        <v>0</v>
      </c>
      <c r="AA31" s="309">
        <f t="shared" si="19"/>
        <v>0</v>
      </c>
      <c r="AB31" s="309">
        <f t="shared" si="20"/>
        <v>0</v>
      </c>
      <c r="AC31" s="555">
        <v>0</v>
      </c>
      <c r="AD31" s="595">
        <f t="shared" si="15"/>
        <v>0</v>
      </c>
      <c r="AE31" s="596">
        <f t="shared" si="16"/>
        <v>0</v>
      </c>
      <c r="AF31" s="597">
        <f>IF(AE31=0,0,AB31/AE31)</f>
        <v>0</v>
      </c>
      <c r="AG31" s="458">
        <f>IF(AE31=0,0,(T31-AB31)/AE31)</f>
        <v>0</v>
      </c>
      <c r="AH31" s="458">
        <f>X31-AF31-AG31</f>
        <v>0</v>
      </c>
      <c r="AI31" s="458">
        <f>VLOOKUP(V31,$H$3:$N$8,7,FALSE)</f>
        <v>0</v>
      </c>
      <c r="AJ31" s="458">
        <f>VLOOKUP(AD31,$H$3:$N$8,7,FALSE)</f>
        <v>0</v>
      </c>
      <c r="AK31" s="458">
        <f>IF(AND(AG31=0,AH31=0),0,(X31*AI31-AF31*AJ31)/IF(AG31+AH31=0,ABS(AG31)*2,AG31+AH31)*AG31)</f>
        <v>0</v>
      </c>
      <c r="AL31" s="458">
        <f>IF(AND(AG31=0,AH31=0),0,(X31*AI31-AF31*AJ31)/IF(AG31+AH31=0,ABS(AG31)*2,AG31+AH31)*AH31)</f>
        <v>0</v>
      </c>
      <c r="AM31" s="309">
        <f>IF(BT137 = 0, 0, BO137)</f>
        <v>0</v>
      </c>
      <c r="AN31" s="309">
        <f t="shared" si="21"/>
        <v>0</v>
      </c>
      <c r="AO31" s="309">
        <f>AM31+AN31</f>
        <v>0</v>
      </c>
      <c r="AP31" s="555">
        <v>0</v>
      </c>
      <c r="AQ31" s="595">
        <f t="shared" si="22"/>
        <v>0</v>
      </c>
      <c r="AR31" s="596">
        <f t="shared" si="23"/>
        <v>0</v>
      </c>
      <c r="AS31" s="458">
        <f>IF(AR31=0,0,AO31/AR31)</f>
        <v>0</v>
      </c>
      <c r="AT31" s="598">
        <f>IF(BU137 = 0, 0, BS137)</f>
        <v>0</v>
      </c>
      <c r="AU31" s="598">
        <f>IF(BX31=1,AT31,AM31)</f>
        <v>0</v>
      </c>
      <c r="AV31" s="309">
        <f t="shared" si="24"/>
        <v>0</v>
      </c>
      <c r="AW31" s="309">
        <f>AU31+AV31</f>
        <v>0</v>
      </c>
      <c r="AX31" s="555">
        <v>0</v>
      </c>
      <c r="AY31" s="595">
        <f t="shared" si="25"/>
        <v>0</v>
      </c>
      <c r="AZ31" s="596">
        <f t="shared" si="26"/>
        <v>0</v>
      </c>
      <c r="BA31" s="458">
        <f>IF(AZ31=0,0,AW31/AZ31)</f>
        <v>0</v>
      </c>
      <c r="BB31" s="458">
        <f>IF(AZ31=0,0,(AO31-AW31)/AZ31)</f>
        <v>0</v>
      </c>
      <c r="BC31" s="458">
        <f>AS31-BA31-BB31</f>
        <v>0</v>
      </c>
      <c r="BD31" s="458">
        <f>VLOOKUP(AQ31,$H$3:$N$8,7,FALSE)</f>
        <v>0</v>
      </c>
      <c r="BE31" s="458">
        <f>VLOOKUP(AY31,$H$3:$N$8,7,FALSE)</f>
        <v>0</v>
      </c>
      <c r="BF31" s="458">
        <f>IF(AND(BB31=0,BC31=0),0,(AS31*BD31-BA31*BE31)/IF(BB31+BC31=0,ABS(BB31)*2,BB31+BC31)*BB31)</f>
        <v>0</v>
      </c>
      <c r="BG31" s="458">
        <f>IF(AND(BB31=0,BC31=0),0,(AS31*BD31-BA31*BE31)/IF(BB31+BC31=0,ABS(BB31)*2,BB31+BC31)*BC31)</f>
        <v>0</v>
      </c>
      <c r="BH31" s="458"/>
      <c r="BJ31" s="463"/>
      <c r="BT31" s="476"/>
      <c r="BU31" s="405">
        <v>0</v>
      </c>
      <c r="BV31" s="319">
        <f t="shared" si="27"/>
        <v>0</v>
      </c>
      <c r="BW31" s="319">
        <f t="shared" si="28"/>
        <v>0</v>
      </c>
      <c r="BX31" s="319">
        <f>IF('Modelo Energético '!$Q56=TRUE,1,0)</f>
        <v>1</v>
      </c>
      <c r="CA31" s="681">
        <v>0</v>
      </c>
      <c r="CB31" s="681">
        <v>0</v>
      </c>
      <c r="CC31" s="681">
        <v>0</v>
      </c>
      <c r="CD31" s="681">
        <v>0</v>
      </c>
      <c r="CE31" s="667"/>
      <c r="CF31" s="667"/>
      <c r="CG31" s="667"/>
      <c r="CH31" s="667"/>
      <c r="CI31" s="667"/>
      <c r="CJ31" s="667"/>
      <c r="CK31" s="667"/>
      <c r="CL31" s="667"/>
      <c r="CM31" s="667"/>
      <c r="CN31" s="667"/>
      <c r="CO31" s="1038"/>
      <c r="CP31" s="667"/>
      <c r="CQ31" s="667"/>
      <c r="CR31" s="667"/>
      <c r="CS31" s="667"/>
      <c r="CT31" s="667"/>
      <c r="CU31" s="667"/>
      <c r="CV31" s="667"/>
      <c r="CW31" s="667"/>
      <c r="CX31" s="667"/>
      <c r="CY31" s="667"/>
      <c r="CZ31" s="667"/>
      <c r="DA31" s="667"/>
      <c r="DB31" s="667"/>
      <c r="DC31" s="667"/>
      <c r="DD31" s="667"/>
      <c r="DE31" s="667"/>
      <c r="DF31" s="667"/>
      <c r="DG31" s="667"/>
      <c r="DH31" s="668"/>
      <c r="DI31" s="668"/>
      <c r="DJ31" s="668"/>
      <c r="DK31" s="667"/>
      <c r="DL31" s="668"/>
      <c r="DM31" s="667"/>
      <c r="DN31" s="668"/>
      <c r="DO31" s="667"/>
      <c r="DP31" s="668"/>
      <c r="DQ31" s="667"/>
      <c r="DR31" s="667"/>
      <c r="DS31" s="667"/>
      <c r="DT31" s="667"/>
      <c r="DU31" s="667"/>
      <c r="DV31" s="667"/>
      <c r="DW31" s="667"/>
      <c r="DX31" s="667"/>
      <c r="DY31" s="667"/>
      <c r="DZ31" s="667"/>
      <c r="EA31" s="667"/>
      <c r="EB31" s="667"/>
      <c r="EC31" s="681">
        <v>0</v>
      </c>
      <c r="ED31" s="667"/>
      <c r="EE31" s="681">
        <v>0</v>
      </c>
      <c r="EF31" s="667"/>
      <c r="EG31" s="681">
        <v>0</v>
      </c>
      <c r="EH31" s="681">
        <v>0</v>
      </c>
      <c r="EI31" s="681">
        <v>1</v>
      </c>
      <c r="EJ31" s="667"/>
      <c r="EK31" s="681">
        <v>0</v>
      </c>
      <c r="EL31" s="681">
        <v>0</v>
      </c>
      <c r="EM31" s="681">
        <v>1</v>
      </c>
      <c r="EN31" s="667"/>
      <c r="EO31" s="679"/>
      <c r="EP31" s="679"/>
      <c r="EQ31" s="667"/>
      <c r="ER31" s="667"/>
      <c r="ES31" s="667"/>
      <c r="ET31" s="667"/>
      <c r="EU31" s="667"/>
      <c r="EV31" s="667"/>
      <c r="EW31" s="667"/>
      <c r="EX31" s="667"/>
      <c r="EY31" s="667"/>
      <c r="EZ31" s="667"/>
      <c r="FA31" s="667"/>
      <c r="FB31" s="667"/>
      <c r="FC31" s="667"/>
      <c r="FD31" s="667"/>
      <c r="FE31" s="667"/>
      <c r="FF31" s="667"/>
      <c r="FG31" s="667"/>
      <c r="FH31" s="667"/>
      <c r="FI31" s="667"/>
      <c r="FJ31" s="667"/>
      <c r="FK31" s="667"/>
      <c r="FL31" s="667"/>
      <c r="FM31" s="667"/>
      <c r="FN31" s="667"/>
      <c r="FO31" s="667"/>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s="319" customFormat="1" ht="13.2">
      <c r="A32" s="594" t="s">
        <v>1464</v>
      </c>
      <c r="B32" s="481"/>
      <c r="C32" s="594">
        <v>1</v>
      </c>
      <c r="D32" s="637"/>
      <c r="E32" s="576">
        <f t="shared" si="12"/>
        <v>0</v>
      </c>
      <c r="F32" s="353">
        <f t="shared" si="17"/>
        <v>0</v>
      </c>
      <c r="G32" s="471">
        <f t="shared" si="18"/>
        <v>0</v>
      </c>
      <c r="H32" s="450"/>
      <c r="I32" s="463"/>
      <c r="J32" s="463"/>
      <c r="K32" s="471"/>
      <c r="L32" s="585">
        <f>R32</f>
        <v>0</v>
      </c>
      <c r="M32" s="586">
        <f>Z32</f>
        <v>0</v>
      </c>
      <c r="N32" s="585">
        <f>AM32</f>
        <v>0</v>
      </c>
      <c r="O32" s="586">
        <f>AU32</f>
        <v>0</v>
      </c>
      <c r="P32" s="639">
        <v>0</v>
      </c>
      <c r="Q32" s="639">
        <v>0</v>
      </c>
      <c r="R32" s="309">
        <f>IF(BT138 = 1, 0, BG138)</f>
        <v>0</v>
      </c>
      <c r="S32" s="309">
        <f>IF($L$123=0,0,R32*$H$123/$L$123)</f>
        <v>0</v>
      </c>
      <c r="T32" s="309">
        <f>IF(R32-S32&lt;0,0,R32-S32)*C32</f>
        <v>0</v>
      </c>
      <c r="U32" s="555">
        <v>0</v>
      </c>
      <c r="V32" s="595">
        <f t="shared" si="13"/>
        <v>0</v>
      </c>
      <c r="W32" s="596">
        <f t="shared" si="14"/>
        <v>0</v>
      </c>
      <c r="X32" s="597">
        <f>IF(W32=0,0,T32/W32)</f>
        <v>0</v>
      </c>
      <c r="Y32" s="678">
        <f>IF(BU138 = 1, 0, BK138)</f>
        <v>0</v>
      </c>
      <c r="Z32" s="309">
        <f>IF(BX32=1,Y32,R32)*C32</f>
        <v>0</v>
      </c>
      <c r="AA32" s="309">
        <f t="shared" si="19"/>
        <v>0</v>
      </c>
      <c r="AB32" s="309">
        <f t="shared" si="20"/>
        <v>0</v>
      </c>
      <c r="AC32" s="555">
        <v>0</v>
      </c>
      <c r="AD32" s="595">
        <f t="shared" si="15"/>
        <v>0</v>
      </c>
      <c r="AE32" s="596">
        <f t="shared" si="16"/>
        <v>0</v>
      </c>
      <c r="AF32" s="597">
        <f>IF(AE32=0,0,AB32/AE32)</f>
        <v>0</v>
      </c>
      <c r="AG32" s="458">
        <f>IF(AE32=0,0,(T32-AB32)/AE32)</f>
        <v>0</v>
      </c>
      <c r="AH32" s="458">
        <f>X32-AF32-AG32</f>
        <v>0</v>
      </c>
      <c r="AI32" s="458">
        <f>VLOOKUP(V32,$H$3:$N$8,7,FALSE)</f>
        <v>0</v>
      </c>
      <c r="AJ32" s="458">
        <f>VLOOKUP(AD32,$H$3:$N$8,7,FALSE)</f>
        <v>0</v>
      </c>
      <c r="AK32" s="458">
        <f>IF(AND(AG32=0,AH32=0),0,(X32*AI32-AF32*AJ32)/IF(AG32+AH32=0,ABS(AG32)*2,AG32+AH32)*AG32)</f>
        <v>0</v>
      </c>
      <c r="AL32" s="458">
        <f>IF(AND(AG32=0,AH32=0),0,(X32*AI32-AF32*AJ32)/IF(AG32+AH32=0,ABS(AG32)*2,AG32+AH32)*AH32)</f>
        <v>0</v>
      </c>
      <c r="AM32" s="309">
        <f>IF(BT138 = 0, 0, BO138)</f>
        <v>0</v>
      </c>
      <c r="AN32" s="309">
        <f t="shared" si="21"/>
        <v>0</v>
      </c>
      <c r="AO32" s="309">
        <f>AM32+AN32</f>
        <v>0</v>
      </c>
      <c r="AP32" s="555">
        <v>0</v>
      </c>
      <c r="AQ32" s="595">
        <f t="shared" si="22"/>
        <v>0</v>
      </c>
      <c r="AR32" s="596">
        <f t="shared" si="23"/>
        <v>0</v>
      </c>
      <c r="AS32" s="458">
        <f>IF(AR32=0,0,AO32/AR32)</f>
        <v>0</v>
      </c>
      <c r="AT32" s="598">
        <f>IF(BU138 = 0, 0, BS138)</f>
        <v>0</v>
      </c>
      <c r="AU32" s="598">
        <f>IF(BX32=1,AT32,AM32)</f>
        <v>0</v>
      </c>
      <c r="AV32" s="309">
        <f t="shared" si="24"/>
        <v>0</v>
      </c>
      <c r="AW32" s="309">
        <f>AU32+AV32</f>
        <v>0</v>
      </c>
      <c r="AX32" s="555">
        <v>0</v>
      </c>
      <c r="AY32" s="595">
        <f t="shared" si="25"/>
        <v>0</v>
      </c>
      <c r="AZ32" s="596">
        <f t="shared" si="26"/>
        <v>0</v>
      </c>
      <c r="BA32" s="458">
        <f>IF(AZ32=0,0,AW32/AZ32)</f>
        <v>0</v>
      </c>
      <c r="BB32" s="458">
        <f>IF(AZ32=0,0,(AO32-AW32)/AZ32)</f>
        <v>0</v>
      </c>
      <c r="BC32" s="458">
        <f>AS32-BA32-BB32</f>
        <v>0</v>
      </c>
      <c r="BD32" s="458">
        <f>VLOOKUP(AQ32,$H$3:$N$8,7,FALSE)</f>
        <v>0</v>
      </c>
      <c r="BE32" s="458">
        <f>VLOOKUP(AY32,$H$3:$N$8,7,FALSE)</f>
        <v>0</v>
      </c>
      <c r="BF32" s="458">
        <f>IF(AND(BB32=0,BC32=0),0,(AS32*BD32-BA32*BE32)/IF(BB32+BC32=0,ABS(BB32)*2,BB32+BC32)*BB32)</f>
        <v>0</v>
      </c>
      <c r="BG32" s="458">
        <f>IF(AND(BB32=0,BC32=0),0,(AS32*BD32-BA32*BE32)/IF(BB32+BC32=0,ABS(BB32)*2,BB32+BC32)*BC32)</f>
        <v>0</v>
      </c>
      <c r="BH32" s="458"/>
      <c r="BJ32" s="463"/>
      <c r="BT32" s="476"/>
      <c r="BU32" s="405">
        <v>0</v>
      </c>
      <c r="BV32" s="319">
        <f t="shared" si="27"/>
        <v>0</v>
      </c>
      <c r="BW32" s="319">
        <f t="shared" si="28"/>
        <v>0</v>
      </c>
      <c r="BX32" s="319">
        <f>IF('Modelo Energético '!$Q57=TRUE,1,0)</f>
        <v>1</v>
      </c>
      <c r="CA32" s="681">
        <v>0</v>
      </c>
      <c r="CB32" s="681">
        <v>0</v>
      </c>
      <c r="CC32" s="681">
        <v>0</v>
      </c>
      <c r="CD32" s="681">
        <v>0</v>
      </c>
      <c r="CE32" s="667"/>
      <c r="CF32" s="667"/>
      <c r="CG32" s="667"/>
      <c r="CH32" s="667"/>
      <c r="CI32" s="667"/>
      <c r="CJ32" s="667"/>
      <c r="CK32" s="667"/>
      <c r="CL32" s="667"/>
      <c r="CM32" s="667"/>
      <c r="CN32" s="667"/>
      <c r="CO32" s="1050"/>
      <c r="CP32" s="667"/>
      <c r="CQ32" s="1051"/>
      <c r="CR32" s="667"/>
      <c r="CS32" s="667"/>
      <c r="CT32" s="667"/>
      <c r="CU32" s="667"/>
      <c r="CV32" s="667"/>
      <c r="CW32" s="667"/>
      <c r="CX32" s="667"/>
      <c r="CY32" s="667"/>
      <c r="CZ32" s="667"/>
      <c r="DA32" s="667"/>
      <c r="DB32" s="667"/>
      <c r="DC32" s="667"/>
      <c r="DD32" s="667"/>
      <c r="DE32" s="667"/>
      <c r="DF32" s="667"/>
      <c r="DG32" s="667"/>
      <c r="DH32" s="668"/>
      <c r="DI32" s="668"/>
      <c r="DJ32" s="668"/>
      <c r="DK32" s="667"/>
      <c r="DL32" s="668"/>
      <c r="DM32" s="667"/>
      <c r="DN32" s="668"/>
      <c r="DO32" s="667"/>
      <c r="DP32" s="668"/>
      <c r="DQ32" s="667"/>
      <c r="DR32" s="667"/>
      <c r="DS32" s="667"/>
      <c r="DT32" s="667"/>
      <c r="DU32" s="667"/>
      <c r="DV32" s="667"/>
      <c r="DW32" s="667"/>
      <c r="DX32" s="667"/>
      <c r="DY32" s="667"/>
      <c r="DZ32" s="667"/>
      <c r="EA32" s="667"/>
      <c r="EB32" s="667"/>
      <c r="EC32" s="681">
        <v>0</v>
      </c>
      <c r="ED32" s="667"/>
      <c r="EE32" s="681">
        <v>0</v>
      </c>
      <c r="EF32" s="667"/>
      <c r="EG32" s="681">
        <v>0</v>
      </c>
      <c r="EH32" s="681">
        <v>0</v>
      </c>
      <c r="EI32" s="681">
        <v>1</v>
      </c>
      <c r="EJ32" s="667"/>
      <c r="EK32" s="681">
        <v>0</v>
      </c>
      <c r="EL32" s="681">
        <v>0</v>
      </c>
      <c r="EM32" s="681">
        <v>1</v>
      </c>
      <c r="EN32" s="667"/>
      <c r="EO32" s="679"/>
      <c r="EP32" s="679"/>
      <c r="EQ32" s="667"/>
      <c r="ER32" s="667"/>
      <c r="ES32" s="667"/>
      <c r="ET32" s="667"/>
      <c r="EU32" s="667"/>
      <c r="EV32" s="667"/>
      <c r="EW32" s="667"/>
      <c r="EX32" s="667"/>
      <c r="EY32" s="667"/>
      <c r="EZ32" s="667"/>
      <c r="FA32" s="667"/>
      <c r="FB32" s="667"/>
      <c r="FC32" s="667"/>
      <c r="FD32" s="667"/>
      <c r="FE32" s="667"/>
      <c r="FF32" s="667"/>
      <c r="FG32" s="667"/>
      <c r="FH32" s="667"/>
      <c r="FI32" s="667"/>
      <c r="FJ32" s="667"/>
      <c r="FK32" s="667"/>
      <c r="FL32" s="667"/>
      <c r="FM32" s="667"/>
      <c r="FN32" s="667"/>
      <c r="FO32" s="667"/>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row>
    <row r="33" spans="1:256" s="319" customFormat="1" ht="38.25" customHeight="1">
      <c r="A33" s="594"/>
      <c r="B33" s="481"/>
      <c r="C33" s="594"/>
      <c r="D33" s="594"/>
      <c r="E33" s="576"/>
      <c r="F33" s="353"/>
      <c r="G33" s="471"/>
      <c r="H33" s="450"/>
      <c r="I33" s="463"/>
      <c r="J33" s="463"/>
      <c r="K33" s="471"/>
      <c r="L33" s="585"/>
      <c r="M33" s="586"/>
      <c r="N33" s="585"/>
      <c r="O33" s="586"/>
      <c r="S33" s="309"/>
      <c r="T33" s="309"/>
      <c r="V33" s="595"/>
      <c r="W33" s="596"/>
      <c r="Z33" s="309"/>
      <c r="AA33" s="309"/>
      <c r="AB33" s="309"/>
      <c r="AD33" s="595"/>
      <c r="AE33" s="596"/>
      <c r="AN33" s="309"/>
      <c r="AQ33" s="595"/>
      <c r="AR33" s="596"/>
      <c r="AU33" s="598"/>
      <c r="AV33" s="309"/>
      <c r="AY33" s="595"/>
      <c r="AZ33" s="596"/>
      <c r="BH33" s="458"/>
      <c r="BJ33" s="463"/>
      <c r="BN33" s="463"/>
      <c r="BO33" s="463"/>
      <c r="BP33" s="463"/>
      <c r="BQ33" s="463"/>
      <c r="BT33" s="476"/>
      <c r="BU33" s="481"/>
      <c r="CA33" s="603" t="s">
        <v>1333</v>
      </c>
      <c r="CB33" s="603" t="s">
        <v>1386</v>
      </c>
      <c r="CC33" s="603" t="s">
        <v>3306</v>
      </c>
      <c r="CD33" s="603" t="s">
        <v>3305</v>
      </c>
      <c r="CE33" s="603" t="s">
        <v>3581</v>
      </c>
      <c r="CF33" s="603" t="s">
        <v>3582</v>
      </c>
      <c r="CG33" s="603" t="s">
        <v>2926</v>
      </c>
      <c r="CH33" s="603" t="s">
        <v>3708</v>
      </c>
      <c r="CI33" s="603" t="s">
        <v>3709</v>
      </c>
      <c r="CJ33" s="603" t="s">
        <v>3710</v>
      </c>
      <c r="CK33" s="603" t="s">
        <v>2750</v>
      </c>
      <c r="CL33" s="603" t="s">
        <v>2751</v>
      </c>
      <c r="CM33" s="603" t="s">
        <v>665</v>
      </c>
      <c r="CN33" s="603" t="s">
        <v>3685</v>
      </c>
      <c r="CO33" s="603" t="s">
        <v>5709</v>
      </c>
      <c r="CP33" s="603" t="s">
        <v>5710</v>
      </c>
      <c r="CQ33" s="603" t="s">
        <v>5711</v>
      </c>
      <c r="CR33" s="603" t="s">
        <v>4852</v>
      </c>
      <c r="CS33" s="393" t="s">
        <v>5872</v>
      </c>
      <c r="CT33" s="603" t="s">
        <v>185</v>
      </c>
      <c r="CU33" s="603" t="s">
        <v>3529</v>
      </c>
      <c r="CV33" s="603" t="s">
        <v>3254</v>
      </c>
      <c r="CW33" s="603" t="s">
        <v>1355</v>
      </c>
      <c r="CX33" s="603" t="s">
        <v>1356</v>
      </c>
      <c r="CY33" s="603" t="s">
        <v>2614</v>
      </c>
      <c r="CZ33" s="603" t="s">
        <v>2615</v>
      </c>
      <c r="DA33" s="603" t="s">
        <v>2616</v>
      </c>
      <c r="DB33" s="603" t="s">
        <v>220</v>
      </c>
      <c r="DC33" s="603" t="s">
        <v>2128</v>
      </c>
      <c r="DH33" s="556"/>
      <c r="DI33" s="556"/>
      <c r="DJ33" s="556"/>
      <c r="DN33" s="556"/>
      <c r="DP33" s="556"/>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s="319" customFormat="1" ht="13.2">
      <c r="A34" s="594" t="s">
        <v>2909</v>
      </c>
      <c r="B34" s="481"/>
      <c r="C34" s="594">
        <v>1</v>
      </c>
      <c r="D34" s="925"/>
      <c r="E34" s="576">
        <f t="shared" si="12"/>
        <v>0</v>
      </c>
      <c r="F34" s="353">
        <f t="shared" si="17"/>
        <v>0</v>
      </c>
      <c r="G34" s="471">
        <f t="shared" si="18"/>
        <v>0</v>
      </c>
      <c r="H34" s="599">
        <f t="shared" ref="H34:K38" si="29">BN34</f>
        <v>0</v>
      </c>
      <c r="I34" s="600">
        <f t="shared" si="29"/>
        <v>0</v>
      </c>
      <c r="J34" s="600">
        <f t="shared" si="29"/>
        <v>0</v>
      </c>
      <c r="K34" s="601">
        <f t="shared" si="29"/>
        <v>0</v>
      </c>
      <c r="L34" s="585">
        <f>R34</f>
        <v>0</v>
      </c>
      <c r="M34" s="586">
        <f>Z34</f>
        <v>0</v>
      </c>
      <c r="N34" s="585">
        <f>AM34</f>
        <v>0</v>
      </c>
      <c r="O34" s="586">
        <f>AU34</f>
        <v>0</v>
      </c>
      <c r="P34" s="639">
        <v>0</v>
      </c>
      <c r="Q34" s="639">
        <v>0</v>
      </c>
      <c r="R34" s="309">
        <f>IF(CS34=0,IF(CM34=1,0,CO34),CT34+CU34)</f>
        <v>0</v>
      </c>
      <c r="S34" s="309">
        <f>IF($L$123=0,0,R34*$H$123/$L$123)</f>
        <v>0</v>
      </c>
      <c r="T34" s="309">
        <f>IF(R34-S34&lt;0,0,R34-S34)*C34</f>
        <v>0</v>
      </c>
      <c r="U34" s="555">
        <v>0</v>
      </c>
      <c r="V34" s="595">
        <f t="shared" si="13"/>
        <v>0</v>
      </c>
      <c r="W34" s="596">
        <f t="shared" si="14"/>
        <v>0</v>
      </c>
      <c r="X34" s="597">
        <f>IF(W34=0,0,T34/W34)</f>
        <v>0</v>
      </c>
      <c r="Y34" s="661">
        <f>IF(CS34=0,IF(CN34=1,0,CP34),CV34+CW34)</f>
        <v>0</v>
      </c>
      <c r="Z34" s="309">
        <f>IF(BX34=1,Y34,R34)*C34</f>
        <v>0</v>
      </c>
      <c r="AA34" s="309">
        <f t="shared" si="19"/>
        <v>0</v>
      </c>
      <c r="AB34" s="309">
        <f t="shared" si="20"/>
        <v>0</v>
      </c>
      <c r="AC34" s="555">
        <v>0</v>
      </c>
      <c r="AD34" s="595">
        <f t="shared" si="15"/>
        <v>0</v>
      </c>
      <c r="AE34" s="596">
        <f t="shared" si="16"/>
        <v>0</v>
      </c>
      <c r="AF34" s="597">
        <f>IF(AE34=0,0,AB34/AE34)</f>
        <v>0</v>
      </c>
      <c r="AG34" s="458">
        <f>IF(AE34=0,0,(T34-AB34)/AE34)</f>
        <v>0</v>
      </c>
      <c r="AH34" s="458">
        <f>X34-AF34-AG34</f>
        <v>0</v>
      </c>
      <c r="AI34" s="458">
        <f>VLOOKUP(V34,$H$3:$N$8,7,FALSE)</f>
        <v>0</v>
      </c>
      <c r="AJ34" s="458">
        <f>VLOOKUP(AD34,$H$3:$N$8,7,FALSE)</f>
        <v>0</v>
      </c>
      <c r="AK34" s="458">
        <f>IF(AND(AG34=0,AH34=0),0,(X34*AI34-AF34*AJ34)/IF(AG34+AH34=0,ABS(AG34)*2,AG34+AH34)*AG34)</f>
        <v>0</v>
      </c>
      <c r="AL34" s="458">
        <f>IF(AND(AG34=0,AH34=0),0,(X34*AI34-AF34*AJ34)/IF(AG34+AH34=0,ABS(AG34)*2,AG34+AH34)*AH34)</f>
        <v>0</v>
      </c>
      <c r="AM34" s="309">
        <f>IF(CS34=0,IF(CM34=0,0,CQ34),CX34+CY34)</f>
        <v>0</v>
      </c>
      <c r="AN34" s="309">
        <f>IF($N$123=0,0,AM34*$J$123/$N$123)</f>
        <v>0</v>
      </c>
      <c r="AO34" s="309">
        <f>AM34+AN34</f>
        <v>0</v>
      </c>
      <c r="AP34" s="555">
        <v>0</v>
      </c>
      <c r="AQ34" s="595">
        <f t="shared" si="22"/>
        <v>0</v>
      </c>
      <c r="AR34" s="596">
        <f t="shared" si="23"/>
        <v>0</v>
      </c>
      <c r="AS34" s="458">
        <f>IF(AR34=0,0,AO34/AR34)</f>
        <v>0</v>
      </c>
      <c r="AT34" s="661">
        <f>IF(CS34=0,IF(CN34=0,0,CR34),CZ34+DA34)</f>
        <v>0</v>
      </c>
      <c r="AU34" s="598">
        <f>IF(BX34=1,AT34,AM34)</f>
        <v>0</v>
      </c>
      <c r="AV34" s="309">
        <f t="shared" si="24"/>
        <v>0</v>
      </c>
      <c r="AW34" s="309">
        <f>AU34+AV34</f>
        <v>0</v>
      </c>
      <c r="AX34" s="555">
        <v>0</v>
      </c>
      <c r="AY34" s="595">
        <f t="shared" si="25"/>
        <v>0</v>
      </c>
      <c r="AZ34" s="596">
        <f t="shared" si="26"/>
        <v>0</v>
      </c>
      <c r="BA34" s="458">
        <f>IF(AZ34=0,0,AW34/AZ34)</f>
        <v>0</v>
      </c>
      <c r="BB34" s="458">
        <f>IF(AZ34=0,0,(AO34-AW34)/AZ34)</f>
        <v>0</v>
      </c>
      <c r="BC34" s="458">
        <f>AS34-BA34-BB34</f>
        <v>0</v>
      </c>
      <c r="BD34" s="458">
        <f>VLOOKUP(AQ34,$H$3:$N$8,7,FALSE)</f>
        <v>0</v>
      </c>
      <c r="BE34" s="458">
        <f>VLOOKUP(AY34,$H$3:$N$8,7,FALSE)</f>
        <v>0</v>
      </c>
      <c r="BF34" s="458">
        <f>IF(AND(BB34=0,BC34=0),0,(AS34*BD34-BA34*BE34)/IF(BB34+BC34=0,ABS(BB34)*2,BB34+BC34)*BB34)</f>
        <v>0</v>
      </c>
      <c r="BG34" s="458">
        <f>IF(AND(BB34=0,BC34=0),0,(AS34*BD34-BA34*BE34)/IF(BB34+BC34=0,ABS(BB34)*2,BB34+BC34)*BC34)</f>
        <v>0</v>
      </c>
      <c r="BH34" s="458">
        <f>(BR34-BK34)*$N$3</f>
        <v>0</v>
      </c>
      <c r="BI34" s="600">
        <f t="shared" ref="BI34:BJ38" si="30">BR34*$C34</f>
        <v>0</v>
      </c>
      <c r="BJ34" s="600">
        <f t="shared" si="30"/>
        <v>0</v>
      </c>
      <c r="BK34" s="598">
        <f>IF(BX34=1,BJ34,BI34)</f>
        <v>0</v>
      </c>
      <c r="BL34" s="371"/>
      <c r="BM34" s="371"/>
      <c r="BN34" s="600">
        <f>BI34*IF(BL34=$BL$23,$BJ$22/12,0)</f>
        <v>0</v>
      </c>
      <c r="BO34" s="600">
        <f>BK34*IF(BL34=$BL$23,$BJ$22/12,0)</f>
        <v>0</v>
      </c>
      <c r="BP34" s="600">
        <f>BI34*IF(BM34=$BL$23,$BJ$23/12,0)</f>
        <v>0</v>
      </c>
      <c r="BQ34" s="600">
        <f>BK34*IF(BM34=$BL$23,$BJ$23/12,0)</f>
        <v>0</v>
      </c>
      <c r="BR34" s="598"/>
      <c r="BS34" s="598"/>
      <c r="BT34" s="476"/>
      <c r="BU34" s="405">
        <v>0</v>
      </c>
      <c r="BV34" s="319">
        <f t="shared" si="27"/>
        <v>0</v>
      </c>
      <c r="BW34" s="319">
        <f t="shared" si="28"/>
        <v>0</v>
      </c>
      <c r="BX34" s="319">
        <f>IF('Modelo Energético '!$Q59=TRUE,1,0)</f>
        <v>1</v>
      </c>
      <c r="CA34" s="662">
        <v>0</v>
      </c>
      <c r="CB34" s="662">
        <v>0</v>
      </c>
      <c r="CC34" s="662">
        <v>0</v>
      </c>
      <c r="CD34" s="662">
        <v>0</v>
      </c>
      <c r="CE34" s="662">
        <v>0</v>
      </c>
      <c r="CF34" s="662">
        <v>0</v>
      </c>
      <c r="CG34" s="662">
        <v>0</v>
      </c>
      <c r="CH34" s="662">
        <v>0</v>
      </c>
      <c r="CI34" s="662">
        <v>0</v>
      </c>
      <c r="CJ34" s="662">
        <v>0</v>
      </c>
      <c r="CK34" s="662">
        <v>1</v>
      </c>
      <c r="CL34" s="662">
        <v>1</v>
      </c>
      <c r="CM34" s="662">
        <v>0</v>
      </c>
      <c r="CN34" s="662">
        <v>0</v>
      </c>
      <c r="CO34" s="1061">
        <f>CK34*((CA34*VLOOKUP(IF(DB34,CE34,0),$BW$16:$CC$21,6,FALSE)+CB34*(8760-VLOOKUP(IF(DB34,CE34,0),$BW$16:$CC$21,6,FALSE)))*7*$CL$7*1.21/10^6+(CG34*VLOOKUP(IF(DB34,CE34,0),$CV$16:$DA$21,3,FALSE)+CH34*VLOOKUP(IF(DB34,CE34,0),$CV$16:$DA$21,4,FALSE))*$CX$23)</f>
        <v>0</v>
      </c>
      <c r="CP34" s="1062">
        <f>CL34*((CC34*VLOOKUP(IF(DC34,CF34,0),$BW$16:$CC$21,6,FALSE)+CD34*(8760-VLOOKUP(IF(DC34,CF34,0),$BW$16:$CC$21,6,FALSE)))*7*$CL$7*1.21/10^6+(CI34*VLOOKUP(IF(DC34,CF34,0),$CV$16:$DA$21,3,FALSE)+CJ34*VLOOKUP(IF(DC34,CF34,0),$CV$16:$DA$21,4,FALSE))*$CX$23)</f>
        <v>0</v>
      </c>
      <c r="CQ34" s="1063">
        <f>CK34*((CA34*VLOOKUP(IF(DB34,CE34,0),$BW$16:$CC$21,6,FALSE)+CB34*(8760-VLOOKUP(IF(DB34,CE34,0),$BW$16:$CC$21,6,FALSE)))*4*(1-$CL$7)*1.21/10^6+(CG34*VLOOKUP(IF(DB34,CE34,0),$CV$16:$DA$21,5,FALSE)+CH34*VLOOKUP(IF(DB34,CE34,0),$CV$16:$DA$21,6,FALSE))*$CX$23)</f>
        <v>0</v>
      </c>
      <c r="CR34" s="1063">
        <f>CL34*((CC34*VLOOKUP(IF(DC34,CF34,0),$BW$16:$CC$21,6,FALSE)+CD34*(8760-VLOOKUP(IF(DC34,CF34,0),$BW$16:$CC$21,6,FALSE)))*4*(1-$CL$7)*1.21/10^6+(CI34*VLOOKUP(IF(DC34,CF34,0),$CV$16:$DA$21,5,FALSE)+CJ34*VLOOKUP(IF(DC34,CF34,0),$CV$16:$DA$21,6,FALSE))*$CX$23)</f>
        <v>0</v>
      </c>
      <c r="CS34" s="663">
        <v>0</v>
      </c>
      <c r="CT34" s="1063">
        <f>(IF(AX127=1,0,B127* VLOOKUP(IF(BV127, Z127,0),$CV$16:$DA$21,3,FALSE)) +IF(AY127=1,0,C127* VLOOKUP(IF(BW127,AA127,0),$CV$16:$DA$21,3,FALSE)) +IF(AZ127=1,0,D127* VLOOKUP(IF(BX127,AB127,0),$CV$16:$DA$21,3,FALSE)) +IF(BA127=1,0,E127* VLOOKUP(IF(BY127,AC127,0),$CV$16:$DA$21,3,FALSE)) +IF(BB127=1,0,F127* VLOOKUP(IF(BZ127,AD127,0),$CV$16:$DA$21,3,FALSE)) +IF(BC127=1,0,G127* VLOOKUP(IF(CA127,AE127,0),$CV$16:$DA$21,3,FALSE)))*$CX$23</f>
        <v>0</v>
      </c>
      <c r="CU34" s="1063">
        <f>(IF(BD127=1,0,H127*VLOOKUP(IF(CB127,AF127,0),$CV$16:$DA$21,3,FALSE)) +IF(BE127=1,0,I127*VLOOKUP(IF(CC127,AG127,0),$CV$16:$DA$21,3,FALSE)) +IF(BF127=1,0,J127*VLOOKUP(IF(CD127,AH127,0),$CV$16:$DA$21,3,FALSE)) +IF(BG127=1,0,K127*VLOOKUP(IF(CE127,AI127,0),$CV$16:$DA$21,3,FALSE)) +IF(BH127=1,0,L127*VLOOKUP(IF(CF127,AJ127,0),$CV$16:$DA$21,3,FALSE)) +IF(BI127=1,0,M127*VLOOKUP(IF(CG127,AK127,0),$CV$16:$DA$21,3,FALSE)))*$CX$23</f>
        <v>0</v>
      </c>
      <c r="CV34" s="1063">
        <f>(IF(BJ127=1,0,N127*VLOOKUP(IF(CH127,AL127,0),$CV$16:$DA$21,3,FALSE)) +IF(BK127=1,0,O127*VLOOKUP(IF(CI127,AM127,0),$CV$16:$DA$21,3,FALSE)) +IF(BL127=1,0,P127*VLOOKUP(IF(CJ127,AN127,0),$CV$16:$DA$21,3,FALSE)) +IF(BM127=1,0,Q127*VLOOKUP(IF(CK127,AO127,0),$CV$16:$DA$21,3,FALSE)) +IF(BN127=1,0,R127*VLOOKUP(IF(CL127,AP127,0),$CV$16:$DA$21,3,FALSE)) +IF(BO127=1,0,S127*VLOOKUP(IF(CM127,AQ127,0),$CV$16:$DA$21,3,FALSE)))*$CX$23</f>
        <v>0</v>
      </c>
      <c r="CW34" s="1063">
        <f>(IF(BP127=1,0,T127*VLOOKUP(IF(CN127,AR127,0),$CV$16:$DA$21,3,FALSE)) +IF(BQ127=1,0,U127*VLOOKUP(IF(CO127,AS127,0),$CV$16:$DA$21,3,FALSE)) +IF(BR127=1,0,V127*VLOOKUP(IF(CP127,AT127,0),$CV$16:$DA$21,3,FALSE)) +IF(BS127=1,0,W127*VLOOKUP(IF(CQ127,AU127,0),$CV$16:$DA$21,3,FALSE)) +IF(BT127=1,0,X127*VLOOKUP(IF(CR127,AV127,0),$CV$16:$DA$21,3,FALSE)) +IF(BU127=1,0,Y127*VLOOKUP(IF(CS127,AW127,0),$CV$16:$DA$21,3,FALSE)))*$CX$23</f>
        <v>0</v>
      </c>
      <c r="CX34" s="1063">
        <f>(IF(AX127=0,0,B127* VLOOKUP(IF(BV127, Z127,0),$CV$16:$DA$21,5,FALSE)) +IF(AY127=0,0,C127* VLOOKUP(IF(BW127,AA127,0),$CV$16:$DA$21,5,FALSE)) +IF(AZ127=0,0,D127* VLOOKUP(IF(BX127,AB127,0),$CV$16:$DA$21,5,FALSE)) +IF(BA127=0,0,E127* VLOOKUP(IF(BY127,AC127,0),$CV$16:$DA$21,5,FALSE)) +IF(BB127=0,0,F127* VLOOKUP(IF(BZ127,AD127,0),$CV$16:$DA$21,5,FALSE)) +IF(BC127=0,0,G127* VLOOKUP(IF(CA127,AE127,0),$CV$16:$DA$21,5,FALSE)))*$CX$23</f>
        <v>0</v>
      </c>
      <c r="CY34" s="1063">
        <f>(IF(BD127=0,0,H127*VLOOKUP(IF(CB127,AF127,0),$CV$16:$DA$21,5,FALSE)) +IF(BE127=0,0,I127*VLOOKUP(IF(CC127,AG127,0),$CV$16:$DA$21,5,FALSE)) +IF(BF127=0,0,J127*VLOOKUP(IF(CD127,AH127,0),$CV$16:$DA$21,5,FALSE)) +IF(BG127=0,0,K127*VLOOKUP(IF(CE127,AI127,0),$CV$16:$DA$21,5,FALSE)) +IF(BH127=0,0,L127*VLOOKUP(IF(CF127,AJ127,0),$CV$16:$DA$21,5,FALSE)) +IF(BI127=0,0,M127*VLOOKUP(IF(CG127,AK127,0),$CV$16:$DA$21,5,FALSE)))*$CX$23</f>
        <v>0</v>
      </c>
      <c r="CZ34" s="1063">
        <f>(IF(BJ127=0,0,N127*VLOOKUP(IF(CH127,AL127,0),$CV$16:$DA$21,5,FALSE)) +IF(BK127=0,0,O127*VLOOKUP(IF(CI127,AM127,0),$CV$16:$DA$21,5,FALSE)) +IF(BL127=0,0,P127*VLOOKUP(IF(CJ127,AN127,0),$CV$16:$DA$21,5,FALSE)) +IF(BM127=0,0,Q127*VLOOKUP(IF(CK127,AO127,0),$CV$16:$DA$21,5,FALSE)) +IF(BN127=0,0,R127*VLOOKUP(IF(CL127,AP127,0),$CV$16:$DA$21,5,FALSE)) +IF(BO127=0,0,S127*VLOOKUP(IF(CM127,AQ127,0),$CV$16:$DA$21,5,FALSE)))*$CX$23</f>
        <v>0</v>
      </c>
      <c r="DA34" s="1063">
        <f>(IF(BP127=0,0,T127*VLOOKUP(IF(CN127,AR127,0),$CV$16:$DA$21,5,FALSE)) +IF(BQ127=0,0,U127*VLOOKUP(IF(CO127,AS127,0),$CV$16:$DA$21,5,FALSE)) +IF(BR127=0,0,V127*VLOOKUP(IF(CP127,AT127,0),$CV$16:$DA$21,5,FALSE)) +IF(BS127=0,0,W127*VLOOKUP(IF(CQ127,AU127,0),$CV$16:$DA$21,5,FALSE)) +IF(BT127=0,0,X127*VLOOKUP(IF(CR127,AV127,0),$CV$16:$DA$21,5,FALSE)) +IF(BU127=0,0,Y127*VLOOKUP(IF(CS127,AW127,0),$CV$16:$DA$21,5,FALSE)))*$CX$23</f>
        <v>0</v>
      </c>
      <c r="DB34" s="319" t="b">
        <f>VLOOKUP(CE34,$BV$2:$BW$7,2,FALSE)</f>
        <v>0</v>
      </c>
      <c r="DC34" s="319" t="b">
        <f>VLOOKUP(CF34,$BV$2:$BW$7,2,FALSE)</f>
        <v>0</v>
      </c>
      <c r="DN34" s="556"/>
      <c r="DP34" s="556"/>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s="319" customFormat="1" ht="13.2">
      <c r="A35" s="594" t="s">
        <v>1128</v>
      </c>
      <c r="B35" s="481"/>
      <c r="C35" s="594">
        <v>1</v>
      </c>
      <c r="D35" s="637"/>
      <c r="E35" s="576">
        <f t="shared" si="12"/>
        <v>0</v>
      </c>
      <c r="F35" s="353">
        <f t="shared" si="17"/>
        <v>0</v>
      </c>
      <c r="G35" s="471">
        <f t="shared" si="18"/>
        <v>0</v>
      </c>
      <c r="H35" s="599">
        <f t="shared" si="29"/>
        <v>0</v>
      </c>
      <c r="I35" s="600">
        <f t="shared" si="29"/>
        <v>0</v>
      </c>
      <c r="J35" s="600">
        <f t="shared" si="29"/>
        <v>0</v>
      </c>
      <c r="K35" s="601">
        <f t="shared" si="29"/>
        <v>0</v>
      </c>
      <c r="L35" s="585">
        <f>R35</f>
        <v>0</v>
      </c>
      <c r="M35" s="586">
        <f>Z35</f>
        <v>0</v>
      </c>
      <c r="N35" s="585">
        <f>AM35</f>
        <v>0</v>
      </c>
      <c r="O35" s="586">
        <f>AU35</f>
        <v>0</v>
      </c>
      <c r="P35" s="639">
        <v>0</v>
      </c>
      <c r="Q35" s="639">
        <v>0</v>
      </c>
      <c r="R35" s="309">
        <f>IF(CS35=0,IF(CM35=1,0,CO35),CT35+CU35)</f>
        <v>0</v>
      </c>
      <c r="S35" s="309">
        <f>IF($L$123=0,0,R35*$H$123/$L$123)</f>
        <v>0</v>
      </c>
      <c r="T35" s="309">
        <f>IF(R35-S35&lt;0,0,R35-S35)*C35</f>
        <v>0</v>
      </c>
      <c r="U35" s="555">
        <v>0</v>
      </c>
      <c r="V35" s="595">
        <f t="shared" si="13"/>
        <v>0</v>
      </c>
      <c r="W35" s="596">
        <f t="shared" si="14"/>
        <v>0</v>
      </c>
      <c r="X35" s="597">
        <f>IF(W35=0,0,T35/W35)</f>
        <v>0</v>
      </c>
      <c r="Y35" s="661">
        <f>IF(CS35=0,IF(CN35=1,0,CP35),CV35+CW35)</f>
        <v>0</v>
      </c>
      <c r="Z35" s="309">
        <f>IF(BX35=1,Y35,R35)*C35</f>
        <v>0</v>
      </c>
      <c r="AA35" s="309">
        <f t="shared" si="19"/>
        <v>0</v>
      </c>
      <c r="AB35" s="309">
        <f t="shared" si="20"/>
        <v>0</v>
      </c>
      <c r="AC35" s="555">
        <v>0</v>
      </c>
      <c r="AD35" s="595">
        <f t="shared" si="15"/>
        <v>0</v>
      </c>
      <c r="AE35" s="596">
        <f t="shared" si="16"/>
        <v>0</v>
      </c>
      <c r="AF35" s="597">
        <f>IF(AE35=0,0,AB35/AE35)</f>
        <v>0</v>
      </c>
      <c r="AG35" s="458">
        <f>IF(AE35=0,0,(T35-AB35)/AE35)</f>
        <v>0</v>
      </c>
      <c r="AH35" s="458">
        <f>X35-AF35-AG35</f>
        <v>0</v>
      </c>
      <c r="AI35" s="458">
        <f>VLOOKUP(V35,$H$3:$N$8,7,FALSE)</f>
        <v>0</v>
      </c>
      <c r="AJ35" s="458">
        <f>VLOOKUP(AD35,$H$3:$N$8,7,FALSE)</f>
        <v>0</v>
      </c>
      <c r="AK35" s="458">
        <f>IF(AND(AG35=0,AH35=0),0,(X35*AI35-AF35*AJ35)/IF(AG35+AH35=0,ABS(AG35)*2,AG35+AH35)*AG35)</f>
        <v>0</v>
      </c>
      <c r="AL35" s="458">
        <f>IF(AND(AG35=0,AH35=0),0,(X35*AI35-AF35*AJ35)/IF(AG35+AH35=0,ABS(AG35)*2,AG35+AH35)*AH35)</f>
        <v>0</v>
      </c>
      <c r="AM35" s="309">
        <f>IF(CS35=0,IF(CM35=0,0,CQ35),CX35+CY35)</f>
        <v>0</v>
      </c>
      <c r="AN35" s="309">
        <f t="shared" si="21"/>
        <v>0</v>
      </c>
      <c r="AO35" s="309">
        <f>AM35+AN35</f>
        <v>0</v>
      </c>
      <c r="AP35" s="555">
        <v>0</v>
      </c>
      <c r="AQ35" s="595">
        <f t="shared" si="22"/>
        <v>0</v>
      </c>
      <c r="AR35" s="596">
        <f t="shared" si="23"/>
        <v>0</v>
      </c>
      <c r="AS35" s="458">
        <f>IF(AR35=0,0,AO35/AR35)</f>
        <v>0</v>
      </c>
      <c r="AT35" s="661">
        <f>IF(CS35=0,IF(CN35=0,0,CR35),CZ35+DA35)</f>
        <v>0</v>
      </c>
      <c r="AU35" s="598">
        <f>IF(BX35=1,AT35,AM35)</f>
        <v>0</v>
      </c>
      <c r="AV35" s="309">
        <f t="shared" si="24"/>
        <v>0</v>
      </c>
      <c r="AW35" s="309">
        <f>AU35+AV35</f>
        <v>0</v>
      </c>
      <c r="AX35" s="555">
        <v>0</v>
      </c>
      <c r="AY35" s="595">
        <f t="shared" si="25"/>
        <v>0</v>
      </c>
      <c r="AZ35" s="596">
        <f t="shared" si="26"/>
        <v>0</v>
      </c>
      <c r="BA35" s="458">
        <f>IF(AZ35=0,0,AW35/AZ35)</f>
        <v>0</v>
      </c>
      <c r="BB35" s="458">
        <f>IF(AZ35=0,0,(AO35-AW35)/AZ35)</f>
        <v>0</v>
      </c>
      <c r="BC35" s="458">
        <f>AS35-BA35-BB35</f>
        <v>0</v>
      </c>
      <c r="BD35" s="458">
        <f>VLOOKUP(AQ35,$H$3:$N$8,7,FALSE)</f>
        <v>0</v>
      </c>
      <c r="BE35" s="458">
        <f>VLOOKUP(AY35,$H$3:$N$8,7,FALSE)</f>
        <v>0</v>
      </c>
      <c r="BF35" s="458">
        <f>IF(AND(BB35=0,BC35=0),0,(AS35*BD35-BA35*BE35)/IF(BB35+BC35=0,ABS(BB35)*2,BB35+BC35)*BB35)</f>
        <v>0</v>
      </c>
      <c r="BG35" s="458">
        <f>IF(AND(BB35=0,BC35=0),0,(AS35*BD35-BA35*BE35)/IF(BB35+BC35=0,ABS(BB35)*2,BB35+BC35)*BC35)</f>
        <v>0</v>
      </c>
      <c r="BH35" s="458">
        <f>(BR35-BK35)*$N$3</f>
        <v>0</v>
      </c>
      <c r="BI35" s="600">
        <f t="shared" si="30"/>
        <v>0</v>
      </c>
      <c r="BJ35" s="600">
        <f t="shared" si="30"/>
        <v>0</v>
      </c>
      <c r="BK35" s="598">
        <f t="shared" ref="BK35:BK50" si="31">IF(BX35=1,BJ35,BI35)</f>
        <v>0</v>
      </c>
      <c r="BL35" s="371"/>
      <c r="BM35" s="371"/>
      <c r="BN35" s="600">
        <f>BI35*IF(BL35=$BL$23,$BJ$22/12,0)</f>
        <v>0</v>
      </c>
      <c r="BO35" s="600">
        <f>BK35*IF(BL35=$BL$23,$BJ$22/12,0)</f>
        <v>0</v>
      </c>
      <c r="BP35" s="600">
        <f>BI35*IF(BM35=$BL$23,$BJ$23/12,0)</f>
        <v>0</v>
      </c>
      <c r="BQ35" s="600">
        <f>BK35*IF(BM35=$BL$23,$BJ$23/12,0)</f>
        <v>0</v>
      </c>
      <c r="BR35" s="598"/>
      <c r="BS35" s="598"/>
      <c r="BT35" s="476"/>
      <c r="BU35" s="405">
        <v>0</v>
      </c>
      <c r="BV35" s="319">
        <f t="shared" si="27"/>
        <v>0</v>
      </c>
      <c r="BW35" s="319">
        <f t="shared" si="28"/>
        <v>0</v>
      </c>
      <c r="BX35" s="319">
        <f>IF('Modelo Energético '!$Q60=TRUE,1,0)</f>
        <v>1</v>
      </c>
      <c r="CA35" s="662">
        <v>0</v>
      </c>
      <c r="CB35" s="662">
        <v>0</v>
      </c>
      <c r="CC35" s="662">
        <v>0</v>
      </c>
      <c r="CD35" s="662">
        <v>0</v>
      </c>
      <c r="CE35" s="662">
        <v>0</v>
      </c>
      <c r="CF35" s="662">
        <v>0</v>
      </c>
      <c r="CG35" s="662">
        <v>0</v>
      </c>
      <c r="CH35" s="662">
        <v>0</v>
      </c>
      <c r="CI35" s="662">
        <v>0</v>
      </c>
      <c r="CJ35" s="662">
        <v>0</v>
      </c>
      <c r="CK35" s="662">
        <v>0</v>
      </c>
      <c r="CL35" s="662">
        <v>0</v>
      </c>
      <c r="CM35" s="662">
        <v>0</v>
      </c>
      <c r="CN35" s="662">
        <v>0</v>
      </c>
      <c r="CO35" s="1061">
        <f>CK35*((CA35*VLOOKUP(IF(DB35,CE35,0),$BW$16:$CC$21,6,FALSE)+CB35*(8760-VLOOKUP(IF(DB35,CE35,0),$BW$16:$CC$21,6,FALSE)))*7*$CL$7*1.21/10^6+(CG35*VLOOKUP(IF(DB35,CE35,0),$CV$16:$DA$21,3,FALSE)+CH35*VLOOKUP(IF(DB35,CE35,0),$CV$16:$DA$21,4,FALSE))*$CX$23)</f>
        <v>0</v>
      </c>
      <c r="CP35" s="1062">
        <f>CL35*((CC35*VLOOKUP(IF(DC35,CF35,0),$BW$16:$CC$21,6,FALSE)+CD35*(8760-VLOOKUP(IF(DC35,CF35,0),$BW$16:$CC$21,6,FALSE)))*7*$CL$7*1.21/10^6+(CI35*VLOOKUP(IF(DC35,CF35,0),$CV$16:$DA$21,3,FALSE)+CJ35*VLOOKUP(IF(DC35,CF35,0),$CV$16:$DA$21,4,FALSE))*$CX$23)</f>
        <v>0</v>
      </c>
      <c r="CQ35" s="1063">
        <f>CK35*((CA35*VLOOKUP(IF(DB35,CE35,0),$BW$16:$CC$21,6,FALSE)+CB35*(8760-VLOOKUP(IF(DB35,CE35,0),$BW$16:$CC$21,6,FALSE)))*4*(1-$CL$7)*1.21/10^6+(CG35*VLOOKUP(IF(DB35,CE35,0),$CV$16:$DA$21,5,FALSE)+CH35*VLOOKUP(IF(DB35,CE35,0),$CV$16:$DA$21,6,FALSE))*$CX$23)</f>
        <v>0</v>
      </c>
      <c r="CR35" s="1063">
        <f>CL35*((CC35*VLOOKUP(IF(DC35,CF35,0),$BW$16:$CC$21,6,FALSE)+CD35*(8760-VLOOKUP(IF(DC35,CF35,0),$BW$16:$CC$21,6,FALSE)))*4*(1-$CL$7)*1.21/10^6+(CI35*VLOOKUP(IF(DC35,CF35,0),$CV$16:$DA$21,5,FALSE)+CJ35*VLOOKUP(IF(DC35,CF35,0),$CV$16:$DA$21,6,FALSE))*$CX$23)</f>
        <v>0</v>
      </c>
      <c r="CS35" s="663">
        <v>0</v>
      </c>
      <c r="CT35" s="1063">
        <f>(IF(AX128=1,0,B128* VLOOKUP(IF(BV128, Z128,0),$CV$16:$DA$21,3,FALSE)) +IF(AY128=1,0,C128* VLOOKUP(IF(BW128,AA128,0),$CV$16:$DA$21,3,FALSE)) +IF(AZ128=1,0,D128* VLOOKUP(IF(BX128,AB128,0),$CV$16:$DA$21,3,FALSE)) +IF(BA128=1,0,E128* VLOOKUP(IF(BY128,AC128,0),$CV$16:$DA$21,3,FALSE)) +IF(BB128=1,0,F128* VLOOKUP(IF(BZ128,AD128,0),$CV$16:$DA$21,3,FALSE)) +IF(BC128=1,0,G128* VLOOKUP(IF(CA128,AE128,0),$CV$16:$DA$21,3,FALSE)))*$CX$23</f>
        <v>0</v>
      </c>
      <c r="CU35" s="1063">
        <f>(IF(BD128=1,0,H128*VLOOKUP(IF(CB128,AF128,0),$CV$16:$DA$21,3,FALSE)) +IF(BE128=1,0,I128*VLOOKUP(IF(CC128,AG128,0),$CV$16:$DA$21,3,FALSE)) +IF(BF128=1,0,J128*VLOOKUP(IF(CD128,AH128,0),$CV$16:$DA$21,3,FALSE)) +IF(BG128=1,0,K128*VLOOKUP(IF(CE128,AI128,0),$CV$16:$DA$21,3,FALSE)) +IF(BH128=1,0,L128*VLOOKUP(IF(CF128,AJ128,0),$CV$16:$DA$21,3,FALSE)) +IF(BI128=1,0,M128*VLOOKUP(IF(CG128,AK128,0),$CV$16:$DA$21,3,FALSE)))*$CX$23</f>
        <v>0</v>
      </c>
      <c r="CV35" s="1063">
        <f>(IF(BJ128=1,0,N128*VLOOKUP(IF(CH128,AL128,0),$CV$16:$DA$21,3,FALSE)) +IF(BK128=1,0,O128*VLOOKUP(IF(CI128,AM128,0),$CV$16:$DA$21,3,FALSE)) +IF(BL128=1,0,P128*VLOOKUP(IF(CJ128,AN128,0),$CV$16:$DA$21,3,FALSE)) +IF(BM128=1,0,Q128*VLOOKUP(IF(CK128,AO128,0),$CV$16:$DA$21,3,FALSE)) +IF(BN128=1,0,R128*VLOOKUP(IF(CL128,AP128,0),$CV$16:$DA$21,3,FALSE)) +IF(BO128=1,0,S128*VLOOKUP(IF(CM128,AQ128,0),$CV$16:$DA$21,3,FALSE)))*$CX$23</f>
        <v>0</v>
      </c>
      <c r="CW35" s="1063">
        <f>(IF(BP128=1,0,T128*VLOOKUP(IF(CN128,AR128,0),$CV$16:$DA$21,3,FALSE)) +IF(BQ128=1,0,U128*VLOOKUP(IF(CO128,AS128,0),$CV$16:$DA$21,3,FALSE)) +IF(BR128=1,0,V128*VLOOKUP(IF(CP128,AT128,0),$CV$16:$DA$21,3,FALSE)) +IF(BS128=1,0,W128*VLOOKUP(IF(CQ128,AU128,0),$CV$16:$DA$21,3,FALSE)) +IF(BT128=1,0,X128*VLOOKUP(IF(CR128,AV128,0),$CV$16:$DA$21,3,FALSE)) +IF(BU128=1,0,Y128*VLOOKUP(IF(CS128,AW128,0),$CV$16:$DA$21,3,FALSE)))*$CX$23</f>
        <v>0</v>
      </c>
      <c r="CX35" s="1063">
        <f>(IF(AX128=0,0,B128* VLOOKUP(IF(BV128, Z128,0),$CV$16:$DA$21,5,FALSE)) +IF(AY128=0,0,C128* VLOOKUP(IF(BW128,AA128,0),$CV$16:$DA$21,5,FALSE)) +IF(AZ128=0,0,D128* VLOOKUP(IF(BX128,AB128,0),$CV$16:$DA$21,5,FALSE)) +IF(BA128=0,0,E128* VLOOKUP(IF(BY128,AC128,0),$CV$16:$DA$21,5,FALSE)) +IF(BB128=0,0,F128* VLOOKUP(IF(BZ128,AD128,0),$CV$16:$DA$21,5,FALSE)) +IF(BC128=0,0,G128* VLOOKUP(IF(CA128,AE128,0),$CV$16:$DA$21,5,FALSE)))*$CX$23</f>
        <v>0</v>
      </c>
      <c r="CY35" s="1063">
        <f>(IF(BD128=0,0,H128*VLOOKUP(IF(CB128,AF128,0),$CV$16:$DA$21,5,FALSE)) +IF(BE128=0,0,I128*VLOOKUP(IF(CC128,AG128,0),$CV$16:$DA$21,5,FALSE)) +IF(BF128=0,0,J128*VLOOKUP(IF(CD128,AH128,0),$CV$16:$DA$21,5,FALSE)) +IF(BG128=0,0,K128*VLOOKUP(IF(CE128,AI128,0),$CV$16:$DA$21,5,FALSE)) +IF(BH128=0,0,L128*VLOOKUP(IF(CF128,AJ128,0),$CV$16:$DA$21,5,FALSE)) +IF(BI128=0,0,M128*VLOOKUP(IF(CG128,AK128,0),$CV$16:$DA$21,5,FALSE)))*$CX$23</f>
        <v>0</v>
      </c>
      <c r="CZ35" s="1063">
        <f>(IF(BJ128=0,0,N128*VLOOKUP(IF(CH128,AL128,0),$CV$16:$DA$21,5,FALSE)) +IF(BK128=0,0,O128*VLOOKUP(IF(CI128,AM128,0),$CV$16:$DA$21,5,FALSE)) +IF(BL128=0,0,P128*VLOOKUP(IF(CJ128,AN128,0),$CV$16:$DA$21,5,FALSE)) +IF(BM128=0,0,Q128*VLOOKUP(IF(CK128,AO128,0),$CV$16:$DA$21,5,FALSE)) +IF(BN128=0,0,R128*VLOOKUP(IF(CL128,AP128,0),$CV$16:$DA$21,5,FALSE)) +IF(BO128=0,0,S128*VLOOKUP(IF(CM128,AQ128,0),$CV$16:$DA$21,5,FALSE)))*$CX$23</f>
        <v>0</v>
      </c>
      <c r="DA35" s="1063">
        <f>(IF(BP128=0,0,T128*VLOOKUP(IF(CN128,AR128,0),$CV$16:$DA$21,5,FALSE)) +IF(BQ128=0,0,U128*VLOOKUP(IF(CO128,AS128,0),$CV$16:$DA$21,5,FALSE)) +IF(BR128=0,0,V128*VLOOKUP(IF(CP128,AT128,0),$CV$16:$DA$21,5,FALSE)) +IF(BS128=0,0,W128*VLOOKUP(IF(CQ128,AU128,0),$CV$16:$DA$21,5,FALSE)) +IF(BT128=0,0,X128*VLOOKUP(IF(CR128,AV128,0),$CV$16:$DA$21,5,FALSE)) +IF(BU128=0,0,Y128*VLOOKUP(IF(CS128,AW128,0),$CV$16:$DA$21,5,FALSE)))*$CX$23</f>
        <v>0</v>
      </c>
      <c r="DB35" s="319" t="b">
        <f t="shared" ref="DB35:DC38" si="32">VLOOKUP(CE35,$BV$2:$BW$7,2,FALSE)</f>
        <v>0</v>
      </c>
      <c r="DC35" s="319" t="b">
        <f t="shared" si="32"/>
        <v>0</v>
      </c>
      <c r="DN35" s="556"/>
      <c r="DP35" s="556"/>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s="319" customFormat="1" ht="13.2">
      <c r="A36" s="594" t="s">
        <v>3717</v>
      </c>
      <c r="B36" s="481"/>
      <c r="C36" s="594">
        <v>1</v>
      </c>
      <c r="D36" s="637"/>
      <c r="E36" s="576">
        <f t="shared" si="12"/>
        <v>0</v>
      </c>
      <c r="F36" s="353">
        <f t="shared" si="17"/>
        <v>0</v>
      </c>
      <c r="G36" s="471">
        <f t="shared" si="18"/>
        <v>0</v>
      </c>
      <c r="H36" s="599">
        <f t="shared" si="29"/>
        <v>0</v>
      </c>
      <c r="I36" s="600">
        <f t="shared" si="29"/>
        <v>0</v>
      </c>
      <c r="J36" s="600">
        <f t="shared" si="29"/>
        <v>0</v>
      </c>
      <c r="K36" s="601">
        <f t="shared" si="29"/>
        <v>0</v>
      </c>
      <c r="L36" s="585">
        <f>R36</f>
        <v>0</v>
      </c>
      <c r="M36" s="586">
        <f>Z36</f>
        <v>0</v>
      </c>
      <c r="N36" s="585">
        <f>AM36</f>
        <v>0</v>
      </c>
      <c r="O36" s="586">
        <f>AU36</f>
        <v>0</v>
      </c>
      <c r="P36" s="639">
        <v>0</v>
      </c>
      <c r="Q36" s="639">
        <v>0</v>
      </c>
      <c r="R36" s="309">
        <f>IF(CS36=0,IF(CM36=1,0,CO36),CT36+CU36)</f>
        <v>0</v>
      </c>
      <c r="S36" s="309">
        <f>IF($L$123=0,0,R36*$H$123/$L$123)</f>
        <v>0</v>
      </c>
      <c r="T36" s="309">
        <f>IF(R36-S36&lt;0,0,R36-S36)*C36</f>
        <v>0</v>
      </c>
      <c r="U36" s="555">
        <v>0</v>
      </c>
      <c r="V36" s="595">
        <f t="shared" si="13"/>
        <v>0</v>
      </c>
      <c r="W36" s="596">
        <f t="shared" si="14"/>
        <v>0</v>
      </c>
      <c r="X36" s="597">
        <f>IF(W36=0,0,T36/W36)</f>
        <v>0</v>
      </c>
      <c r="Y36" s="661">
        <f>IF(CS36=0,IF(CN36=1,0,CP36),CV36+CW36)</f>
        <v>0</v>
      </c>
      <c r="Z36" s="309">
        <f>IF(BX36=1,Y36,R36)*C36</f>
        <v>0</v>
      </c>
      <c r="AA36" s="309">
        <f t="shared" si="19"/>
        <v>0</v>
      </c>
      <c r="AB36" s="309">
        <f t="shared" si="20"/>
        <v>0</v>
      </c>
      <c r="AC36" s="555">
        <v>0</v>
      </c>
      <c r="AD36" s="595">
        <f t="shared" si="15"/>
        <v>0</v>
      </c>
      <c r="AE36" s="596">
        <f t="shared" si="16"/>
        <v>0</v>
      </c>
      <c r="AF36" s="597">
        <f>IF(AE36=0,0,AB36/AE36)</f>
        <v>0</v>
      </c>
      <c r="AG36" s="458">
        <f>IF(AE36=0,0,(T36-AB36)/AE36)</f>
        <v>0</v>
      </c>
      <c r="AH36" s="458">
        <f>X36-AF36-AG36</f>
        <v>0</v>
      </c>
      <c r="AI36" s="458">
        <f>VLOOKUP(V36,$H$3:$N$8,7,FALSE)</f>
        <v>0</v>
      </c>
      <c r="AJ36" s="458">
        <f>VLOOKUP(AD36,$H$3:$N$8,7,FALSE)</f>
        <v>0</v>
      </c>
      <c r="AK36" s="458">
        <f>IF(AND(AG36=0,AH36=0),0,(X36*AI36-AF36*AJ36)/IF(AG36+AH36=0,ABS(AG36)*2,AG36+AH36)*AG36)</f>
        <v>0</v>
      </c>
      <c r="AL36" s="458">
        <f>IF(AND(AG36=0,AH36=0),0,(X36*AI36-AF36*AJ36)/IF(AG36+AH36=0,ABS(AG36)*2,AG36+AH36)*AH36)</f>
        <v>0</v>
      </c>
      <c r="AM36" s="309">
        <f>IF(CS36=0,IF(CM36=0,0,CQ36),CX36+CY36)</f>
        <v>0</v>
      </c>
      <c r="AN36" s="309">
        <f t="shared" si="21"/>
        <v>0</v>
      </c>
      <c r="AO36" s="309">
        <f>AM36+AN36</f>
        <v>0</v>
      </c>
      <c r="AP36" s="555">
        <v>0</v>
      </c>
      <c r="AQ36" s="595">
        <f t="shared" si="22"/>
        <v>0</v>
      </c>
      <c r="AR36" s="596">
        <f t="shared" si="23"/>
        <v>0</v>
      </c>
      <c r="AS36" s="458">
        <f>IF(AR36=0,0,AO36/AR36)</f>
        <v>0</v>
      </c>
      <c r="AT36" s="661">
        <f>IF(CS36=0,IF(CN36=0,0,CR36),CZ36+DA36)</f>
        <v>0</v>
      </c>
      <c r="AU36" s="598">
        <f>IF(BX36=1,AT36,AM36)</f>
        <v>0</v>
      </c>
      <c r="AV36" s="309">
        <f t="shared" si="24"/>
        <v>0</v>
      </c>
      <c r="AW36" s="309">
        <f>AU36+AV36</f>
        <v>0</v>
      </c>
      <c r="AX36" s="555">
        <v>0</v>
      </c>
      <c r="AY36" s="595">
        <f t="shared" si="25"/>
        <v>0</v>
      </c>
      <c r="AZ36" s="596">
        <f t="shared" si="26"/>
        <v>0</v>
      </c>
      <c r="BA36" s="458">
        <f>IF(AZ36=0,0,AW36/AZ36)</f>
        <v>0</v>
      </c>
      <c r="BB36" s="458">
        <f>IF(AZ36=0,0,(AO36-AW36)/AZ36)</f>
        <v>0</v>
      </c>
      <c r="BC36" s="458">
        <f>AS36-BA36-BB36</f>
        <v>0</v>
      </c>
      <c r="BD36" s="458">
        <f>VLOOKUP(AQ36,$H$3:$N$8,7,FALSE)</f>
        <v>0</v>
      </c>
      <c r="BE36" s="458">
        <f>VLOOKUP(AY36,$H$3:$N$8,7,FALSE)</f>
        <v>0</v>
      </c>
      <c r="BF36" s="458">
        <f>IF(AND(BB36=0,BC36=0),0,(AS36*BD36-BA36*BE36)/IF(BB36+BC36=0,ABS(BB36)*2,BB36+BC36)*BB36)</f>
        <v>0</v>
      </c>
      <c r="BG36" s="458">
        <f>IF(AND(BB36=0,BC36=0),0,(AS36*BD36-BA36*BE36)/IF(BB36+BC36=0,ABS(BB36)*2,BB36+BC36)*BC36)</f>
        <v>0</v>
      </c>
      <c r="BH36" s="458">
        <f>(BR36-BK36)*$N$3</f>
        <v>0</v>
      </c>
      <c r="BI36" s="600">
        <f t="shared" si="30"/>
        <v>0</v>
      </c>
      <c r="BJ36" s="600">
        <f t="shared" si="30"/>
        <v>0</v>
      </c>
      <c r="BK36" s="598">
        <f t="shared" si="31"/>
        <v>0</v>
      </c>
      <c r="BL36" s="371"/>
      <c r="BM36" s="371"/>
      <c r="BN36" s="600">
        <f>BI36*IF(BL36=$BL$23,$BJ$22/12,0)</f>
        <v>0</v>
      </c>
      <c r="BO36" s="600">
        <f>BK36*IF(BL36=$BL$23,$BJ$22/12,0)</f>
        <v>0</v>
      </c>
      <c r="BP36" s="600">
        <f>BI36*IF(BM36=$BL$23,$BJ$23/12,0)</f>
        <v>0</v>
      </c>
      <c r="BQ36" s="600">
        <f>BK36*IF(BM36=$BL$23,$BJ$23/12,0)</f>
        <v>0</v>
      </c>
      <c r="BR36" s="598"/>
      <c r="BS36" s="598"/>
      <c r="BT36" s="476"/>
      <c r="BU36" s="405">
        <v>0</v>
      </c>
      <c r="BV36" s="319">
        <f t="shared" si="27"/>
        <v>0</v>
      </c>
      <c r="BW36" s="319">
        <f t="shared" si="28"/>
        <v>0</v>
      </c>
      <c r="BX36" s="319">
        <f>IF('Modelo Energético '!$Q61=TRUE,1,0)</f>
        <v>1</v>
      </c>
      <c r="CA36" s="662">
        <v>0</v>
      </c>
      <c r="CB36" s="662">
        <v>0</v>
      </c>
      <c r="CC36" s="662">
        <v>0</v>
      </c>
      <c r="CD36" s="662">
        <v>0</v>
      </c>
      <c r="CE36" s="662">
        <v>0</v>
      </c>
      <c r="CF36" s="662">
        <v>0</v>
      </c>
      <c r="CG36" s="662">
        <v>0</v>
      </c>
      <c r="CH36" s="662">
        <v>0</v>
      </c>
      <c r="CI36" s="662">
        <v>0</v>
      </c>
      <c r="CJ36" s="662">
        <v>0</v>
      </c>
      <c r="CK36" s="662">
        <v>0</v>
      </c>
      <c r="CL36" s="662">
        <v>0</v>
      </c>
      <c r="CM36" s="662">
        <v>0</v>
      </c>
      <c r="CN36" s="662">
        <v>0</v>
      </c>
      <c r="CO36" s="1061">
        <f>CK36*((CA36*VLOOKUP(IF(DB36,CE36,0),$BW$16:$CC$21,6,FALSE)+CB36*(8760-VLOOKUP(IF(DB36,CE36,0),$BW$16:$CC$21,6,FALSE)))*7*$CL$7*1.21/10^6+(CG36*VLOOKUP(IF(DB36,CE36,0),$CV$16:$DA$21,3,FALSE)+CH36*VLOOKUP(IF(DB36,CE36,0),$CV$16:$DA$21,4,FALSE))*$CX$23)</f>
        <v>0</v>
      </c>
      <c r="CP36" s="1062">
        <f>CL36*((CC36*VLOOKUP(IF(DC36,CF36,0),$BW$16:$CC$21,6,FALSE)+CD36*(8760-VLOOKUP(IF(DC36,CF36,0),$BW$16:$CC$21,6,FALSE)))*7*$CL$7*1.21/10^6+(CI36*VLOOKUP(IF(DC36,CF36,0),$CV$16:$DA$21,3,FALSE)+CJ36*VLOOKUP(IF(DC36,CF36,0),$CV$16:$DA$21,4,FALSE))*$CX$23)</f>
        <v>0</v>
      </c>
      <c r="CQ36" s="1063">
        <f>CK36*((CA36*VLOOKUP(IF(DB36,CE36,0),$BW$16:$CC$21,6,FALSE)+CB36*(8760-VLOOKUP(IF(DB36,CE36,0),$BW$16:$CC$21,6,FALSE)))*4*(1-$CL$7)*1.21/10^6+(CG36*VLOOKUP(IF(DB36,CE36,0),$CV$16:$DA$21,5,FALSE)+CH36*VLOOKUP(IF(DB36,CE36,0),$CV$16:$DA$21,6,FALSE))*$CX$23)</f>
        <v>0</v>
      </c>
      <c r="CR36" s="1063">
        <f>CL36*((CC36*VLOOKUP(IF(DC36,CF36,0),$BW$16:$CC$21,6,FALSE)+CD36*(8760-VLOOKUP(IF(DC36,CF36,0),$BW$16:$CC$21,6,FALSE)))*4*(1-$CL$7)*1.21/10^6+(CI36*VLOOKUP(IF(DC36,CF36,0),$CV$16:$DA$21,5,FALSE)+CJ36*VLOOKUP(IF(DC36,CF36,0),$CV$16:$DA$21,6,FALSE))*$CX$23)</f>
        <v>0</v>
      </c>
      <c r="CS36" s="663">
        <v>0</v>
      </c>
      <c r="CT36" s="1063">
        <f>(IF(AX129=1,0,B129* VLOOKUP(IF(BV129, Z129,0),$CV$16:$DA$21,3,FALSE)) +IF(AY129=1,0,C129* VLOOKUP(IF(BW129,AA129,0),$CV$16:$DA$21,3,FALSE)) +IF(AZ129=1,0,D129* VLOOKUP(IF(BX129,AB129,0),$CV$16:$DA$21,3,FALSE)) +IF(BA129=1,0,E129* VLOOKUP(IF(BY129,AC129,0),$CV$16:$DA$21,3,FALSE)) +IF(BB129=1,0,F129* VLOOKUP(IF(BZ129,AD129,0),$CV$16:$DA$21,3,FALSE)) +IF(BC129=1,0,G129* VLOOKUP(IF(CA129,AE129,0),$CV$16:$DA$21,3,FALSE)))*$CX$23</f>
        <v>0</v>
      </c>
      <c r="CU36" s="1063">
        <f>(IF(BD129=1,0,H129*VLOOKUP(IF(CB129,AF129,0),$CV$16:$DA$21,3,FALSE)) +IF(BE129=1,0,I129*VLOOKUP(IF(CC129,AG129,0),$CV$16:$DA$21,3,FALSE)) +IF(BF129=1,0,J129*VLOOKUP(IF(CD129,AH129,0),$CV$16:$DA$21,3,FALSE)) +IF(BG129=1,0,K129*VLOOKUP(IF(CE129,AI129,0),$CV$16:$DA$21,3,FALSE)) +IF(BH129=1,0,L129*VLOOKUP(IF(CF129,AJ129,0),$CV$16:$DA$21,3,FALSE)) +IF(BI129=1,0,M129*VLOOKUP(IF(CG129,AK129,0),$CV$16:$DA$21,3,FALSE)))*$CX$23</f>
        <v>0</v>
      </c>
      <c r="CV36" s="1063">
        <f>(IF(BJ129=1,0,N129*VLOOKUP(IF(CH129,AL129,0),$CV$16:$DA$21,3,FALSE)) +IF(BK129=1,0,O129*VLOOKUP(IF(CI129,AM129,0),$CV$16:$DA$21,3,FALSE)) +IF(BL129=1,0,P129*VLOOKUP(IF(CJ129,AN129,0),$CV$16:$DA$21,3,FALSE)) +IF(BM129=1,0,Q129*VLOOKUP(IF(CK129,AO129,0),$CV$16:$DA$21,3,FALSE)) +IF(BN129=1,0,R129*VLOOKUP(IF(CL129,AP129,0),$CV$16:$DA$21,3,FALSE)) +IF(BO129=1,0,S129*VLOOKUP(IF(CM129,AQ129,0),$CV$16:$DA$21,3,FALSE)))*$CX$23</f>
        <v>0</v>
      </c>
      <c r="CW36" s="1063">
        <f>(IF(BP129=1,0,T129*VLOOKUP(IF(CN129,AR129,0),$CV$16:$DA$21,3,FALSE)) +IF(BQ129=1,0,U129*VLOOKUP(IF(CO129,AS129,0),$CV$16:$DA$21,3,FALSE)) +IF(BR129=1,0,V129*VLOOKUP(IF(CP129,AT129,0),$CV$16:$DA$21,3,FALSE)) +IF(BS129=1,0,W129*VLOOKUP(IF(CQ129,AU129,0),$CV$16:$DA$21,3,FALSE)) +IF(BT129=1,0,X129*VLOOKUP(IF(CR129,AV129,0),$CV$16:$DA$21,3,FALSE)) +IF(BU129=1,0,Y129*VLOOKUP(IF(CS129,AW129,0),$CV$16:$DA$21,3,FALSE)))*$CX$23</f>
        <v>0</v>
      </c>
      <c r="CX36" s="1063">
        <f>(IF(AX129=0,0,B129* VLOOKUP(IF(BV129, Z129,0),$CV$16:$DA$21,5,FALSE)) +IF(AY129=0,0,C129* VLOOKUP(IF(BW129,AA129,0),$CV$16:$DA$21,5,FALSE)) +IF(AZ129=0,0,D129* VLOOKUP(IF(BX129,AB129,0),$CV$16:$DA$21,5,FALSE)) +IF(BA129=0,0,E129* VLOOKUP(IF(BY129,AC129,0),$CV$16:$DA$21,5,FALSE)) +IF(BB129=0,0,F129* VLOOKUP(IF(BZ129,AD129,0),$CV$16:$DA$21,5,FALSE)) +IF(BC129=0,0,G129* VLOOKUP(IF(CA129,AE129,0),$CV$16:$DA$21,5,FALSE)))*$CX$23</f>
        <v>0</v>
      </c>
      <c r="CY36" s="1063">
        <f>(IF(BD129=0,0,H129*VLOOKUP(IF(CB129,AF129,0),$CV$16:$DA$21,5,FALSE)) +IF(BE129=0,0,I129*VLOOKUP(IF(CC129,AG129,0),$CV$16:$DA$21,5,FALSE)) +IF(BF129=0,0,J129*VLOOKUP(IF(CD129,AH129,0),$CV$16:$DA$21,5,FALSE)) +IF(BG129=0,0,K129*VLOOKUP(IF(CE129,AI129,0),$CV$16:$DA$21,5,FALSE)) +IF(BH129=0,0,L129*VLOOKUP(IF(CF129,AJ129,0),$CV$16:$DA$21,5,FALSE)) +IF(BI129=0,0,M129*VLOOKUP(IF(CG129,AK129,0),$CV$16:$DA$21,5,FALSE)))*$CX$23</f>
        <v>0</v>
      </c>
      <c r="CZ36" s="1063">
        <f>(IF(BJ129=0,0,N129*VLOOKUP(IF(CH129,AL129,0),$CV$16:$DA$21,5,FALSE)) +IF(BK129=0,0,O129*VLOOKUP(IF(CI129,AM129,0),$CV$16:$DA$21,5,FALSE)) +IF(BL129=0,0,P129*VLOOKUP(IF(CJ129,AN129,0),$CV$16:$DA$21,5,FALSE)) +IF(BM129=0,0,Q129*VLOOKUP(IF(CK129,AO129,0),$CV$16:$DA$21,5,FALSE)) +IF(BN129=0,0,R129*VLOOKUP(IF(CL129,AP129,0),$CV$16:$DA$21,5,FALSE)) +IF(BO129=0,0,S129*VLOOKUP(IF(CM129,AQ129,0),$CV$16:$DA$21,5,FALSE)))*$CX$23</f>
        <v>0</v>
      </c>
      <c r="DA36" s="1063">
        <f>(IF(BP129=0,0,T129*VLOOKUP(IF(CN129,AR129,0),$CV$16:$DA$21,5,FALSE)) +IF(BQ129=0,0,U129*VLOOKUP(IF(CO129,AS129,0),$CV$16:$DA$21,5,FALSE)) +IF(BR129=0,0,V129*VLOOKUP(IF(CP129,AT129,0),$CV$16:$DA$21,5,FALSE)) +IF(BS129=0,0,W129*VLOOKUP(IF(CQ129,AU129,0),$CV$16:$DA$21,5,FALSE)) +IF(BT129=0,0,X129*VLOOKUP(IF(CR129,AV129,0),$CV$16:$DA$21,5,FALSE)) +IF(BU129=0,0,Y129*VLOOKUP(IF(CS129,AW129,0),$CV$16:$DA$21,5,FALSE)))*$CX$23</f>
        <v>0</v>
      </c>
      <c r="DB36" s="319" t="b">
        <f t="shared" si="32"/>
        <v>0</v>
      </c>
      <c r="DC36" s="319" t="b">
        <f t="shared" si="32"/>
        <v>0</v>
      </c>
      <c r="DN36" s="556"/>
      <c r="DP36" s="55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s="319" customFormat="1" ht="13.2">
      <c r="A37" s="594" t="s">
        <v>3718</v>
      </c>
      <c r="B37" s="481"/>
      <c r="C37" s="594">
        <v>1</v>
      </c>
      <c r="D37" s="925"/>
      <c r="E37" s="576">
        <f t="shared" si="12"/>
        <v>0</v>
      </c>
      <c r="F37" s="353">
        <f t="shared" si="17"/>
        <v>0</v>
      </c>
      <c r="G37" s="471">
        <f t="shared" si="18"/>
        <v>0</v>
      </c>
      <c r="H37" s="599">
        <f t="shared" si="29"/>
        <v>0</v>
      </c>
      <c r="I37" s="600">
        <f t="shared" si="29"/>
        <v>0</v>
      </c>
      <c r="J37" s="600">
        <f t="shared" si="29"/>
        <v>0</v>
      </c>
      <c r="K37" s="601">
        <f t="shared" si="29"/>
        <v>0</v>
      </c>
      <c r="L37" s="585">
        <f>R37</f>
        <v>0</v>
      </c>
      <c r="M37" s="586">
        <f>Z37</f>
        <v>0</v>
      </c>
      <c r="N37" s="585">
        <f>AM37</f>
        <v>0</v>
      </c>
      <c r="O37" s="586">
        <f>AU37</f>
        <v>0</v>
      </c>
      <c r="P37" s="639">
        <v>0</v>
      </c>
      <c r="Q37" s="639">
        <v>0</v>
      </c>
      <c r="R37" s="309">
        <f>IF(CS37=0,IF(CM37=1,0,CO37),CT37+CU37)</f>
        <v>0</v>
      </c>
      <c r="S37" s="309">
        <f>IF($L$123=0,0,R37*$H$123/$L$123)</f>
        <v>0</v>
      </c>
      <c r="T37" s="309">
        <f>IF(R37-S37&lt;0,0,R37-S37)*C37</f>
        <v>0</v>
      </c>
      <c r="U37" s="555">
        <v>0</v>
      </c>
      <c r="V37" s="595">
        <f t="shared" si="13"/>
        <v>0</v>
      </c>
      <c r="W37" s="596">
        <f t="shared" si="14"/>
        <v>0</v>
      </c>
      <c r="X37" s="597">
        <f>IF(W37=0,0,T37/W37)</f>
        <v>0</v>
      </c>
      <c r="Y37" s="661">
        <f>IF(CS37=0,IF(CN37=1,0,CP37),CV37+CW37)</f>
        <v>0</v>
      </c>
      <c r="Z37" s="309">
        <f>IF(BX37=1,Y37,R37)*C37</f>
        <v>0</v>
      </c>
      <c r="AA37" s="309">
        <f t="shared" si="19"/>
        <v>0</v>
      </c>
      <c r="AB37" s="309">
        <f t="shared" si="20"/>
        <v>0</v>
      </c>
      <c r="AC37" s="555">
        <v>0</v>
      </c>
      <c r="AD37" s="595">
        <f t="shared" si="15"/>
        <v>0</v>
      </c>
      <c r="AE37" s="596">
        <f t="shared" si="16"/>
        <v>0</v>
      </c>
      <c r="AF37" s="597">
        <f>IF(AE37=0,0,AB37/AE37)</f>
        <v>0</v>
      </c>
      <c r="AG37" s="458">
        <f>IF(AE37=0,0,(T37-AB37)/AE37)</f>
        <v>0</v>
      </c>
      <c r="AH37" s="458">
        <f>X37-AF37-AG37</f>
        <v>0</v>
      </c>
      <c r="AI37" s="458">
        <f>VLOOKUP(V37,$H$3:$N$8,7,FALSE)</f>
        <v>0</v>
      </c>
      <c r="AJ37" s="458">
        <f>VLOOKUP(AD37,$H$3:$N$8,7,FALSE)</f>
        <v>0</v>
      </c>
      <c r="AK37" s="458">
        <f>IF(AND(AG37=0,AH37=0),0,(X37*AI37-AF37*AJ37)/IF(AG37+AH37=0,ABS(AG37)*2,AG37+AH37)*AG37)</f>
        <v>0</v>
      </c>
      <c r="AL37" s="458">
        <f>IF(AND(AG37=0,AH37=0),0,(X37*AI37-AF37*AJ37)/IF(AG37+AH37=0,ABS(AG37)*2,AG37+AH37)*AH37)</f>
        <v>0</v>
      </c>
      <c r="AM37" s="309">
        <f>IF(CS37=0,IF(CM37=0,0,CQ37),CX37+CY37)</f>
        <v>0</v>
      </c>
      <c r="AN37" s="309">
        <f t="shared" si="21"/>
        <v>0</v>
      </c>
      <c r="AO37" s="309">
        <f>AM37+AN37</f>
        <v>0</v>
      </c>
      <c r="AP37" s="555">
        <v>0</v>
      </c>
      <c r="AQ37" s="595">
        <f t="shared" si="22"/>
        <v>0</v>
      </c>
      <c r="AR37" s="596">
        <f t="shared" si="23"/>
        <v>0</v>
      </c>
      <c r="AS37" s="458">
        <f>IF(AR37=0,0,AO37/AR37)</f>
        <v>0</v>
      </c>
      <c r="AT37" s="661">
        <f>IF(CS37=0,IF(CN37=0,0,CR37),CZ37+DA37)</f>
        <v>0</v>
      </c>
      <c r="AU37" s="598">
        <f>IF(BX37=1,AT37,AM37)</f>
        <v>0</v>
      </c>
      <c r="AV37" s="309">
        <f t="shared" si="24"/>
        <v>0</v>
      </c>
      <c r="AW37" s="309">
        <f>AU37+AV37</f>
        <v>0</v>
      </c>
      <c r="AX37" s="555">
        <v>0</v>
      </c>
      <c r="AY37" s="595">
        <f t="shared" si="25"/>
        <v>0</v>
      </c>
      <c r="AZ37" s="596">
        <f t="shared" si="26"/>
        <v>0</v>
      </c>
      <c r="BA37" s="458">
        <f>IF(AZ37=0,0,AW37/AZ37)</f>
        <v>0</v>
      </c>
      <c r="BB37" s="458">
        <f>IF(AZ37=0,0,(AO37-AW37)/AZ37)</f>
        <v>0</v>
      </c>
      <c r="BC37" s="458">
        <f>AS37-BA37-BB37</f>
        <v>0</v>
      </c>
      <c r="BD37" s="458">
        <f>VLOOKUP(AQ37,$H$3:$N$8,7,FALSE)</f>
        <v>0</v>
      </c>
      <c r="BE37" s="458">
        <f>VLOOKUP(AY37,$H$3:$N$8,7,FALSE)</f>
        <v>0</v>
      </c>
      <c r="BF37" s="458">
        <f>IF(AND(BB37=0,BC37=0),0,(AS37*BD37-BA37*BE37)/IF(BB37+BC37=0,ABS(BB37)*2,BB37+BC37)*BB37)</f>
        <v>0</v>
      </c>
      <c r="BG37" s="458">
        <f>IF(AND(BB37=0,BC37=0),0,(AS37*BD37-BA37*BE37)/IF(BB37+BC37=0,ABS(BB37)*2,BB37+BC37)*BC37)</f>
        <v>0</v>
      </c>
      <c r="BH37" s="458">
        <f>(BR37-BK37)*$N$3</f>
        <v>0</v>
      </c>
      <c r="BI37" s="600">
        <f t="shared" si="30"/>
        <v>0</v>
      </c>
      <c r="BJ37" s="600">
        <f t="shared" si="30"/>
        <v>0</v>
      </c>
      <c r="BK37" s="598">
        <f t="shared" si="31"/>
        <v>0</v>
      </c>
      <c r="BL37" s="371"/>
      <c r="BM37" s="371"/>
      <c r="BN37" s="600">
        <f>BI37*IF(BL37=$BL$23,$BJ$22/12,0)</f>
        <v>0</v>
      </c>
      <c r="BO37" s="600">
        <f>BK37*IF(BL37=$BL$23,$BJ$22/12,0)</f>
        <v>0</v>
      </c>
      <c r="BP37" s="600">
        <f>BI37*IF(BM37=$BL$23,$BJ$23/12,0)</f>
        <v>0</v>
      </c>
      <c r="BQ37" s="600">
        <f>BK37*IF(BM37=$BL$23,$BJ$23/12,0)</f>
        <v>0</v>
      </c>
      <c r="BR37" s="598"/>
      <c r="BS37" s="598"/>
      <c r="BT37" s="476"/>
      <c r="BU37" s="405">
        <v>0</v>
      </c>
      <c r="BV37" s="319">
        <f t="shared" si="27"/>
        <v>0</v>
      </c>
      <c r="BW37" s="319">
        <f t="shared" si="28"/>
        <v>0</v>
      </c>
      <c r="BX37" s="319">
        <f>IF('Modelo Energético '!$Q62=TRUE,1,0)</f>
        <v>1</v>
      </c>
      <c r="CA37" s="662">
        <v>0</v>
      </c>
      <c r="CB37" s="662">
        <v>0</v>
      </c>
      <c r="CC37" s="662">
        <v>0</v>
      </c>
      <c r="CD37" s="662">
        <v>0</v>
      </c>
      <c r="CE37" s="662">
        <v>0</v>
      </c>
      <c r="CF37" s="662">
        <v>0</v>
      </c>
      <c r="CG37" s="662">
        <v>0</v>
      </c>
      <c r="CH37" s="662">
        <v>0</v>
      </c>
      <c r="CI37" s="662">
        <v>0</v>
      </c>
      <c r="CJ37" s="662">
        <v>0</v>
      </c>
      <c r="CK37" s="662">
        <v>1</v>
      </c>
      <c r="CL37" s="662">
        <v>1</v>
      </c>
      <c r="CM37" s="662">
        <v>0</v>
      </c>
      <c r="CN37" s="662">
        <v>0</v>
      </c>
      <c r="CO37" s="1061">
        <f>CK37*((CA37*VLOOKUP(IF(DB37,CE37,0),$BW$16:$CC$21,6,FALSE)+CB37*(8760-VLOOKUP(IF(DB37,CE37,0),$BW$16:$CC$21,6,FALSE)))*7*$CL$7*1.21/10^6+(CG37*VLOOKUP(IF(DB37,CE37,0),$CV$16:$DA$21,3,FALSE)+CH37*VLOOKUP(IF(DB37,CE37,0),$CV$16:$DA$21,4,FALSE))*$CX$23)</f>
        <v>0</v>
      </c>
      <c r="CP37" s="1062">
        <f>CL37*((CC37*VLOOKUP(IF(DC37,CF37,0),$BW$16:$CC$21,6,FALSE)+CD37*(8760-VLOOKUP(IF(DC37,CF37,0),$BW$16:$CC$21,6,FALSE)))*7*$CL$7*1.21/10^6+(CI37*VLOOKUP(IF(DC37,CF37,0),$CV$16:$DA$21,3,FALSE)+CJ37*VLOOKUP(IF(DC37,CF37,0),$CV$16:$DA$21,4,FALSE))*$CX$23)</f>
        <v>0</v>
      </c>
      <c r="CQ37" s="1063">
        <f>CK37*((CA37*VLOOKUP(IF(DB37,CE37,0),$BW$16:$CC$21,6,FALSE)+CB37*(8760-VLOOKUP(IF(DB37,CE37,0),$BW$16:$CC$21,6,FALSE)))*4*(1-$CL$7)*1.21/10^6+(CG37*VLOOKUP(IF(DB37,CE37,0),$CV$16:$DA$21,5,FALSE)+CH37*VLOOKUP(IF(DB37,CE37,0),$CV$16:$DA$21,6,FALSE))*$CX$23)</f>
        <v>0</v>
      </c>
      <c r="CR37" s="1063">
        <f>CL37*((CC37*VLOOKUP(IF(DC37,CF37,0),$BW$16:$CC$21,6,FALSE)+CD37*(8760-VLOOKUP(IF(DC37,CF37,0),$BW$16:$CC$21,6,FALSE)))*4*(1-$CL$7)*1.21/10^6+(CI37*VLOOKUP(IF(DC37,CF37,0),$CV$16:$DA$21,5,FALSE)+CJ37*VLOOKUP(IF(DC37,CF37,0),$CV$16:$DA$21,6,FALSE))*$CX$23)</f>
        <v>0</v>
      </c>
      <c r="CS37" s="663">
        <v>0</v>
      </c>
      <c r="CT37" s="1063">
        <f>(IF(AX130=1,0,B130* VLOOKUP(IF(BV130, Z130,0),$CV$16:$DA$21,3,FALSE)) +IF(AY130=1,0,C130* VLOOKUP(IF(BW130,AA130,0),$CV$16:$DA$21,3,FALSE)) +IF(AZ130=1,0,D130* VLOOKUP(IF(BX130,AB130,0),$CV$16:$DA$21,3,FALSE)) +IF(BA130=1,0,E130* VLOOKUP(IF(BY130,AC130,0),$CV$16:$DA$21,3,FALSE)) +IF(BB130=1,0,F130* VLOOKUP(IF(BZ130,AD130,0),$CV$16:$DA$21,3,FALSE)) +IF(BC130=1,0,G130* VLOOKUP(IF(CA130,AE130,0),$CV$16:$DA$21,3,FALSE)))*$CX$23</f>
        <v>0</v>
      </c>
      <c r="CU37" s="1063">
        <f>(IF(BD130=1,0,H130*VLOOKUP(IF(CB130,AF130,0),$CV$16:$DA$21,3,FALSE)) +IF(BE130=1,0,I130*VLOOKUP(IF(CC130,AG130,0),$CV$16:$DA$21,3,FALSE)) +IF(BF130=1,0,J130*VLOOKUP(IF(CD130,AH130,0),$CV$16:$DA$21,3,FALSE)) +IF(BG130=1,0,K130*VLOOKUP(IF(CE130,AI130,0),$CV$16:$DA$21,3,FALSE)) +IF(BH130=1,0,L130*VLOOKUP(IF(CF130,AJ130,0),$CV$16:$DA$21,3,FALSE)) +IF(BI130=1,0,M130*VLOOKUP(IF(CG130,AK130,0),$CV$16:$DA$21,3,FALSE)))*$CX$23</f>
        <v>0</v>
      </c>
      <c r="CV37" s="1063">
        <f>(IF(BJ130=1,0,N130*VLOOKUP(IF(CH130,AL130,0),$CV$16:$DA$21,3,FALSE)) +IF(BK130=1,0,O130*VLOOKUP(IF(CI130,AM130,0),$CV$16:$DA$21,3,FALSE)) +IF(BL130=1,0,P130*VLOOKUP(IF(CJ130,AN130,0),$CV$16:$DA$21,3,FALSE)) +IF(BM130=1,0,Q130*VLOOKUP(IF(CK130,AO130,0),$CV$16:$DA$21,3,FALSE)) +IF(BN130=1,0,R130*VLOOKUP(IF(CL130,AP130,0),$CV$16:$DA$21,3,FALSE)) +IF(BO130=1,0,S130*VLOOKUP(IF(CM130,AQ130,0),$CV$16:$DA$21,3,FALSE)))*$CX$23</f>
        <v>0</v>
      </c>
      <c r="CW37" s="1063">
        <f>(IF(BP130=1,0,T130*VLOOKUP(IF(CN130,AR130,0),$CV$16:$DA$21,3,FALSE)) +IF(BQ130=1,0,U130*VLOOKUP(IF(CO130,AS130,0),$CV$16:$DA$21,3,FALSE)) +IF(BR130=1,0,V130*VLOOKUP(IF(CP130,AT130,0),$CV$16:$DA$21,3,FALSE)) +IF(BS130=1,0,W130*VLOOKUP(IF(CQ130,AU130,0),$CV$16:$DA$21,3,FALSE)) +IF(BT130=1,0,X130*VLOOKUP(IF(CR130,AV130,0),$CV$16:$DA$21,3,FALSE)) +IF(BU130=1,0,Y130*VLOOKUP(IF(CS130,AW130,0),$CV$16:$DA$21,3,FALSE)))*$CX$23</f>
        <v>0</v>
      </c>
      <c r="CX37" s="1063">
        <f>(IF(AX130=0,0,B130* VLOOKUP(IF(BV130, Z130,0),$CV$16:$DA$21,5,FALSE)) +IF(AY130=0,0,C130* VLOOKUP(IF(BW130,AA130,0),$CV$16:$DA$21,5,FALSE)) +IF(AZ130=0,0,D130* VLOOKUP(IF(BX130,AB130,0),$CV$16:$DA$21,5,FALSE)) +IF(BA130=0,0,E130* VLOOKUP(IF(BY130,AC130,0),$CV$16:$DA$21,5,FALSE)) +IF(BB130=0,0,F130* VLOOKUP(IF(BZ130,AD130,0),$CV$16:$DA$21,5,FALSE)) +IF(BC130=0,0,G130* VLOOKUP(IF(CA130,AE130,0),$CV$16:$DA$21,5,FALSE)))*$CX$23</f>
        <v>0</v>
      </c>
      <c r="CY37" s="1063">
        <f>(IF(BD130=0,0,H130*VLOOKUP(IF(CB130,AF130,0),$CV$16:$DA$21,5,FALSE)) +IF(BE130=0,0,I130*VLOOKUP(IF(CC130,AG130,0),$CV$16:$DA$21,5,FALSE)) +IF(BF130=0,0,J130*VLOOKUP(IF(CD130,AH130,0),$CV$16:$DA$21,5,FALSE)) +IF(BG130=0,0,K130*VLOOKUP(IF(CE130,AI130,0),$CV$16:$DA$21,5,FALSE)) +IF(BH130=0,0,L130*VLOOKUP(IF(CF130,AJ130,0),$CV$16:$DA$21,5,FALSE)) +IF(BI130=0,0,M130*VLOOKUP(IF(CG130,AK130,0),$CV$16:$DA$21,5,FALSE)))*$CX$23</f>
        <v>0</v>
      </c>
      <c r="CZ37" s="1063">
        <f>(IF(BJ130=0,0,N130*VLOOKUP(IF(CH130,AL130,0),$CV$16:$DA$21,5,FALSE)) +IF(BK130=0,0,O130*VLOOKUP(IF(CI130,AM130,0),$CV$16:$DA$21,5,FALSE)) +IF(BL130=0,0,P130*VLOOKUP(IF(CJ130,AN130,0),$CV$16:$DA$21,5,FALSE)) +IF(BM130=0,0,Q130*VLOOKUP(IF(CK130,AO130,0),$CV$16:$DA$21,5,FALSE)) +IF(BN130=0,0,R130*VLOOKUP(IF(CL130,AP130,0),$CV$16:$DA$21,5,FALSE)) +IF(BO130=0,0,S130*VLOOKUP(IF(CM130,AQ130,0),$CV$16:$DA$21,5,FALSE)))*$CX$23</f>
        <v>0</v>
      </c>
      <c r="DA37" s="1063">
        <f>(IF(BP130=0,0,T130*VLOOKUP(IF(CN130,AR130,0),$CV$16:$DA$21,5,FALSE)) +IF(BQ130=0,0,U130*VLOOKUP(IF(CO130,AS130,0),$CV$16:$DA$21,5,FALSE)) +IF(BR130=0,0,V130*VLOOKUP(IF(CP130,AT130,0),$CV$16:$DA$21,5,FALSE)) +IF(BS130=0,0,W130*VLOOKUP(IF(CQ130,AU130,0),$CV$16:$DA$21,5,FALSE)) +IF(BT130=0,0,X130*VLOOKUP(IF(CR130,AV130,0),$CV$16:$DA$21,5,FALSE)) +IF(BU130=0,0,Y130*VLOOKUP(IF(CS130,AW130,0),$CV$16:$DA$21,5,FALSE)))*$CX$23</f>
        <v>0</v>
      </c>
      <c r="DB37" s="319" t="b">
        <f t="shared" si="32"/>
        <v>0</v>
      </c>
      <c r="DC37" s="319" t="b">
        <f t="shared" si="32"/>
        <v>0</v>
      </c>
      <c r="DN37" s="556"/>
      <c r="DP37" s="556"/>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s="319" customFormat="1" ht="13.2">
      <c r="A38" s="594" t="s">
        <v>5812</v>
      </c>
      <c r="B38" s="481"/>
      <c r="C38" s="594">
        <v>1</v>
      </c>
      <c r="D38" s="925"/>
      <c r="E38" s="576">
        <f t="shared" si="12"/>
        <v>0</v>
      </c>
      <c r="F38" s="353">
        <f t="shared" si="17"/>
        <v>0</v>
      </c>
      <c r="G38" s="471">
        <f t="shared" si="18"/>
        <v>0</v>
      </c>
      <c r="H38" s="599">
        <f t="shared" si="29"/>
        <v>0</v>
      </c>
      <c r="I38" s="600">
        <f t="shared" si="29"/>
        <v>0</v>
      </c>
      <c r="J38" s="600">
        <f t="shared" si="29"/>
        <v>0</v>
      </c>
      <c r="K38" s="601">
        <f t="shared" si="29"/>
        <v>0</v>
      </c>
      <c r="L38" s="585">
        <f>R38</f>
        <v>0</v>
      </c>
      <c r="M38" s="586">
        <f>Z38</f>
        <v>0</v>
      </c>
      <c r="N38" s="585">
        <f>AM38</f>
        <v>0</v>
      </c>
      <c r="O38" s="586">
        <f>AU38</f>
        <v>0</v>
      </c>
      <c r="P38" s="639">
        <v>0</v>
      </c>
      <c r="Q38" s="639">
        <v>0</v>
      </c>
      <c r="R38" s="309">
        <f>IF(CS38=0,IF(CM38=1,0,CO38),CT38+CU38)</f>
        <v>0</v>
      </c>
      <c r="S38" s="309">
        <f>IF($L$123=0,0,R38*$H$123/$L$123)</f>
        <v>0</v>
      </c>
      <c r="T38" s="309">
        <f>IF(R38-S38&lt;0,0,R38-S38)*C38</f>
        <v>0</v>
      </c>
      <c r="U38" s="555">
        <v>0</v>
      </c>
      <c r="V38" s="595">
        <f t="shared" si="13"/>
        <v>0</v>
      </c>
      <c r="W38" s="596">
        <f t="shared" si="14"/>
        <v>0</v>
      </c>
      <c r="X38" s="597">
        <f>IF(W38=0,0,T38/W38)</f>
        <v>0</v>
      </c>
      <c r="Y38" s="661">
        <f>IF(CS38=0,IF(CN38=1,0,CP38),CV38+CW38)</f>
        <v>0</v>
      </c>
      <c r="Z38" s="309">
        <f>IF(BX38=1,Y38,R38)*C38</f>
        <v>0</v>
      </c>
      <c r="AA38" s="309">
        <f t="shared" si="19"/>
        <v>0</v>
      </c>
      <c r="AB38" s="309">
        <f t="shared" si="20"/>
        <v>0</v>
      </c>
      <c r="AC38" s="555">
        <v>0</v>
      </c>
      <c r="AD38" s="595">
        <f t="shared" si="15"/>
        <v>0</v>
      </c>
      <c r="AE38" s="596">
        <f t="shared" si="16"/>
        <v>0</v>
      </c>
      <c r="AF38" s="597">
        <f>IF(AE38=0,0,AB38/AE38)</f>
        <v>0</v>
      </c>
      <c r="AG38" s="458">
        <f>IF(AE38=0,0,(T38-AB38)/AE38)</f>
        <v>0</v>
      </c>
      <c r="AH38" s="458">
        <f>X38-AF38-AG38</f>
        <v>0</v>
      </c>
      <c r="AI38" s="458">
        <f>VLOOKUP(V38,$H$3:$N$8,7,FALSE)</f>
        <v>0</v>
      </c>
      <c r="AJ38" s="458">
        <f>VLOOKUP(AD38,$H$3:$N$8,7,FALSE)</f>
        <v>0</v>
      </c>
      <c r="AK38" s="458">
        <f>IF(AND(AG38=0,AH38=0),0,(X38*AI38-AF38*AJ38)/IF(AG38+AH38=0,ABS(AG38)*2,AG38+AH38)*AG38)</f>
        <v>0</v>
      </c>
      <c r="AL38" s="458">
        <f>IF(AND(AG38=0,AH38=0),0,(X38*AI38-AF38*AJ38)/IF(AG38+AH38=0,ABS(AG38)*2,AG38+AH38)*AH38)</f>
        <v>0</v>
      </c>
      <c r="AM38" s="309">
        <f>IF(CS38=0,IF(CM38=0,0,CQ38),CX38+CY38)</f>
        <v>0</v>
      </c>
      <c r="AN38" s="309">
        <f t="shared" si="21"/>
        <v>0</v>
      </c>
      <c r="AO38" s="309">
        <f>AM38+AN38</f>
        <v>0</v>
      </c>
      <c r="AP38" s="555">
        <v>0</v>
      </c>
      <c r="AQ38" s="595">
        <f t="shared" si="22"/>
        <v>0</v>
      </c>
      <c r="AR38" s="596">
        <f t="shared" si="23"/>
        <v>0</v>
      </c>
      <c r="AS38" s="458">
        <f>IF(AR38=0,0,AO38/AR38)</f>
        <v>0</v>
      </c>
      <c r="AT38" s="661">
        <f>IF(CS38=0,IF(CN38=0,0,CR38),CZ38+DA38)</f>
        <v>0</v>
      </c>
      <c r="AU38" s="598">
        <f>IF(BX38=1,AT38,AM38)</f>
        <v>0</v>
      </c>
      <c r="AV38" s="309">
        <f t="shared" si="24"/>
        <v>0</v>
      </c>
      <c r="AW38" s="309">
        <f>AU38+AV38</f>
        <v>0</v>
      </c>
      <c r="AX38" s="555">
        <v>0</v>
      </c>
      <c r="AY38" s="595">
        <f t="shared" si="25"/>
        <v>0</v>
      </c>
      <c r="AZ38" s="596">
        <f t="shared" si="26"/>
        <v>0</v>
      </c>
      <c r="BA38" s="458">
        <f>IF(AZ38=0,0,AW38/AZ38)</f>
        <v>0</v>
      </c>
      <c r="BB38" s="458">
        <f>IF(AZ38=0,0,(AO38-AW38)/AZ38)</f>
        <v>0</v>
      </c>
      <c r="BC38" s="458">
        <f>AS38-BA38-BB38</f>
        <v>0</v>
      </c>
      <c r="BD38" s="458">
        <f>VLOOKUP(AQ38,$H$3:$N$8,7,FALSE)</f>
        <v>0</v>
      </c>
      <c r="BE38" s="458">
        <f>VLOOKUP(AY38,$H$3:$N$8,7,FALSE)</f>
        <v>0</v>
      </c>
      <c r="BF38" s="458">
        <f>IF(AND(BB38=0,BC38=0),0,(AS38*BD38-BA38*BE38)/IF(BB38+BC38=0,ABS(BB38)*2,BB38+BC38)*BB38)</f>
        <v>0</v>
      </c>
      <c r="BG38" s="458">
        <f>IF(AND(BB38=0,BC38=0),0,(AS38*BD38-BA38*BE38)/IF(BB38+BC38=0,ABS(BB38)*2,BB38+BC38)*BC38)</f>
        <v>0</v>
      </c>
      <c r="BH38" s="458">
        <f>(BR38-BK38)*$N$3</f>
        <v>0</v>
      </c>
      <c r="BI38" s="600">
        <f t="shared" si="30"/>
        <v>0</v>
      </c>
      <c r="BJ38" s="600">
        <f t="shared" si="30"/>
        <v>0</v>
      </c>
      <c r="BK38" s="598">
        <f t="shared" si="31"/>
        <v>0</v>
      </c>
      <c r="BL38" s="371"/>
      <c r="BM38" s="371"/>
      <c r="BN38" s="600">
        <f>BI38*IF(BL38=$BL$23,$BJ$22/12,0)</f>
        <v>0</v>
      </c>
      <c r="BO38" s="600">
        <f>BK38*IF(BL38=$BL$23,$BJ$22/12,0)</f>
        <v>0</v>
      </c>
      <c r="BP38" s="600">
        <f>BI38*IF(BM38=$BL$23,$BJ$23/12,0)</f>
        <v>0</v>
      </c>
      <c r="BQ38" s="600">
        <f>BK38*IF(BM38=$BL$23,$BJ$23/12,0)</f>
        <v>0</v>
      </c>
      <c r="BR38" s="598"/>
      <c r="BS38" s="598"/>
      <c r="BT38" s="476"/>
      <c r="BU38" s="405">
        <v>0</v>
      </c>
      <c r="BV38" s="319">
        <f t="shared" si="27"/>
        <v>0</v>
      </c>
      <c r="BW38" s="319">
        <f t="shared" si="28"/>
        <v>0</v>
      </c>
      <c r="BX38" s="319">
        <f>IF('Modelo Energético '!$Q63=TRUE,1,0)</f>
        <v>1</v>
      </c>
      <c r="CA38" s="662">
        <v>0</v>
      </c>
      <c r="CB38" s="662">
        <v>0</v>
      </c>
      <c r="CC38" s="662">
        <v>0</v>
      </c>
      <c r="CD38" s="662">
        <v>0</v>
      </c>
      <c r="CE38" s="662">
        <v>0</v>
      </c>
      <c r="CF38" s="662">
        <v>0</v>
      </c>
      <c r="CG38" s="662">
        <v>0</v>
      </c>
      <c r="CH38" s="662">
        <v>0</v>
      </c>
      <c r="CI38" s="662">
        <v>0</v>
      </c>
      <c r="CJ38" s="662">
        <v>0</v>
      </c>
      <c r="CK38" s="662">
        <v>0</v>
      </c>
      <c r="CL38" s="662">
        <v>0</v>
      </c>
      <c r="CM38" s="662">
        <v>0</v>
      </c>
      <c r="CN38" s="662">
        <v>0</v>
      </c>
      <c r="CO38" s="1061">
        <f>CK38*((CA38*VLOOKUP(IF(DB38,CE38,0),$BW$16:$CC$21,6,FALSE)+CB38*(8760-VLOOKUP(IF(DB38,CE38,0),$BW$16:$CC$21,6,FALSE)))*7*$CL$7*1.21/10^6+(CG38*VLOOKUP(IF(DB38,CE38,0),$CV$16:$DA$21,3,FALSE)+CH38*VLOOKUP(IF(DB38,CE38,0),$CV$16:$DA$21,4,FALSE))*$CX$23)</f>
        <v>0</v>
      </c>
      <c r="CP38" s="1062">
        <f>CL38*((CC38*VLOOKUP(IF(DC38,CF38,0),$BW$16:$CC$21,6,FALSE)+CD38*(8760-VLOOKUP(IF(DC38,CF38,0),$BW$16:$CC$21,6,FALSE)))*7*$CL$7*1.21/10^6+(CI38*VLOOKUP(IF(DC38,CF38,0),$CV$16:$DA$21,3,FALSE)+CJ38*VLOOKUP(IF(DC38,CF38,0),$CV$16:$DA$21,4,FALSE))*$CX$23)</f>
        <v>0</v>
      </c>
      <c r="CQ38" s="1063">
        <f>CK38*((CA38*VLOOKUP(IF(DB38,CE38,0),$BW$16:$CC$21,6,FALSE)+CB38*(8760-VLOOKUP(IF(DB38,CE38,0),$BW$16:$CC$21,6,FALSE)))*4*(1-$CL$7)*1.21/10^6+(CG38*VLOOKUP(IF(DB38,CE38,0),$CV$16:$DA$21,5,FALSE)+CH38*VLOOKUP(IF(DB38,CE38,0),$CV$16:$DA$21,6,FALSE))*$CX$23)</f>
        <v>0</v>
      </c>
      <c r="CR38" s="1063">
        <f>CL38*((CC38*VLOOKUP(IF(DC38,CF38,0),$BW$16:$CC$21,6,FALSE)+CD38*(8760-VLOOKUP(IF(DC38,CF38,0),$BW$16:$CC$21,6,FALSE)))*4*(1-$CL$7)*1.21/10^6+(CI38*VLOOKUP(IF(DC38,CF38,0),$CV$16:$DA$21,5,FALSE)+CJ38*VLOOKUP(IF(DC38,CF38,0),$CV$16:$DA$21,6,FALSE))*$CX$23)</f>
        <v>0</v>
      </c>
      <c r="CS38" s="663">
        <v>0</v>
      </c>
      <c r="CT38" s="1063">
        <f>(IF(AX131=1,0,B131* VLOOKUP(IF(BV131, Z131,0),$CV$16:$DA$21,3,FALSE)) +IF(AY131=1,0,C131* VLOOKUP(IF(BW131,AA131,0),$CV$16:$DA$21,3,FALSE)) +IF(AZ131=1,0,D131* VLOOKUP(IF(BX131,AB131,0),$CV$16:$DA$21,3,FALSE)) +IF(BA131=1,0,E131* VLOOKUP(IF(BY131,AC131,0),$CV$16:$DA$21,3,FALSE)) +IF(BB131=1,0,F131* VLOOKUP(IF(BZ131,AD131,0),$CV$16:$DA$21,3,FALSE)) +IF(BC131=1,0,G131* VLOOKUP(IF(CA131,AE131,0),$CV$16:$DA$21,3,FALSE)))*$CX$23</f>
        <v>0</v>
      </c>
      <c r="CU38" s="1063">
        <f>(IF(BD131=1,0,H131*VLOOKUP(IF(CB131,AF131,0),$CV$16:$DA$21,3,FALSE)) +IF(BE131=1,0,I131*VLOOKUP(IF(CC131,AG131,0),$CV$16:$DA$21,3,FALSE)) +IF(BF131=1,0,J131*VLOOKUP(IF(CD131,AH131,0),$CV$16:$DA$21,3,FALSE)) +IF(BG131=1,0,K131*VLOOKUP(IF(CE131,AI131,0),$CV$16:$DA$21,3,FALSE)) +IF(BH131=1,0,L131*VLOOKUP(IF(CF131,AJ131,0),$CV$16:$DA$21,3,FALSE)) +IF(BI131=1,0,M131*VLOOKUP(IF(CG131,AK131,0),$CV$16:$DA$21,3,FALSE)))*$CX$23</f>
        <v>0</v>
      </c>
      <c r="CV38" s="1063">
        <f>(IF(BJ131=1,0,N131*VLOOKUP(IF(CH131,AL131,0),$CV$16:$DA$21,3,FALSE)) +IF(BK131=1,0,O131*VLOOKUP(IF(CI131,AM131,0),$CV$16:$DA$21,3,FALSE)) +IF(BL131=1,0,P131*VLOOKUP(IF(CJ131,AN131,0),$CV$16:$DA$21,3,FALSE)) +IF(BM131=1,0,Q131*VLOOKUP(IF(CK131,AO131,0),$CV$16:$DA$21,3,FALSE)) +IF(BN131=1,0,R131*VLOOKUP(IF(CL131,AP131,0),$CV$16:$DA$21,3,FALSE)) +IF(BO131=1,0,S131*VLOOKUP(IF(CM131,AQ131,0),$CV$16:$DA$21,3,FALSE)))*$CX$23</f>
        <v>0</v>
      </c>
      <c r="CW38" s="1063">
        <f>(IF(BP131=1,0,T131*VLOOKUP(IF(CN131,AR131,0),$CV$16:$DA$21,3,FALSE)) +IF(BQ131=1,0,U131*VLOOKUP(IF(CO131,AS131,0),$CV$16:$DA$21,3,FALSE)) +IF(BR131=1,0,V131*VLOOKUP(IF(CP131,AT131,0),$CV$16:$DA$21,3,FALSE)) +IF(BS131=1,0,W131*VLOOKUP(IF(CQ131,AU131,0),$CV$16:$DA$21,3,FALSE)) +IF(BT131=1,0,X131*VLOOKUP(IF(CR131,AV131,0),$CV$16:$DA$21,3,FALSE)) +IF(BU131=1,0,Y131*VLOOKUP(IF(CS131,AW131,0),$CV$16:$DA$21,3,FALSE)))*$CX$23</f>
        <v>0</v>
      </c>
      <c r="CX38" s="1063">
        <f>(IF(AX131=0,0,B131* VLOOKUP(IF(BV131, Z131,0),$CV$16:$DA$21,5,FALSE)) +IF(AY131=0,0,C131* VLOOKUP(IF(BW131,AA131,0),$CV$16:$DA$21,5,FALSE)) +IF(AZ131=0,0,D131* VLOOKUP(IF(BX131,AB131,0),$CV$16:$DA$21,5,FALSE)) +IF(BA131=0,0,E131* VLOOKUP(IF(BY131,AC131,0),$CV$16:$DA$21,5,FALSE)) +IF(BB131=0,0,F131* VLOOKUP(IF(BZ131,AD131,0),$CV$16:$DA$21,5,FALSE)) +IF(BC131=0,0,G131* VLOOKUP(IF(CA131,AE131,0),$CV$16:$DA$21,5,FALSE)))*$CX$23</f>
        <v>0</v>
      </c>
      <c r="CY38" s="1063">
        <f>(IF(BD131=0,0,H131*VLOOKUP(IF(CB131,AF131,0),$CV$16:$DA$21,5,FALSE)) +IF(BE131=0,0,I131*VLOOKUP(IF(CC131,AG131,0),$CV$16:$DA$21,5,FALSE)) +IF(BF131=0,0,J131*VLOOKUP(IF(CD131,AH131,0),$CV$16:$DA$21,5,FALSE)) +IF(BG131=0,0,K131*VLOOKUP(IF(CE131,AI131,0),$CV$16:$DA$21,5,FALSE)) +IF(BH131=0,0,L131*VLOOKUP(IF(CF131,AJ131,0),$CV$16:$DA$21,5,FALSE)) +IF(BI131=0,0,M131*VLOOKUP(IF(CG131,AK131,0),$CV$16:$DA$21,5,FALSE)))*$CX$23</f>
        <v>0</v>
      </c>
      <c r="CZ38" s="1063">
        <f>(IF(BJ131=0,0,N131*VLOOKUP(IF(CH131,AL131,0),$CV$16:$DA$21,5,FALSE)) +IF(BK131=0,0,O131*VLOOKUP(IF(CI131,AM131,0),$CV$16:$DA$21,5,FALSE)) +IF(BL131=0,0,P131*VLOOKUP(IF(CJ131,AN131,0),$CV$16:$DA$21,5,FALSE)) +IF(BM131=0,0,Q131*VLOOKUP(IF(CK131,AO131,0),$CV$16:$DA$21,5,FALSE)) +IF(BN131=0,0,R131*VLOOKUP(IF(CL131,AP131,0),$CV$16:$DA$21,5,FALSE)) +IF(BO131=0,0,S131*VLOOKUP(IF(CM131,AQ131,0),$CV$16:$DA$21,5,FALSE)))*$CX$23</f>
        <v>0</v>
      </c>
      <c r="DA38" s="1063">
        <f>(IF(BP131=0,0,T131*VLOOKUP(IF(CN131,AR131,0),$CV$16:$DA$21,5,FALSE)) +IF(BQ131=0,0,U131*VLOOKUP(IF(CO131,AS131,0),$CV$16:$DA$21,5,FALSE)) +IF(BR131=0,0,V131*VLOOKUP(IF(CP131,AT131,0),$CV$16:$DA$21,5,FALSE)) +IF(BS131=0,0,W131*VLOOKUP(IF(CQ131,AU131,0),$CV$16:$DA$21,5,FALSE)) +IF(BT131=0,0,X131*VLOOKUP(IF(CR131,AV131,0),$CV$16:$DA$21,5,FALSE)) +IF(BU131=0,0,Y131*VLOOKUP(IF(CS131,AW131,0),$CV$16:$DA$21,5,FALSE)))*$CX$23</f>
        <v>0</v>
      </c>
      <c r="DB38" s="319" t="b">
        <f t="shared" si="32"/>
        <v>0</v>
      </c>
      <c r="DC38" s="319" t="b">
        <f t="shared" si="32"/>
        <v>0</v>
      </c>
      <c r="DN38" s="556"/>
      <c r="DP38" s="556"/>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row>
    <row r="39" spans="1:256" s="319" customFormat="1" ht="13.2">
      <c r="A39" s="594"/>
      <c r="B39" s="481"/>
      <c r="C39" s="594"/>
      <c r="D39" s="594"/>
      <c r="E39" s="576"/>
      <c r="F39" s="353"/>
      <c r="G39" s="471"/>
      <c r="H39" s="450"/>
      <c r="I39" s="463"/>
      <c r="J39" s="463"/>
      <c r="K39" s="471"/>
      <c r="L39" s="585"/>
      <c r="M39" s="586"/>
      <c r="N39" s="585"/>
      <c r="O39" s="586"/>
      <c r="V39" s="595"/>
      <c r="W39" s="596"/>
      <c r="Z39" s="309"/>
      <c r="AD39" s="587"/>
      <c r="AQ39" s="587"/>
      <c r="AU39" s="598"/>
      <c r="AY39" s="587"/>
      <c r="BI39" s="600"/>
      <c r="BJ39" s="600"/>
      <c r="BK39" s="598"/>
      <c r="BT39" s="476"/>
      <c r="BU39" s="481"/>
      <c r="DN39" s="556"/>
      <c r="DP39" s="556"/>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row>
    <row r="40" spans="1:256" s="319" customFormat="1" ht="13.2">
      <c r="A40" s="594" t="s">
        <v>2633</v>
      </c>
      <c r="B40" s="481"/>
      <c r="C40" s="594">
        <v>1</v>
      </c>
      <c r="D40" s="925"/>
      <c r="E40" s="576">
        <f t="shared" si="12"/>
        <v>0</v>
      </c>
      <c r="F40" s="353">
        <f t="shared" si="17"/>
        <v>0</v>
      </c>
      <c r="G40" s="471">
        <f t="shared" si="18"/>
        <v>0</v>
      </c>
      <c r="H40" s="599">
        <f t="shared" ref="H40:K44" si="33">BN40</f>
        <v>0</v>
      </c>
      <c r="I40" s="600">
        <f t="shared" si="33"/>
        <v>0</v>
      </c>
      <c r="J40" s="600">
        <f t="shared" si="33"/>
        <v>0</v>
      </c>
      <c r="K40" s="601">
        <f t="shared" si="33"/>
        <v>0</v>
      </c>
      <c r="L40" s="585"/>
      <c r="M40" s="586"/>
      <c r="N40" s="585"/>
      <c r="O40" s="586"/>
      <c r="P40" s="639">
        <v>0</v>
      </c>
      <c r="Q40" s="639">
        <v>0</v>
      </c>
      <c r="V40" s="595"/>
      <c r="W40" s="596"/>
      <c r="Z40" s="309"/>
      <c r="AD40" s="587"/>
      <c r="AQ40" s="587"/>
      <c r="AU40" s="598"/>
      <c r="AY40" s="587"/>
      <c r="BH40" s="458">
        <f>(BR40-BK40)*$N$3</f>
        <v>0</v>
      </c>
      <c r="BI40" s="600">
        <f t="shared" ref="BI40:BJ44" si="34">BR40*$C40</f>
        <v>0</v>
      </c>
      <c r="BJ40" s="600">
        <f t="shared" si="34"/>
        <v>0</v>
      </c>
      <c r="BK40" s="598">
        <f t="shared" si="31"/>
        <v>0</v>
      </c>
      <c r="BL40" s="555" t="s">
        <v>1129</v>
      </c>
      <c r="BM40" s="555" t="s">
        <v>1129</v>
      </c>
      <c r="BN40" s="600">
        <f>BI40*IF(BL40=$BL$23,$BJ$22/12,0)</f>
        <v>0</v>
      </c>
      <c r="BO40" s="600">
        <f>BK40*IF(BL40=$BL$23,$BJ$22/12,0)</f>
        <v>0</v>
      </c>
      <c r="BP40" s="600">
        <f>BI40*IF(BM40=$BL$23,$BJ$23/12,0)</f>
        <v>0</v>
      </c>
      <c r="BQ40" s="600">
        <f>BK40*IF(BM40=$BL$23,$BJ$23/12,0)</f>
        <v>0</v>
      </c>
      <c r="BR40" s="405">
        <v>0</v>
      </c>
      <c r="BS40" s="405">
        <v>0</v>
      </c>
      <c r="BT40" s="476"/>
      <c r="BU40" s="405">
        <v>0</v>
      </c>
      <c r="BX40" s="319">
        <f>IF('Modelo Energético '!$Q65=TRUE,1,0)</f>
        <v>1</v>
      </c>
      <c r="CO40" s="475"/>
      <c r="DN40" s="556"/>
      <c r="DP40" s="556"/>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row>
    <row r="41" spans="1:256" s="319" customFormat="1" ht="13.2">
      <c r="A41" s="594" t="s">
        <v>5038</v>
      </c>
      <c r="B41" s="481"/>
      <c r="C41" s="594">
        <v>1</v>
      </c>
      <c r="D41" s="637"/>
      <c r="E41" s="576">
        <f t="shared" si="12"/>
        <v>0</v>
      </c>
      <c r="F41" s="353">
        <f t="shared" si="17"/>
        <v>0</v>
      </c>
      <c r="G41" s="471">
        <f t="shared" si="18"/>
        <v>0</v>
      </c>
      <c r="H41" s="599">
        <f t="shared" si="33"/>
        <v>0</v>
      </c>
      <c r="I41" s="600">
        <f t="shared" si="33"/>
        <v>0</v>
      </c>
      <c r="J41" s="600">
        <f t="shared" si="33"/>
        <v>0</v>
      </c>
      <c r="K41" s="601">
        <f t="shared" si="33"/>
        <v>0</v>
      </c>
      <c r="L41" s="585"/>
      <c r="M41" s="586"/>
      <c r="N41" s="585"/>
      <c r="O41" s="586"/>
      <c r="P41" s="639">
        <v>0</v>
      </c>
      <c r="Q41" s="639">
        <v>0</v>
      </c>
      <c r="V41" s="595"/>
      <c r="W41" s="596"/>
      <c r="Z41" s="309"/>
      <c r="AD41" s="587"/>
      <c r="AQ41" s="587"/>
      <c r="AU41" s="598"/>
      <c r="AY41" s="587"/>
      <c r="BC41" s="602"/>
      <c r="BD41" s="602"/>
      <c r="BE41" s="602"/>
      <c r="BF41" s="602"/>
      <c r="BG41" s="602"/>
      <c r="BH41" s="458">
        <f>(BR41-BK41)*$N$3</f>
        <v>0</v>
      </c>
      <c r="BI41" s="600">
        <f t="shared" si="34"/>
        <v>0</v>
      </c>
      <c r="BJ41" s="600">
        <f t="shared" si="34"/>
        <v>0</v>
      </c>
      <c r="BK41" s="598">
        <f t="shared" si="31"/>
        <v>0</v>
      </c>
      <c r="BL41" s="555" t="s">
        <v>1129</v>
      </c>
      <c r="BM41" s="555" t="s">
        <v>1129</v>
      </c>
      <c r="BN41" s="600">
        <f>BI41*IF(BL41=$BL$23,$BJ$22/12,0)</f>
        <v>0</v>
      </c>
      <c r="BO41" s="600">
        <f>BK41*IF(BL41=$BL$23,$BJ$22/12,0)</f>
        <v>0</v>
      </c>
      <c r="BP41" s="600">
        <f>BI41*IF(BM41=$BL$23,$BJ$23/12,0)</f>
        <v>0</v>
      </c>
      <c r="BQ41" s="600">
        <f>BK41*IF(BM41=$BL$23,$BJ$23/12,0)</f>
        <v>0</v>
      </c>
      <c r="BR41" s="405">
        <v>0</v>
      </c>
      <c r="BS41" s="405">
        <v>0</v>
      </c>
      <c r="BT41" s="476"/>
      <c r="BU41" s="405">
        <v>0</v>
      </c>
      <c r="BX41" s="319">
        <f>IF('Modelo Energético '!$Q66=TRUE,1,0)</f>
        <v>1</v>
      </c>
      <c r="CO41" s="475"/>
      <c r="DN41" s="556"/>
      <c r="DP41" s="556"/>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row>
    <row r="42" spans="1:256" s="319" customFormat="1" ht="13.2">
      <c r="A42" s="594" t="s">
        <v>2543</v>
      </c>
      <c r="B42" s="481"/>
      <c r="C42" s="594">
        <v>1</v>
      </c>
      <c r="D42" s="637"/>
      <c r="E42" s="576">
        <f t="shared" si="12"/>
        <v>0</v>
      </c>
      <c r="F42" s="353">
        <f t="shared" si="17"/>
        <v>0</v>
      </c>
      <c r="G42" s="471">
        <f t="shared" si="18"/>
        <v>0</v>
      </c>
      <c r="H42" s="599">
        <f t="shared" si="33"/>
        <v>0</v>
      </c>
      <c r="I42" s="600">
        <f t="shared" si="33"/>
        <v>0</v>
      </c>
      <c r="J42" s="600">
        <f t="shared" si="33"/>
        <v>0</v>
      </c>
      <c r="K42" s="601">
        <f t="shared" si="33"/>
        <v>0</v>
      </c>
      <c r="L42" s="585"/>
      <c r="M42" s="586"/>
      <c r="N42" s="585"/>
      <c r="O42" s="586"/>
      <c r="P42" s="639">
        <v>0</v>
      </c>
      <c r="Q42" s="639">
        <v>0</v>
      </c>
      <c r="V42" s="595"/>
      <c r="W42" s="596"/>
      <c r="Z42" s="309"/>
      <c r="AD42" s="587"/>
      <c r="AQ42" s="587"/>
      <c r="AU42" s="598"/>
      <c r="AY42" s="587"/>
      <c r="BH42" s="458">
        <f>(BR42-BK42)*$N$3</f>
        <v>0</v>
      </c>
      <c r="BI42" s="600">
        <f t="shared" si="34"/>
        <v>0</v>
      </c>
      <c r="BJ42" s="600">
        <f t="shared" si="34"/>
        <v>0</v>
      </c>
      <c r="BK42" s="598">
        <f t="shared" si="31"/>
        <v>0</v>
      </c>
      <c r="BL42" s="555" t="s">
        <v>1129</v>
      </c>
      <c r="BM42" s="555" t="s">
        <v>1129</v>
      </c>
      <c r="BN42" s="600">
        <f>BI42*IF(BL42=$BL$23,$BJ$22/12,0)</f>
        <v>0</v>
      </c>
      <c r="BO42" s="600">
        <f>BK42*IF(BL42=$BL$23,$BJ$22/12,0)</f>
        <v>0</v>
      </c>
      <c r="BP42" s="600">
        <f>BI42*IF(BM42=$BL$23,$BJ$23/12,0)</f>
        <v>0</v>
      </c>
      <c r="BQ42" s="600">
        <f>BK42*IF(BM42=$BL$23,$BJ$23/12,0)</f>
        <v>0</v>
      </c>
      <c r="BR42" s="405">
        <v>0</v>
      </c>
      <c r="BS42" s="405">
        <v>0</v>
      </c>
      <c r="BT42" s="476"/>
      <c r="BU42" s="405">
        <v>0</v>
      </c>
      <c r="BX42" s="319">
        <f>IF('Modelo Energético '!$Q67=TRUE,1,0)</f>
        <v>1</v>
      </c>
      <c r="DN42" s="556"/>
      <c r="DP42" s="556"/>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row>
    <row r="43" spans="1:256" s="319" customFormat="1" ht="13.2">
      <c r="A43" s="594" t="s">
        <v>1317</v>
      </c>
      <c r="B43" s="481"/>
      <c r="C43" s="594">
        <v>1</v>
      </c>
      <c r="D43" s="637"/>
      <c r="E43" s="576">
        <f t="shared" si="12"/>
        <v>0</v>
      </c>
      <c r="F43" s="353">
        <f t="shared" si="17"/>
        <v>0</v>
      </c>
      <c r="G43" s="471">
        <f t="shared" si="18"/>
        <v>0</v>
      </c>
      <c r="H43" s="599">
        <f t="shared" si="33"/>
        <v>0</v>
      </c>
      <c r="I43" s="600">
        <f t="shared" si="33"/>
        <v>0</v>
      </c>
      <c r="J43" s="600">
        <f t="shared" si="33"/>
        <v>0</v>
      </c>
      <c r="K43" s="601">
        <f t="shared" si="33"/>
        <v>0</v>
      </c>
      <c r="L43" s="585"/>
      <c r="M43" s="586"/>
      <c r="N43" s="585"/>
      <c r="O43" s="586"/>
      <c r="P43" s="639">
        <v>0</v>
      </c>
      <c r="Q43" s="639">
        <v>0</v>
      </c>
      <c r="V43" s="595"/>
      <c r="W43" s="596"/>
      <c r="Z43" s="309"/>
      <c r="AD43" s="587"/>
      <c r="AQ43" s="587"/>
      <c r="AU43" s="598"/>
      <c r="AY43" s="587"/>
      <c r="BH43" s="458">
        <f>(BR43-BK43)*$N$3</f>
        <v>0</v>
      </c>
      <c r="BI43" s="600">
        <f t="shared" si="34"/>
        <v>0</v>
      </c>
      <c r="BJ43" s="600">
        <f t="shared" si="34"/>
        <v>0</v>
      </c>
      <c r="BK43" s="598">
        <f t="shared" si="31"/>
        <v>0</v>
      </c>
      <c r="BL43" s="555" t="s">
        <v>1129</v>
      </c>
      <c r="BM43" s="555" t="s">
        <v>1129</v>
      </c>
      <c r="BN43" s="600">
        <f>BI43*IF(BL43=$BL$23,$BJ$22/12,0)</f>
        <v>0</v>
      </c>
      <c r="BO43" s="600">
        <f>BK43*IF(BL43=$BL$23,$BJ$22/12,0)</f>
        <v>0</v>
      </c>
      <c r="BP43" s="600">
        <f>BI43*IF(BM43=$BL$23,$BJ$23/12,0)</f>
        <v>0</v>
      </c>
      <c r="BQ43" s="600">
        <f>BK43*IF(BM43=$BL$23,$BJ$23/12,0)</f>
        <v>0</v>
      </c>
      <c r="BR43" s="405">
        <v>0</v>
      </c>
      <c r="BS43" s="405">
        <v>0</v>
      </c>
      <c r="BT43" s="476"/>
      <c r="BU43" s="405">
        <v>0</v>
      </c>
      <c r="BX43" s="319">
        <f>IF('Modelo Energético '!$Q68=TRUE,1,0)</f>
        <v>1</v>
      </c>
      <c r="DN43" s="556"/>
      <c r="DP43" s="556"/>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row>
    <row r="44" spans="1:256" s="319" customFormat="1" ht="13.2">
      <c r="A44" s="594" t="s">
        <v>1318</v>
      </c>
      <c r="B44" s="481"/>
      <c r="C44" s="594">
        <v>1</v>
      </c>
      <c r="D44" s="637"/>
      <c r="E44" s="576">
        <f t="shared" si="12"/>
        <v>0</v>
      </c>
      <c r="F44" s="353">
        <f t="shared" si="17"/>
        <v>0</v>
      </c>
      <c r="G44" s="471">
        <f t="shared" si="18"/>
        <v>0</v>
      </c>
      <c r="H44" s="599">
        <f t="shared" si="33"/>
        <v>0</v>
      </c>
      <c r="I44" s="600">
        <f t="shared" si="33"/>
        <v>0</v>
      </c>
      <c r="J44" s="600">
        <f t="shared" si="33"/>
        <v>0</v>
      </c>
      <c r="K44" s="601">
        <f t="shared" si="33"/>
        <v>0</v>
      </c>
      <c r="L44" s="585"/>
      <c r="M44" s="586"/>
      <c r="N44" s="585"/>
      <c r="O44" s="586"/>
      <c r="P44" s="639">
        <v>0</v>
      </c>
      <c r="Q44" s="639">
        <v>0</v>
      </c>
      <c r="V44" s="595"/>
      <c r="W44" s="596"/>
      <c r="Z44" s="309"/>
      <c r="AD44" s="587"/>
      <c r="AQ44" s="587"/>
      <c r="AU44" s="598"/>
      <c r="AY44" s="587"/>
      <c r="BH44" s="458">
        <f>(BR44-BK44)*$N$3</f>
        <v>0</v>
      </c>
      <c r="BI44" s="600">
        <f t="shared" si="34"/>
        <v>0</v>
      </c>
      <c r="BJ44" s="600">
        <f t="shared" si="34"/>
        <v>0</v>
      </c>
      <c r="BK44" s="598">
        <f t="shared" si="31"/>
        <v>0</v>
      </c>
      <c r="BL44" s="555" t="s">
        <v>1129</v>
      </c>
      <c r="BM44" s="555" t="s">
        <v>1129</v>
      </c>
      <c r="BN44" s="600">
        <f>BI44*IF(BL44=$BL$23,$BJ$22/12,0)</f>
        <v>0</v>
      </c>
      <c r="BO44" s="600">
        <f>BK44*IF(BL44=$BL$23,$BJ$22/12,0)</f>
        <v>0</v>
      </c>
      <c r="BP44" s="600">
        <f>BI44*IF(BM44=$BL$23,$BJ$23/12,0)</f>
        <v>0</v>
      </c>
      <c r="BQ44" s="600">
        <f>BK44*IF(BM44=$BL$23,$BJ$23/12,0)</f>
        <v>0</v>
      </c>
      <c r="BR44" s="405">
        <v>0</v>
      </c>
      <c r="BS44" s="405">
        <v>0</v>
      </c>
      <c r="BT44" s="476"/>
      <c r="BU44" s="405">
        <v>0</v>
      </c>
      <c r="BX44" s="319">
        <f>IF('Modelo Energético '!$Q69=TRUE,1,0)</f>
        <v>1</v>
      </c>
      <c r="DN44" s="556"/>
      <c r="DP44" s="556"/>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row>
    <row r="45" spans="1:256" s="319" customFormat="1" ht="39" customHeight="1">
      <c r="A45" s="594"/>
      <c r="B45" s="481"/>
      <c r="C45" s="594"/>
      <c r="D45" s="594"/>
      <c r="E45" s="576"/>
      <c r="F45" s="353"/>
      <c r="G45" s="471"/>
      <c r="H45" s="599"/>
      <c r="I45" s="600"/>
      <c r="J45" s="600"/>
      <c r="K45" s="601"/>
      <c r="L45" s="585"/>
      <c r="M45" s="586"/>
      <c r="N45" s="585"/>
      <c r="O45" s="586"/>
      <c r="P45" s="603" t="s">
        <v>1134</v>
      </c>
      <c r="Q45" s="603" t="s">
        <v>1135</v>
      </c>
      <c r="V45" s="595"/>
      <c r="W45" s="596"/>
      <c r="Z45" s="309"/>
      <c r="AB45" s="603"/>
      <c r="AC45" s="603"/>
      <c r="AD45" s="604"/>
      <c r="AE45" s="603"/>
      <c r="AF45" s="603"/>
      <c r="AG45" s="603"/>
      <c r="AH45" s="605"/>
      <c r="AI45" s="605"/>
      <c r="AQ45" s="587"/>
      <c r="AU45" s="598"/>
      <c r="AY45" s="587"/>
      <c r="BI45" s="600"/>
      <c r="BJ45" s="600"/>
      <c r="BK45" s="598"/>
      <c r="BL45" s="590" t="s">
        <v>1305</v>
      </c>
      <c r="BM45" s="590" t="s">
        <v>5061</v>
      </c>
      <c r="BR45" s="603" t="s">
        <v>4174</v>
      </c>
      <c r="BS45" s="603" t="s">
        <v>4202</v>
      </c>
      <c r="BT45" s="476"/>
      <c r="BU45" s="393" t="s">
        <v>4203</v>
      </c>
      <c r="DN45" s="556"/>
      <c r="DP45" s="556"/>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row>
    <row r="46" spans="1:256" s="319" customFormat="1" ht="13.2">
      <c r="A46" s="594" t="s">
        <v>627</v>
      </c>
      <c r="B46" s="481"/>
      <c r="C46" s="594">
        <v>1</v>
      </c>
      <c r="D46" s="637"/>
      <c r="E46" s="576">
        <f t="shared" si="12"/>
        <v>0</v>
      </c>
      <c r="F46" s="353">
        <f t="shared" si="17"/>
        <v>0</v>
      </c>
      <c r="G46" s="471">
        <f t="shared" si="18"/>
        <v>0</v>
      </c>
      <c r="H46" s="599">
        <f t="shared" ref="H46:K50" si="35">BN46</f>
        <v>0</v>
      </c>
      <c r="I46" s="600">
        <f t="shared" si="35"/>
        <v>0</v>
      </c>
      <c r="J46" s="600">
        <f t="shared" si="35"/>
        <v>0</v>
      </c>
      <c r="K46" s="601">
        <f t="shared" si="35"/>
        <v>0</v>
      </c>
      <c r="L46" s="585"/>
      <c r="M46" s="586"/>
      <c r="N46" s="585"/>
      <c r="O46" s="586"/>
      <c r="P46" s="639">
        <v>0</v>
      </c>
      <c r="Q46" s="639">
        <v>0</v>
      </c>
      <c r="V46" s="595"/>
      <c r="W46" s="596"/>
      <c r="Z46" s="309"/>
      <c r="AD46" s="587"/>
      <c r="AQ46" s="587"/>
      <c r="AU46" s="598"/>
      <c r="AY46" s="587"/>
      <c r="BH46" s="458">
        <f>(BR46-BK46)*$N$3</f>
        <v>0</v>
      </c>
      <c r="BI46" s="600">
        <f t="shared" ref="BI46:BJ50" si="36">BR46*$C46</f>
        <v>0</v>
      </c>
      <c r="BJ46" s="600">
        <f t="shared" si="36"/>
        <v>0</v>
      </c>
      <c r="BK46" s="598">
        <f t="shared" si="31"/>
        <v>0</v>
      </c>
      <c r="BL46" s="555" t="s">
        <v>1129</v>
      </c>
      <c r="BM46" s="555" t="s">
        <v>1129</v>
      </c>
      <c r="BN46" s="600">
        <f>BI46*IF(BL46=$BL$23,$BJ$22/12,0)</f>
        <v>0</v>
      </c>
      <c r="BO46" s="600">
        <f>BK46*IF(BL46=$BL$23,$BJ$22/12,0)</f>
        <v>0</v>
      </c>
      <c r="BP46" s="600">
        <f>BI46*IF(BM46=$BL$23,$BJ$23/12,0)</f>
        <v>0</v>
      </c>
      <c r="BQ46" s="600">
        <f>BK46*IF(BM46=$BL$23,$BJ$23/12,0)</f>
        <v>0</v>
      </c>
      <c r="BR46" s="405">
        <v>0</v>
      </c>
      <c r="BS46" s="405">
        <v>0</v>
      </c>
      <c r="BT46" s="476"/>
      <c r="BU46" s="405">
        <v>0</v>
      </c>
      <c r="BX46" s="319">
        <f>IF('Modelo Energético '!$Q71=TRUE,1,0)</f>
        <v>1</v>
      </c>
      <c r="DN46" s="556"/>
      <c r="DP46" s="55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row>
    <row r="47" spans="1:256" s="319" customFormat="1" ht="13.2">
      <c r="A47" s="594" t="s">
        <v>628</v>
      </c>
      <c r="B47" s="481"/>
      <c r="C47" s="594">
        <v>1</v>
      </c>
      <c r="D47" s="637"/>
      <c r="E47" s="576">
        <f t="shared" si="12"/>
        <v>0</v>
      </c>
      <c r="F47" s="353">
        <f t="shared" si="17"/>
        <v>0</v>
      </c>
      <c r="G47" s="471">
        <f t="shared" si="18"/>
        <v>0</v>
      </c>
      <c r="H47" s="599">
        <f t="shared" si="35"/>
        <v>0</v>
      </c>
      <c r="I47" s="600">
        <f t="shared" si="35"/>
        <v>0</v>
      </c>
      <c r="J47" s="600">
        <f t="shared" si="35"/>
        <v>0</v>
      </c>
      <c r="K47" s="601">
        <f t="shared" si="35"/>
        <v>0</v>
      </c>
      <c r="L47" s="585"/>
      <c r="M47" s="586"/>
      <c r="N47" s="585"/>
      <c r="O47" s="586"/>
      <c r="P47" s="639">
        <v>0</v>
      </c>
      <c r="Q47" s="639">
        <v>0</v>
      </c>
      <c r="V47" s="595"/>
      <c r="W47" s="596"/>
      <c r="Z47" s="309"/>
      <c r="AD47" s="587"/>
      <c r="AQ47" s="587"/>
      <c r="AU47" s="598"/>
      <c r="AY47" s="587"/>
      <c r="BH47" s="458">
        <f>(BR47-BK47)*$N$3</f>
        <v>0</v>
      </c>
      <c r="BI47" s="600">
        <f t="shared" si="36"/>
        <v>0</v>
      </c>
      <c r="BJ47" s="600">
        <f t="shared" si="36"/>
        <v>0</v>
      </c>
      <c r="BK47" s="598">
        <f t="shared" si="31"/>
        <v>0</v>
      </c>
      <c r="BL47" s="555" t="s">
        <v>1129</v>
      </c>
      <c r="BM47" s="555" t="s">
        <v>1129</v>
      </c>
      <c r="BN47" s="600">
        <f>BI47*IF(BL47=$BL$23,$BJ$22/12,0)</f>
        <v>0</v>
      </c>
      <c r="BO47" s="600">
        <f>BK47*IF(BL47=$BL$23,$BJ$22/12,0)</f>
        <v>0</v>
      </c>
      <c r="BP47" s="600">
        <f>BI47*IF(BM47=$BL$23,$BJ$23/12,0)</f>
        <v>0</v>
      </c>
      <c r="BQ47" s="600">
        <f>BK47*IF(BM47=$BL$23,$BJ$23/12,0)</f>
        <v>0</v>
      </c>
      <c r="BR47" s="405">
        <v>0</v>
      </c>
      <c r="BS47" s="405">
        <v>0</v>
      </c>
      <c r="BT47" s="476"/>
      <c r="BU47" s="405">
        <v>0</v>
      </c>
      <c r="BX47" s="319">
        <f>IF('Modelo Energético '!$Q72=TRUE,1,0)</f>
        <v>1</v>
      </c>
      <c r="DP47" s="556"/>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row>
    <row r="48" spans="1:256" s="319" customFormat="1" ht="13.2">
      <c r="A48" s="594" t="s">
        <v>5210</v>
      </c>
      <c r="B48" s="481"/>
      <c r="C48" s="594">
        <v>1</v>
      </c>
      <c r="D48" s="637"/>
      <c r="E48" s="576">
        <f t="shared" si="12"/>
        <v>0</v>
      </c>
      <c r="F48" s="353">
        <f t="shared" si="17"/>
        <v>0</v>
      </c>
      <c r="G48" s="471">
        <f t="shared" si="18"/>
        <v>0</v>
      </c>
      <c r="H48" s="599">
        <f t="shared" si="35"/>
        <v>0</v>
      </c>
      <c r="I48" s="600">
        <f t="shared" si="35"/>
        <v>0</v>
      </c>
      <c r="J48" s="600">
        <f t="shared" si="35"/>
        <v>0</v>
      </c>
      <c r="K48" s="601">
        <f t="shared" si="35"/>
        <v>0</v>
      </c>
      <c r="L48" s="585"/>
      <c r="M48" s="586"/>
      <c r="N48" s="585"/>
      <c r="O48" s="586"/>
      <c r="P48" s="639">
        <v>0</v>
      </c>
      <c r="Q48" s="639">
        <v>0</v>
      </c>
      <c r="V48" s="595"/>
      <c r="W48" s="596"/>
      <c r="Z48" s="309"/>
      <c r="AD48" s="587"/>
      <c r="AQ48" s="587"/>
      <c r="AU48" s="598"/>
      <c r="AY48" s="587"/>
      <c r="BH48" s="458">
        <f>(BR48-BK48)*$N$3</f>
        <v>0</v>
      </c>
      <c r="BI48" s="600">
        <f t="shared" si="36"/>
        <v>0</v>
      </c>
      <c r="BJ48" s="600">
        <f t="shared" si="36"/>
        <v>0</v>
      </c>
      <c r="BK48" s="598">
        <f t="shared" si="31"/>
        <v>0</v>
      </c>
      <c r="BL48" s="555" t="s">
        <v>1129</v>
      </c>
      <c r="BM48" s="555" t="s">
        <v>1129</v>
      </c>
      <c r="BN48" s="600">
        <f>BI48*IF(BL48=$BL$23,$BJ$22/12,0)</f>
        <v>0</v>
      </c>
      <c r="BO48" s="600">
        <f>BK48*IF(BL48=$BL$23,$BJ$22/12,0)</f>
        <v>0</v>
      </c>
      <c r="BP48" s="600">
        <f>BI48*IF(BM48=$BL$23,$BJ$23/12,0)</f>
        <v>0</v>
      </c>
      <c r="BQ48" s="600">
        <f>BK48*IF(BM48=$BL$23,$BJ$23/12,0)</f>
        <v>0</v>
      </c>
      <c r="BR48" s="405">
        <v>0</v>
      </c>
      <c r="BS48" s="405">
        <v>0</v>
      </c>
      <c r="BT48" s="476"/>
      <c r="BU48" s="405">
        <v>0</v>
      </c>
      <c r="BX48" s="319">
        <f>IF('Modelo Energético '!$Q73=TRUE,1,0)</f>
        <v>1</v>
      </c>
      <c r="DP48" s="556"/>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row>
    <row r="49" spans="1:256" s="319" customFormat="1" ht="13.2">
      <c r="A49" s="594" t="s">
        <v>5211</v>
      </c>
      <c r="B49" s="481"/>
      <c r="C49" s="594">
        <v>1</v>
      </c>
      <c r="D49" s="637"/>
      <c r="E49" s="576">
        <f t="shared" si="12"/>
        <v>0</v>
      </c>
      <c r="F49" s="353">
        <f t="shared" si="17"/>
        <v>0</v>
      </c>
      <c r="G49" s="471">
        <f t="shared" si="18"/>
        <v>0</v>
      </c>
      <c r="H49" s="599">
        <f t="shared" si="35"/>
        <v>0</v>
      </c>
      <c r="I49" s="600">
        <f t="shared" si="35"/>
        <v>0</v>
      </c>
      <c r="J49" s="600">
        <f t="shared" si="35"/>
        <v>0</v>
      </c>
      <c r="K49" s="601">
        <f t="shared" si="35"/>
        <v>0</v>
      </c>
      <c r="L49" s="585"/>
      <c r="M49" s="586"/>
      <c r="N49" s="585"/>
      <c r="O49" s="586"/>
      <c r="P49" s="639">
        <v>0</v>
      </c>
      <c r="Q49" s="639">
        <v>0</v>
      </c>
      <c r="V49" s="595"/>
      <c r="W49" s="596"/>
      <c r="Z49" s="309"/>
      <c r="AD49" s="587"/>
      <c r="AQ49" s="587"/>
      <c r="AU49" s="598"/>
      <c r="AY49" s="587"/>
      <c r="BH49" s="458">
        <f>(BR49-BK49)*$N$3</f>
        <v>0</v>
      </c>
      <c r="BI49" s="600">
        <f t="shared" si="36"/>
        <v>0</v>
      </c>
      <c r="BJ49" s="600">
        <f t="shared" si="36"/>
        <v>0</v>
      </c>
      <c r="BK49" s="598">
        <f t="shared" si="31"/>
        <v>0</v>
      </c>
      <c r="BL49" s="555" t="s">
        <v>1129</v>
      </c>
      <c r="BM49" s="555" t="s">
        <v>1129</v>
      </c>
      <c r="BN49" s="600">
        <f>BI49*IF(BL49=$BL$23,$BJ$22/12,0)</f>
        <v>0</v>
      </c>
      <c r="BO49" s="600">
        <f>BK49*IF(BL49=$BL$23,$BJ$22/12,0)</f>
        <v>0</v>
      </c>
      <c r="BP49" s="600">
        <f>BI49*IF(BM49=$BL$23,$BJ$23/12,0)</f>
        <v>0</v>
      </c>
      <c r="BQ49" s="600">
        <f>BK49*IF(BM49=$BL$23,$BJ$23/12,0)</f>
        <v>0</v>
      </c>
      <c r="BR49" s="405">
        <v>0</v>
      </c>
      <c r="BS49" s="405">
        <v>0</v>
      </c>
      <c r="BT49" s="476"/>
      <c r="BU49" s="405">
        <v>0</v>
      </c>
      <c r="BX49" s="319">
        <f>IF('Modelo Energético '!$Q74=TRUE,1,0)</f>
        <v>1</v>
      </c>
      <c r="DP49" s="556"/>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row>
    <row r="50" spans="1:256" s="319" customFormat="1" ht="13.2">
      <c r="A50" s="594" t="s">
        <v>4335</v>
      </c>
      <c r="B50" s="481"/>
      <c r="C50" s="594">
        <v>1</v>
      </c>
      <c r="D50" s="637"/>
      <c r="E50" s="576">
        <f t="shared" si="12"/>
        <v>0</v>
      </c>
      <c r="F50" s="353">
        <f t="shared" si="17"/>
        <v>0</v>
      </c>
      <c r="G50" s="471">
        <f t="shared" si="18"/>
        <v>0</v>
      </c>
      <c r="H50" s="599">
        <f t="shared" si="35"/>
        <v>0</v>
      </c>
      <c r="I50" s="600">
        <f t="shared" si="35"/>
        <v>0</v>
      </c>
      <c r="J50" s="600">
        <f t="shared" si="35"/>
        <v>0</v>
      </c>
      <c r="K50" s="601">
        <f t="shared" si="35"/>
        <v>0</v>
      </c>
      <c r="L50" s="585"/>
      <c r="M50" s="586"/>
      <c r="N50" s="585"/>
      <c r="O50" s="586"/>
      <c r="P50" s="639">
        <v>0</v>
      </c>
      <c r="Q50" s="639">
        <v>0</v>
      </c>
      <c r="V50" s="595"/>
      <c r="W50" s="596"/>
      <c r="Z50" s="309"/>
      <c r="AD50" s="587"/>
      <c r="AQ50" s="587"/>
      <c r="AU50" s="598"/>
      <c r="AY50" s="587"/>
      <c r="BH50" s="458">
        <f>(BR50-BK50)*$N$3</f>
        <v>0</v>
      </c>
      <c r="BI50" s="600">
        <f t="shared" si="36"/>
        <v>0</v>
      </c>
      <c r="BJ50" s="600">
        <f t="shared" si="36"/>
        <v>0</v>
      </c>
      <c r="BK50" s="598">
        <f t="shared" si="31"/>
        <v>0</v>
      </c>
      <c r="BL50" s="555" t="s">
        <v>1129</v>
      </c>
      <c r="BM50" s="555" t="s">
        <v>1129</v>
      </c>
      <c r="BN50" s="600">
        <f>BI50*IF(BL50=$BL$23,$BJ$22/12,0)</f>
        <v>0</v>
      </c>
      <c r="BO50" s="600">
        <f>BK50*IF(BL50=$BL$23,$BJ$22/12,0)</f>
        <v>0</v>
      </c>
      <c r="BP50" s="600">
        <f>BI50*IF(BM50=$BL$23,$BJ$23/12,0)</f>
        <v>0</v>
      </c>
      <c r="BQ50" s="600">
        <f>BK50*IF(BM50=$BL$23,$BJ$23/12,0)</f>
        <v>0</v>
      </c>
      <c r="BR50" s="405">
        <v>0</v>
      </c>
      <c r="BS50" s="405">
        <v>0</v>
      </c>
      <c r="BT50" s="476"/>
      <c r="BU50" s="405">
        <v>0</v>
      </c>
      <c r="BX50" s="319">
        <f>IF('Modelo Energético '!$Q75=TRUE,1,0)</f>
        <v>1</v>
      </c>
      <c r="DP50" s="556"/>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row>
    <row r="51" spans="1:256" s="319" customFormat="1" ht="39.6">
      <c r="A51" s="594"/>
      <c r="B51" s="481"/>
      <c r="C51" s="594"/>
      <c r="D51" s="594"/>
      <c r="E51" s="576"/>
      <c r="F51" s="353"/>
      <c r="G51" s="471"/>
      <c r="H51" s="599"/>
      <c r="I51" s="600"/>
      <c r="J51" s="600"/>
      <c r="K51" s="601"/>
      <c r="L51" s="585"/>
      <c r="M51" s="586"/>
      <c r="N51" s="585"/>
      <c r="O51" s="586"/>
      <c r="P51" s="603" t="s">
        <v>1134</v>
      </c>
      <c r="Q51" s="603" t="s">
        <v>1135</v>
      </c>
      <c r="R51" s="565" t="s">
        <v>2728</v>
      </c>
      <c r="S51" s="603"/>
      <c r="T51" s="603"/>
      <c r="U51" s="603" t="s">
        <v>3651</v>
      </c>
      <c r="V51" s="595"/>
      <c r="W51" s="596"/>
      <c r="X51" s="603"/>
      <c r="Y51" s="590" t="s">
        <v>2494</v>
      </c>
      <c r="Z51" s="309"/>
      <c r="AA51" s="603"/>
      <c r="AB51" s="603"/>
      <c r="AC51" s="603" t="s">
        <v>572</v>
      </c>
      <c r="AD51" s="604"/>
      <c r="AE51" s="603"/>
      <c r="AF51" s="603"/>
      <c r="AG51" s="603"/>
      <c r="AH51" s="603"/>
      <c r="AI51" s="603"/>
      <c r="AJ51" s="603"/>
      <c r="AK51" s="603"/>
      <c r="AL51" s="603"/>
      <c r="AU51" s="598"/>
      <c r="AV51" s="603"/>
      <c r="AW51" s="603"/>
      <c r="AX51" s="603"/>
      <c r="AY51" s="604"/>
      <c r="AZ51" s="603"/>
      <c r="BA51" s="603"/>
      <c r="BB51" s="603"/>
      <c r="BC51" s="603"/>
      <c r="BD51" s="603"/>
      <c r="BE51" s="603"/>
      <c r="BF51" s="603"/>
      <c r="BG51" s="603"/>
      <c r="BH51" s="603"/>
      <c r="BI51" s="603"/>
      <c r="BJ51" s="603"/>
      <c r="BK51" s="603"/>
      <c r="BL51" s="603" t="s">
        <v>1305</v>
      </c>
      <c r="BM51" s="603" t="s">
        <v>5061</v>
      </c>
      <c r="BN51" s="603"/>
      <c r="BO51" s="603"/>
      <c r="BP51" s="603"/>
      <c r="BQ51" s="603"/>
      <c r="BR51" s="603" t="s">
        <v>4174</v>
      </c>
      <c r="BS51" s="603" t="s">
        <v>4202</v>
      </c>
      <c r="BT51" s="606"/>
      <c r="BU51" s="603" t="s">
        <v>4203</v>
      </c>
      <c r="BV51" s="603"/>
      <c r="BW51" s="603"/>
      <c r="BY51" s="603"/>
      <c r="BZ51" s="603"/>
      <c r="CA51" s="603" t="s">
        <v>5172</v>
      </c>
      <c r="CB51" s="606" t="s">
        <v>432</v>
      </c>
      <c r="CC51" s="565" t="s">
        <v>4118</v>
      </c>
      <c r="CD51" s="655" t="s">
        <v>4119</v>
      </c>
      <c r="CE51" s="655" t="s">
        <v>4246</v>
      </c>
      <c r="CG51" s="603" t="s">
        <v>3831</v>
      </c>
      <c r="CH51" s="603" t="s">
        <v>3832</v>
      </c>
      <c r="CI51" s="603" t="s">
        <v>2193</v>
      </c>
      <c r="CJ51" s="603" t="s">
        <v>3734</v>
      </c>
      <c r="CK51" s="603" t="s">
        <v>1973</v>
      </c>
      <c r="CL51" s="603" t="s">
        <v>2537</v>
      </c>
      <c r="CM51" s="603" t="s">
        <v>57</v>
      </c>
      <c r="CN51" s="603" t="s">
        <v>4118</v>
      </c>
      <c r="CO51" s="603" t="s">
        <v>58</v>
      </c>
      <c r="DP51" s="556"/>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row>
    <row r="52" spans="1:256" s="319" customFormat="1" ht="13.2">
      <c r="A52" s="594" t="s">
        <v>1117</v>
      </c>
      <c r="B52" s="481"/>
      <c r="C52" s="594">
        <v>1</v>
      </c>
      <c r="D52" s="637"/>
      <c r="E52" s="576">
        <f t="shared" si="12"/>
        <v>0</v>
      </c>
      <c r="F52" s="353">
        <f t="shared" si="17"/>
        <v>0</v>
      </c>
      <c r="G52" s="471">
        <f t="shared" si="18"/>
        <v>0</v>
      </c>
      <c r="H52" s="599"/>
      <c r="I52" s="600"/>
      <c r="J52" s="600"/>
      <c r="K52" s="601"/>
      <c r="L52" s="585"/>
      <c r="M52" s="586"/>
      <c r="N52" s="585"/>
      <c r="O52" s="586"/>
      <c r="P52" s="639">
        <v>0</v>
      </c>
      <c r="Q52" s="639">
        <v>0</v>
      </c>
      <c r="R52" s="661">
        <f>IF(CG52=0,IF(CC52=0,CD52-$BZ$52,CD52)*CA52,IF(CN52=0,CH52-$BZ$52*CJ52,CH52-CO52*CJ52)*CL52)</f>
        <v>0</v>
      </c>
      <c r="S52" s="309"/>
      <c r="T52" s="309">
        <f>(R52-S52)*C52</f>
        <v>0</v>
      </c>
      <c r="U52" s="555">
        <v>0</v>
      </c>
      <c r="V52" s="595">
        <f>VLOOKUP(U52,$R$16:$X$20,2,FALSE)</f>
        <v>0</v>
      </c>
      <c r="W52" s="596">
        <f>VLOOKUP(U52,$R$16:$X$20,3,FALSE)</f>
        <v>0</v>
      </c>
      <c r="X52" s="597">
        <f>IF(W52=0,0,T52/W52)</f>
        <v>0</v>
      </c>
      <c r="Y52" s="661">
        <f>IF(CG52=0,IF(CC52=0,CE52-$BZ$52,CE52)*CB52,IF(CN52=0,CI52-$BZ$52*CK52,CI52-CO52*CK52)*CM52)</f>
        <v>0</v>
      </c>
      <c r="Z52" s="309">
        <f>IF(BX52=1,Y52,R52)*C52</f>
        <v>0</v>
      </c>
      <c r="AA52" s="309"/>
      <c r="AB52" s="309">
        <f>Z52-AA52</f>
        <v>0</v>
      </c>
      <c r="AC52" s="555">
        <v>0</v>
      </c>
      <c r="AD52" s="595">
        <f>VLOOKUP(BV52,$R$16:$X$20,5,FALSE)</f>
        <v>0</v>
      </c>
      <c r="AE52" s="596">
        <f>VLOOKUP(BV52,$R$16:$X$20,7,FALSE)</f>
        <v>0</v>
      </c>
      <c r="AF52" s="597">
        <f>IF(AE52=0,0,AB52/AE52)</f>
        <v>0</v>
      </c>
      <c r="AG52" s="458">
        <f>IF(AE52=0,0,(T52-AB52)/AE52)</f>
        <v>0</v>
      </c>
      <c r="AH52" s="458">
        <f>X52-AF52-AG52</f>
        <v>0</v>
      </c>
      <c r="AI52" s="458">
        <f>VLOOKUP(V52,$H$3:$N$8,7,FALSE)</f>
        <v>0</v>
      </c>
      <c r="AJ52" s="458">
        <f>VLOOKUP(AD52,$H$3:$N$8,7,FALSE)</f>
        <v>0</v>
      </c>
      <c r="AK52" s="458">
        <f>IF(AND(AG52=0,AH52=0),0,(X52*AI52-AF52*AJ52)/IF(AG52+AH52=0,ABS(AG52)*2,AG52+AH52)*AG52)</f>
        <v>0</v>
      </c>
      <c r="AL52" s="458">
        <f>IF(AND(AG52=0,AH52=0),0,(X52*AI52-AF52*AJ52)/IF(AG52+AH52=0,ABS(AG52)*2,AG52+AH52)*AH52)</f>
        <v>0</v>
      </c>
      <c r="AU52" s="598"/>
      <c r="AY52" s="587"/>
      <c r="BL52" s="555" t="s">
        <v>1129</v>
      </c>
      <c r="BM52" s="555" t="s">
        <v>1129</v>
      </c>
      <c r="BR52" s="405">
        <v>0</v>
      </c>
      <c r="BS52" s="405">
        <v>0</v>
      </c>
      <c r="BT52" s="476"/>
      <c r="BU52" s="405">
        <v>0</v>
      </c>
      <c r="BV52" s="319">
        <f>IF(BX52=1,AC52,U52)</f>
        <v>0</v>
      </c>
      <c r="BX52" s="319">
        <f>IF('Modelo Energético '!$Q77=TRUE,1,0)</f>
        <v>1</v>
      </c>
      <c r="BZ52" s="319">
        <f>('Modelo Energético '!W723+'Modelo Energético '!W724)/2</f>
        <v>15.803479452054793</v>
      </c>
      <c r="CA52" s="663">
        <v>0</v>
      </c>
      <c r="CB52" s="663">
        <v>0</v>
      </c>
      <c r="CC52" s="664">
        <v>0</v>
      </c>
      <c r="CD52" s="665">
        <v>0</v>
      </c>
      <c r="CE52" s="665">
        <v>0</v>
      </c>
      <c r="CG52" s="555">
        <v>0</v>
      </c>
      <c r="CH52" s="555">
        <v>0</v>
      </c>
      <c r="CI52" s="555">
        <v>0</v>
      </c>
      <c r="CJ52" s="555">
        <v>0</v>
      </c>
      <c r="CK52" s="555">
        <v>0</v>
      </c>
      <c r="CL52" s="555">
        <v>0</v>
      </c>
      <c r="CM52" s="555">
        <v>0</v>
      </c>
      <c r="CN52" s="555">
        <v>0</v>
      </c>
      <c r="CO52" s="555">
        <v>0</v>
      </c>
      <c r="DP52" s="556"/>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row>
    <row r="53" spans="1:256" s="319" customFormat="1" ht="13.2">
      <c r="A53" s="594" t="s">
        <v>5642</v>
      </c>
      <c r="B53" s="481"/>
      <c r="C53" s="594">
        <v>1</v>
      </c>
      <c r="D53" s="637"/>
      <c r="E53" s="576">
        <f t="shared" si="12"/>
        <v>0</v>
      </c>
      <c r="F53" s="353">
        <f t="shared" si="17"/>
        <v>0</v>
      </c>
      <c r="G53" s="471">
        <f t="shared" si="18"/>
        <v>0</v>
      </c>
      <c r="H53" s="599"/>
      <c r="I53" s="600"/>
      <c r="J53" s="600"/>
      <c r="K53" s="601"/>
      <c r="L53" s="585"/>
      <c r="M53" s="586"/>
      <c r="N53" s="585"/>
      <c r="O53" s="586"/>
      <c r="P53" s="639">
        <v>0</v>
      </c>
      <c r="Q53" s="639">
        <v>0</v>
      </c>
      <c r="R53" s="661">
        <f>IF(CG53=0,IF(CC53=0,CD53-$BZ$52,CD53)*CA53,IF(CN53=0,CH53-$BZ$52*CJ53,CH53-CO53*CJ53)*CL53)</f>
        <v>0</v>
      </c>
      <c r="S53" s="309"/>
      <c r="T53" s="309">
        <f>(R53-S53)*C53</f>
        <v>0</v>
      </c>
      <c r="U53" s="555">
        <v>0</v>
      </c>
      <c r="V53" s="595">
        <f>VLOOKUP(U53,$R$16:$X$20,2,FALSE)</f>
        <v>0</v>
      </c>
      <c r="W53" s="596">
        <f>VLOOKUP(U53,$R$16:$X$20,3,FALSE)</f>
        <v>0</v>
      </c>
      <c r="X53" s="597">
        <f>IF(W53=0,0,T53/W53)</f>
        <v>0</v>
      </c>
      <c r="Y53" s="661">
        <f>IF(CG53=0,IF(CC53=0,CE53-$BZ$52,CE53)*CB53,IF(CN53=0,CI53-$BZ$52*CK53,CI53-CO53*CK53)*CM53)</f>
        <v>0</v>
      </c>
      <c r="Z53" s="309">
        <f>IF(BX53=1,Y53,R53)*C53</f>
        <v>0</v>
      </c>
      <c r="AA53" s="309"/>
      <c r="AB53" s="309">
        <f>Z53-AA53</f>
        <v>0</v>
      </c>
      <c r="AC53" s="555">
        <v>0</v>
      </c>
      <c r="AD53" s="595">
        <f>VLOOKUP(BV53,$R$16:$X$20,5,FALSE)</f>
        <v>0</v>
      </c>
      <c r="AE53" s="596">
        <f>VLOOKUP(BV53,$R$16:$X$20,7,FALSE)</f>
        <v>0</v>
      </c>
      <c r="AF53" s="597">
        <f>IF(AE53=0,0,AB53/AE53)</f>
        <v>0</v>
      </c>
      <c r="AG53" s="458">
        <f>IF(AE53=0,0,(T53-AB53)/AE53)</f>
        <v>0</v>
      </c>
      <c r="AH53" s="458">
        <f>X53-AF53-AG53</f>
        <v>0</v>
      </c>
      <c r="AI53" s="458">
        <f>VLOOKUP(V53,$H$3:$N$8,7,FALSE)</f>
        <v>0</v>
      </c>
      <c r="AJ53" s="458">
        <f>VLOOKUP(AD53,$H$3:$N$8,7,FALSE)</f>
        <v>0</v>
      </c>
      <c r="AK53" s="458">
        <f>IF(AND(AG53=0,AH53=0),0,(X53*AI53-AF53*AJ53)/IF(AG53+AH53=0,ABS(AG53)*2,AG53+AH53)*AG53)</f>
        <v>0</v>
      </c>
      <c r="AL53" s="458">
        <f>IF(AND(AG53=0,AH53=0),0,(X53*AI53-AF53*AJ53)/IF(AG53+AH53=0,ABS(AG53)*2,AG53+AH53)*AH53)</f>
        <v>0</v>
      </c>
      <c r="AU53" s="598"/>
      <c r="AY53" s="587"/>
      <c r="BL53" s="555" t="s">
        <v>1129</v>
      </c>
      <c r="BM53" s="555" t="s">
        <v>1129</v>
      </c>
      <c r="BR53" s="405">
        <v>0</v>
      </c>
      <c r="BS53" s="405">
        <v>0</v>
      </c>
      <c r="BT53" s="476"/>
      <c r="BU53" s="405">
        <v>0</v>
      </c>
      <c r="BV53" s="319">
        <f>IF(BX53=1,AC53,U53)</f>
        <v>0</v>
      </c>
      <c r="BX53" s="319">
        <f>IF('Modelo Energético '!$Q78=TRUE,1,0)</f>
        <v>1</v>
      </c>
      <c r="CA53" s="663">
        <v>0</v>
      </c>
      <c r="CB53" s="663">
        <v>0</v>
      </c>
      <c r="CC53" s="664">
        <v>0</v>
      </c>
      <c r="CD53" s="665">
        <v>0</v>
      </c>
      <c r="CE53" s="665">
        <v>0</v>
      </c>
      <c r="CG53" s="555">
        <v>0</v>
      </c>
      <c r="CH53" s="555">
        <v>0</v>
      </c>
      <c r="CI53" s="555">
        <v>0</v>
      </c>
      <c r="CJ53" s="555">
        <v>0</v>
      </c>
      <c r="CK53" s="555">
        <v>0</v>
      </c>
      <c r="CL53" s="555">
        <v>0</v>
      </c>
      <c r="CM53" s="555">
        <v>0</v>
      </c>
      <c r="CN53" s="555">
        <v>0</v>
      </c>
      <c r="CO53" s="555">
        <v>0</v>
      </c>
      <c r="DP53" s="556"/>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row>
    <row r="54" spans="1:256" s="319" customFormat="1" ht="13.2">
      <c r="A54" s="594" t="s">
        <v>5164</v>
      </c>
      <c r="B54" s="481"/>
      <c r="C54" s="594">
        <v>1</v>
      </c>
      <c r="D54" s="637"/>
      <c r="E54" s="576">
        <f t="shared" si="12"/>
        <v>0</v>
      </c>
      <c r="F54" s="353">
        <f t="shared" si="17"/>
        <v>0</v>
      </c>
      <c r="G54" s="471">
        <f t="shared" si="18"/>
        <v>0</v>
      </c>
      <c r="H54" s="599"/>
      <c r="I54" s="600"/>
      <c r="J54" s="600"/>
      <c r="K54" s="601"/>
      <c r="L54" s="585"/>
      <c r="M54" s="586"/>
      <c r="N54" s="585"/>
      <c r="O54" s="586"/>
      <c r="P54" s="639">
        <v>0</v>
      </c>
      <c r="Q54" s="639">
        <v>0</v>
      </c>
      <c r="R54" s="661">
        <f>IF(CG54=0,IF(CC54=0,CD54-$BZ$52,CD54)*CA54,IF(CN54=0,CH54-$BZ$52*CJ54,CH54-CO54*CJ54)*CL54)</f>
        <v>0</v>
      </c>
      <c r="S54" s="309"/>
      <c r="T54" s="309">
        <f>(R54-S54)*C54</f>
        <v>0</v>
      </c>
      <c r="U54" s="555">
        <v>0</v>
      </c>
      <c r="V54" s="595">
        <f>VLOOKUP(U54,$R$16:$X$20,2,FALSE)</f>
        <v>0</v>
      </c>
      <c r="W54" s="596">
        <f>VLOOKUP(U54,$R$16:$X$20,3,FALSE)</f>
        <v>0</v>
      </c>
      <c r="X54" s="597">
        <f>IF(W54=0,0,T54/W54)</f>
        <v>0</v>
      </c>
      <c r="Y54" s="661">
        <f>IF(CG54=0,IF(CC54=0,CE54-$BZ$52,CE54)*CB54,IF(CN54=0,CI54-$BZ$52*CK54,CI54-CO54*CK54)*CM54)</f>
        <v>0</v>
      </c>
      <c r="Z54" s="309">
        <f>IF(BX54=1,Y54,R54)*C54</f>
        <v>0</v>
      </c>
      <c r="AA54" s="309"/>
      <c r="AB54" s="309">
        <f>Z54-AA54</f>
        <v>0</v>
      </c>
      <c r="AC54" s="555">
        <v>0</v>
      </c>
      <c r="AD54" s="595">
        <f>VLOOKUP(BV54,$R$16:$X$20,5,FALSE)</f>
        <v>0</v>
      </c>
      <c r="AE54" s="596">
        <f>VLOOKUP(BV54,$R$16:$X$20,7,FALSE)</f>
        <v>0</v>
      </c>
      <c r="AF54" s="597">
        <f>IF(AE54=0,0,AB54/AE54)</f>
        <v>0</v>
      </c>
      <c r="AG54" s="458">
        <f>IF(AE54=0,0,(T54-AB54)/AE54)</f>
        <v>0</v>
      </c>
      <c r="AH54" s="458">
        <f>X54-AF54-AG54</f>
        <v>0</v>
      </c>
      <c r="AI54" s="458">
        <f>VLOOKUP(V54,$H$3:$N$8,7,FALSE)</f>
        <v>0</v>
      </c>
      <c r="AJ54" s="458">
        <f>VLOOKUP(AD54,$H$3:$N$8,7,FALSE)</f>
        <v>0</v>
      </c>
      <c r="AK54" s="458">
        <f>IF(AND(AG54=0,AH54=0),0,(X54*AI54-AF54*AJ54)/IF(AG54+AH54=0,ABS(AG54)*2,AG54+AH54)*AG54)</f>
        <v>0</v>
      </c>
      <c r="AL54" s="458">
        <f>IF(AND(AG54=0,AH54=0),0,(X54*AI54-AF54*AJ54)/IF(AG54+AH54=0,ABS(AG54)*2,AG54+AH54)*AH54)</f>
        <v>0</v>
      </c>
      <c r="AU54" s="598"/>
      <c r="AY54" s="587"/>
      <c r="BL54" s="555" t="s">
        <v>1129</v>
      </c>
      <c r="BM54" s="555" t="s">
        <v>1129</v>
      </c>
      <c r="BR54" s="405">
        <v>0</v>
      </c>
      <c r="BS54" s="405">
        <v>0</v>
      </c>
      <c r="BT54" s="476"/>
      <c r="BU54" s="405">
        <v>0</v>
      </c>
      <c r="BV54" s="319">
        <f>IF(BX54=1,AC54,U54)</f>
        <v>0</v>
      </c>
      <c r="BX54" s="319">
        <f>IF('Modelo Energético '!$Q79=TRUE,1,0)</f>
        <v>1</v>
      </c>
      <c r="CA54" s="663">
        <v>0</v>
      </c>
      <c r="CB54" s="663">
        <v>0</v>
      </c>
      <c r="CC54" s="664">
        <v>0</v>
      </c>
      <c r="CD54" s="665">
        <v>0</v>
      </c>
      <c r="CE54" s="665">
        <v>0</v>
      </c>
      <c r="CG54" s="555">
        <v>0</v>
      </c>
      <c r="CH54" s="555">
        <v>0</v>
      </c>
      <c r="CI54" s="555">
        <v>0</v>
      </c>
      <c r="CJ54" s="555">
        <v>0</v>
      </c>
      <c r="CK54" s="555">
        <v>0</v>
      </c>
      <c r="CL54" s="555">
        <v>0</v>
      </c>
      <c r="CM54" s="555">
        <v>0</v>
      </c>
      <c r="CN54" s="555">
        <v>0</v>
      </c>
      <c r="CO54" s="555">
        <v>0</v>
      </c>
      <c r="DP54" s="556"/>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row>
    <row r="55" spans="1:256" s="319" customFormat="1" ht="13.2">
      <c r="A55" s="594" t="s">
        <v>3594</v>
      </c>
      <c r="B55" s="481"/>
      <c r="C55" s="594">
        <v>1</v>
      </c>
      <c r="D55" s="637"/>
      <c r="E55" s="576">
        <f t="shared" si="12"/>
        <v>0</v>
      </c>
      <c r="F55" s="353">
        <f t="shared" si="17"/>
        <v>0</v>
      </c>
      <c r="G55" s="471">
        <f t="shared" si="18"/>
        <v>0</v>
      </c>
      <c r="H55" s="599"/>
      <c r="I55" s="600"/>
      <c r="J55" s="600"/>
      <c r="K55" s="601"/>
      <c r="L55" s="585"/>
      <c r="M55" s="586"/>
      <c r="N55" s="585"/>
      <c r="O55" s="586"/>
      <c r="P55" s="639">
        <v>0</v>
      </c>
      <c r="Q55" s="639">
        <v>0</v>
      </c>
      <c r="R55" s="661">
        <f>IF(CG55=0,IF(CC55=0,CD55-$BZ$52,CD55)*CA55,IF(CN55=0,CH55-$BZ$52*CJ55,CH55-CO55*CJ55)*CL55)</f>
        <v>0</v>
      </c>
      <c r="S55" s="309"/>
      <c r="T55" s="309">
        <f>(R55-S55)*C55</f>
        <v>0</v>
      </c>
      <c r="U55" s="555">
        <v>0</v>
      </c>
      <c r="V55" s="595">
        <f>VLOOKUP(U55,$R$16:$X$20,2,FALSE)</f>
        <v>0</v>
      </c>
      <c r="W55" s="596">
        <f>VLOOKUP(U55,$R$16:$X$20,3,FALSE)</f>
        <v>0</v>
      </c>
      <c r="X55" s="597">
        <f>IF(W55=0,0,T55/W55)</f>
        <v>0</v>
      </c>
      <c r="Y55" s="661">
        <f>IF(CG55=0,IF(CC55=0,CE55-$BZ$52,CE55)*CB55,IF(CN55=0,CI55-$BZ$52*CK55,CI55-CO55*CK55)*CM55)</f>
        <v>0</v>
      </c>
      <c r="Z55" s="309">
        <f>IF(BX55=1,Y55,R55)*C55</f>
        <v>0</v>
      </c>
      <c r="AA55" s="309"/>
      <c r="AB55" s="309">
        <f>Z55-AA55</f>
        <v>0</v>
      </c>
      <c r="AC55" s="555">
        <v>0</v>
      </c>
      <c r="AD55" s="595">
        <f>VLOOKUP(BV55,$R$16:$X$20,5,FALSE)</f>
        <v>0</v>
      </c>
      <c r="AE55" s="596">
        <f>VLOOKUP(BV55,$R$16:$X$20,7,FALSE)</f>
        <v>0</v>
      </c>
      <c r="AF55" s="597">
        <f>IF(AE55=0,0,AB55/AE55)</f>
        <v>0</v>
      </c>
      <c r="AG55" s="458">
        <f>IF(AE55=0,0,(T55-AB55)/AE55)</f>
        <v>0</v>
      </c>
      <c r="AH55" s="458">
        <f>X55-AF55-AG55</f>
        <v>0</v>
      </c>
      <c r="AI55" s="458">
        <f>VLOOKUP(V55,$H$3:$N$8,7,FALSE)</f>
        <v>0</v>
      </c>
      <c r="AJ55" s="458">
        <f>VLOOKUP(AD55,$H$3:$N$8,7,FALSE)</f>
        <v>0</v>
      </c>
      <c r="AK55" s="458">
        <f>IF(AND(AG55=0,AH55=0),0,(X55*AI55-AF55*AJ55)/IF(AG55+AH55=0,ABS(AG55)*2,AG55+AH55)*AG55)</f>
        <v>0</v>
      </c>
      <c r="AL55" s="458">
        <f>IF(AND(AG55=0,AH55=0),0,(X55*AI55-AF55*AJ55)/IF(AG55+AH55=0,ABS(AG55)*2,AG55+AH55)*AH55)</f>
        <v>0</v>
      </c>
      <c r="AU55" s="598"/>
      <c r="AY55" s="587"/>
      <c r="BL55" s="555" t="s">
        <v>1129</v>
      </c>
      <c r="BM55" s="555" t="s">
        <v>1129</v>
      </c>
      <c r="BR55" s="405">
        <v>0</v>
      </c>
      <c r="BS55" s="405">
        <v>0</v>
      </c>
      <c r="BT55" s="476"/>
      <c r="BU55" s="405">
        <v>0</v>
      </c>
      <c r="BV55" s="319">
        <f>IF(BX55=1,AC55,U55)</f>
        <v>0</v>
      </c>
      <c r="BX55" s="319">
        <f>IF('Modelo Energético '!$Q80=TRUE,1,0)</f>
        <v>1</v>
      </c>
      <c r="CA55" s="663">
        <v>0</v>
      </c>
      <c r="CB55" s="663">
        <v>0</v>
      </c>
      <c r="CC55" s="664">
        <v>0</v>
      </c>
      <c r="CD55" s="665">
        <v>0</v>
      </c>
      <c r="CE55" s="665">
        <v>0</v>
      </c>
      <c r="CG55" s="555">
        <v>0</v>
      </c>
      <c r="CH55" s="555">
        <v>0</v>
      </c>
      <c r="CI55" s="555">
        <v>0</v>
      </c>
      <c r="CJ55" s="555">
        <v>0</v>
      </c>
      <c r="CK55" s="555">
        <v>0</v>
      </c>
      <c r="CL55" s="555">
        <v>0</v>
      </c>
      <c r="CM55" s="555">
        <v>0</v>
      </c>
      <c r="CN55" s="555">
        <v>0</v>
      </c>
      <c r="CO55" s="555">
        <v>0</v>
      </c>
      <c r="DP55" s="556"/>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row>
    <row r="56" spans="1:256" s="319" customFormat="1" ht="13.2">
      <c r="A56" s="594" t="s">
        <v>3595</v>
      </c>
      <c r="B56" s="481"/>
      <c r="C56" s="594">
        <v>1</v>
      </c>
      <c r="D56" s="637"/>
      <c r="E56" s="576">
        <f t="shared" si="12"/>
        <v>0</v>
      </c>
      <c r="F56" s="353">
        <f t="shared" si="17"/>
        <v>0</v>
      </c>
      <c r="G56" s="471">
        <f t="shared" si="18"/>
        <v>0</v>
      </c>
      <c r="H56" s="599"/>
      <c r="I56" s="600"/>
      <c r="J56" s="600"/>
      <c r="K56" s="601"/>
      <c r="L56" s="585"/>
      <c r="M56" s="586"/>
      <c r="N56" s="585"/>
      <c r="O56" s="586"/>
      <c r="P56" s="639">
        <v>0</v>
      </c>
      <c r="Q56" s="639">
        <v>0</v>
      </c>
      <c r="R56" s="661">
        <f>IF(CG56=0,IF(CC56=0,CD56-$BZ$52,CD56)*CA56,IF(CN56=0,CH56-$BZ$52*CJ56,CH56-CO56*CJ56)*CL56)</f>
        <v>0</v>
      </c>
      <c r="S56" s="309"/>
      <c r="T56" s="309">
        <f>(R56-S56)*C56</f>
        <v>0</v>
      </c>
      <c r="U56" s="555">
        <v>0</v>
      </c>
      <c r="V56" s="595">
        <f>VLOOKUP(U56,$R$16:$X$20,2,FALSE)</f>
        <v>0</v>
      </c>
      <c r="W56" s="596">
        <f>VLOOKUP(U56,$R$16:$X$20,3,FALSE)</f>
        <v>0</v>
      </c>
      <c r="X56" s="597">
        <f>IF(W56=0,0,T56/W56)</f>
        <v>0</v>
      </c>
      <c r="Y56" s="661">
        <f>IF(CG56=0,IF(CC56=0,CE56-$BZ$52,CE56)*CB56,IF(CN56=0,CI56-$BZ$52*CK56,CI56-CO56*CK56)*CM56)</f>
        <v>0</v>
      </c>
      <c r="Z56" s="309">
        <f>IF(BX56=1,Y56,R56)*C56</f>
        <v>0</v>
      </c>
      <c r="AA56" s="309"/>
      <c r="AB56" s="309">
        <f>Z56-AA56</f>
        <v>0</v>
      </c>
      <c r="AC56" s="555">
        <v>0</v>
      </c>
      <c r="AD56" s="595">
        <f>VLOOKUP(BV56,$R$16:$X$20,5,FALSE)</f>
        <v>0</v>
      </c>
      <c r="AE56" s="596">
        <f>VLOOKUP(BV56,$R$16:$X$20,7,FALSE)</f>
        <v>0</v>
      </c>
      <c r="AF56" s="597">
        <f>IF(AE56=0,0,AB56/AE56)</f>
        <v>0</v>
      </c>
      <c r="AG56" s="458">
        <f>IF(AE56=0,0,(T56-AB56)/AE56)</f>
        <v>0</v>
      </c>
      <c r="AH56" s="458">
        <f>X56-AF56-AG56</f>
        <v>0</v>
      </c>
      <c r="AI56" s="458">
        <f>VLOOKUP(V56,$H$3:$N$8,7,FALSE)</f>
        <v>0</v>
      </c>
      <c r="AJ56" s="458">
        <f>VLOOKUP(AD56,$H$3:$N$8,7,FALSE)</f>
        <v>0</v>
      </c>
      <c r="AK56" s="458">
        <f>IF(AND(AG56=0,AH56=0),0,(X56*AI56-AF56*AJ56)/IF(AG56+AH56=0,ABS(AG56)*2,AG56+AH56)*AG56)</f>
        <v>0</v>
      </c>
      <c r="AL56" s="458">
        <f>IF(AND(AG56=0,AH56=0),0,(X56*AI56-AF56*AJ56)/IF(AG56+AH56=0,ABS(AG56)*2,AG56+AH56)*AH56)</f>
        <v>0</v>
      </c>
      <c r="AU56" s="598"/>
      <c r="AY56" s="587"/>
      <c r="BL56" s="555" t="s">
        <v>1129</v>
      </c>
      <c r="BM56" s="555" t="s">
        <v>1129</v>
      </c>
      <c r="BR56" s="405">
        <v>0</v>
      </c>
      <c r="BS56" s="405">
        <v>0</v>
      </c>
      <c r="BT56" s="476"/>
      <c r="BU56" s="405">
        <v>0</v>
      </c>
      <c r="BV56" s="319">
        <f>IF(BX56=1,AC56,U56)</f>
        <v>0</v>
      </c>
      <c r="BX56" s="319">
        <f>IF('Modelo Energético '!$Q81=TRUE,1,0)</f>
        <v>1</v>
      </c>
      <c r="CA56" s="663">
        <v>0</v>
      </c>
      <c r="CB56" s="663">
        <v>0</v>
      </c>
      <c r="CC56" s="664">
        <v>0</v>
      </c>
      <c r="CD56" s="665">
        <v>0</v>
      </c>
      <c r="CE56" s="665">
        <v>0</v>
      </c>
      <c r="CG56" s="555">
        <v>0</v>
      </c>
      <c r="CH56" s="555">
        <v>0</v>
      </c>
      <c r="CI56" s="555">
        <v>0</v>
      </c>
      <c r="CJ56" s="555">
        <v>0</v>
      </c>
      <c r="CK56" s="555">
        <v>0</v>
      </c>
      <c r="CL56" s="555">
        <v>0</v>
      </c>
      <c r="CM56" s="555">
        <v>0</v>
      </c>
      <c r="CN56" s="555">
        <v>0</v>
      </c>
      <c r="CO56" s="555">
        <v>0</v>
      </c>
      <c r="DP56" s="5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row>
    <row r="57" spans="1:256" s="319" customFormat="1" ht="39.6">
      <c r="A57" s="594"/>
      <c r="B57" s="481"/>
      <c r="C57" s="594"/>
      <c r="D57" s="594"/>
      <c r="E57" s="576"/>
      <c r="F57" s="353"/>
      <c r="G57" s="471"/>
      <c r="H57" s="599"/>
      <c r="I57" s="600"/>
      <c r="J57" s="600"/>
      <c r="K57" s="601"/>
      <c r="L57" s="585"/>
      <c r="M57" s="586"/>
      <c r="N57" s="585"/>
      <c r="O57" s="586"/>
      <c r="P57" s="603" t="s">
        <v>1134</v>
      </c>
      <c r="Q57" s="603" t="s">
        <v>1135</v>
      </c>
      <c r="V57" s="595"/>
      <c r="W57" s="596"/>
      <c r="Y57" s="661"/>
      <c r="Z57" s="309"/>
      <c r="AD57" s="587"/>
      <c r="AK57" s="603"/>
      <c r="AL57" s="603"/>
      <c r="AM57" s="603"/>
      <c r="AN57" s="603"/>
      <c r="AO57" s="603"/>
      <c r="AP57" s="603"/>
      <c r="AQ57" s="604"/>
      <c r="AR57" s="603"/>
      <c r="AS57" s="603"/>
      <c r="AT57" s="603"/>
      <c r="AU57" s="598"/>
      <c r="AV57" s="603"/>
      <c r="AW57" s="603"/>
      <c r="AX57" s="603"/>
      <c r="AY57" s="604"/>
      <c r="AZ57" s="603"/>
      <c r="BA57" s="603"/>
      <c r="BB57" s="603"/>
      <c r="BC57" s="603"/>
      <c r="BD57" s="603"/>
      <c r="BE57" s="603"/>
      <c r="BF57" s="603"/>
      <c r="BG57" s="603"/>
      <c r="BH57" s="603"/>
      <c r="BI57" s="603"/>
      <c r="BJ57" s="603"/>
      <c r="BK57" s="603"/>
      <c r="BL57" s="603" t="s">
        <v>1305</v>
      </c>
      <c r="BM57" s="603" t="s">
        <v>5061</v>
      </c>
      <c r="BN57" s="603"/>
      <c r="BO57" s="603"/>
      <c r="BP57" s="603"/>
      <c r="BQ57" s="603"/>
      <c r="BR57" s="603" t="s">
        <v>4174</v>
      </c>
      <c r="BS57" s="603" t="s">
        <v>4202</v>
      </c>
      <c r="BT57" s="606"/>
      <c r="BU57" s="607">
        <f>SUM(BU52:BU56)</f>
        <v>0</v>
      </c>
      <c r="DP57" s="556"/>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row>
    <row r="58" spans="1:256" s="319" customFormat="1" ht="13.2">
      <c r="A58" s="594" t="s">
        <v>5510</v>
      </c>
      <c r="B58" s="481"/>
      <c r="C58" s="594">
        <f>IF($C$10&lt;'Modelo Energético '!R83,0,1)</f>
        <v>1</v>
      </c>
      <c r="D58" s="637"/>
      <c r="E58" s="576">
        <f t="shared" si="12"/>
        <v>0</v>
      </c>
      <c r="F58" s="353">
        <f t="shared" si="17"/>
        <v>0</v>
      </c>
      <c r="G58" s="471">
        <f t="shared" si="18"/>
        <v>0</v>
      </c>
      <c r="H58" s="599">
        <f t="shared" ref="H58:K62" si="37">BN58</f>
        <v>0</v>
      </c>
      <c r="I58" s="600">
        <f t="shared" si="37"/>
        <v>0</v>
      </c>
      <c r="J58" s="600">
        <f t="shared" si="37"/>
        <v>0</v>
      </c>
      <c r="K58" s="601">
        <f t="shared" si="37"/>
        <v>0</v>
      </c>
      <c r="L58" s="585"/>
      <c r="M58" s="586"/>
      <c r="N58" s="585"/>
      <c r="O58" s="586"/>
      <c r="P58" s="639">
        <v>0</v>
      </c>
      <c r="Q58" s="639">
        <v>0</v>
      </c>
      <c r="R58" s="656"/>
      <c r="V58" s="595"/>
      <c r="W58" s="596"/>
      <c r="Y58" s="656"/>
      <c r="Z58" s="309"/>
      <c r="AD58" s="587"/>
      <c r="AQ58" s="587"/>
      <c r="AU58" s="598"/>
      <c r="AY58" s="587"/>
      <c r="BH58" s="458">
        <f>(BI58-BK58)*$N$3</f>
        <v>0</v>
      </c>
      <c r="BI58" s="600">
        <f t="shared" ref="BI58:BJ62" si="38">BR58*$C58</f>
        <v>0</v>
      </c>
      <c r="BJ58" s="600">
        <f t="shared" si="38"/>
        <v>0</v>
      </c>
      <c r="BK58" s="598">
        <f t="shared" ref="BK58:BK80" si="39">IF(BX58=1,BJ58,BI58)</f>
        <v>0</v>
      </c>
      <c r="BL58" s="555" t="s">
        <v>1129</v>
      </c>
      <c r="BM58" s="555" t="s">
        <v>1129</v>
      </c>
      <c r="BN58" s="600">
        <f>BI58*IF(BL58=$BL$23,$BJ$22/12,0)</f>
        <v>0</v>
      </c>
      <c r="BO58" s="600">
        <f>BK58*IF(BL58=$BL$23,$BJ$22/12,0)</f>
        <v>0</v>
      </c>
      <c r="BP58" s="600">
        <f>BI58*IF(BM58=$BL$23,$BJ$23/12,0)</f>
        <v>0</v>
      </c>
      <c r="BQ58" s="600">
        <f>BK58*IF(BM58=$BL$23,$BJ$23/12,0)</f>
        <v>0</v>
      </c>
      <c r="BR58" s="405">
        <v>0</v>
      </c>
      <c r="BS58" s="405">
        <v>0</v>
      </c>
      <c r="BT58" s="476"/>
      <c r="BU58" s="405">
        <v>0</v>
      </c>
      <c r="BX58" s="319">
        <f>IF('Modelo Energético '!$Q83=TRUE,1,0)</f>
        <v>1</v>
      </c>
      <c r="DP58" s="556"/>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row>
    <row r="59" spans="1:256" s="319" customFormat="1" ht="13.2">
      <c r="A59" s="594" t="s">
        <v>5511</v>
      </c>
      <c r="B59" s="481"/>
      <c r="C59" s="594">
        <f>IF($C$10&lt;'Modelo Energético '!R84,0,1)</f>
        <v>1</v>
      </c>
      <c r="D59" s="637"/>
      <c r="E59" s="576">
        <f t="shared" si="12"/>
        <v>0</v>
      </c>
      <c r="F59" s="353">
        <f t="shared" si="17"/>
        <v>0</v>
      </c>
      <c r="G59" s="471">
        <f t="shared" si="18"/>
        <v>0</v>
      </c>
      <c r="H59" s="599">
        <f t="shared" si="37"/>
        <v>0</v>
      </c>
      <c r="I59" s="600">
        <f t="shared" si="37"/>
        <v>0</v>
      </c>
      <c r="J59" s="600">
        <f t="shared" si="37"/>
        <v>0</v>
      </c>
      <c r="K59" s="601">
        <f t="shared" si="37"/>
        <v>0</v>
      </c>
      <c r="L59" s="585"/>
      <c r="M59" s="586"/>
      <c r="N59" s="585"/>
      <c r="O59" s="586"/>
      <c r="P59" s="639">
        <v>0</v>
      </c>
      <c r="Q59" s="639">
        <v>0</v>
      </c>
      <c r="V59" s="595"/>
      <c r="W59" s="596"/>
      <c r="Z59" s="309"/>
      <c r="AD59" s="587"/>
      <c r="AQ59" s="587"/>
      <c r="AU59" s="598"/>
      <c r="AY59" s="587"/>
      <c r="BH59" s="458">
        <f>(BI59-BK59)*$N$3</f>
        <v>0</v>
      </c>
      <c r="BI59" s="600">
        <f t="shared" si="38"/>
        <v>0</v>
      </c>
      <c r="BJ59" s="600">
        <f t="shared" si="38"/>
        <v>0</v>
      </c>
      <c r="BK59" s="598">
        <f t="shared" si="39"/>
        <v>0</v>
      </c>
      <c r="BL59" s="555" t="s">
        <v>1129</v>
      </c>
      <c r="BM59" s="555" t="s">
        <v>1129</v>
      </c>
      <c r="BN59" s="600">
        <f>BI59*IF(BL59=$BL$23,$BJ$22/12,0)</f>
        <v>0</v>
      </c>
      <c r="BO59" s="600">
        <f>BK59*IF(BL59=$BL$23,$BJ$22/12,0)</f>
        <v>0</v>
      </c>
      <c r="BP59" s="600">
        <f>BI59*IF(BM59=$BL$23,$BJ$23/12,0)</f>
        <v>0</v>
      </c>
      <c r="BQ59" s="600">
        <f>BK59*IF(BM59=$BL$23,$BJ$23/12,0)</f>
        <v>0</v>
      </c>
      <c r="BR59" s="405">
        <v>0</v>
      </c>
      <c r="BS59" s="405">
        <v>0</v>
      </c>
      <c r="BT59" s="476"/>
      <c r="BU59" s="405">
        <v>0</v>
      </c>
      <c r="BX59" s="319">
        <f>IF('Modelo Energético '!$Q84=TRUE,1,0)</f>
        <v>1</v>
      </c>
      <c r="DP59" s="556"/>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row>
    <row r="60" spans="1:256" s="319" customFormat="1" ht="13.2">
      <c r="A60" s="594" t="s">
        <v>299</v>
      </c>
      <c r="B60" s="481"/>
      <c r="C60" s="594">
        <f>IF($C$10&lt;'Modelo Energético '!R85,0,1)</f>
        <v>1</v>
      </c>
      <c r="D60" s="637"/>
      <c r="E60" s="576">
        <f t="shared" si="12"/>
        <v>0</v>
      </c>
      <c r="F60" s="353">
        <f t="shared" si="17"/>
        <v>0</v>
      </c>
      <c r="G60" s="471">
        <f t="shared" si="18"/>
        <v>0</v>
      </c>
      <c r="H60" s="599">
        <f t="shared" si="37"/>
        <v>0</v>
      </c>
      <c r="I60" s="600">
        <f t="shared" si="37"/>
        <v>0</v>
      </c>
      <c r="J60" s="600">
        <f t="shared" si="37"/>
        <v>0</v>
      </c>
      <c r="K60" s="601">
        <f t="shared" si="37"/>
        <v>0</v>
      </c>
      <c r="L60" s="585"/>
      <c r="M60" s="586"/>
      <c r="N60" s="585"/>
      <c r="O60" s="586"/>
      <c r="P60" s="639">
        <v>0</v>
      </c>
      <c r="Q60" s="639">
        <v>0</v>
      </c>
      <c r="V60" s="595"/>
      <c r="W60" s="596"/>
      <c r="Z60" s="309"/>
      <c r="AD60" s="587"/>
      <c r="AQ60" s="587"/>
      <c r="AU60" s="598"/>
      <c r="AY60" s="587"/>
      <c r="BH60" s="458">
        <f>(BI60-BK60)*$N$3</f>
        <v>0</v>
      </c>
      <c r="BI60" s="600">
        <f t="shared" si="38"/>
        <v>0</v>
      </c>
      <c r="BJ60" s="600">
        <f t="shared" si="38"/>
        <v>0</v>
      </c>
      <c r="BK60" s="598">
        <f t="shared" si="39"/>
        <v>0</v>
      </c>
      <c r="BL60" s="555" t="s">
        <v>1129</v>
      </c>
      <c r="BM60" s="555" t="s">
        <v>1129</v>
      </c>
      <c r="BN60" s="600">
        <f>BI60*IF(BL60=$BL$23,$BJ$22/12,0)</f>
        <v>0</v>
      </c>
      <c r="BO60" s="600">
        <f>BK60*IF(BL60=$BL$23,$BJ$22/12,0)</f>
        <v>0</v>
      </c>
      <c r="BP60" s="600">
        <f>BI60*IF(BM60=$BL$23,$BJ$23/12,0)</f>
        <v>0</v>
      </c>
      <c r="BQ60" s="600">
        <f>BK60*IF(BM60=$BL$23,$BJ$23/12,0)</f>
        <v>0</v>
      </c>
      <c r="BR60" s="405">
        <v>0</v>
      </c>
      <c r="BS60" s="405">
        <v>0</v>
      </c>
      <c r="BT60" s="476"/>
      <c r="BU60" s="405">
        <v>0</v>
      </c>
      <c r="BX60" s="319">
        <f>IF('Modelo Energético '!$Q85=TRUE,1,0)</f>
        <v>1</v>
      </c>
      <c r="DP60" s="556"/>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row>
    <row r="61" spans="1:256" s="319" customFormat="1" ht="13.2">
      <c r="A61" s="594" t="s">
        <v>300</v>
      </c>
      <c r="B61" s="481"/>
      <c r="C61" s="594">
        <f>IF($C$10&lt;'Modelo Energético '!R86,0,1)</f>
        <v>1</v>
      </c>
      <c r="D61" s="637"/>
      <c r="E61" s="576">
        <f t="shared" si="12"/>
        <v>0</v>
      </c>
      <c r="F61" s="353">
        <f t="shared" si="17"/>
        <v>0</v>
      </c>
      <c r="G61" s="471">
        <f t="shared" si="18"/>
        <v>0</v>
      </c>
      <c r="H61" s="599">
        <f t="shared" si="37"/>
        <v>0</v>
      </c>
      <c r="I61" s="600">
        <f t="shared" si="37"/>
        <v>0</v>
      </c>
      <c r="J61" s="600">
        <f t="shared" si="37"/>
        <v>0</v>
      </c>
      <c r="K61" s="601">
        <f t="shared" si="37"/>
        <v>0</v>
      </c>
      <c r="L61" s="585"/>
      <c r="M61" s="586"/>
      <c r="N61" s="585"/>
      <c r="O61" s="586"/>
      <c r="P61" s="639">
        <v>0</v>
      </c>
      <c r="Q61" s="639">
        <v>0</v>
      </c>
      <c r="V61" s="595"/>
      <c r="W61" s="596"/>
      <c r="Z61" s="309"/>
      <c r="AD61" s="587"/>
      <c r="AQ61" s="587"/>
      <c r="AU61" s="598"/>
      <c r="AY61" s="587"/>
      <c r="BH61" s="458">
        <f>(BI61-BK61)*$N$3</f>
        <v>0</v>
      </c>
      <c r="BI61" s="600">
        <f t="shared" si="38"/>
        <v>0</v>
      </c>
      <c r="BJ61" s="600">
        <f t="shared" si="38"/>
        <v>0</v>
      </c>
      <c r="BK61" s="598">
        <f t="shared" si="39"/>
        <v>0</v>
      </c>
      <c r="BL61" s="555" t="s">
        <v>1129</v>
      </c>
      <c r="BM61" s="555" t="s">
        <v>1129</v>
      </c>
      <c r="BN61" s="600">
        <f>BI61*IF(BL61=$BL$23,$BJ$22/12,0)</f>
        <v>0</v>
      </c>
      <c r="BO61" s="600">
        <f>BK61*IF(BL61=$BL$23,$BJ$22/12,0)</f>
        <v>0</v>
      </c>
      <c r="BP61" s="600">
        <f>BI61*IF(BM61=$BL$23,$BJ$23/12,0)</f>
        <v>0</v>
      </c>
      <c r="BQ61" s="600">
        <f>BK61*IF(BM61=$BL$23,$BJ$23/12,0)</f>
        <v>0</v>
      </c>
      <c r="BR61" s="405">
        <v>0</v>
      </c>
      <c r="BS61" s="405">
        <v>0</v>
      </c>
      <c r="BT61" s="476"/>
      <c r="BU61" s="405">
        <v>0</v>
      </c>
      <c r="BX61" s="319">
        <f>IF('Modelo Energético '!$Q86=TRUE,1,0)</f>
        <v>1</v>
      </c>
      <c r="DP61" s="556"/>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row>
    <row r="62" spans="1:256" s="319" customFormat="1" ht="13.2">
      <c r="A62" s="594" t="s">
        <v>301</v>
      </c>
      <c r="B62" s="481"/>
      <c r="C62" s="594">
        <f>IF($C$10&lt;'Modelo Energético '!R87,0,1)</f>
        <v>1</v>
      </c>
      <c r="D62" s="637"/>
      <c r="E62" s="576">
        <f t="shared" si="12"/>
        <v>0</v>
      </c>
      <c r="F62" s="353">
        <f t="shared" si="17"/>
        <v>0</v>
      </c>
      <c r="G62" s="471">
        <f t="shared" si="18"/>
        <v>0</v>
      </c>
      <c r="H62" s="599">
        <f t="shared" si="37"/>
        <v>0</v>
      </c>
      <c r="I62" s="600">
        <f t="shared" si="37"/>
        <v>0</v>
      </c>
      <c r="J62" s="600">
        <f t="shared" si="37"/>
        <v>0</v>
      </c>
      <c r="K62" s="601">
        <f t="shared" si="37"/>
        <v>0</v>
      </c>
      <c r="L62" s="585"/>
      <c r="M62" s="586"/>
      <c r="N62" s="585"/>
      <c r="O62" s="586"/>
      <c r="P62" s="639">
        <v>0</v>
      </c>
      <c r="Q62" s="639">
        <v>0</v>
      </c>
      <c r="V62" s="595"/>
      <c r="W62" s="596"/>
      <c r="Z62" s="309"/>
      <c r="AD62" s="587"/>
      <c r="AQ62" s="587"/>
      <c r="AU62" s="598"/>
      <c r="AY62" s="587"/>
      <c r="BH62" s="458">
        <f>(BI62-BK62)*$N$3</f>
        <v>0</v>
      </c>
      <c r="BI62" s="600">
        <f t="shared" si="38"/>
        <v>0</v>
      </c>
      <c r="BJ62" s="600">
        <f t="shared" si="38"/>
        <v>0</v>
      </c>
      <c r="BK62" s="598">
        <f t="shared" si="39"/>
        <v>0</v>
      </c>
      <c r="BL62" s="555" t="s">
        <v>1129</v>
      </c>
      <c r="BM62" s="555" t="s">
        <v>1129</v>
      </c>
      <c r="BN62" s="600">
        <f>BI62*IF(BL62=$BL$23,$BJ$22/12,0)</f>
        <v>0</v>
      </c>
      <c r="BO62" s="600">
        <f>BK62*IF(BL62=$BL$23,$BJ$22/12,0)</f>
        <v>0</v>
      </c>
      <c r="BP62" s="600">
        <f>BI62*IF(BM62=$BL$23,$BJ$23/12,0)</f>
        <v>0</v>
      </c>
      <c r="BQ62" s="600">
        <f>BK62*IF(BM62=$BL$23,$BJ$23/12,0)</f>
        <v>0</v>
      </c>
      <c r="BR62" s="405">
        <v>0</v>
      </c>
      <c r="BS62" s="405">
        <v>0</v>
      </c>
      <c r="BT62" s="476"/>
      <c r="BU62" s="405">
        <v>0</v>
      </c>
      <c r="BX62" s="319">
        <f>IF('Modelo Energético '!$Q87=TRUE,1,0)</f>
        <v>1</v>
      </c>
      <c r="DP62" s="556"/>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row>
    <row r="63" spans="1:256" s="319" customFormat="1" ht="13.2">
      <c r="A63" s="594"/>
      <c r="B63" s="481"/>
      <c r="C63" s="594"/>
      <c r="D63" s="608"/>
      <c r="E63" s="576">
        <f t="shared" si="12"/>
        <v>0</v>
      </c>
      <c r="F63" s="353">
        <f t="shared" si="17"/>
        <v>0</v>
      </c>
      <c r="G63" s="471">
        <f t="shared" si="18"/>
        <v>0</v>
      </c>
      <c r="H63" s="599"/>
      <c r="I63" s="600"/>
      <c r="J63" s="600"/>
      <c r="K63" s="601"/>
      <c r="L63" s="585"/>
      <c r="M63" s="586"/>
      <c r="N63" s="585"/>
      <c r="O63" s="586"/>
      <c r="V63" s="595"/>
      <c r="W63" s="596"/>
      <c r="Z63" s="309"/>
      <c r="AD63" s="587"/>
      <c r="AQ63" s="587"/>
      <c r="AU63" s="598"/>
      <c r="AY63" s="587"/>
      <c r="BI63" s="600"/>
      <c r="BJ63" s="600"/>
      <c r="BK63" s="598"/>
      <c r="BT63" s="476"/>
      <c r="DP63" s="556"/>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row>
    <row r="64" spans="1:256" s="319" customFormat="1" ht="13.2">
      <c r="A64" s="594" t="s">
        <v>302</v>
      </c>
      <c r="B64" s="481"/>
      <c r="C64" s="594">
        <f>IF($C$10&lt;'Modelo Energético '!R89,0,1)</f>
        <v>1</v>
      </c>
      <c r="D64" s="637"/>
      <c r="E64" s="576">
        <f t="shared" si="12"/>
        <v>0</v>
      </c>
      <c r="F64" s="353">
        <f t="shared" si="17"/>
        <v>0</v>
      </c>
      <c r="G64" s="471">
        <f t="shared" si="18"/>
        <v>0</v>
      </c>
      <c r="H64" s="599">
        <f t="shared" ref="H64:K68" si="40">BN64</f>
        <v>0</v>
      </c>
      <c r="I64" s="600">
        <f t="shared" si="40"/>
        <v>0</v>
      </c>
      <c r="J64" s="600">
        <f t="shared" si="40"/>
        <v>0</v>
      </c>
      <c r="K64" s="601">
        <f t="shared" si="40"/>
        <v>0</v>
      </c>
      <c r="L64" s="585"/>
      <c r="M64" s="586"/>
      <c r="N64" s="585"/>
      <c r="O64" s="586"/>
      <c r="P64" s="639">
        <v>0</v>
      </c>
      <c r="Q64" s="639">
        <v>0</v>
      </c>
      <c r="V64" s="595"/>
      <c r="W64" s="596"/>
      <c r="Z64" s="309"/>
      <c r="AD64" s="587"/>
      <c r="AQ64" s="587"/>
      <c r="AU64" s="598"/>
      <c r="AY64" s="587"/>
      <c r="BH64" s="458">
        <f>(BI64-BK64)*$N$3</f>
        <v>0</v>
      </c>
      <c r="BI64" s="600">
        <f t="shared" ref="BI64:BJ68" si="41">BR64*$C64</f>
        <v>0</v>
      </c>
      <c r="BJ64" s="600">
        <f t="shared" si="41"/>
        <v>0</v>
      </c>
      <c r="BK64" s="598">
        <f t="shared" si="39"/>
        <v>0</v>
      </c>
      <c r="BL64" s="555" t="s">
        <v>1129</v>
      </c>
      <c r="BM64" s="555" t="s">
        <v>1129</v>
      </c>
      <c r="BN64" s="600">
        <f>BI64*IF(BL64=$BL$23,$BJ$22/12,0)</f>
        <v>0</v>
      </c>
      <c r="BO64" s="600">
        <f>BK64*IF(BL64=$BL$23,$BJ$22/12,0)</f>
        <v>0</v>
      </c>
      <c r="BP64" s="600">
        <f>BI64*IF(BM64=$BL$23,$BJ$23/12,0)</f>
        <v>0</v>
      </c>
      <c r="BQ64" s="600">
        <f>BK64*IF(BM64=$BL$23,$BJ$23/12,0)</f>
        <v>0</v>
      </c>
      <c r="BR64" s="405">
        <v>0</v>
      </c>
      <c r="BS64" s="405">
        <v>0</v>
      </c>
      <c r="BT64" s="476"/>
      <c r="BU64" s="405">
        <v>0</v>
      </c>
      <c r="BX64" s="319">
        <f>IF('Modelo Energético '!$Q89=TRUE,1,0)</f>
        <v>1</v>
      </c>
      <c r="DP64" s="556"/>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row>
    <row r="65" spans="1:256" s="319" customFormat="1" ht="13.2">
      <c r="A65" s="594" t="s">
        <v>3212</v>
      </c>
      <c r="B65" s="481"/>
      <c r="C65" s="594">
        <f>IF($C$10&lt;'Modelo Energético '!R90,0,1)</f>
        <v>1</v>
      </c>
      <c r="D65" s="637"/>
      <c r="E65" s="576">
        <f t="shared" si="12"/>
        <v>0</v>
      </c>
      <c r="F65" s="353">
        <f t="shared" si="17"/>
        <v>0</v>
      </c>
      <c r="G65" s="471">
        <f t="shared" si="18"/>
        <v>0</v>
      </c>
      <c r="H65" s="599">
        <f t="shared" si="40"/>
        <v>0</v>
      </c>
      <c r="I65" s="600">
        <f t="shared" si="40"/>
        <v>0</v>
      </c>
      <c r="J65" s="600">
        <f t="shared" si="40"/>
        <v>0</v>
      </c>
      <c r="K65" s="601">
        <f t="shared" si="40"/>
        <v>0</v>
      </c>
      <c r="L65" s="585"/>
      <c r="M65" s="586"/>
      <c r="N65" s="585"/>
      <c r="O65" s="586"/>
      <c r="P65" s="639">
        <v>0</v>
      </c>
      <c r="Q65" s="639">
        <v>0</v>
      </c>
      <c r="V65" s="595"/>
      <c r="W65" s="596"/>
      <c r="Z65" s="309"/>
      <c r="AD65" s="587"/>
      <c r="AQ65" s="587"/>
      <c r="AU65" s="598"/>
      <c r="AY65" s="587"/>
      <c r="BH65" s="458">
        <f>(BI65-BK65)*$N$3</f>
        <v>0</v>
      </c>
      <c r="BI65" s="600">
        <f t="shared" si="41"/>
        <v>0</v>
      </c>
      <c r="BJ65" s="600">
        <f t="shared" si="41"/>
        <v>0</v>
      </c>
      <c r="BK65" s="598">
        <f t="shared" si="39"/>
        <v>0</v>
      </c>
      <c r="BL65" s="555" t="s">
        <v>1129</v>
      </c>
      <c r="BM65" s="555" t="s">
        <v>1129</v>
      </c>
      <c r="BN65" s="600">
        <f>BI65*IF(BL65=$BL$23,$BJ$22/12,0)</f>
        <v>0</v>
      </c>
      <c r="BO65" s="600">
        <f>BK65*IF(BL65=$BL$23,$BJ$22/12,0)</f>
        <v>0</v>
      </c>
      <c r="BP65" s="600">
        <f>BI65*IF(BM65=$BL$23,$BJ$23/12,0)</f>
        <v>0</v>
      </c>
      <c r="BQ65" s="600">
        <f>BK65*IF(BM65=$BL$23,$BJ$23/12,0)</f>
        <v>0</v>
      </c>
      <c r="BR65" s="405">
        <v>0</v>
      </c>
      <c r="BS65" s="405">
        <v>0</v>
      </c>
      <c r="BT65" s="476"/>
      <c r="BU65" s="405">
        <v>0</v>
      </c>
      <c r="BX65" s="319">
        <f>IF('Modelo Energético '!$Q90=TRUE,1,0)</f>
        <v>1</v>
      </c>
      <c r="DP65" s="556"/>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row>
    <row r="66" spans="1:256" s="319" customFormat="1" ht="13.2">
      <c r="A66" s="594" t="s">
        <v>353</v>
      </c>
      <c r="B66" s="481"/>
      <c r="C66" s="594">
        <f>IF($C$10&lt;'Modelo Energético '!R91,0,1)</f>
        <v>1</v>
      </c>
      <c r="D66" s="637"/>
      <c r="E66" s="576">
        <f t="shared" si="12"/>
        <v>0</v>
      </c>
      <c r="F66" s="353">
        <f t="shared" si="17"/>
        <v>0</v>
      </c>
      <c r="G66" s="471">
        <f t="shared" si="18"/>
        <v>0</v>
      </c>
      <c r="H66" s="599">
        <f t="shared" si="40"/>
        <v>0</v>
      </c>
      <c r="I66" s="600">
        <f t="shared" si="40"/>
        <v>0</v>
      </c>
      <c r="J66" s="600">
        <f t="shared" si="40"/>
        <v>0</v>
      </c>
      <c r="K66" s="601">
        <f t="shared" si="40"/>
        <v>0</v>
      </c>
      <c r="L66" s="585"/>
      <c r="M66" s="586"/>
      <c r="N66" s="585"/>
      <c r="O66" s="586"/>
      <c r="P66" s="639">
        <v>0</v>
      </c>
      <c r="Q66" s="639">
        <v>0</v>
      </c>
      <c r="V66" s="595"/>
      <c r="W66" s="596"/>
      <c r="Z66" s="309"/>
      <c r="AD66" s="587"/>
      <c r="AQ66" s="587"/>
      <c r="AU66" s="598"/>
      <c r="AY66" s="587"/>
      <c r="BH66" s="458">
        <f>(BI66-BK66)*$N$3</f>
        <v>0</v>
      </c>
      <c r="BI66" s="600">
        <f t="shared" si="41"/>
        <v>0</v>
      </c>
      <c r="BJ66" s="600">
        <f t="shared" si="41"/>
        <v>0</v>
      </c>
      <c r="BK66" s="598">
        <f t="shared" si="39"/>
        <v>0</v>
      </c>
      <c r="BL66" s="555" t="s">
        <v>1129</v>
      </c>
      <c r="BM66" s="555" t="s">
        <v>1129</v>
      </c>
      <c r="BN66" s="600">
        <f>BI66*IF(BL66=$BL$23,$BJ$22/12,0)</f>
        <v>0</v>
      </c>
      <c r="BO66" s="600">
        <f>BK66*IF(BL66=$BL$23,$BJ$22/12,0)</f>
        <v>0</v>
      </c>
      <c r="BP66" s="600">
        <f>BI66*IF(BM66=$BL$23,$BJ$23/12,0)</f>
        <v>0</v>
      </c>
      <c r="BQ66" s="600">
        <f>BK66*IF(BM66=$BL$23,$BJ$23/12,0)</f>
        <v>0</v>
      </c>
      <c r="BR66" s="405">
        <v>0</v>
      </c>
      <c r="BS66" s="405">
        <v>0</v>
      </c>
      <c r="BT66" s="476"/>
      <c r="BU66" s="405">
        <v>0</v>
      </c>
      <c r="BX66" s="319">
        <f>IF('Modelo Energético '!$Q91=TRUE,1,0)</f>
        <v>1</v>
      </c>
      <c r="DP66" s="55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row>
    <row r="67" spans="1:256" s="319" customFormat="1" ht="13.2">
      <c r="A67" s="594" t="s">
        <v>1693</v>
      </c>
      <c r="B67" s="481"/>
      <c r="C67" s="594">
        <f>IF($C$10&lt;'Modelo Energético '!R92,0,1)</f>
        <v>1</v>
      </c>
      <c r="D67" s="637"/>
      <c r="E67" s="576">
        <f t="shared" si="12"/>
        <v>0</v>
      </c>
      <c r="F67" s="353">
        <f t="shared" si="17"/>
        <v>0</v>
      </c>
      <c r="G67" s="471">
        <f t="shared" si="18"/>
        <v>0</v>
      </c>
      <c r="H67" s="599">
        <f t="shared" si="40"/>
        <v>0</v>
      </c>
      <c r="I67" s="600">
        <f t="shared" si="40"/>
        <v>0</v>
      </c>
      <c r="J67" s="600">
        <f t="shared" si="40"/>
        <v>0</v>
      </c>
      <c r="K67" s="601">
        <f t="shared" si="40"/>
        <v>0</v>
      </c>
      <c r="L67" s="585"/>
      <c r="M67" s="586"/>
      <c r="N67" s="585"/>
      <c r="O67" s="586"/>
      <c r="P67" s="639">
        <v>0</v>
      </c>
      <c r="Q67" s="639">
        <v>0</v>
      </c>
      <c r="V67" s="595"/>
      <c r="W67" s="596"/>
      <c r="Z67" s="309"/>
      <c r="AD67" s="587"/>
      <c r="AQ67" s="587"/>
      <c r="AU67" s="598"/>
      <c r="AY67" s="587"/>
      <c r="BH67" s="458">
        <f>(BI67-BK67)*$N$3</f>
        <v>0</v>
      </c>
      <c r="BI67" s="600">
        <f t="shared" si="41"/>
        <v>0</v>
      </c>
      <c r="BJ67" s="600">
        <f t="shared" si="41"/>
        <v>0</v>
      </c>
      <c r="BK67" s="598">
        <f t="shared" si="39"/>
        <v>0</v>
      </c>
      <c r="BL67" s="555" t="s">
        <v>1129</v>
      </c>
      <c r="BM67" s="555" t="s">
        <v>1129</v>
      </c>
      <c r="BN67" s="600">
        <f>BI67*IF(BL67=$BL$23,$BJ$22/12,0)</f>
        <v>0</v>
      </c>
      <c r="BO67" s="600">
        <f>BK67*IF(BL67=$BL$23,$BJ$22/12,0)</f>
        <v>0</v>
      </c>
      <c r="BP67" s="600">
        <f>BI67*IF(BM67=$BL$23,$BJ$23/12,0)</f>
        <v>0</v>
      </c>
      <c r="BQ67" s="600">
        <f>BK67*IF(BM67=$BL$23,$BJ$23/12,0)</f>
        <v>0</v>
      </c>
      <c r="BR67" s="405">
        <v>0</v>
      </c>
      <c r="BS67" s="405">
        <v>0</v>
      </c>
      <c r="BT67" s="476"/>
      <c r="BU67" s="405">
        <v>0</v>
      </c>
      <c r="BX67" s="319">
        <f>IF('Modelo Energético '!$Q92=TRUE,1,0)</f>
        <v>1</v>
      </c>
      <c r="DP67" s="556"/>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row>
    <row r="68" spans="1:256" s="319" customFormat="1" ht="13.2">
      <c r="A68" s="594" t="s">
        <v>1694</v>
      </c>
      <c r="B68" s="481"/>
      <c r="C68" s="594">
        <f>IF($C$10&lt;'Modelo Energético '!R93,0,1)</f>
        <v>1</v>
      </c>
      <c r="D68" s="637"/>
      <c r="E68" s="576">
        <f t="shared" si="12"/>
        <v>0</v>
      </c>
      <c r="F68" s="353">
        <f t="shared" si="17"/>
        <v>0</v>
      </c>
      <c r="G68" s="471">
        <f t="shared" si="18"/>
        <v>0</v>
      </c>
      <c r="H68" s="599">
        <f t="shared" si="40"/>
        <v>0</v>
      </c>
      <c r="I68" s="600">
        <f t="shared" si="40"/>
        <v>0</v>
      </c>
      <c r="J68" s="600">
        <f t="shared" si="40"/>
        <v>0</v>
      </c>
      <c r="K68" s="601">
        <f t="shared" si="40"/>
        <v>0</v>
      </c>
      <c r="L68" s="585"/>
      <c r="M68" s="586"/>
      <c r="N68" s="585"/>
      <c r="O68" s="586"/>
      <c r="P68" s="639">
        <v>0</v>
      </c>
      <c r="Q68" s="639">
        <v>0</v>
      </c>
      <c r="V68" s="595"/>
      <c r="W68" s="596"/>
      <c r="Z68" s="309"/>
      <c r="AD68" s="587"/>
      <c r="AQ68" s="587"/>
      <c r="AU68" s="598"/>
      <c r="AY68" s="587"/>
      <c r="BH68" s="458">
        <f>(BI68-BK68)*$N$3</f>
        <v>0</v>
      </c>
      <c r="BI68" s="600">
        <f t="shared" si="41"/>
        <v>0</v>
      </c>
      <c r="BJ68" s="600">
        <f t="shared" si="41"/>
        <v>0</v>
      </c>
      <c r="BK68" s="598">
        <f t="shared" si="39"/>
        <v>0</v>
      </c>
      <c r="BL68" s="555" t="s">
        <v>1129</v>
      </c>
      <c r="BM68" s="555" t="s">
        <v>1129</v>
      </c>
      <c r="BN68" s="600">
        <f>BI68*IF(BL68=$BL$23,$BJ$22/12,0)</f>
        <v>0</v>
      </c>
      <c r="BO68" s="600">
        <f>BK68*IF(BL68=$BL$23,$BJ$22/12,0)</f>
        <v>0</v>
      </c>
      <c r="BP68" s="600">
        <f>BI68*IF(BM68=$BL$23,$BJ$23/12,0)</f>
        <v>0</v>
      </c>
      <c r="BQ68" s="600">
        <f>BK68*IF(BM68=$BL$23,$BJ$23/12,0)</f>
        <v>0</v>
      </c>
      <c r="BR68" s="405">
        <v>0</v>
      </c>
      <c r="BS68" s="405">
        <v>0</v>
      </c>
      <c r="BT68" s="476"/>
      <c r="BU68" s="405">
        <v>0</v>
      </c>
      <c r="BX68" s="319">
        <f>IF('Modelo Energético '!$Q93=TRUE,1,0)</f>
        <v>1</v>
      </c>
      <c r="DP68" s="556"/>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row>
    <row r="69" spans="1:256" s="319" customFormat="1" ht="39.6">
      <c r="A69" s="594"/>
      <c r="B69" s="481"/>
      <c r="C69" s="594"/>
      <c r="E69" s="576"/>
      <c r="F69" s="353"/>
      <c r="G69" s="471"/>
      <c r="H69" s="599"/>
      <c r="I69" s="600"/>
      <c r="J69" s="600"/>
      <c r="K69" s="601"/>
      <c r="L69" s="585"/>
      <c r="M69" s="586"/>
      <c r="N69" s="585"/>
      <c r="O69" s="586"/>
      <c r="P69" s="603" t="s">
        <v>1134</v>
      </c>
      <c r="Q69" s="603" t="s">
        <v>1135</v>
      </c>
      <c r="V69" s="595"/>
      <c r="W69" s="596"/>
      <c r="Z69" s="309"/>
      <c r="AD69" s="587"/>
      <c r="AL69" s="603"/>
      <c r="AM69" s="603"/>
      <c r="AN69" s="603"/>
      <c r="AO69" s="603"/>
      <c r="AP69" s="603"/>
      <c r="AQ69" s="604"/>
      <c r="AR69" s="603"/>
      <c r="AS69" s="603"/>
      <c r="AT69" s="603"/>
      <c r="AU69" s="598"/>
      <c r="AV69" s="603"/>
      <c r="AW69" s="603"/>
      <c r="AX69" s="603"/>
      <c r="AY69" s="604"/>
      <c r="AZ69" s="603"/>
      <c r="BA69" s="603"/>
      <c r="BB69" s="603"/>
      <c r="BC69" s="603"/>
      <c r="BD69" s="603"/>
      <c r="BE69" s="603"/>
      <c r="BF69" s="603"/>
      <c r="BG69" s="603"/>
      <c r="BH69" s="603"/>
      <c r="BI69" s="609"/>
      <c r="BJ69" s="609"/>
      <c r="BK69" s="598"/>
      <c r="BL69" s="603" t="s">
        <v>1305</v>
      </c>
      <c r="BM69" s="603" t="s">
        <v>5061</v>
      </c>
      <c r="BN69" s="603"/>
      <c r="BO69" s="603"/>
      <c r="BP69" s="603"/>
      <c r="BQ69" s="603"/>
      <c r="BR69" s="603" t="s">
        <v>4174</v>
      </c>
      <c r="BS69" s="603" t="s">
        <v>4202</v>
      </c>
      <c r="BT69" s="606"/>
      <c r="BU69" s="603" t="s">
        <v>4203</v>
      </c>
      <c r="DP69" s="556"/>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row>
    <row r="70" spans="1:256" s="319" customFormat="1" ht="13.2">
      <c r="A70" s="594" t="s">
        <v>3183</v>
      </c>
      <c r="B70" s="481"/>
      <c r="C70" s="594">
        <f>IF($C$10&lt;'Modelo Energético '!R95,0,1)</f>
        <v>1</v>
      </c>
      <c r="D70" s="637"/>
      <c r="E70" s="576">
        <f t="shared" si="12"/>
        <v>0</v>
      </c>
      <c r="F70" s="353">
        <f t="shared" si="17"/>
        <v>0</v>
      </c>
      <c r="G70" s="471">
        <f t="shared" si="18"/>
        <v>0</v>
      </c>
      <c r="H70" s="599">
        <f t="shared" ref="H70:K74" si="42">BN70</f>
        <v>0</v>
      </c>
      <c r="I70" s="600">
        <f t="shared" si="42"/>
        <v>0</v>
      </c>
      <c r="J70" s="600">
        <f t="shared" si="42"/>
        <v>0</v>
      </c>
      <c r="K70" s="601">
        <f t="shared" si="42"/>
        <v>0</v>
      </c>
      <c r="L70" s="585"/>
      <c r="M70" s="586"/>
      <c r="N70" s="585"/>
      <c r="O70" s="586"/>
      <c r="P70" s="639">
        <v>0</v>
      </c>
      <c r="Q70" s="639">
        <v>0</v>
      </c>
      <c r="V70" s="595"/>
      <c r="W70" s="596"/>
      <c r="Z70" s="309"/>
      <c r="AD70" s="587"/>
      <c r="AQ70" s="587"/>
      <c r="AU70" s="598"/>
      <c r="AY70" s="587"/>
      <c r="BH70" s="458">
        <f>(BI70-BK70)*$N$3</f>
        <v>0</v>
      </c>
      <c r="BI70" s="600">
        <f t="shared" ref="BI70:BJ74" si="43">BR70*$C70</f>
        <v>0</v>
      </c>
      <c r="BJ70" s="600">
        <f t="shared" si="43"/>
        <v>0</v>
      </c>
      <c r="BK70" s="598">
        <f t="shared" si="39"/>
        <v>0</v>
      </c>
      <c r="BL70" s="555" t="s">
        <v>1129</v>
      </c>
      <c r="BM70" s="555" t="s">
        <v>1129</v>
      </c>
      <c r="BN70" s="600">
        <f>BI70*IF(BL70=$BL$23,$BJ$22/12,0)</f>
        <v>0</v>
      </c>
      <c r="BO70" s="600">
        <f>BK70*IF(BL70=$BL$23,$BJ$22/12,0)</f>
        <v>0</v>
      </c>
      <c r="BP70" s="600">
        <f>BI70*IF(BM70=$BL$23,$BJ$23/12,0)</f>
        <v>0</v>
      </c>
      <c r="BQ70" s="600">
        <f>BK70*IF(BM70=$BL$23,$BJ$23/12,0)</f>
        <v>0</v>
      </c>
      <c r="BR70" s="405">
        <v>0</v>
      </c>
      <c r="BS70" s="405">
        <v>0</v>
      </c>
      <c r="BT70" s="476"/>
      <c r="BU70" s="405">
        <v>0</v>
      </c>
      <c r="BX70" s="319">
        <f>IF('Modelo Energético '!$Q95=TRUE,1,0)</f>
        <v>1</v>
      </c>
      <c r="DP70" s="556"/>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row>
    <row r="71" spans="1:256" s="319" customFormat="1" ht="13.2">
      <c r="A71" s="594" t="s">
        <v>3184</v>
      </c>
      <c r="B71" s="481"/>
      <c r="C71" s="594">
        <f>IF($C$10&lt;'Modelo Energético '!R96,0,1)</f>
        <v>1</v>
      </c>
      <c r="D71" s="637"/>
      <c r="E71" s="576">
        <f t="shared" si="12"/>
        <v>0</v>
      </c>
      <c r="F71" s="353">
        <f t="shared" si="17"/>
        <v>0</v>
      </c>
      <c r="G71" s="471">
        <f t="shared" si="18"/>
        <v>0</v>
      </c>
      <c r="H71" s="599">
        <f t="shared" si="42"/>
        <v>0</v>
      </c>
      <c r="I71" s="600">
        <f t="shared" si="42"/>
        <v>0</v>
      </c>
      <c r="J71" s="600">
        <f t="shared" si="42"/>
        <v>0</v>
      </c>
      <c r="K71" s="601">
        <f t="shared" si="42"/>
        <v>0</v>
      </c>
      <c r="L71" s="585"/>
      <c r="M71" s="586"/>
      <c r="N71" s="585"/>
      <c r="O71" s="586"/>
      <c r="P71" s="639">
        <v>0</v>
      </c>
      <c r="Q71" s="639">
        <v>0</v>
      </c>
      <c r="V71" s="595"/>
      <c r="W71" s="596"/>
      <c r="Z71" s="309"/>
      <c r="AD71" s="587"/>
      <c r="AQ71" s="587"/>
      <c r="AU71" s="598"/>
      <c r="AY71" s="587"/>
      <c r="BH71" s="458">
        <f>(BI71-BK71)*$N$3</f>
        <v>0</v>
      </c>
      <c r="BI71" s="600">
        <f t="shared" si="43"/>
        <v>0</v>
      </c>
      <c r="BJ71" s="600">
        <f t="shared" si="43"/>
        <v>0</v>
      </c>
      <c r="BK71" s="598">
        <f t="shared" si="39"/>
        <v>0</v>
      </c>
      <c r="BL71" s="555" t="s">
        <v>1129</v>
      </c>
      <c r="BM71" s="555" t="s">
        <v>1129</v>
      </c>
      <c r="BN71" s="600">
        <f>BI71*IF(BL71=$BL$23,$BJ$22/12,0)</f>
        <v>0</v>
      </c>
      <c r="BO71" s="600">
        <f>BK71*IF(BL71=$BL$23,$BJ$22/12,0)</f>
        <v>0</v>
      </c>
      <c r="BP71" s="600">
        <f>BI71*IF(BM71=$BL$23,$BJ$23/12,0)</f>
        <v>0</v>
      </c>
      <c r="BQ71" s="600">
        <f>BK71*IF(BM71=$BL$23,$BJ$23/12,0)</f>
        <v>0</v>
      </c>
      <c r="BR71" s="405">
        <v>0</v>
      </c>
      <c r="BS71" s="405">
        <v>0</v>
      </c>
      <c r="BT71" s="476"/>
      <c r="BU71" s="405">
        <v>0</v>
      </c>
      <c r="BX71" s="319">
        <f>IF('Modelo Energético '!$Q96=TRUE,1,0)</f>
        <v>1</v>
      </c>
      <c r="DP71" s="556"/>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row>
    <row r="72" spans="1:256" s="319" customFormat="1" ht="13.2">
      <c r="A72" s="594" t="s">
        <v>588</v>
      </c>
      <c r="B72" s="481"/>
      <c r="C72" s="594">
        <f>IF($C$10&lt;'Modelo Energético '!R97,0,1)</f>
        <v>1</v>
      </c>
      <c r="D72" s="637"/>
      <c r="E72" s="576">
        <f t="shared" si="12"/>
        <v>0</v>
      </c>
      <c r="F72" s="353">
        <f t="shared" si="17"/>
        <v>0</v>
      </c>
      <c r="G72" s="471">
        <f t="shared" si="18"/>
        <v>0</v>
      </c>
      <c r="H72" s="599">
        <f t="shared" si="42"/>
        <v>0</v>
      </c>
      <c r="I72" s="600">
        <f t="shared" si="42"/>
        <v>0</v>
      </c>
      <c r="J72" s="600">
        <f t="shared" si="42"/>
        <v>0</v>
      </c>
      <c r="K72" s="601">
        <f t="shared" si="42"/>
        <v>0</v>
      </c>
      <c r="L72" s="585"/>
      <c r="M72" s="586"/>
      <c r="N72" s="585"/>
      <c r="O72" s="586"/>
      <c r="P72" s="639">
        <v>0</v>
      </c>
      <c r="Q72" s="639">
        <v>0</v>
      </c>
      <c r="V72" s="595"/>
      <c r="W72" s="596"/>
      <c r="Z72" s="309"/>
      <c r="AD72" s="587"/>
      <c r="AQ72" s="587"/>
      <c r="AU72" s="598"/>
      <c r="AY72" s="587"/>
      <c r="BH72" s="458">
        <f>(BI72-BK72)*$N$3</f>
        <v>0</v>
      </c>
      <c r="BI72" s="600">
        <f t="shared" si="43"/>
        <v>0</v>
      </c>
      <c r="BJ72" s="600">
        <f t="shared" si="43"/>
        <v>0</v>
      </c>
      <c r="BK72" s="598">
        <f t="shared" si="39"/>
        <v>0</v>
      </c>
      <c r="BL72" s="555" t="s">
        <v>1129</v>
      </c>
      <c r="BM72" s="555" t="s">
        <v>1129</v>
      </c>
      <c r="BN72" s="600">
        <f>BI72*IF(BL72=$BL$23,$BJ$22/12,0)</f>
        <v>0</v>
      </c>
      <c r="BO72" s="600">
        <f>BK72*IF(BL72=$BL$23,$BJ$22/12,0)</f>
        <v>0</v>
      </c>
      <c r="BP72" s="600">
        <f>BI72*IF(BM72=$BL$23,$BJ$23/12,0)</f>
        <v>0</v>
      </c>
      <c r="BQ72" s="600">
        <f>BK72*IF(BM72=$BL$23,$BJ$23/12,0)</f>
        <v>0</v>
      </c>
      <c r="BR72" s="405">
        <v>0</v>
      </c>
      <c r="BS72" s="405">
        <v>0</v>
      </c>
      <c r="BT72" s="476"/>
      <c r="BU72" s="405">
        <v>0</v>
      </c>
      <c r="BX72" s="319">
        <f>IF('Modelo Energético '!$Q97=TRUE,1,0)</f>
        <v>1</v>
      </c>
      <c r="DP72" s="556"/>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row>
    <row r="73" spans="1:256" s="319" customFormat="1" ht="13.2">
      <c r="A73" s="594" t="s">
        <v>589</v>
      </c>
      <c r="B73" s="481"/>
      <c r="C73" s="594">
        <f>IF($C$10&lt;'Modelo Energético '!R98,0,1)</f>
        <v>1</v>
      </c>
      <c r="D73" s="637"/>
      <c r="E73" s="576">
        <f t="shared" si="12"/>
        <v>0</v>
      </c>
      <c r="F73" s="353">
        <f t="shared" si="17"/>
        <v>0</v>
      </c>
      <c r="G73" s="471">
        <f t="shared" si="18"/>
        <v>0</v>
      </c>
      <c r="H73" s="599">
        <f t="shared" si="42"/>
        <v>0</v>
      </c>
      <c r="I73" s="600">
        <f t="shared" si="42"/>
        <v>0</v>
      </c>
      <c r="J73" s="600">
        <f t="shared" si="42"/>
        <v>0</v>
      </c>
      <c r="K73" s="601">
        <f t="shared" si="42"/>
        <v>0</v>
      </c>
      <c r="L73" s="585"/>
      <c r="M73" s="586"/>
      <c r="N73" s="585"/>
      <c r="O73" s="586"/>
      <c r="P73" s="639">
        <v>0</v>
      </c>
      <c r="Q73" s="639">
        <v>0</v>
      </c>
      <c r="V73" s="595"/>
      <c r="W73" s="596"/>
      <c r="Z73" s="309"/>
      <c r="AD73" s="587"/>
      <c r="AQ73" s="587"/>
      <c r="AU73" s="598"/>
      <c r="AY73" s="587"/>
      <c r="BH73" s="458">
        <f>(BI73-BK73)*$N$3</f>
        <v>0</v>
      </c>
      <c r="BI73" s="600">
        <f t="shared" si="43"/>
        <v>0</v>
      </c>
      <c r="BJ73" s="600">
        <f t="shared" si="43"/>
        <v>0</v>
      </c>
      <c r="BK73" s="598">
        <f t="shared" si="39"/>
        <v>0</v>
      </c>
      <c r="BL73" s="555" t="s">
        <v>1129</v>
      </c>
      <c r="BM73" s="555" t="s">
        <v>1129</v>
      </c>
      <c r="BN73" s="600">
        <f>BI73*IF(BL73=$BL$23,$BJ$22/12,0)</f>
        <v>0</v>
      </c>
      <c r="BO73" s="600">
        <f>BK73*IF(BL73=$BL$23,$BJ$22/12,0)</f>
        <v>0</v>
      </c>
      <c r="BP73" s="600">
        <f>BI73*IF(BM73=$BL$23,$BJ$23/12,0)</f>
        <v>0</v>
      </c>
      <c r="BQ73" s="600">
        <f>BK73*IF(BM73=$BL$23,$BJ$23/12,0)</f>
        <v>0</v>
      </c>
      <c r="BR73" s="405">
        <v>0</v>
      </c>
      <c r="BS73" s="405">
        <v>0</v>
      </c>
      <c r="BT73" s="476"/>
      <c r="BU73" s="405">
        <v>0</v>
      </c>
      <c r="BX73" s="319">
        <f>IF('Modelo Energético '!$Q98=TRUE,1,0)</f>
        <v>1</v>
      </c>
      <c r="DP73" s="556"/>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row>
    <row r="74" spans="1:256" s="319" customFormat="1" ht="13.2">
      <c r="A74" s="594" t="s">
        <v>4222</v>
      </c>
      <c r="B74" s="481"/>
      <c r="C74" s="594">
        <f>IF($C$10&lt;'Modelo Energético '!R99,0,1)</f>
        <v>1</v>
      </c>
      <c r="D74" s="637"/>
      <c r="E74" s="576">
        <f t="shared" si="12"/>
        <v>0</v>
      </c>
      <c r="F74" s="353">
        <f t="shared" si="17"/>
        <v>0</v>
      </c>
      <c r="G74" s="471">
        <f t="shared" si="18"/>
        <v>0</v>
      </c>
      <c r="H74" s="599">
        <f t="shared" si="42"/>
        <v>0</v>
      </c>
      <c r="I74" s="600">
        <f t="shared" si="42"/>
        <v>0</v>
      </c>
      <c r="J74" s="600">
        <f t="shared" si="42"/>
        <v>0</v>
      </c>
      <c r="K74" s="601">
        <f t="shared" si="42"/>
        <v>0</v>
      </c>
      <c r="L74" s="585"/>
      <c r="M74" s="586"/>
      <c r="N74" s="585"/>
      <c r="O74" s="586"/>
      <c r="P74" s="639">
        <v>0</v>
      </c>
      <c r="Q74" s="639">
        <v>0</v>
      </c>
      <c r="V74" s="595"/>
      <c r="W74" s="596"/>
      <c r="Z74" s="309"/>
      <c r="AD74" s="587"/>
      <c r="AQ74" s="587"/>
      <c r="AU74" s="598"/>
      <c r="AY74" s="587"/>
      <c r="BH74" s="458">
        <f>(BI74-BK74)*$N$3</f>
        <v>0</v>
      </c>
      <c r="BI74" s="600">
        <f t="shared" si="43"/>
        <v>0</v>
      </c>
      <c r="BJ74" s="600">
        <f t="shared" si="43"/>
        <v>0</v>
      </c>
      <c r="BK74" s="598">
        <f t="shared" si="39"/>
        <v>0</v>
      </c>
      <c r="BL74" s="555" t="s">
        <v>1129</v>
      </c>
      <c r="BM74" s="555" t="s">
        <v>1129</v>
      </c>
      <c r="BN74" s="600">
        <f>BI74*IF(BL74=$BL$23,$BJ$22/12,0)</f>
        <v>0</v>
      </c>
      <c r="BO74" s="600">
        <f>BK74*IF(BL74=$BL$23,$BJ$22/12,0)</f>
        <v>0</v>
      </c>
      <c r="BP74" s="600">
        <f>BI74*IF(BM74=$BL$23,$BJ$23/12,0)</f>
        <v>0</v>
      </c>
      <c r="BQ74" s="600">
        <f>BK74*IF(BM74=$BL$23,$BJ$23/12,0)</f>
        <v>0</v>
      </c>
      <c r="BR74" s="405">
        <v>0</v>
      </c>
      <c r="BS74" s="405">
        <v>0</v>
      </c>
      <c r="BT74" s="476"/>
      <c r="BU74" s="405">
        <v>0</v>
      </c>
      <c r="BX74" s="319">
        <f>IF('Modelo Energético '!$Q99=TRUE,1,0)</f>
        <v>1</v>
      </c>
      <c r="DP74" s="556"/>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row>
    <row r="75" spans="1:256" s="319" customFormat="1" ht="37.5" customHeight="1">
      <c r="A75" s="594"/>
      <c r="B75" s="481"/>
      <c r="C75" s="594"/>
      <c r="E75" s="576"/>
      <c r="F75" s="353"/>
      <c r="G75" s="471"/>
      <c r="H75" s="599"/>
      <c r="I75" s="600"/>
      <c r="J75" s="600"/>
      <c r="K75" s="601"/>
      <c r="L75" s="585"/>
      <c r="M75" s="586"/>
      <c r="N75" s="585"/>
      <c r="O75" s="586"/>
      <c r="P75" s="603" t="s">
        <v>1134</v>
      </c>
      <c r="Q75" s="603" t="s">
        <v>1135</v>
      </c>
      <c r="V75" s="595"/>
      <c r="W75" s="596"/>
      <c r="Z75" s="309"/>
      <c r="AB75" s="603"/>
      <c r="AC75" s="603"/>
      <c r="AD75" s="604"/>
      <c r="AE75" s="603"/>
      <c r="AF75" s="603"/>
      <c r="AG75" s="603"/>
      <c r="AH75" s="603"/>
      <c r="AI75" s="603"/>
      <c r="AJ75" s="603"/>
      <c r="AK75" s="603"/>
      <c r="AL75" s="603"/>
      <c r="AQ75" s="587"/>
      <c r="AU75" s="598"/>
      <c r="AY75" s="587"/>
      <c r="BI75" s="600"/>
      <c r="BJ75" s="600"/>
      <c r="BK75" s="598"/>
      <c r="BL75" s="590" t="s">
        <v>1305</v>
      </c>
      <c r="BM75" s="590" t="s">
        <v>5061</v>
      </c>
      <c r="BR75" s="603" t="s">
        <v>4174</v>
      </c>
      <c r="BS75" s="603" t="s">
        <v>4202</v>
      </c>
      <c r="BT75" s="476"/>
      <c r="BU75" s="393" t="s">
        <v>4203</v>
      </c>
      <c r="DP75" s="556"/>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row>
    <row r="76" spans="1:256" s="319" customFormat="1" ht="13.2">
      <c r="A76" s="594" t="s">
        <v>5712</v>
      </c>
      <c r="B76" s="481"/>
      <c r="C76" s="594">
        <f>IF($C$10&lt;'Modelo Energético '!R101,0,1)</f>
        <v>1</v>
      </c>
      <c r="D76" s="637"/>
      <c r="E76" s="576">
        <f t="shared" si="12"/>
        <v>0</v>
      </c>
      <c r="F76" s="353">
        <f t="shared" si="17"/>
        <v>0</v>
      </c>
      <c r="G76" s="471">
        <f t="shared" si="18"/>
        <v>0</v>
      </c>
      <c r="H76" s="599">
        <f t="shared" ref="H76:K80" si="44">BN76</f>
        <v>0</v>
      </c>
      <c r="I76" s="600">
        <f t="shared" si="44"/>
        <v>0</v>
      </c>
      <c r="J76" s="600">
        <f t="shared" si="44"/>
        <v>0</v>
      </c>
      <c r="K76" s="601">
        <f t="shared" si="44"/>
        <v>0</v>
      </c>
      <c r="L76" s="585"/>
      <c r="M76" s="586"/>
      <c r="N76" s="585"/>
      <c r="O76" s="586"/>
      <c r="P76" s="639">
        <v>0</v>
      </c>
      <c r="Q76" s="639">
        <v>0</v>
      </c>
      <c r="V76" s="595"/>
      <c r="W76" s="596"/>
      <c r="Z76" s="309"/>
      <c r="AD76" s="587"/>
      <c r="AQ76" s="587"/>
      <c r="AU76" s="598"/>
      <c r="AY76" s="587"/>
      <c r="BH76" s="458">
        <f>(BI76-BK76)*$N$3</f>
        <v>0</v>
      </c>
      <c r="BI76" s="600">
        <f t="shared" ref="BI76:BJ80" si="45">BR76*$C76</f>
        <v>0</v>
      </c>
      <c r="BJ76" s="600">
        <f t="shared" si="45"/>
        <v>0</v>
      </c>
      <c r="BK76" s="598">
        <f t="shared" si="39"/>
        <v>0</v>
      </c>
      <c r="BL76" s="555" t="s">
        <v>1129</v>
      </c>
      <c r="BM76" s="555" t="s">
        <v>1129</v>
      </c>
      <c r="BN76" s="600">
        <f>BI76*IF(BL76=$BL$23,$BJ$22/12,0)</f>
        <v>0</v>
      </c>
      <c r="BO76" s="600">
        <f>BK76*IF(BL76=$BL$23,$BJ$22/12,0)</f>
        <v>0</v>
      </c>
      <c r="BP76" s="600">
        <f>BI76*IF(BM76=$BL$23,$BJ$23/12,0)</f>
        <v>0</v>
      </c>
      <c r="BQ76" s="600">
        <f>BK76*IF(BM76=$BL$23,$BJ$23/12,0)</f>
        <v>0</v>
      </c>
      <c r="BR76" s="405">
        <v>0</v>
      </c>
      <c r="BS76" s="405">
        <v>0</v>
      </c>
      <c r="BT76" s="476"/>
      <c r="BU76" s="405">
        <v>0</v>
      </c>
      <c r="BX76" s="319">
        <f>IF('Modelo Energético '!$Q101=TRUE,1,0)</f>
        <v>1</v>
      </c>
      <c r="DP76" s="55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row>
    <row r="77" spans="1:256" s="319" customFormat="1" ht="13.2">
      <c r="A77" s="594" t="s">
        <v>5972</v>
      </c>
      <c r="B77" s="481"/>
      <c r="C77" s="594">
        <f>IF($C$10&lt;'Modelo Energético '!R102,0,1)</f>
        <v>1</v>
      </c>
      <c r="D77" s="637"/>
      <c r="E77" s="576">
        <f t="shared" si="12"/>
        <v>0</v>
      </c>
      <c r="F77" s="353">
        <f t="shared" si="17"/>
        <v>0</v>
      </c>
      <c r="G77" s="471">
        <f t="shared" si="18"/>
        <v>0</v>
      </c>
      <c r="H77" s="599">
        <f t="shared" si="44"/>
        <v>0</v>
      </c>
      <c r="I77" s="600">
        <f t="shared" si="44"/>
        <v>0</v>
      </c>
      <c r="J77" s="600">
        <f t="shared" si="44"/>
        <v>0</v>
      </c>
      <c r="K77" s="601">
        <f t="shared" si="44"/>
        <v>0</v>
      </c>
      <c r="L77" s="585"/>
      <c r="M77" s="586"/>
      <c r="N77" s="585"/>
      <c r="O77" s="586"/>
      <c r="P77" s="639">
        <v>0</v>
      </c>
      <c r="Q77" s="639">
        <v>0</v>
      </c>
      <c r="V77" s="595"/>
      <c r="W77" s="596"/>
      <c r="Z77" s="309"/>
      <c r="AD77" s="587"/>
      <c r="AQ77" s="587"/>
      <c r="AU77" s="598"/>
      <c r="AY77" s="587"/>
      <c r="BH77" s="458">
        <f>(BI77-BK77)*$N$3</f>
        <v>0</v>
      </c>
      <c r="BI77" s="600">
        <f t="shared" si="45"/>
        <v>0</v>
      </c>
      <c r="BJ77" s="600">
        <f t="shared" si="45"/>
        <v>0</v>
      </c>
      <c r="BK77" s="598">
        <f t="shared" si="39"/>
        <v>0</v>
      </c>
      <c r="BL77" s="555" t="s">
        <v>1129</v>
      </c>
      <c r="BM77" s="555" t="s">
        <v>1129</v>
      </c>
      <c r="BN77" s="600">
        <f>BI77*IF(BL77=$BL$23,$BJ$22/12,0)</f>
        <v>0</v>
      </c>
      <c r="BO77" s="600">
        <f>BK77*IF(BL77=$BL$23,$BJ$22/12,0)</f>
        <v>0</v>
      </c>
      <c r="BP77" s="600">
        <f>BI77*IF(BM77=$BL$23,$BJ$23/12,0)</f>
        <v>0</v>
      </c>
      <c r="BQ77" s="600">
        <f>BK77*IF(BM77=$BL$23,$BJ$23/12,0)</f>
        <v>0</v>
      </c>
      <c r="BR77" s="405">
        <v>0</v>
      </c>
      <c r="BS77" s="405">
        <v>0</v>
      </c>
      <c r="BT77" s="476"/>
      <c r="BU77" s="405">
        <v>0</v>
      </c>
      <c r="BX77" s="319">
        <f>IF('Modelo Energético '!$Q102=TRUE,1,0)</f>
        <v>1</v>
      </c>
      <c r="DP77" s="556"/>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row>
    <row r="78" spans="1:256" s="319" customFormat="1" ht="13.2">
      <c r="A78" s="594" t="s">
        <v>1869</v>
      </c>
      <c r="B78" s="481"/>
      <c r="C78" s="594">
        <f>IF($C$10&lt;'Modelo Energético '!R103,0,1)</f>
        <v>1</v>
      </c>
      <c r="D78" s="637"/>
      <c r="E78" s="576">
        <f t="shared" si="12"/>
        <v>0</v>
      </c>
      <c r="F78" s="353">
        <f t="shared" si="17"/>
        <v>0</v>
      </c>
      <c r="G78" s="471">
        <f t="shared" si="18"/>
        <v>0</v>
      </c>
      <c r="H78" s="599">
        <f t="shared" si="44"/>
        <v>0</v>
      </c>
      <c r="I78" s="600">
        <f t="shared" si="44"/>
        <v>0</v>
      </c>
      <c r="J78" s="600">
        <f t="shared" si="44"/>
        <v>0</v>
      </c>
      <c r="K78" s="601">
        <f t="shared" si="44"/>
        <v>0</v>
      </c>
      <c r="L78" s="585"/>
      <c r="M78" s="586"/>
      <c r="N78" s="585"/>
      <c r="O78" s="586"/>
      <c r="P78" s="639">
        <v>0</v>
      </c>
      <c r="Q78" s="639">
        <v>0</v>
      </c>
      <c r="V78" s="595"/>
      <c r="W78" s="596"/>
      <c r="Z78" s="309"/>
      <c r="AD78" s="587"/>
      <c r="AQ78" s="587"/>
      <c r="AU78" s="598"/>
      <c r="AY78" s="587"/>
      <c r="BH78" s="458">
        <f>(BI78-BK78)*$N$3</f>
        <v>0</v>
      </c>
      <c r="BI78" s="600">
        <f t="shared" si="45"/>
        <v>0</v>
      </c>
      <c r="BJ78" s="600">
        <f t="shared" si="45"/>
        <v>0</v>
      </c>
      <c r="BK78" s="598">
        <f t="shared" si="39"/>
        <v>0</v>
      </c>
      <c r="BL78" s="555" t="s">
        <v>1129</v>
      </c>
      <c r="BM78" s="555" t="s">
        <v>1129</v>
      </c>
      <c r="BN78" s="600">
        <f>BI78*IF(BL78=$BL$23,$BJ$22/12,0)</f>
        <v>0</v>
      </c>
      <c r="BO78" s="600">
        <f>BK78*IF(BL78=$BL$23,$BJ$22/12,0)</f>
        <v>0</v>
      </c>
      <c r="BP78" s="600">
        <f>BI78*IF(BM78=$BL$23,$BJ$23/12,0)</f>
        <v>0</v>
      </c>
      <c r="BQ78" s="600">
        <f>BK78*IF(BM78=$BL$23,$BJ$23/12,0)</f>
        <v>0</v>
      </c>
      <c r="BR78" s="405">
        <v>0</v>
      </c>
      <c r="BS78" s="405">
        <v>0</v>
      </c>
      <c r="BT78" s="476"/>
      <c r="BU78" s="405">
        <v>0</v>
      </c>
      <c r="BX78" s="319">
        <f>IF('Modelo Energético '!$Q103=TRUE,1,0)</f>
        <v>1</v>
      </c>
      <c r="DP78" s="556"/>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row>
    <row r="79" spans="1:256" s="319" customFormat="1" ht="13.2">
      <c r="A79" s="594" t="s">
        <v>4944</v>
      </c>
      <c r="B79" s="481"/>
      <c r="C79" s="594">
        <f>IF($C$10&lt;'Modelo Energético '!R104,0,1)</f>
        <v>1</v>
      </c>
      <c r="D79" s="637"/>
      <c r="E79" s="576">
        <f t="shared" si="12"/>
        <v>0</v>
      </c>
      <c r="F79" s="353">
        <f t="shared" si="17"/>
        <v>0</v>
      </c>
      <c r="G79" s="471">
        <f t="shared" si="18"/>
        <v>0</v>
      </c>
      <c r="H79" s="599">
        <f t="shared" si="44"/>
        <v>0</v>
      </c>
      <c r="I79" s="600">
        <f t="shared" si="44"/>
        <v>0</v>
      </c>
      <c r="J79" s="600">
        <f t="shared" si="44"/>
        <v>0</v>
      </c>
      <c r="K79" s="601">
        <f t="shared" si="44"/>
        <v>0</v>
      </c>
      <c r="L79" s="585"/>
      <c r="M79" s="586"/>
      <c r="N79" s="585"/>
      <c r="O79" s="586"/>
      <c r="P79" s="639">
        <v>0</v>
      </c>
      <c r="Q79" s="639">
        <v>0</v>
      </c>
      <c r="V79" s="595"/>
      <c r="W79" s="596"/>
      <c r="Z79" s="309"/>
      <c r="AD79" s="587"/>
      <c r="AQ79" s="587"/>
      <c r="AU79" s="598"/>
      <c r="AY79" s="587"/>
      <c r="BH79" s="458">
        <f>(BI79-BK79)*$N$3</f>
        <v>0</v>
      </c>
      <c r="BI79" s="600">
        <f t="shared" si="45"/>
        <v>0</v>
      </c>
      <c r="BJ79" s="600">
        <f t="shared" si="45"/>
        <v>0</v>
      </c>
      <c r="BK79" s="598">
        <f t="shared" si="39"/>
        <v>0</v>
      </c>
      <c r="BL79" s="555" t="s">
        <v>1129</v>
      </c>
      <c r="BM79" s="555" t="s">
        <v>1129</v>
      </c>
      <c r="BN79" s="600">
        <f>BI79*IF(BL79=$BL$23,$BJ$22/12,0)</f>
        <v>0</v>
      </c>
      <c r="BO79" s="600">
        <f>BK79*IF(BL79=$BL$23,$BJ$22/12,0)</f>
        <v>0</v>
      </c>
      <c r="BP79" s="600">
        <f>BI79*IF(BM79=$BL$23,$BJ$23/12,0)</f>
        <v>0</v>
      </c>
      <c r="BQ79" s="600">
        <f>BK79*IF(BM79=$BL$23,$BJ$23/12,0)</f>
        <v>0</v>
      </c>
      <c r="BR79" s="405">
        <v>0</v>
      </c>
      <c r="BS79" s="405">
        <v>0</v>
      </c>
      <c r="BT79" s="476"/>
      <c r="BU79" s="405">
        <v>0</v>
      </c>
      <c r="BX79" s="319">
        <f>IF('Modelo Energético '!$Q104=TRUE,1,0)</f>
        <v>1</v>
      </c>
      <c r="DP79" s="556"/>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row>
    <row r="80" spans="1:256" s="319" customFormat="1" ht="13.2">
      <c r="A80" s="594" t="s">
        <v>4261</v>
      </c>
      <c r="B80" s="481"/>
      <c r="C80" s="594">
        <f>IF($C$10&lt;'Modelo Energético '!R105,0,1)</f>
        <v>1</v>
      </c>
      <c r="D80" s="637"/>
      <c r="E80" s="576">
        <f t="shared" si="12"/>
        <v>0</v>
      </c>
      <c r="F80" s="353">
        <f t="shared" si="17"/>
        <v>0</v>
      </c>
      <c r="G80" s="471">
        <f t="shared" si="18"/>
        <v>0</v>
      </c>
      <c r="H80" s="599">
        <f t="shared" si="44"/>
        <v>0</v>
      </c>
      <c r="I80" s="600">
        <f t="shared" si="44"/>
        <v>0</v>
      </c>
      <c r="J80" s="600">
        <f t="shared" si="44"/>
        <v>0</v>
      </c>
      <c r="K80" s="601">
        <f t="shared" si="44"/>
        <v>0</v>
      </c>
      <c r="L80" s="585"/>
      <c r="M80" s="586"/>
      <c r="N80" s="585"/>
      <c r="O80" s="586"/>
      <c r="P80" s="639">
        <v>0</v>
      </c>
      <c r="Q80" s="639">
        <v>0</v>
      </c>
      <c r="V80" s="595"/>
      <c r="W80" s="596"/>
      <c r="Z80" s="309"/>
      <c r="AD80" s="587"/>
      <c r="AQ80" s="587"/>
      <c r="AU80" s="598"/>
      <c r="AY80" s="587"/>
      <c r="BH80" s="458">
        <f>(BI80-BK80)*$N$3</f>
        <v>0</v>
      </c>
      <c r="BI80" s="600">
        <f t="shared" si="45"/>
        <v>0</v>
      </c>
      <c r="BJ80" s="600">
        <f t="shared" si="45"/>
        <v>0</v>
      </c>
      <c r="BK80" s="598">
        <f t="shared" si="39"/>
        <v>0</v>
      </c>
      <c r="BL80" s="555" t="s">
        <v>1129</v>
      </c>
      <c r="BM80" s="555" t="s">
        <v>1129</v>
      </c>
      <c r="BN80" s="600">
        <f>BI80*IF(BL80=$BL$23,$BJ$22/12,0)</f>
        <v>0</v>
      </c>
      <c r="BO80" s="600">
        <f>BK80*IF(BL80=$BL$23,$BJ$22/12,0)</f>
        <v>0</v>
      </c>
      <c r="BP80" s="600">
        <f>BI80*IF(BM80=$BL$23,$BJ$23/12,0)</f>
        <v>0</v>
      </c>
      <c r="BQ80" s="600">
        <f>BK80*IF(BM80=$BL$23,$BJ$23/12,0)</f>
        <v>0</v>
      </c>
      <c r="BR80" s="405">
        <v>0</v>
      </c>
      <c r="BS80" s="405">
        <v>0</v>
      </c>
      <c r="BT80" s="476"/>
      <c r="BU80" s="405">
        <v>0</v>
      </c>
      <c r="BX80" s="319">
        <f>IF('Modelo Energético '!$Q105=TRUE,1,0)</f>
        <v>1</v>
      </c>
      <c r="DP80" s="556"/>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row>
    <row r="81" spans="1:256" s="319" customFormat="1" ht="39.6">
      <c r="A81" s="594"/>
      <c r="B81" s="481"/>
      <c r="C81" s="594"/>
      <c r="E81" s="576"/>
      <c r="F81" s="353"/>
      <c r="G81" s="471"/>
      <c r="H81" s="599"/>
      <c r="I81" s="600"/>
      <c r="J81" s="600"/>
      <c r="K81" s="601"/>
      <c r="L81" s="585"/>
      <c r="M81" s="586"/>
      <c r="N81" s="585"/>
      <c r="O81" s="586"/>
      <c r="P81" s="603" t="s">
        <v>1134</v>
      </c>
      <c r="Q81" s="603" t="s">
        <v>1135</v>
      </c>
      <c r="R81" s="603" t="s">
        <v>2728</v>
      </c>
      <c r="S81" s="603"/>
      <c r="T81" s="603"/>
      <c r="U81" s="603" t="s">
        <v>3651</v>
      </c>
      <c r="V81" s="595"/>
      <c r="W81" s="596"/>
      <c r="X81" s="603"/>
      <c r="Y81" s="603" t="s">
        <v>2494</v>
      </c>
      <c r="Z81" s="309"/>
      <c r="AA81" s="603"/>
      <c r="AB81" s="603"/>
      <c r="AC81" s="603" t="s">
        <v>572</v>
      </c>
      <c r="AD81" s="604"/>
      <c r="AE81" s="603"/>
      <c r="AF81" s="603"/>
      <c r="AG81" s="603"/>
      <c r="AH81" s="603"/>
      <c r="AI81" s="603"/>
      <c r="AJ81" s="603"/>
      <c r="AK81" s="603"/>
      <c r="AL81" s="603"/>
      <c r="AM81" s="603"/>
      <c r="AN81" s="603"/>
      <c r="AQ81" s="587"/>
      <c r="AU81" s="598"/>
      <c r="AY81" s="604"/>
      <c r="AZ81" s="603"/>
      <c r="BA81" s="603"/>
      <c r="BB81" s="603"/>
      <c r="BC81" s="603"/>
      <c r="BD81" s="603"/>
      <c r="BI81" s="600"/>
      <c r="BJ81" s="600"/>
      <c r="BT81" s="476"/>
      <c r="BU81" s="393" t="s">
        <v>4203</v>
      </c>
      <c r="DP81" s="556"/>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row>
    <row r="82" spans="1:256" s="319" customFormat="1" ht="13.2">
      <c r="A82" s="594" t="s">
        <v>4248</v>
      </c>
      <c r="B82" s="481"/>
      <c r="C82" s="594">
        <f>IF($C$10&lt;'Modelo Energético '!R107,0,1)</f>
        <v>1</v>
      </c>
      <c r="D82" s="637"/>
      <c r="E82" s="576">
        <f t="shared" si="12"/>
        <v>0</v>
      </c>
      <c r="F82" s="353">
        <f t="shared" si="17"/>
        <v>0</v>
      </c>
      <c r="G82" s="471">
        <f t="shared" si="18"/>
        <v>0</v>
      </c>
      <c r="H82" s="599"/>
      <c r="I82" s="600"/>
      <c r="J82" s="600"/>
      <c r="K82" s="601"/>
      <c r="L82" s="585"/>
      <c r="M82" s="586"/>
      <c r="N82" s="585"/>
      <c r="O82" s="586"/>
      <c r="P82" s="639">
        <v>0</v>
      </c>
      <c r="Q82" s="639">
        <v>0</v>
      </c>
      <c r="R82" s="641">
        <v>0</v>
      </c>
      <c r="S82" s="309"/>
      <c r="T82" s="309">
        <f>(R82-S82)*C82</f>
        <v>0</v>
      </c>
      <c r="U82" s="555">
        <v>0</v>
      </c>
      <c r="V82" s="595">
        <f>VLOOKUP(U82,$R$16:$X$20,2,FALSE)</f>
        <v>0</v>
      </c>
      <c r="W82" s="596">
        <f>VLOOKUP(U82,$R$16:$X$20,3,FALSE)</f>
        <v>0</v>
      </c>
      <c r="X82" s="597">
        <f>IF(W82=0,0,T82/W82)</f>
        <v>0</v>
      </c>
      <c r="Y82" s="639">
        <v>0</v>
      </c>
      <c r="Z82" s="309">
        <f>IF(BX82=1,Y82,R82)*C82</f>
        <v>0</v>
      </c>
      <c r="AA82" s="309"/>
      <c r="AB82" s="309">
        <f>Z82-AA82</f>
        <v>0</v>
      </c>
      <c r="AC82" s="555">
        <v>0</v>
      </c>
      <c r="AD82" s="595">
        <f t="shared" ref="AD82:AD104" si="46">VLOOKUP(BV82,$R$16:$X$20,5,FALSE)</f>
        <v>0</v>
      </c>
      <c r="AE82" s="596">
        <f t="shared" ref="AE82:AE104" si="47">VLOOKUP(BV82,$R$16:$X$20,7,FALSE)</f>
        <v>0</v>
      </c>
      <c r="AF82" s="597">
        <f>IF(AE82=0,0,AB82/AE82)</f>
        <v>0</v>
      </c>
      <c r="AG82" s="458">
        <f>IF(AE82=0,0,(T82-AB82)/AE82)</f>
        <v>0</v>
      </c>
      <c r="AH82" s="458">
        <f>X82-AF82-AG82</f>
        <v>0</v>
      </c>
      <c r="AI82" s="458">
        <f>VLOOKUP(V82,$H$3:$N$8,7,FALSE)</f>
        <v>0</v>
      </c>
      <c r="AJ82" s="458">
        <f>VLOOKUP(AD82,$H$3:$N$8,7,FALSE)</f>
        <v>0</v>
      </c>
      <c r="AK82" s="458">
        <f>IF(AND(AG82=0,AH82=0),0,(X82*AI82-AF82*AJ82)/IF(AG82+AH82=0,ABS(AG82)*2,AG82+AH82)*AG82)</f>
        <v>0</v>
      </c>
      <c r="AL82" s="458">
        <f>IF(AND(AG82=0,AH82=0),0,(X82*AI82-AF82*AJ82)/IF(AG82+AH82=0,ABS(AG82)*2,AG82+AH82)*AH82)</f>
        <v>0</v>
      </c>
      <c r="AQ82" s="587"/>
      <c r="AU82" s="598"/>
      <c r="AY82" s="587"/>
      <c r="BI82" s="600"/>
      <c r="BJ82" s="600"/>
      <c r="BT82" s="476"/>
      <c r="BU82" s="405">
        <v>0</v>
      </c>
      <c r="BV82" s="319">
        <f t="shared" ref="BV82:BV104" si="48">IF(BX82=1,AC82,U82)</f>
        <v>0</v>
      </c>
      <c r="BX82" s="319">
        <f>IF('Modelo Energético '!$Q107=TRUE,1,0)</f>
        <v>1</v>
      </c>
      <c r="DP82" s="556"/>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row>
    <row r="83" spans="1:256" s="319" customFormat="1" ht="13.2">
      <c r="A83" s="594" t="s">
        <v>1069</v>
      </c>
      <c r="B83" s="481"/>
      <c r="C83" s="594">
        <f>IF($C$10&lt;'Modelo Energético '!R108,0,1)</f>
        <v>1</v>
      </c>
      <c r="D83" s="637"/>
      <c r="E83" s="576">
        <f t="shared" si="12"/>
        <v>0</v>
      </c>
      <c r="F83" s="353">
        <f t="shared" si="17"/>
        <v>0</v>
      </c>
      <c r="G83" s="471">
        <f t="shared" si="18"/>
        <v>0</v>
      </c>
      <c r="H83" s="599"/>
      <c r="I83" s="600"/>
      <c r="J83" s="600"/>
      <c r="K83" s="601"/>
      <c r="L83" s="585"/>
      <c r="M83" s="586"/>
      <c r="N83" s="585"/>
      <c r="O83" s="586"/>
      <c r="P83" s="639">
        <v>0</v>
      </c>
      <c r="Q83" s="639">
        <v>0</v>
      </c>
      <c r="R83" s="641">
        <v>0</v>
      </c>
      <c r="S83" s="309"/>
      <c r="T83" s="309">
        <f>(R83-S83)*C83</f>
        <v>0</v>
      </c>
      <c r="U83" s="555">
        <v>0</v>
      </c>
      <c r="V83" s="595">
        <f>VLOOKUP(U83,$R$16:$X$20,2,FALSE)</f>
        <v>0</v>
      </c>
      <c r="W83" s="596">
        <f>VLOOKUP(U83,$R$16:$X$20,3,FALSE)</f>
        <v>0</v>
      </c>
      <c r="X83" s="597">
        <f>IF(W83=0,0,T83/W83)</f>
        <v>0</v>
      </c>
      <c r="Y83" s="639">
        <v>0</v>
      </c>
      <c r="Z83" s="309">
        <f>IF(BX83=1,Y83,R83)*C83</f>
        <v>0</v>
      </c>
      <c r="AA83" s="309"/>
      <c r="AB83" s="309">
        <f>Z83-AA83</f>
        <v>0</v>
      </c>
      <c r="AC83" s="555">
        <v>0</v>
      </c>
      <c r="AD83" s="595">
        <f t="shared" si="46"/>
        <v>0</v>
      </c>
      <c r="AE83" s="596">
        <f t="shared" si="47"/>
        <v>0</v>
      </c>
      <c r="AF83" s="597">
        <f>IF(AE83=0,0,AB83/AE83)</f>
        <v>0</v>
      </c>
      <c r="AG83" s="458">
        <f>IF(AE83=0,0,(T83-AB83)/AE83)</f>
        <v>0</v>
      </c>
      <c r="AH83" s="458">
        <f>X83-AF83-AG83</f>
        <v>0</v>
      </c>
      <c r="AI83" s="458">
        <f>VLOOKUP(V83,$H$3:$N$8,7,FALSE)</f>
        <v>0</v>
      </c>
      <c r="AJ83" s="458">
        <f>VLOOKUP(AD83,$H$3:$N$8,7,FALSE)</f>
        <v>0</v>
      </c>
      <c r="AK83" s="458">
        <f>IF(AND(AG83=0,AH83=0),0,(X83*AI83-AF83*AJ83)/IF(AG83+AH83=0,ABS(AG83)*2,AG83+AH83)*AG83)</f>
        <v>0</v>
      </c>
      <c r="AL83" s="458">
        <f>IF(AND(AG83=0,AH83=0),0,(X83*AI83-AF83*AJ83)/IF(AG83+AH83=0,ABS(AG83)*2,AG83+AH83)*AH83)</f>
        <v>0</v>
      </c>
      <c r="AQ83" s="587"/>
      <c r="AU83" s="598"/>
      <c r="AY83" s="587"/>
      <c r="BI83" s="600"/>
      <c r="BJ83" s="600"/>
      <c r="BT83" s="476"/>
      <c r="BU83" s="405">
        <v>0</v>
      </c>
      <c r="BV83" s="319">
        <f t="shared" si="48"/>
        <v>0</v>
      </c>
      <c r="BX83" s="319">
        <f>IF('Modelo Energético '!$Q108=TRUE,1,0)</f>
        <v>1</v>
      </c>
      <c r="DP83" s="556"/>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row>
    <row r="84" spans="1:256" s="319" customFormat="1" ht="13.2">
      <c r="A84" s="594" t="s">
        <v>4847</v>
      </c>
      <c r="B84" s="481"/>
      <c r="C84" s="594">
        <f>IF($C$10&lt;'Modelo Energético '!R109,0,1)</f>
        <v>1</v>
      </c>
      <c r="D84" s="637"/>
      <c r="E84" s="576">
        <f t="shared" si="12"/>
        <v>0</v>
      </c>
      <c r="F84" s="353">
        <f t="shared" si="17"/>
        <v>0</v>
      </c>
      <c r="G84" s="471">
        <f t="shared" si="18"/>
        <v>0</v>
      </c>
      <c r="H84" s="599"/>
      <c r="I84" s="600"/>
      <c r="J84" s="600"/>
      <c r="K84" s="601"/>
      <c r="L84" s="585"/>
      <c r="M84" s="586"/>
      <c r="N84" s="585"/>
      <c r="O84" s="586"/>
      <c r="P84" s="639">
        <v>0</v>
      </c>
      <c r="Q84" s="639">
        <v>0</v>
      </c>
      <c r="R84" s="641">
        <v>0</v>
      </c>
      <c r="S84" s="309"/>
      <c r="T84" s="309">
        <f>(R84-S84)*C84</f>
        <v>0</v>
      </c>
      <c r="U84" s="555">
        <v>0</v>
      </c>
      <c r="V84" s="595">
        <f>VLOOKUP(U84,$R$16:$X$20,2,FALSE)</f>
        <v>0</v>
      </c>
      <c r="W84" s="596">
        <f>VLOOKUP(U84,$R$16:$X$20,3,FALSE)</f>
        <v>0</v>
      </c>
      <c r="X84" s="597">
        <f>IF(W84=0,0,T84/W84)</f>
        <v>0</v>
      </c>
      <c r="Y84" s="639">
        <v>0</v>
      </c>
      <c r="Z84" s="309">
        <f>IF(BX84=1,Y84,R84)*C84</f>
        <v>0</v>
      </c>
      <c r="AA84" s="309"/>
      <c r="AB84" s="309">
        <f>Z84-AA84</f>
        <v>0</v>
      </c>
      <c r="AC84" s="555">
        <v>0</v>
      </c>
      <c r="AD84" s="595">
        <f t="shared" si="46"/>
        <v>0</v>
      </c>
      <c r="AE84" s="596">
        <f t="shared" si="47"/>
        <v>0</v>
      </c>
      <c r="AF84" s="597">
        <f>IF(AE84=0,0,AB84/AE84)</f>
        <v>0</v>
      </c>
      <c r="AG84" s="458">
        <f>IF(AE84=0,0,(T84-AB84)/AE84)</f>
        <v>0</v>
      </c>
      <c r="AH84" s="458">
        <f>X84-AF84-AG84</f>
        <v>0</v>
      </c>
      <c r="AI84" s="458">
        <f>VLOOKUP(V84,$H$3:$N$8,7,FALSE)</f>
        <v>0</v>
      </c>
      <c r="AJ84" s="458">
        <f>VLOOKUP(AD84,$H$3:$N$8,7,FALSE)</f>
        <v>0</v>
      </c>
      <c r="AK84" s="458">
        <f>IF(AND(AG84=0,AH84=0),0,(X84*AI84-AF84*AJ84)/IF(AG84+AH84=0,ABS(AG84)*2,AG84+AH84)*AG84)</f>
        <v>0</v>
      </c>
      <c r="AL84" s="458">
        <f>IF(AND(AG84=0,AH84=0),0,(X84*AI84-AF84*AJ84)/IF(AG84+AH84=0,ABS(AG84)*2,AG84+AH84)*AH84)</f>
        <v>0</v>
      </c>
      <c r="AQ84" s="587"/>
      <c r="AU84" s="598"/>
      <c r="AY84" s="587"/>
      <c r="BI84" s="600"/>
      <c r="BJ84" s="600"/>
      <c r="BT84" s="476"/>
      <c r="BU84" s="405">
        <v>0</v>
      </c>
      <c r="BV84" s="319">
        <f t="shared" si="48"/>
        <v>0</v>
      </c>
      <c r="BX84" s="319">
        <f>IF('Modelo Energético '!$Q109=TRUE,1,0)</f>
        <v>1</v>
      </c>
      <c r="DP84" s="556"/>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row>
    <row r="85" spans="1:256" s="319" customFormat="1" ht="13.2">
      <c r="A85" s="594" t="s">
        <v>5847</v>
      </c>
      <c r="B85" s="481"/>
      <c r="C85" s="594">
        <f>IF($C$10&lt;'Modelo Energético '!R110,0,1)</f>
        <v>1</v>
      </c>
      <c r="D85" s="637"/>
      <c r="E85" s="576">
        <f t="shared" si="12"/>
        <v>0</v>
      </c>
      <c r="F85" s="353">
        <f t="shared" si="17"/>
        <v>0</v>
      </c>
      <c r="G85" s="471">
        <f t="shared" si="18"/>
        <v>0</v>
      </c>
      <c r="H85" s="599"/>
      <c r="I85" s="600"/>
      <c r="J85" s="600"/>
      <c r="K85" s="601"/>
      <c r="L85" s="585"/>
      <c r="M85" s="586"/>
      <c r="N85" s="585"/>
      <c r="O85" s="586"/>
      <c r="P85" s="639">
        <v>0</v>
      </c>
      <c r="Q85" s="639">
        <v>0</v>
      </c>
      <c r="R85" s="641">
        <v>0</v>
      </c>
      <c r="S85" s="309"/>
      <c r="T85" s="309">
        <f>(R85-S85)*C85</f>
        <v>0</v>
      </c>
      <c r="U85" s="555">
        <v>0</v>
      </c>
      <c r="V85" s="595">
        <f>VLOOKUP(U85,$R$16:$X$20,2,FALSE)</f>
        <v>0</v>
      </c>
      <c r="W85" s="596">
        <f>VLOOKUP(U85,$R$16:$X$20,3,FALSE)</f>
        <v>0</v>
      </c>
      <c r="X85" s="597">
        <f>IF(W85=0,0,T85/W85)</f>
        <v>0</v>
      </c>
      <c r="Y85" s="639">
        <v>0</v>
      </c>
      <c r="Z85" s="309">
        <f>IF(BX85=1,Y85,R85)*C85</f>
        <v>0</v>
      </c>
      <c r="AA85" s="309"/>
      <c r="AB85" s="309">
        <f>Z85-AA85</f>
        <v>0</v>
      </c>
      <c r="AC85" s="555">
        <v>0</v>
      </c>
      <c r="AD85" s="595">
        <f t="shared" si="46"/>
        <v>0</v>
      </c>
      <c r="AE85" s="596">
        <f t="shared" si="47"/>
        <v>0</v>
      </c>
      <c r="AF85" s="597">
        <f>IF(AE85=0,0,AB85/AE85)</f>
        <v>0</v>
      </c>
      <c r="AG85" s="458">
        <f>IF(AE85=0,0,(T85-AB85)/AE85)</f>
        <v>0</v>
      </c>
      <c r="AH85" s="458">
        <f>X85-AF85-AG85</f>
        <v>0</v>
      </c>
      <c r="AI85" s="458">
        <f>VLOOKUP(V85,$H$3:$N$8,7,FALSE)</f>
        <v>0</v>
      </c>
      <c r="AJ85" s="458">
        <f>VLOOKUP(AD85,$H$3:$N$8,7,FALSE)</f>
        <v>0</v>
      </c>
      <c r="AK85" s="458">
        <f>IF(AND(AG85=0,AH85=0),0,(X85*AI85-AF85*AJ85)/IF(AG85+AH85=0,ABS(AG85)*2,AG85+AH85)*AG85)</f>
        <v>0</v>
      </c>
      <c r="AL85" s="458">
        <f>IF(AND(AG85=0,AH85=0),0,(X85*AI85-AF85*AJ85)/IF(AG85+AH85=0,ABS(AG85)*2,AG85+AH85)*AH85)</f>
        <v>0</v>
      </c>
      <c r="AQ85" s="587"/>
      <c r="AU85" s="598"/>
      <c r="AY85" s="587"/>
      <c r="BI85" s="600"/>
      <c r="BJ85" s="600"/>
      <c r="BT85" s="476"/>
      <c r="BU85" s="405">
        <v>0</v>
      </c>
      <c r="BV85" s="319">
        <f t="shared" si="48"/>
        <v>0</v>
      </c>
      <c r="BX85" s="319">
        <f>IF('Modelo Energético '!$Q110=TRUE,1,0)</f>
        <v>1</v>
      </c>
      <c r="DP85" s="556"/>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row>
    <row r="86" spans="1:256" s="319" customFormat="1" ht="13.2">
      <c r="A86" s="594" t="s">
        <v>5857</v>
      </c>
      <c r="B86" s="481"/>
      <c r="C86" s="594">
        <f>IF($C$10&lt;'Modelo Energético '!R111,0,1)</f>
        <v>1</v>
      </c>
      <c r="D86" s="637"/>
      <c r="E86" s="576">
        <f t="shared" si="12"/>
        <v>0</v>
      </c>
      <c r="F86" s="353">
        <f t="shared" si="17"/>
        <v>0</v>
      </c>
      <c r="G86" s="471">
        <f t="shared" si="18"/>
        <v>0</v>
      </c>
      <c r="H86" s="599"/>
      <c r="I86" s="600"/>
      <c r="J86" s="600"/>
      <c r="K86" s="601"/>
      <c r="L86" s="585"/>
      <c r="M86" s="586"/>
      <c r="N86" s="585"/>
      <c r="O86" s="586"/>
      <c r="P86" s="639">
        <v>0</v>
      </c>
      <c r="Q86" s="639">
        <v>0</v>
      </c>
      <c r="R86" s="641">
        <v>0</v>
      </c>
      <c r="S86" s="309"/>
      <c r="T86" s="309">
        <f>(R86-S86)*C86</f>
        <v>0</v>
      </c>
      <c r="U86" s="555">
        <v>0</v>
      </c>
      <c r="V86" s="595">
        <f>VLOOKUP(U86,$R$16:$X$20,2,FALSE)</f>
        <v>0</v>
      </c>
      <c r="W86" s="596">
        <f>VLOOKUP(U86,$R$16:$X$20,3,FALSE)</f>
        <v>0</v>
      </c>
      <c r="X86" s="597">
        <f>IF(W86=0,0,T86/W86)</f>
        <v>0</v>
      </c>
      <c r="Y86" s="639">
        <v>0</v>
      </c>
      <c r="Z86" s="309">
        <f>IF(BX86=1,Y86,R86)*C86</f>
        <v>0</v>
      </c>
      <c r="AA86" s="309"/>
      <c r="AB86" s="309">
        <f>Z86-AA86</f>
        <v>0</v>
      </c>
      <c r="AC86" s="555">
        <v>0</v>
      </c>
      <c r="AD86" s="595">
        <f t="shared" si="46"/>
        <v>0</v>
      </c>
      <c r="AE86" s="596">
        <f t="shared" si="47"/>
        <v>0</v>
      </c>
      <c r="AF86" s="597">
        <f>IF(AE86=0,0,AB86/AE86)</f>
        <v>0</v>
      </c>
      <c r="AG86" s="458">
        <f>IF(AE86=0,0,(T86-AB86)/AE86)</f>
        <v>0</v>
      </c>
      <c r="AH86" s="458">
        <f>X86-AF86-AG86</f>
        <v>0</v>
      </c>
      <c r="AI86" s="458">
        <f>VLOOKUP(V86,$H$3:$N$8,7,FALSE)</f>
        <v>0</v>
      </c>
      <c r="AJ86" s="458">
        <f>VLOOKUP(AD86,$H$3:$N$8,7,FALSE)</f>
        <v>0</v>
      </c>
      <c r="AK86" s="458">
        <f>IF(AND(AG86=0,AH86=0),0,(X86*AI86-AF86*AJ86)/IF(AG86+AH86=0,ABS(AG86)*2,AG86+AH86)*AG86)</f>
        <v>0</v>
      </c>
      <c r="AL86" s="458">
        <f>IF(AND(AG86=0,AH86=0),0,(X86*AI86-AF86*AJ86)/IF(AG86+AH86=0,ABS(AG86)*2,AG86+AH86)*AH86)</f>
        <v>0</v>
      </c>
      <c r="AQ86" s="587"/>
      <c r="AU86" s="598"/>
      <c r="AY86" s="587"/>
      <c r="BI86" s="600"/>
      <c r="BJ86" s="600"/>
      <c r="BT86" s="476"/>
      <c r="BU86" s="405">
        <v>0</v>
      </c>
      <c r="BV86" s="319">
        <f t="shared" si="48"/>
        <v>0</v>
      </c>
      <c r="BX86" s="319">
        <f>IF('Modelo Energético '!$Q111=TRUE,1,0)</f>
        <v>1</v>
      </c>
      <c r="DP86" s="55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row>
    <row r="87" spans="1:256" s="319" customFormat="1" ht="39.6">
      <c r="A87" s="594"/>
      <c r="B87" s="481"/>
      <c r="C87" s="594"/>
      <c r="E87" s="576"/>
      <c r="F87" s="353"/>
      <c r="G87" s="471"/>
      <c r="H87" s="599"/>
      <c r="I87" s="600"/>
      <c r="J87" s="600"/>
      <c r="K87" s="601"/>
      <c r="L87" s="585"/>
      <c r="M87" s="586"/>
      <c r="N87" s="585"/>
      <c r="O87" s="586"/>
      <c r="P87" s="603" t="s">
        <v>1134</v>
      </c>
      <c r="Q87" s="603" t="s">
        <v>1135</v>
      </c>
      <c r="R87" s="603" t="s">
        <v>2728</v>
      </c>
      <c r="S87" s="603"/>
      <c r="T87" s="610"/>
      <c r="U87" s="603" t="s">
        <v>3651</v>
      </c>
      <c r="V87" s="595"/>
      <c r="W87" s="596"/>
      <c r="X87" s="603"/>
      <c r="Y87" s="603" t="s">
        <v>2494</v>
      </c>
      <c r="Z87" s="309"/>
      <c r="AA87" s="603"/>
      <c r="AB87" s="603"/>
      <c r="AC87" s="603" t="s">
        <v>572</v>
      </c>
      <c r="AD87" s="595"/>
      <c r="AE87" s="596"/>
      <c r="AF87" s="603"/>
      <c r="AG87" s="603"/>
      <c r="AH87" s="603"/>
      <c r="AI87" s="603"/>
      <c r="AJ87" s="603"/>
      <c r="AK87" s="603"/>
      <c r="AL87" s="603"/>
      <c r="AM87" s="603"/>
      <c r="AN87" s="603"/>
      <c r="AQ87" s="587"/>
      <c r="AU87" s="598"/>
      <c r="AY87" s="587"/>
      <c r="BD87" s="603"/>
      <c r="BE87" s="603"/>
      <c r="BF87" s="603"/>
      <c r="BG87" s="603"/>
      <c r="BH87" s="603"/>
      <c r="BI87" s="609"/>
      <c r="BJ87" s="609"/>
      <c r="BK87" s="603"/>
      <c r="BL87" s="603"/>
      <c r="BM87" s="603"/>
      <c r="BN87" s="603"/>
      <c r="BO87" s="603"/>
      <c r="BP87" s="603"/>
      <c r="BQ87" s="603"/>
      <c r="BR87" s="603"/>
      <c r="BS87" s="603"/>
      <c r="BT87" s="606"/>
      <c r="BU87" s="603" t="s">
        <v>4203</v>
      </c>
      <c r="DP87" s="556"/>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row>
    <row r="88" spans="1:256" s="319" customFormat="1" ht="13.2">
      <c r="A88" s="594" t="s">
        <v>4449</v>
      </c>
      <c r="B88" s="481"/>
      <c r="C88" s="594">
        <f>IF($C$10&lt;'Modelo Energético '!R113,0,1)</f>
        <v>1</v>
      </c>
      <c r="D88" s="637"/>
      <c r="E88" s="576">
        <f t="shared" si="12"/>
        <v>0</v>
      </c>
      <c r="F88" s="353">
        <f t="shared" si="17"/>
        <v>0</v>
      </c>
      <c r="G88" s="471">
        <f t="shared" si="18"/>
        <v>0</v>
      </c>
      <c r="H88" s="599"/>
      <c r="I88" s="600"/>
      <c r="J88" s="600"/>
      <c r="K88" s="601"/>
      <c r="L88" s="585"/>
      <c r="M88" s="586"/>
      <c r="N88" s="585"/>
      <c r="O88" s="586"/>
      <c r="P88" s="639">
        <v>0</v>
      </c>
      <c r="Q88" s="639">
        <v>0</v>
      </c>
      <c r="R88" s="641">
        <v>0</v>
      </c>
      <c r="S88" s="309"/>
      <c r="T88" s="309">
        <f>(R88-S88)*C88</f>
        <v>0</v>
      </c>
      <c r="U88" s="555">
        <v>0</v>
      </c>
      <c r="V88" s="595">
        <f>VLOOKUP(U88,$R$16:$X$20,2,FALSE)</f>
        <v>0</v>
      </c>
      <c r="W88" s="596">
        <f>VLOOKUP(U88,$R$16:$X$20,3,FALSE)</f>
        <v>0</v>
      </c>
      <c r="X88" s="597">
        <f>IF(W88=0,0,T88/W88)</f>
        <v>0</v>
      </c>
      <c r="Y88" s="639">
        <v>0</v>
      </c>
      <c r="Z88" s="309">
        <f>IF(BX88=1,Y88,R88)*C88</f>
        <v>0</v>
      </c>
      <c r="AA88" s="309"/>
      <c r="AB88" s="309">
        <f>Z88-AA88</f>
        <v>0</v>
      </c>
      <c r="AC88" s="555">
        <v>0</v>
      </c>
      <c r="AD88" s="595">
        <f t="shared" si="46"/>
        <v>0</v>
      </c>
      <c r="AE88" s="596">
        <f t="shared" si="47"/>
        <v>0</v>
      </c>
      <c r="AF88" s="597">
        <f>IF(AE88=0,0,AB88/AE88)</f>
        <v>0</v>
      </c>
      <c r="AG88" s="458">
        <f>IF(AE88=0,0,(T88-AB88)/AE88)</f>
        <v>0</v>
      </c>
      <c r="AH88" s="458">
        <f>X88-AF88-AG88</f>
        <v>0</v>
      </c>
      <c r="AI88" s="458">
        <f>VLOOKUP(V88,$H$3:$N$8,7,FALSE)</f>
        <v>0</v>
      </c>
      <c r="AJ88" s="458">
        <f>VLOOKUP(AD88,$H$3:$N$8,7,FALSE)</f>
        <v>0</v>
      </c>
      <c r="AK88" s="458">
        <f>IF(AND(AG88=0,AH88=0),0,(X88*AI88-AF88*AJ88)/IF(AG88+AH88=0,ABS(AG88)*2,AG88+AH88)*AG88)</f>
        <v>0</v>
      </c>
      <c r="AL88" s="458">
        <f>IF(AND(AG88=0,AH88=0),0,(X88*AI88-AF88*AJ88)/IF(AG88+AH88=0,ABS(AG88)*2,AG88+AH88)*AH88)</f>
        <v>0</v>
      </c>
      <c r="AQ88" s="587"/>
      <c r="AU88" s="598"/>
      <c r="AY88" s="587"/>
      <c r="BI88" s="600"/>
      <c r="BJ88" s="600"/>
      <c r="BT88" s="476"/>
      <c r="BU88" s="405">
        <v>0</v>
      </c>
      <c r="BV88" s="319">
        <f t="shared" si="48"/>
        <v>0</v>
      </c>
      <c r="BX88" s="319">
        <f>IF('Modelo Energético '!$Q113=TRUE,1,0)</f>
        <v>1</v>
      </c>
      <c r="DP88" s="556"/>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row>
    <row r="89" spans="1:256" s="319" customFormat="1" ht="13.2">
      <c r="A89" s="594" t="s">
        <v>2577</v>
      </c>
      <c r="B89" s="481"/>
      <c r="C89" s="594">
        <f>IF($C$10&lt;'Modelo Energético '!R114,0,1)</f>
        <v>1</v>
      </c>
      <c r="D89" s="642"/>
      <c r="E89" s="576">
        <f t="shared" si="12"/>
        <v>0</v>
      </c>
      <c r="F89" s="353">
        <f t="shared" si="17"/>
        <v>0</v>
      </c>
      <c r="G89" s="471">
        <f t="shared" si="18"/>
        <v>0</v>
      </c>
      <c r="H89" s="599"/>
      <c r="I89" s="600"/>
      <c r="J89" s="600"/>
      <c r="K89" s="601"/>
      <c r="L89" s="585"/>
      <c r="M89" s="586"/>
      <c r="N89" s="585"/>
      <c r="O89" s="586"/>
      <c r="P89" s="644">
        <v>0</v>
      </c>
      <c r="Q89" s="644">
        <v>0</v>
      </c>
      <c r="R89" s="395">
        <v>0</v>
      </c>
      <c r="S89" s="309"/>
      <c r="T89" s="309">
        <f>(R89-S89)*C89</f>
        <v>0</v>
      </c>
      <c r="U89" s="555">
        <v>0</v>
      </c>
      <c r="V89" s="595">
        <f>VLOOKUP(U89,$R$16:$X$20,2,FALSE)</f>
        <v>0</v>
      </c>
      <c r="W89" s="596">
        <f>VLOOKUP(U89,$R$16:$X$20,3,FALSE)</f>
        <v>0</v>
      </c>
      <c r="X89" s="597">
        <f>IF(W89=0,0,T89/W89)</f>
        <v>0</v>
      </c>
      <c r="Y89" s="644">
        <v>0</v>
      </c>
      <c r="Z89" s="309">
        <f>IF(BX89=1,Y89,R89)*C89</f>
        <v>0</v>
      </c>
      <c r="AA89" s="309"/>
      <c r="AB89" s="309">
        <f>Z89-AA89</f>
        <v>0</v>
      </c>
      <c r="AC89" s="555">
        <v>0</v>
      </c>
      <c r="AD89" s="595">
        <f t="shared" si="46"/>
        <v>0</v>
      </c>
      <c r="AE89" s="596">
        <f t="shared" si="47"/>
        <v>0</v>
      </c>
      <c r="AF89" s="597">
        <f>IF(AE89=0,0,AB89/AE89)</f>
        <v>0</v>
      </c>
      <c r="AG89" s="458">
        <f>IF(AE89=0,0,(T89-AB89)/AE89)</f>
        <v>0</v>
      </c>
      <c r="AH89" s="458">
        <f>X89-AF89-AG89</f>
        <v>0</v>
      </c>
      <c r="AI89" s="458">
        <f>VLOOKUP(V89,$H$3:$N$8,7,FALSE)</f>
        <v>0</v>
      </c>
      <c r="AJ89" s="458">
        <f>VLOOKUP(AD89,$H$3:$N$8,7,FALSE)</f>
        <v>0</v>
      </c>
      <c r="AK89" s="458">
        <f>IF(AND(AG89=0,AH89=0),0,(X89*AI89-AF89*AJ89)/IF(AG89+AH89=0,ABS(AG89)*2,AG89+AH89)*AG89)</f>
        <v>0</v>
      </c>
      <c r="AL89" s="458">
        <f>IF(AND(AG89=0,AH89=0),0,(X89*AI89-AF89*AJ89)/IF(AG89+AH89=0,ABS(AG89)*2,AG89+AH89)*AH89)</f>
        <v>0</v>
      </c>
      <c r="AQ89" s="587"/>
      <c r="AU89" s="598"/>
      <c r="AY89" s="587"/>
      <c r="BI89" s="600"/>
      <c r="BJ89" s="600"/>
      <c r="BT89" s="476"/>
      <c r="BU89" s="405">
        <v>0</v>
      </c>
      <c r="BV89" s="319">
        <f t="shared" si="48"/>
        <v>0</v>
      </c>
      <c r="BX89" s="319">
        <f>IF('Modelo Energético '!$Q114=TRUE,1,0)</f>
        <v>1</v>
      </c>
      <c r="DP89" s="556"/>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row>
    <row r="90" spans="1:256" s="319" customFormat="1" ht="13.2">
      <c r="A90" s="594" t="s">
        <v>2578</v>
      </c>
      <c r="B90" s="481"/>
      <c r="C90" s="594">
        <f>IF($C$10&lt;'Modelo Energético '!R115,0,1)</f>
        <v>1</v>
      </c>
      <c r="D90" s="642"/>
      <c r="E90" s="576">
        <f t="shared" si="12"/>
        <v>0</v>
      </c>
      <c r="F90" s="353">
        <f t="shared" si="17"/>
        <v>0</v>
      </c>
      <c r="G90" s="471">
        <f t="shared" si="18"/>
        <v>0</v>
      </c>
      <c r="H90" s="599"/>
      <c r="I90" s="600"/>
      <c r="J90" s="600"/>
      <c r="K90" s="601"/>
      <c r="L90" s="585"/>
      <c r="M90" s="586"/>
      <c r="N90" s="585"/>
      <c r="O90" s="586"/>
      <c r="P90" s="644">
        <v>0</v>
      </c>
      <c r="Q90" s="644">
        <v>0</v>
      </c>
      <c r="R90" s="395">
        <v>0</v>
      </c>
      <c r="S90" s="309"/>
      <c r="T90" s="309">
        <f>(R90-S90)*C90</f>
        <v>0</v>
      </c>
      <c r="U90" s="555">
        <v>0</v>
      </c>
      <c r="V90" s="595">
        <f>VLOOKUP(U90,$R$16:$X$20,2,FALSE)</f>
        <v>0</v>
      </c>
      <c r="W90" s="596">
        <f>VLOOKUP(U90,$R$16:$X$20,3,FALSE)</f>
        <v>0</v>
      </c>
      <c r="X90" s="597">
        <f>IF(W90=0,0,T90/W90)</f>
        <v>0</v>
      </c>
      <c r="Y90" s="644">
        <v>0</v>
      </c>
      <c r="Z90" s="309">
        <f>IF(BX90=1,Y90,R90)*C90</f>
        <v>0</v>
      </c>
      <c r="AA90" s="309"/>
      <c r="AB90" s="309">
        <f>Z90-AA90</f>
        <v>0</v>
      </c>
      <c r="AC90" s="555">
        <v>0</v>
      </c>
      <c r="AD90" s="595">
        <f t="shared" si="46"/>
        <v>0</v>
      </c>
      <c r="AE90" s="596">
        <f t="shared" si="47"/>
        <v>0</v>
      </c>
      <c r="AF90" s="597">
        <f>IF(AE90=0,0,AB90/AE90)</f>
        <v>0</v>
      </c>
      <c r="AG90" s="458">
        <f>IF(AE90=0,0,(T90-AB90)/AE90)</f>
        <v>0</v>
      </c>
      <c r="AH90" s="458">
        <f>X90-AF90-AG90</f>
        <v>0</v>
      </c>
      <c r="AI90" s="458">
        <f>VLOOKUP(V90,$H$3:$N$8,7,FALSE)</f>
        <v>0</v>
      </c>
      <c r="AJ90" s="458">
        <f>VLOOKUP(AD90,$H$3:$N$8,7,FALSE)</f>
        <v>0</v>
      </c>
      <c r="AK90" s="458">
        <f>IF(AND(AG90=0,AH90=0),0,(X90*AI90-AF90*AJ90)/IF(AG90+AH90=0,ABS(AG90)*2,AG90+AH90)*AG90)</f>
        <v>0</v>
      </c>
      <c r="AL90" s="458">
        <f>IF(AND(AG90=0,AH90=0),0,(X90*AI90-AF90*AJ90)/IF(AG90+AH90=0,ABS(AG90)*2,AG90+AH90)*AH90)</f>
        <v>0</v>
      </c>
      <c r="AQ90" s="587"/>
      <c r="AU90" s="598"/>
      <c r="AY90" s="587"/>
      <c r="BI90" s="600"/>
      <c r="BJ90" s="600"/>
      <c r="BT90" s="476"/>
      <c r="BU90" s="405">
        <v>0</v>
      </c>
      <c r="BV90" s="319">
        <f t="shared" si="48"/>
        <v>0</v>
      </c>
      <c r="BX90" s="319">
        <f>IF('Modelo Energético '!$Q115=TRUE,1,0)</f>
        <v>1</v>
      </c>
      <c r="DP90" s="556"/>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row>
    <row r="91" spans="1:256" s="319" customFormat="1" ht="13.2">
      <c r="A91" s="594" t="s">
        <v>2579</v>
      </c>
      <c r="B91" s="481"/>
      <c r="C91" s="594">
        <f>IF($C$10&lt;'Modelo Energético '!R116,0,1)</f>
        <v>1</v>
      </c>
      <c r="D91" s="642"/>
      <c r="E91" s="576">
        <f t="shared" si="12"/>
        <v>0</v>
      </c>
      <c r="F91" s="353">
        <f t="shared" si="17"/>
        <v>0</v>
      </c>
      <c r="G91" s="471">
        <f t="shared" si="18"/>
        <v>0</v>
      </c>
      <c r="H91" s="599"/>
      <c r="I91" s="600"/>
      <c r="J91" s="600"/>
      <c r="K91" s="601"/>
      <c r="L91" s="585"/>
      <c r="M91" s="586"/>
      <c r="N91" s="585"/>
      <c r="O91" s="586"/>
      <c r="P91" s="644">
        <v>0</v>
      </c>
      <c r="Q91" s="644">
        <v>0</v>
      </c>
      <c r="R91" s="395">
        <v>0</v>
      </c>
      <c r="S91" s="309"/>
      <c r="T91" s="309">
        <f>(R91-S91)*C91</f>
        <v>0</v>
      </c>
      <c r="U91" s="555">
        <v>0</v>
      </c>
      <c r="V91" s="595">
        <f>VLOOKUP(U91,$R$16:$X$20,2,FALSE)</f>
        <v>0</v>
      </c>
      <c r="W91" s="596">
        <f>VLOOKUP(U91,$R$16:$X$20,3,FALSE)</f>
        <v>0</v>
      </c>
      <c r="X91" s="597">
        <f>IF(W91=0,0,T91/W91)</f>
        <v>0</v>
      </c>
      <c r="Y91" s="644">
        <v>0</v>
      </c>
      <c r="Z91" s="309">
        <f>IF(BX91=1,Y91,R91)*C91</f>
        <v>0</v>
      </c>
      <c r="AA91" s="309"/>
      <c r="AB91" s="309">
        <f>Z91-AA91</f>
        <v>0</v>
      </c>
      <c r="AC91" s="555">
        <v>0</v>
      </c>
      <c r="AD91" s="595">
        <f t="shared" si="46"/>
        <v>0</v>
      </c>
      <c r="AE91" s="596">
        <f t="shared" si="47"/>
        <v>0</v>
      </c>
      <c r="AF91" s="597">
        <f>IF(AE91=0,0,AB91/AE91)</f>
        <v>0</v>
      </c>
      <c r="AG91" s="458">
        <f>IF(AE91=0,0,(T91-AB91)/AE91)</f>
        <v>0</v>
      </c>
      <c r="AH91" s="458">
        <f>X91-AF91-AG91</f>
        <v>0</v>
      </c>
      <c r="AI91" s="458">
        <f>VLOOKUP(V91,$H$3:$N$8,7,FALSE)</f>
        <v>0</v>
      </c>
      <c r="AJ91" s="458">
        <f>VLOOKUP(AD91,$H$3:$N$8,7,FALSE)</f>
        <v>0</v>
      </c>
      <c r="AK91" s="458">
        <f>IF(AND(AG91=0,AH91=0),0,(X91*AI91-AF91*AJ91)/IF(AG91+AH91=0,ABS(AG91)*2,AG91+AH91)*AG91)</f>
        <v>0</v>
      </c>
      <c r="AL91" s="458">
        <f>IF(AND(AG91=0,AH91=0),0,(X91*AI91-AF91*AJ91)/IF(AG91+AH91=0,ABS(AG91)*2,AG91+AH91)*AH91)</f>
        <v>0</v>
      </c>
      <c r="AQ91" s="587"/>
      <c r="AU91" s="598"/>
      <c r="AY91" s="587"/>
      <c r="BI91" s="600"/>
      <c r="BJ91" s="600"/>
      <c r="BT91" s="476"/>
      <c r="BU91" s="405">
        <v>0</v>
      </c>
      <c r="BV91" s="319">
        <f t="shared" si="48"/>
        <v>0</v>
      </c>
      <c r="BX91" s="319">
        <f>IF('Modelo Energético '!$Q116=TRUE,1,0)</f>
        <v>1</v>
      </c>
      <c r="DP91" s="556"/>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row>
    <row r="92" spans="1:256" s="319" customFormat="1" ht="13.2">
      <c r="A92" s="594" t="s">
        <v>1879</v>
      </c>
      <c r="B92" s="481"/>
      <c r="C92" s="594">
        <f>IF($C$10&lt;'Modelo Energético '!R117,0,1)</f>
        <v>1</v>
      </c>
      <c r="D92" s="642"/>
      <c r="E92" s="576">
        <f t="shared" si="12"/>
        <v>0</v>
      </c>
      <c r="F92" s="353">
        <f t="shared" si="17"/>
        <v>0</v>
      </c>
      <c r="G92" s="471">
        <f t="shared" si="18"/>
        <v>0</v>
      </c>
      <c r="H92" s="599"/>
      <c r="I92" s="600"/>
      <c r="J92" s="600"/>
      <c r="K92" s="601"/>
      <c r="L92" s="585"/>
      <c r="M92" s="586"/>
      <c r="N92" s="585"/>
      <c r="O92" s="586"/>
      <c r="P92" s="644">
        <v>0</v>
      </c>
      <c r="Q92" s="644">
        <v>0</v>
      </c>
      <c r="R92" s="395">
        <v>0</v>
      </c>
      <c r="S92" s="309"/>
      <c r="T92" s="309">
        <f>(R92-S92)*C92</f>
        <v>0</v>
      </c>
      <c r="U92" s="555">
        <v>0</v>
      </c>
      <c r="V92" s="595">
        <f>VLOOKUP(U92,$R$16:$X$20,2,FALSE)</f>
        <v>0</v>
      </c>
      <c r="W92" s="596">
        <f>VLOOKUP(U92,$R$16:$X$20,3,FALSE)</f>
        <v>0</v>
      </c>
      <c r="X92" s="597">
        <f>IF(W92=0,0,T92/W92)</f>
        <v>0</v>
      </c>
      <c r="Y92" s="644">
        <v>0</v>
      </c>
      <c r="Z92" s="309">
        <f>IF(BX92=1,Y92,R92)*C92</f>
        <v>0</v>
      </c>
      <c r="AA92" s="309"/>
      <c r="AB92" s="309">
        <f>Z92-AA92</f>
        <v>0</v>
      </c>
      <c r="AC92" s="555">
        <v>0</v>
      </c>
      <c r="AD92" s="595">
        <f t="shared" si="46"/>
        <v>0</v>
      </c>
      <c r="AE92" s="596">
        <f t="shared" si="47"/>
        <v>0</v>
      </c>
      <c r="AF92" s="597">
        <f>IF(AE92=0,0,AB92/AE92)</f>
        <v>0</v>
      </c>
      <c r="AG92" s="458">
        <f>IF(AE92=0,0,(T92-AB92)/AE92)</f>
        <v>0</v>
      </c>
      <c r="AH92" s="458">
        <f>X92-AF92-AG92</f>
        <v>0</v>
      </c>
      <c r="AI92" s="458">
        <f>VLOOKUP(V92,$H$3:$N$8,7,FALSE)</f>
        <v>0</v>
      </c>
      <c r="AJ92" s="458">
        <f>VLOOKUP(AD92,$H$3:$N$8,7,FALSE)</f>
        <v>0</v>
      </c>
      <c r="AK92" s="458">
        <f>IF(AND(AG92=0,AH92=0),0,(X92*AI92-AF92*AJ92)/IF(AG92+AH92=0,ABS(AG92)*2,AG92+AH92)*AG92)</f>
        <v>0</v>
      </c>
      <c r="AL92" s="458">
        <f>IF(AND(AG92=0,AH92=0),0,(X92*AI92-AF92*AJ92)/IF(AG92+AH92=0,ABS(AG92)*2,AG92+AH92)*AH92)</f>
        <v>0</v>
      </c>
      <c r="AQ92" s="587"/>
      <c r="AU92" s="598"/>
      <c r="AY92" s="587"/>
      <c r="BI92" s="600"/>
      <c r="BJ92" s="600"/>
      <c r="BT92" s="476"/>
      <c r="BU92" s="405">
        <v>0</v>
      </c>
      <c r="BV92" s="319">
        <f t="shared" si="48"/>
        <v>0</v>
      </c>
      <c r="BX92" s="319">
        <f>IF('Modelo Energético '!$Q117=TRUE,1,0)</f>
        <v>1</v>
      </c>
      <c r="DP92" s="556"/>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row>
    <row r="93" spans="1:256" s="319" customFormat="1" ht="39.6">
      <c r="A93" s="594"/>
      <c r="B93" s="481"/>
      <c r="C93" s="594"/>
      <c r="E93" s="576"/>
      <c r="F93" s="353"/>
      <c r="G93" s="471"/>
      <c r="H93" s="599"/>
      <c r="I93" s="600"/>
      <c r="J93" s="600"/>
      <c r="K93" s="601"/>
      <c r="L93" s="585"/>
      <c r="M93" s="586"/>
      <c r="N93" s="585"/>
      <c r="O93" s="586"/>
      <c r="P93" s="603" t="s">
        <v>1134</v>
      </c>
      <c r="Q93" s="603" t="s">
        <v>1135</v>
      </c>
      <c r="R93" s="603" t="s">
        <v>2728</v>
      </c>
      <c r="S93" s="603"/>
      <c r="T93" s="603"/>
      <c r="U93" s="603" t="s">
        <v>3651</v>
      </c>
      <c r="V93" s="595"/>
      <c r="W93" s="596"/>
      <c r="X93" s="603"/>
      <c r="Y93" s="603" t="s">
        <v>2494</v>
      </c>
      <c r="Z93" s="309"/>
      <c r="AA93" s="603"/>
      <c r="AB93" s="603"/>
      <c r="AC93" s="603" t="s">
        <v>572</v>
      </c>
      <c r="AD93" s="595"/>
      <c r="AE93" s="596"/>
      <c r="AF93" s="603"/>
      <c r="AG93" s="603"/>
      <c r="AH93" s="603"/>
      <c r="AI93" s="603"/>
      <c r="AJ93" s="603"/>
      <c r="AK93" s="603"/>
      <c r="AL93" s="603"/>
      <c r="AM93" s="603"/>
      <c r="AN93" s="603"/>
      <c r="AQ93" s="587"/>
      <c r="AU93" s="598"/>
      <c r="AY93" s="587"/>
      <c r="BC93" s="603"/>
      <c r="BD93" s="603"/>
      <c r="BE93" s="603"/>
      <c r="BF93" s="603"/>
      <c r="BG93" s="603"/>
      <c r="BH93" s="603"/>
      <c r="BI93" s="609"/>
      <c r="BJ93" s="609"/>
      <c r="BK93" s="603"/>
      <c r="BL93" s="603"/>
      <c r="BM93" s="603"/>
      <c r="BN93" s="603"/>
      <c r="BO93" s="603"/>
      <c r="BP93" s="603"/>
      <c r="BQ93" s="603"/>
      <c r="BR93" s="603"/>
      <c r="BS93" s="603"/>
      <c r="BT93" s="606"/>
      <c r="BU93" s="603" t="s">
        <v>4203</v>
      </c>
      <c r="DP93" s="556"/>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row>
    <row r="94" spans="1:256" s="319" customFormat="1" ht="13.2">
      <c r="A94" s="594" t="s">
        <v>5681</v>
      </c>
      <c r="B94" s="481"/>
      <c r="C94" s="594">
        <f>IF($C$10&lt;'Modelo Energético '!R119,0,1)</f>
        <v>1</v>
      </c>
      <c r="D94" s="637"/>
      <c r="E94" s="576">
        <f t="shared" ref="E94:E122" si="49">P94*BX94*C94</f>
        <v>0</v>
      </c>
      <c r="F94" s="353">
        <f t="shared" ref="F94:F122" si="50">(AK94+BF94+BH94)*C94</f>
        <v>0</v>
      </c>
      <c r="G94" s="471">
        <f t="shared" ref="G94:G122" si="51">Q94*BX94*C94</f>
        <v>0</v>
      </c>
      <c r="H94" s="599"/>
      <c r="I94" s="600"/>
      <c r="J94" s="600"/>
      <c r="K94" s="601"/>
      <c r="L94" s="585"/>
      <c r="M94" s="586"/>
      <c r="N94" s="585"/>
      <c r="O94" s="586"/>
      <c r="P94" s="639">
        <v>0</v>
      </c>
      <c r="Q94" s="639">
        <v>0</v>
      </c>
      <c r="R94" s="641">
        <v>0</v>
      </c>
      <c r="S94" s="309"/>
      <c r="T94" s="309">
        <f>(R94-S94)*C94</f>
        <v>0</v>
      </c>
      <c r="U94" s="555">
        <v>0</v>
      </c>
      <c r="V94" s="595">
        <f>VLOOKUP(U94,$R$16:$X$20,2,FALSE)</f>
        <v>0</v>
      </c>
      <c r="W94" s="596">
        <f>VLOOKUP(U94,$R$16:$X$20,3,FALSE)</f>
        <v>0</v>
      </c>
      <c r="X94" s="597">
        <f>IF(W94=0,0,T94/W94)</f>
        <v>0</v>
      </c>
      <c r="Y94" s="639">
        <v>0</v>
      </c>
      <c r="Z94" s="309">
        <f>IF(BX94=1,Y94,R94)*C94</f>
        <v>0</v>
      </c>
      <c r="AA94" s="309"/>
      <c r="AB94" s="309">
        <f>Z94-AA94</f>
        <v>0</v>
      </c>
      <c r="AC94" s="555">
        <v>0</v>
      </c>
      <c r="AD94" s="595">
        <f t="shared" si="46"/>
        <v>0</v>
      </c>
      <c r="AE94" s="596">
        <f t="shared" si="47"/>
        <v>0</v>
      </c>
      <c r="AF94" s="597">
        <f>IF(AE94=0,0,AB94/AE94)</f>
        <v>0</v>
      </c>
      <c r="AG94" s="458">
        <f>IF(AE94=0,0,(T94-AB94)/AE94)</f>
        <v>0</v>
      </c>
      <c r="AH94" s="458">
        <f>X94-AF94-AG94</f>
        <v>0</v>
      </c>
      <c r="AI94" s="458">
        <f>VLOOKUP(V94,$H$3:$N$8,7,FALSE)</f>
        <v>0</v>
      </c>
      <c r="AJ94" s="458">
        <f>VLOOKUP(AD94,$H$3:$N$8,7,FALSE)</f>
        <v>0</v>
      </c>
      <c r="AK94" s="458">
        <f>IF(AND(AG94=0,AH94=0),0,(X94*AI94-AF94*AJ94)/IF(AG94+AH94=0,ABS(AG94)*2,AG94+AH94)*AG94)</f>
        <v>0</v>
      </c>
      <c r="AL94" s="458">
        <f>IF(AND(AG94=0,AH94=0),0,(X94*AI94-AF94*AJ94)/IF(AG94+AH94=0,ABS(AG94)*2,AG94+AH94)*AH94)</f>
        <v>0</v>
      </c>
      <c r="AQ94" s="587"/>
      <c r="AU94" s="598"/>
      <c r="AY94" s="587"/>
      <c r="BI94" s="600"/>
      <c r="BJ94" s="600"/>
      <c r="BT94" s="476"/>
      <c r="BU94" s="405">
        <v>0</v>
      </c>
      <c r="BV94" s="319">
        <f t="shared" si="48"/>
        <v>0</v>
      </c>
      <c r="BX94" s="319">
        <f>IF('Modelo Energético '!$Q119=TRUE,1,0)</f>
        <v>1</v>
      </c>
      <c r="DP94" s="556"/>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row>
    <row r="95" spans="1:256" s="319" customFormat="1" ht="13.2">
      <c r="A95" s="594" t="s">
        <v>2814</v>
      </c>
      <c r="B95" s="481"/>
      <c r="C95" s="594">
        <f>IF($C$10&lt;'Modelo Energético '!R120,0,1)</f>
        <v>1</v>
      </c>
      <c r="D95" s="637"/>
      <c r="E95" s="576">
        <f t="shared" si="49"/>
        <v>0</v>
      </c>
      <c r="F95" s="353">
        <f t="shared" si="50"/>
        <v>0</v>
      </c>
      <c r="G95" s="471">
        <f t="shared" si="51"/>
        <v>0</v>
      </c>
      <c r="H95" s="599"/>
      <c r="I95" s="600"/>
      <c r="J95" s="600"/>
      <c r="K95" s="601"/>
      <c r="L95" s="585"/>
      <c r="M95" s="586"/>
      <c r="N95" s="585"/>
      <c r="O95" s="586"/>
      <c r="P95" s="639">
        <v>0</v>
      </c>
      <c r="Q95" s="639">
        <v>0</v>
      </c>
      <c r="R95" s="641">
        <v>0</v>
      </c>
      <c r="S95" s="309"/>
      <c r="T95" s="309">
        <f>(R95-S95)*C95</f>
        <v>0</v>
      </c>
      <c r="U95" s="555">
        <v>0</v>
      </c>
      <c r="V95" s="595">
        <f>VLOOKUP(U95,$R$16:$X$20,2,FALSE)</f>
        <v>0</v>
      </c>
      <c r="W95" s="596">
        <f>VLOOKUP(U95,$R$16:$X$20,3,FALSE)</f>
        <v>0</v>
      </c>
      <c r="X95" s="597">
        <f>IF(W95=0,0,T95/W95)</f>
        <v>0</v>
      </c>
      <c r="Y95" s="639">
        <v>0</v>
      </c>
      <c r="Z95" s="309">
        <f>IF(BX95=1,Y95,R95)*C95</f>
        <v>0</v>
      </c>
      <c r="AA95" s="309"/>
      <c r="AB95" s="309">
        <f>Z95-AA95</f>
        <v>0</v>
      </c>
      <c r="AC95" s="555">
        <v>0</v>
      </c>
      <c r="AD95" s="595">
        <f t="shared" si="46"/>
        <v>0</v>
      </c>
      <c r="AE95" s="596">
        <f t="shared" si="47"/>
        <v>0</v>
      </c>
      <c r="AF95" s="597">
        <f>IF(AE95=0,0,AB95/AE95)</f>
        <v>0</v>
      </c>
      <c r="AG95" s="458">
        <f>IF(AE95=0,0,(T95-AB95)/AE95)</f>
        <v>0</v>
      </c>
      <c r="AH95" s="458">
        <f>X95-AF95-AG95</f>
        <v>0</v>
      </c>
      <c r="AI95" s="458">
        <f>VLOOKUP(V95,$H$3:$N$8,7,FALSE)</f>
        <v>0</v>
      </c>
      <c r="AJ95" s="458">
        <f>VLOOKUP(AD95,$H$3:$N$8,7,FALSE)</f>
        <v>0</v>
      </c>
      <c r="AK95" s="458">
        <f>IF(AND(AG95=0,AH95=0),0,(X95*AI95-AF95*AJ95)/IF(AG95+AH95=0,ABS(AG95)*2,AG95+AH95)*AG95)</f>
        <v>0</v>
      </c>
      <c r="AL95" s="458">
        <f>IF(AND(AG95=0,AH95=0),0,(X95*AI95-AF95*AJ95)/IF(AG95+AH95=0,ABS(AG95)*2,AG95+AH95)*AH95)</f>
        <v>0</v>
      </c>
      <c r="AQ95" s="587"/>
      <c r="AU95" s="598"/>
      <c r="AY95" s="587"/>
      <c r="BI95" s="600"/>
      <c r="BJ95" s="600"/>
      <c r="BT95" s="476"/>
      <c r="BU95" s="405">
        <v>0</v>
      </c>
      <c r="BV95" s="319">
        <f t="shared" si="48"/>
        <v>0</v>
      </c>
      <c r="BX95" s="319">
        <f>IF('Modelo Energético '!$Q120=TRUE,1,0)</f>
        <v>1</v>
      </c>
      <c r="DP95" s="556"/>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row>
    <row r="96" spans="1:256" s="319" customFormat="1" ht="13.2">
      <c r="A96" s="594" t="s">
        <v>3055</v>
      </c>
      <c r="B96" s="481"/>
      <c r="C96" s="594">
        <f>IF($C$10&lt;'Modelo Energético '!R121,0,1)</f>
        <v>1</v>
      </c>
      <c r="D96" s="637"/>
      <c r="E96" s="576">
        <f t="shared" si="49"/>
        <v>0</v>
      </c>
      <c r="F96" s="353">
        <f t="shared" si="50"/>
        <v>0</v>
      </c>
      <c r="G96" s="471">
        <f t="shared" si="51"/>
        <v>0</v>
      </c>
      <c r="H96" s="599"/>
      <c r="I96" s="600"/>
      <c r="J96" s="600"/>
      <c r="K96" s="601"/>
      <c r="L96" s="585"/>
      <c r="M96" s="586"/>
      <c r="N96" s="585"/>
      <c r="O96" s="586"/>
      <c r="P96" s="639">
        <v>0</v>
      </c>
      <c r="Q96" s="639">
        <v>0</v>
      </c>
      <c r="R96" s="641">
        <v>0</v>
      </c>
      <c r="S96" s="309"/>
      <c r="T96" s="309">
        <f>(R96-S96)*C96</f>
        <v>0</v>
      </c>
      <c r="U96" s="555">
        <v>0</v>
      </c>
      <c r="V96" s="595">
        <f>VLOOKUP(U96,$R$16:$X$20,2,FALSE)</f>
        <v>0</v>
      </c>
      <c r="W96" s="596">
        <f>VLOOKUP(U96,$R$16:$X$20,3,FALSE)</f>
        <v>0</v>
      </c>
      <c r="X96" s="597">
        <f>IF(W96=0,0,T96/W96)</f>
        <v>0</v>
      </c>
      <c r="Y96" s="639">
        <v>0</v>
      </c>
      <c r="Z96" s="309">
        <f>IF(BX96=1,Y96,R96)*C96</f>
        <v>0</v>
      </c>
      <c r="AA96" s="309"/>
      <c r="AB96" s="309">
        <f>Z96-AA96</f>
        <v>0</v>
      </c>
      <c r="AC96" s="555">
        <v>0</v>
      </c>
      <c r="AD96" s="595">
        <f t="shared" si="46"/>
        <v>0</v>
      </c>
      <c r="AE96" s="596">
        <f t="shared" si="47"/>
        <v>0</v>
      </c>
      <c r="AF96" s="597">
        <f>IF(AE96=0,0,AB96/AE96)</f>
        <v>0</v>
      </c>
      <c r="AG96" s="458">
        <f>IF(AE96=0,0,(T96-AB96)/AE96)</f>
        <v>0</v>
      </c>
      <c r="AH96" s="458">
        <f>X96-AF96-AG96</f>
        <v>0</v>
      </c>
      <c r="AI96" s="458">
        <f>VLOOKUP(V96,$H$3:$N$8,7,FALSE)</f>
        <v>0</v>
      </c>
      <c r="AJ96" s="458">
        <f>VLOOKUP(AD96,$H$3:$N$8,7,FALSE)</f>
        <v>0</v>
      </c>
      <c r="AK96" s="458">
        <f>IF(AND(AG96=0,AH96=0),0,(X96*AI96-AF96*AJ96)/IF(AG96+AH96=0,ABS(AG96)*2,AG96+AH96)*AG96)</f>
        <v>0</v>
      </c>
      <c r="AL96" s="458">
        <f>IF(AND(AG96=0,AH96=0),0,(X96*AI96-AF96*AJ96)/IF(AG96+AH96=0,ABS(AG96)*2,AG96+AH96)*AH96)</f>
        <v>0</v>
      </c>
      <c r="AQ96" s="587"/>
      <c r="AU96" s="598"/>
      <c r="AY96" s="587"/>
      <c r="BI96" s="600"/>
      <c r="BJ96" s="600"/>
      <c r="BT96" s="476"/>
      <c r="BU96" s="405">
        <v>0</v>
      </c>
      <c r="BV96" s="319">
        <f t="shared" si="48"/>
        <v>0</v>
      </c>
      <c r="BX96" s="319">
        <f>IF('Modelo Energético '!$Q121=TRUE,1,0)</f>
        <v>1</v>
      </c>
      <c r="DP96" s="55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row>
    <row r="97" spans="1:256" s="319" customFormat="1" ht="13.2">
      <c r="A97" s="594" t="s">
        <v>573</v>
      </c>
      <c r="B97" s="481"/>
      <c r="C97" s="594">
        <f>IF($C$10&lt;'Modelo Energético '!R122,0,1)</f>
        <v>1</v>
      </c>
      <c r="D97" s="637"/>
      <c r="E97" s="576">
        <f t="shared" si="49"/>
        <v>0</v>
      </c>
      <c r="F97" s="353">
        <f t="shared" si="50"/>
        <v>0</v>
      </c>
      <c r="G97" s="471">
        <f t="shared" si="51"/>
        <v>0</v>
      </c>
      <c r="H97" s="599"/>
      <c r="I97" s="600"/>
      <c r="J97" s="600"/>
      <c r="K97" s="601"/>
      <c r="L97" s="585"/>
      <c r="M97" s="586"/>
      <c r="N97" s="585"/>
      <c r="O97" s="586"/>
      <c r="P97" s="639">
        <v>0</v>
      </c>
      <c r="Q97" s="639">
        <v>0</v>
      </c>
      <c r="R97" s="641">
        <v>0</v>
      </c>
      <c r="S97" s="309"/>
      <c r="T97" s="309">
        <f>(R97-S97)*C97</f>
        <v>0</v>
      </c>
      <c r="U97" s="555">
        <v>0</v>
      </c>
      <c r="V97" s="595">
        <f>VLOOKUP(U97,$R$16:$X$20,2,FALSE)</f>
        <v>0</v>
      </c>
      <c r="W97" s="596">
        <f>VLOOKUP(U97,$R$16:$X$20,3,FALSE)</f>
        <v>0</v>
      </c>
      <c r="X97" s="597">
        <f>IF(W97=0,0,T97/W97)</f>
        <v>0</v>
      </c>
      <c r="Y97" s="639">
        <v>0</v>
      </c>
      <c r="Z97" s="309">
        <f>IF(BX97=1,Y97,R97)*C97</f>
        <v>0</v>
      </c>
      <c r="AA97" s="309"/>
      <c r="AB97" s="309">
        <f>Z97-AA97</f>
        <v>0</v>
      </c>
      <c r="AC97" s="555">
        <v>0</v>
      </c>
      <c r="AD97" s="595">
        <f t="shared" si="46"/>
        <v>0</v>
      </c>
      <c r="AE97" s="596">
        <f t="shared" si="47"/>
        <v>0</v>
      </c>
      <c r="AF97" s="597">
        <f>IF(AE97=0,0,AB97/AE97)</f>
        <v>0</v>
      </c>
      <c r="AG97" s="458">
        <f>IF(AE97=0,0,(T97-AB97)/AE97)</f>
        <v>0</v>
      </c>
      <c r="AH97" s="458">
        <f>X97-AF97-AG97</f>
        <v>0</v>
      </c>
      <c r="AI97" s="458">
        <f>VLOOKUP(V97,$H$3:$N$8,7,FALSE)</f>
        <v>0</v>
      </c>
      <c r="AJ97" s="458">
        <f>VLOOKUP(AD97,$H$3:$N$8,7,FALSE)</f>
        <v>0</v>
      </c>
      <c r="AK97" s="458">
        <f>IF(AND(AG97=0,AH97=0),0,(X97*AI97-AF97*AJ97)/IF(AG97+AH97=0,ABS(AG97)*2,AG97+AH97)*AG97)</f>
        <v>0</v>
      </c>
      <c r="AL97" s="458">
        <f>IF(AND(AG97=0,AH97=0),0,(X97*AI97-AF97*AJ97)/IF(AG97+AH97=0,ABS(AG97)*2,AG97+AH97)*AH97)</f>
        <v>0</v>
      </c>
      <c r="AQ97" s="587"/>
      <c r="AU97" s="598"/>
      <c r="AY97" s="587"/>
      <c r="BI97" s="600"/>
      <c r="BJ97" s="600"/>
      <c r="BT97" s="476"/>
      <c r="BU97" s="405">
        <v>0</v>
      </c>
      <c r="BV97" s="319">
        <f t="shared" si="48"/>
        <v>0</v>
      </c>
      <c r="BX97" s="319">
        <f>IF('Modelo Energético '!$Q122=TRUE,1,0)</f>
        <v>1</v>
      </c>
      <c r="DP97" s="556"/>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row>
    <row r="98" spans="1:256" s="319" customFormat="1" ht="13.2">
      <c r="A98" s="594" t="s">
        <v>2636</v>
      </c>
      <c r="B98" s="481"/>
      <c r="C98" s="594">
        <f>IF($C$10&lt;'Modelo Energético '!R123,0,1)</f>
        <v>1</v>
      </c>
      <c r="D98" s="637"/>
      <c r="E98" s="576">
        <f t="shared" si="49"/>
        <v>0</v>
      </c>
      <c r="F98" s="353">
        <f t="shared" si="50"/>
        <v>0</v>
      </c>
      <c r="G98" s="471">
        <f t="shared" si="51"/>
        <v>0</v>
      </c>
      <c r="H98" s="599"/>
      <c r="I98" s="600"/>
      <c r="J98" s="600"/>
      <c r="K98" s="601"/>
      <c r="L98" s="585"/>
      <c r="M98" s="586"/>
      <c r="N98" s="585"/>
      <c r="O98" s="586"/>
      <c r="P98" s="639">
        <v>0</v>
      </c>
      <c r="Q98" s="639">
        <v>0</v>
      </c>
      <c r="R98" s="641">
        <v>0</v>
      </c>
      <c r="S98" s="309"/>
      <c r="T98" s="309">
        <f>(R98-S98)*C98</f>
        <v>0</v>
      </c>
      <c r="U98" s="555">
        <v>0</v>
      </c>
      <c r="V98" s="595">
        <f>VLOOKUP(U98,$R$16:$X$20,2,FALSE)</f>
        <v>0</v>
      </c>
      <c r="W98" s="596">
        <f>VLOOKUP(U98,$R$16:$X$20,3,FALSE)</f>
        <v>0</v>
      </c>
      <c r="X98" s="597">
        <f>IF(W98=0,0,T98/W98)</f>
        <v>0</v>
      </c>
      <c r="Y98" s="639">
        <v>0</v>
      </c>
      <c r="Z98" s="309">
        <f>IF(BX98=1,Y98,R98)*C98</f>
        <v>0</v>
      </c>
      <c r="AA98" s="309"/>
      <c r="AB98" s="309">
        <f>Z98-AA98</f>
        <v>0</v>
      </c>
      <c r="AC98" s="555">
        <v>0</v>
      </c>
      <c r="AD98" s="595">
        <f t="shared" si="46"/>
        <v>0</v>
      </c>
      <c r="AE98" s="596">
        <f t="shared" si="47"/>
        <v>0</v>
      </c>
      <c r="AF98" s="597">
        <f>IF(AE98=0,0,AB98/AE98)</f>
        <v>0</v>
      </c>
      <c r="AG98" s="458">
        <f>IF(AE98=0,0,(T98-AB98)/AE98)</f>
        <v>0</v>
      </c>
      <c r="AH98" s="458">
        <f>X98-AF98-AG98</f>
        <v>0</v>
      </c>
      <c r="AI98" s="458">
        <f>VLOOKUP(V98,$H$3:$N$8,7,FALSE)</f>
        <v>0</v>
      </c>
      <c r="AJ98" s="458">
        <f>VLOOKUP(AD98,$H$3:$N$8,7,FALSE)</f>
        <v>0</v>
      </c>
      <c r="AK98" s="458">
        <f>IF(AND(AG98=0,AH98=0),0,(X98*AI98-AF98*AJ98)/IF(AG98+AH98=0,ABS(AG98)*2,AG98+AH98)*AG98)</f>
        <v>0</v>
      </c>
      <c r="AL98" s="458">
        <f>IF(AND(AG98=0,AH98=0),0,(X98*AI98-AF98*AJ98)/IF(AG98+AH98=0,ABS(AG98)*2,AG98+AH98)*AH98)</f>
        <v>0</v>
      </c>
      <c r="AQ98" s="587"/>
      <c r="AU98" s="598"/>
      <c r="AY98" s="587"/>
      <c r="BI98" s="600"/>
      <c r="BJ98" s="600"/>
      <c r="BT98" s="476"/>
      <c r="BU98" s="405">
        <v>0</v>
      </c>
      <c r="BV98" s="319">
        <f t="shared" si="48"/>
        <v>0</v>
      </c>
      <c r="BX98" s="319">
        <f>IF('Modelo Energético '!$Q123=TRUE,1,0)</f>
        <v>1</v>
      </c>
      <c r="DP98" s="556"/>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row>
    <row r="99" spans="1:256" s="319" customFormat="1" ht="39.6">
      <c r="A99" s="594"/>
      <c r="B99" s="481"/>
      <c r="C99" s="594"/>
      <c r="E99" s="576"/>
      <c r="F99" s="353"/>
      <c r="G99" s="471"/>
      <c r="H99" s="599"/>
      <c r="I99" s="600"/>
      <c r="J99" s="600"/>
      <c r="K99" s="601"/>
      <c r="L99" s="585"/>
      <c r="M99" s="586"/>
      <c r="N99" s="585"/>
      <c r="O99" s="586"/>
      <c r="P99" s="603" t="s">
        <v>1134</v>
      </c>
      <c r="Q99" s="603" t="s">
        <v>1135</v>
      </c>
      <c r="R99" s="603"/>
      <c r="S99" s="603"/>
      <c r="T99" s="610"/>
      <c r="U99" s="603"/>
      <c r="V99" s="595"/>
      <c r="W99" s="596"/>
      <c r="X99" s="603"/>
      <c r="Y99" s="603" t="s">
        <v>2494</v>
      </c>
      <c r="Z99" s="309"/>
      <c r="AA99" s="603"/>
      <c r="AB99" s="603"/>
      <c r="AC99" s="603" t="s">
        <v>572</v>
      </c>
      <c r="AD99" s="595"/>
      <c r="AE99" s="596"/>
      <c r="AF99" s="603"/>
      <c r="AG99" s="603"/>
      <c r="AH99" s="603"/>
      <c r="AI99" s="603"/>
      <c r="AJ99" s="603"/>
      <c r="AK99" s="603"/>
      <c r="AL99" s="603"/>
      <c r="AM99" s="603"/>
      <c r="AN99" s="603"/>
      <c r="AQ99" s="587"/>
      <c r="AS99" s="603"/>
      <c r="AT99" s="603" t="s">
        <v>3860</v>
      </c>
      <c r="AU99" s="598"/>
      <c r="AV99" s="603"/>
      <c r="AW99" s="603"/>
      <c r="AX99" s="603" t="s">
        <v>3861</v>
      </c>
      <c r="AY99" s="604"/>
      <c r="AZ99" s="603"/>
      <c r="BA99" s="603"/>
      <c r="BB99" s="603"/>
      <c r="BC99" s="603"/>
      <c r="BD99" s="603"/>
      <c r="BE99" s="603"/>
      <c r="BF99" s="603"/>
      <c r="BG99" s="603"/>
      <c r="BH99" s="603"/>
      <c r="BI99" s="609"/>
      <c r="BJ99" s="609"/>
      <c r="BK99" s="603"/>
      <c r="BL99" s="603"/>
      <c r="BM99" s="603"/>
      <c r="BN99" s="603"/>
      <c r="BO99" s="603"/>
      <c r="BP99" s="603"/>
      <c r="BQ99" s="603"/>
      <c r="BR99" s="603"/>
      <c r="BS99" s="603"/>
      <c r="BT99" s="606"/>
      <c r="BU99" s="603" t="s">
        <v>4203</v>
      </c>
      <c r="DP99" s="556"/>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row>
    <row r="100" spans="1:256" s="319" customFormat="1" ht="13.2">
      <c r="A100" s="594" t="s">
        <v>2637</v>
      </c>
      <c r="B100" s="481"/>
      <c r="C100" s="594">
        <f>IF($C$10&lt;'Modelo Energético '!R125,0,1)</f>
        <v>1</v>
      </c>
      <c r="D100" s="637"/>
      <c r="E100" s="576">
        <f t="shared" si="49"/>
        <v>0</v>
      </c>
      <c r="F100" s="353">
        <f t="shared" si="50"/>
        <v>0</v>
      </c>
      <c r="G100" s="471">
        <f t="shared" si="51"/>
        <v>0</v>
      </c>
      <c r="H100" s="599"/>
      <c r="I100" s="600"/>
      <c r="J100" s="600"/>
      <c r="K100" s="601"/>
      <c r="L100" s="585"/>
      <c r="M100" s="586"/>
      <c r="N100" s="585"/>
      <c r="O100" s="586"/>
      <c r="P100" s="639">
        <v>0</v>
      </c>
      <c r="Q100" s="639">
        <v>0</v>
      </c>
      <c r="R100" s="309"/>
      <c r="S100" s="309"/>
      <c r="T100" s="309"/>
      <c r="U100" s="309"/>
      <c r="V100" s="595"/>
      <c r="W100" s="596"/>
      <c r="X100" s="309"/>
      <c r="Y100" s="639">
        <v>0</v>
      </c>
      <c r="Z100" s="309">
        <f>IF(BX100=1,Y100,R100)*C100</f>
        <v>0</v>
      </c>
      <c r="AA100" s="309"/>
      <c r="AB100" s="309">
        <f>Z100-AA100</f>
        <v>0</v>
      </c>
      <c r="AC100" s="555">
        <v>0</v>
      </c>
      <c r="AD100" s="595">
        <f t="shared" si="46"/>
        <v>0</v>
      </c>
      <c r="AE100" s="596">
        <f t="shared" si="47"/>
        <v>0</v>
      </c>
      <c r="AF100" s="597">
        <f>IF(AE100=0,0,AB100/AE100)</f>
        <v>0</v>
      </c>
      <c r="AG100" s="458">
        <f>IF(AE100=0,0,(T100-AB100)/AE100)</f>
        <v>0</v>
      </c>
      <c r="AH100" s="458">
        <f>X100-AF100-AG100</f>
        <v>0</v>
      </c>
      <c r="AI100" s="458">
        <f>VLOOKUP(V100,$H$3:$N$8,7,FALSE)</f>
        <v>0</v>
      </c>
      <c r="AJ100" s="458">
        <f>VLOOKUP(AD100,$H$3:$N$8,7,FALSE)</f>
        <v>0</v>
      </c>
      <c r="AK100" s="458">
        <f>IF(AND(AG100=0,AH100=0),0,(X100*AI100-AF100*AJ100)/IF(AG100+AH100=0,ABS(AG100)*2,AG100+AH100)*AG100)</f>
        <v>0</v>
      </c>
      <c r="AL100" s="458">
        <f>IF(AND(AG100=0,AH100=0),0,(X100*AI100-AF100*AJ100)/IF(AG100+AH100=0,ABS(AG100)*2,AG100+AH100)*AH100)</f>
        <v>0</v>
      </c>
      <c r="AQ100" s="587"/>
      <c r="AT100" s="405">
        <v>0</v>
      </c>
      <c r="AU100" s="598">
        <f>IF(BX100=1,AT100,AM100)*C100</f>
        <v>0</v>
      </c>
      <c r="AV100" s="309"/>
      <c r="AW100" s="309">
        <f>AU100+AV100</f>
        <v>0</v>
      </c>
      <c r="AX100" s="555">
        <v>0</v>
      </c>
      <c r="AY100" s="595">
        <f>VLOOKUP(BW100,$R$22:$X$26,5,FALSE)</f>
        <v>0</v>
      </c>
      <c r="AZ100" s="596">
        <f>VLOOKUP(BW100,$R$22:$X$26,7,FALSE)</f>
        <v>0</v>
      </c>
      <c r="BA100" s="458">
        <f>IF(AZ100=0,0,AW100/AZ100)</f>
        <v>0</v>
      </c>
      <c r="BB100" s="458">
        <f>IF(AZ100=0,0,(AO100-AW100)/AZ100)</f>
        <v>0</v>
      </c>
      <c r="BC100" s="458">
        <f>AS100-BA100-BB100</f>
        <v>0</v>
      </c>
      <c r="BD100" s="458">
        <f>VLOOKUP(AQ100,$H$3:$N$8,7,FALSE)</f>
        <v>0</v>
      </c>
      <c r="BE100" s="458">
        <f>VLOOKUP(AY100,$H$3:$N$8,7,FALSE)</f>
        <v>0</v>
      </c>
      <c r="BF100" s="458">
        <f>IF(AND(BB100=0,BC100=0),0,(AS100*BD100-BA100*BE100)/IF(BB100+BC100=0,ABS(BB100)*2,BB100+BC100)*BB100)</f>
        <v>0</v>
      </c>
      <c r="BG100" s="458">
        <f>IF(AND(BB100=0,BC100=0),0,(AS100*BD100-BA100*BE100)/IF(BB100+BC100=0,ABS(BB100)*2,BB100+BC100)*BC100)</f>
        <v>0</v>
      </c>
      <c r="BI100" s="600"/>
      <c r="BJ100" s="600"/>
      <c r="BT100" s="476"/>
      <c r="BU100" s="405">
        <v>0</v>
      </c>
      <c r="BV100" s="319">
        <f t="shared" si="48"/>
        <v>0</v>
      </c>
      <c r="BX100" s="319">
        <f>IF('Modelo Energético '!$Q125=TRUE,1,0)</f>
        <v>1</v>
      </c>
      <c r="DP100" s="556"/>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row>
    <row r="101" spans="1:256" s="319" customFormat="1" ht="13.2">
      <c r="A101" s="594" t="s">
        <v>2214</v>
      </c>
      <c r="B101" s="481"/>
      <c r="C101" s="594">
        <f>IF($C$10&lt;'Modelo Energético '!R126,0,1)</f>
        <v>1</v>
      </c>
      <c r="D101" s="637"/>
      <c r="E101" s="576">
        <f t="shared" si="49"/>
        <v>0</v>
      </c>
      <c r="F101" s="353">
        <f t="shared" si="50"/>
        <v>0</v>
      </c>
      <c r="G101" s="471">
        <f t="shared" si="51"/>
        <v>0</v>
      </c>
      <c r="H101" s="599"/>
      <c r="I101" s="600"/>
      <c r="J101" s="600"/>
      <c r="K101" s="601"/>
      <c r="L101" s="585"/>
      <c r="M101" s="586"/>
      <c r="N101" s="585"/>
      <c r="O101" s="586"/>
      <c r="P101" s="639">
        <v>0</v>
      </c>
      <c r="Q101" s="639">
        <v>0</v>
      </c>
      <c r="R101" s="309"/>
      <c r="S101" s="309"/>
      <c r="T101" s="309"/>
      <c r="U101" s="309"/>
      <c r="V101" s="595"/>
      <c r="W101" s="596"/>
      <c r="X101" s="309"/>
      <c r="Y101" s="639">
        <v>0</v>
      </c>
      <c r="Z101" s="309">
        <f>IF(BX101=1,Y101,R101)*C101</f>
        <v>0</v>
      </c>
      <c r="AA101" s="309"/>
      <c r="AB101" s="309">
        <f>Z101-AA101</f>
        <v>0</v>
      </c>
      <c r="AC101" s="555">
        <v>0</v>
      </c>
      <c r="AD101" s="595">
        <f t="shared" si="46"/>
        <v>0</v>
      </c>
      <c r="AE101" s="596">
        <f t="shared" si="47"/>
        <v>0</v>
      </c>
      <c r="AF101" s="597">
        <f>IF(AE101=0,0,AB101/AE101)</f>
        <v>0</v>
      </c>
      <c r="AG101" s="458">
        <f>IF(AE101=0,0,(T101-AB101)/AE101)</f>
        <v>0</v>
      </c>
      <c r="AH101" s="458">
        <f>X101-AF101-AG101</f>
        <v>0</v>
      </c>
      <c r="AI101" s="458">
        <f>VLOOKUP(V101,$H$3:$N$8,7,FALSE)</f>
        <v>0</v>
      </c>
      <c r="AJ101" s="458">
        <f>VLOOKUP(AD101,$H$3:$N$8,7,FALSE)</f>
        <v>0</v>
      </c>
      <c r="AK101" s="458">
        <f>IF(AND(AG101=0,AH101=0),0,(X101*AI101-AF101*AJ101)/IF(AG101+AH101=0,ABS(AG101)*2,AG101+AH101)*AG101)</f>
        <v>0</v>
      </c>
      <c r="AL101" s="458">
        <f>IF(AND(AG101=0,AH101=0),0,(X101*AI101-AF101*AJ101)/IF(AG101+AH101=0,ABS(AG101)*2,AG101+AH101)*AH101)</f>
        <v>0</v>
      </c>
      <c r="AQ101" s="587"/>
      <c r="AT101" s="405">
        <v>0</v>
      </c>
      <c r="AU101" s="598">
        <f>IF(BX101=1,AT101,AM101)*C101</f>
        <v>0</v>
      </c>
      <c r="AV101" s="309"/>
      <c r="AW101" s="309">
        <f>AU101+AV101</f>
        <v>0</v>
      </c>
      <c r="AX101" s="555">
        <v>0</v>
      </c>
      <c r="AY101" s="595">
        <f>VLOOKUP(BW101,$R$22:$X$26,5,FALSE)</f>
        <v>0</v>
      </c>
      <c r="AZ101" s="596">
        <f>VLOOKUP(BW101,$R$22:$X$26,7,FALSE)</f>
        <v>0</v>
      </c>
      <c r="BA101" s="458">
        <f>IF(AZ101=0,0,AW101/AZ101)</f>
        <v>0</v>
      </c>
      <c r="BB101" s="458">
        <f>IF(AZ101=0,0,(AO101-AW101)/AZ101)</f>
        <v>0</v>
      </c>
      <c r="BC101" s="458">
        <f>AS101-BA101-BB101</f>
        <v>0</v>
      </c>
      <c r="BD101" s="458">
        <f>VLOOKUP(AQ101,$H$3:$N$8,7,FALSE)</f>
        <v>0</v>
      </c>
      <c r="BE101" s="458">
        <f>VLOOKUP(AY101,$H$3:$N$8,7,FALSE)</f>
        <v>0</v>
      </c>
      <c r="BF101" s="458">
        <f>IF(AND(BB101=0,BC101=0),0,(AS101*BD101-BA101*BE101)/IF(BB101+BC101=0,ABS(BB101)*2,BB101+BC101)*BB101)</f>
        <v>0</v>
      </c>
      <c r="BG101" s="458">
        <f>IF(AND(BB101=0,BC101=0),0,(AS101*BD101-BA101*BE101)/IF(BB101+BC101=0,ABS(BB101)*2,BB101+BC101)*BC101)</f>
        <v>0</v>
      </c>
      <c r="BI101" s="600"/>
      <c r="BJ101" s="600"/>
      <c r="BT101" s="476"/>
      <c r="BU101" s="405">
        <v>0</v>
      </c>
      <c r="BV101" s="319">
        <f t="shared" si="48"/>
        <v>0</v>
      </c>
      <c r="BX101" s="319">
        <f>IF('Modelo Energético '!$Q126=TRUE,1,0)</f>
        <v>1</v>
      </c>
      <c r="DP101" s="556"/>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row>
    <row r="102" spans="1:256" s="319" customFormat="1" ht="13.2">
      <c r="A102" s="594" t="s">
        <v>2215</v>
      </c>
      <c r="B102" s="481"/>
      <c r="C102" s="594">
        <f>IF($C$10&lt;'Modelo Energético '!R127,0,1)</f>
        <v>1</v>
      </c>
      <c r="D102" s="637"/>
      <c r="E102" s="576">
        <f t="shared" si="49"/>
        <v>0</v>
      </c>
      <c r="F102" s="353">
        <f t="shared" si="50"/>
        <v>0</v>
      </c>
      <c r="G102" s="471">
        <f t="shared" si="51"/>
        <v>0</v>
      </c>
      <c r="H102" s="599"/>
      <c r="I102" s="600"/>
      <c r="J102" s="600"/>
      <c r="K102" s="601"/>
      <c r="L102" s="585"/>
      <c r="M102" s="586"/>
      <c r="N102" s="585"/>
      <c r="O102" s="586"/>
      <c r="P102" s="639">
        <v>0</v>
      </c>
      <c r="Q102" s="639">
        <v>0</v>
      </c>
      <c r="R102" s="309"/>
      <c r="S102" s="309"/>
      <c r="T102" s="309"/>
      <c r="U102" s="309"/>
      <c r="V102" s="595"/>
      <c r="W102" s="596"/>
      <c r="X102" s="309"/>
      <c r="Y102" s="639">
        <v>0</v>
      </c>
      <c r="Z102" s="309">
        <f>IF(BX102=1,Y102,R102)*C102</f>
        <v>0</v>
      </c>
      <c r="AA102" s="309"/>
      <c r="AB102" s="309">
        <f>Z102-AA102</f>
        <v>0</v>
      </c>
      <c r="AC102" s="555">
        <v>0</v>
      </c>
      <c r="AD102" s="595">
        <f t="shared" si="46"/>
        <v>0</v>
      </c>
      <c r="AE102" s="596">
        <f t="shared" si="47"/>
        <v>0</v>
      </c>
      <c r="AF102" s="597">
        <f>IF(AE102=0,0,AB102/AE102)</f>
        <v>0</v>
      </c>
      <c r="AG102" s="458">
        <f>IF(AE102=0,0,(T102-AB102)/AE102)</f>
        <v>0</v>
      </c>
      <c r="AH102" s="458">
        <f>X102-AF102-AG102</f>
        <v>0</v>
      </c>
      <c r="AI102" s="458">
        <f>VLOOKUP(V102,$H$3:$N$8,7,FALSE)</f>
        <v>0</v>
      </c>
      <c r="AJ102" s="458">
        <f>VLOOKUP(AD102,$H$3:$N$8,7,FALSE)</f>
        <v>0</v>
      </c>
      <c r="AK102" s="458">
        <f>IF(AND(AG102=0,AH102=0),0,(X102*AI102-AF102*AJ102)/IF(AG102+AH102=0,ABS(AG102)*2,AG102+AH102)*AG102)</f>
        <v>0</v>
      </c>
      <c r="AL102" s="458">
        <f>IF(AND(AG102=0,AH102=0),0,(X102*AI102-AF102*AJ102)/IF(AG102+AH102=0,ABS(AG102)*2,AG102+AH102)*AH102)</f>
        <v>0</v>
      </c>
      <c r="AQ102" s="587"/>
      <c r="AT102" s="405">
        <v>0</v>
      </c>
      <c r="AU102" s="598">
        <f>IF(BX102=1,AT102,AM102)*C102</f>
        <v>0</v>
      </c>
      <c r="AV102" s="309"/>
      <c r="AW102" s="309">
        <f>AU102+AV102</f>
        <v>0</v>
      </c>
      <c r="AX102" s="555">
        <v>0</v>
      </c>
      <c r="AY102" s="595">
        <f>VLOOKUP(BW102,$R$22:$X$26,5,FALSE)</f>
        <v>0</v>
      </c>
      <c r="AZ102" s="596">
        <f>VLOOKUP(BW102,$R$22:$X$26,7,FALSE)</f>
        <v>0</v>
      </c>
      <c r="BA102" s="458">
        <f>IF(AZ102=0,0,AW102/AZ102)</f>
        <v>0</v>
      </c>
      <c r="BB102" s="458">
        <f>IF(AZ102=0,0,(AO102-AW102)/AZ102)</f>
        <v>0</v>
      </c>
      <c r="BC102" s="458">
        <f>AS102-BA102-BB102</f>
        <v>0</v>
      </c>
      <c r="BD102" s="458">
        <f>VLOOKUP(AQ102,$H$3:$N$8,7,FALSE)</f>
        <v>0</v>
      </c>
      <c r="BE102" s="458">
        <f>VLOOKUP(AY102,$H$3:$N$8,7,FALSE)</f>
        <v>0</v>
      </c>
      <c r="BF102" s="458">
        <f>IF(AND(BB102=0,BC102=0),0,(AS102*BD102-BA102*BE102)/IF(BB102+BC102=0,ABS(BB102)*2,BB102+BC102)*BB102)</f>
        <v>0</v>
      </c>
      <c r="BG102" s="458">
        <f>IF(AND(BB102=0,BC102=0),0,(AS102*BD102-BA102*BE102)/IF(BB102+BC102=0,ABS(BB102)*2,BB102+BC102)*BC102)</f>
        <v>0</v>
      </c>
      <c r="BI102" s="600"/>
      <c r="BJ102" s="600"/>
      <c r="BT102" s="476"/>
      <c r="BU102" s="405">
        <v>0</v>
      </c>
      <c r="BV102" s="319">
        <f t="shared" si="48"/>
        <v>0</v>
      </c>
      <c r="BX102" s="319">
        <f>IF('Modelo Energético '!$Q127=TRUE,1,0)</f>
        <v>1</v>
      </c>
      <c r="DP102" s="556"/>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row>
    <row r="103" spans="1:256" s="319" customFormat="1" ht="13.2">
      <c r="A103" s="594" t="s">
        <v>4109</v>
      </c>
      <c r="B103" s="481"/>
      <c r="C103" s="594">
        <f>IF($C$10&lt;'Modelo Energético '!R128,0,1)</f>
        <v>1</v>
      </c>
      <c r="D103" s="637"/>
      <c r="E103" s="576">
        <f t="shared" si="49"/>
        <v>0</v>
      </c>
      <c r="F103" s="353">
        <f t="shared" si="50"/>
        <v>0</v>
      </c>
      <c r="G103" s="471">
        <f t="shared" si="51"/>
        <v>0</v>
      </c>
      <c r="H103" s="599"/>
      <c r="I103" s="600"/>
      <c r="J103" s="600"/>
      <c r="K103" s="601"/>
      <c r="L103" s="585"/>
      <c r="M103" s="586"/>
      <c r="N103" s="585"/>
      <c r="O103" s="586"/>
      <c r="P103" s="639">
        <v>0</v>
      </c>
      <c r="Q103" s="639">
        <v>0</v>
      </c>
      <c r="R103" s="309"/>
      <c r="S103" s="309"/>
      <c r="T103" s="309"/>
      <c r="U103" s="309"/>
      <c r="V103" s="595"/>
      <c r="W103" s="596"/>
      <c r="X103" s="309"/>
      <c r="Y103" s="639">
        <v>0</v>
      </c>
      <c r="Z103" s="309">
        <f>IF(BX103=1,Y103,R103)*C103</f>
        <v>0</v>
      </c>
      <c r="AA103" s="309"/>
      <c r="AB103" s="309">
        <f>Z103-AA103</f>
        <v>0</v>
      </c>
      <c r="AC103" s="555">
        <v>0</v>
      </c>
      <c r="AD103" s="595">
        <f t="shared" si="46"/>
        <v>0</v>
      </c>
      <c r="AE103" s="596">
        <f t="shared" si="47"/>
        <v>0</v>
      </c>
      <c r="AF103" s="597">
        <f>IF(AE103=0,0,AB103/AE103)</f>
        <v>0</v>
      </c>
      <c r="AG103" s="458">
        <f>IF(AE103=0,0,(T103-AB103)/AE103)</f>
        <v>0</v>
      </c>
      <c r="AH103" s="458">
        <f>X103-AF103-AG103</f>
        <v>0</v>
      </c>
      <c r="AI103" s="458">
        <f>VLOOKUP(V103,$H$3:$N$8,7,FALSE)</f>
        <v>0</v>
      </c>
      <c r="AJ103" s="458">
        <f>VLOOKUP(AD103,$H$3:$N$8,7,FALSE)</f>
        <v>0</v>
      </c>
      <c r="AK103" s="458">
        <f>IF(AND(AG103=0,AH103=0),0,(X103*AI103-AF103*AJ103)/IF(AG103+AH103=0,ABS(AG103)*2,AG103+AH103)*AG103)</f>
        <v>0</v>
      </c>
      <c r="AL103" s="458">
        <f>IF(AND(AG103=0,AH103=0),0,(X103*AI103-AF103*AJ103)/IF(AG103+AH103=0,ABS(AG103)*2,AG103+AH103)*AH103)</f>
        <v>0</v>
      </c>
      <c r="AQ103" s="587"/>
      <c r="AT103" s="405">
        <v>0</v>
      </c>
      <c r="AU103" s="598">
        <f>IF(BX103=1,AT103,AM103)*C103</f>
        <v>0</v>
      </c>
      <c r="AV103" s="309"/>
      <c r="AW103" s="309">
        <f>AU103+AV103</f>
        <v>0</v>
      </c>
      <c r="AX103" s="555">
        <v>0</v>
      </c>
      <c r="AY103" s="595">
        <f>VLOOKUP(BW103,$R$22:$X$26,5,FALSE)</f>
        <v>0</v>
      </c>
      <c r="AZ103" s="596">
        <f>VLOOKUP(BW103,$R$22:$X$26,7,FALSE)</f>
        <v>0</v>
      </c>
      <c r="BA103" s="458">
        <f>IF(AZ103=0,0,AW103/AZ103)</f>
        <v>0</v>
      </c>
      <c r="BB103" s="458">
        <f>IF(AZ103=0,0,(AO103-AW103)/AZ103)</f>
        <v>0</v>
      </c>
      <c r="BC103" s="458">
        <f>AS103-BA103-BB103</f>
        <v>0</v>
      </c>
      <c r="BD103" s="458">
        <f>VLOOKUP(AQ103,$H$3:$N$8,7,FALSE)</f>
        <v>0</v>
      </c>
      <c r="BE103" s="458">
        <f>VLOOKUP(AY103,$H$3:$N$8,7,FALSE)</f>
        <v>0</v>
      </c>
      <c r="BF103" s="458">
        <f>IF(AND(BB103=0,BC103=0),0,(AS103*BD103-BA103*BE103)/IF(BB103+BC103=0,ABS(BB103)*2,BB103+BC103)*BB103)</f>
        <v>0</v>
      </c>
      <c r="BG103" s="458">
        <f>IF(AND(BB103=0,BC103=0),0,(AS103*BD103-BA103*BE103)/IF(BB103+BC103=0,ABS(BB103)*2,BB103+BC103)*BC103)</f>
        <v>0</v>
      </c>
      <c r="BI103" s="600"/>
      <c r="BJ103" s="600"/>
      <c r="BT103" s="476"/>
      <c r="BU103" s="405">
        <v>0</v>
      </c>
      <c r="BV103" s="319">
        <f t="shared" si="48"/>
        <v>0</v>
      </c>
      <c r="BX103" s="319">
        <f>IF('Modelo Energético '!$Q128=TRUE,1,0)</f>
        <v>1</v>
      </c>
      <c r="DP103" s="556"/>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row>
    <row r="104" spans="1:256" s="319" customFormat="1" ht="13.2">
      <c r="A104" s="594" t="s">
        <v>4110</v>
      </c>
      <c r="B104" s="481"/>
      <c r="C104" s="594">
        <f>IF($C$10&lt;'Modelo Energético '!R129,0,1)</f>
        <v>1</v>
      </c>
      <c r="D104" s="637"/>
      <c r="E104" s="576">
        <f t="shared" si="49"/>
        <v>0</v>
      </c>
      <c r="F104" s="353">
        <f t="shared" si="50"/>
        <v>0</v>
      </c>
      <c r="G104" s="471">
        <f t="shared" si="51"/>
        <v>0</v>
      </c>
      <c r="H104" s="599"/>
      <c r="I104" s="600"/>
      <c r="J104" s="600"/>
      <c r="K104" s="601"/>
      <c r="L104" s="585"/>
      <c r="M104" s="586"/>
      <c r="N104" s="585"/>
      <c r="O104" s="586"/>
      <c r="P104" s="639">
        <v>0</v>
      </c>
      <c r="Q104" s="639">
        <v>0</v>
      </c>
      <c r="R104" s="309"/>
      <c r="S104" s="309"/>
      <c r="T104" s="309"/>
      <c r="U104" s="309"/>
      <c r="V104" s="595"/>
      <c r="W104" s="596"/>
      <c r="X104" s="309"/>
      <c r="Y104" s="639">
        <v>0</v>
      </c>
      <c r="Z104" s="309">
        <f>IF(BX104=1,Y104,R104)*C104</f>
        <v>0</v>
      </c>
      <c r="AA104" s="309"/>
      <c r="AB104" s="309">
        <f>Z104-AA104</f>
        <v>0</v>
      </c>
      <c r="AC104" s="555">
        <v>0</v>
      </c>
      <c r="AD104" s="595">
        <f t="shared" si="46"/>
        <v>0</v>
      </c>
      <c r="AE104" s="596">
        <f t="shared" si="47"/>
        <v>0</v>
      </c>
      <c r="AF104" s="597">
        <f>IF(AE104=0,0,AB104/AE104)</f>
        <v>0</v>
      </c>
      <c r="AG104" s="458">
        <f>IF(AE104=0,0,(T104-AB104)/AE104)</f>
        <v>0</v>
      </c>
      <c r="AH104" s="458">
        <f>X104-AF104-AG104</f>
        <v>0</v>
      </c>
      <c r="AI104" s="458">
        <f>VLOOKUP(V104,$H$3:$N$8,7,FALSE)</f>
        <v>0</v>
      </c>
      <c r="AJ104" s="458">
        <f>VLOOKUP(AD104,$H$3:$N$8,7,FALSE)</f>
        <v>0</v>
      </c>
      <c r="AK104" s="458">
        <f>IF(AND(AG104=0,AH104=0),0,(X104*AI104-AF104*AJ104)/IF(AG104+AH104=0,ABS(AG104)*2,AG104+AH104)*AG104)</f>
        <v>0</v>
      </c>
      <c r="AL104" s="458">
        <f>IF(AND(AG104=0,AH104=0),0,(X104*AI104-AF104*AJ104)/IF(AG104+AH104=0,ABS(AG104)*2,AG104+AH104)*AH104)</f>
        <v>0</v>
      </c>
      <c r="AQ104" s="587"/>
      <c r="AT104" s="405">
        <v>0</v>
      </c>
      <c r="AU104" s="598">
        <f>IF(BX104=1,AT104,AM104)*C104</f>
        <v>0</v>
      </c>
      <c r="AV104" s="309"/>
      <c r="AW104" s="309">
        <f>AU104+AV104</f>
        <v>0</v>
      </c>
      <c r="AX104" s="555">
        <v>0</v>
      </c>
      <c r="AY104" s="595">
        <f>VLOOKUP(BW104,$R$22:$X$26,5,FALSE)</f>
        <v>0</v>
      </c>
      <c r="AZ104" s="596">
        <f>VLOOKUP(BW104,$R$22:$X$26,7,FALSE)</f>
        <v>0</v>
      </c>
      <c r="BA104" s="458">
        <f>IF(AZ104=0,0,AW104/AZ104)</f>
        <v>0</v>
      </c>
      <c r="BB104" s="458">
        <f>IF(AZ104=0,0,(AO104-AW104)/AZ104)</f>
        <v>0</v>
      </c>
      <c r="BC104" s="458">
        <f>AS104-BA104-BB104</f>
        <v>0</v>
      </c>
      <c r="BD104" s="458">
        <f>VLOOKUP(AQ104,$H$3:$N$8,7,FALSE)</f>
        <v>0</v>
      </c>
      <c r="BE104" s="458">
        <f>VLOOKUP(AY104,$H$3:$N$8,7,FALSE)</f>
        <v>0</v>
      </c>
      <c r="BF104" s="458">
        <f>IF(AND(BB104=0,BC104=0),0,(AS104*BD104-BA104*BE104)/IF(BB104+BC104=0,ABS(BB104)*2,BB104+BC104)*BB104)</f>
        <v>0</v>
      </c>
      <c r="BG104" s="458">
        <f>IF(AND(BB104=0,BC104=0),0,(AS104*BD104-BA104*BE104)/IF(BB104+BC104=0,ABS(BB104)*2,BB104+BC104)*BC104)</f>
        <v>0</v>
      </c>
      <c r="BI104" s="600"/>
      <c r="BJ104" s="600"/>
      <c r="BT104" s="476"/>
      <c r="BU104" s="405">
        <v>0</v>
      </c>
      <c r="BV104" s="319">
        <f t="shared" si="48"/>
        <v>0</v>
      </c>
      <c r="BX104" s="319">
        <f>IF('Modelo Energético '!$Q129=TRUE,1,0)</f>
        <v>1</v>
      </c>
      <c r="DP104" s="556"/>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row>
    <row r="105" spans="1:256" s="319" customFormat="1" ht="40.5" customHeight="1">
      <c r="A105" s="594"/>
      <c r="B105" s="481"/>
      <c r="C105" s="594"/>
      <c r="E105" s="576"/>
      <c r="F105" s="353"/>
      <c r="G105" s="471"/>
      <c r="H105" s="599"/>
      <c r="I105" s="600"/>
      <c r="J105" s="600"/>
      <c r="K105" s="601"/>
      <c r="L105" s="585"/>
      <c r="M105" s="586"/>
      <c r="N105" s="585"/>
      <c r="O105" s="586"/>
      <c r="P105" s="603" t="s">
        <v>1134</v>
      </c>
      <c r="Q105" s="603" t="s">
        <v>1135</v>
      </c>
      <c r="V105" s="595"/>
      <c r="W105" s="596"/>
      <c r="Z105" s="309"/>
      <c r="AD105" s="587"/>
      <c r="AI105" s="603"/>
      <c r="AJ105" s="603"/>
      <c r="AK105" s="603"/>
      <c r="AL105" s="603"/>
      <c r="AM105" s="603"/>
      <c r="AN105" s="603"/>
      <c r="AO105" s="603"/>
      <c r="AP105" s="603"/>
      <c r="AQ105" s="604"/>
      <c r="AR105" s="603"/>
      <c r="AS105" s="603"/>
      <c r="AT105" s="603"/>
      <c r="AU105" s="598"/>
      <c r="AV105" s="603"/>
      <c r="AW105" s="603"/>
      <c r="AX105" s="603"/>
      <c r="AY105" s="604"/>
      <c r="AZ105" s="603"/>
      <c r="BA105" s="603"/>
      <c r="BB105" s="603"/>
      <c r="BC105" s="603"/>
      <c r="BD105" s="603"/>
      <c r="BE105" s="603"/>
      <c r="BF105" s="603"/>
      <c r="BG105" s="603"/>
      <c r="BH105" s="603"/>
      <c r="BI105" s="609"/>
      <c r="BJ105" s="609"/>
      <c r="BK105" s="603"/>
      <c r="BL105" s="603" t="s">
        <v>1305</v>
      </c>
      <c r="BM105" s="603" t="s">
        <v>5061</v>
      </c>
      <c r="BN105" s="603"/>
      <c r="BO105" s="603"/>
      <c r="BP105" s="603"/>
      <c r="BQ105" s="603"/>
      <c r="BR105" s="603" t="s">
        <v>4174</v>
      </c>
      <c r="BS105" s="603" t="s">
        <v>4202</v>
      </c>
      <c r="BT105" s="606"/>
      <c r="BU105" s="603" t="s">
        <v>4203</v>
      </c>
      <c r="BV105" s="603"/>
      <c r="BW105" s="603"/>
      <c r="BY105" s="603"/>
      <c r="BZ105" s="603"/>
      <c r="CA105" s="603"/>
      <c r="CB105" s="603"/>
      <c r="CC105" s="603"/>
      <c r="CD105" s="603"/>
      <c r="CE105" s="603"/>
      <c r="CF105" s="603"/>
      <c r="CG105" s="603"/>
      <c r="CH105" s="603"/>
      <c r="CI105" s="603"/>
      <c r="CJ105" s="603"/>
      <c r="CK105" s="603"/>
      <c r="CL105" s="603"/>
      <c r="DP105" s="556"/>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row>
    <row r="106" spans="1:256" s="319" customFormat="1" ht="13.2">
      <c r="A106" s="594" t="s">
        <v>4327</v>
      </c>
      <c r="B106" s="481"/>
      <c r="C106" s="594">
        <f>IF($C$10&lt;'Modelo Energético '!R131,0,1)</f>
        <v>1</v>
      </c>
      <c r="D106" s="637"/>
      <c r="E106" s="576">
        <f t="shared" si="49"/>
        <v>0</v>
      </c>
      <c r="F106" s="353">
        <f t="shared" si="50"/>
        <v>0</v>
      </c>
      <c r="G106" s="471">
        <f t="shared" si="51"/>
        <v>0</v>
      </c>
      <c r="H106" s="599">
        <f t="shared" ref="H106:K110" si="52">BN106</f>
        <v>0</v>
      </c>
      <c r="I106" s="600">
        <f t="shared" si="52"/>
        <v>0</v>
      </c>
      <c r="J106" s="600">
        <f t="shared" si="52"/>
        <v>0</v>
      </c>
      <c r="K106" s="601">
        <f t="shared" si="52"/>
        <v>0</v>
      </c>
      <c r="L106" s="585"/>
      <c r="M106" s="586"/>
      <c r="N106" s="585"/>
      <c r="O106" s="586"/>
      <c r="P106" s="639">
        <v>0</v>
      </c>
      <c r="Q106" s="639">
        <v>0</v>
      </c>
      <c r="V106" s="595"/>
      <c r="W106" s="596"/>
      <c r="Z106" s="309"/>
      <c r="AD106" s="587"/>
      <c r="AQ106" s="587"/>
      <c r="AU106" s="598"/>
      <c r="AY106" s="587"/>
      <c r="BH106" s="458">
        <f>(BI106-BK106)*$N$3</f>
        <v>0</v>
      </c>
      <c r="BI106" s="600">
        <f t="shared" ref="BI106:BJ110" si="53">BR106*$C106</f>
        <v>0</v>
      </c>
      <c r="BJ106" s="600">
        <f t="shared" si="53"/>
        <v>0</v>
      </c>
      <c r="BK106" s="598">
        <f>IF(BX106=1,BJ106,BI106)</f>
        <v>0</v>
      </c>
      <c r="BL106" s="645" t="s">
        <v>1129</v>
      </c>
      <c r="BM106" s="645" t="s">
        <v>1129</v>
      </c>
      <c r="BN106" s="600">
        <f>BI106*IF(BL106=$BL$23,$BJ$22/12,0)</f>
        <v>0</v>
      </c>
      <c r="BO106" s="600">
        <f>BK106*IF(BL106=$BL$23,$BJ$22/12,0)</f>
        <v>0</v>
      </c>
      <c r="BP106" s="600">
        <f>BI106*IF(BM106=$BL$23,$BJ$23/12,0)</f>
        <v>0</v>
      </c>
      <c r="BQ106" s="600">
        <f>BK106*IF(BM106=$BL$23,$BJ$23/12,0)</f>
        <v>0</v>
      </c>
      <c r="BR106" s="405">
        <v>0</v>
      </c>
      <c r="BS106" s="405">
        <v>0</v>
      </c>
      <c r="BT106" s="476"/>
      <c r="BU106" s="405">
        <v>0</v>
      </c>
      <c r="BX106" s="319">
        <f>IF('Modelo Energético '!$Q131=TRUE,1,0)</f>
        <v>1</v>
      </c>
      <c r="DP106" s="55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row>
    <row r="107" spans="1:256" s="319" customFormat="1" ht="13.2">
      <c r="A107" s="594" t="s">
        <v>3966</v>
      </c>
      <c r="B107" s="481"/>
      <c r="C107" s="594">
        <f>IF($C$10&lt;'Modelo Energético '!R132,0,1)</f>
        <v>1</v>
      </c>
      <c r="D107" s="637"/>
      <c r="E107" s="576">
        <f t="shared" si="49"/>
        <v>0</v>
      </c>
      <c r="F107" s="353">
        <f t="shared" si="50"/>
        <v>0</v>
      </c>
      <c r="G107" s="471">
        <f t="shared" si="51"/>
        <v>0</v>
      </c>
      <c r="H107" s="599">
        <f t="shared" si="52"/>
        <v>0</v>
      </c>
      <c r="I107" s="600">
        <f t="shared" si="52"/>
        <v>0</v>
      </c>
      <c r="J107" s="600">
        <f t="shared" si="52"/>
        <v>0</v>
      </c>
      <c r="K107" s="601">
        <f t="shared" si="52"/>
        <v>0</v>
      </c>
      <c r="L107" s="585"/>
      <c r="M107" s="586"/>
      <c r="N107" s="585"/>
      <c r="O107" s="586"/>
      <c r="P107" s="639">
        <v>0</v>
      </c>
      <c r="Q107" s="639">
        <v>0</v>
      </c>
      <c r="V107" s="595"/>
      <c r="W107" s="596"/>
      <c r="Z107" s="309"/>
      <c r="AD107" s="587"/>
      <c r="AQ107" s="587"/>
      <c r="AU107" s="598"/>
      <c r="AY107" s="587"/>
      <c r="BH107" s="458">
        <f>(BI107-BK107)*$N$3</f>
        <v>0</v>
      </c>
      <c r="BI107" s="600">
        <f t="shared" si="53"/>
        <v>0</v>
      </c>
      <c r="BJ107" s="600">
        <f t="shared" si="53"/>
        <v>0</v>
      </c>
      <c r="BK107" s="598">
        <f>IF(BX107=1,BJ107,BI107)</f>
        <v>0</v>
      </c>
      <c r="BL107" s="645" t="s">
        <v>1129</v>
      </c>
      <c r="BM107" s="645" t="s">
        <v>1129</v>
      </c>
      <c r="BN107" s="600">
        <f>BI107*IF(BL107=$BL$23,$BJ$22/12,0)</f>
        <v>0</v>
      </c>
      <c r="BO107" s="600">
        <f>BK107*IF(BL107=$BL$23,$BJ$22/12,0)</f>
        <v>0</v>
      </c>
      <c r="BP107" s="600">
        <f>BI107*IF(BM107=$BL$23,$BJ$23/12,0)</f>
        <v>0</v>
      </c>
      <c r="BQ107" s="600">
        <f>BK107*IF(BM107=$BL$23,$BJ$23/12,0)</f>
        <v>0</v>
      </c>
      <c r="BR107" s="405">
        <v>0</v>
      </c>
      <c r="BS107" s="405">
        <v>0</v>
      </c>
      <c r="BT107" s="476"/>
      <c r="BU107" s="405">
        <v>0</v>
      </c>
      <c r="BX107" s="319">
        <f>IF('Modelo Energético '!$Q132=TRUE,1,0)</f>
        <v>1</v>
      </c>
      <c r="DP107" s="556"/>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row>
    <row r="108" spans="1:256" s="319" customFormat="1" ht="13.2">
      <c r="A108" s="594" t="s">
        <v>1564</v>
      </c>
      <c r="B108" s="481"/>
      <c r="C108" s="594">
        <f>IF($C$10&lt;'Modelo Energético '!R133,0,1)</f>
        <v>1</v>
      </c>
      <c r="D108" s="637"/>
      <c r="E108" s="576">
        <f t="shared" si="49"/>
        <v>0</v>
      </c>
      <c r="F108" s="353">
        <f t="shared" si="50"/>
        <v>0</v>
      </c>
      <c r="G108" s="471">
        <f t="shared" si="51"/>
        <v>0</v>
      </c>
      <c r="H108" s="599">
        <f t="shared" si="52"/>
        <v>0</v>
      </c>
      <c r="I108" s="600">
        <f t="shared" si="52"/>
        <v>0</v>
      </c>
      <c r="J108" s="600">
        <f t="shared" si="52"/>
        <v>0</v>
      </c>
      <c r="K108" s="601">
        <f t="shared" si="52"/>
        <v>0</v>
      </c>
      <c r="L108" s="585"/>
      <c r="M108" s="586"/>
      <c r="N108" s="585"/>
      <c r="O108" s="586"/>
      <c r="P108" s="639">
        <v>0</v>
      </c>
      <c r="Q108" s="639">
        <v>0</v>
      </c>
      <c r="V108" s="595"/>
      <c r="W108" s="596"/>
      <c r="Z108" s="309"/>
      <c r="AD108" s="587"/>
      <c r="AQ108" s="587"/>
      <c r="AU108" s="598"/>
      <c r="AY108" s="587"/>
      <c r="BH108" s="458">
        <f>(BI108-BK108)*$N$3</f>
        <v>0</v>
      </c>
      <c r="BI108" s="600">
        <f t="shared" si="53"/>
        <v>0</v>
      </c>
      <c r="BJ108" s="600">
        <f t="shared" si="53"/>
        <v>0</v>
      </c>
      <c r="BK108" s="598">
        <f>IF(BX108=1,BJ108,BI108)</f>
        <v>0</v>
      </c>
      <c r="BL108" s="645" t="s">
        <v>1129</v>
      </c>
      <c r="BM108" s="645" t="s">
        <v>1129</v>
      </c>
      <c r="BN108" s="600">
        <f>BI108*IF(BL108=$BL$23,$BJ$22/12,0)</f>
        <v>0</v>
      </c>
      <c r="BO108" s="600">
        <f>BK108*IF(BL108=$BL$23,$BJ$22/12,0)</f>
        <v>0</v>
      </c>
      <c r="BP108" s="600">
        <f>BI108*IF(BM108=$BL$23,$BJ$23/12,0)</f>
        <v>0</v>
      </c>
      <c r="BQ108" s="600">
        <f>BK108*IF(BM108=$BL$23,$BJ$23/12,0)</f>
        <v>0</v>
      </c>
      <c r="BR108" s="405">
        <v>0</v>
      </c>
      <c r="BS108" s="405">
        <v>0</v>
      </c>
      <c r="BT108" s="476"/>
      <c r="BU108" s="405">
        <v>0</v>
      </c>
      <c r="BX108" s="319">
        <f>IF('Modelo Energético '!$Q133=TRUE,1,0)</f>
        <v>1</v>
      </c>
      <c r="DP108" s="556"/>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row>
    <row r="109" spans="1:256" s="319" customFormat="1" ht="13.2">
      <c r="A109" s="594" t="s">
        <v>1565</v>
      </c>
      <c r="B109" s="481"/>
      <c r="C109" s="594">
        <f>IF($C$10&lt;'Modelo Energético '!R134,0,1)</f>
        <v>1</v>
      </c>
      <c r="D109" s="637"/>
      <c r="E109" s="576">
        <f t="shared" si="49"/>
        <v>0</v>
      </c>
      <c r="F109" s="353">
        <f t="shared" si="50"/>
        <v>0</v>
      </c>
      <c r="G109" s="471">
        <f t="shared" si="51"/>
        <v>0</v>
      </c>
      <c r="H109" s="599">
        <f t="shared" si="52"/>
        <v>0</v>
      </c>
      <c r="I109" s="600">
        <f t="shared" si="52"/>
        <v>0</v>
      </c>
      <c r="J109" s="600">
        <f t="shared" si="52"/>
        <v>0</v>
      </c>
      <c r="K109" s="601">
        <f t="shared" si="52"/>
        <v>0</v>
      </c>
      <c r="L109" s="585"/>
      <c r="M109" s="586"/>
      <c r="N109" s="585"/>
      <c r="O109" s="586"/>
      <c r="P109" s="639">
        <v>0</v>
      </c>
      <c r="Q109" s="639">
        <v>0</v>
      </c>
      <c r="V109" s="595"/>
      <c r="W109" s="596"/>
      <c r="Z109" s="309"/>
      <c r="AD109" s="587"/>
      <c r="AQ109" s="587"/>
      <c r="AU109" s="598"/>
      <c r="AY109" s="587"/>
      <c r="BH109" s="458">
        <f>(BI109-BK109)*$N$3</f>
        <v>0</v>
      </c>
      <c r="BI109" s="600">
        <f t="shared" si="53"/>
        <v>0</v>
      </c>
      <c r="BJ109" s="600">
        <f t="shared" si="53"/>
        <v>0</v>
      </c>
      <c r="BK109" s="598">
        <f>IF(BX109=1,BJ109,BI109)</f>
        <v>0</v>
      </c>
      <c r="BL109" s="645" t="s">
        <v>1129</v>
      </c>
      <c r="BM109" s="645" t="s">
        <v>1129</v>
      </c>
      <c r="BN109" s="600">
        <f>BI109*IF(BL109=$BL$23,$BJ$22/12,0)</f>
        <v>0</v>
      </c>
      <c r="BO109" s="600">
        <f>BK109*IF(BL109=$BL$23,$BJ$22/12,0)</f>
        <v>0</v>
      </c>
      <c r="BP109" s="600">
        <f>BI109*IF(BM109=$BL$23,$BJ$23/12,0)</f>
        <v>0</v>
      </c>
      <c r="BQ109" s="600">
        <f>BK109*IF(BM109=$BL$23,$BJ$23/12,0)</f>
        <v>0</v>
      </c>
      <c r="BR109" s="405">
        <v>0</v>
      </c>
      <c r="BS109" s="405">
        <v>0</v>
      </c>
      <c r="BT109" s="476"/>
      <c r="BU109" s="405">
        <v>0</v>
      </c>
      <c r="BX109" s="319">
        <f>IF('Modelo Energético '!$Q134=TRUE,1,0)</f>
        <v>1</v>
      </c>
      <c r="DP109" s="556"/>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row>
    <row r="110" spans="1:256" s="319" customFormat="1" ht="13.2">
      <c r="A110" s="594" t="s">
        <v>4321</v>
      </c>
      <c r="B110" s="481"/>
      <c r="C110" s="594">
        <f>IF($C$10&lt;'Modelo Energético '!R135,0,1)</f>
        <v>1</v>
      </c>
      <c r="D110" s="637"/>
      <c r="E110" s="576">
        <f t="shared" si="49"/>
        <v>0</v>
      </c>
      <c r="F110" s="353">
        <f t="shared" si="50"/>
        <v>0</v>
      </c>
      <c r="G110" s="471">
        <f t="shared" si="51"/>
        <v>0</v>
      </c>
      <c r="H110" s="599">
        <f t="shared" si="52"/>
        <v>0</v>
      </c>
      <c r="I110" s="600">
        <f t="shared" si="52"/>
        <v>0</v>
      </c>
      <c r="J110" s="600">
        <f t="shared" si="52"/>
        <v>0</v>
      </c>
      <c r="K110" s="601">
        <f t="shared" si="52"/>
        <v>0</v>
      </c>
      <c r="L110" s="585"/>
      <c r="M110" s="586"/>
      <c r="N110" s="585"/>
      <c r="O110" s="586"/>
      <c r="P110" s="639">
        <v>0</v>
      </c>
      <c r="Q110" s="639">
        <v>0</v>
      </c>
      <c r="V110" s="595"/>
      <c r="W110" s="596"/>
      <c r="Z110" s="309"/>
      <c r="AD110" s="587"/>
      <c r="AQ110" s="587"/>
      <c r="AU110" s="598"/>
      <c r="AY110" s="587"/>
      <c r="BH110" s="458">
        <f>(BI110-BK110)*$N$3</f>
        <v>0</v>
      </c>
      <c r="BI110" s="600">
        <f t="shared" si="53"/>
        <v>0</v>
      </c>
      <c r="BJ110" s="600">
        <f t="shared" si="53"/>
        <v>0</v>
      </c>
      <c r="BK110" s="598">
        <f>IF(BX110=1,BJ110,BI110)</f>
        <v>0</v>
      </c>
      <c r="BL110" s="645" t="s">
        <v>1129</v>
      </c>
      <c r="BM110" s="645" t="s">
        <v>1129</v>
      </c>
      <c r="BN110" s="600">
        <f>BI110*IF(BL110=$BL$23,$BJ$22/12,0)</f>
        <v>0</v>
      </c>
      <c r="BO110" s="600">
        <f>BK110*IF(BL110=$BL$23,$BJ$22/12,0)</f>
        <v>0</v>
      </c>
      <c r="BP110" s="600">
        <f>BI110*IF(BM110=$BL$23,$BJ$23/12,0)</f>
        <v>0</v>
      </c>
      <c r="BQ110" s="600">
        <f>BK110*IF(BM110=$BL$23,$BJ$23/12,0)</f>
        <v>0</v>
      </c>
      <c r="BR110" s="405">
        <v>0</v>
      </c>
      <c r="BS110" s="405">
        <v>0</v>
      </c>
      <c r="BT110" s="476"/>
      <c r="BU110" s="405">
        <v>0</v>
      </c>
      <c r="BX110" s="319">
        <f>IF('Modelo Energético '!$Q135=TRUE,1,0)</f>
        <v>1</v>
      </c>
      <c r="DP110" s="556"/>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row>
    <row r="111" spans="1:256" s="319" customFormat="1" ht="39.6">
      <c r="A111" s="594"/>
      <c r="B111" s="481"/>
      <c r="C111" s="594"/>
      <c r="E111" s="576"/>
      <c r="F111" s="353"/>
      <c r="G111" s="471"/>
      <c r="H111" s="599"/>
      <c r="I111" s="600"/>
      <c r="J111" s="600"/>
      <c r="K111" s="601"/>
      <c r="L111" s="585"/>
      <c r="M111" s="586"/>
      <c r="N111" s="585"/>
      <c r="O111" s="586"/>
      <c r="P111" s="565" t="s">
        <v>1134</v>
      </c>
      <c r="Q111" s="565" t="s">
        <v>1135</v>
      </c>
      <c r="V111" s="595"/>
      <c r="W111" s="596"/>
      <c r="X111" s="603"/>
      <c r="Y111" s="603"/>
      <c r="Z111" s="309"/>
      <c r="AA111" s="603"/>
      <c r="AB111" s="603"/>
      <c r="AC111" s="603"/>
      <c r="AD111" s="604"/>
      <c r="AE111" s="603"/>
      <c r="AF111" s="603"/>
      <c r="AG111" s="603"/>
      <c r="AH111" s="603"/>
      <c r="AI111" s="603" t="s">
        <v>5836</v>
      </c>
      <c r="AJ111" s="603" t="s">
        <v>5837</v>
      </c>
      <c r="AK111" s="603"/>
      <c r="AL111" s="603"/>
      <c r="AM111" s="603" t="s">
        <v>3858</v>
      </c>
      <c r="AN111" s="603"/>
      <c r="AO111" s="603"/>
      <c r="AP111" s="603" t="s">
        <v>3859</v>
      </c>
      <c r="AQ111" s="604"/>
      <c r="AR111" s="603"/>
      <c r="AS111" s="603"/>
      <c r="AT111" s="603" t="s">
        <v>3860</v>
      </c>
      <c r="AU111" s="598"/>
      <c r="AV111" s="603"/>
      <c r="AW111" s="603"/>
      <c r="AX111" s="603" t="s">
        <v>3861</v>
      </c>
      <c r="AY111" s="604"/>
      <c r="AZ111" s="603"/>
      <c r="BA111" s="603"/>
      <c r="BB111" s="603"/>
      <c r="BC111" s="603"/>
      <c r="BD111" s="603"/>
      <c r="BE111" s="603"/>
      <c r="BF111" s="603"/>
      <c r="BG111" s="603"/>
      <c r="BH111" s="611"/>
      <c r="BI111" s="609"/>
      <c r="BJ111" s="609"/>
      <c r="BK111" s="609"/>
      <c r="BL111" s="609"/>
      <c r="BM111" s="609"/>
      <c r="BN111" s="609"/>
      <c r="BO111" s="609"/>
      <c r="BP111" s="609"/>
      <c r="BQ111" s="609"/>
      <c r="BR111" s="603" t="s">
        <v>5714</v>
      </c>
      <c r="BS111" s="603" t="s">
        <v>3169</v>
      </c>
      <c r="BT111" s="606"/>
      <c r="BU111" s="603" t="s">
        <v>4203</v>
      </c>
      <c r="DP111" s="556"/>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row>
    <row r="112" spans="1:256" s="319" customFormat="1" ht="13.2">
      <c r="A112" s="594" t="s">
        <v>2893</v>
      </c>
      <c r="B112" s="481"/>
      <c r="C112" s="594">
        <f>IF($C$10&lt;'Modelo Energético '!R137,0,1)</f>
        <v>1</v>
      </c>
      <c r="D112" s="637"/>
      <c r="E112" s="576">
        <f t="shared" si="49"/>
        <v>0</v>
      </c>
      <c r="F112" s="353">
        <f t="shared" si="50"/>
        <v>0</v>
      </c>
      <c r="G112" s="471">
        <f t="shared" si="51"/>
        <v>0</v>
      </c>
      <c r="H112" s="599"/>
      <c r="I112" s="600"/>
      <c r="J112" s="600"/>
      <c r="K112" s="601"/>
      <c r="L112" s="585"/>
      <c r="M112" s="586"/>
      <c r="N112" s="585"/>
      <c r="O112" s="586"/>
      <c r="P112" s="639">
        <v>0</v>
      </c>
      <c r="Q112" s="639">
        <v>0</v>
      </c>
      <c r="V112" s="595"/>
      <c r="W112" s="596"/>
      <c r="Z112" s="309"/>
      <c r="AD112" s="587"/>
      <c r="AI112" s="405">
        <v>0</v>
      </c>
      <c r="AJ112" s="405">
        <v>0</v>
      </c>
      <c r="AM112" s="641">
        <v>0</v>
      </c>
      <c r="AN112" s="309"/>
      <c r="AO112" s="309">
        <f>(AM112+AN112)*C112</f>
        <v>0</v>
      </c>
      <c r="AP112" s="555">
        <v>0</v>
      </c>
      <c r="AQ112" s="595">
        <f t="shared" ref="AQ112:AQ122" si="54">VLOOKUP(BW112,$R$22:$X$26,2,FALSE)</f>
        <v>0</v>
      </c>
      <c r="AR112" s="596">
        <f t="shared" ref="AR112:AR122" si="55">VLOOKUP(BW112,$R$22:$X$26,3,FALSE)</f>
        <v>0</v>
      </c>
      <c r="AS112" s="458">
        <f>IF(AR112=0,0,AO112/AR112)</f>
        <v>0</v>
      </c>
      <c r="AT112" s="405">
        <v>0</v>
      </c>
      <c r="AU112" s="598">
        <f>IF(BX112=1,AT112,AM112)*C112</f>
        <v>0</v>
      </c>
      <c r="AV112" s="309"/>
      <c r="AW112" s="309">
        <f>AU112+AV112</f>
        <v>0</v>
      </c>
      <c r="AX112" s="555">
        <v>0</v>
      </c>
      <c r="AY112" s="595">
        <f t="shared" ref="AY112:AY122" si="56">VLOOKUP(BW112,$R$22:$X$26,5,FALSE)</f>
        <v>0</v>
      </c>
      <c r="AZ112" s="596">
        <f t="shared" ref="AZ112:AZ122" si="57">VLOOKUP(BW112,$R$22:$X$26,7,FALSE)</f>
        <v>0</v>
      </c>
      <c r="BA112" s="458">
        <f>IF(AZ112=0,0,AW112/AZ112)</f>
        <v>0</v>
      </c>
      <c r="BB112" s="458">
        <f>IF(AZ112=0,0,(AO112-AW112)/AZ112)</f>
        <v>0</v>
      </c>
      <c r="BC112" s="458">
        <f>AS112-BA112-BB112</f>
        <v>0</v>
      </c>
      <c r="BD112" s="458">
        <f>VLOOKUP(AQ112,$H$3:$N$8,7,FALSE)</f>
        <v>0</v>
      </c>
      <c r="BE112" s="458">
        <f>VLOOKUP(AY112,$H$3:$N$8,7,FALSE)</f>
        <v>0</v>
      </c>
      <c r="BF112" s="458">
        <f>IF(AND(BB112=0,BC112=0),0,(AS112*BD112-BA112*BE112)/IF(BB112+BC112=0,ABS(BB112)*2,BB112+BC112)*BB112)</f>
        <v>0</v>
      </c>
      <c r="BG112" s="458">
        <f>IF(AND(BB112=0,BC112=0),0,(AS112*BD112-BA112*BE112)/IF(BB112+BC112=0,ABS(BB112)*2,BB112+BC112)*BC112)</f>
        <v>0</v>
      </c>
      <c r="BH112" s="458"/>
      <c r="BI112" s="600"/>
      <c r="BJ112" s="600"/>
      <c r="BK112" s="600"/>
      <c r="BL112" s="309"/>
      <c r="BM112" s="309"/>
      <c r="BN112" s="600"/>
      <c r="BO112" s="600"/>
      <c r="BP112" s="600"/>
      <c r="BQ112" s="600"/>
      <c r="BR112" s="405">
        <v>0</v>
      </c>
      <c r="BS112" s="405">
        <v>0</v>
      </c>
      <c r="BT112" s="476"/>
      <c r="BU112" s="405">
        <v>0</v>
      </c>
      <c r="BW112" s="319">
        <f t="shared" ref="BW112:BW122" si="58">IF(BX112=1,AX112,AP112)</f>
        <v>0</v>
      </c>
      <c r="BX112" s="319">
        <f>IF('Modelo Energético '!$Q137=TRUE,1,0)</f>
        <v>1</v>
      </c>
      <c r="DP112" s="556"/>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row>
    <row r="113" spans="1:256" s="319" customFormat="1" ht="13.2">
      <c r="A113" s="594" t="s">
        <v>5793</v>
      </c>
      <c r="B113" s="481"/>
      <c r="C113" s="594">
        <f>IF($C$10&lt;'Modelo Energético '!R138,0,1)</f>
        <v>1</v>
      </c>
      <c r="D113" s="637"/>
      <c r="E113" s="576">
        <f t="shared" si="49"/>
        <v>0</v>
      </c>
      <c r="F113" s="353">
        <f t="shared" si="50"/>
        <v>0</v>
      </c>
      <c r="G113" s="471">
        <f t="shared" si="51"/>
        <v>0</v>
      </c>
      <c r="H113" s="599"/>
      <c r="I113" s="600"/>
      <c r="J113" s="600"/>
      <c r="K113" s="601"/>
      <c r="L113" s="585"/>
      <c r="M113" s="586"/>
      <c r="N113" s="585"/>
      <c r="O113" s="586"/>
      <c r="P113" s="639">
        <v>0</v>
      </c>
      <c r="Q113" s="639">
        <v>0</v>
      </c>
      <c r="V113" s="595"/>
      <c r="W113" s="596"/>
      <c r="Z113" s="309"/>
      <c r="AD113" s="587"/>
      <c r="AI113" s="405">
        <v>0</v>
      </c>
      <c r="AJ113" s="405">
        <v>0</v>
      </c>
      <c r="AM113" s="641">
        <v>0</v>
      </c>
      <c r="AN113" s="309"/>
      <c r="AO113" s="309">
        <f>(AM113+AN113)*C113</f>
        <v>0</v>
      </c>
      <c r="AP113" s="555">
        <v>0</v>
      </c>
      <c r="AQ113" s="595">
        <f t="shared" si="54"/>
        <v>0</v>
      </c>
      <c r="AR113" s="596">
        <f t="shared" si="55"/>
        <v>0</v>
      </c>
      <c r="AS113" s="458">
        <f>IF(AR113=0,0,AO113/AR113)</f>
        <v>0</v>
      </c>
      <c r="AT113" s="405">
        <v>0</v>
      </c>
      <c r="AU113" s="598">
        <f>IF(BX113=1,AT113,AM113)*C113</f>
        <v>0</v>
      </c>
      <c r="AV113" s="309"/>
      <c r="AW113" s="309">
        <f>AU113+AV113</f>
        <v>0</v>
      </c>
      <c r="AX113" s="555">
        <v>0</v>
      </c>
      <c r="AY113" s="595">
        <f t="shared" si="56"/>
        <v>0</v>
      </c>
      <c r="AZ113" s="596">
        <f t="shared" si="57"/>
        <v>0</v>
      </c>
      <c r="BA113" s="458">
        <f>IF(AZ113=0,0,AW113/AZ113)</f>
        <v>0</v>
      </c>
      <c r="BB113" s="458">
        <f>IF(AZ113=0,0,(AO113-AW113)/AZ113)</f>
        <v>0</v>
      </c>
      <c r="BC113" s="458">
        <f>AS113-BA113-BB113</f>
        <v>0</v>
      </c>
      <c r="BD113" s="458">
        <f>VLOOKUP(AQ113,$H$3:$N$8,7,FALSE)</f>
        <v>0</v>
      </c>
      <c r="BE113" s="458">
        <f>VLOOKUP(AY113,$H$3:$N$8,7,FALSE)</f>
        <v>0</v>
      </c>
      <c r="BF113" s="458">
        <f>IF(AND(BB113=0,BC113=0),0,(AS113*BD113-BA113*BE113)/IF(BB113+BC113=0,ABS(BB113)*2,BB113+BC113)*BB113)</f>
        <v>0</v>
      </c>
      <c r="BG113" s="458">
        <f>IF(AND(BB113=0,BC113=0),0,(AS113*BD113-BA113*BE113)/IF(BB113+BC113=0,ABS(BB113)*2,BB113+BC113)*BC113)</f>
        <v>0</v>
      </c>
      <c r="BH113" s="458"/>
      <c r="BI113" s="600"/>
      <c r="BJ113" s="600"/>
      <c r="BK113" s="600"/>
      <c r="BL113" s="309"/>
      <c r="BM113" s="309"/>
      <c r="BN113" s="600"/>
      <c r="BO113" s="600"/>
      <c r="BP113" s="600"/>
      <c r="BQ113" s="600"/>
      <c r="BR113" s="405">
        <v>0</v>
      </c>
      <c r="BS113" s="405">
        <v>0</v>
      </c>
      <c r="BT113" s="476"/>
      <c r="BU113" s="405">
        <v>0</v>
      </c>
      <c r="BW113" s="319">
        <f t="shared" si="58"/>
        <v>0</v>
      </c>
      <c r="BX113" s="319">
        <f>IF('Modelo Energético '!$Q138=TRUE,1,0)</f>
        <v>1</v>
      </c>
      <c r="DP113" s="556"/>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row>
    <row r="114" spans="1:256" s="319" customFormat="1" ht="13.2">
      <c r="A114" s="594" t="s">
        <v>5794</v>
      </c>
      <c r="B114" s="481"/>
      <c r="C114" s="594">
        <f>IF($C$10&lt;'Modelo Energético '!R139,0,1)</f>
        <v>1</v>
      </c>
      <c r="D114" s="643"/>
      <c r="E114" s="576">
        <f t="shared" si="49"/>
        <v>0</v>
      </c>
      <c r="F114" s="353">
        <f t="shared" si="50"/>
        <v>0</v>
      </c>
      <c r="G114" s="471">
        <f t="shared" si="51"/>
        <v>0</v>
      </c>
      <c r="H114" s="599"/>
      <c r="I114" s="600"/>
      <c r="J114" s="600"/>
      <c r="K114" s="601"/>
      <c r="L114" s="585"/>
      <c r="M114" s="586"/>
      <c r="N114" s="585"/>
      <c r="O114" s="586"/>
      <c r="P114" s="639">
        <v>0</v>
      </c>
      <c r="Q114" s="639">
        <v>0</v>
      </c>
      <c r="V114" s="595"/>
      <c r="W114" s="596"/>
      <c r="Z114" s="309"/>
      <c r="AD114" s="587"/>
      <c r="AI114" s="405">
        <v>0</v>
      </c>
      <c r="AJ114" s="405">
        <v>0</v>
      </c>
      <c r="AM114" s="641">
        <v>0</v>
      </c>
      <c r="AN114" s="309"/>
      <c r="AO114" s="309">
        <f>(AM114+AN114)*C114</f>
        <v>0</v>
      </c>
      <c r="AP114" s="555">
        <v>0</v>
      </c>
      <c r="AQ114" s="595">
        <f t="shared" si="54"/>
        <v>0</v>
      </c>
      <c r="AR114" s="596">
        <f t="shared" si="55"/>
        <v>0</v>
      </c>
      <c r="AS114" s="458">
        <f>IF(AR114=0,0,AO114/AR114)</f>
        <v>0</v>
      </c>
      <c r="AT114" s="405">
        <v>0</v>
      </c>
      <c r="AU114" s="598">
        <f>IF(BX114=1,AT114,AM114)*C114</f>
        <v>0</v>
      </c>
      <c r="AV114" s="309"/>
      <c r="AW114" s="309">
        <f>AU114+AV114</f>
        <v>0</v>
      </c>
      <c r="AX114" s="555">
        <v>0</v>
      </c>
      <c r="AY114" s="595">
        <f t="shared" si="56"/>
        <v>0</v>
      </c>
      <c r="AZ114" s="596">
        <f t="shared" si="57"/>
        <v>0</v>
      </c>
      <c r="BA114" s="458">
        <f>IF(AZ114=0,0,AW114/AZ114)</f>
        <v>0</v>
      </c>
      <c r="BB114" s="458">
        <f>IF(AZ114=0,0,(AO114-AW114)/AZ114)</f>
        <v>0</v>
      </c>
      <c r="BC114" s="458">
        <f>AS114-BA114-BB114</f>
        <v>0</v>
      </c>
      <c r="BD114" s="458">
        <f>VLOOKUP(AQ114,$H$3:$N$8,7,FALSE)</f>
        <v>0</v>
      </c>
      <c r="BE114" s="458">
        <f>VLOOKUP(AY114,$H$3:$N$8,7,FALSE)</f>
        <v>0</v>
      </c>
      <c r="BF114" s="458">
        <f>IF(AND(BB114=0,BC114=0),0,(AS114*BD114-BA114*BE114)/IF(BB114+BC114=0,ABS(BB114)*2,BB114+BC114)*BB114)</f>
        <v>0</v>
      </c>
      <c r="BG114" s="458">
        <f>IF(AND(BB114=0,BC114=0),0,(AS114*BD114-BA114*BE114)/IF(BB114+BC114=0,ABS(BB114)*2,BB114+BC114)*BC114)</f>
        <v>0</v>
      </c>
      <c r="BH114" s="458"/>
      <c r="BI114" s="600"/>
      <c r="BJ114" s="600"/>
      <c r="BK114" s="600"/>
      <c r="BL114" s="309"/>
      <c r="BM114" s="309"/>
      <c r="BN114" s="600"/>
      <c r="BO114" s="600"/>
      <c r="BP114" s="600"/>
      <c r="BQ114" s="600"/>
      <c r="BR114" s="405">
        <v>0</v>
      </c>
      <c r="BS114" s="405">
        <v>0</v>
      </c>
      <c r="BT114" s="476"/>
      <c r="BU114" s="405">
        <v>0</v>
      </c>
      <c r="BW114" s="319">
        <f t="shared" si="58"/>
        <v>0</v>
      </c>
      <c r="BX114" s="319">
        <f>IF('Modelo Energético '!$Q139=TRUE,1,0)</f>
        <v>1</v>
      </c>
      <c r="DP114" s="556"/>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row>
    <row r="115" spans="1:256" s="319" customFormat="1" ht="13.2">
      <c r="A115" s="594" t="s">
        <v>4757</v>
      </c>
      <c r="B115" s="481"/>
      <c r="C115" s="594">
        <f>IF($C$10&lt;'Modelo Energético '!R140,0,1)</f>
        <v>1</v>
      </c>
      <c r="D115" s="643"/>
      <c r="E115" s="576">
        <f t="shared" si="49"/>
        <v>0</v>
      </c>
      <c r="F115" s="353">
        <f t="shared" si="50"/>
        <v>0</v>
      </c>
      <c r="G115" s="471">
        <f t="shared" si="51"/>
        <v>0</v>
      </c>
      <c r="H115" s="599"/>
      <c r="I115" s="600"/>
      <c r="J115" s="600"/>
      <c r="K115" s="601"/>
      <c r="L115" s="585"/>
      <c r="M115" s="586"/>
      <c r="N115" s="585"/>
      <c r="O115" s="586"/>
      <c r="P115" s="639">
        <v>0</v>
      </c>
      <c r="Q115" s="639">
        <v>0</v>
      </c>
      <c r="V115" s="595"/>
      <c r="W115" s="596"/>
      <c r="Z115" s="309"/>
      <c r="AD115" s="587"/>
      <c r="AI115" s="405">
        <v>0</v>
      </c>
      <c r="AJ115" s="405">
        <v>0</v>
      </c>
      <c r="AM115" s="641">
        <v>0</v>
      </c>
      <c r="AN115" s="309"/>
      <c r="AO115" s="309">
        <f>(AM115+AN115)*C115</f>
        <v>0</v>
      </c>
      <c r="AP115" s="555">
        <v>0</v>
      </c>
      <c r="AQ115" s="595">
        <f t="shared" si="54"/>
        <v>0</v>
      </c>
      <c r="AR115" s="596">
        <f t="shared" si="55"/>
        <v>0</v>
      </c>
      <c r="AS115" s="458">
        <f>IF(AR115=0,0,AO115/AR115)</f>
        <v>0</v>
      </c>
      <c r="AT115" s="405">
        <v>0</v>
      </c>
      <c r="AU115" s="598">
        <f>IF(BX115=1,AT115,AM115)*C115</f>
        <v>0</v>
      </c>
      <c r="AV115" s="309"/>
      <c r="AW115" s="309">
        <f>AU115+AV115</f>
        <v>0</v>
      </c>
      <c r="AX115" s="555">
        <v>0</v>
      </c>
      <c r="AY115" s="595">
        <f t="shared" si="56"/>
        <v>0</v>
      </c>
      <c r="AZ115" s="596">
        <f t="shared" si="57"/>
        <v>0</v>
      </c>
      <c r="BA115" s="458">
        <f>IF(AZ115=0,0,AW115/AZ115)</f>
        <v>0</v>
      </c>
      <c r="BB115" s="458">
        <f>IF(AZ115=0,0,(AO115-AW115)/AZ115)</f>
        <v>0</v>
      </c>
      <c r="BC115" s="458">
        <f>AS115-BA115-BB115</f>
        <v>0</v>
      </c>
      <c r="BD115" s="458">
        <f>VLOOKUP(AQ115,$H$3:$N$8,7,FALSE)</f>
        <v>0</v>
      </c>
      <c r="BE115" s="458">
        <f>VLOOKUP(AY115,$H$3:$N$8,7,FALSE)</f>
        <v>0</v>
      </c>
      <c r="BF115" s="458">
        <f>IF(AND(BB115=0,BC115=0),0,(AS115*BD115-BA115*BE115)/IF(BB115+BC115=0,ABS(BB115)*2,BB115+BC115)*BB115)</f>
        <v>0</v>
      </c>
      <c r="BG115" s="458">
        <f>IF(AND(BB115=0,BC115=0),0,(AS115*BD115-BA115*BE115)/IF(BB115+BC115=0,ABS(BB115)*2,BB115+BC115)*BC115)</f>
        <v>0</v>
      </c>
      <c r="BH115" s="458"/>
      <c r="BI115" s="600"/>
      <c r="BJ115" s="600"/>
      <c r="BK115" s="600"/>
      <c r="BL115" s="309"/>
      <c r="BM115" s="309"/>
      <c r="BN115" s="600"/>
      <c r="BO115" s="600"/>
      <c r="BP115" s="600"/>
      <c r="BQ115" s="600"/>
      <c r="BR115" s="405">
        <v>0</v>
      </c>
      <c r="BS115" s="405">
        <v>0</v>
      </c>
      <c r="BT115" s="476"/>
      <c r="BU115" s="405">
        <v>0</v>
      </c>
      <c r="BW115" s="319">
        <f t="shared" si="58"/>
        <v>0</v>
      </c>
      <c r="BX115" s="319">
        <f>IF('Modelo Energético '!$Q140=TRUE,1,0)</f>
        <v>1</v>
      </c>
      <c r="DP115" s="556"/>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row>
    <row r="116" spans="1:256" s="319" customFormat="1" ht="13.2">
      <c r="A116" s="594" t="s">
        <v>73</v>
      </c>
      <c r="B116" s="481"/>
      <c r="C116" s="594">
        <f>IF($C$10&lt;'Modelo Energético '!R141,0,1)</f>
        <v>1</v>
      </c>
      <c r="D116" s="643"/>
      <c r="E116" s="576">
        <f t="shared" si="49"/>
        <v>0</v>
      </c>
      <c r="F116" s="353">
        <f t="shared" si="50"/>
        <v>0</v>
      </c>
      <c r="G116" s="471">
        <f t="shared" si="51"/>
        <v>0</v>
      </c>
      <c r="H116" s="599"/>
      <c r="I116" s="600"/>
      <c r="J116" s="600"/>
      <c r="K116" s="601"/>
      <c r="L116" s="585"/>
      <c r="M116" s="586"/>
      <c r="N116" s="585"/>
      <c r="O116" s="586"/>
      <c r="P116" s="639">
        <v>0</v>
      </c>
      <c r="Q116" s="639">
        <v>0</v>
      </c>
      <c r="V116" s="595"/>
      <c r="W116" s="596"/>
      <c r="Z116" s="309"/>
      <c r="AD116" s="587"/>
      <c r="AI116" s="405">
        <v>0</v>
      </c>
      <c r="AJ116" s="405">
        <v>0</v>
      </c>
      <c r="AM116" s="641">
        <v>0</v>
      </c>
      <c r="AN116" s="309"/>
      <c r="AO116" s="309">
        <f>(AM116+AN116)*C116</f>
        <v>0</v>
      </c>
      <c r="AP116" s="555">
        <v>0</v>
      </c>
      <c r="AQ116" s="595">
        <f t="shared" si="54"/>
        <v>0</v>
      </c>
      <c r="AR116" s="596">
        <f t="shared" si="55"/>
        <v>0</v>
      </c>
      <c r="AS116" s="458">
        <f>IF(AR116=0,0,AO116/AR116)</f>
        <v>0</v>
      </c>
      <c r="AT116" s="405">
        <v>0</v>
      </c>
      <c r="AU116" s="598">
        <f>IF(BX116=1,AT116,AM116)*C116</f>
        <v>0</v>
      </c>
      <c r="AV116" s="309"/>
      <c r="AW116" s="309">
        <f>AU116+AV116</f>
        <v>0</v>
      </c>
      <c r="AX116" s="555">
        <v>0</v>
      </c>
      <c r="AY116" s="595">
        <f t="shared" si="56"/>
        <v>0</v>
      </c>
      <c r="AZ116" s="596">
        <f t="shared" si="57"/>
        <v>0</v>
      </c>
      <c r="BA116" s="458">
        <f>IF(AZ116=0,0,AW116/AZ116)</f>
        <v>0</v>
      </c>
      <c r="BB116" s="458">
        <f>IF(AZ116=0,0,(AO116-AW116)/AZ116)</f>
        <v>0</v>
      </c>
      <c r="BC116" s="458">
        <f>AS116-BA116-BB116</f>
        <v>0</v>
      </c>
      <c r="BD116" s="458">
        <f>VLOOKUP(AQ116,$H$3:$N$8,7,FALSE)</f>
        <v>0</v>
      </c>
      <c r="BE116" s="458">
        <f>VLOOKUP(AY116,$H$3:$N$8,7,FALSE)</f>
        <v>0</v>
      </c>
      <c r="BF116" s="458">
        <f>IF(AND(BB116=0,BC116=0),0,(AS116*BD116-BA116*BE116)/IF(BB116+BC116=0,ABS(BB116)*2,BB116+BC116)*BB116)</f>
        <v>0</v>
      </c>
      <c r="BG116" s="458">
        <f>IF(AND(BB116=0,BC116=0),0,(AS116*BD116-BA116*BE116)/IF(BB116+BC116=0,ABS(BB116)*2,BB116+BC116)*BC116)</f>
        <v>0</v>
      </c>
      <c r="BH116" s="458"/>
      <c r="BI116" s="600"/>
      <c r="BJ116" s="600"/>
      <c r="BK116" s="600"/>
      <c r="BL116" s="309"/>
      <c r="BM116" s="309"/>
      <c r="BN116" s="600"/>
      <c r="BO116" s="600"/>
      <c r="BP116" s="600"/>
      <c r="BQ116" s="600"/>
      <c r="BR116" s="405">
        <v>0</v>
      </c>
      <c r="BS116" s="405">
        <v>0</v>
      </c>
      <c r="BT116" s="476"/>
      <c r="BU116" s="405">
        <v>0</v>
      </c>
      <c r="BW116" s="319">
        <f t="shared" si="58"/>
        <v>0</v>
      </c>
      <c r="BX116" s="319">
        <f>IF('Modelo Energético '!$Q141=TRUE,1,0)</f>
        <v>1</v>
      </c>
      <c r="DP116" s="55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row>
    <row r="117" spans="1:256" s="603" customFormat="1" ht="39" customHeight="1">
      <c r="A117" s="612"/>
      <c r="B117" s="481"/>
      <c r="E117" s="576"/>
      <c r="F117" s="353"/>
      <c r="G117" s="471"/>
      <c r="H117" s="613"/>
      <c r="I117" s="609"/>
      <c r="J117" s="609"/>
      <c r="K117" s="614"/>
      <c r="L117" s="615"/>
      <c r="M117" s="616"/>
      <c r="N117" s="615"/>
      <c r="O117" s="616"/>
      <c r="P117" s="603" t="s">
        <v>1134</v>
      </c>
      <c r="Q117" s="603" t="s">
        <v>1135</v>
      </c>
      <c r="R117" s="603" t="s">
        <v>2728</v>
      </c>
      <c r="U117" s="603" t="s">
        <v>3651</v>
      </c>
      <c r="V117" s="595"/>
      <c r="W117" s="596"/>
      <c r="Y117" s="603" t="s">
        <v>2494</v>
      </c>
      <c r="Z117" s="309"/>
      <c r="AC117" s="603" t="s">
        <v>572</v>
      </c>
      <c r="AD117" s="604"/>
      <c r="AM117" s="603" t="s">
        <v>3858</v>
      </c>
      <c r="AP117" s="603" t="s">
        <v>3859</v>
      </c>
      <c r="AQ117" s="595"/>
      <c r="AR117" s="596"/>
      <c r="AT117" s="603" t="s">
        <v>3860</v>
      </c>
      <c r="AU117" s="598"/>
      <c r="AX117" s="603" t="s">
        <v>3861</v>
      </c>
      <c r="AY117" s="595"/>
      <c r="AZ117" s="596"/>
      <c r="BL117" s="603" t="s">
        <v>1305</v>
      </c>
      <c r="BM117" s="603" t="s">
        <v>5061</v>
      </c>
      <c r="BR117" s="603" t="s">
        <v>4174</v>
      </c>
      <c r="BS117" s="603" t="s">
        <v>4202</v>
      </c>
      <c r="BT117" s="606"/>
      <c r="BU117" s="603" t="s">
        <v>4203</v>
      </c>
      <c r="BW117" s="319"/>
      <c r="BX117" s="319"/>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row>
    <row r="118" spans="1:256" s="319" customFormat="1" ht="13.2">
      <c r="A118" s="594" t="s">
        <v>1207</v>
      </c>
      <c r="B118" s="481"/>
      <c r="C118" s="594">
        <v>1</v>
      </c>
      <c r="D118" s="637"/>
      <c r="E118" s="576">
        <f t="shared" si="49"/>
        <v>0</v>
      </c>
      <c r="F118" s="353">
        <f t="shared" si="50"/>
        <v>0</v>
      </c>
      <c r="G118" s="471">
        <f t="shared" si="51"/>
        <v>0</v>
      </c>
      <c r="H118" s="599">
        <f t="shared" ref="H118:K122" si="59">BN118</f>
        <v>0</v>
      </c>
      <c r="I118" s="600">
        <f t="shared" si="59"/>
        <v>0</v>
      </c>
      <c r="J118" s="600">
        <f t="shared" si="59"/>
        <v>0</v>
      </c>
      <c r="K118" s="601">
        <f t="shared" si="59"/>
        <v>0</v>
      </c>
      <c r="L118" s="585"/>
      <c r="M118" s="586"/>
      <c r="N118" s="585"/>
      <c r="O118" s="586"/>
      <c r="P118" s="639">
        <v>0</v>
      </c>
      <c r="Q118" s="639">
        <v>0</v>
      </c>
      <c r="R118" s="641">
        <v>0</v>
      </c>
      <c r="S118" s="309"/>
      <c r="T118" s="309">
        <f>(R118-S118)*C118</f>
        <v>0</v>
      </c>
      <c r="U118" s="555">
        <v>0</v>
      </c>
      <c r="V118" s="595">
        <f>VLOOKUP(U118,$R$16:$X$20,2,FALSE)</f>
        <v>0</v>
      </c>
      <c r="W118" s="596">
        <f>VLOOKUP(U118,$R$16:$X$20,3,FALSE)</f>
        <v>0</v>
      </c>
      <c r="X118" s="597">
        <f>IF(W118=0,0,T118/W118)</f>
        <v>0</v>
      </c>
      <c r="Y118" s="639">
        <v>0</v>
      </c>
      <c r="Z118" s="309">
        <f>IF(BX118=1,Y118,R118)*C118</f>
        <v>0</v>
      </c>
      <c r="AA118" s="309"/>
      <c r="AB118" s="309">
        <f>Z118-AA118</f>
        <v>0</v>
      </c>
      <c r="AC118" s="555">
        <v>0</v>
      </c>
      <c r="AD118" s="595">
        <f>VLOOKUP(BV118,$R$16:$X$20,5,FALSE)</f>
        <v>0</v>
      </c>
      <c r="AE118" s="596">
        <f>VLOOKUP(BV118,$R$16:$X$20,7,FALSE)</f>
        <v>0</v>
      </c>
      <c r="AF118" s="597">
        <f>IF(AE118=0,0,AB118/AE118)</f>
        <v>0</v>
      </c>
      <c r="AG118" s="458">
        <f>IF(AE118=0,0,(T118-AB118)/AE118)</f>
        <v>0</v>
      </c>
      <c r="AH118" s="458">
        <f>X118-AF118-AG118</f>
        <v>0</v>
      </c>
      <c r="AI118" s="458">
        <f>VLOOKUP(V118,$H$3:$N$8,7,FALSE)</f>
        <v>0</v>
      </c>
      <c r="AJ118" s="458">
        <f>VLOOKUP(AD118,$H$3:$N$8,7,FALSE)</f>
        <v>0</v>
      </c>
      <c r="AK118" s="458">
        <f>IF(AND(AG118=0,AH118=0),0,(X118*AI118-AF118*AJ118)/IF(AG118+AH118=0,ABS(AG118)*2,AG118+AH118)*AG118)</f>
        <v>0</v>
      </c>
      <c r="AL118" s="458">
        <f>IF(AND(AG118=0,AH118=0),0,(X118*AI118-AF118*AJ118)/IF(AG118+AH118=0,ABS(AG118)*2,AG118+AH118)*AH118)</f>
        <v>0</v>
      </c>
      <c r="AM118" s="641">
        <v>0</v>
      </c>
      <c r="AN118" s="309"/>
      <c r="AO118" s="309">
        <f>AM118+AN118</f>
        <v>0</v>
      </c>
      <c r="AP118" s="555">
        <v>0</v>
      </c>
      <c r="AQ118" s="595">
        <f t="shared" si="54"/>
        <v>0</v>
      </c>
      <c r="AR118" s="596">
        <f t="shared" si="55"/>
        <v>0</v>
      </c>
      <c r="AS118" s="458">
        <f>IF(AR118=0,0,AO118/AR118)</f>
        <v>0</v>
      </c>
      <c r="AT118" s="405">
        <v>0</v>
      </c>
      <c r="AU118" s="598">
        <f>IF(BX118=1,AT118,AM118)</f>
        <v>0</v>
      </c>
      <c r="AV118" s="309"/>
      <c r="AW118" s="309">
        <f>AU118+AV118</f>
        <v>0</v>
      </c>
      <c r="AX118" s="555">
        <v>0</v>
      </c>
      <c r="AY118" s="595">
        <f t="shared" si="56"/>
        <v>0</v>
      </c>
      <c r="AZ118" s="596">
        <f t="shared" si="57"/>
        <v>0</v>
      </c>
      <c r="BA118" s="458">
        <f>IF(AZ118=0,0,AW118/AZ118)</f>
        <v>0</v>
      </c>
      <c r="BB118" s="458">
        <f>IF(AZ118=0,0,(AO118-AW118)/AZ118)</f>
        <v>0</v>
      </c>
      <c r="BC118" s="458">
        <f>AS118-BA118-BB118</f>
        <v>0</v>
      </c>
      <c r="BD118" s="458">
        <f>VLOOKUP(AQ118,$H$3:$N$8,7,FALSE)</f>
        <v>0</v>
      </c>
      <c r="BE118" s="458">
        <f>VLOOKUP(AY118,$H$3:$N$8,7,FALSE)</f>
        <v>0</v>
      </c>
      <c r="BF118" s="458">
        <f>IF(AND(BB118=0,BC118=0),0,(AS118*BD118-BA118*BE118)/IF(BB118+BC118=0,ABS(BB118)*2,BB118+BC118)*BB118)</f>
        <v>0</v>
      </c>
      <c r="BG118" s="458">
        <f>IF(AND(BB118=0,BC118=0),0,(AS118*BD118-BA118*BE118)/IF(BB118+BC118=0,ABS(BB118)*2,BB118+BC118)*BC118)</f>
        <v>0</v>
      </c>
      <c r="BH118" s="458">
        <f>(BR118-BK118)*$N$3</f>
        <v>0</v>
      </c>
      <c r="BI118" s="600">
        <f t="shared" ref="BI118:BJ122" si="60">BR118*$C118</f>
        <v>0</v>
      </c>
      <c r="BJ118" s="600">
        <f t="shared" si="60"/>
        <v>0</v>
      </c>
      <c r="BK118" s="598">
        <f>IF(BX118=1,BJ118,BI118)</f>
        <v>0</v>
      </c>
      <c r="BL118" s="645" t="s">
        <v>1373</v>
      </c>
      <c r="BM118" s="645" t="s">
        <v>1373</v>
      </c>
      <c r="BN118" s="600">
        <f>BI118*IF(BL118=$BL$23,$BJ$22/12,0)</f>
        <v>0</v>
      </c>
      <c r="BO118" s="600">
        <f>BK118*IF(BL118=$BL$23,$BJ$22/12,0)</f>
        <v>0</v>
      </c>
      <c r="BP118" s="600">
        <f>BI118*IF(BM118=$BL$23,$BJ$23/12,0)</f>
        <v>0</v>
      </c>
      <c r="BQ118" s="600">
        <f>BK118*IF(BM118=$BL$23,$BJ$23/12,0)</f>
        <v>0</v>
      </c>
      <c r="BR118" s="405">
        <v>0</v>
      </c>
      <c r="BS118" s="405">
        <v>0</v>
      </c>
      <c r="BT118" s="476"/>
      <c r="BU118" s="405">
        <v>0</v>
      </c>
      <c r="BV118" s="319">
        <f>IF(BX118=1,AC118,U118)</f>
        <v>0</v>
      </c>
      <c r="BW118" s="319">
        <f t="shared" si="58"/>
        <v>0</v>
      </c>
      <c r="BX118" s="319">
        <f>IF('Modelo Energético '!$Q143=TRUE,1,0)</f>
        <v>1</v>
      </c>
      <c r="DP118" s="556"/>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row>
    <row r="119" spans="1:256" s="319" customFormat="1" ht="13.2">
      <c r="A119" s="594" t="s">
        <v>1208</v>
      </c>
      <c r="B119" s="481"/>
      <c r="C119" s="594">
        <v>1</v>
      </c>
      <c r="D119" s="637"/>
      <c r="E119" s="576">
        <f t="shared" si="49"/>
        <v>0</v>
      </c>
      <c r="F119" s="353">
        <f t="shared" si="50"/>
        <v>0</v>
      </c>
      <c r="G119" s="471">
        <f t="shared" si="51"/>
        <v>0</v>
      </c>
      <c r="H119" s="599">
        <f t="shared" si="59"/>
        <v>0</v>
      </c>
      <c r="I119" s="600">
        <f t="shared" si="59"/>
        <v>0</v>
      </c>
      <c r="J119" s="600">
        <f t="shared" si="59"/>
        <v>0</v>
      </c>
      <c r="K119" s="601">
        <f t="shared" si="59"/>
        <v>0</v>
      </c>
      <c r="L119" s="585"/>
      <c r="M119" s="586"/>
      <c r="N119" s="585"/>
      <c r="O119" s="586"/>
      <c r="P119" s="639">
        <v>0</v>
      </c>
      <c r="Q119" s="639">
        <v>0</v>
      </c>
      <c r="R119" s="641">
        <v>0</v>
      </c>
      <c r="S119" s="309"/>
      <c r="T119" s="309">
        <f>(R119-S119)*C119</f>
        <v>0</v>
      </c>
      <c r="U119" s="555">
        <v>0</v>
      </c>
      <c r="V119" s="595">
        <f>VLOOKUP(U119,$R$16:$X$20,2,FALSE)</f>
        <v>0</v>
      </c>
      <c r="W119" s="596">
        <f>VLOOKUP(U119,$R$16:$X$20,3,FALSE)</f>
        <v>0</v>
      </c>
      <c r="X119" s="597">
        <f>IF(W119=0,0,T119/W119)</f>
        <v>0</v>
      </c>
      <c r="Y119" s="639">
        <v>0</v>
      </c>
      <c r="Z119" s="309">
        <f>IF(BX119=1,Y119,R119)*C119</f>
        <v>0</v>
      </c>
      <c r="AA119" s="309"/>
      <c r="AB119" s="309">
        <f>Z119-AA119</f>
        <v>0</v>
      </c>
      <c r="AC119" s="555">
        <v>0</v>
      </c>
      <c r="AD119" s="595">
        <f>VLOOKUP(BV119,$R$16:$X$20,5,FALSE)</f>
        <v>0</v>
      </c>
      <c r="AE119" s="596">
        <f>VLOOKUP(BV119,$R$16:$X$20,7,FALSE)</f>
        <v>0</v>
      </c>
      <c r="AF119" s="597">
        <f>IF(AE119=0,0,AB119/AE119)</f>
        <v>0</v>
      </c>
      <c r="AG119" s="458">
        <f>IF(AE119=0,0,(T119-AB119)/AE119)</f>
        <v>0</v>
      </c>
      <c r="AH119" s="458">
        <f>X119-AF119-AG119</f>
        <v>0</v>
      </c>
      <c r="AI119" s="458">
        <f>VLOOKUP(V119,$H$3:$N$8,7,FALSE)</f>
        <v>0</v>
      </c>
      <c r="AJ119" s="458">
        <f>VLOOKUP(AD119,$H$3:$N$8,7,FALSE)</f>
        <v>0</v>
      </c>
      <c r="AK119" s="458">
        <f>IF(AND(AG119=0,AH119=0),0,(X119*AI119-AF119*AJ119)/IF(AG119+AH119=0,ABS(AG119)*2,AG119+AH119)*AG119)</f>
        <v>0</v>
      </c>
      <c r="AL119" s="458">
        <f>IF(AND(AG119=0,AH119=0),0,(X119*AI119-AF119*AJ119)/IF(AG119+AH119=0,ABS(AG119)*2,AG119+AH119)*AH119)</f>
        <v>0</v>
      </c>
      <c r="AM119" s="641">
        <v>0</v>
      </c>
      <c r="AN119" s="309"/>
      <c r="AO119" s="309">
        <f>AM119+AN119</f>
        <v>0</v>
      </c>
      <c r="AP119" s="555">
        <v>0</v>
      </c>
      <c r="AQ119" s="595">
        <f t="shared" si="54"/>
        <v>0</v>
      </c>
      <c r="AR119" s="596">
        <f t="shared" si="55"/>
        <v>0</v>
      </c>
      <c r="AS119" s="458">
        <f>IF(AR119=0,0,AO119/AR119)</f>
        <v>0</v>
      </c>
      <c r="AT119" s="405">
        <v>0</v>
      </c>
      <c r="AU119" s="598">
        <f>IF(BX119=1,AT119,AM119)</f>
        <v>0</v>
      </c>
      <c r="AV119" s="309"/>
      <c r="AW119" s="309">
        <f>AU119+AV119</f>
        <v>0</v>
      </c>
      <c r="AX119" s="555">
        <v>0</v>
      </c>
      <c r="AY119" s="595">
        <f t="shared" si="56"/>
        <v>0</v>
      </c>
      <c r="AZ119" s="596">
        <f t="shared" si="57"/>
        <v>0</v>
      </c>
      <c r="BA119" s="458">
        <f>IF(AZ119=0,0,AW119/AZ119)</f>
        <v>0</v>
      </c>
      <c r="BB119" s="458">
        <f>IF(AZ119=0,0,(AO119-AW119)/AZ119)</f>
        <v>0</v>
      </c>
      <c r="BC119" s="458">
        <f>AS119-BA119-BB119</f>
        <v>0</v>
      </c>
      <c r="BD119" s="458">
        <f>VLOOKUP(AQ119,$H$3:$N$8,7,FALSE)</f>
        <v>0</v>
      </c>
      <c r="BE119" s="458">
        <f>VLOOKUP(AY119,$H$3:$N$8,7,FALSE)</f>
        <v>0</v>
      </c>
      <c r="BF119" s="458">
        <f>IF(AND(BB119=0,BC119=0),0,(AS119*BD119-BA119*BE119)/IF(BB119+BC119=0,ABS(BB119)*2,BB119+BC119)*BB119)</f>
        <v>0</v>
      </c>
      <c r="BG119" s="458">
        <f>IF(AND(BB119=0,BC119=0),0,(AS119*BD119-BA119*BE119)/IF(BB119+BC119=0,ABS(BB119)*2,BB119+BC119)*BC119)</f>
        <v>0</v>
      </c>
      <c r="BH119" s="458">
        <f>(BR119-BK119)*$N$3</f>
        <v>0</v>
      </c>
      <c r="BI119" s="600">
        <f t="shared" si="60"/>
        <v>0</v>
      </c>
      <c r="BJ119" s="600">
        <f t="shared" si="60"/>
        <v>0</v>
      </c>
      <c r="BK119" s="598">
        <f>IF(BX119=1,BJ119,BI119)</f>
        <v>0</v>
      </c>
      <c r="BL119" s="645" t="s">
        <v>1129</v>
      </c>
      <c r="BM119" s="645" t="s">
        <v>1129</v>
      </c>
      <c r="BN119" s="600">
        <f>BI119*IF(BL119=$BL$23,$BJ$22/12,0)</f>
        <v>0</v>
      </c>
      <c r="BO119" s="600">
        <f>BK119*IF(BL119=$BL$23,$BJ$22/12,0)</f>
        <v>0</v>
      </c>
      <c r="BP119" s="600">
        <f>BI119*IF(BM119=$BL$23,$BJ$23/12,0)</f>
        <v>0</v>
      </c>
      <c r="BQ119" s="600">
        <f>BK119*IF(BM119=$BL$23,$BJ$23/12,0)</f>
        <v>0</v>
      </c>
      <c r="BR119" s="405">
        <v>0</v>
      </c>
      <c r="BS119" s="405">
        <v>0</v>
      </c>
      <c r="BT119" s="476"/>
      <c r="BU119" s="405">
        <v>0</v>
      </c>
      <c r="BV119" s="319">
        <f>IF(BX119=1,AC119,U119)</f>
        <v>0</v>
      </c>
      <c r="BW119" s="319">
        <f t="shared" si="58"/>
        <v>0</v>
      </c>
      <c r="BX119" s="319">
        <f>IF('Modelo Energético '!$Q144=TRUE,1,0)</f>
        <v>1</v>
      </c>
      <c r="DP119" s="556"/>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row>
    <row r="120" spans="1:256" s="319" customFormat="1" ht="13.2">
      <c r="A120" s="594" t="s">
        <v>4170</v>
      </c>
      <c r="B120" s="481"/>
      <c r="C120" s="594">
        <v>1</v>
      </c>
      <c r="D120" s="637"/>
      <c r="E120" s="576">
        <f t="shared" si="49"/>
        <v>0</v>
      </c>
      <c r="F120" s="353">
        <f t="shared" si="50"/>
        <v>0</v>
      </c>
      <c r="G120" s="471">
        <f t="shared" si="51"/>
        <v>0</v>
      </c>
      <c r="H120" s="599">
        <f t="shared" si="59"/>
        <v>0</v>
      </c>
      <c r="I120" s="600">
        <f t="shared" si="59"/>
        <v>0</v>
      </c>
      <c r="J120" s="600">
        <f t="shared" si="59"/>
        <v>0</v>
      </c>
      <c r="K120" s="601">
        <f t="shared" si="59"/>
        <v>0</v>
      </c>
      <c r="L120" s="585"/>
      <c r="M120" s="586"/>
      <c r="N120" s="585"/>
      <c r="O120" s="586"/>
      <c r="P120" s="639">
        <v>0</v>
      </c>
      <c r="Q120" s="639">
        <v>0</v>
      </c>
      <c r="R120" s="641">
        <v>0</v>
      </c>
      <c r="S120" s="309"/>
      <c r="T120" s="309">
        <f>(R120-S120)*C120</f>
        <v>0</v>
      </c>
      <c r="U120" s="555">
        <v>0</v>
      </c>
      <c r="V120" s="595">
        <f>VLOOKUP(U120,$R$16:$X$20,2,FALSE)</f>
        <v>0</v>
      </c>
      <c r="W120" s="596">
        <f>VLOOKUP(U120,$R$16:$X$20,3,FALSE)</f>
        <v>0</v>
      </c>
      <c r="X120" s="597">
        <f>IF(W120=0,0,T120/W120)</f>
        <v>0</v>
      </c>
      <c r="Y120" s="639">
        <v>0</v>
      </c>
      <c r="Z120" s="309">
        <f>IF(BX120=1,Y120,R120)*C120</f>
        <v>0</v>
      </c>
      <c r="AA120" s="309"/>
      <c r="AB120" s="309">
        <f>Z120-AA120</f>
        <v>0</v>
      </c>
      <c r="AC120" s="555">
        <v>0</v>
      </c>
      <c r="AD120" s="595">
        <f>VLOOKUP(BV120,$R$16:$X$20,5,FALSE)</f>
        <v>0</v>
      </c>
      <c r="AE120" s="596">
        <f>VLOOKUP(BV120,$R$16:$X$20,7,FALSE)</f>
        <v>0</v>
      </c>
      <c r="AF120" s="597">
        <f>IF(AE120=0,0,AB120/AE120)</f>
        <v>0</v>
      </c>
      <c r="AG120" s="458">
        <f>IF(AE120=0,0,(T120-AB120)/AE120)</f>
        <v>0</v>
      </c>
      <c r="AH120" s="458">
        <f>X120-AF120-AG120</f>
        <v>0</v>
      </c>
      <c r="AI120" s="458">
        <f>VLOOKUP(V120,$H$3:$N$8,7,FALSE)</f>
        <v>0</v>
      </c>
      <c r="AJ120" s="458">
        <f>VLOOKUP(AD120,$H$3:$N$8,7,FALSE)</f>
        <v>0</v>
      </c>
      <c r="AK120" s="458">
        <f>IF(AND(AG120=0,AH120=0),0,(X120*AI120-AF120*AJ120)/IF(AG120+AH120=0,ABS(AG120)*2,AG120+AH120)*AG120)</f>
        <v>0</v>
      </c>
      <c r="AL120" s="458">
        <f>IF(AND(AG120=0,AH120=0),0,(X120*AI120-AF120*AJ120)/IF(AG120+AH120=0,ABS(AG120)*2,AG120+AH120)*AH120)</f>
        <v>0</v>
      </c>
      <c r="AM120" s="641">
        <v>0</v>
      </c>
      <c r="AN120" s="309"/>
      <c r="AO120" s="309">
        <f>AM120+AN120</f>
        <v>0</v>
      </c>
      <c r="AP120" s="555">
        <v>0</v>
      </c>
      <c r="AQ120" s="595">
        <f t="shared" si="54"/>
        <v>0</v>
      </c>
      <c r="AR120" s="596">
        <f t="shared" si="55"/>
        <v>0</v>
      </c>
      <c r="AS120" s="458">
        <f>IF(AR120=0,0,AO120/AR120)</f>
        <v>0</v>
      </c>
      <c r="AT120" s="405">
        <v>0</v>
      </c>
      <c r="AU120" s="598">
        <f>IF(BX120=1,AT120,AM120)</f>
        <v>0</v>
      </c>
      <c r="AV120" s="309"/>
      <c r="AW120" s="309">
        <f>AU120+AV120</f>
        <v>0</v>
      </c>
      <c r="AX120" s="555">
        <v>0</v>
      </c>
      <c r="AY120" s="595">
        <f t="shared" si="56"/>
        <v>0</v>
      </c>
      <c r="AZ120" s="596">
        <f t="shared" si="57"/>
        <v>0</v>
      </c>
      <c r="BA120" s="458">
        <f>IF(AZ120=0,0,AW120/AZ120)</f>
        <v>0</v>
      </c>
      <c r="BB120" s="458">
        <f>IF(AZ120=0,0,(AO120-AW120)/AZ120)</f>
        <v>0</v>
      </c>
      <c r="BC120" s="458">
        <f>AS120-BA120-BB120</f>
        <v>0</v>
      </c>
      <c r="BD120" s="458">
        <f>VLOOKUP(AQ120,$H$3:$N$8,7,FALSE)</f>
        <v>0</v>
      </c>
      <c r="BE120" s="458">
        <f>VLOOKUP(AY120,$H$3:$N$8,7,FALSE)</f>
        <v>0</v>
      </c>
      <c r="BF120" s="458">
        <f>IF(AND(BB120=0,BC120=0),0,(AS120*BD120-BA120*BE120)/IF(BB120+BC120=0,ABS(BB120)*2,BB120+BC120)*BB120)</f>
        <v>0</v>
      </c>
      <c r="BG120" s="458">
        <f>IF(AND(BB120=0,BC120=0),0,(AS120*BD120-BA120*BE120)/IF(BB120+BC120=0,ABS(BB120)*2,BB120+BC120)*BC120)</f>
        <v>0</v>
      </c>
      <c r="BH120" s="458">
        <f>(BR120-BK120)*$N$3</f>
        <v>0</v>
      </c>
      <c r="BI120" s="600">
        <f t="shared" si="60"/>
        <v>0</v>
      </c>
      <c r="BJ120" s="600">
        <f t="shared" si="60"/>
        <v>0</v>
      </c>
      <c r="BK120" s="598">
        <f>IF(BX120=1,BJ120,BI120)</f>
        <v>0</v>
      </c>
      <c r="BL120" s="645" t="s">
        <v>1129</v>
      </c>
      <c r="BM120" s="645" t="s">
        <v>1129</v>
      </c>
      <c r="BN120" s="600">
        <f>BI120*IF(BL120=$BL$23,$BJ$22/12,0)</f>
        <v>0</v>
      </c>
      <c r="BO120" s="600">
        <f>BK120*IF(BL120=$BL$23,$BJ$22/12,0)</f>
        <v>0</v>
      </c>
      <c r="BP120" s="600">
        <f>BI120*IF(BM120=$BL$23,$BJ$23/12,0)</f>
        <v>0</v>
      </c>
      <c r="BQ120" s="600">
        <f>BK120*IF(BM120=$BL$23,$BJ$23/12,0)</f>
        <v>0</v>
      </c>
      <c r="BR120" s="405">
        <v>0</v>
      </c>
      <c r="BS120" s="405">
        <v>0</v>
      </c>
      <c r="BT120" s="476"/>
      <c r="BU120" s="405">
        <v>0</v>
      </c>
      <c r="BV120" s="319">
        <f>IF(BX120=1,AC120,U120)</f>
        <v>0</v>
      </c>
      <c r="BW120" s="319">
        <f t="shared" si="58"/>
        <v>0</v>
      </c>
      <c r="BX120" s="319">
        <f>IF('Modelo Energético '!$Q145=TRUE,1,0)</f>
        <v>1</v>
      </c>
      <c r="DP120" s="556"/>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row>
    <row r="121" spans="1:256" s="319" customFormat="1" ht="13.2">
      <c r="A121" s="594" t="s">
        <v>4171</v>
      </c>
      <c r="B121" s="481"/>
      <c r="C121" s="594">
        <v>1</v>
      </c>
      <c r="D121" s="637"/>
      <c r="E121" s="576">
        <f t="shared" si="49"/>
        <v>0</v>
      </c>
      <c r="F121" s="353">
        <f t="shared" si="50"/>
        <v>0</v>
      </c>
      <c r="G121" s="471">
        <f t="shared" si="51"/>
        <v>0</v>
      </c>
      <c r="H121" s="599">
        <f t="shared" si="59"/>
        <v>0</v>
      </c>
      <c r="I121" s="600">
        <f t="shared" si="59"/>
        <v>0</v>
      </c>
      <c r="J121" s="600">
        <f t="shared" si="59"/>
        <v>0</v>
      </c>
      <c r="K121" s="601">
        <f t="shared" si="59"/>
        <v>0</v>
      </c>
      <c r="L121" s="585"/>
      <c r="M121" s="586"/>
      <c r="N121" s="585"/>
      <c r="O121" s="586"/>
      <c r="P121" s="639">
        <v>0</v>
      </c>
      <c r="Q121" s="639">
        <v>0</v>
      </c>
      <c r="R121" s="641">
        <v>0</v>
      </c>
      <c r="S121" s="309"/>
      <c r="T121" s="309">
        <f>(R121-S121)*C121</f>
        <v>0</v>
      </c>
      <c r="U121" s="555">
        <v>0</v>
      </c>
      <c r="V121" s="595">
        <f>VLOOKUP(U121,$R$16:$X$20,2,FALSE)</f>
        <v>0</v>
      </c>
      <c r="W121" s="596">
        <f>VLOOKUP(U121,$R$16:$X$20,3,FALSE)</f>
        <v>0</v>
      </c>
      <c r="X121" s="597">
        <f>IF(W121=0,0,T121/W121)</f>
        <v>0</v>
      </c>
      <c r="Y121" s="639">
        <v>0</v>
      </c>
      <c r="Z121" s="309">
        <f>IF(BX121=1,Y121,R121)*C121</f>
        <v>0</v>
      </c>
      <c r="AA121" s="309"/>
      <c r="AB121" s="309">
        <f>Z121-AA121</f>
        <v>0</v>
      </c>
      <c r="AC121" s="555">
        <v>0</v>
      </c>
      <c r="AD121" s="595">
        <f>VLOOKUP(BV121,$R$16:$X$20,5,FALSE)</f>
        <v>0</v>
      </c>
      <c r="AE121" s="596">
        <f>VLOOKUP(BV121,$R$16:$X$20,7,FALSE)</f>
        <v>0</v>
      </c>
      <c r="AF121" s="597">
        <f>IF(AE121=0,0,AB121/AE121)</f>
        <v>0</v>
      </c>
      <c r="AG121" s="458">
        <f>IF(AE121=0,0,(T121-AB121)/AE121)</f>
        <v>0</v>
      </c>
      <c r="AH121" s="458">
        <f>X121-AF121-AG121</f>
        <v>0</v>
      </c>
      <c r="AI121" s="458">
        <f>VLOOKUP(V121,$H$3:$N$8,7,FALSE)</f>
        <v>0</v>
      </c>
      <c r="AJ121" s="458">
        <f>VLOOKUP(AD121,$H$3:$N$8,7,FALSE)</f>
        <v>0</v>
      </c>
      <c r="AK121" s="458">
        <f>IF(AND(AG121=0,AH121=0),0,(X121*AI121-AF121*AJ121)/IF(AG121+AH121=0,ABS(AG121)*2,AG121+AH121)*AG121)</f>
        <v>0</v>
      </c>
      <c r="AL121" s="458">
        <f>IF(AND(AG121=0,AH121=0),0,(X121*AI121-AF121*AJ121)/IF(AG121+AH121=0,ABS(AG121)*2,AG121+AH121)*AH121)</f>
        <v>0</v>
      </c>
      <c r="AM121" s="641">
        <v>0</v>
      </c>
      <c r="AN121" s="309"/>
      <c r="AO121" s="309">
        <f>AM121+AN121</f>
        <v>0</v>
      </c>
      <c r="AP121" s="555">
        <v>0</v>
      </c>
      <c r="AQ121" s="595">
        <f t="shared" si="54"/>
        <v>0</v>
      </c>
      <c r="AR121" s="596">
        <f t="shared" si="55"/>
        <v>0</v>
      </c>
      <c r="AS121" s="458">
        <f>IF(AR121=0,0,AO121/AR121)</f>
        <v>0</v>
      </c>
      <c r="AT121" s="405">
        <v>0</v>
      </c>
      <c r="AU121" s="598">
        <f>IF(BX121=1,AT121,AM121)</f>
        <v>0</v>
      </c>
      <c r="AV121" s="309"/>
      <c r="AW121" s="309">
        <f>AU121+AV121</f>
        <v>0</v>
      </c>
      <c r="AX121" s="555">
        <v>0</v>
      </c>
      <c r="AY121" s="595">
        <f t="shared" si="56"/>
        <v>0</v>
      </c>
      <c r="AZ121" s="596">
        <f t="shared" si="57"/>
        <v>0</v>
      </c>
      <c r="BA121" s="458">
        <f>IF(AZ121=0,0,AW121/AZ121)</f>
        <v>0</v>
      </c>
      <c r="BB121" s="458">
        <f>IF(AZ121=0,0,(AO121-AW121)/AZ121)</f>
        <v>0</v>
      </c>
      <c r="BC121" s="458">
        <f>AS121-BA121-BB121</f>
        <v>0</v>
      </c>
      <c r="BD121" s="458">
        <f>VLOOKUP(AQ121,$H$3:$N$8,7,FALSE)</f>
        <v>0</v>
      </c>
      <c r="BE121" s="458">
        <f>VLOOKUP(AY121,$H$3:$N$8,7,FALSE)</f>
        <v>0</v>
      </c>
      <c r="BF121" s="458">
        <f>IF(AND(BB121=0,BC121=0),0,(AS121*BD121-BA121*BE121)/IF(BB121+BC121=0,ABS(BB121)*2,BB121+BC121)*BB121)</f>
        <v>0</v>
      </c>
      <c r="BG121" s="458">
        <f>IF(AND(BB121=0,BC121=0),0,(AS121*BD121-BA121*BE121)/IF(BB121+BC121=0,ABS(BB121)*2,BB121+BC121)*BC121)</f>
        <v>0</v>
      </c>
      <c r="BH121" s="458">
        <f>(BR121-BK121)*$N$3</f>
        <v>0</v>
      </c>
      <c r="BI121" s="600">
        <f t="shared" si="60"/>
        <v>0</v>
      </c>
      <c r="BJ121" s="600">
        <f t="shared" si="60"/>
        <v>0</v>
      </c>
      <c r="BK121" s="598">
        <f>IF(BX121=1,BJ121,BI121)</f>
        <v>0</v>
      </c>
      <c r="BL121" s="645" t="s">
        <v>1129</v>
      </c>
      <c r="BM121" s="645" t="s">
        <v>1129</v>
      </c>
      <c r="BN121" s="600">
        <f>BI121*IF(BL121=$BL$23,$BJ$22/12,0)</f>
        <v>0</v>
      </c>
      <c r="BO121" s="600">
        <f>BK121*IF(BL121=$BL$23,$BJ$22/12,0)</f>
        <v>0</v>
      </c>
      <c r="BP121" s="600">
        <f>BI121*IF(BM121=$BL$23,$BJ$23/12,0)</f>
        <v>0</v>
      </c>
      <c r="BQ121" s="600">
        <f>BK121*IF(BM121=$BL$23,$BJ$23/12,0)</f>
        <v>0</v>
      </c>
      <c r="BR121" s="405">
        <v>0</v>
      </c>
      <c r="BS121" s="405">
        <v>0</v>
      </c>
      <c r="BT121" s="476"/>
      <c r="BU121" s="405">
        <v>0</v>
      </c>
      <c r="BV121" s="319">
        <f>IF(BX121=1,AC121,U121)</f>
        <v>0</v>
      </c>
      <c r="BW121" s="319">
        <f t="shared" si="58"/>
        <v>0</v>
      </c>
      <c r="BX121" s="319">
        <f>IF('Modelo Energético '!$Q146=TRUE,1,0)</f>
        <v>1</v>
      </c>
      <c r="DP121" s="556"/>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row>
    <row r="122" spans="1:256" s="319" customFormat="1" ht="13.2">
      <c r="A122" s="617" t="s">
        <v>4172</v>
      </c>
      <c r="B122" s="481"/>
      <c r="C122" s="617">
        <v>1</v>
      </c>
      <c r="D122" s="637"/>
      <c r="E122" s="576">
        <f t="shared" si="49"/>
        <v>0</v>
      </c>
      <c r="F122" s="353">
        <f t="shared" si="50"/>
        <v>0</v>
      </c>
      <c r="G122" s="471">
        <f t="shared" si="51"/>
        <v>0</v>
      </c>
      <c r="H122" s="618">
        <f t="shared" si="59"/>
        <v>0</v>
      </c>
      <c r="I122" s="619">
        <f t="shared" si="59"/>
        <v>0</v>
      </c>
      <c r="J122" s="619">
        <f t="shared" si="59"/>
        <v>0</v>
      </c>
      <c r="K122" s="620">
        <f t="shared" si="59"/>
        <v>0</v>
      </c>
      <c r="L122" s="621"/>
      <c r="M122" s="622"/>
      <c r="N122" s="621"/>
      <c r="O122" s="622"/>
      <c r="P122" s="639">
        <v>0</v>
      </c>
      <c r="Q122" s="639">
        <v>0</v>
      </c>
      <c r="R122" s="641">
        <v>0</v>
      </c>
      <c r="S122" s="623"/>
      <c r="T122" s="309">
        <f>(R122-S122)*C122</f>
        <v>0</v>
      </c>
      <c r="U122" s="555">
        <v>0</v>
      </c>
      <c r="V122" s="595">
        <f>VLOOKUP(U122,$R$16:$X$20,2,FALSE)</f>
        <v>0</v>
      </c>
      <c r="W122" s="596">
        <f>VLOOKUP(U122,$R$16:$X$20,3,FALSE)</f>
        <v>0</v>
      </c>
      <c r="X122" s="597">
        <f>IF(W122=0,0,T122/W122)</f>
        <v>0</v>
      </c>
      <c r="Y122" s="639">
        <v>0</v>
      </c>
      <c r="Z122" s="309">
        <f>IF(BX122=1,Y122,R122)*C122</f>
        <v>0</v>
      </c>
      <c r="AA122" s="623"/>
      <c r="AB122" s="623">
        <f>Z122-AA122</f>
        <v>0</v>
      </c>
      <c r="AC122" s="555">
        <v>0</v>
      </c>
      <c r="AD122" s="595">
        <f>VLOOKUP(BV122,$R$16:$X$20,5,FALSE)</f>
        <v>0</v>
      </c>
      <c r="AE122" s="596">
        <f>VLOOKUP(BV122,$R$16:$X$20,7,FALSE)</f>
        <v>0</v>
      </c>
      <c r="AF122" s="597">
        <f>IF(AE122=0,0,AB122/AE122)</f>
        <v>0</v>
      </c>
      <c r="AG122" s="458">
        <f>IF(AE122=0,0,(T122-AB122)/AE122)</f>
        <v>0</v>
      </c>
      <c r="AH122" s="624">
        <f>X122-AF122-AG122</f>
        <v>0</v>
      </c>
      <c r="AI122" s="458">
        <f>VLOOKUP(V122,$H$3:$N$8,7,FALSE)</f>
        <v>0</v>
      </c>
      <c r="AJ122" s="458">
        <f>VLOOKUP(AD122,$H$3:$N$8,7,FALSE)</f>
        <v>0</v>
      </c>
      <c r="AK122" s="624">
        <f>IF(AND(AG122=0,AH122=0),0,(X122*AI122-AF122*AJ122)/IF(AG122+AH122=0,ABS(AG122)*2,AG122+AH122)*AG122)</f>
        <v>0</v>
      </c>
      <c r="AL122" s="624">
        <f>IF(AND(AG122=0,AH122=0),0,(X122*AI122-AF122*AJ122)/IF(AG122+AH122=0,ABS(AG122)*2,AG122+AH122)*AH122)</f>
        <v>0</v>
      </c>
      <c r="AM122" s="641">
        <v>0</v>
      </c>
      <c r="AN122" s="309"/>
      <c r="AO122" s="623">
        <f>AM122+AN122</f>
        <v>0</v>
      </c>
      <c r="AP122" s="555">
        <v>0</v>
      </c>
      <c r="AQ122" s="595">
        <f t="shared" si="54"/>
        <v>0</v>
      </c>
      <c r="AR122" s="596">
        <f t="shared" si="55"/>
        <v>0</v>
      </c>
      <c r="AS122" s="458">
        <f>IF(AR122=0,0,AO122/AR122)</f>
        <v>0</v>
      </c>
      <c r="AT122" s="405">
        <v>0</v>
      </c>
      <c r="AU122" s="598">
        <f>IF(BX122=1,AT122,AM122)</f>
        <v>0</v>
      </c>
      <c r="AV122" s="309"/>
      <c r="AW122" s="623">
        <f>AU122+AV122</f>
        <v>0</v>
      </c>
      <c r="AX122" s="555">
        <v>0</v>
      </c>
      <c r="AY122" s="595">
        <f t="shared" si="56"/>
        <v>0</v>
      </c>
      <c r="AZ122" s="596">
        <f t="shared" si="57"/>
        <v>0</v>
      </c>
      <c r="BA122" s="458">
        <f>IF(AZ122=0,0,AW122/AZ122)</f>
        <v>0</v>
      </c>
      <c r="BB122" s="458">
        <f>IF(AZ122=0,0,(AO122-AW122)/AZ122)</f>
        <v>0</v>
      </c>
      <c r="BC122" s="624">
        <f>AS122-BA122-BB122</f>
        <v>0</v>
      </c>
      <c r="BD122" s="458">
        <f>VLOOKUP(AQ122,$H$3:$N$8,7,FALSE)</f>
        <v>0</v>
      </c>
      <c r="BE122" s="458">
        <f>VLOOKUP(AY122,$H$3:$N$8,7,FALSE)</f>
        <v>0</v>
      </c>
      <c r="BF122" s="624">
        <f>IF(AND(BB122=0,BC122=0),0,(AS122*BD122-BA122*BE122)/IF(BB122+BC122=0,ABS(BB122)*2,BB122+BC122)*BB122)</f>
        <v>0</v>
      </c>
      <c r="BG122" s="624">
        <f>IF(AND(BB122=0,BC122=0),0,(AS122*BD122-BA122*BE122)/IF(BB122+BC122=0,ABS(BB122)*2,BB122+BC122)*BC122)</f>
        <v>0</v>
      </c>
      <c r="BH122" s="624">
        <f>(BR122-BK122)*$N$3</f>
        <v>0</v>
      </c>
      <c r="BI122" s="619">
        <f t="shared" si="60"/>
        <v>0</v>
      </c>
      <c r="BJ122" s="619">
        <f t="shared" si="60"/>
        <v>0</v>
      </c>
      <c r="BK122" s="598">
        <f>IF(BX122=1,BJ122,BI122)</f>
        <v>0</v>
      </c>
      <c r="BL122" s="645" t="s">
        <v>1129</v>
      </c>
      <c r="BM122" s="645" t="s">
        <v>1129</v>
      </c>
      <c r="BN122" s="619">
        <f>BI122*IF(BL122=$BL$23,$BJ$22/12,0)</f>
        <v>0</v>
      </c>
      <c r="BO122" s="619">
        <f>BK122*IF(BL122=$BL$23,$BJ$22/12,0)</f>
        <v>0</v>
      </c>
      <c r="BP122" s="619">
        <f>BI122*IF(BM122=$BL$23,$BJ$23/12,0)</f>
        <v>0</v>
      </c>
      <c r="BQ122" s="620">
        <f>BK122*IF(BM122=$BL$23,$BJ$23/12,0)</f>
        <v>0</v>
      </c>
      <c r="BR122" s="405">
        <v>0</v>
      </c>
      <c r="BS122" s="405">
        <v>0</v>
      </c>
      <c r="BT122" s="476"/>
      <c r="BU122" s="405">
        <v>0</v>
      </c>
      <c r="BV122" s="319">
        <f>IF(BX122=1,AC122,U122)</f>
        <v>0</v>
      </c>
      <c r="BW122" s="319">
        <f t="shared" si="58"/>
        <v>0</v>
      </c>
      <c r="BX122" s="319">
        <f>IF('Modelo Energético '!$Q147=TRUE,1,0)</f>
        <v>1</v>
      </c>
      <c r="DP122" s="556"/>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row>
    <row r="123" spans="1:256" s="319" customFormat="1" ht="13.2">
      <c r="A123" s="481"/>
      <c r="B123" s="481"/>
      <c r="C123" s="481"/>
      <c r="H123" s="309">
        <f>SUM(H27:H122)</f>
        <v>0</v>
      </c>
      <c r="I123" s="309">
        <f>SUM(I27:I122)</f>
        <v>0</v>
      </c>
      <c r="J123" s="309">
        <f>SUM(J27:J122)</f>
        <v>0</v>
      </c>
      <c r="K123" s="309">
        <f>SUM(K27:K122)</f>
        <v>0</v>
      </c>
      <c r="L123" s="309">
        <f>SUM(L28:L122)</f>
        <v>0</v>
      </c>
      <c r="M123" s="309">
        <f>SUM(M28:M122)</f>
        <v>0</v>
      </c>
      <c r="N123" s="309">
        <f>SUM(N28:N122)</f>
        <v>0</v>
      </c>
      <c r="O123" s="309">
        <f>SUM(O28:O122)</f>
        <v>0</v>
      </c>
      <c r="T123" s="309">
        <f>SUMPRODUCT($C$28:$C$122,T28:T122)</f>
        <v>0</v>
      </c>
      <c r="Z123" s="309"/>
      <c r="AB123" s="309">
        <f>SUMPRODUCT($C$28:$C$122,AB28:AB122)</f>
        <v>0</v>
      </c>
      <c r="AO123" s="309">
        <f>SUMPRODUCT($C$28:$C$122,AO28:AO122)</f>
        <v>0</v>
      </c>
      <c r="AW123" s="309">
        <f>SUMPRODUCT($C$28:$C$122,AW28:AW122)</f>
        <v>0</v>
      </c>
      <c r="BI123" s="309">
        <f>SUMPRODUCT($C$28:$C$122,BI28:BI122)</f>
        <v>0</v>
      </c>
      <c r="BJ123" s="309">
        <f>SUMPRODUCT($C$28:$C$122,BJ28:BJ122)</f>
        <v>0</v>
      </c>
      <c r="DP123" s="556"/>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row>
    <row r="124" spans="1:256" s="319" customFormat="1" ht="12.75" customHeight="1">
      <c r="A124" s="556"/>
      <c r="B124" s="556"/>
      <c r="C124" s="556"/>
      <c r="D124" s="556"/>
      <c r="E124" s="556"/>
      <c r="F124" s="556"/>
      <c r="G124" s="556"/>
      <c r="H124" s="556"/>
      <c r="I124" s="556"/>
      <c r="J124" s="556"/>
      <c r="K124" s="556"/>
      <c r="L124" s="556"/>
      <c r="M124" s="556"/>
      <c r="N124" s="556"/>
      <c r="O124" s="556"/>
      <c r="P124" s="556"/>
      <c r="Q124" s="556"/>
      <c r="R124" s="556"/>
      <c r="S124" s="556"/>
      <c r="T124" s="556"/>
      <c r="U124" s="556"/>
      <c r="V124" s="556"/>
      <c r="W124" s="556"/>
      <c r="X124" s="556"/>
      <c r="Y124" s="556"/>
      <c r="Z124" s="309"/>
      <c r="AA124" s="556"/>
      <c r="AB124" s="556"/>
      <c r="AC124" s="556"/>
      <c r="AD124" s="556"/>
      <c r="AE124" s="556"/>
      <c r="AF124" s="556"/>
      <c r="AG124" s="556"/>
      <c r="AH124" s="556"/>
      <c r="AI124" s="556"/>
      <c r="AJ124" s="556"/>
      <c r="AK124" s="556"/>
      <c r="AL124" s="556"/>
      <c r="AM124" s="556"/>
      <c r="AN124" s="556"/>
      <c r="AO124" s="556"/>
      <c r="AP124" s="556"/>
      <c r="AQ124" s="556"/>
      <c r="AR124" s="556"/>
      <c r="AS124" s="556"/>
      <c r="AT124" s="556"/>
      <c r="AU124" s="556"/>
      <c r="AV124" s="556"/>
      <c r="AW124" s="556"/>
      <c r="AX124" s="556"/>
      <c r="AY124" s="556"/>
      <c r="AZ124" s="556"/>
      <c r="BA124" s="556"/>
      <c r="BB124" s="556"/>
      <c r="BC124" s="556"/>
      <c r="BD124" s="556"/>
      <c r="BE124" s="556"/>
      <c r="BF124" s="556"/>
      <c r="BG124" s="556"/>
      <c r="BH124" s="556"/>
      <c r="BI124" s="556"/>
      <c r="BJ124" s="556"/>
      <c r="BK124" s="556"/>
      <c r="BL124" s="556"/>
      <c r="BM124" s="556"/>
      <c r="BN124" s="556"/>
      <c r="BO124" s="556"/>
      <c r="BP124" s="556"/>
      <c r="BQ124" s="556"/>
      <c r="BR124" s="556"/>
      <c r="BS124" s="556"/>
      <c r="BT124" s="556"/>
      <c r="BU124" s="556"/>
      <c r="BV124" s="556"/>
      <c r="BW124" s="556"/>
      <c r="BX124" s="556"/>
      <c r="BY124" s="556"/>
      <c r="BZ124" s="556"/>
      <c r="CA124" s="556"/>
      <c r="CB124" s="556"/>
      <c r="CC124" s="556"/>
      <c r="CD124" s="556"/>
      <c r="CE124" s="556"/>
      <c r="CF124" s="556"/>
      <c r="CG124" s="556"/>
      <c r="CH124" s="556"/>
      <c r="DP124" s="556"/>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row>
    <row r="125" spans="1:256" s="319" customFormat="1" ht="12.75" customHeight="1">
      <c r="A125" s="406" t="s">
        <v>3360</v>
      </c>
      <c r="B125" t="s">
        <v>72</v>
      </c>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s="556"/>
      <c r="BX125" s="556"/>
      <c r="BY125" s="556"/>
      <c r="BZ125" s="556"/>
      <c r="CA125" s="556"/>
      <c r="CB125" s="556"/>
      <c r="CC125" s="556"/>
      <c r="CD125" s="556"/>
      <c r="CE125" s="556"/>
      <c r="CF125" s="556"/>
      <c r="CG125" s="556"/>
      <c r="CH125" s="556"/>
      <c r="DP125" s="556"/>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row>
    <row r="126" spans="1:256" s="319" customFormat="1" ht="25.5" customHeight="1">
      <c r="A126"/>
      <c r="B126" s="660" t="s">
        <v>3361</v>
      </c>
      <c r="C126" s="660" t="s">
        <v>3362</v>
      </c>
      <c r="D126" s="660" t="s">
        <v>3363</v>
      </c>
      <c r="E126" s="660" t="s">
        <v>3364</v>
      </c>
      <c r="F126" s="660" t="s">
        <v>4474</v>
      </c>
      <c r="G126" s="660" t="s">
        <v>3182</v>
      </c>
      <c r="H126" s="660" t="s">
        <v>2675</v>
      </c>
      <c r="I126" s="660" t="s">
        <v>3265</v>
      </c>
      <c r="J126" s="660" t="s">
        <v>3266</v>
      </c>
      <c r="K126" s="660" t="s">
        <v>695</v>
      </c>
      <c r="L126" s="660" t="s">
        <v>696</v>
      </c>
      <c r="M126" s="660" t="s">
        <v>250</v>
      </c>
      <c r="N126" s="660" t="s">
        <v>251</v>
      </c>
      <c r="O126" s="660" t="s">
        <v>438</v>
      </c>
      <c r="P126" s="660" t="s">
        <v>1880</v>
      </c>
      <c r="Q126" s="660" t="s">
        <v>973</v>
      </c>
      <c r="R126" s="660" t="s">
        <v>974</v>
      </c>
      <c r="S126" s="660" t="s">
        <v>1345</v>
      </c>
      <c r="T126" s="660" t="s">
        <v>1346</v>
      </c>
      <c r="U126" s="660" t="s">
        <v>5924</v>
      </c>
      <c r="V126" s="660" t="s">
        <v>3627</v>
      </c>
      <c r="W126" s="660" t="s">
        <v>3749</v>
      </c>
      <c r="X126" s="660" t="s">
        <v>3750</v>
      </c>
      <c r="Y126" s="660" t="s">
        <v>3751</v>
      </c>
      <c r="Z126" s="660" t="s">
        <v>3550</v>
      </c>
      <c r="AA126" s="660" t="s">
        <v>3551</v>
      </c>
      <c r="AB126" s="660" t="s">
        <v>3115</v>
      </c>
      <c r="AC126" s="660" t="s">
        <v>4626</v>
      </c>
      <c r="AD126" s="660" t="s">
        <v>4627</v>
      </c>
      <c r="AE126" s="660" t="s">
        <v>5601</v>
      </c>
      <c r="AF126" s="660" t="s">
        <v>5602</v>
      </c>
      <c r="AG126" s="660" t="s">
        <v>5603</v>
      </c>
      <c r="AH126" s="660" t="s">
        <v>5748</v>
      </c>
      <c r="AI126" s="660" t="s">
        <v>660</v>
      </c>
      <c r="AJ126" s="660" t="s">
        <v>4169</v>
      </c>
      <c r="AK126" s="660" t="s">
        <v>4299</v>
      </c>
      <c r="AL126" s="660" t="s">
        <v>5306</v>
      </c>
      <c r="AM126" s="660" t="s">
        <v>4846</v>
      </c>
      <c r="AN126" s="660" t="s">
        <v>5420</v>
      </c>
      <c r="AO126" s="660" t="s">
        <v>3902</v>
      </c>
      <c r="AP126" s="660" t="s">
        <v>1322</v>
      </c>
      <c r="AQ126" s="660" t="s">
        <v>116</v>
      </c>
      <c r="AR126" s="660" t="s">
        <v>117</v>
      </c>
      <c r="AS126" s="660" t="s">
        <v>1978</v>
      </c>
      <c r="AT126" s="660" t="s">
        <v>2676</v>
      </c>
      <c r="AU126" s="660" t="s">
        <v>3387</v>
      </c>
      <c r="AV126" s="660" t="s">
        <v>4655</v>
      </c>
      <c r="AW126" s="660" t="s">
        <v>4656</v>
      </c>
      <c r="AX126" s="660" t="s">
        <v>4657</v>
      </c>
      <c r="AY126" s="660" t="s">
        <v>4658</v>
      </c>
      <c r="AZ126" s="660" t="s">
        <v>4659</v>
      </c>
      <c r="BA126" s="660" t="s">
        <v>5950</v>
      </c>
      <c r="BB126" s="660" t="s">
        <v>5951</v>
      </c>
      <c r="BC126" s="660" t="s">
        <v>3250</v>
      </c>
      <c r="BD126" s="660" t="s">
        <v>3251</v>
      </c>
      <c r="BE126" s="660" t="s">
        <v>1932</v>
      </c>
      <c r="BF126" s="660" t="s">
        <v>1933</v>
      </c>
      <c r="BG126" s="660" t="s">
        <v>4330</v>
      </c>
      <c r="BH126" s="660" t="s">
        <v>5234</v>
      </c>
      <c r="BI126" s="660" t="s">
        <v>3227</v>
      </c>
      <c r="BJ126" s="660" t="s">
        <v>3228</v>
      </c>
      <c r="BK126" s="660" t="s">
        <v>3229</v>
      </c>
      <c r="BL126" s="660" t="s">
        <v>2517</v>
      </c>
      <c r="BM126" s="660" t="s">
        <v>2518</v>
      </c>
      <c r="BN126" s="660" t="s">
        <v>1949</v>
      </c>
      <c r="BO126" s="660" t="s">
        <v>5512</v>
      </c>
      <c r="BP126" s="660" t="s">
        <v>5513</v>
      </c>
      <c r="BQ126" s="660" t="s">
        <v>5514</v>
      </c>
      <c r="BR126" s="660" t="s">
        <v>5515</v>
      </c>
      <c r="BS126" s="660" t="s">
        <v>3571</v>
      </c>
      <c r="BT126" s="660" t="s">
        <v>3572</v>
      </c>
      <c r="BU126" s="660" t="s">
        <v>71</v>
      </c>
      <c r="BV126" s="694" t="s">
        <v>1154</v>
      </c>
      <c r="BW126" s="694" t="s">
        <v>2208</v>
      </c>
      <c r="BX126" s="694" t="s">
        <v>2209</v>
      </c>
      <c r="BY126" s="694" t="s">
        <v>2210</v>
      </c>
      <c r="BZ126" s="694" t="s">
        <v>3241</v>
      </c>
      <c r="CA126" s="694" t="s">
        <v>4155</v>
      </c>
      <c r="CB126" s="694" t="s">
        <v>4156</v>
      </c>
      <c r="CC126" s="694" t="s">
        <v>3520</v>
      </c>
      <c r="CD126" s="694" t="s">
        <v>3521</v>
      </c>
      <c r="CE126" s="694" t="s">
        <v>3522</v>
      </c>
      <c r="CF126" s="694" t="s">
        <v>1143</v>
      </c>
      <c r="CG126" s="694" t="s">
        <v>2278</v>
      </c>
      <c r="CH126" s="695" t="s">
        <v>165</v>
      </c>
      <c r="CI126" s="695" t="s">
        <v>166</v>
      </c>
      <c r="CJ126" s="695" t="s">
        <v>3221</v>
      </c>
      <c r="CK126" s="695" t="s">
        <v>4774</v>
      </c>
      <c r="CL126" s="695" t="s">
        <v>61</v>
      </c>
      <c r="CM126" s="695" t="s">
        <v>62</v>
      </c>
      <c r="CN126" s="695" t="s">
        <v>5955</v>
      </c>
      <c r="CO126" s="695" t="s">
        <v>5956</v>
      </c>
      <c r="CP126" s="695" t="s">
        <v>5957</v>
      </c>
      <c r="CQ126" s="695" t="s">
        <v>3199</v>
      </c>
      <c r="CR126" s="695" t="s">
        <v>5446</v>
      </c>
      <c r="CS126" s="695" t="s">
        <v>5447</v>
      </c>
      <c r="DP126" s="55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row>
    <row r="127" spans="1:256" s="319" customFormat="1" ht="12.75" customHeight="1">
      <c r="A127">
        <v>1</v>
      </c>
      <c r="B127" s="405"/>
      <c r="C127" s="405"/>
      <c r="D127" s="405"/>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c r="AA127" s="405"/>
      <c r="AB127" s="405"/>
      <c r="AC127" s="405"/>
      <c r="AD127" s="405"/>
      <c r="AE127" s="405"/>
      <c r="AF127" s="405"/>
      <c r="AG127" s="405"/>
      <c r="AH127" s="405"/>
      <c r="AI127" s="405"/>
      <c r="AJ127" s="405"/>
      <c r="AK127" s="405"/>
      <c r="AL127" s="405"/>
      <c r="AM127" s="405"/>
      <c r="AN127" s="405"/>
      <c r="AO127" s="405"/>
      <c r="AP127" s="405"/>
      <c r="AQ127" s="405"/>
      <c r="AR127" s="405"/>
      <c r="AS127" s="405"/>
      <c r="AT127" s="405"/>
      <c r="AU127" s="405"/>
      <c r="AV127" s="405"/>
      <c r="AW127" s="405"/>
      <c r="AX127" s="405"/>
      <c r="AY127" s="405"/>
      <c r="AZ127" s="405"/>
      <c r="BA127" s="405"/>
      <c r="BB127" s="405"/>
      <c r="BC127" s="405"/>
      <c r="BD127" s="405"/>
      <c r="BE127" s="405"/>
      <c r="BF127" s="405"/>
      <c r="BG127" s="405"/>
      <c r="BH127" s="405"/>
      <c r="BI127" s="405"/>
      <c r="BJ127" s="405"/>
      <c r="BK127" s="405"/>
      <c r="BL127" s="405"/>
      <c r="BM127" s="405"/>
      <c r="BN127" s="405"/>
      <c r="BO127" s="405"/>
      <c r="BP127" s="405"/>
      <c r="BQ127" s="405"/>
      <c r="BR127" s="405"/>
      <c r="BS127" s="405"/>
      <c r="BT127" s="405"/>
      <c r="BU127" s="405"/>
      <c r="BV127" s="256" t="b">
        <f>VLOOKUP(Z127,$BV$2:$BW$7,2,FALSE)</f>
        <v>0</v>
      </c>
      <c r="BW127" s="257" t="b">
        <f t="shared" ref="BW127:CS131" si="61">VLOOKUP(AA127,$BV$2:$BW$7,2,FALSE)</f>
        <v>0</v>
      </c>
      <c r="BX127" s="257" t="b">
        <f t="shared" si="61"/>
        <v>0</v>
      </c>
      <c r="BY127" s="257" t="b">
        <f t="shared" si="61"/>
        <v>0</v>
      </c>
      <c r="BZ127" s="257" t="b">
        <f t="shared" si="61"/>
        <v>0</v>
      </c>
      <c r="CA127" s="257" t="b">
        <f t="shared" si="61"/>
        <v>0</v>
      </c>
      <c r="CB127" s="257" t="b">
        <f t="shared" si="61"/>
        <v>0</v>
      </c>
      <c r="CC127" s="257" t="b">
        <f t="shared" si="61"/>
        <v>0</v>
      </c>
      <c r="CD127" s="257" t="b">
        <f t="shared" si="61"/>
        <v>0</v>
      </c>
      <c r="CE127" s="257" t="b">
        <f t="shared" si="61"/>
        <v>0</v>
      </c>
      <c r="CF127" s="257" t="b">
        <f t="shared" si="61"/>
        <v>0</v>
      </c>
      <c r="CG127" s="257" t="b">
        <f t="shared" si="61"/>
        <v>0</v>
      </c>
      <c r="CH127" s="257" t="b">
        <f t="shared" si="61"/>
        <v>0</v>
      </c>
      <c r="CI127" s="257" t="b">
        <f t="shared" si="61"/>
        <v>0</v>
      </c>
      <c r="CJ127" s="257" t="b">
        <f t="shared" si="61"/>
        <v>0</v>
      </c>
      <c r="CK127" s="257" t="b">
        <f t="shared" si="61"/>
        <v>0</v>
      </c>
      <c r="CL127" s="257" t="b">
        <f t="shared" si="61"/>
        <v>0</v>
      </c>
      <c r="CM127" s="257" t="b">
        <f t="shared" si="61"/>
        <v>0</v>
      </c>
      <c r="CN127" s="257" t="b">
        <f t="shared" si="61"/>
        <v>0</v>
      </c>
      <c r="CO127" s="257" t="b">
        <f t="shared" si="61"/>
        <v>0</v>
      </c>
      <c r="CP127" s="257" t="b">
        <f t="shared" si="61"/>
        <v>0</v>
      </c>
      <c r="CQ127" s="257" t="b">
        <f t="shared" si="61"/>
        <v>0</v>
      </c>
      <c r="CR127" s="257" t="b">
        <f t="shared" si="61"/>
        <v>0</v>
      </c>
      <c r="CS127" s="257" t="b">
        <f t="shared" si="61"/>
        <v>0</v>
      </c>
      <c r="DP127" s="556"/>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row>
    <row r="128" spans="1:256" s="319" customFormat="1" ht="12.75" customHeight="1">
      <c r="A128">
        <v>2</v>
      </c>
      <c r="B128" s="405"/>
      <c r="C128" s="405"/>
      <c r="D128" s="405"/>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c r="AA128" s="405"/>
      <c r="AB128" s="405"/>
      <c r="AC128" s="405"/>
      <c r="AD128" s="405"/>
      <c r="AE128" s="405"/>
      <c r="AF128" s="405"/>
      <c r="AG128" s="405"/>
      <c r="AH128" s="405"/>
      <c r="AI128" s="405"/>
      <c r="AJ128" s="405"/>
      <c r="AK128" s="405"/>
      <c r="AL128" s="405"/>
      <c r="AM128" s="405"/>
      <c r="AN128" s="405"/>
      <c r="AO128" s="405"/>
      <c r="AP128" s="405"/>
      <c r="AQ128" s="405"/>
      <c r="AR128" s="405"/>
      <c r="AS128" s="405"/>
      <c r="AT128" s="405"/>
      <c r="AU128" s="405"/>
      <c r="AV128" s="405"/>
      <c r="AW128" s="405"/>
      <c r="AX128" s="405"/>
      <c r="AY128" s="405"/>
      <c r="AZ128" s="405"/>
      <c r="BA128" s="405"/>
      <c r="BB128" s="405"/>
      <c r="BC128" s="405"/>
      <c r="BD128" s="405"/>
      <c r="BE128" s="405"/>
      <c r="BF128" s="405"/>
      <c r="BG128" s="405"/>
      <c r="BH128" s="405"/>
      <c r="BI128" s="405"/>
      <c r="BJ128" s="405"/>
      <c r="BK128" s="405"/>
      <c r="BL128" s="405"/>
      <c r="BM128" s="405"/>
      <c r="BN128" s="405"/>
      <c r="BO128" s="405"/>
      <c r="BP128" s="405"/>
      <c r="BQ128" s="405"/>
      <c r="BR128" s="405"/>
      <c r="BS128" s="405"/>
      <c r="BT128" s="405"/>
      <c r="BU128" s="405"/>
      <c r="BV128" s="256" t="b">
        <f>VLOOKUP(Z128,$BV$2:$BW$7,2,FALSE)</f>
        <v>0</v>
      </c>
      <c r="BW128" s="257" t="b">
        <f t="shared" si="61"/>
        <v>0</v>
      </c>
      <c r="BX128" s="257" t="b">
        <f t="shared" si="61"/>
        <v>0</v>
      </c>
      <c r="BY128" s="257" t="b">
        <f t="shared" si="61"/>
        <v>0</v>
      </c>
      <c r="BZ128" s="257" t="b">
        <f t="shared" si="61"/>
        <v>0</v>
      </c>
      <c r="CA128" s="257" t="b">
        <f t="shared" si="61"/>
        <v>0</v>
      </c>
      <c r="CB128" s="257" t="b">
        <f t="shared" si="61"/>
        <v>0</v>
      </c>
      <c r="CC128" s="257" t="b">
        <f t="shared" si="61"/>
        <v>0</v>
      </c>
      <c r="CD128" s="257" t="b">
        <f t="shared" si="61"/>
        <v>0</v>
      </c>
      <c r="CE128" s="257" t="b">
        <f t="shared" si="61"/>
        <v>0</v>
      </c>
      <c r="CF128" s="257" t="b">
        <f t="shared" si="61"/>
        <v>0</v>
      </c>
      <c r="CG128" s="257" t="b">
        <f t="shared" si="61"/>
        <v>0</v>
      </c>
      <c r="CH128" s="257" t="b">
        <f t="shared" si="61"/>
        <v>0</v>
      </c>
      <c r="CI128" s="257" t="b">
        <f t="shared" si="61"/>
        <v>0</v>
      </c>
      <c r="CJ128" s="257" t="b">
        <f t="shared" si="61"/>
        <v>0</v>
      </c>
      <c r="CK128" s="257" t="b">
        <f t="shared" si="61"/>
        <v>0</v>
      </c>
      <c r="CL128" s="257" t="b">
        <f t="shared" si="61"/>
        <v>0</v>
      </c>
      <c r="CM128" s="257" t="b">
        <f t="shared" si="61"/>
        <v>0</v>
      </c>
      <c r="CN128" s="257" t="b">
        <f t="shared" si="61"/>
        <v>0</v>
      </c>
      <c r="CO128" s="257" t="b">
        <f t="shared" si="61"/>
        <v>0</v>
      </c>
      <c r="CP128" s="257" t="b">
        <f t="shared" si="61"/>
        <v>0</v>
      </c>
      <c r="CQ128" s="257" t="b">
        <f t="shared" si="61"/>
        <v>0</v>
      </c>
      <c r="CR128" s="257" t="b">
        <f t="shared" si="61"/>
        <v>0</v>
      </c>
      <c r="CS128" s="257" t="b">
        <f t="shared" si="61"/>
        <v>0</v>
      </c>
      <c r="DP128" s="556"/>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row>
    <row r="129" spans="1:256" s="319" customFormat="1" ht="12.75" customHeight="1">
      <c r="A129">
        <v>3</v>
      </c>
      <c r="B129" s="405"/>
      <c r="C129" s="405"/>
      <c r="D129" s="405"/>
      <c r="E129" s="405"/>
      <c r="F129" s="405"/>
      <c r="G129" s="405"/>
      <c r="H129" s="405"/>
      <c r="I129" s="405"/>
      <c r="J129" s="405"/>
      <c r="K129" s="405"/>
      <c r="L129" s="405"/>
      <c r="M129" s="405"/>
      <c r="N129" s="405"/>
      <c r="O129" s="405"/>
      <c r="P129" s="405"/>
      <c r="Q129" s="405"/>
      <c r="R129" s="405"/>
      <c r="S129" s="405"/>
      <c r="T129" s="405"/>
      <c r="U129" s="405"/>
      <c r="V129" s="405"/>
      <c r="W129" s="405"/>
      <c r="X129" s="405"/>
      <c r="Y129" s="405"/>
      <c r="Z129" s="405"/>
      <c r="AA129" s="405"/>
      <c r="AB129" s="405"/>
      <c r="AC129" s="405"/>
      <c r="AD129" s="405"/>
      <c r="AE129" s="405"/>
      <c r="AF129" s="405"/>
      <c r="AG129" s="405"/>
      <c r="AH129" s="405"/>
      <c r="AI129" s="405"/>
      <c r="AJ129" s="405"/>
      <c r="AK129" s="405"/>
      <c r="AL129" s="405"/>
      <c r="AM129" s="405"/>
      <c r="AN129" s="405"/>
      <c r="AO129" s="405"/>
      <c r="AP129" s="405"/>
      <c r="AQ129" s="405"/>
      <c r="AR129" s="405"/>
      <c r="AS129" s="405"/>
      <c r="AT129" s="405"/>
      <c r="AU129" s="405"/>
      <c r="AV129" s="405"/>
      <c r="AW129" s="405"/>
      <c r="AX129" s="405"/>
      <c r="AY129" s="405"/>
      <c r="AZ129" s="405"/>
      <c r="BA129" s="405"/>
      <c r="BB129" s="405"/>
      <c r="BC129" s="405"/>
      <c r="BD129" s="405"/>
      <c r="BE129" s="405"/>
      <c r="BF129" s="405"/>
      <c r="BG129" s="405"/>
      <c r="BH129" s="405"/>
      <c r="BI129" s="405"/>
      <c r="BJ129" s="405"/>
      <c r="BK129" s="405"/>
      <c r="BL129" s="405"/>
      <c r="BM129" s="405"/>
      <c r="BN129" s="405"/>
      <c r="BO129" s="405"/>
      <c r="BP129" s="405"/>
      <c r="BQ129" s="405"/>
      <c r="BR129" s="405"/>
      <c r="BS129" s="405"/>
      <c r="BT129" s="405"/>
      <c r="BU129" s="405"/>
      <c r="BV129" s="256" t="b">
        <f>VLOOKUP(Z129,$BV$2:$BW$7,2,FALSE)</f>
        <v>0</v>
      </c>
      <c r="BW129" s="257" t="b">
        <f t="shared" si="61"/>
        <v>0</v>
      </c>
      <c r="BX129" s="257" t="b">
        <f t="shared" si="61"/>
        <v>0</v>
      </c>
      <c r="BY129" s="257" t="b">
        <f t="shared" si="61"/>
        <v>0</v>
      </c>
      <c r="BZ129" s="257" t="b">
        <f t="shared" si="61"/>
        <v>0</v>
      </c>
      <c r="CA129" s="257" t="b">
        <f t="shared" si="61"/>
        <v>0</v>
      </c>
      <c r="CB129" s="257" t="b">
        <f t="shared" si="61"/>
        <v>0</v>
      </c>
      <c r="CC129" s="257" t="b">
        <f t="shared" si="61"/>
        <v>0</v>
      </c>
      <c r="CD129" s="257" t="b">
        <f t="shared" si="61"/>
        <v>0</v>
      </c>
      <c r="CE129" s="257" t="b">
        <f t="shared" si="61"/>
        <v>0</v>
      </c>
      <c r="CF129" s="257" t="b">
        <f t="shared" si="61"/>
        <v>0</v>
      </c>
      <c r="CG129" s="257" t="b">
        <f t="shared" si="61"/>
        <v>0</v>
      </c>
      <c r="CH129" s="257" t="b">
        <f t="shared" si="61"/>
        <v>0</v>
      </c>
      <c r="CI129" s="257" t="b">
        <f t="shared" si="61"/>
        <v>0</v>
      </c>
      <c r="CJ129" s="257" t="b">
        <f t="shared" si="61"/>
        <v>0</v>
      </c>
      <c r="CK129" s="257" t="b">
        <f t="shared" si="61"/>
        <v>0</v>
      </c>
      <c r="CL129" s="257" t="b">
        <f t="shared" si="61"/>
        <v>0</v>
      </c>
      <c r="CM129" s="257" t="b">
        <f t="shared" si="61"/>
        <v>0</v>
      </c>
      <c r="CN129" s="257" t="b">
        <f t="shared" si="61"/>
        <v>0</v>
      </c>
      <c r="CO129" s="257" t="b">
        <f t="shared" si="61"/>
        <v>0</v>
      </c>
      <c r="CP129" s="257" t="b">
        <f t="shared" si="61"/>
        <v>0</v>
      </c>
      <c r="CQ129" s="257" t="b">
        <f t="shared" si="61"/>
        <v>0</v>
      </c>
      <c r="CR129" s="257" t="b">
        <f t="shared" si="61"/>
        <v>0</v>
      </c>
      <c r="CS129" s="257" t="b">
        <f t="shared" si="61"/>
        <v>0</v>
      </c>
      <c r="DP129" s="556"/>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row>
    <row r="130" spans="1:256" s="319" customFormat="1" ht="12.75" customHeight="1">
      <c r="A130">
        <v>4</v>
      </c>
      <c r="B130" s="405"/>
      <c r="C130" s="405"/>
      <c r="D130" s="405"/>
      <c r="E130" s="405"/>
      <c r="F130" s="405"/>
      <c r="G130" s="405"/>
      <c r="H130" s="405"/>
      <c r="I130" s="405"/>
      <c r="J130" s="405"/>
      <c r="K130" s="405"/>
      <c r="L130" s="405"/>
      <c r="M130" s="405"/>
      <c r="N130" s="405"/>
      <c r="O130" s="405"/>
      <c r="P130" s="405"/>
      <c r="Q130" s="405"/>
      <c r="R130" s="405"/>
      <c r="S130" s="405"/>
      <c r="T130" s="405"/>
      <c r="U130" s="405"/>
      <c r="V130" s="405"/>
      <c r="W130" s="405"/>
      <c r="X130" s="405"/>
      <c r="Y130" s="405"/>
      <c r="Z130" s="405"/>
      <c r="AA130" s="405"/>
      <c r="AB130" s="405"/>
      <c r="AC130" s="405"/>
      <c r="AD130" s="405"/>
      <c r="AE130" s="405"/>
      <c r="AF130" s="405"/>
      <c r="AG130" s="405"/>
      <c r="AH130" s="405"/>
      <c r="AI130" s="405"/>
      <c r="AJ130" s="405"/>
      <c r="AK130" s="405"/>
      <c r="AL130" s="405"/>
      <c r="AM130" s="405"/>
      <c r="AN130" s="405"/>
      <c r="AO130" s="405"/>
      <c r="AP130" s="405"/>
      <c r="AQ130" s="405"/>
      <c r="AR130" s="405"/>
      <c r="AS130" s="405"/>
      <c r="AT130" s="405"/>
      <c r="AU130" s="405"/>
      <c r="AV130" s="405"/>
      <c r="AW130" s="405"/>
      <c r="AX130" s="405"/>
      <c r="AY130" s="405"/>
      <c r="AZ130" s="405"/>
      <c r="BA130" s="405"/>
      <c r="BB130" s="405"/>
      <c r="BC130" s="405"/>
      <c r="BD130" s="405"/>
      <c r="BE130" s="405"/>
      <c r="BF130" s="405"/>
      <c r="BG130" s="405"/>
      <c r="BH130" s="405"/>
      <c r="BI130" s="405"/>
      <c r="BJ130" s="405"/>
      <c r="BK130" s="405"/>
      <c r="BL130" s="405"/>
      <c r="BM130" s="405"/>
      <c r="BN130" s="405"/>
      <c r="BO130" s="405"/>
      <c r="BP130" s="405"/>
      <c r="BQ130" s="405"/>
      <c r="BR130" s="405"/>
      <c r="BS130" s="405"/>
      <c r="BT130" s="405"/>
      <c r="BU130" s="405"/>
      <c r="BV130" s="256" t="b">
        <f>VLOOKUP(Z130,$BV$2:$BW$7,2,FALSE)</f>
        <v>0</v>
      </c>
      <c r="BW130" s="257" t="b">
        <f t="shared" si="61"/>
        <v>0</v>
      </c>
      <c r="BX130" s="257" t="b">
        <f t="shared" si="61"/>
        <v>0</v>
      </c>
      <c r="BY130" s="257" t="b">
        <f t="shared" si="61"/>
        <v>0</v>
      </c>
      <c r="BZ130" s="257" t="b">
        <f t="shared" si="61"/>
        <v>0</v>
      </c>
      <c r="CA130" s="257" t="b">
        <f t="shared" si="61"/>
        <v>0</v>
      </c>
      <c r="CB130" s="257" t="b">
        <f t="shared" si="61"/>
        <v>0</v>
      </c>
      <c r="CC130" s="257" t="b">
        <f t="shared" si="61"/>
        <v>0</v>
      </c>
      <c r="CD130" s="257" t="b">
        <f t="shared" si="61"/>
        <v>0</v>
      </c>
      <c r="CE130" s="257" t="b">
        <f t="shared" si="61"/>
        <v>0</v>
      </c>
      <c r="CF130" s="257" t="b">
        <f t="shared" si="61"/>
        <v>0</v>
      </c>
      <c r="CG130" s="257" t="b">
        <f t="shared" si="61"/>
        <v>0</v>
      </c>
      <c r="CH130" s="257" t="b">
        <f t="shared" si="61"/>
        <v>0</v>
      </c>
      <c r="CI130" s="257" t="b">
        <f t="shared" si="61"/>
        <v>0</v>
      </c>
      <c r="CJ130" s="257" t="b">
        <f t="shared" si="61"/>
        <v>0</v>
      </c>
      <c r="CK130" s="257" t="b">
        <f t="shared" si="61"/>
        <v>0</v>
      </c>
      <c r="CL130" s="257" t="b">
        <f t="shared" si="61"/>
        <v>0</v>
      </c>
      <c r="CM130" s="257" t="b">
        <f t="shared" si="61"/>
        <v>0</v>
      </c>
      <c r="CN130" s="257" t="b">
        <f t="shared" si="61"/>
        <v>0</v>
      </c>
      <c r="CO130" s="257" t="b">
        <f t="shared" si="61"/>
        <v>0</v>
      </c>
      <c r="CP130" s="257" t="b">
        <f t="shared" si="61"/>
        <v>0</v>
      </c>
      <c r="CQ130" s="257" t="b">
        <f t="shared" si="61"/>
        <v>0</v>
      </c>
      <c r="CR130" s="257" t="b">
        <f t="shared" si="61"/>
        <v>0</v>
      </c>
      <c r="CS130" s="257" t="b">
        <f t="shared" si="61"/>
        <v>0</v>
      </c>
      <c r="DP130" s="556"/>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row>
    <row r="131" spans="1:256" s="319" customFormat="1" ht="12.75" customHeight="1">
      <c r="A131">
        <v>5</v>
      </c>
      <c r="B131" s="405"/>
      <c r="C131" s="405"/>
      <c r="D131" s="405"/>
      <c r="E131" s="405"/>
      <c r="F131" s="405"/>
      <c r="G131" s="405"/>
      <c r="H131" s="405"/>
      <c r="I131" s="405"/>
      <c r="J131" s="405"/>
      <c r="K131" s="405"/>
      <c r="L131" s="405"/>
      <c r="M131" s="405"/>
      <c r="N131" s="405"/>
      <c r="O131" s="405"/>
      <c r="P131" s="405"/>
      <c r="Q131" s="405"/>
      <c r="R131" s="405"/>
      <c r="S131" s="405"/>
      <c r="T131" s="405"/>
      <c r="U131" s="405"/>
      <c r="V131" s="405"/>
      <c r="W131" s="405"/>
      <c r="X131" s="405"/>
      <c r="Y131" s="405"/>
      <c r="Z131" s="405"/>
      <c r="AA131" s="405"/>
      <c r="AB131" s="405"/>
      <c r="AC131" s="405"/>
      <c r="AD131" s="405"/>
      <c r="AE131" s="405"/>
      <c r="AF131" s="405"/>
      <c r="AG131" s="405"/>
      <c r="AH131" s="405"/>
      <c r="AI131" s="405"/>
      <c r="AJ131" s="405"/>
      <c r="AK131" s="405"/>
      <c r="AL131" s="405"/>
      <c r="AM131" s="405"/>
      <c r="AN131" s="405"/>
      <c r="AO131" s="405"/>
      <c r="AP131" s="405"/>
      <c r="AQ131" s="405"/>
      <c r="AR131" s="405"/>
      <c r="AS131" s="405"/>
      <c r="AT131" s="405"/>
      <c r="AU131" s="405"/>
      <c r="AV131" s="405"/>
      <c r="AW131" s="405"/>
      <c r="AX131" s="405"/>
      <c r="AY131" s="405"/>
      <c r="AZ131" s="405"/>
      <c r="BA131" s="405"/>
      <c r="BB131" s="405"/>
      <c r="BC131" s="405"/>
      <c r="BD131" s="405"/>
      <c r="BE131" s="405"/>
      <c r="BF131" s="405"/>
      <c r="BG131" s="405"/>
      <c r="BH131" s="405"/>
      <c r="BI131" s="405"/>
      <c r="BJ131" s="405"/>
      <c r="BK131" s="405"/>
      <c r="BL131" s="405"/>
      <c r="BM131" s="405"/>
      <c r="BN131" s="405"/>
      <c r="BO131" s="405"/>
      <c r="BP131" s="405"/>
      <c r="BQ131" s="405"/>
      <c r="BR131" s="405"/>
      <c r="BS131" s="405"/>
      <c r="BT131" s="405"/>
      <c r="BU131" s="405"/>
      <c r="BV131" s="256" t="b">
        <f>VLOOKUP(Z131,$BV$2:$BW$7,2,FALSE)</f>
        <v>0</v>
      </c>
      <c r="BW131" s="257" t="b">
        <f t="shared" si="61"/>
        <v>0</v>
      </c>
      <c r="BX131" s="257" t="b">
        <f t="shared" si="61"/>
        <v>0</v>
      </c>
      <c r="BY131" s="257" t="b">
        <f t="shared" si="61"/>
        <v>0</v>
      </c>
      <c r="BZ131" s="257" t="b">
        <f t="shared" si="61"/>
        <v>0</v>
      </c>
      <c r="CA131" s="257" t="b">
        <f t="shared" si="61"/>
        <v>0</v>
      </c>
      <c r="CB131" s="257" t="b">
        <f t="shared" si="61"/>
        <v>0</v>
      </c>
      <c r="CC131" s="257" t="b">
        <f t="shared" si="61"/>
        <v>0</v>
      </c>
      <c r="CD131" s="257" t="b">
        <f t="shared" si="61"/>
        <v>0</v>
      </c>
      <c r="CE131" s="257" t="b">
        <f t="shared" si="61"/>
        <v>0</v>
      </c>
      <c r="CF131" s="257" t="b">
        <f t="shared" si="61"/>
        <v>0</v>
      </c>
      <c r="CG131" s="257" t="b">
        <f t="shared" si="61"/>
        <v>0</v>
      </c>
      <c r="CH131" s="257" t="b">
        <f t="shared" si="61"/>
        <v>0</v>
      </c>
      <c r="CI131" s="257" t="b">
        <f t="shared" si="61"/>
        <v>0</v>
      </c>
      <c r="CJ131" s="257" t="b">
        <f t="shared" si="61"/>
        <v>0</v>
      </c>
      <c r="CK131" s="257" t="b">
        <f t="shared" si="61"/>
        <v>0</v>
      </c>
      <c r="CL131" s="257" t="b">
        <f t="shared" si="61"/>
        <v>0</v>
      </c>
      <c r="CM131" s="257" t="b">
        <f t="shared" si="61"/>
        <v>0</v>
      </c>
      <c r="CN131" s="257" t="b">
        <f t="shared" si="61"/>
        <v>0</v>
      </c>
      <c r="CO131" s="257" t="b">
        <f t="shared" si="61"/>
        <v>0</v>
      </c>
      <c r="CP131" s="257" t="b">
        <f t="shared" si="61"/>
        <v>0</v>
      </c>
      <c r="CQ131" s="257" t="b">
        <f t="shared" si="61"/>
        <v>0</v>
      </c>
      <c r="CR131" s="257" t="b">
        <f t="shared" si="61"/>
        <v>0</v>
      </c>
      <c r="CS131" s="257" t="b">
        <f t="shared" si="61"/>
        <v>0</v>
      </c>
      <c r="DP131" s="556"/>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row>
    <row r="132" spans="1:256" s="319" customFormat="1" ht="12.75" customHeight="1">
      <c r="A132"/>
      <c r="B132" s="257"/>
      <c r="C132"/>
      <c r="D132"/>
      <c r="E132"/>
      <c r="F132"/>
      <c r="G132"/>
      <c r="H132"/>
      <c r="I132"/>
      <c r="J132"/>
      <c r="K132"/>
      <c r="L132"/>
      <c r="M132"/>
      <c r="N132"/>
      <c r="O132"/>
      <c r="P132"/>
      <c r="Q132"/>
      <c r="R132"/>
      <c r="S132"/>
      <c r="T132"/>
      <c r="U132"/>
      <c r="V132"/>
      <c r="W132"/>
      <c r="X132"/>
      <c r="Y132"/>
      <c r="Z132" s="257"/>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s="556"/>
      <c r="BX132" s="556"/>
      <c r="BY132" s="678"/>
      <c r="BZ132" s="678"/>
      <c r="CA132" s="678"/>
      <c r="CB132" s="678"/>
      <c r="CC132" s="678"/>
      <c r="CD132" s="678"/>
      <c r="CE132" s="556"/>
      <c r="CF132" s="556"/>
      <c r="CG132" s="556"/>
      <c r="CH132" s="556"/>
      <c r="DP132" s="556"/>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row>
    <row r="133" spans="1:256" s="605" customFormat="1" ht="66">
      <c r="A133" s="605" t="s">
        <v>5457</v>
      </c>
      <c r="B133" s="680" t="s">
        <v>2545</v>
      </c>
      <c r="C133" s="680" t="s">
        <v>4271</v>
      </c>
      <c r="D133" s="680" t="s">
        <v>2390</v>
      </c>
      <c r="E133" s="680" t="s">
        <v>2391</v>
      </c>
      <c r="F133" s="680" t="s">
        <v>64</v>
      </c>
      <c r="G133" s="680" t="s">
        <v>65</v>
      </c>
      <c r="H133" s="680" t="s">
        <v>66</v>
      </c>
      <c r="I133" s="680" t="s">
        <v>67</v>
      </c>
      <c r="J133" s="680"/>
      <c r="K133" s="680"/>
      <c r="L133" s="680"/>
      <c r="M133" s="680"/>
      <c r="N133" s="680"/>
      <c r="O133" s="680"/>
      <c r="P133" s="680"/>
      <c r="Q133" s="680"/>
      <c r="R133" s="680"/>
      <c r="S133" s="680"/>
      <c r="T133" s="680"/>
      <c r="U133" s="680"/>
      <c r="V133" s="680"/>
      <c r="W133" s="680"/>
      <c r="X133" s="680"/>
      <c r="Y133" s="680"/>
      <c r="Z133" s="680"/>
      <c r="AA133" s="680"/>
      <c r="AB133" s="680"/>
      <c r="AC133" s="680"/>
      <c r="AD133" s="680"/>
      <c r="AE133" s="680"/>
      <c r="AF133" s="680"/>
      <c r="AG133" s="680"/>
      <c r="AH133" s="680"/>
      <c r="AI133" s="680"/>
      <c r="AJ133" s="680"/>
      <c r="AK133" s="680"/>
      <c r="AL133" s="680"/>
      <c r="AM133" s="680"/>
      <c r="AN133" s="680"/>
      <c r="AO133" s="680"/>
      <c r="AP133" s="680"/>
      <c r="AQ133" s="680"/>
      <c r="AR133" s="680"/>
      <c r="AS133" s="680"/>
      <c r="AT133" s="680"/>
      <c r="AU133" s="680"/>
      <c r="AV133" s="680"/>
      <c r="AW133" s="680"/>
      <c r="AX133" s="680"/>
      <c r="AY133" s="680"/>
      <c r="AZ133" s="680"/>
      <c r="BA133" s="680"/>
      <c r="BB133" s="680" t="s">
        <v>2672</v>
      </c>
      <c r="BC133" s="680" t="s">
        <v>2673</v>
      </c>
      <c r="BD133" s="680" t="s">
        <v>2674</v>
      </c>
      <c r="BE133" s="680" t="s">
        <v>1401</v>
      </c>
      <c r="BF133" s="680"/>
      <c r="BG133" s="680" t="s">
        <v>2377</v>
      </c>
      <c r="BH133" s="680" t="s">
        <v>1673</v>
      </c>
      <c r="BI133" s="680" t="s">
        <v>1402</v>
      </c>
      <c r="BJ133" s="680"/>
      <c r="BK133" s="680" t="s">
        <v>5379</v>
      </c>
      <c r="BL133" s="680" t="s">
        <v>2674</v>
      </c>
      <c r="BM133" s="680"/>
      <c r="BN133" s="680" t="s">
        <v>1401</v>
      </c>
      <c r="BO133" s="680" t="s">
        <v>5380</v>
      </c>
      <c r="BP133" s="680" t="s">
        <v>1673</v>
      </c>
      <c r="BQ133" s="680"/>
      <c r="BR133" s="680" t="s">
        <v>1402</v>
      </c>
      <c r="BS133" s="680" t="s">
        <v>5381</v>
      </c>
      <c r="BT133" s="680" t="s">
        <v>5898</v>
      </c>
      <c r="BU133" s="680" t="s">
        <v>3829</v>
      </c>
      <c r="BV133" s="680" t="s">
        <v>4665</v>
      </c>
      <c r="BW133" s="680" t="s">
        <v>641</v>
      </c>
      <c r="BX133" s="605" t="s">
        <v>3651</v>
      </c>
      <c r="BY133" s="605" t="s">
        <v>3178</v>
      </c>
      <c r="BZ133" s="680" t="s">
        <v>3179</v>
      </c>
      <c r="CA133" s="680" t="s">
        <v>3180</v>
      </c>
      <c r="CB133" s="680" t="s">
        <v>3859</v>
      </c>
      <c r="CC133" s="680" t="s">
        <v>5559</v>
      </c>
      <c r="CD133" s="680" t="s">
        <v>2899</v>
      </c>
      <c r="CE133" s="680" t="s">
        <v>1151</v>
      </c>
      <c r="CF133" s="680" t="s">
        <v>2362</v>
      </c>
      <c r="CG133" s="680" t="s">
        <v>2336</v>
      </c>
      <c r="CH133" s="680" t="s">
        <v>4801</v>
      </c>
      <c r="CI133" s="680" t="s">
        <v>933</v>
      </c>
      <c r="CJ133" s="678"/>
      <c r="CK133" s="678"/>
      <c r="CL133" s="678"/>
      <c r="CM133" s="678"/>
      <c r="CN133" s="678"/>
      <c r="CO133" s="678"/>
      <c r="CP133" s="678"/>
      <c r="CQ133" s="678"/>
      <c r="CR133" s="678"/>
      <c r="CS133" s="678"/>
      <c r="CT133" s="678"/>
      <c r="CU133" s="678"/>
      <c r="CV133" s="678"/>
      <c r="CW133" s="678"/>
      <c r="CX133" s="678"/>
      <c r="CY133" s="678"/>
      <c r="CZ133" s="678"/>
      <c r="DA133" s="678"/>
      <c r="DB133" s="678"/>
      <c r="DC133" s="678"/>
      <c r="DD133" s="678"/>
      <c r="DE133" s="678"/>
      <c r="DF133" s="678"/>
      <c r="DG133" s="678"/>
      <c r="DH133" s="678"/>
      <c r="DI133" s="678"/>
      <c r="DJ133" s="678"/>
      <c r="DK133" s="678"/>
      <c r="DL133" s="678"/>
      <c r="DM133" s="678"/>
      <c r="DN133" s="678"/>
      <c r="DO133" s="678"/>
      <c r="DP133" s="678"/>
      <c r="DQ133" s="678"/>
      <c r="DR133" s="678"/>
      <c r="DS133" s="678"/>
      <c r="DT133" s="678"/>
      <c r="DU133" s="678"/>
      <c r="DV133" s="678"/>
      <c r="DW133" s="678"/>
      <c r="DX133" s="678"/>
      <c r="DY133" s="678"/>
      <c r="DZ133" s="678"/>
      <c r="EA133" s="678"/>
      <c r="EB133" s="678"/>
      <c r="EC133" s="678"/>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row>
    <row r="134" spans="1:256" s="598" customFormat="1" ht="12.75" customHeight="1">
      <c r="A134" s="319" t="s">
        <v>5458</v>
      </c>
      <c r="B134" s="682">
        <v>0</v>
      </c>
      <c r="C134" s="682">
        <v>0</v>
      </c>
      <c r="D134" s="682">
        <v>0</v>
      </c>
      <c r="E134" s="682">
        <v>0</v>
      </c>
      <c r="F134" s="598">
        <f t="shared" ref="F134:G138" si="62">VLOOKUP(IF(BV134,B134,0),$BW$16:$CK$21,14,FALSE)</f>
        <v>0</v>
      </c>
      <c r="G134" s="598">
        <f t="shared" si="62"/>
        <v>0</v>
      </c>
      <c r="H134" s="598">
        <f t="shared" ref="H134:I138" si="63">VLOOKUP(IF(BV134,B134,0),$BW$16:$CK$21,15,FALSE)</f>
        <v>3495.6752727272724</v>
      </c>
      <c r="I134" s="598">
        <f t="shared" si="63"/>
        <v>3495.6752727272724</v>
      </c>
      <c r="BB134" s="598">
        <f>HLOOKUP(IF(BV134,B134,0),'EET2'!$U$87:$Z$88,2)*D134</f>
        <v>0</v>
      </c>
      <c r="BC134" s="598">
        <f>HLOOKUP(IF(BW134,C134,0),'EET2'!$U$87:$Z$88,2)*E134</f>
        <v>0</v>
      </c>
      <c r="BD134" s="682">
        <v>0</v>
      </c>
      <c r="BE134" s="682">
        <v>1</v>
      </c>
      <c r="BF134" s="718">
        <f>SUM(CF134:CQ134) - EB134</f>
        <v>0</v>
      </c>
      <c r="BG134" s="1041">
        <f>(BD134 *F134 - CF134) * BE134</f>
        <v>0</v>
      </c>
      <c r="BH134" s="682">
        <v>0</v>
      </c>
      <c r="BI134" s="682">
        <v>1</v>
      </c>
      <c r="BJ134" s="718">
        <f>SUM(CR134:DC134) - EC134</f>
        <v>0</v>
      </c>
      <c r="BK134" s="1041">
        <f>(BH134 *G134  - CG134) * BI134</f>
        <v>0</v>
      </c>
      <c r="BL134" s="682">
        <v>0</v>
      </c>
      <c r="BM134" s="718">
        <f>EB134</f>
        <v>0</v>
      </c>
      <c r="BN134" s="682">
        <v>1</v>
      </c>
      <c r="BO134" s="1041">
        <f>(H134* BL134 + CH134 + BB134) * BN134</f>
        <v>0</v>
      </c>
      <c r="BP134" s="682">
        <v>0</v>
      </c>
      <c r="BQ134" s="718">
        <f>EC134</f>
        <v>0</v>
      </c>
      <c r="BR134" s="682">
        <v>1</v>
      </c>
      <c r="BS134" s="1041">
        <f>(I134* BP134 + CI134 + BC134) * BR134</f>
        <v>0</v>
      </c>
      <c r="BT134" s="682">
        <v>2</v>
      </c>
      <c r="BU134" s="682">
        <v>2</v>
      </c>
      <c r="BV134" s="598" t="b">
        <f>VLOOKUP(B134,$BV$2:$BW$7,2,FALSE)</f>
        <v>0</v>
      </c>
      <c r="BW134" s="598" t="b">
        <f>VLOOKUP(C134,$BV$2:$BW$7,2,FALSE)</f>
        <v>0</v>
      </c>
      <c r="BX134" s="683">
        <v>0</v>
      </c>
      <c r="BY134" s="683">
        <v>0</v>
      </c>
      <c r="BZ134" s="678" t="b">
        <f>IF(VLOOKUP(BX134,R16:BU20,56,FALSE),TRUE,FALSE)</f>
        <v>0</v>
      </c>
      <c r="CA134" s="678" t="b">
        <f>IF(VLOOKUP(BY134,R16:BU20,56,FALSE),TRUE,FALSE)</f>
        <v>0</v>
      </c>
      <c r="CB134" s="683">
        <v>0</v>
      </c>
      <c r="CC134" s="683">
        <v>0</v>
      </c>
      <c r="CD134" s="678" t="b">
        <f>IF(VLOOKUP(CB134,R22:BU26,56,FALSE),TRUE,FALSE)</f>
        <v>0</v>
      </c>
      <c r="CE134" s="678" t="b">
        <f>IF(VLOOKUP(CC134,R22:BU26,56,FALSE),TRUE,FALSE)</f>
        <v>0</v>
      </c>
      <c r="CF134" s="718">
        <f>'EET2'!C131</f>
        <v>0</v>
      </c>
      <c r="CG134" s="718">
        <f>'EET2'!H131</f>
        <v>0</v>
      </c>
      <c r="CH134" s="718">
        <f>'EET2'!D107</f>
        <v>0</v>
      </c>
      <c r="CI134" s="718">
        <f>'EET2'!I107</f>
        <v>0</v>
      </c>
      <c r="CK134" s="678"/>
      <c r="CL134" s="678"/>
      <c r="CM134" s="678"/>
      <c r="CO134" s="678"/>
      <c r="CP134" s="678"/>
      <c r="CQ134" s="678"/>
      <c r="CR134" s="678"/>
      <c r="CS134" s="678"/>
      <c r="CT134" s="678"/>
      <c r="CU134" s="678"/>
      <c r="CV134" s="678"/>
      <c r="CW134" s="678"/>
      <c r="CX134" s="678"/>
      <c r="CY134" s="678"/>
      <c r="CZ134" s="678"/>
      <c r="DA134" s="678"/>
      <c r="DB134" s="678"/>
      <c r="DC134" s="678"/>
      <c r="DD134" s="678"/>
      <c r="DE134" s="678"/>
      <c r="DF134" s="678"/>
      <c r="DG134" s="678"/>
      <c r="DH134" s="678"/>
      <c r="DI134" s="678"/>
      <c r="DJ134" s="678"/>
      <c r="DK134" s="678"/>
      <c r="DL134" s="678"/>
      <c r="DM134" s="678"/>
      <c r="DN134" s="678"/>
      <c r="DO134" s="678"/>
      <c r="DP134" s="678"/>
      <c r="DQ134" s="678"/>
      <c r="DR134" s="678"/>
      <c r="DS134" s="678"/>
      <c r="DT134" s="678"/>
      <c r="DU134" s="678"/>
      <c r="DV134" s="678"/>
      <c r="DW134" s="678"/>
      <c r="DX134" s="678"/>
      <c r="DY134" s="678"/>
      <c r="DZ134" s="678"/>
      <c r="EA134" s="678"/>
      <c r="EB134" s="678"/>
      <c r="EC134" s="678"/>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row>
    <row r="135" spans="1:256" s="598" customFormat="1" ht="12.75" customHeight="1">
      <c r="A135" s="319" t="s">
        <v>1079</v>
      </c>
      <c r="B135" s="682">
        <v>0</v>
      </c>
      <c r="C135" s="682">
        <v>0</v>
      </c>
      <c r="D135" s="682">
        <v>0</v>
      </c>
      <c r="E135" s="682">
        <v>0</v>
      </c>
      <c r="F135" s="598">
        <f t="shared" si="62"/>
        <v>0</v>
      </c>
      <c r="G135" s="598">
        <f t="shared" si="62"/>
        <v>0</v>
      </c>
      <c r="H135" s="598">
        <f t="shared" si="63"/>
        <v>3495.6752727272724</v>
      </c>
      <c r="I135" s="598">
        <f t="shared" si="63"/>
        <v>3495.6752727272724</v>
      </c>
      <c r="BB135" s="598">
        <f>HLOOKUP(IF(BV135,B135,0),'EET2'!$U$87:$Z$88,2)*D135</f>
        <v>0</v>
      </c>
      <c r="BC135" s="598">
        <f>HLOOKUP(IF(BW135,C135,0),'EET2'!$U$87:$Z$88,2)*E135</f>
        <v>0</v>
      </c>
      <c r="BD135" s="682">
        <v>0</v>
      </c>
      <c r="BE135" s="682">
        <v>1</v>
      </c>
      <c r="BF135" s="718">
        <f>SUM(CF135:CQ135) - EB135</f>
        <v>0</v>
      </c>
      <c r="BG135" s="1041">
        <f>(BD135 *F135 - CF135) * BE135</f>
        <v>0</v>
      </c>
      <c r="BH135" s="682">
        <v>0</v>
      </c>
      <c r="BI135" s="682">
        <v>1</v>
      </c>
      <c r="BJ135" s="718">
        <f>SUM(CR135:DC135) - EC135</f>
        <v>0</v>
      </c>
      <c r="BK135" s="1041">
        <f>(BH135 *G135  - CG135) * BI135</f>
        <v>0</v>
      </c>
      <c r="BL135" s="682">
        <v>0</v>
      </c>
      <c r="BM135" s="718">
        <f>EB135</f>
        <v>0</v>
      </c>
      <c r="BN135" s="682">
        <v>1</v>
      </c>
      <c r="BO135" s="1041">
        <f>(H135* BL135 + CH135 + BB135) * BN135</f>
        <v>0</v>
      </c>
      <c r="BP135" s="682">
        <v>0</v>
      </c>
      <c r="BQ135" s="718">
        <f>EC135</f>
        <v>0</v>
      </c>
      <c r="BR135" s="682">
        <v>1</v>
      </c>
      <c r="BS135" s="1041">
        <f>(I135* BP135 + CI135 + BC135) * BR135</f>
        <v>0</v>
      </c>
      <c r="BT135" s="682">
        <v>2</v>
      </c>
      <c r="BU135" s="682">
        <v>2</v>
      </c>
      <c r="BV135" s="598" t="b">
        <f t="shared" ref="BV135:BW138" si="64">VLOOKUP(B135,$BV$2:$BW$7,2,FALSE)</f>
        <v>0</v>
      </c>
      <c r="BW135" s="598" t="b">
        <f t="shared" si="64"/>
        <v>0</v>
      </c>
      <c r="BX135" s="683">
        <v>0</v>
      </c>
      <c r="BY135" s="683">
        <v>0</v>
      </c>
      <c r="BZ135" s="678" t="b">
        <f>IF(VLOOKUP(BX135,R16:BU20,56,FALSE),TRUE,FALSE)</f>
        <v>0</v>
      </c>
      <c r="CA135" s="678" t="b">
        <f>IF(VLOOKUP(BY135,R16:BU20,56,FALSE),TRUE,FALSE)</f>
        <v>0</v>
      </c>
      <c r="CB135" s="683">
        <v>0</v>
      </c>
      <c r="CC135" s="683">
        <v>0</v>
      </c>
      <c r="CD135" s="678" t="b">
        <f>IF(VLOOKUP(CB135,R22:BU26,56,FALSE),TRUE,FALSE)</f>
        <v>0</v>
      </c>
      <c r="CE135" s="678" t="b">
        <f>IF(VLOOKUP(CC135,R22:BU26,56,FALSE),TRUE,FALSE)</f>
        <v>0</v>
      </c>
      <c r="CF135" s="718">
        <f>'EET2'!D131</f>
        <v>0</v>
      </c>
      <c r="CG135" s="718">
        <f>'EET2'!I131</f>
        <v>0</v>
      </c>
      <c r="CH135" s="718">
        <f>'EET2'!D108</f>
        <v>0</v>
      </c>
      <c r="CI135" s="718">
        <f>'EET2'!I108</f>
        <v>0</v>
      </c>
      <c r="CK135" s="319"/>
      <c r="CL135" s="319"/>
      <c r="CM135" s="319"/>
      <c r="CO135" s="678"/>
      <c r="CP135" s="678"/>
      <c r="CQ135" s="678"/>
      <c r="CR135" s="678"/>
      <c r="CS135" s="678"/>
      <c r="CT135" s="678"/>
      <c r="CU135" s="678"/>
      <c r="CV135" s="678"/>
      <c r="CW135" s="678"/>
      <c r="CX135" s="678"/>
      <c r="CY135" s="678"/>
      <c r="CZ135" s="678"/>
      <c r="DA135" s="678"/>
      <c r="DB135" s="678"/>
      <c r="DC135" s="678"/>
      <c r="DD135" s="678"/>
      <c r="DE135" s="678"/>
      <c r="DF135" s="678"/>
      <c r="DG135" s="678"/>
      <c r="DH135" s="678"/>
      <c r="DI135" s="678"/>
      <c r="DJ135" s="678"/>
      <c r="DK135" s="678"/>
      <c r="DL135" s="678"/>
      <c r="DM135" s="678"/>
      <c r="DN135" s="678"/>
      <c r="DO135" s="678"/>
      <c r="DP135" s="678"/>
      <c r="DQ135" s="678"/>
      <c r="DR135" s="678"/>
      <c r="DS135" s="678"/>
      <c r="DT135" s="678"/>
      <c r="DU135" s="678"/>
      <c r="DV135" s="678"/>
      <c r="DW135" s="678"/>
      <c r="DX135" s="678"/>
      <c r="DY135" s="678"/>
      <c r="DZ135" s="678"/>
      <c r="EA135" s="678"/>
      <c r="EB135" s="678"/>
      <c r="EC135" s="678"/>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row>
    <row r="136" spans="1:256" s="598" customFormat="1" ht="12.75" customHeight="1">
      <c r="A136" s="319" t="s">
        <v>1080</v>
      </c>
      <c r="B136" s="683">
        <v>0</v>
      </c>
      <c r="C136" s="683">
        <v>0</v>
      </c>
      <c r="D136" s="683">
        <v>0</v>
      </c>
      <c r="E136" s="682">
        <v>0</v>
      </c>
      <c r="F136" s="598">
        <f t="shared" si="62"/>
        <v>0</v>
      </c>
      <c r="G136" s="598">
        <f t="shared" si="62"/>
        <v>0</v>
      </c>
      <c r="H136" s="598">
        <f t="shared" si="63"/>
        <v>3495.6752727272724</v>
      </c>
      <c r="I136" s="598">
        <f t="shared" si="63"/>
        <v>3495.6752727272724</v>
      </c>
      <c r="U136" s="678"/>
      <c r="V136" s="678"/>
      <c r="W136" s="678"/>
      <c r="X136" s="678"/>
      <c r="Y136" s="678"/>
      <c r="Z136" s="309"/>
      <c r="AA136" s="678"/>
      <c r="AB136" s="678"/>
      <c r="AC136" s="678"/>
      <c r="AD136" s="678"/>
      <c r="AE136" s="678"/>
      <c r="AF136" s="678"/>
      <c r="AG136" s="678"/>
      <c r="AH136" s="678"/>
      <c r="AI136" s="678"/>
      <c r="AJ136" s="678"/>
      <c r="AK136" s="678"/>
      <c r="AL136" s="678"/>
      <c r="AM136" s="678"/>
      <c r="AN136" s="678"/>
      <c r="AO136" s="678"/>
      <c r="AP136" s="678"/>
      <c r="AQ136" s="678"/>
      <c r="AR136" s="678"/>
      <c r="AS136" s="678"/>
      <c r="AT136" s="678"/>
      <c r="AU136" s="678"/>
      <c r="AV136" s="678"/>
      <c r="AW136" s="678"/>
      <c r="AX136" s="678"/>
      <c r="AY136" s="678"/>
      <c r="AZ136" s="678"/>
      <c r="BA136" s="678"/>
      <c r="BB136" s="598">
        <f>HLOOKUP(IF(BV136,B136,0),'EET2'!$U$87:$Z$88,2)*D136</f>
        <v>0</v>
      </c>
      <c r="BC136" s="598">
        <f>HLOOKUP(IF(BW136,C136,0),'EET2'!$U$87:$Z$88,2)*E136</f>
        <v>0</v>
      </c>
      <c r="BD136" s="683">
        <v>0</v>
      </c>
      <c r="BE136" s="683">
        <v>1</v>
      </c>
      <c r="BF136" s="718">
        <f>SUM(CF136:CQ136) - EB136</f>
        <v>0</v>
      </c>
      <c r="BG136" s="1041">
        <f>(BD136 *F136 - CF136) * BE136</f>
        <v>0</v>
      </c>
      <c r="BH136" s="683">
        <v>0</v>
      </c>
      <c r="BI136" s="683">
        <v>1</v>
      </c>
      <c r="BJ136" s="718">
        <f>SUM(CR136:DC136) - EC136</f>
        <v>0</v>
      </c>
      <c r="BK136" s="1041">
        <f>(BH136 *G136  - CG136) * BI136</f>
        <v>0</v>
      </c>
      <c r="BL136" s="683">
        <v>0</v>
      </c>
      <c r="BM136" s="718">
        <f>EB136</f>
        <v>0</v>
      </c>
      <c r="BN136" s="683">
        <v>1</v>
      </c>
      <c r="BO136" s="1041">
        <f>(H136* BL136 + CH136 + BB136) * BN136</f>
        <v>0</v>
      </c>
      <c r="BP136" s="683">
        <v>0</v>
      </c>
      <c r="BQ136" s="718">
        <f>EC136</f>
        <v>0</v>
      </c>
      <c r="BR136" s="683">
        <v>1</v>
      </c>
      <c r="BS136" s="1041">
        <f>(I136* BP136 + CI136 + BC136) * BR136</f>
        <v>0</v>
      </c>
      <c r="BT136" s="683">
        <v>2</v>
      </c>
      <c r="BU136" s="683">
        <v>2</v>
      </c>
      <c r="BV136" s="598" t="b">
        <f t="shared" si="64"/>
        <v>0</v>
      </c>
      <c r="BW136" s="598" t="b">
        <f t="shared" si="64"/>
        <v>0</v>
      </c>
      <c r="BX136" s="683">
        <v>0</v>
      </c>
      <c r="BY136" s="683">
        <v>0</v>
      </c>
      <c r="BZ136" s="678" t="b">
        <f>IF(VLOOKUP(BX136,R16:BU20,56,FALSE),TRUE,FALSE)</f>
        <v>0</v>
      </c>
      <c r="CA136" s="678" t="b">
        <f>IF(VLOOKUP(BY136,R16:BU20,56,FALSE),TRUE,FALSE)</f>
        <v>0</v>
      </c>
      <c r="CB136" s="683">
        <v>0</v>
      </c>
      <c r="CC136" s="683">
        <v>0</v>
      </c>
      <c r="CD136" s="678" t="b">
        <f>IF(VLOOKUP(CB136,R22:BU26,56,FALSE),TRUE,FALSE)</f>
        <v>0</v>
      </c>
      <c r="CE136" s="678" t="b">
        <f>IF(VLOOKUP(CC136,R22:BU26,56,FALSE),TRUE,FALSE)</f>
        <v>0</v>
      </c>
      <c r="CF136" s="718">
        <f>'EET2'!E131</f>
        <v>0</v>
      </c>
      <c r="CG136" s="719">
        <f>'EET2'!J131</f>
        <v>0</v>
      </c>
      <c r="CH136" s="719">
        <f>'EET2'!D109</f>
        <v>0</v>
      </c>
      <c r="CI136" s="719">
        <f>'EET2'!I109</f>
        <v>0</v>
      </c>
      <c r="CK136" s="319"/>
      <c r="CL136" s="319"/>
      <c r="CM136" s="319"/>
      <c r="CO136" s="678"/>
      <c r="CP136" s="678"/>
      <c r="CQ136" s="678"/>
      <c r="CR136" s="678"/>
      <c r="CS136" s="678"/>
      <c r="CT136" s="678"/>
      <c r="CU136" s="678"/>
      <c r="CV136" s="678"/>
      <c r="CW136" s="678"/>
      <c r="CX136" s="678"/>
      <c r="CY136" s="678"/>
      <c r="CZ136" s="678"/>
      <c r="DA136" s="678"/>
      <c r="DB136" s="678"/>
      <c r="DC136" s="678"/>
      <c r="DD136" s="678"/>
      <c r="DE136" s="678"/>
      <c r="DF136" s="678"/>
      <c r="DG136" s="678"/>
      <c r="DH136" s="678"/>
      <c r="DI136" s="678"/>
      <c r="DJ136" s="678"/>
      <c r="DK136" s="678"/>
      <c r="DL136" s="678"/>
      <c r="DM136" s="678"/>
      <c r="DN136" s="678"/>
      <c r="DO136" s="678"/>
      <c r="DP136" s="678"/>
      <c r="DQ136" s="678"/>
      <c r="DR136" s="678"/>
      <c r="DS136" s="678"/>
      <c r="DT136" s="678"/>
      <c r="DU136" s="678"/>
      <c r="DV136" s="678"/>
      <c r="DW136" s="678"/>
      <c r="DX136" s="678"/>
      <c r="DY136" s="678"/>
      <c r="DZ136" s="678"/>
      <c r="EA136" s="678"/>
      <c r="EB136" s="678"/>
      <c r="EC136" s="678"/>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row>
    <row r="137" spans="1:256" s="598" customFormat="1" ht="12.75" customHeight="1">
      <c r="A137" s="319" t="s">
        <v>3720</v>
      </c>
      <c r="B137" s="683">
        <v>0</v>
      </c>
      <c r="C137" s="683">
        <v>0</v>
      </c>
      <c r="D137" s="683">
        <v>0</v>
      </c>
      <c r="E137" s="682">
        <v>0</v>
      </c>
      <c r="F137" s="598">
        <f t="shared" si="62"/>
        <v>0</v>
      </c>
      <c r="G137" s="598">
        <f t="shared" si="62"/>
        <v>0</v>
      </c>
      <c r="H137" s="598">
        <f t="shared" si="63"/>
        <v>3495.6752727272724</v>
      </c>
      <c r="I137" s="598">
        <f t="shared" si="63"/>
        <v>3495.6752727272724</v>
      </c>
      <c r="U137" s="678"/>
      <c r="V137" s="678"/>
      <c r="W137" s="678"/>
      <c r="X137" s="678"/>
      <c r="Y137" s="678"/>
      <c r="Z137" s="309"/>
      <c r="AA137" s="678"/>
      <c r="AB137" s="678"/>
      <c r="AC137" s="678"/>
      <c r="AD137" s="678"/>
      <c r="AE137" s="678"/>
      <c r="AF137" s="678"/>
      <c r="AG137" s="678"/>
      <c r="AH137" s="678"/>
      <c r="AI137" s="678"/>
      <c r="AJ137" s="678"/>
      <c r="AK137" s="678"/>
      <c r="AL137" s="678"/>
      <c r="AM137" s="678"/>
      <c r="AN137" s="678"/>
      <c r="AO137" s="678"/>
      <c r="AP137" s="678"/>
      <c r="AQ137" s="678"/>
      <c r="AR137" s="678"/>
      <c r="AS137" s="678"/>
      <c r="AT137" s="678"/>
      <c r="AU137" s="678"/>
      <c r="AV137" s="678"/>
      <c r="AW137" s="678"/>
      <c r="AX137" s="678"/>
      <c r="AY137" s="678"/>
      <c r="AZ137" s="678"/>
      <c r="BA137" s="678"/>
      <c r="BB137" s="598">
        <f>HLOOKUP(IF(BV137,B137,0),'EET2'!$U$87:$Z$88,2)*D137</f>
        <v>0</v>
      </c>
      <c r="BC137" s="598">
        <f>HLOOKUP(IF(BW137,C137,0),'EET2'!$U$87:$Z$88,2)*E137</f>
        <v>0</v>
      </c>
      <c r="BD137" s="683">
        <v>0</v>
      </c>
      <c r="BE137" s="683">
        <v>1</v>
      </c>
      <c r="BF137" s="718">
        <f>SUM(CF137:CQ137) - EB137</f>
        <v>0</v>
      </c>
      <c r="BG137" s="1041">
        <f>(BD137 *F137 - CF137) * BE137</f>
        <v>0</v>
      </c>
      <c r="BH137" s="683">
        <v>0</v>
      </c>
      <c r="BI137" s="683">
        <v>1</v>
      </c>
      <c r="BJ137" s="718">
        <f>SUM(CR137:DC137) - EC137</f>
        <v>0</v>
      </c>
      <c r="BK137" s="1041">
        <f>(BH137 *G137  - CG137) * BI137</f>
        <v>0</v>
      </c>
      <c r="BL137" s="683">
        <v>0</v>
      </c>
      <c r="BM137" s="718">
        <f>EB137</f>
        <v>0</v>
      </c>
      <c r="BN137" s="683">
        <v>1</v>
      </c>
      <c r="BO137" s="1041">
        <f>(H137* BL137 + CH137 + BB137) * BN137</f>
        <v>0</v>
      </c>
      <c r="BP137" s="683">
        <v>0</v>
      </c>
      <c r="BQ137" s="718">
        <f>EC137</f>
        <v>0</v>
      </c>
      <c r="BR137" s="683">
        <v>1</v>
      </c>
      <c r="BS137" s="1041">
        <f>(I137* BP137 + CI137 + BC137) * BR137</f>
        <v>0</v>
      </c>
      <c r="BT137" s="683">
        <v>2</v>
      </c>
      <c r="BU137" s="683">
        <v>2</v>
      </c>
      <c r="BV137" s="598" t="b">
        <f t="shared" si="64"/>
        <v>0</v>
      </c>
      <c r="BW137" s="598" t="b">
        <f t="shared" si="64"/>
        <v>0</v>
      </c>
      <c r="BX137" s="683">
        <v>0</v>
      </c>
      <c r="BY137" s="683">
        <v>0</v>
      </c>
      <c r="BZ137" s="678" t="b">
        <f>IF(VLOOKUP(BX137,R16:BU20,56,FALSE),TRUE,FALSE)</f>
        <v>0</v>
      </c>
      <c r="CA137" s="678" t="b">
        <f>IF(VLOOKUP(BY137,R16:BU20,56,FALSE),TRUE,FALSE)</f>
        <v>0</v>
      </c>
      <c r="CB137" s="683">
        <v>0</v>
      </c>
      <c r="CC137" s="683">
        <v>0</v>
      </c>
      <c r="CD137" s="678" t="b">
        <f>IF(VLOOKUP(CB137,R22:BU26,56,FALSE),TRUE,FALSE)</f>
        <v>0</v>
      </c>
      <c r="CE137" s="678" t="b">
        <f>IF(VLOOKUP(CC137,R22:BU26,56,FALSE),TRUE,FALSE)</f>
        <v>0</v>
      </c>
      <c r="CF137" s="718">
        <f>'EET2'!F131</f>
        <v>0</v>
      </c>
      <c r="CG137" s="719">
        <f>'EET2'!K131</f>
        <v>0</v>
      </c>
      <c r="CH137" s="719">
        <f>'EET2'!D110</f>
        <v>0</v>
      </c>
      <c r="CI137" s="719">
        <f>'EET2'!I110</f>
        <v>0</v>
      </c>
      <c r="CK137" s="319"/>
      <c r="CL137" s="319"/>
      <c r="CM137" s="319"/>
      <c r="CO137" s="678"/>
      <c r="CP137" s="678"/>
      <c r="CQ137" s="678"/>
      <c r="CR137" s="678"/>
      <c r="CS137" s="678"/>
      <c r="CT137" s="678"/>
      <c r="CU137" s="678"/>
      <c r="CV137" s="678"/>
      <c r="CW137" s="678"/>
      <c r="CX137" s="678"/>
      <c r="CY137" s="678"/>
      <c r="CZ137" s="678"/>
      <c r="DA137" s="678"/>
      <c r="DB137" s="678"/>
      <c r="DC137" s="678"/>
      <c r="DD137" s="678"/>
      <c r="DE137" s="678"/>
      <c r="DF137" s="678"/>
      <c r="DG137" s="678"/>
      <c r="DH137" s="678"/>
      <c r="DI137" s="678"/>
      <c r="DJ137" s="678"/>
      <c r="DK137" s="678"/>
      <c r="DL137" s="678"/>
      <c r="DM137" s="678"/>
      <c r="DN137" s="678"/>
      <c r="DO137" s="678"/>
      <c r="DP137" s="678"/>
      <c r="DQ137" s="678"/>
      <c r="DR137" s="678"/>
      <c r="DS137" s="678"/>
      <c r="DT137" s="678"/>
      <c r="DU137" s="678"/>
      <c r="DV137" s="678"/>
      <c r="DW137" s="678"/>
      <c r="DX137" s="678"/>
      <c r="DY137" s="678"/>
      <c r="DZ137" s="678"/>
      <c r="EA137" s="678"/>
      <c r="EB137" s="678"/>
      <c r="EC137" s="678"/>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row>
    <row r="138" spans="1:256" s="598" customFormat="1" ht="12.75" customHeight="1">
      <c r="A138" s="319" t="s">
        <v>4427</v>
      </c>
      <c r="B138" s="683">
        <v>0</v>
      </c>
      <c r="C138" s="683">
        <v>0</v>
      </c>
      <c r="D138" s="683">
        <v>0</v>
      </c>
      <c r="E138" s="682">
        <v>0</v>
      </c>
      <c r="F138" s="598">
        <f t="shared" si="62"/>
        <v>0</v>
      </c>
      <c r="G138" s="598">
        <f t="shared" si="62"/>
        <v>0</v>
      </c>
      <c r="H138" s="598">
        <f t="shared" si="63"/>
        <v>3495.6752727272724</v>
      </c>
      <c r="I138" s="598">
        <f t="shared" si="63"/>
        <v>3495.6752727272724</v>
      </c>
      <c r="U138" s="678"/>
      <c r="V138" s="678"/>
      <c r="W138" s="678"/>
      <c r="X138" s="678"/>
      <c r="Y138" s="678"/>
      <c r="Z138" s="309"/>
      <c r="AA138" s="678"/>
      <c r="AB138" s="678"/>
      <c r="AC138" s="678"/>
      <c r="AD138" s="678"/>
      <c r="AE138" s="678"/>
      <c r="AF138" s="678"/>
      <c r="AG138" s="678"/>
      <c r="AH138" s="678"/>
      <c r="AI138" s="678"/>
      <c r="AJ138" s="678"/>
      <c r="AK138" s="678"/>
      <c r="AL138" s="678"/>
      <c r="AM138" s="678"/>
      <c r="AN138" s="678"/>
      <c r="AO138" s="678"/>
      <c r="AP138" s="678"/>
      <c r="AQ138" s="678"/>
      <c r="AR138" s="678"/>
      <c r="AS138" s="678"/>
      <c r="AT138" s="678"/>
      <c r="AU138" s="678"/>
      <c r="AV138" s="678"/>
      <c r="AW138" s="678"/>
      <c r="AX138" s="678"/>
      <c r="AY138" s="678"/>
      <c r="AZ138" s="678"/>
      <c r="BA138" s="678"/>
      <c r="BB138" s="598">
        <f>HLOOKUP(IF(BV138,B138,0),'EET2'!$U$87:$Z$88,2)*D138</f>
        <v>0</v>
      </c>
      <c r="BC138" s="598">
        <f>HLOOKUP(IF(BW138,C138,0),'EET2'!$U$87:$Z$88,2)*E138</f>
        <v>0</v>
      </c>
      <c r="BD138" s="683">
        <v>0</v>
      </c>
      <c r="BE138" s="683">
        <v>1</v>
      </c>
      <c r="BF138" s="718">
        <f>SUM(CF138:CQ138) - EB138</f>
        <v>0</v>
      </c>
      <c r="BG138" s="1041">
        <f>(BD138 *F138 - CF138) * BE138</f>
        <v>0</v>
      </c>
      <c r="BH138" s="683">
        <v>0</v>
      </c>
      <c r="BI138" s="683">
        <v>1</v>
      </c>
      <c r="BJ138" s="718">
        <f>SUM(CR138:DC138) - EC138</f>
        <v>0</v>
      </c>
      <c r="BK138" s="1041">
        <f>(BH138 *G138  - CG138) * BI138</f>
        <v>0</v>
      </c>
      <c r="BL138" s="683">
        <v>0</v>
      </c>
      <c r="BM138" s="718">
        <f>EB138</f>
        <v>0</v>
      </c>
      <c r="BN138" s="683">
        <v>1</v>
      </c>
      <c r="BO138" s="1041">
        <f>(H138* BL138 + CH138 + BB138) * BN138</f>
        <v>0</v>
      </c>
      <c r="BP138" s="683">
        <v>0</v>
      </c>
      <c r="BQ138" s="718">
        <f>EC138</f>
        <v>0</v>
      </c>
      <c r="BR138" s="683">
        <v>1</v>
      </c>
      <c r="BS138" s="1041">
        <f>(I138* BP138 + CI138 + BC138) * BR138</f>
        <v>0</v>
      </c>
      <c r="BT138" s="683">
        <v>2</v>
      </c>
      <c r="BU138" s="683">
        <v>2</v>
      </c>
      <c r="BV138" s="598" t="b">
        <f t="shared" si="64"/>
        <v>0</v>
      </c>
      <c r="BW138" s="598" t="b">
        <f t="shared" si="64"/>
        <v>0</v>
      </c>
      <c r="BX138" s="683">
        <v>0</v>
      </c>
      <c r="BY138" s="683">
        <v>0</v>
      </c>
      <c r="BZ138" s="678" t="b">
        <f>IF(VLOOKUP(BX138,R16:BU20,56,FALSE),TRUE,FALSE)</f>
        <v>0</v>
      </c>
      <c r="CA138" s="678" t="b">
        <f>IF(VLOOKUP(BY138,R16:BU20,56,FALSE),TRUE,FALSE)</f>
        <v>0</v>
      </c>
      <c r="CB138" s="683">
        <v>0</v>
      </c>
      <c r="CC138" s="683">
        <v>0</v>
      </c>
      <c r="CD138" s="678" t="b">
        <f>IF(VLOOKUP(CB138,R22:BU26,56,FALSE),TRUE,FALSE)</f>
        <v>0</v>
      </c>
      <c r="CE138" s="678" t="b">
        <f>IF(VLOOKUP(CC138,R22:BU26,56,FALSE),TRUE,FALSE)</f>
        <v>0</v>
      </c>
      <c r="CF138" s="718">
        <f>'EET2'!G131</f>
        <v>0</v>
      </c>
      <c r="CG138" s="719">
        <f>'EET2'!L131</f>
        <v>0</v>
      </c>
      <c r="CH138" s="719">
        <f>'EET2'!D111</f>
        <v>0</v>
      </c>
      <c r="CI138" s="719">
        <f>'EET2'!I111</f>
        <v>0</v>
      </c>
      <c r="CK138" s="319"/>
      <c r="CL138" s="319"/>
      <c r="CM138" s="319"/>
      <c r="CO138" s="678"/>
      <c r="CP138" s="678"/>
      <c r="CQ138" s="678"/>
      <c r="CR138" s="678"/>
      <c r="CS138" s="678"/>
      <c r="CT138" s="678"/>
      <c r="CU138" s="678"/>
      <c r="CV138" s="678"/>
      <c r="CW138" s="678"/>
      <c r="CX138" s="678"/>
      <c r="CY138" s="678"/>
      <c r="CZ138" s="678"/>
      <c r="DA138" s="678"/>
      <c r="DB138" s="678"/>
      <c r="DC138" s="678"/>
      <c r="DD138" s="678"/>
      <c r="DE138" s="678"/>
      <c r="DF138" s="678"/>
      <c r="DG138" s="678"/>
      <c r="DH138" s="678"/>
      <c r="DI138" s="678"/>
      <c r="DJ138" s="678"/>
      <c r="DK138" s="678"/>
      <c r="DL138" s="678"/>
      <c r="DM138" s="678"/>
      <c r="DN138" s="678"/>
      <c r="DO138" s="678"/>
      <c r="DP138" s="678"/>
      <c r="DQ138" s="678"/>
      <c r="DR138" s="678"/>
      <c r="DS138" s="678"/>
      <c r="DT138" s="678"/>
      <c r="DU138" s="678"/>
      <c r="DV138" s="678"/>
      <c r="DW138" s="678"/>
      <c r="DX138" s="678"/>
      <c r="DY138" s="678"/>
      <c r="DZ138" s="678"/>
      <c r="EA138" s="678"/>
      <c r="EB138" s="678"/>
      <c r="EC138" s="67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row>
    <row r="139" spans="1:256" s="319" customFormat="1" ht="12.75" customHeight="1">
      <c r="A139" s="556"/>
      <c r="B139" s="678"/>
      <c r="C139" s="678"/>
      <c r="D139" s="678"/>
      <c r="E139" s="678"/>
      <c r="F139" s="678"/>
      <c r="G139" s="678"/>
      <c r="H139" s="678"/>
      <c r="I139" s="678"/>
      <c r="J139" s="678"/>
      <c r="K139" s="678"/>
      <c r="L139" s="678"/>
      <c r="M139" s="678"/>
      <c r="N139" s="678"/>
      <c r="O139" s="678"/>
      <c r="P139" s="678"/>
      <c r="Q139" s="678"/>
      <c r="R139" s="678"/>
      <c r="S139" s="678"/>
      <c r="T139" s="678"/>
      <c r="U139" s="678"/>
      <c r="V139" s="678"/>
      <c r="W139" s="678"/>
      <c r="X139" s="678"/>
      <c r="Y139" s="678"/>
      <c r="Z139" s="309"/>
      <c r="AA139" s="678"/>
      <c r="AB139" s="678"/>
      <c r="AC139" s="678"/>
      <c r="AD139" s="678"/>
      <c r="AE139" s="678"/>
      <c r="AF139" s="678"/>
      <c r="AG139" s="678"/>
      <c r="AH139" s="678"/>
      <c r="AI139" s="678"/>
      <c r="AJ139" s="678"/>
      <c r="AK139" s="678"/>
      <c r="AL139" s="678"/>
      <c r="AM139" s="678"/>
      <c r="AN139" s="678"/>
      <c r="AO139" s="678"/>
      <c r="AP139" s="678"/>
      <c r="AQ139" s="678"/>
      <c r="AR139" s="678"/>
      <c r="AS139" s="678"/>
      <c r="AT139" s="678"/>
      <c r="AU139" s="678"/>
      <c r="AV139" s="678"/>
      <c r="AW139" s="678"/>
      <c r="AX139" s="678"/>
      <c r="AY139" s="678"/>
      <c r="AZ139" s="678"/>
      <c r="BA139" s="678"/>
      <c r="BD139" s="678"/>
      <c r="BE139" s="678"/>
      <c r="BG139" s="678"/>
      <c r="BH139" s="678"/>
      <c r="BI139" s="678"/>
      <c r="BR139" s="678"/>
      <c r="BS139" s="678"/>
      <c r="BT139" s="678"/>
      <c r="BU139" s="678"/>
      <c r="BV139" s="678"/>
      <c r="BW139" s="678"/>
      <c r="BX139" s="678"/>
      <c r="BY139" s="678"/>
      <c r="BZ139" s="678"/>
      <c r="CA139" s="678"/>
      <c r="CB139" s="678"/>
      <c r="CC139" s="678"/>
      <c r="CD139" s="678"/>
      <c r="CE139" s="678"/>
      <c r="CF139" s="678"/>
      <c r="CG139" s="678"/>
      <c r="CH139" s="556"/>
      <c r="DP139" s="556"/>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row>
    <row r="140" spans="1:256" s="319" customFormat="1" ht="12.75" customHeight="1">
      <c r="A140" s="625" t="s">
        <v>2196</v>
      </c>
      <c r="C140" s="598"/>
      <c r="D140" s="598"/>
      <c r="E140" s="598"/>
      <c r="F140" s="598"/>
      <c r="G140" s="598"/>
      <c r="H140" s="598"/>
      <c r="Q140" s="556"/>
      <c r="R140" s="556"/>
      <c r="S140" s="556"/>
      <c r="T140" s="556"/>
      <c r="Z140" s="309"/>
      <c r="DP140" s="556"/>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row>
    <row r="141" spans="1:256" s="319" customFormat="1" ht="12.75" customHeight="1" thickBot="1">
      <c r="N141" s="463"/>
      <c r="Q141" s="556"/>
      <c r="R141" s="556"/>
      <c r="S141" s="556"/>
      <c r="T141" s="556"/>
      <c r="Z141" s="309"/>
      <c r="DP141" s="556"/>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row>
    <row r="142" spans="1:256" s="319" customFormat="1" ht="12.75" customHeight="1">
      <c r="A142" s="627" t="str">
        <f>getL("kgPerHSymbol")</f>
        <v>kg/h</v>
      </c>
      <c r="B142" s="628">
        <v>1</v>
      </c>
      <c r="C142" s="627" t="str">
        <f>getL("hoursday")</f>
        <v>h/d</v>
      </c>
      <c r="D142" s="628">
        <v>365</v>
      </c>
      <c r="E142" s="627" t="str">
        <f>getL("kiloPascalSymbol")</f>
        <v>kPa</v>
      </c>
      <c r="F142" s="629">
        <v>1000</v>
      </c>
      <c r="G142" s="506">
        <v>0.14503795661859201</v>
      </c>
      <c r="H142" s="627" t="s">
        <v>143</v>
      </c>
      <c r="I142" s="628">
        <v>273.14999999999998</v>
      </c>
      <c r="J142" s="627" t="str">
        <f>getL("plume")</f>
        <v>Pluma</v>
      </c>
      <c r="K142" s="629" t="str">
        <f>getL("meterSymbol")</f>
        <v>m</v>
      </c>
      <c r="L142" s="629">
        <v>1</v>
      </c>
      <c r="M142" s="630" t="str">
        <f>getL("kiloPascalSymbol")</f>
        <v>kPa</v>
      </c>
      <c r="N142" s="670">
        <v>0.14503795661859201</v>
      </c>
      <c r="O142" s="628"/>
      <c r="P142" s="627" t="str">
        <f>getL("meterSymbol")</f>
        <v>m</v>
      </c>
      <c r="Q142" s="672">
        <v>1</v>
      </c>
      <c r="R142" s="629" t="str">
        <f>getL("millimeterSymbol")</f>
        <v>mm</v>
      </c>
      <c r="S142" s="673">
        <v>1</v>
      </c>
      <c r="T142" s="556"/>
      <c r="Z142" s="309"/>
      <c r="DP142" s="556"/>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row>
    <row r="143" spans="1:256" s="319" customFormat="1" ht="12.75" customHeight="1" thickBot="1">
      <c r="A143" s="633" t="str">
        <f>getL("lbPerHSymbol")</f>
        <v>lb/h</v>
      </c>
      <c r="B143" s="634">
        <v>0.45359237000000002</v>
      </c>
      <c r="C143" s="633" t="str">
        <f>getL("hoursweek")</f>
        <v>h/sem</v>
      </c>
      <c r="D143" s="634">
        <v>52.142857142857146</v>
      </c>
      <c r="E143" s="633" t="str">
        <f>getL("barSymbol")</f>
        <v>bar</v>
      </c>
      <c r="F143" s="463">
        <v>10</v>
      </c>
      <c r="G143" s="507">
        <v>14.503795661859201</v>
      </c>
      <c r="H143" s="633"/>
      <c r="I143" s="634"/>
      <c r="J143" s="633" t="str">
        <f>getL("leak")</f>
        <v>Vazamento</v>
      </c>
      <c r="K143" s="463" t="str">
        <f>getL("millimeterSymbol")</f>
        <v>mm</v>
      </c>
      <c r="L143" s="463">
        <v>2</v>
      </c>
      <c r="M143" s="635" t="str">
        <f>getL("barSymbol")</f>
        <v>bar</v>
      </c>
      <c r="N143" s="669">
        <v>14.503795661859201</v>
      </c>
      <c r="O143" s="634"/>
      <c r="P143" s="633" t="str">
        <f>getL("inchSymbol")</f>
        <v>po</v>
      </c>
      <c r="Q143" s="674">
        <f>Ferramentas!F722</f>
        <v>39.370078740157481</v>
      </c>
      <c r="R143" s="463" t="str">
        <f>getL("inchSymbol")</f>
        <v>po</v>
      </c>
      <c r="S143" s="634">
        <f>Q143/1000</f>
        <v>3.937007874015748E-2</v>
      </c>
      <c r="T143" s="556"/>
      <c r="Z143" s="309"/>
      <c r="DP143" s="556"/>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row>
    <row r="144" spans="1:256" s="319" customFormat="1" ht="12.75" customHeight="1">
      <c r="A144" s="627" t="str">
        <f>getL("kgSymbol")</f>
        <v>kg</v>
      </c>
      <c r="B144" s="628"/>
      <c r="C144" s="463" t="str">
        <f>getL("hoursmonth")</f>
        <v>h/m</v>
      </c>
      <c r="D144" s="634">
        <v>12</v>
      </c>
      <c r="E144" s="633" t="str">
        <f>getL("psig")</f>
        <v>psig</v>
      </c>
      <c r="F144" s="463">
        <f>'EET2'!H10</f>
        <v>1.4503795661859189</v>
      </c>
      <c r="G144" s="634">
        <v>1</v>
      </c>
      <c r="H144" s="633" t="str">
        <f>getL("celsiusSymbol")</f>
        <v>°C</v>
      </c>
      <c r="I144" s="634">
        <v>1</v>
      </c>
      <c r="M144" s="633" t="str">
        <f>getL("psig")</f>
        <v>psig</v>
      </c>
      <c r="N144" s="463">
        <v>1</v>
      </c>
      <c r="O144" s="634"/>
      <c r="P144" s="633"/>
      <c r="Q144" s="463"/>
      <c r="R144" s="674" t="str">
        <f>getL("mm2Symbol")</f>
        <v>mm²</v>
      </c>
      <c r="S144" s="675">
        <v>1</v>
      </c>
      <c r="T144" s="556"/>
      <c r="Z144" s="309"/>
      <c r="BG144" s="475"/>
      <c r="DP144" s="556"/>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row>
    <row r="145" spans="1:256" s="319" customFormat="1" ht="12.75" customHeight="1" thickBot="1">
      <c r="A145" s="631" t="str">
        <f>getL("lbSymbol")</f>
        <v>lb</v>
      </c>
      <c r="B145" s="632"/>
      <c r="C145" s="626" t="str">
        <f>getL("hoursyear")</f>
        <v>h/ano</v>
      </c>
      <c r="D145" s="632">
        <v>1</v>
      </c>
      <c r="E145" s="631" t="str">
        <f>getL("psia")</f>
        <v>psia</v>
      </c>
      <c r="F145" s="626">
        <f>'EET2'!H11</f>
        <v>145.03795661859189</v>
      </c>
      <c r="G145" s="636">
        <v>1</v>
      </c>
      <c r="H145" s="631" t="str">
        <f>getL("farenheitSymbol")</f>
        <v>°F</v>
      </c>
      <c r="I145" s="632">
        <v>1.8</v>
      </c>
      <c r="J145" s="631"/>
      <c r="K145" s="626"/>
      <c r="L145" s="626"/>
      <c r="M145" s="631" t="str">
        <f>getL("psia")</f>
        <v>psia</v>
      </c>
      <c r="N145" s="671">
        <v>1</v>
      </c>
      <c r="O145" s="632">
        <v>14.695970954378801</v>
      </c>
      <c r="P145" s="631"/>
      <c r="Q145" s="626"/>
      <c r="R145" s="676" t="str">
        <f>getL("squareInchSymbol")</f>
        <v>po²</v>
      </c>
      <c r="S145" s="677">
        <f>S143^2</f>
        <v>1.5500031000062E-3</v>
      </c>
      <c r="T145" s="556"/>
      <c r="Z145" s="309"/>
      <c r="DP145" s="556"/>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row>
    <row r="146" spans="1:256" s="319" customFormat="1" ht="12.75" customHeight="1">
      <c r="E146" s="319" t="s">
        <v>3986</v>
      </c>
      <c r="F146" s="319">
        <f>'EET2'!H12</f>
        <v>14.695970954378822</v>
      </c>
      <c r="R146" s="556"/>
      <c r="S146" s="556"/>
      <c r="T146" s="556"/>
      <c r="Z146" s="309"/>
      <c r="DP146" s="55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row>
    <row r="147" spans="1:256" s="319" customFormat="1" ht="12.75" customHeight="1">
      <c r="Z147" s="309"/>
      <c r="DP147" s="556"/>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row>
    <row r="148" spans="1:256" s="319" customFormat="1" ht="12.75" customHeight="1">
      <c r="Z148" s="309"/>
      <c r="DP148" s="556"/>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row>
    <row r="149" spans="1:256" s="319" customFormat="1" ht="12.75" customHeight="1">
      <c r="A149" s="319" t="s">
        <v>1572</v>
      </c>
      <c r="Z149" s="309"/>
      <c r="DP149" s="556"/>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row>
    <row r="150" spans="1:256" s="319" customFormat="1" ht="12.75" customHeight="1">
      <c r="A150" s="319" t="s">
        <v>5049</v>
      </c>
      <c r="B150" s="319" t="s">
        <v>627</v>
      </c>
      <c r="C150" s="556" t="s">
        <v>628</v>
      </c>
      <c r="D150" s="556" t="s">
        <v>5210</v>
      </c>
      <c r="E150" s="319" t="s">
        <v>5211</v>
      </c>
      <c r="F150" s="319" t="s">
        <v>4335</v>
      </c>
      <c r="G150" s="319" t="s">
        <v>1314</v>
      </c>
      <c r="H150" s="319" t="s">
        <v>1315</v>
      </c>
      <c r="I150" s="319" t="s">
        <v>2185</v>
      </c>
      <c r="J150" s="319" t="s">
        <v>2186</v>
      </c>
      <c r="K150" s="319" t="s">
        <v>149</v>
      </c>
      <c r="M150" s="319" t="s">
        <v>441</v>
      </c>
      <c r="N150" s="319" t="s">
        <v>5102</v>
      </c>
      <c r="O150" s="319" t="s">
        <v>4508</v>
      </c>
      <c r="P150" s="319" t="s">
        <v>5684</v>
      </c>
      <c r="Q150" s="319" t="s">
        <v>510</v>
      </c>
      <c r="R150" s="319" t="s">
        <v>1464</v>
      </c>
      <c r="S150" s="319" t="s">
        <v>1314</v>
      </c>
      <c r="T150" s="319" t="s">
        <v>1315</v>
      </c>
      <c r="U150" s="319" t="s">
        <v>2185</v>
      </c>
      <c r="V150" s="319" t="s">
        <v>2186</v>
      </c>
      <c r="W150" s="556" t="s">
        <v>149</v>
      </c>
      <c r="X150" s="556"/>
      <c r="Y150" s="556" t="s">
        <v>1956</v>
      </c>
      <c r="Z150" s="319" t="s">
        <v>4327</v>
      </c>
      <c r="AA150" s="319" t="s">
        <v>3966</v>
      </c>
      <c r="AB150" s="319" t="s">
        <v>1564</v>
      </c>
      <c r="AC150" s="319" t="s">
        <v>1565</v>
      </c>
      <c r="AD150" s="319" t="s">
        <v>4321</v>
      </c>
      <c r="AE150" s="319" t="s">
        <v>1314</v>
      </c>
      <c r="AF150" s="319" t="s">
        <v>1315</v>
      </c>
      <c r="AG150" s="319" t="s">
        <v>2185</v>
      </c>
      <c r="AH150" s="319" t="s">
        <v>2186</v>
      </c>
      <c r="AI150" s="319" t="s">
        <v>149</v>
      </c>
      <c r="AK150" s="556" t="s">
        <v>1957</v>
      </c>
      <c r="AL150" s="319" t="s">
        <v>1455</v>
      </c>
      <c r="AM150" s="556" t="s">
        <v>4868</v>
      </c>
      <c r="AN150" s="319" t="s">
        <v>1532</v>
      </c>
      <c r="AO150" s="319" t="s">
        <v>3031</v>
      </c>
      <c r="AP150" s="319" t="s">
        <v>3032</v>
      </c>
      <c r="AQ150" s="319" t="s">
        <v>1314</v>
      </c>
      <c r="AR150" s="319" t="s">
        <v>1315</v>
      </c>
      <c r="AS150" s="319" t="s">
        <v>2185</v>
      </c>
      <c r="AT150" s="319" t="s">
        <v>2186</v>
      </c>
      <c r="AU150" s="319" t="s">
        <v>149</v>
      </c>
      <c r="AW150" s="319" t="s">
        <v>964</v>
      </c>
      <c r="AX150" s="319" t="s">
        <v>302</v>
      </c>
      <c r="AY150" s="556" t="s">
        <v>3212</v>
      </c>
      <c r="AZ150" s="319" t="s">
        <v>353</v>
      </c>
      <c r="BA150" s="319" t="s">
        <v>1693</v>
      </c>
      <c r="BB150" s="319" t="s">
        <v>1694</v>
      </c>
      <c r="BC150" s="319" t="s">
        <v>1314</v>
      </c>
      <c r="BD150" s="319" t="s">
        <v>1315</v>
      </c>
      <c r="BE150" s="319" t="s">
        <v>2185</v>
      </c>
      <c r="BF150" s="556" t="s">
        <v>2186</v>
      </c>
      <c r="BG150" s="319" t="s">
        <v>149</v>
      </c>
      <c r="BI150" s="319" t="s">
        <v>5233</v>
      </c>
      <c r="BJ150" s="319" t="s">
        <v>662</v>
      </c>
      <c r="BK150" s="319" t="s">
        <v>4014</v>
      </c>
      <c r="BL150" s="319" t="s">
        <v>4127</v>
      </c>
      <c r="BM150" s="319" t="s">
        <v>5459</v>
      </c>
      <c r="BN150" s="319" t="s">
        <v>1768</v>
      </c>
      <c r="BO150" s="319" t="s">
        <v>1314</v>
      </c>
      <c r="BP150" s="319" t="s">
        <v>1315</v>
      </c>
      <c r="BQ150" s="319" t="s">
        <v>2185</v>
      </c>
      <c r="BR150" s="319" t="s">
        <v>2186</v>
      </c>
      <c r="BS150" s="319" t="s">
        <v>149</v>
      </c>
      <c r="BU150" s="319" t="s">
        <v>376</v>
      </c>
      <c r="BV150" s="319" t="s">
        <v>2637</v>
      </c>
      <c r="BW150" s="319" t="s">
        <v>2214</v>
      </c>
      <c r="BX150" s="319" t="s">
        <v>2215</v>
      </c>
      <c r="BY150" s="319" t="s">
        <v>4109</v>
      </c>
      <c r="BZ150" s="319" t="s">
        <v>4110</v>
      </c>
      <c r="CA150" s="319" t="s">
        <v>1314</v>
      </c>
      <c r="CB150" s="319" t="s">
        <v>1315</v>
      </c>
      <c r="CC150" s="319" t="s">
        <v>2185</v>
      </c>
      <c r="CD150" s="319" t="s">
        <v>2186</v>
      </c>
      <c r="CE150" s="319" t="s">
        <v>149</v>
      </c>
      <c r="CG150" s="319" t="s">
        <v>5428</v>
      </c>
      <c r="CH150" s="319" t="s">
        <v>1117</v>
      </c>
      <c r="CI150" s="319" t="s">
        <v>5642</v>
      </c>
      <c r="CJ150" s="319" t="s">
        <v>5164</v>
      </c>
      <c r="CK150" s="319" t="s">
        <v>3594</v>
      </c>
      <c r="CL150" s="319" t="s">
        <v>3595</v>
      </c>
      <c r="CM150" s="319" t="s">
        <v>1314</v>
      </c>
      <c r="CN150" s="319" t="s">
        <v>1315</v>
      </c>
      <c r="CO150" s="319" t="s">
        <v>2185</v>
      </c>
      <c r="CP150" s="319" t="s">
        <v>2186</v>
      </c>
      <c r="CQ150" s="319" t="s">
        <v>149</v>
      </c>
      <c r="CS150" s="319" t="s">
        <v>2660</v>
      </c>
      <c r="CT150" s="319" t="s">
        <v>2633</v>
      </c>
      <c r="CU150" s="319" t="s">
        <v>5038</v>
      </c>
      <c r="CV150" s="556" t="s">
        <v>2543</v>
      </c>
      <c r="CW150" s="319" t="s">
        <v>1317</v>
      </c>
      <c r="CX150" s="319" t="s">
        <v>1318</v>
      </c>
      <c r="CY150" s="319" t="s">
        <v>1314</v>
      </c>
      <c r="CZ150" s="319" t="s">
        <v>1315</v>
      </c>
      <c r="DA150" s="319" t="s">
        <v>2185</v>
      </c>
      <c r="DB150" s="319" t="s">
        <v>2186</v>
      </c>
      <c r="DC150" s="319" t="s">
        <v>149</v>
      </c>
      <c r="DE150" s="319" t="s">
        <v>4537</v>
      </c>
      <c r="DF150" s="319" t="s">
        <v>3183</v>
      </c>
      <c r="DG150" s="319" t="s">
        <v>3184</v>
      </c>
      <c r="DH150" s="319" t="s">
        <v>588</v>
      </c>
      <c r="DI150" s="319" t="s">
        <v>589</v>
      </c>
      <c r="DJ150" s="319" t="s">
        <v>4222</v>
      </c>
      <c r="DK150" s="319" t="s">
        <v>1314</v>
      </c>
      <c r="DL150" s="319" t="s">
        <v>1315</v>
      </c>
      <c r="DM150" s="319" t="s">
        <v>2185</v>
      </c>
      <c r="DN150" s="319" t="s">
        <v>2186</v>
      </c>
      <c r="DO150" s="319" t="s">
        <v>149</v>
      </c>
      <c r="DQ150" s="319" t="s">
        <v>2982</v>
      </c>
      <c r="DR150" s="319" t="s">
        <v>1207</v>
      </c>
      <c r="DS150" s="319" t="s">
        <v>1208</v>
      </c>
      <c r="DT150" s="319" t="s">
        <v>4170</v>
      </c>
      <c r="DU150" s="319" t="s">
        <v>4171</v>
      </c>
      <c r="DV150" s="319" t="s">
        <v>4172</v>
      </c>
      <c r="DW150" s="319" t="s">
        <v>1314</v>
      </c>
      <c r="DX150" s="319" t="s">
        <v>1315</v>
      </c>
      <c r="DY150" s="319" t="s">
        <v>2185</v>
      </c>
      <c r="DZ150" s="319" t="s">
        <v>2186</v>
      </c>
      <c r="EA150" s="319" t="s">
        <v>149</v>
      </c>
      <c r="EC150" s="319" t="s">
        <v>107</v>
      </c>
      <c r="ED150" s="319" t="s">
        <v>5712</v>
      </c>
      <c r="EE150" s="319" t="s">
        <v>5972</v>
      </c>
      <c r="EF150" s="319" t="s">
        <v>1869</v>
      </c>
      <c r="EG150" s="319" t="s">
        <v>4944</v>
      </c>
      <c r="EH150" s="319" t="s">
        <v>4261</v>
      </c>
      <c r="EI150" s="319" t="s">
        <v>1314</v>
      </c>
      <c r="EJ150" s="319" t="s">
        <v>1315</v>
      </c>
      <c r="EK150" s="319" t="s">
        <v>2185</v>
      </c>
      <c r="EL150" s="319" t="s">
        <v>2186</v>
      </c>
      <c r="EM150" s="319" t="s">
        <v>149</v>
      </c>
      <c r="EO150" s="319" t="s">
        <v>1937</v>
      </c>
      <c r="EP150" s="319" t="s">
        <v>4248</v>
      </c>
      <c r="EQ150" s="319" t="s">
        <v>1069</v>
      </c>
      <c r="ER150" s="319" t="s">
        <v>4847</v>
      </c>
      <c r="ES150" s="319" t="s">
        <v>5847</v>
      </c>
      <c r="ET150" s="319" t="s">
        <v>5857</v>
      </c>
      <c r="EU150" s="319" t="s">
        <v>1314</v>
      </c>
      <c r="EV150" s="319" t="s">
        <v>1315</v>
      </c>
      <c r="EW150" s="319" t="s">
        <v>2185</v>
      </c>
      <c r="EX150" s="319" t="s">
        <v>2186</v>
      </c>
      <c r="EY150" s="319" t="s">
        <v>149</v>
      </c>
      <c r="FA150" s="319" t="s">
        <v>4552</v>
      </c>
      <c r="FB150" s="319" t="s">
        <v>4449</v>
      </c>
      <c r="FC150" s="319" t="s">
        <v>2577</v>
      </c>
      <c r="FD150" s="319" t="s">
        <v>2578</v>
      </c>
      <c r="FE150" s="319" t="s">
        <v>2579</v>
      </c>
      <c r="FF150" s="319" t="s">
        <v>1879</v>
      </c>
      <c r="FG150" s="319" t="s">
        <v>1314</v>
      </c>
      <c r="FH150" s="319" t="s">
        <v>1315</v>
      </c>
      <c r="FI150" s="319" t="s">
        <v>2185</v>
      </c>
      <c r="FJ150" s="319" t="s">
        <v>2186</v>
      </c>
      <c r="FK150" s="319" t="s">
        <v>149</v>
      </c>
      <c r="FM150" s="319" t="s">
        <v>963</v>
      </c>
      <c r="FN150" s="319" t="s">
        <v>5510</v>
      </c>
      <c r="FO150" s="319" t="s">
        <v>5511</v>
      </c>
      <c r="FP150" s="319" t="s">
        <v>299</v>
      </c>
      <c r="FQ150" s="319" t="s">
        <v>300</v>
      </c>
      <c r="FR150" s="319" t="s">
        <v>301</v>
      </c>
      <c r="FS150" s="319" t="s">
        <v>1314</v>
      </c>
      <c r="FT150" s="319" t="s">
        <v>1315</v>
      </c>
      <c r="FU150" s="319" t="s">
        <v>2185</v>
      </c>
      <c r="FV150" s="319" t="s">
        <v>2186</v>
      </c>
      <c r="FW150" s="319" t="s">
        <v>149</v>
      </c>
      <c r="FY150" s="319" t="s">
        <v>5597</v>
      </c>
      <c r="FZ150" s="319" t="s">
        <v>2893</v>
      </c>
      <c r="GA150" s="319" t="s">
        <v>5793</v>
      </c>
      <c r="GB150" s="319" t="s">
        <v>5794</v>
      </c>
      <c r="GC150" s="319" t="s">
        <v>4757</v>
      </c>
      <c r="GD150" s="319" t="s">
        <v>73</v>
      </c>
      <c r="GE150" s="319" t="s">
        <v>1314</v>
      </c>
      <c r="GF150" s="319" t="s">
        <v>1315</v>
      </c>
      <c r="GG150" s="319" t="s">
        <v>2185</v>
      </c>
      <c r="GH150" s="319" t="s">
        <v>2186</v>
      </c>
      <c r="GI150" s="319" t="s">
        <v>149</v>
      </c>
      <c r="GK150" s="319" t="s">
        <v>4553</v>
      </c>
      <c r="GL150" s="319" t="s">
        <v>5681</v>
      </c>
      <c r="GM150" s="319" t="s">
        <v>2814</v>
      </c>
      <c r="GN150" s="319" t="s">
        <v>3055</v>
      </c>
      <c r="GO150" s="319" t="s">
        <v>573</v>
      </c>
      <c r="GP150" s="319" t="s">
        <v>2636</v>
      </c>
      <c r="GQ150" s="319" t="s">
        <v>1314</v>
      </c>
      <c r="GR150" s="319" t="s">
        <v>1315</v>
      </c>
      <c r="GS150" s="319" t="s">
        <v>2185</v>
      </c>
      <c r="GT150" s="319" t="s">
        <v>2186</v>
      </c>
      <c r="GU150" s="319" t="s">
        <v>149</v>
      </c>
      <c r="GW150" s="319" t="s">
        <v>4450</v>
      </c>
      <c r="GX150" s="319" t="s">
        <v>2909</v>
      </c>
      <c r="GY150" s="319" t="s">
        <v>1128</v>
      </c>
      <c r="GZ150" s="319" t="s">
        <v>3717</v>
      </c>
      <c r="HA150" s="319" t="s">
        <v>3718</v>
      </c>
      <c r="HB150" s="319" t="s">
        <v>5812</v>
      </c>
      <c r="HC150" s="319" t="s">
        <v>1314</v>
      </c>
      <c r="HD150" s="319" t="s">
        <v>1315</v>
      </c>
      <c r="HE150" s="319" t="s">
        <v>2185</v>
      </c>
      <c r="HF150" s="319" t="s">
        <v>2186</v>
      </c>
      <c r="HG150" s="319" t="s">
        <v>149</v>
      </c>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row>
    <row r="151" spans="1:256" s="319" customFormat="1" ht="12.75" customHeight="1">
      <c r="A151" s="319" t="s">
        <v>5938</v>
      </c>
      <c r="B151" s="646" t="b">
        <v>0</v>
      </c>
      <c r="C151" s="646" t="b">
        <v>0</v>
      </c>
      <c r="D151" s="646" t="b">
        <v>0</v>
      </c>
      <c r="E151" s="646" t="b">
        <v>0</v>
      </c>
      <c r="F151" s="646" t="b">
        <v>0</v>
      </c>
      <c r="G151" s="646" t="b">
        <v>0</v>
      </c>
      <c r="H151" s="646" t="b">
        <v>0</v>
      </c>
      <c r="I151" s="646" t="b">
        <v>0</v>
      </c>
      <c r="J151" s="646" t="b">
        <v>0</v>
      </c>
      <c r="K151" s="646" t="b">
        <v>0</v>
      </c>
      <c r="M151" s="319" t="s">
        <v>5938</v>
      </c>
      <c r="N151" s="3" t="b">
        <v>0</v>
      </c>
      <c r="O151" s="3" t="b">
        <v>0</v>
      </c>
      <c r="P151" s="3" t="b">
        <v>0</v>
      </c>
      <c r="Q151" s="3" t="b">
        <v>0</v>
      </c>
      <c r="R151" s="3" t="b">
        <v>0</v>
      </c>
      <c r="S151" s="3" t="b">
        <v>0</v>
      </c>
      <c r="T151" s="3" t="b">
        <v>0</v>
      </c>
      <c r="U151" s="3" t="b">
        <v>0</v>
      </c>
      <c r="V151" s="3" t="b">
        <v>0</v>
      </c>
      <c r="W151" s="3" t="b">
        <v>0</v>
      </c>
      <c r="X151" s="556"/>
      <c r="Y151" s="556" t="s">
        <v>5938</v>
      </c>
      <c r="Z151" s="3" t="b">
        <v>0</v>
      </c>
      <c r="AA151" s="3" t="b">
        <v>0</v>
      </c>
      <c r="AB151" s="3" t="b">
        <v>0</v>
      </c>
      <c r="AC151" s="3" t="b">
        <v>0</v>
      </c>
      <c r="AD151" s="3" t="b">
        <v>0</v>
      </c>
      <c r="AE151" s="3" t="b">
        <v>0</v>
      </c>
      <c r="AF151" s="3" t="b">
        <v>0</v>
      </c>
      <c r="AG151" s="3" t="b">
        <v>0</v>
      </c>
      <c r="AH151" s="3" t="b">
        <v>0</v>
      </c>
      <c r="AI151" s="3" t="b">
        <v>0</v>
      </c>
      <c r="AK151" s="556" t="s">
        <v>5938</v>
      </c>
      <c r="AL151" s="3" t="b">
        <v>0</v>
      </c>
      <c r="AM151" s="3" t="b">
        <v>0</v>
      </c>
      <c r="AN151" s="3" t="b">
        <v>0</v>
      </c>
      <c r="AO151" s="3" t="b">
        <v>0</v>
      </c>
      <c r="AP151" s="3" t="b">
        <v>0</v>
      </c>
      <c r="AQ151" s="3" t="b">
        <v>0</v>
      </c>
      <c r="AR151" s="3" t="b">
        <v>0</v>
      </c>
      <c r="AS151" s="3" t="b">
        <v>0</v>
      </c>
      <c r="AT151" s="3" t="b">
        <v>0</v>
      </c>
      <c r="AU151" s="3" t="b">
        <v>0</v>
      </c>
      <c r="AW151" s="319" t="s">
        <v>5938</v>
      </c>
      <c r="AX151" s="646" t="b">
        <v>0</v>
      </c>
      <c r="AY151" s="3" t="b">
        <v>0</v>
      </c>
      <c r="AZ151" s="646" t="b">
        <v>0</v>
      </c>
      <c r="BA151" s="3" t="b">
        <v>0</v>
      </c>
      <c r="BB151" s="646" t="b">
        <v>0</v>
      </c>
      <c r="BC151" s="646" t="b">
        <v>0</v>
      </c>
      <c r="BD151" s="3" t="b">
        <v>0</v>
      </c>
      <c r="BE151" s="646" t="b">
        <v>0</v>
      </c>
      <c r="BF151" s="3" t="b">
        <v>0</v>
      </c>
      <c r="BG151" s="646" t="b">
        <v>0</v>
      </c>
      <c r="BI151" s="319" t="s">
        <v>5938</v>
      </c>
      <c r="BJ151" s="3" t="b">
        <v>0</v>
      </c>
      <c r="BK151" s="3" t="b">
        <v>0</v>
      </c>
      <c r="BL151" s="3" t="b">
        <v>0</v>
      </c>
      <c r="BM151" s="3" t="b">
        <v>0</v>
      </c>
      <c r="BN151" s="3" t="b">
        <v>0</v>
      </c>
      <c r="BO151" s="3" t="b">
        <v>0</v>
      </c>
      <c r="BP151" s="3" t="b">
        <v>0</v>
      </c>
      <c r="BQ151" s="3" t="b">
        <v>0</v>
      </c>
      <c r="BR151" s="3" t="b">
        <v>0</v>
      </c>
      <c r="BS151" s="3" t="b">
        <v>0</v>
      </c>
      <c r="BU151" s="319" t="s">
        <v>5938</v>
      </c>
      <c r="BV151" s="3" t="b">
        <v>0</v>
      </c>
      <c r="BW151" s="3" t="b">
        <v>0</v>
      </c>
      <c r="BX151" s="3" t="b">
        <v>0</v>
      </c>
      <c r="BY151" s="3" t="b">
        <v>0</v>
      </c>
      <c r="BZ151" s="3" t="b">
        <v>0</v>
      </c>
      <c r="CA151" s="3" t="b">
        <v>0</v>
      </c>
      <c r="CB151" s="3" t="b">
        <v>0</v>
      </c>
      <c r="CC151" s="3" t="b">
        <v>0</v>
      </c>
      <c r="CD151" s="3" t="b">
        <v>0</v>
      </c>
      <c r="CE151" s="3" t="b">
        <v>0</v>
      </c>
      <c r="CG151" s="319" t="s">
        <v>5938</v>
      </c>
      <c r="CH151" s="3" t="b">
        <v>0</v>
      </c>
      <c r="CI151" s="3" t="b">
        <v>0</v>
      </c>
      <c r="CJ151" s="3" t="b">
        <v>0</v>
      </c>
      <c r="CK151" s="3" t="b">
        <v>0</v>
      </c>
      <c r="CL151" s="3" t="b">
        <v>0</v>
      </c>
      <c r="CM151" s="3" t="b">
        <v>0</v>
      </c>
      <c r="CN151" s="3" t="b">
        <v>0</v>
      </c>
      <c r="CO151" s="3" t="b">
        <v>0</v>
      </c>
      <c r="CP151" s="3" t="b">
        <v>0</v>
      </c>
      <c r="CQ151" s="3" t="b">
        <v>0</v>
      </c>
      <c r="CS151" s="319" t="s">
        <v>5938</v>
      </c>
      <c r="CT151" s="3" t="b">
        <v>0</v>
      </c>
      <c r="CU151" s="3" t="b">
        <v>0</v>
      </c>
      <c r="CV151" s="3" t="b">
        <v>0</v>
      </c>
      <c r="CW151" s="3" t="b">
        <v>0</v>
      </c>
      <c r="CX151" s="3" t="b">
        <v>0</v>
      </c>
      <c r="CY151" s="3" t="b">
        <v>0</v>
      </c>
      <c r="CZ151" s="3" t="b">
        <v>0</v>
      </c>
      <c r="DA151" s="3" t="b">
        <v>0</v>
      </c>
      <c r="DB151" s="3" t="b">
        <v>0</v>
      </c>
      <c r="DC151" s="3" t="b">
        <v>0</v>
      </c>
      <c r="DE151" s="319" t="s">
        <v>5938</v>
      </c>
      <c r="DF151" s="3" t="b">
        <v>0</v>
      </c>
      <c r="DG151" s="3" t="b">
        <v>0</v>
      </c>
      <c r="DH151" s="3" t="b">
        <v>0</v>
      </c>
      <c r="DI151" s="3" t="b">
        <v>0</v>
      </c>
      <c r="DJ151" s="3" t="b">
        <v>0</v>
      </c>
      <c r="DK151" s="3" t="b">
        <v>0</v>
      </c>
      <c r="DL151" s="3" t="b">
        <v>0</v>
      </c>
      <c r="DM151" s="3" t="b">
        <v>0</v>
      </c>
      <c r="DN151" s="3" t="b">
        <v>0</v>
      </c>
      <c r="DO151" s="3" t="b">
        <v>0</v>
      </c>
      <c r="DQ151" s="319" t="s">
        <v>5938</v>
      </c>
      <c r="DR151" s="3" t="b">
        <v>0</v>
      </c>
      <c r="DS151" s="3" t="b">
        <v>0</v>
      </c>
      <c r="DT151" s="3" t="b">
        <v>0</v>
      </c>
      <c r="DU151" s="3" t="b">
        <v>0</v>
      </c>
      <c r="DV151" s="3" t="b">
        <v>0</v>
      </c>
      <c r="DW151" s="3" t="b">
        <v>0</v>
      </c>
      <c r="DX151" s="3" t="b">
        <v>0</v>
      </c>
      <c r="DY151" s="3" t="b">
        <v>0</v>
      </c>
      <c r="DZ151" s="3" t="b">
        <v>0</v>
      </c>
      <c r="EA151" s="3" t="b">
        <v>0</v>
      </c>
      <c r="EC151" s="319" t="s">
        <v>5938</v>
      </c>
      <c r="ED151" s="3" t="b">
        <v>0</v>
      </c>
      <c r="EE151" s="3" t="b">
        <v>0</v>
      </c>
      <c r="EF151" s="3" t="b">
        <v>0</v>
      </c>
      <c r="EG151" s="3" t="b">
        <v>0</v>
      </c>
      <c r="EH151" s="3" t="b">
        <v>0</v>
      </c>
      <c r="EI151" s="3" t="b">
        <v>0</v>
      </c>
      <c r="EJ151" s="3" t="b">
        <v>0</v>
      </c>
      <c r="EK151" s="3" t="b">
        <v>0</v>
      </c>
      <c r="EL151" s="3" t="b">
        <v>0</v>
      </c>
      <c r="EM151" s="3" t="b">
        <v>0</v>
      </c>
      <c r="EO151" s="319" t="s">
        <v>5938</v>
      </c>
      <c r="EP151" s="3" t="b">
        <v>0</v>
      </c>
      <c r="EQ151" s="3" t="b">
        <v>0</v>
      </c>
      <c r="ER151" s="3" t="b">
        <v>0</v>
      </c>
      <c r="ES151" s="3" t="b">
        <v>0</v>
      </c>
      <c r="ET151" s="3" t="b">
        <v>0</v>
      </c>
      <c r="EU151" s="3" t="b">
        <v>0</v>
      </c>
      <c r="EV151" s="3" t="b">
        <v>0</v>
      </c>
      <c r="EW151" s="3" t="b">
        <v>0</v>
      </c>
      <c r="EX151" s="3" t="b">
        <v>0</v>
      </c>
      <c r="EY151" s="3" t="b">
        <v>0</v>
      </c>
      <c r="EZ151" s="319" t="b">
        <v>1</v>
      </c>
      <c r="FA151" s="319" t="s">
        <v>5938</v>
      </c>
      <c r="FB151" s="3" t="b">
        <v>0</v>
      </c>
      <c r="FC151" s="3" t="b">
        <v>0</v>
      </c>
      <c r="FD151" s="3" t="b">
        <v>0</v>
      </c>
      <c r="FE151" s="3" t="b">
        <v>0</v>
      </c>
      <c r="FF151" s="3" t="b">
        <v>0</v>
      </c>
      <c r="FG151" s="3" t="b">
        <v>0</v>
      </c>
      <c r="FH151" s="3" t="b">
        <v>0</v>
      </c>
      <c r="FI151" s="3" t="b">
        <v>0</v>
      </c>
      <c r="FJ151" s="3" t="b">
        <v>0</v>
      </c>
      <c r="FK151" s="3" t="b">
        <v>0</v>
      </c>
      <c r="FM151" s="319" t="s">
        <v>5938</v>
      </c>
      <c r="FN151" s="3" t="b">
        <v>0</v>
      </c>
      <c r="FO151" s="3" t="b">
        <v>0</v>
      </c>
      <c r="FP151" s="3" t="b">
        <v>0</v>
      </c>
      <c r="FQ151" s="3" t="b">
        <v>0</v>
      </c>
      <c r="FR151" s="3" t="b">
        <v>0</v>
      </c>
      <c r="FS151" s="3" t="b">
        <v>0</v>
      </c>
      <c r="FT151" s="3" t="b">
        <v>0</v>
      </c>
      <c r="FU151" s="3" t="b">
        <v>0</v>
      </c>
      <c r="FV151" s="3" t="b">
        <v>0</v>
      </c>
      <c r="FW151" s="3" t="b">
        <v>0</v>
      </c>
      <c r="FY151" s="319" t="s">
        <v>5938</v>
      </c>
      <c r="FZ151" s="3" t="b">
        <v>0</v>
      </c>
      <c r="GA151" s="3" t="b">
        <v>0</v>
      </c>
      <c r="GB151" s="3" t="b">
        <v>0</v>
      </c>
      <c r="GC151" s="3" t="b">
        <v>0</v>
      </c>
      <c r="GD151" s="3" t="b">
        <v>0</v>
      </c>
      <c r="GE151" s="3" t="b">
        <v>0</v>
      </c>
      <c r="GF151" s="3" t="b">
        <v>0</v>
      </c>
      <c r="GG151" s="3" t="b">
        <v>0</v>
      </c>
      <c r="GH151" s="3" t="b">
        <v>0</v>
      </c>
      <c r="GI151" s="3" t="b">
        <v>0</v>
      </c>
      <c r="GK151" s="319" t="s">
        <v>5938</v>
      </c>
      <c r="GL151" s="3" t="b">
        <v>0</v>
      </c>
      <c r="GM151" s="3" t="b">
        <v>0</v>
      </c>
      <c r="GN151" s="3" t="b">
        <v>0</v>
      </c>
      <c r="GO151" s="3" t="b">
        <v>0</v>
      </c>
      <c r="GP151" s="3" t="b">
        <v>0</v>
      </c>
      <c r="GQ151" s="3" t="b">
        <v>0</v>
      </c>
      <c r="GR151" s="3" t="b">
        <v>0</v>
      </c>
      <c r="GS151" s="3" t="b">
        <v>0</v>
      </c>
      <c r="GT151" s="3" t="b">
        <v>0</v>
      </c>
      <c r="GU151" s="3" t="b">
        <v>0</v>
      </c>
      <c r="GW151" s="319" t="s">
        <v>5938</v>
      </c>
      <c r="GX151" s="3" t="b">
        <v>0</v>
      </c>
      <c r="GY151" s="3" t="b">
        <v>0</v>
      </c>
      <c r="GZ151" s="3" t="b">
        <v>0</v>
      </c>
      <c r="HA151" s="3" t="b">
        <v>0</v>
      </c>
      <c r="HB151" s="3" t="b">
        <v>0</v>
      </c>
      <c r="HC151" s="3" t="b">
        <v>0</v>
      </c>
      <c r="HD151" s="3" t="b">
        <v>0</v>
      </c>
      <c r="HE151" s="3" t="b">
        <v>0</v>
      </c>
      <c r="HF151" s="3" t="b">
        <v>0</v>
      </c>
      <c r="HG151" s="3" t="b">
        <v>0</v>
      </c>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row>
    <row r="152" spans="1:256" s="319" customFormat="1" ht="12.75" customHeight="1">
      <c r="A152" s="319" t="s">
        <v>4444</v>
      </c>
      <c r="B152" s="3" t="s">
        <v>5762</v>
      </c>
      <c r="C152" s="646" t="s">
        <v>5762</v>
      </c>
      <c r="D152" s="646" t="s">
        <v>5762</v>
      </c>
      <c r="E152" s="646" t="s">
        <v>5762</v>
      </c>
      <c r="F152" s="3" t="s">
        <v>5762</v>
      </c>
      <c r="G152" s="556"/>
      <c r="I152" s="556"/>
      <c r="K152" s="556"/>
      <c r="M152" s="319" t="s">
        <v>4444</v>
      </c>
      <c r="N152" s="3" t="s">
        <v>5762</v>
      </c>
      <c r="O152" s="3" t="s">
        <v>5762</v>
      </c>
      <c r="P152" s="3" t="s">
        <v>5762</v>
      </c>
      <c r="Q152" s="3" t="s">
        <v>5762</v>
      </c>
      <c r="R152" s="3" t="s">
        <v>5762</v>
      </c>
      <c r="X152" s="556"/>
      <c r="Y152" s="556" t="s">
        <v>4444</v>
      </c>
      <c r="Z152" s="3" t="s">
        <v>5762</v>
      </c>
      <c r="AA152" s="3" t="s">
        <v>5762</v>
      </c>
      <c r="AB152" s="3" t="s">
        <v>5762</v>
      </c>
      <c r="AC152" s="3" t="s">
        <v>5762</v>
      </c>
      <c r="AD152" s="3" t="s">
        <v>5762</v>
      </c>
      <c r="AK152" s="556" t="s">
        <v>4444</v>
      </c>
      <c r="AL152" s="3" t="s">
        <v>5762</v>
      </c>
      <c r="AM152" s="3" t="s">
        <v>5762</v>
      </c>
      <c r="AN152" s="3" t="s">
        <v>5762</v>
      </c>
      <c r="AO152" s="3" t="s">
        <v>5762</v>
      </c>
      <c r="AP152" s="3" t="s">
        <v>5762</v>
      </c>
      <c r="AW152" s="319" t="s">
        <v>4444</v>
      </c>
      <c r="AX152" s="3" t="s">
        <v>5762</v>
      </c>
      <c r="AY152" s="646" t="s">
        <v>5762</v>
      </c>
      <c r="AZ152" s="3" t="s">
        <v>5762</v>
      </c>
      <c r="BA152" s="646" t="s">
        <v>5762</v>
      </c>
      <c r="BB152" s="3" t="s">
        <v>5762</v>
      </c>
      <c r="BC152" s="556"/>
      <c r="BE152" s="556"/>
      <c r="BG152" s="556"/>
      <c r="BI152" s="319" t="s">
        <v>4444</v>
      </c>
      <c r="BJ152" s="3" t="s">
        <v>5762</v>
      </c>
      <c r="BK152" s="3" t="s">
        <v>5762</v>
      </c>
      <c r="BL152" s="3" t="s">
        <v>5762</v>
      </c>
      <c r="BM152" s="3" t="s">
        <v>5762</v>
      </c>
      <c r="BN152" s="3" t="s">
        <v>5762</v>
      </c>
      <c r="BU152" s="319" t="s">
        <v>4444</v>
      </c>
      <c r="BV152" s="3" t="s">
        <v>5762</v>
      </c>
      <c r="BW152" s="3" t="s">
        <v>5762</v>
      </c>
      <c r="BX152" s="3" t="s">
        <v>5762</v>
      </c>
      <c r="BY152" s="3" t="s">
        <v>5762</v>
      </c>
      <c r="BZ152" s="3" t="s">
        <v>5762</v>
      </c>
      <c r="CG152" s="319" t="s">
        <v>4444</v>
      </c>
      <c r="CH152" s="3" t="s">
        <v>5762</v>
      </c>
      <c r="CI152" s="3" t="s">
        <v>5762</v>
      </c>
      <c r="CJ152" s="3" t="s">
        <v>5762</v>
      </c>
      <c r="CK152" s="3" t="s">
        <v>5762</v>
      </c>
      <c r="CL152" s="3" t="s">
        <v>5762</v>
      </c>
      <c r="CS152" s="319" t="s">
        <v>4444</v>
      </c>
      <c r="CT152" s="3" t="s">
        <v>5762</v>
      </c>
      <c r="CU152" s="3" t="s">
        <v>5762</v>
      </c>
      <c r="CV152" s="3" t="s">
        <v>5762</v>
      </c>
      <c r="CW152" s="3" t="s">
        <v>5762</v>
      </c>
      <c r="CX152" s="3" t="s">
        <v>5762</v>
      </c>
      <c r="DE152" s="319" t="s">
        <v>4444</v>
      </c>
      <c r="DF152" s="3" t="s">
        <v>5762</v>
      </c>
      <c r="DG152" s="3" t="s">
        <v>5762</v>
      </c>
      <c r="DH152" s="3" t="s">
        <v>5762</v>
      </c>
      <c r="DI152" s="3" t="s">
        <v>5762</v>
      </c>
      <c r="DJ152" s="3" t="s">
        <v>5762</v>
      </c>
      <c r="DQ152" s="319" t="s">
        <v>4444</v>
      </c>
      <c r="DR152" s="3" t="s">
        <v>5762</v>
      </c>
      <c r="DS152" s="3" t="s">
        <v>5762</v>
      </c>
      <c r="DT152" s="3" t="s">
        <v>5762</v>
      </c>
      <c r="DU152" s="3" t="s">
        <v>5762</v>
      </c>
      <c r="DV152" s="3" t="s">
        <v>5762</v>
      </c>
      <c r="EC152" s="319" t="s">
        <v>4444</v>
      </c>
      <c r="ED152" s="3" t="s">
        <v>5762</v>
      </c>
      <c r="EE152" s="3" t="s">
        <v>5762</v>
      </c>
      <c r="EF152" s="3" t="s">
        <v>5762</v>
      </c>
      <c r="EG152" s="3" t="s">
        <v>5762</v>
      </c>
      <c r="EH152" s="3" t="s">
        <v>5762</v>
      </c>
      <c r="EO152" s="319" t="s">
        <v>4444</v>
      </c>
      <c r="EP152" s="3" t="s">
        <v>5762</v>
      </c>
      <c r="EQ152" s="3" t="s">
        <v>5762</v>
      </c>
      <c r="ER152" s="3" t="s">
        <v>5762</v>
      </c>
      <c r="ES152" s="3" t="s">
        <v>5762</v>
      </c>
      <c r="ET152" s="3" t="s">
        <v>5762</v>
      </c>
      <c r="EU152" s="319" t="s">
        <v>4824</v>
      </c>
      <c r="EV152" s="319" t="s">
        <v>4824</v>
      </c>
      <c r="EW152" s="319" t="s">
        <v>4824</v>
      </c>
      <c r="EX152" s="319" t="s">
        <v>4824</v>
      </c>
      <c r="EY152" s="319" t="s">
        <v>4824</v>
      </c>
      <c r="FA152" s="319" t="s">
        <v>4444</v>
      </c>
      <c r="FB152" s="3" t="s">
        <v>5762</v>
      </c>
      <c r="FC152" s="3" t="s">
        <v>5762</v>
      </c>
      <c r="FD152" s="3" t="s">
        <v>5762</v>
      </c>
      <c r="FE152" s="3" t="s">
        <v>5762</v>
      </c>
      <c r="FF152" s="3" t="s">
        <v>5762</v>
      </c>
      <c r="FM152" s="319" t="s">
        <v>4444</v>
      </c>
      <c r="FN152" s="3" t="s">
        <v>5762</v>
      </c>
      <c r="FO152" s="3" t="s">
        <v>5762</v>
      </c>
      <c r="FP152" s="3" t="s">
        <v>5762</v>
      </c>
      <c r="FQ152" s="3" t="s">
        <v>5762</v>
      </c>
      <c r="FR152" s="3" t="s">
        <v>5762</v>
      </c>
      <c r="FY152" s="319" t="s">
        <v>4444</v>
      </c>
      <c r="FZ152" s="3" t="s">
        <v>5762</v>
      </c>
      <c r="GA152" s="3" t="s">
        <v>5762</v>
      </c>
      <c r="GB152" s="3" t="s">
        <v>5762</v>
      </c>
      <c r="GC152" s="3" t="s">
        <v>5762</v>
      </c>
      <c r="GD152" s="3" t="s">
        <v>5762</v>
      </c>
      <c r="GK152" s="319" t="s">
        <v>4444</v>
      </c>
      <c r="GL152" s="3" t="s">
        <v>5762</v>
      </c>
      <c r="GM152" s="3" t="s">
        <v>5762</v>
      </c>
      <c r="GN152" s="3" t="s">
        <v>5762</v>
      </c>
      <c r="GO152" s="3" t="s">
        <v>5762</v>
      </c>
      <c r="GP152" s="3" t="s">
        <v>5762</v>
      </c>
      <c r="GW152" s="319" t="s">
        <v>4444</v>
      </c>
      <c r="GX152" s="3" t="s">
        <v>5762</v>
      </c>
      <c r="GY152" s="3" t="s">
        <v>5762</v>
      </c>
      <c r="GZ152" s="3" t="s">
        <v>5762</v>
      </c>
      <c r="HA152" s="3" t="s">
        <v>5762</v>
      </c>
      <c r="HB152" s="3" t="s">
        <v>5762</v>
      </c>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row>
    <row r="153" spans="1:256" s="319" customFormat="1" ht="12.75" customHeight="1">
      <c r="A153" s="319" t="s">
        <v>2845</v>
      </c>
      <c r="B153" s="3" t="b">
        <v>0</v>
      </c>
      <c r="C153" s="646" t="b">
        <v>0</v>
      </c>
      <c r="D153" s="646" t="b">
        <v>0</v>
      </c>
      <c r="E153" s="646" t="b">
        <v>0</v>
      </c>
      <c r="F153" s="3" t="b">
        <v>0</v>
      </c>
      <c r="G153" s="556"/>
      <c r="I153" s="556"/>
      <c r="K153" s="556"/>
      <c r="M153" s="319" t="s">
        <v>2845</v>
      </c>
      <c r="N153" s="3" t="b">
        <v>0</v>
      </c>
      <c r="O153" s="3" t="b">
        <v>0</v>
      </c>
      <c r="P153" s="3" t="b">
        <v>0</v>
      </c>
      <c r="Q153" s="3" t="b">
        <v>0</v>
      </c>
      <c r="R153" s="3" t="b">
        <v>0</v>
      </c>
      <c r="X153" s="556"/>
      <c r="Y153" s="556" t="s">
        <v>2845</v>
      </c>
      <c r="Z153" s="3" t="b">
        <v>0</v>
      </c>
      <c r="AA153" s="3" t="b">
        <v>0</v>
      </c>
      <c r="AB153" s="3" t="b">
        <v>0</v>
      </c>
      <c r="AC153" s="3" t="b">
        <v>0</v>
      </c>
      <c r="AD153" s="3" t="b">
        <v>0</v>
      </c>
      <c r="AK153" s="556" t="s">
        <v>2845</v>
      </c>
      <c r="AL153" s="3" t="b">
        <v>0</v>
      </c>
      <c r="AM153" s="3" t="b">
        <v>0</v>
      </c>
      <c r="AN153" s="3" t="b">
        <v>0</v>
      </c>
      <c r="AO153" s="3" t="b">
        <v>0</v>
      </c>
      <c r="AP153" s="3" t="b">
        <v>0</v>
      </c>
      <c r="AW153" s="319" t="s">
        <v>2845</v>
      </c>
      <c r="AX153" s="3" t="b">
        <v>0</v>
      </c>
      <c r="AY153" s="3" t="b">
        <v>0</v>
      </c>
      <c r="AZ153" s="3" t="b">
        <v>0</v>
      </c>
      <c r="BA153" s="3" t="b">
        <v>0</v>
      </c>
      <c r="BB153" s="3" t="b">
        <v>0</v>
      </c>
      <c r="BC153" s="556"/>
      <c r="BE153" s="556"/>
      <c r="BG153" s="556"/>
      <c r="BI153" s="319" t="s">
        <v>2845</v>
      </c>
      <c r="BJ153" s="3" t="b">
        <v>0</v>
      </c>
      <c r="BK153" s="3" t="b">
        <v>0</v>
      </c>
      <c r="BL153" s="3" t="b">
        <v>0</v>
      </c>
      <c r="BM153" s="3" t="b">
        <v>0</v>
      </c>
      <c r="BN153" s="3" t="b">
        <v>0</v>
      </c>
      <c r="BU153" s="319" t="s">
        <v>2845</v>
      </c>
      <c r="BV153" s="3" t="b">
        <v>0</v>
      </c>
      <c r="BW153" s="3" t="b">
        <v>0</v>
      </c>
      <c r="BX153" s="3" t="b">
        <v>0</v>
      </c>
      <c r="BY153" s="3" t="b">
        <v>0</v>
      </c>
      <c r="BZ153" s="3" t="b">
        <v>0</v>
      </c>
      <c r="CG153" s="319" t="s">
        <v>2845</v>
      </c>
      <c r="CH153" s="3" t="b">
        <v>0</v>
      </c>
      <c r="CI153" s="3" t="b">
        <v>0</v>
      </c>
      <c r="CJ153" s="3" t="b">
        <v>0</v>
      </c>
      <c r="CK153" s="3" t="b">
        <v>0</v>
      </c>
      <c r="CL153" s="3" t="b">
        <v>0</v>
      </c>
      <c r="CS153" s="319" t="s">
        <v>2845</v>
      </c>
      <c r="CT153" s="3" t="b">
        <v>0</v>
      </c>
      <c r="CU153" s="3" t="b">
        <v>0</v>
      </c>
      <c r="CV153" s="3" t="b">
        <v>0</v>
      </c>
      <c r="CW153" s="3" t="b">
        <v>0</v>
      </c>
      <c r="CX153" s="3" t="b">
        <v>0</v>
      </c>
      <c r="DE153" s="319" t="s">
        <v>2845</v>
      </c>
      <c r="DF153" s="3" t="b">
        <v>0</v>
      </c>
      <c r="DG153" s="3" t="b">
        <v>0</v>
      </c>
      <c r="DH153" s="3" t="b">
        <v>0</v>
      </c>
      <c r="DI153" s="3" t="b">
        <v>0</v>
      </c>
      <c r="DJ153" s="3" t="b">
        <v>0</v>
      </c>
      <c r="DQ153" s="319" t="s">
        <v>2845</v>
      </c>
      <c r="DR153" s="3" t="b">
        <v>0</v>
      </c>
      <c r="DS153" s="3" t="b">
        <v>0</v>
      </c>
      <c r="DT153" s="3" t="b">
        <v>0</v>
      </c>
      <c r="DU153" s="3" t="b">
        <v>0</v>
      </c>
      <c r="DV153" s="3" t="b">
        <v>0</v>
      </c>
      <c r="EC153" s="319" t="s">
        <v>2845</v>
      </c>
      <c r="ED153" s="3" t="b">
        <v>0</v>
      </c>
      <c r="EE153" s="3" t="b">
        <v>0</v>
      </c>
      <c r="EF153" s="3" t="b">
        <v>0</v>
      </c>
      <c r="EG153" s="3" t="b">
        <v>0</v>
      </c>
      <c r="EH153" s="3" t="b">
        <v>0</v>
      </c>
      <c r="EO153" s="319" t="s">
        <v>2845</v>
      </c>
      <c r="EP153" s="3" t="b">
        <v>0</v>
      </c>
      <c r="EQ153" s="3" t="b">
        <v>0</v>
      </c>
      <c r="ER153" s="3" t="b">
        <v>0</v>
      </c>
      <c r="ES153" s="3" t="b">
        <v>0</v>
      </c>
      <c r="ET153" s="3" t="b">
        <v>0</v>
      </c>
      <c r="EU153" s="319" t="b">
        <v>0</v>
      </c>
      <c r="EV153" s="319" t="b">
        <v>0</v>
      </c>
      <c r="EW153" s="319" t="b">
        <v>0</v>
      </c>
      <c r="EX153" s="319" t="b">
        <v>0</v>
      </c>
      <c r="EY153" s="319" t="b">
        <v>0</v>
      </c>
      <c r="FA153" s="319" t="s">
        <v>2845</v>
      </c>
      <c r="FB153" s="3" t="b">
        <v>0</v>
      </c>
      <c r="FC153" s="3" t="b">
        <v>0</v>
      </c>
      <c r="FD153" s="3" t="b">
        <v>0</v>
      </c>
      <c r="FE153" s="3" t="b">
        <v>0</v>
      </c>
      <c r="FF153" s="3" t="b">
        <v>0</v>
      </c>
      <c r="FM153" s="319" t="s">
        <v>2845</v>
      </c>
      <c r="FN153" s="3" t="b">
        <v>0</v>
      </c>
      <c r="FO153" s="3" t="b">
        <v>0</v>
      </c>
      <c r="FP153" s="3" t="b">
        <v>0</v>
      </c>
      <c r="FQ153" s="3" t="b">
        <v>0</v>
      </c>
      <c r="FR153" s="3" t="b">
        <v>0</v>
      </c>
      <c r="FY153" s="319" t="s">
        <v>2845</v>
      </c>
      <c r="FZ153" s="3" t="b">
        <v>0</v>
      </c>
      <c r="GA153" s="3" t="b">
        <v>0</v>
      </c>
      <c r="GB153" s="3" t="b">
        <v>0</v>
      </c>
      <c r="GC153" s="3" t="b">
        <v>0</v>
      </c>
      <c r="GD153" s="3" t="b">
        <v>0</v>
      </c>
      <c r="GK153" s="319" t="s">
        <v>2845</v>
      </c>
      <c r="GL153" s="3" t="b">
        <v>0</v>
      </c>
      <c r="GM153" s="3" t="b">
        <v>0</v>
      </c>
      <c r="GN153" s="3" t="b">
        <v>0</v>
      </c>
      <c r="GO153" s="3" t="b">
        <v>0</v>
      </c>
      <c r="GP153" s="3" t="b">
        <v>0</v>
      </c>
      <c r="GW153" s="319" t="s">
        <v>2845</v>
      </c>
      <c r="GX153" s="3" t="b">
        <v>0</v>
      </c>
      <c r="GY153" s="3" t="b">
        <v>0</v>
      </c>
      <c r="GZ153" s="3" t="b">
        <v>0</v>
      </c>
      <c r="HA153" s="3" t="b">
        <v>0</v>
      </c>
      <c r="HB153" s="3" t="b">
        <v>0</v>
      </c>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row>
    <row r="154" spans="1:256" s="319" customFormat="1" ht="12.75" customHeight="1">
      <c r="A154" s="319" t="s">
        <v>1139</v>
      </c>
      <c r="B154" s="3" t="s">
        <v>637</v>
      </c>
      <c r="C154" s="3" t="s">
        <v>637</v>
      </c>
      <c r="D154" s="3" t="s">
        <v>637</v>
      </c>
      <c r="E154" s="3" t="s">
        <v>637</v>
      </c>
      <c r="F154" s="3" t="s">
        <v>637</v>
      </c>
      <c r="M154" s="319" t="s">
        <v>1139</v>
      </c>
      <c r="N154" s="3" t="s">
        <v>637</v>
      </c>
      <c r="O154" s="3" t="s">
        <v>637</v>
      </c>
      <c r="P154" s="3" t="s">
        <v>637</v>
      </c>
      <c r="Q154" s="3" t="s">
        <v>637</v>
      </c>
      <c r="R154" s="3" t="s">
        <v>637</v>
      </c>
      <c r="Y154" s="319" t="s">
        <v>1139</v>
      </c>
      <c r="Z154" s="3" t="s">
        <v>637</v>
      </c>
      <c r="AA154" s="3" t="s">
        <v>637</v>
      </c>
      <c r="AB154" s="3" t="s">
        <v>637</v>
      </c>
      <c r="AC154" s="3" t="s">
        <v>637</v>
      </c>
      <c r="AD154" s="3" t="s">
        <v>637</v>
      </c>
      <c r="AK154" s="319" t="s">
        <v>1139</v>
      </c>
      <c r="AL154" s="3" t="s">
        <v>637</v>
      </c>
      <c r="AM154" s="3" t="s">
        <v>637</v>
      </c>
      <c r="AN154" s="3" t="s">
        <v>637</v>
      </c>
      <c r="AO154" s="3" t="s">
        <v>637</v>
      </c>
      <c r="AP154" s="3" t="s">
        <v>637</v>
      </c>
      <c r="AW154" s="319" t="s">
        <v>1139</v>
      </c>
      <c r="AX154" s="3" t="s">
        <v>637</v>
      </c>
      <c r="AY154" s="3" t="s">
        <v>637</v>
      </c>
      <c r="AZ154" s="3" t="s">
        <v>637</v>
      </c>
      <c r="BA154" s="3" t="s">
        <v>637</v>
      </c>
      <c r="BB154" s="3" t="s">
        <v>637</v>
      </c>
      <c r="BI154" s="319" t="s">
        <v>1139</v>
      </c>
      <c r="BJ154" s="3" t="s">
        <v>637</v>
      </c>
      <c r="BK154" s="3" t="s">
        <v>637</v>
      </c>
      <c r="BL154" s="3" t="s">
        <v>637</v>
      </c>
      <c r="BM154" s="3" t="s">
        <v>637</v>
      </c>
      <c r="BN154" s="3" t="s">
        <v>637</v>
      </c>
      <c r="BU154" s="319" t="s">
        <v>1139</v>
      </c>
      <c r="BV154" s="3" t="s">
        <v>637</v>
      </c>
      <c r="BW154" s="3" t="s">
        <v>637</v>
      </c>
      <c r="BX154" s="3" t="s">
        <v>637</v>
      </c>
      <c r="BY154" s="3" t="s">
        <v>637</v>
      </c>
      <c r="BZ154" s="3" t="s">
        <v>637</v>
      </c>
      <c r="CG154" s="319" t="s">
        <v>1139</v>
      </c>
      <c r="CH154" s="3" t="s">
        <v>637</v>
      </c>
      <c r="CI154" s="3" t="s">
        <v>637</v>
      </c>
      <c r="CJ154" s="3" t="s">
        <v>637</v>
      </c>
      <c r="CK154" s="3" t="s">
        <v>637</v>
      </c>
      <c r="CL154" s="3" t="s">
        <v>637</v>
      </c>
      <c r="CS154" s="319" t="s">
        <v>1139</v>
      </c>
      <c r="CT154" s="3" t="s">
        <v>637</v>
      </c>
      <c r="CU154" s="3" t="s">
        <v>637</v>
      </c>
      <c r="CV154" s="3" t="s">
        <v>637</v>
      </c>
      <c r="CW154" s="3" t="s">
        <v>637</v>
      </c>
      <c r="CX154" s="3" t="s">
        <v>637</v>
      </c>
      <c r="DE154" s="319" t="s">
        <v>1139</v>
      </c>
      <c r="DF154" s="3" t="s">
        <v>637</v>
      </c>
      <c r="DG154" s="3" t="s">
        <v>637</v>
      </c>
      <c r="DH154" s="3" t="s">
        <v>637</v>
      </c>
      <c r="DI154" s="3" t="s">
        <v>637</v>
      </c>
      <c r="DJ154" s="3" t="s">
        <v>637</v>
      </c>
      <c r="DQ154" s="319" t="s">
        <v>1139</v>
      </c>
      <c r="DR154" s="3" t="s">
        <v>637</v>
      </c>
      <c r="DS154" s="3" t="s">
        <v>637</v>
      </c>
      <c r="DT154" s="3" t="s">
        <v>637</v>
      </c>
      <c r="DU154" s="3" t="s">
        <v>637</v>
      </c>
      <c r="DV154" s="3" t="s">
        <v>637</v>
      </c>
      <c r="EC154" s="319" t="s">
        <v>1139</v>
      </c>
      <c r="ED154" s="3" t="s">
        <v>637</v>
      </c>
      <c r="EE154" s="3" t="s">
        <v>637</v>
      </c>
      <c r="EF154" s="3" t="s">
        <v>637</v>
      </c>
      <c r="EG154" s="3" t="s">
        <v>637</v>
      </c>
      <c r="EH154" s="3" t="s">
        <v>637</v>
      </c>
      <c r="EO154" s="319" t="s">
        <v>1139</v>
      </c>
      <c r="EP154" s="3" t="s">
        <v>637</v>
      </c>
      <c r="EQ154" s="3" t="s">
        <v>637</v>
      </c>
      <c r="ER154" s="3" t="s">
        <v>637</v>
      </c>
      <c r="ES154" s="3" t="s">
        <v>637</v>
      </c>
      <c r="ET154" s="3" t="s">
        <v>637</v>
      </c>
      <c r="EU154" s="319" t="s">
        <v>637</v>
      </c>
      <c r="EV154" s="319" t="s">
        <v>637</v>
      </c>
      <c r="EW154" s="319" t="s">
        <v>637</v>
      </c>
      <c r="EX154" s="319" t="s">
        <v>637</v>
      </c>
      <c r="EY154" s="319" t="s">
        <v>637</v>
      </c>
      <c r="FA154" s="319" t="s">
        <v>1139</v>
      </c>
      <c r="FB154" s="3" t="s">
        <v>637</v>
      </c>
      <c r="FC154" s="3" t="s">
        <v>637</v>
      </c>
      <c r="FD154" s="3" t="s">
        <v>637</v>
      </c>
      <c r="FE154" s="3" t="s">
        <v>637</v>
      </c>
      <c r="FF154" s="3" t="s">
        <v>637</v>
      </c>
      <c r="FM154" s="319" t="s">
        <v>1139</v>
      </c>
      <c r="FN154" s="3" t="s">
        <v>637</v>
      </c>
      <c r="FO154" s="3" t="s">
        <v>637</v>
      </c>
      <c r="FP154" s="3" t="s">
        <v>637</v>
      </c>
      <c r="FQ154" s="3" t="s">
        <v>637</v>
      </c>
      <c r="FR154" s="3" t="s">
        <v>637</v>
      </c>
      <c r="FY154" s="319" t="s">
        <v>1139</v>
      </c>
      <c r="FZ154" s="3" t="s">
        <v>637</v>
      </c>
      <c r="GA154" s="3" t="s">
        <v>637</v>
      </c>
      <c r="GB154" s="3" t="s">
        <v>637</v>
      </c>
      <c r="GC154" s="3" t="s">
        <v>637</v>
      </c>
      <c r="GD154" s="3" t="s">
        <v>637</v>
      </c>
      <c r="GK154" s="319" t="s">
        <v>1139</v>
      </c>
      <c r="GL154" s="3" t="s">
        <v>637</v>
      </c>
      <c r="GM154" s="3" t="s">
        <v>637</v>
      </c>
      <c r="GN154" s="3" t="s">
        <v>637</v>
      </c>
      <c r="GO154" s="3" t="s">
        <v>637</v>
      </c>
      <c r="GP154" s="3" t="s">
        <v>637</v>
      </c>
      <c r="GW154" s="319" t="s">
        <v>1139</v>
      </c>
      <c r="GX154" s="3" t="s">
        <v>637</v>
      </c>
      <c r="GY154" s="3" t="s">
        <v>637</v>
      </c>
      <c r="GZ154" s="3" t="s">
        <v>637</v>
      </c>
      <c r="HA154" s="3" t="s">
        <v>637</v>
      </c>
      <c r="HB154" s="3" t="s">
        <v>637</v>
      </c>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row>
    <row r="155" spans="1:256" s="319" customFormat="1" ht="12.75" customHeight="1">
      <c r="A155" s="319" t="s">
        <v>5223</v>
      </c>
      <c r="B155" s="646"/>
      <c r="C155" s="3"/>
      <c r="D155" s="646"/>
      <c r="E155" s="3"/>
      <c r="F155" s="646"/>
      <c r="G155" s="646"/>
      <c r="H155" s="3"/>
      <c r="I155" s="646"/>
      <c r="J155" s="3"/>
      <c r="K155" s="646"/>
      <c r="M155" s="319" t="s">
        <v>3140</v>
      </c>
      <c r="N155" s="3"/>
      <c r="O155" s="3"/>
      <c r="P155" s="3"/>
      <c r="Q155" s="3"/>
      <c r="R155" s="3"/>
      <c r="S155" s="3"/>
      <c r="T155" s="3"/>
      <c r="U155" s="3"/>
      <c r="V155" s="3"/>
      <c r="W155" s="3"/>
      <c r="X155" s="556"/>
      <c r="Y155" s="556" t="s">
        <v>423</v>
      </c>
      <c r="Z155" s="3"/>
      <c r="AA155" s="3"/>
      <c r="AB155" s="3"/>
      <c r="AC155" s="3"/>
      <c r="AD155" s="3"/>
      <c r="AE155" s="3"/>
      <c r="AF155" s="3"/>
      <c r="AG155" s="3"/>
      <c r="AH155" s="3"/>
      <c r="AI155" s="3"/>
      <c r="AK155" s="556" t="s">
        <v>2563</v>
      </c>
      <c r="AL155" s="3">
        <v>0</v>
      </c>
      <c r="AM155" s="3">
        <v>0</v>
      </c>
      <c r="AN155" s="3">
        <v>0</v>
      </c>
      <c r="AO155" s="3">
        <v>0</v>
      </c>
      <c r="AP155" s="3">
        <v>0</v>
      </c>
      <c r="AQ155" s="3">
        <v>0</v>
      </c>
      <c r="AR155" s="3">
        <v>0</v>
      </c>
      <c r="AS155" s="3">
        <v>0</v>
      </c>
      <c r="AT155" s="3">
        <v>0</v>
      </c>
      <c r="AU155" s="3">
        <v>0</v>
      </c>
      <c r="AW155" s="319" t="s">
        <v>423</v>
      </c>
      <c r="AX155" s="646"/>
      <c r="AY155" s="3"/>
      <c r="AZ155" s="646"/>
      <c r="BA155" s="3"/>
      <c r="BB155" s="646"/>
      <c r="BC155" s="646"/>
      <c r="BD155" s="3"/>
      <c r="BE155" s="646"/>
      <c r="BF155" s="3"/>
      <c r="BG155" s="646"/>
      <c r="BI155" s="319" t="s">
        <v>2732</v>
      </c>
      <c r="BJ155" s="3" t="b">
        <v>1</v>
      </c>
      <c r="BK155" s="3" t="b">
        <v>1</v>
      </c>
      <c r="BL155" s="3" t="b">
        <v>1</v>
      </c>
      <c r="BM155" s="3" t="b">
        <v>1</v>
      </c>
      <c r="BN155" s="3" t="b">
        <v>1</v>
      </c>
      <c r="BO155" s="3" t="b">
        <v>1</v>
      </c>
      <c r="BP155" s="3" t="b">
        <v>1</v>
      </c>
      <c r="BQ155" s="3" t="b">
        <v>1</v>
      </c>
      <c r="BR155" s="3" t="b">
        <v>1</v>
      </c>
      <c r="BS155" s="3" t="b">
        <v>1</v>
      </c>
      <c r="BU155" s="319" t="s">
        <v>1746</v>
      </c>
      <c r="BV155" s="3">
        <v>0</v>
      </c>
      <c r="BW155" s="3">
        <v>0</v>
      </c>
      <c r="BX155" s="3">
        <v>0</v>
      </c>
      <c r="BY155" s="3">
        <v>0</v>
      </c>
      <c r="BZ155" s="3">
        <v>0</v>
      </c>
      <c r="CA155" s="3">
        <v>0</v>
      </c>
      <c r="CB155" s="3">
        <v>0</v>
      </c>
      <c r="CC155" s="3">
        <v>0</v>
      </c>
      <c r="CD155" s="3">
        <v>0</v>
      </c>
      <c r="CE155" s="3">
        <v>0</v>
      </c>
      <c r="CG155" s="319" t="s">
        <v>3786</v>
      </c>
      <c r="CH155" s="3" t="b">
        <v>1</v>
      </c>
      <c r="CI155" s="3" t="b">
        <v>1</v>
      </c>
      <c r="CJ155" s="3" t="b">
        <v>1</v>
      </c>
      <c r="CK155" s="3" t="b">
        <v>1</v>
      </c>
      <c r="CL155" s="3" t="b">
        <v>1</v>
      </c>
      <c r="CM155" s="3" t="b">
        <v>1</v>
      </c>
      <c r="CN155" s="3" t="b">
        <v>1</v>
      </c>
      <c r="CO155" s="3" t="b">
        <v>1</v>
      </c>
      <c r="CP155" s="3" t="b">
        <v>1</v>
      </c>
      <c r="CQ155" s="3" t="b">
        <v>1</v>
      </c>
      <c r="CS155" s="319" t="s">
        <v>5635</v>
      </c>
      <c r="CT155" s="3" t="b">
        <v>1</v>
      </c>
      <c r="CU155" s="3" t="b">
        <v>0</v>
      </c>
      <c r="CV155" s="3" t="b">
        <v>0</v>
      </c>
      <c r="CW155" s="3" t="b">
        <v>0</v>
      </c>
      <c r="CX155" s="3" t="b">
        <v>0</v>
      </c>
      <c r="CY155" s="3" t="b">
        <v>1</v>
      </c>
      <c r="CZ155" s="3" t="b">
        <v>0</v>
      </c>
      <c r="DA155" s="3" t="b">
        <v>0</v>
      </c>
      <c r="DB155" s="3" t="b">
        <v>0</v>
      </c>
      <c r="DC155" s="3" t="b">
        <v>0</v>
      </c>
      <c r="DE155" s="319" t="s">
        <v>3786</v>
      </c>
      <c r="DF155" s="3" t="b">
        <v>1</v>
      </c>
      <c r="DG155" s="3" t="b">
        <v>1</v>
      </c>
      <c r="DH155" s="3" t="b">
        <v>1</v>
      </c>
      <c r="DI155" s="3" t="b">
        <v>1</v>
      </c>
      <c r="DJ155" s="3" t="b">
        <v>1</v>
      </c>
      <c r="DK155" s="3" t="b">
        <v>1</v>
      </c>
      <c r="DL155" s="3" t="b">
        <v>1</v>
      </c>
      <c r="DM155" s="3" t="b">
        <v>1</v>
      </c>
      <c r="DN155" s="3" t="b">
        <v>1</v>
      </c>
      <c r="DO155" s="3" t="b">
        <v>1</v>
      </c>
      <c r="DQ155" s="319" t="s">
        <v>1856</v>
      </c>
      <c r="DR155" s="3" t="b">
        <v>1</v>
      </c>
      <c r="DS155" s="3" t="b">
        <v>1</v>
      </c>
      <c r="DT155" s="3" t="b">
        <v>1</v>
      </c>
      <c r="DU155" s="3" t="b">
        <v>1</v>
      </c>
      <c r="DV155" s="3" t="b">
        <v>1</v>
      </c>
      <c r="DW155" s="3" t="b">
        <v>1</v>
      </c>
      <c r="DX155" s="3" t="b">
        <v>1</v>
      </c>
      <c r="DY155" s="3" t="b">
        <v>1</v>
      </c>
      <c r="DZ155" s="3" t="b">
        <v>1</v>
      </c>
      <c r="EA155" s="3" t="b">
        <v>1</v>
      </c>
      <c r="EC155" s="319" t="s">
        <v>2562</v>
      </c>
      <c r="ED155" s="3"/>
      <c r="EE155" s="3"/>
      <c r="EF155" s="3"/>
      <c r="EG155" s="3"/>
      <c r="EH155" s="3"/>
      <c r="EI155" s="3"/>
      <c r="EJ155" s="3"/>
      <c r="EK155" s="3"/>
      <c r="EL155" s="3"/>
      <c r="EM155" s="3"/>
      <c r="EO155" s="319" t="s">
        <v>2562</v>
      </c>
      <c r="EP155" s="3"/>
      <c r="EQ155" s="3"/>
      <c r="ER155" s="3"/>
      <c r="ES155" s="3"/>
      <c r="ET155" s="3"/>
      <c r="EU155" s="3"/>
      <c r="EV155" s="3"/>
      <c r="EW155" s="3"/>
      <c r="EX155" s="3"/>
      <c r="EY155" s="3"/>
      <c r="FA155" s="319" t="s">
        <v>2299</v>
      </c>
      <c r="FB155" s="3">
        <v>0</v>
      </c>
      <c r="FC155" s="3"/>
      <c r="FD155" s="3"/>
      <c r="FE155" s="3"/>
      <c r="FF155" s="3"/>
      <c r="FG155" s="3">
        <v>0</v>
      </c>
      <c r="FH155" s="3"/>
      <c r="FI155" s="3"/>
      <c r="FJ155" s="3"/>
      <c r="FK155" s="3"/>
      <c r="FM155" s="319" t="s">
        <v>423</v>
      </c>
      <c r="FN155" s="3"/>
      <c r="FO155" s="3"/>
      <c r="FP155" s="3"/>
      <c r="FQ155" s="3"/>
      <c r="FR155" s="3"/>
      <c r="FS155" s="3"/>
      <c r="FT155" s="3"/>
      <c r="FU155" s="3"/>
      <c r="FV155" s="3"/>
      <c r="FW155" s="3"/>
      <c r="FY155" s="319" t="s">
        <v>423</v>
      </c>
      <c r="FZ155" s="3"/>
      <c r="GA155" s="3"/>
      <c r="GB155" s="3"/>
      <c r="GC155" s="3"/>
      <c r="GD155" s="3"/>
      <c r="GE155" s="3"/>
      <c r="GF155" s="3"/>
      <c r="GG155" s="3"/>
      <c r="GH155" s="3"/>
      <c r="GI155" s="3"/>
      <c r="GK155" s="319" t="s">
        <v>423</v>
      </c>
      <c r="GL155" s="3"/>
      <c r="GM155" s="3"/>
      <c r="GN155" s="3"/>
      <c r="GO155" s="3"/>
      <c r="GP155" s="3"/>
      <c r="GQ155" s="3"/>
      <c r="GR155" s="3"/>
      <c r="GS155" s="3"/>
      <c r="GT155" s="3"/>
      <c r="GU155" s="3"/>
      <c r="GW155" s="319" t="s">
        <v>423</v>
      </c>
      <c r="GX155" s="3"/>
      <c r="GY155" s="3"/>
      <c r="GZ155" s="3"/>
      <c r="HA155" s="3"/>
      <c r="HB155" s="3"/>
      <c r="HC155" s="3"/>
      <c r="HD155" s="3"/>
      <c r="HE155" s="3"/>
      <c r="HF155" s="3"/>
      <c r="HG155" s="3"/>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row>
    <row r="156" spans="1:256" s="319" customFormat="1" ht="12.75" customHeight="1">
      <c r="A156" s="319" t="s">
        <v>4674</v>
      </c>
      <c r="B156" s="646"/>
      <c r="C156" s="3"/>
      <c r="D156" s="646"/>
      <c r="E156" s="3"/>
      <c r="F156" s="646"/>
      <c r="G156" s="646"/>
      <c r="H156" s="3"/>
      <c r="I156" s="646"/>
      <c r="J156" s="3"/>
      <c r="K156" s="646"/>
      <c r="M156" s="319" t="s">
        <v>5053</v>
      </c>
      <c r="N156" s="3"/>
      <c r="O156" s="3"/>
      <c r="P156" s="3"/>
      <c r="Q156" s="3"/>
      <c r="R156" s="3"/>
      <c r="S156" s="3"/>
      <c r="T156" s="3"/>
      <c r="U156" s="3"/>
      <c r="V156" s="3"/>
      <c r="W156" s="3"/>
      <c r="X156" s="556"/>
      <c r="Y156" s="556" t="s">
        <v>3313</v>
      </c>
      <c r="Z156" s="3"/>
      <c r="AA156" s="3"/>
      <c r="AB156" s="3"/>
      <c r="AC156" s="3"/>
      <c r="AD156" s="3"/>
      <c r="AE156" s="3"/>
      <c r="AF156" s="3"/>
      <c r="AG156" s="3"/>
      <c r="AH156" s="3"/>
      <c r="AI156" s="3"/>
      <c r="AK156" s="556" t="s">
        <v>3549</v>
      </c>
      <c r="AL156" s="3">
        <v>0</v>
      </c>
      <c r="AM156" s="3">
        <v>0</v>
      </c>
      <c r="AN156" s="3">
        <v>0</v>
      </c>
      <c r="AO156" s="3">
        <v>0</v>
      </c>
      <c r="AP156" s="3">
        <v>0</v>
      </c>
      <c r="AQ156" s="3">
        <v>0</v>
      </c>
      <c r="AR156" s="3">
        <v>0</v>
      </c>
      <c r="AS156" s="3">
        <v>0</v>
      </c>
      <c r="AT156" s="3">
        <v>0</v>
      </c>
      <c r="AU156" s="3">
        <v>0</v>
      </c>
      <c r="AW156" s="319" t="s">
        <v>5270</v>
      </c>
      <c r="AX156" s="3" t="b">
        <v>1</v>
      </c>
      <c r="AY156" s="3" t="b">
        <v>0</v>
      </c>
      <c r="AZ156" s="3" t="b">
        <v>0</v>
      </c>
      <c r="BA156" s="3" t="b">
        <v>0</v>
      </c>
      <c r="BB156" s="3" t="b">
        <v>0</v>
      </c>
      <c r="BC156" s="3" t="b">
        <v>1</v>
      </c>
      <c r="BD156" s="3" t="b">
        <v>0</v>
      </c>
      <c r="BE156" s="3" t="b">
        <v>0</v>
      </c>
      <c r="BF156" s="3" t="b">
        <v>0</v>
      </c>
      <c r="BG156" s="3" t="b">
        <v>0</v>
      </c>
      <c r="BI156" s="319" t="s">
        <v>2733</v>
      </c>
      <c r="BJ156" s="3" t="b">
        <v>0</v>
      </c>
      <c r="BK156" s="3" t="b">
        <v>0</v>
      </c>
      <c r="BL156" s="3" t="b">
        <v>0</v>
      </c>
      <c r="BM156" s="3" t="b">
        <v>0</v>
      </c>
      <c r="BN156" s="3" t="b">
        <v>0</v>
      </c>
      <c r="BO156" s="3" t="b">
        <v>0</v>
      </c>
      <c r="BP156" s="3" t="b">
        <v>0</v>
      </c>
      <c r="BQ156" s="3" t="b">
        <v>0</v>
      </c>
      <c r="BR156" s="3" t="b">
        <v>0</v>
      </c>
      <c r="BS156" s="3" t="b">
        <v>0</v>
      </c>
      <c r="BU156" s="319" t="s">
        <v>1551</v>
      </c>
      <c r="BV156" s="3"/>
      <c r="BW156" s="3"/>
      <c r="BX156" s="3"/>
      <c r="BY156" s="3"/>
      <c r="BZ156" s="3"/>
      <c r="CA156" s="3"/>
      <c r="CB156" s="3"/>
      <c r="CC156" s="3"/>
      <c r="CD156" s="3"/>
      <c r="CE156" s="3"/>
      <c r="CG156" s="319" t="s">
        <v>5308</v>
      </c>
      <c r="CH156" s="3" t="b">
        <v>0</v>
      </c>
      <c r="CI156" s="3" t="b">
        <v>0</v>
      </c>
      <c r="CJ156" s="3" t="b">
        <v>0</v>
      </c>
      <c r="CK156" s="3" t="b">
        <v>0</v>
      </c>
      <c r="CL156" s="3" t="b">
        <v>0</v>
      </c>
      <c r="CM156" s="3" t="b">
        <v>0</v>
      </c>
      <c r="CN156" s="3" t="b">
        <v>0</v>
      </c>
      <c r="CO156" s="3" t="b">
        <v>0</v>
      </c>
      <c r="CP156" s="3" t="b">
        <v>0</v>
      </c>
      <c r="CQ156" s="3" t="b">
        <v>0</v>
      </c>
      <c r="CS156" s="319" t="s">
        <v>2892</v>
      </c>
      <c r="CT156" s="3" t="b">
        <v>0</v>
      </c>
      <c r="CU156" s="3" t="b">
        <v>1</v>
      </c>
      <c r="CV156" s="3" t="b">
        <v>1</v>
      </c>
      <c r="CW156" s="3" t="b">
        <v>1</v>
      </c>
      <c r="CX156" s="3" t="b">
        <v>1</v>
      </c>
      <c r="CY156" s="3" t="b">
        <v>0</v>
      </c>
      <c r="CZ156" s="3" t="b">
        <v>1</v>
      </c>
      <c r="DA156" s="3" t="b">
        <v>1</v>
      </c>
      <c r="DB156" s="3" t="b">
        <v>1</v>
      </c>
      <c r="DC156" s="3" t="b">
        <v>1</v>
      </c>
      <c r="DE156" s="319" t="s">
        <v>5308</v>
      </c>
      <c r="DF156" s="3" t="b">
        <v>0</v>
      </c>
      <c r="DG156" s="3" t="b">
        <v>0</v>
      </c>
      <c r="DH156" s="3" t="b">
        <v>0</v>
      </c>
      <c r="DI156" s="3" t="b">
        <v>0</v>
      </c>
      <c r="DJ156" s="3" t="b">
        <v>0</v>
      </c>
      <c r="DK156" s="3" t="b">
        <v>0</v>
      </c>
      <c r="DL156" s="3" t="b">
        <v>0</v>
      </c>
      <c r="DM156" s="3" t="b">
        <v>0</v>
      </c>
      <c r="DN156" s="3" t="b">
        <v>0</v>
      </c>
      <c r="DO156" s="3" t="b">
        <v>0</v>
      </c>
      <c r="DQ156" s="319" t="s">
        <v>1857</v>
      </c>
      <c r="DR156" s="3" t="b">
        <v>0</v>
      </c>
      <c r="DS156" s="3" t="b">
        <v>0</v>
      </c>
      <c r="DT156" s="3" t="b">
        <v>0</v>
      </c>
      <c r="DU156" s="3" t="b">
        <v>0</v>
      </c>
      <c r="DV156" s="3" t="b">
        <v>0</v>
      </c>
      <c r="DW156" s="3" t="b">
        <v>0</v>
      </c>
      <c r="DX156" s="3" t="b">
        <v>0</v>
      </c>
      <c r="DY156" s="3" t="b">
        <v>0</v>
      </c>
      <c r="DZ156" s="3" t="b">
        <v>0</v>
      </c>
      <c r="EA156" s="3" t="b">
        <v>0</v>
      </c>
      <c r="EC156" s="319" t="s">
        <v>423</v>
      </c>
      <c r="ED156" s="3"/>
      <c r="EE156" s="3"/>
      <c r="EF156" s="3"/>
      <c r="EG156" s="3"/>
      <c r="EH156" s="3"/>
      <c r="EI156" s="3"/>
      <c r="EJ156" s="3"/>
      <c r="EK156" s="3"/>
      <c r="EL156" s="3"/>
      <c r="EM156" s="3"/>
      <c r="EO156" s="319" t="s">
        <v>423</v>
      </c>
      <c r="EP156" s="3"/>
      <c r="EQ156" s="3"/>
      <c r="ER156" s="3"/>
      <c r="ES156" s="3"/>
      <c r="ET156" s="3"/>
      <c r="EU156" s="3"/>
      <c r="EV156" s="3"/>
      <c r="EW156" s="3"/>
      <c r="EX156" s="3"/>
      <c r="EY156" s="3"/>
      <c r="FA156" s="319" t="s">
        <v>5752</v>
      </c>
      <c r="FB156" s="3">
        <v>0</v>
      </c>
      <c r="FC156" s="3"/>
      <c r="FD156" s="3"/>
      <c r="FE156" s="3"/>
      <c r="FF156" s="3"/>
      <c r="FG156" s="3">
        <v>0</v>
      </c>
      <c r="FH156" s="3"/>
      <c r="FI156" s="3"/>
      <c r="FJ156" s="3"/>
      <c r="FK156" s="3"/>
      <c r="FM156" s="319" t="s">
        <v>5270</v>
      </c>
      <c r="FN156" s="3" t="b">
        <v>1</v>
      </c>
      <c r="FO156" s="3" t="b">
        <v>0</v>
      </c>
      <c r="FP156" s="3" t="b">
        <v>0</v>
      </c>
      <c r="FQ156" s="3" t="b">
        <v>0</v>
      </c>
      <c r="FR156" s="3" t="b">
        <v>0</v>
      </c>
      <c r="FS156" s="3" t="b">
        <v>1</v>
      </c>
      <c r="FT156" s="3" t="b">
        <v>0</v>
      </c>
      <c r="FU156" s="3" t="b">
        <v>0</v>
      </c>
      <c r="FV156" s="3" t="b">
        <v>0</v>
      </c>
      <c r="FW156" s="3" t="b">
        <v>0</v>
      </c>
      <c r="FY156" s="319" t="s">
        <v>2416</v>
      </c>
      <c r="FZ156" s="3">
        <v>1</v>
      </c>
      <c r="GA156" s="3">
        <v>1</v>
      </c>
      <c r="GB156" s="3">
        <v>1</v>
      </c>
      <c r="GC156" s="3">
        <v>1</v>
      </c>
      <c r="GD156" s="3">
        <v>1</v>
      </c>
      <c r="GE156" s="3">
        <v>1</v>
      </c>
      <c r="GF156" s="3">
        <v>1</v>
      </c>
      <c r="GG156" s="3">
        <v>1</v>
      </c>
      <c r="GH156" s="3">
        <v>1</v>
      </c>
      <c r="GI156" s="3">
        <v>1</v>
      </c>
      <c r="GK156" s="319" t="s">
        <v>1888</v>
      </c>
      <c r="GL156" s="3"/>
      <c r="GM156" s="3"/>
      <c r="GN156" s="3"/>
      <c r="GO156" s="3"/>
      <c r="GP156" s="3"/>
      <c r="GQ156" s="3"/>
      <c r="GR156" s="3"/>
      <c r="GS156" s="3"/>
      <c r="GT156" s="3"/>
      <c r="GU156" s="3"/>
      <c r="GW156" s="319" t="s">
        <v>1889</v>
      </c>
      <c r="GX156" s="3"/>
      <c r="GY156" s="3"/>
      <c r="GZ156" s="3"/>
      <c r="HA156" s="3"/>
      <c r="HB156" s="3"/>
      <c r="HC156" s="3"/>
      <c r="HD156" s="3"/>
      <c r="HE156" s="3"/>
      <c r="HF156" s="3"/>
      <c r="HG156" s="3"/>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row>
    <row r="157" spans="1:256" s="319" customFormat="1" ht="12.75" customHeight="1">
      <c r="A157" s="319" t="s">
        <v>6004</v>
      </c>
      <c r="B157" s="646"/>
      <c r="C157" s="3"/>
      <c r="D157" s="646"/>
      <c r="E157" s="3"/>
      <c r="F157" s="646"/>
      <c r="G157" s="646"/>
      <c r="H157" s="3"/>
      <c r="I157" s="646"/>
      <c r="J157" s="3"/>
      <c r="K157" s="646"/>
      <c r="M157" s="319" t="s">
        <v>711</v>
      </c>
      <c r="N157" s="3" t="b">
        <v>0</v>
      </c>
      <c r="O157" s="3" t="b">
        <v>0</v>
      </c>
      <c r="P157" s="3" t="b">
        <v>0</v>
      </c>
      <c r="Q157" s="3" t="b">
        <v>0</v>
      </c>
      <c r="R157" s="3" t="b">
        <v>0</v>
      </c>
      <c r="S157" s="3" t="b">
        <v>0</v>
      </c>
      <c r="T157" s="3" t="b">
        <v>0</v>
      </c>
      <c r="U157" s="3" t="b">
        <v>0</v>
      </c>
      <c r="V157" s="3" t="b">
        <v>0</v>
      </c>
      <c r="W157" s="3" t="b">
        <v>0</v>
      </c>
      <c r="X157" s="556"/>
      <c r="Y157" s="556" t="s">
        <v>4739</v>
      </c>
      <c r="Z157" s="3"/>
      <c r="AA157" s="3"/>
      <c r="AB157" s="3"/>
      <c r="AC157" s="3"/>
      <c r="AD157" s="3"/>
      <c r="AE157" s="3"/>
      <c r="AF157" s="3"/>
      <c r="AG157" s="3"/>
      <c r="AH157" s="3"/>
      <c r="AI157" s="3"/>
      <c r="AK157" s="556" t="s">
        <v>2732</v>
      </c>
      <c r="AL157" s="3" t="b">
        <v>1</v>
      </c>
      <c r="AM157" s="3" t="b">
        <v>1</v>
      </c>
      <c r="AN157" s="3" t="b">
        <v>1</v>
      </c>
      <c r="AO157" s="3" t="b">
        <v>1</v>
      </c>
      <c r="AP157" s="3" t="b">
        <v>1</v>
      </c>
      <c r="AQ157" s="3" t="b">
        <v>1</v>
      </c>
      <c r="AR157" s="3" t="b">
        <v>1</v>
      </c>
      <c r="AS157" s="3" t="b">
        <v>1</v>
      </c>
      <c r="AT157" s="3" t="b">
        <v>1</v>
      </c>
      <c r="AU157" s="3" t="b">
        <v>1</v>
      </c>
      <c r="AW157" s="319" t="s">
        <v>1740</v>
      </c>
      <c r="AX157" s="3" t="b">
        <v>0</v>
      </c>
      <c r="AY157" s="3" t="b">
        <v>1</v>
      </c>
      <c r="AZ157" s="3" t="b">
        <v>1</v>
      </c>
      <c r="BA157" s="3" t="b">
        <v>1</v>
      </c>
      <c r="BB157" s="3" t="b">
        <v>1</v>
      </c>
      <c r="BC157" s="3" t="b">
        <v>0</v>
      </c>
      <c r="BD157" s="3" t="b">
        <v>1</v>
      </c>
      <c r="BE157" s="3" t="b">
        <v>1</v>
      </c>
      <c r="BF157" s="3" t="b">
        <v>1</v>
      </c>
      <c r="BG157" s="3" t="b">
        <v>1</v>
      </c>
      <c r="BI157" s="319" t="s">
        <v>507</v>
      </c>
      <c r="BJ157" s="3"/>
      <c r="BK157" s="3"/>
      <c r="BL157" s="3"/>
      <c r="BM157" s="3"/>
      <c r="BN157" s="3"/>
      <c r="BO157" s="3"/>
      <c r="BP157" s="3"/>
      <c r="BQ157" s="3"/>
      <c r="BR157" s="3"/>
      <c r="BS157" s="3"/>
      <c r="BU157" s="319" t="s">
        <v>2069</v>
      </c>
      <c r="BV157" s="3"/>
      <c r="BW157" s="3"/>
      <c r="BX157" s="3"/>
      <c r="BY157" s="3"/>
      <c r="BZ157" s="3"/>
      <c r="CA157" s="3"/>
      <c r="CB157" s="3"/>
      <c r="CC157" s="3"/>
      <c r="CD157" s="3"/>
      <c r="CE157" s="3"/>
      <c r="CG157" s="319" t="s">
        <v>5223</v>
      </c>
      <c r="CH157" s="3"/>
      <c r="CI157" s="3"/>
      <c r="CJ157" s="3"/>
      <c r="CK157" s="3"/>
      <c r="CL157" s="3"/>
      <c r="CM157" s="3"/>
      <c r="CN157" s="3"/>
      <c r="CO157" s="3"/>
      <c r="CP157" s="3"/>
      <c r="CQ157" s="3"/>
      <c r="CS157" s="319" t="s">
        <v>1713</v>
      </c>
      <c r="CT157" s="3" t="b">
        <v>1</v>
      </c>
      <c r="CU157" s="3" t="b">
        <v>0</v>
      </c>
      <c r="CV157" s="3" t="b">
        <v>0</v>
      </c>
      <c r="CW157" s="3" t="b">
        <v>0</v>
      </c>
      <c r="CX157" s="3" t="b">
        <v>0</v>
      </c>
      <c r="CY157" s="3" t="b">
        <v>1</v>
      </c>
      <c r="CZ157" s="3" t="b">
        <v>0</v>
      </c>
      <c r="DA157" s="3" t="b">
        <v>0</v>
      </c>
      <c r="DB157" s="3" t="b">
        <v>0</v>
      </c>
      <c r="DC157" s="3" t="b">
        <v>0</v>
      </c>
      <c r="DE157" s="319" t="s">
        <v>5870</v>
      </c>
      <c r="DF157" s="3"/>
      <c r="DG157" s="3"/>
      <c r="DH157" s="3"/>
      <c r="DI157" s="3"/>
      <c r="DJ157" s="3"/>
      <c r="DK157" s="3"/>
      <c r="DL157" s="3"/>
      <c r="DM157" s="3"/>
      <c r="DN157" s="3"/>
      <c r="DO157" s="3"/>
      <c r="DQ157" s="319" t="s">
        <v>3677</v>
      </c>
      <c r="DR157" s="3" t="b">
        <v>0</v>
      </c>
      <c r="DS157" s="3" t="b">
        <v>0</v>
      </c>
      <c r="DT157" s="3" t="b">
        <v>0</v>
      </c>
      <c r="DU157" s="3" t="b">
        <v>0</v>
      </c>
      <c r="DV157" s="3" t="b">
        <v>0</v>
      </c>
      <c r="DW157" s="3" t="b">
        <v>0</v>
      </c>
      <c r="DX157" s="3" t="b">
        <v>0</v>
      </c>
      <c r="DY157" s="3" t="b">
        <v>0</v>
      </c>
      <c r="DZ157" s="3" t="b">
        <v>0</v>
      </c>
      <c r="EA157" s="3" t="b">
        <v>0</v>
      </c>
      <c r="EC157" s="319" t="s">
        <v>477</v>
      </c>
      <c r="ED157" s="3"/>
      <c r="EE157" s="3"/>
      <c r="EF157" s="3"/>
      <c r="EG157" s="3"/>
      <c r="EH157" s="3"/>
      <c r="EI157" s="3"/>
      <c r="EJ157" s="3"/>
      <c r="EK157" s="3"/>
      <c r="EL157" s="3"/>
      <c r="EM157" s="3"/>
      <c r="EO157" s="319" t="s">
        <v>477</v>
      </c>
      <c r="EP157" s="3"/>
      <c r="EQ157" s="3"/>
      <c r="ER157" s="3"/>
      <c r="ES157" s="3"/>
      <c r="ET157" s="3"/>
      <c r="EU157" s="3"/>
      <c r="EV157" s="3"/>
      <c r="EW157" s="3"/>
      <c r="EX157" s="3"/>
      <c r="EY157" s="3"/>
      <c r="FA157" s="319" t="s">
        <v>423</v>
      </c>
      <c r="FB157" s="3"/>
      <c r="FC157" s="3"/>
      <c r="FD157" s="3"/>
      <c r="FE157" s="3"/>
      <c r="FF157" s="3"/>
      <c r="FG157" s="3"/>
      <c r="FH157" s="3"/>
      <c r="FI157" s="3"/>
      <c r="FJ157" s="3"/>
      <c r="FK157" s="3"/>
      <c r="FM157" s="319" t="s">
        <v>1740</v>
      </c>
      <c r="FN157" s="3" t="b">
        <v>0</v>
      </c>
      <c r="FO157" s="3" t="b">
        <v>1</v>
      </c>
      <c r="FP157" s="3" t="b">
        <v>1</v>
      </c>
      <c r="FQ157" s="3" t="b">
        <v>1</v>
      </c>
      <c r="FR157" s="3" t="b">
        <v>1</v>
      </c>
      <c r="FS157" s="3" t="b">
        <v>0</v>
      </c>
      <c r="FT157" s="3" t="b">
        <v>1</v>
      </c>
      <c r="FU157" s="3" t="b">
        <v>1</v>
      </c>
      <c r="FV157" s="3" t="b">
        <v>1</v>
      </c>
      <c r="FW157" s="3" t="b">
        <v>1</v>
      </c>
      <c r="FY157" s="319" t="s">
        <v>2417</v>
      </c>
      <c r="FZ157" s="3">
        <v>1</v>
      </c>
      <c r="GA157" s="3">
        <v>1</v>
      </c>
      <c r="GB157" s="3">
        <v>1</v>
      </c>
      <c r="GC157" s="3">
        <v>1</v>
      </c>
      <c r="GD157" s="3">
        <v>1</v>
      </c>
      <c r="GE157" s="3">
        <v>1</v>
      </c>
      <c r="GF157" s="3">
        <v>1</v>
      </c>
      <c r="GG157" s="3">
        <v>1</v>
      </c>
      <c r="GH157" s="3">
        <v>1</v>
      </c>
      <c r="GI157" s="3">
        <v>1</v>
      </c>
      <c r="GK157" s="319" t="s">
        <v>2299</v>
      </c>
      <c r="GL157" s="3">
        <v>0</v>
      </c>
      <c r="GM157" s="3">
        <v>0</v>
      </c>
      <c r="GN157" s="3">
        <v>0</v>
      </c>
      <c r="GO157" s="3">
        <v>0</v>
      </c>
      <c r="GP157" s="3">
        <v>0</v>
      </c>
      <c r="GQ157" s="3">
        <v>0</v>
      </c>
      <c r="GR157" s="3">
        <v>0</v>
      </c>
      <c r="GS157" s="3">
        <v>0</v>
      </c>
      <c r="GT157" s="3">
        <v>0</v>
      </c>
      <c r="GU157" s="3">
        <v>0</v>
      </c>
      <c r="GW157" s="319" t="s">
        <v>2322</v>
      </c>
      <c r="GX157" s="3"/>
      <c r="GY157" s="3"/>
      <c r="GZ157" s="3"/>
      <c r="HA157" s="3"/>
      <c r="HB157" s="3"/>
      <c r="HC157" s="3"/>
      <c r="HD157" s="3"/>
      <c r="HE157" s="3"/>
      <c r="HF157" s="3"/>
      <c r="HG157" s="3"/>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row>
    <row r="158" spans="1:256" s="319" customFormat="1" ht="12.75" customHeight="1">
      <c r="A158" s="319" t="s">
        <v>6005</v>
      </c>
      <c r="B158" s="646"/>
      <c r="C158" s="3"/>
      <c r="D158" s="646"/>
      <c r="E158" s="3"/>
      <c r="F158" s="646"/>
      <c r="G158" s="646"/>
      <c r="H158" s="3"/>
      <c r="I158" s="646"/>
      <c r="J158" s="3"/>
      <c r="K158" s="646"/>
      <c r="M158" s="319" t="s">
        <v>1623</v>
      </c>
      <c r="N158" s="3">
        <v>0</v>
      </c>
      <c r="O158" s="3">
        <v>0</v>
      </c>
      <c r="P158" s="3">
        <v>0</v>
      </c>
      <c r="Q158" s="3">
        <v>0</v>
      </c>
      <c r="R158" s="3">
        <v>0</v>
      </c>
      <c r="S158" s="3">
        <v>0</v>
      </c>
      <c r="T158" s="3">
        <v>0</v>
      </c>
      <c r="U158" s="3">
        <v>0</v>
      </c>
      <c r="V158" s="3">
        <v>0</v>
      </c>
      <c r="W158" s="3">
        <v>0</v>
      </c>
      <c r="X158" s="556"/>
      <c r="Y158" s="556" t="s">
        <v>4740</v>
      </c>
      <c r="Z158" s="3"/>
      <c r="AA158" s="3"/>
      <c r="AB158" s="3"/>
      <c r="AC158" s="3"/>
      <c r="AD158" s="3"/>
      <c r="AE158" s="3"/>
      <c r="AF158" s="3"/>
      <c r="AG158" s="3"/>
      <c r="AH158" s="3"/>
      <c r="AI158" s="3"/>
      <c r="AK158" s="556" t="s">
        <v>2733</v>
      </c>
      <c r="AL158" s="3" t="b">
        <v>0</v>
      </c>
      <c r="AM158" s="3" t="b">
        <v>0</v>
      </c>
      <c r="AN158" s="3" t="b">
        <v>0</v>
      </c>
      <c r="AO158" s="3" t="b">
        <v>0</v>
      </c>
      <c r="AP158" s="3" t="b">
        <v>0</v>
      </c>
      <c r="AQ158" s="3" t="b">
        <v>0</v>
      </c>
      <c r="AR158" s="3" t="b">
        <v>0</v>
      </c>
      <c r="AS158" s="3" t="b">
        <v>0</v>
      </c>
      <c r="AT158" s="3" t="b">
        <v>0</v>
      </c>
      <c r="AU158" s="3" t="b">
        <v>0</v>
      </c>
      <c r="AW158" s="319" t="s">
        <v>1741</v>
      </c>
      <c r="AX158" s="3" t="b">
        <v>1</v>
      </c>
      <c r="AY158" s="3" t="b">
        <v>0</v>
      </c>
      <c r="AZ158" s="3" t="b">
        <v>0</v>
      </c>
      <c r="BA158" s="3" t="b">
        <v>0</v>
      </c>
      <c r="BB158" s="3" t="b">
        <v>0</v>
      </c>
      <c r="BC158" s="3" t="b">
        <v>1</v>
      </c>
      <c r="BD158" s="3" t="b">
        <v>0</v>
      </c>
      <c r="BE158" s="3" t="b">
        <v>0</v>
      </c>
      <c r="BF158" s="3" t="b">
        <v>0</v>
      </c>
      <c r="BG158" s="3" t="b">
        <v>0</v>
      </c>
      <c r="BI158" s="319" t="s">
        <v>2562</v>
      </c>
      <c r="BJ158" s="3"/>
      <c r="BK158" s="3"/>
      <c r="BL158" s="3"/>
      <c r="BM158" s="3"/>
      <c r="BN158" s="3"/>
      <c r="BO158" s="3"/>
      <c r="BP158" s="3"/>
      <c r="BQ158" s="3"/>
      <c r="BR158" s="3"/>
      <c r="BS158" s="3"/>
      <c r="BU158" s="319" t="s">
        <v>2070</v>
      </c>
      <c r="BV158" s="3"/>
      <c r="BW158" s="3"/>
      <c r="BX158" s="3"/>
      <c r="BY158" s="3"/>
      <c r="BZ158" s="3"/>
      <c r="CA158" s="3"/>
      <c r="CB158" s="3"/>
      <c r="CC158" s="3"/>
      <c r="CD158" s="3"/>
      <c r="CE158" s="3"/>
      <c r="CG158" s="319" t="s">
        <v>4674</v>
      </c>
      <c r="CH158" s="3"/>
      <c r="CI158" s="3"/>
      <c r="CJ158" s="3"/>
      <c r="CK158" s="3"/>
      <c r="CL158" s="3"/>
      <c r="CM158" s="3"/>
      <c r="CN158" s="3"/>
      <c r="CO158" s="3"/>
      <c r="CP158" s="3"/>
      <c r="CQ158" s="3"/>
      <c r="CS158" s="319" t="s">
        <v>5634</v>
      </c>
      <c r="CT158" s="3" t="b">
        <v>0</v>
      </c>
      <c r="CU158" s="3" t="b">
        <v>1</v>
      </c>
      <c r="CV158" s="3" t="b">
        <v>1</v>
      </c>
      <c r="CW158" s="3" t="b">
        <v>1</v>
      </c>
      <c r="CX158" s="3" t="b">
        <v>1</v>
      </c>
      <c r="CY158" s="3" t="b">
        <v>0</v>
      </c>
      <c r="CZ158" s="3" t="b">
        <v>1</v>
      </c>
      <c r="DA158" s="3" t="b">
        <v>1</v>
      </c>
      <c r="DB158" s="3" t="b">
        <v>1</v>
      </c>
      <c r="DC158" s="3" t="b">
        <v>1</v>
      </c>
      <c r="DE158" s="319" t="s">
        <v>5871</v>
      </c>
      <c r="DF158" s="3"/>
      <c r="DG158" s="3"/>
      <c r="DH158" s="3"/>
      <c r="DI158" s="3"/>
      <c r="DJ158" s="3"/>
      <c r="DK158" s="3"/>
      <c r="DL158" s="3"/>
      <c r="DM158" s="3"/>
      <c r="DN158" s="3"/>
      <c r="DO158" s="3"/>
      <c r="DQ158" s="319" t="s">
        <v>5334</v>
      </c>
      <c r="DR158" s="3">
        <v>1</v>
      </c>
      <c r="DS158" s="3">
        <v>1</v>
      </c>
      <c r="DT158" s="3">
        <v>1</v>
      </c>
      <c r="DU158" s="3">
        <v>1</v>
      </c>
      <c r="DV158" s="3">
        <v>1</v>
      </c>
      <c r="DW158" s="3">
        <v>1</v>
      </c>
      <c r="DX158" s="3">
        <v>1</v>
      </c>
      <c r="DY158" s="3">
        <v>1</v>
      </c>
      <c r="DZ158" s="3">
        <v>1</v>
      </c>
      <c r="EA158" s="3">
        <v>1</v>
      </c>
      <c r="EC158" s="319" t="s">
        <v>5270</v>
      </c>
      <c r="ED158" s="3" t="b">
        <v>1</v>
      </c>
      <c r="EE158" s="3" t="b">
        <v>0</v>
      </c>
      <c r="EF158" s="3" t="b">
        <v>0</v>
      </c>
      <c r="EG158" s="3" t="b">
        <v>0</v>
      </c>
      <c r="EH158" s="3" t="b">
        <v>0</v>
      </c>
      <c r="EI158" s="3" t="b">
        <v>1</v>
      </c>
      <c r="EJ158" s="3" t="b">
        <v>0</v>
      </c>
      <c r="EK158" s="3" t="b">
        <v>0</v>
      </c>
      <c r="EL158" s="3" t="b">
        <v>0</v>
      </c>
      <c r="EM158" s="3" t="b">
        <v>0</v>
      </c>
      <c r="EO158" s="319" t="s">
        <v>2076</v>
      </c>
      <c r="EP158" s="3"/>
      <c r="EQ158" s="3"/>
      <c r="ER158" s="3"/>
      <c r="ES158" s="3"/>
      <c r="ET158" s="3"/>
      <c r="EU158" s="3"/>
      <c r="EV158" s="3"/>
      <c r="EW158" s="3"/>
      <c r="EX158" s="3"/>
      <c r="EY158" s="3"/>
      <c r="FA158" s="319" t="s">
        <v>4869</v>
      </c>
      <c r="FB158" s="3">
        <v>0</v>
      </c>
      <c r="FC158" s="3"/>
      <c r="FD158" s="3"/>
      <c r="FE158" s="3"/>
      <c r="FF158" s="3"/>
      <c r="FG158" s="3">
        <v>0</v>
      </c>
      <c r="FH158" s="3"/>
      <c r="FI158" s="3"/>
      <c r="FJ158" s="3"/>
      <c r="FK158" s="3"/>
      <c r="FM158" s="319" t="s">
        <v>1741</v>
      </c>
      <c r="FN158" s="3" t="b">
        <v>1</v>
      </c>
      <c r="FO158" s="3" t="b">
        <v>0</v>
      </c>
      <c r="FP158" s="3" t="b">
        <v>0</v>
      </c>
      <c r="FQ158" s="3" t="b">
        <v>0</v>
      </c>
      <c r="FR158" s="3" t="b">
        <v>0</v>
      </c>
      <c r="FS158" s="3" t="b">
        <v>1</v>
      </c>
      <c r="FT158" s="3" t="b">
        <v>0</v>
      </c>
      <c r="FU158" s="3" t="b">
        <v>0</v>
      </c>
      <c r="FV158" s="3" t="b">
        <v>0</v>
      </c>
      <c r="FW158" s="3" t="b">
        <v>0</v>
      </c>
      <c r="FY158" s="319" t="s">
        <v>1221</v>
      </c>
      <c r="FZ158" s="3"/>
      <c r="GA158" s="3"/>
      <c r="GB158" s="3"/>
      <c r="GC158" s="3"/>
      <c r="GD158" s="3"/>
      <c r="GE158" s="3"/>
      <c r="GF158" s="3"/>
      <c r="GG158" s="3"/>
      <c r="GH158" s="3"/>
      <c r="GI158" s="3"/>
      <c r="GK158" s="319" t="s">
        <v>5752</v>
      </c>
      <c r="GL158" s="3">
        <v>0</v>
      </c>
      <c r="GM158" s="3">
        <v>0</v>
      </c>
      <c r="GN158" s="3">
        <v>0</v>
      </c>
      <c r="GO158" s="3">
        <v>0</v>
      </c>
      <c r="GP158" s="3">
        <v>0</v>
      </c>
      <c r="GQ158" s="3">
        <v>0</v>
      </c>
      <c r="GR158" s="3">
        <v>0</v>
      </c>
      <c r="GS158" s="3">
        <v>0</v>
      </c>
      <c r="GT158" s="3">
        <v>0</v>
      </c>
      <c r="GU158" s="3">
        <v>0</v>
      </c>
      <c r="GW158" s="319" t="s">
        <v>2392</v>
      </c>
      <c r="GX158" s="3">
        <v>1</v>
      </c>
      <c r="GY158" s="3">
        <v>1</v>
      </c>
      <c r="GZ158" s="3">
        <v>1</v>
      </c>
      <c r="HA158" s="3">
        <v>1</v>
      </c>
      <c r="HB158" s="3">
        <v>1</v>
      </c>
      <c r="HC158" s="3">
        <v>1</v>
      </c>
      <c r="HD158" s="3">
        <v>1</v>
      </c>
      <c r="HE158" s="3">
        <v>1</v>
      </c>
      <c r="HF158" s="3">
        <v>1</v>
      </c>
      <c r="HG158" s="3">
        <v>1</v>
      </c>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row>
    <row r="159" spans="1:256" s="319" customFormat="1" ht="12.75" customHeight="1">
      <c r="A159" s="319" t="s">
        <v>6006</v>
      </c>
      <c r="B159" s="646"/>
      <c r="C159" s="3"/>
      <c r="D159" s="646"/>
      <c r="E159" s="3"/>
      <c r="F159" s="646"/>
      <c r="G159" s="646"/>
      <c r="H159" s="3"/>
      <c r="I159" s="646"/>
      <c r="J159" s="3"/>
      <c r="K159" s="646"/>
      <c r="M159" s="319" t="s">
        <v>1624</v>
      </c>
      <c r="N159" s="3">
        <v>0</v>
      </c>
      <c r="O159" s="3">
        <v>0</v>
      </c>
      <c r="P159" s="3">
        <v>0</v>
      </c>
      <c r="Q159" s="3">
        <v>0</v>
      </c>
      <c r="R159" s="3">
        <v>0</v>
      </c>
      <c r="S159" s="3">
        <v>0</v>
      </c>
      <c r="T159" s="3">
        <v>0</v>
      </c>
      <c r="U159" s="3">
        <v>0</v>
      </c>
      <c r="V159" s="3">
        <v>0</v>
      </c>
      <c r="W159" s="3">
        <v>0</v>
      </c>
      <c r="X159" s="556"/>
      <c r="Y159" s="556" t="s">
        <v>4741</v>
      </c>
      <c r="Z159" s="3"/>
      <c r="AA159" s="3"/>
      <c r="AB159" s="3"/>
      <c r="AC159" s="3"/>
      <c r="AD159" s="3"/>
      <c r="AE159" s="3"/>
      <c r="AF159" s="3"/>
      <c r="AG159" s="3"/>
      <c r="AH159" s="3"/>
      <c r="AI159" s="3"/>
      <c r="AK159" s="556" t="s">
        <v>3406</v>
      </c>
      <c r="AL159" s="3"/>
      <c r="AM159" s="3"/>
      <c r="AN159" s="3"/>
      <c r="AO159" s="3"/>
      <c r="AP159" s="3"/>
      <c r="AQ159" s="3"/>
      <c r="AR159" s="3"/>
      <c r="AS159" s="3"/>
      <c r="AT159" s="3"/>
      <c r="AU159" s="3"/>
      <c r="AW159" s="319" t="s">
        <v>607</v>
      </c>
      <c r="AX159" s="3" t="b">
        <v>0</v>
      </c>
      <c r="AY159" s="3" t="b">
        <v>1</v>
      </c>
      <c r="AZ159" s="3" t="b">
        <v>1</v>
      </c>
      <c r="BA159" s="3" t="b">
        <v>1</v>
      </c>
      <c r="BB159" s="3" t="b">
        <v>1</v>
      </c>
      <c r="BC159" s="3" t="b">
        <v>0</v>
      </c>
      <c r="BD159" s="3" t="b">
        <v>1</v>
      </c>
      <c r="BE159" s="3" t="b">
        <v>1</v>
      </c>
      <c r="BF159" s="3" t="b">
        <v>1</v>
      </c>
      <c r="BG159" s="3" t="b">
        <v>1</v>
      </c>
      <c r="BI159" s="319" t="s">
        <v>2563</v>
      </c>
      <c r="BJ159" s="3">
        <v>0</v>
      </c>
      <c r="BK159" s="3">
        <v>0</v>
      </c>
      <c r="BL159" s="3">
        <v>0</v>
      </c>
      <c r="BM159" s="3">
        <v>0</v>
      </c>
      <c r="BN159" s="3">
        <v>0</v>
      </c>
      <c r="BO159" s="3">
        <v>0</v>
      </c>
      <c r="BP159" s="3">
        <v>0</v>
      </c>
      <c r="BQ159" s="3">
        <v>0</v>
      </c>
      <c r="BR159" s="3">
        <v>0</v>
      </c>
      <c r="BS159" s="3">
        <v>0</v>
      </c>
      <c r="BU159" s="319" t="s">
        <v>2418</v>
      </c>
      <c r="BV159" s="3"/>
      <c r="BW159" s="3"/>
      <c r="BX159" s="3"/>
      <c r="BY159" s="3"/>
      <c r="BZ159" s="3"/>
      <c r="CA159" s="3"/>
      <c r="CB159" s="3"/>
      <c r="CC159" s="3"/>
      <c r="CD159" s="3"/>
      <c r="CE159" s="3"/>
      <c r="CG159" s="319" t="s">
        <v>6004</v>
      </c>
      <c r="CH159" s="3"/>
      <c r="CI159" s="3"/>
      <c r="CJ159" s="3"/>
      <c r="CK159" s="3"/>
      <c r="CL159" s="3"/>
      <c r="CM159" s="3"/>
      <c r="CN159" s="3"/>
      <c r="CO159" s="3"/>
      <c r="CP159" s="3"/>
      <c r="CQ159" s="3"/>
      <c r="CS159" s="319" t="s">
        <v>3786</v>
      </c>
      <c r="CT159" s="3" t="b">
        <v>1</v>
      </c>
      <c r="CU159" s="3" t="b">
        <v>1</v>
      </c>
      <c r="CV159" s="3" t="b">
        <v>1</v>
      </c>
      <c r="CW159" s="3" t="b">
        <v>1</v>
      </c>
      <c r="CX159" s="3" t="b">
        <v>1</v>
      </c>
      <c r="CY159" s="3" t="b">
        <v>1</v>
      </c>
      <c r="CZ159" s="3" t="b">
        <v>1</v>
      </c>
      <c r="DA159" s="3" t="b">
        <v>1</v>
      </c>
      <c r="DB159" s="3" t="b">
        <v>1</v>
      </c>
      <c r="DC159" s="3" t="b">
        <v>1</v>
      </c>
      <c r="DE159" s="319" t="s">
        <v>1334</v>
      </c>
      <c r="DF159" s="3"/>
      <c r="DG159" s="3"/>
      <c r="DH159" s="3"/>
      <c r="DI159" s="3"/>
      <c r="DJ159" s="3"/>
      <c r="DK159" s="3"/>
      <c r="DL159" s="3"/>
      <c r="DM159" s="3"/>
      <c r="DN159" s="3"/>
      <c r="DO159" s="3"/>
      <c r="DQ159" s="319" t="s">
        <v>4056</v>
      </c>
      <c r="DR159" s="3">
        <v>1</v>
      </c>
      <c r="DS159" s="3">
        <v>1</v>
      </c>
      <c r="DT159" s="3">
        <v>1</v>
      </c>
      <c r="DU159" s="3">
        <v>1</v>
      </c>
      <c r="DV159" s="3">
        <v>1</v>
      </c>
      <c r="DW159" s="3">
        <v>1</v>
      </c>
      <c r="DX159" s="3">
        <v>1</v>
      </c>
      <c r="DY159" s="3">
        <v>1</v>
      </c>
      <c r="DZ159" s="3">
        <v>1</v>
      </c>
      <c r="EA159" s="3">
        <v>1</v>
      </c>
      <c r="EC159" s="319" t="s">
        <v>1740</v>
      </c>
      <c r="ED159" s="3" t="b">
        <v>0</v>
      </c>
      <c r="EE159" s="3" t="b">
        <v>1</v>
      </c>
      <c r="EF159" s="3" t="b">
        <v>1</v>
      </c>
      <c r="EG159" s="3" t="b">
        <v>1</v>
      </c>
      <c r="EH159" s="3" t="b">
        <v>1</v>
      </c>
      <c r="EI159" s="3" t="b">
        <v>0</v>
      </c>
      <c r="EJ159" s="3" t="b">
        <v>1</v>
      </c>
      <c r="EK159" s="3" t="b">
        <v>1</v>
      </c>
      <c r="EL159" s="3" t="b">
        <v>1</v>
      </c>
      <c r="EM159" s="3" t="b">
        <v>1</v>
      </c>
      <c r="EO159" s="319" t="s">
        <v>2077</v>
      </c>
      <c r="EP159" s="3"/>
      <c r="EQ159" s="3"/>
      <c r="ER159" s="3"/>
      <c r="ES159" s="3"/>
      <c r="ET159" s="3"/>
      <c r="EU159" s="3"/>
      <c r="EV159" s="3"/>
      <c r="EW159" s="3"/>
      <c r="EX159" s="3"/>
      <c r="EY159" s="3"/>
      <c r="FA159" s="319" t="s">
        <v>199</v>
      </c>
      <c r="FB159" s="3"/>
      <c r="FC159" s="3"/>
      <c r="FD159" s="3"/>
      <c r="FE159" s="3"/>
      <c r="FF159" s="3"/>
      <c r="FG159" s="3"/>
      <c r="FH159" s="3"/>
      <c r="FI159" s="3"/>
      <c r="FJ159" s="3"/>
      <c r="FK159" s="3"/>
      <c r="FM159" s="319" t="s">
        <v>607</v>
      </c>
      <c r="FN159" s="3" t="b">
        <v>0</v>
      </c>
      <c r="FO159" s="3" t="b">
        <v>1</v>
      </c>
      <c r="FP159" s="3" t="b">
        <v>1</v>
      </c>
      <c r="FQ159" s="3" t="b">
        <v>1</v>
      </c>
      <c r="FR159" s="3" t="b">
        <v>1</v>
      </c>
      <c r="FS159" s="3" t="b">
        <v>0</v>
      </c>
      <c r="FT159" s="3" t="b">
        <v>1</v>
      </c>
      <c r="FU159" s="3" t="b">
        <v>1</v>
      </c>
      <c r="FV159" s="3" t="b">
        <v>1</v>
      </c>
      <c r="FW159" s="3" t="b">
        <v>1</v>
      </c>
      <c r="FY159" s="319" t="s">
        <v>3643</v>
      </c>
      <c r="FZ159" s="3"/>
      <c r="GA159" s="3"/>
      <c r="GB159" s="3"/>
      <c r="GC159" s="3"/>
      <c r="GD159" s="3"/>
      <c r="GE159" s="3"/>
      <c r="GF159" s="3"/>
      <c r="GG159" s="3"/>
      <c r="GH159" s="3"/>
      <c r="GI159" s="3"/>
      <c r="GK159" s="319" t="s">
        <v>1675</v>
      </c>
      <c r="GL159" s="3"/>
      <c r="GM159" s="3"/>
      <c r="GN159" s="3"/>
      <c r="GO159" s="3"/>
      <c r="GP159" s="3"/>
      <c r="GQ159" s="3"/>
      <c r="GR159" s="3"/>
      <c r="GS159" s="3"/>
      <c r="GT159" s="3"/>
      <c r="GU159" s="3"/>
      <c r="GW159" s="319" t="s">
        <v>3644</v>
      </c>
      <c r="GX159" s="3">
        <v>1</v>
      </c>
      <c r="GY159" s="3">
        <v>1</v>
      </c>
      <c r="GZ159" s="3">
        <v>1</v>
      </c>
      <c r="HA159" s="3">
        <v>1</v>
      </c>
      <c r="HB159" s="3">
        <v>1</v>
      </c>
      <c r="HC159" s="3">
        <v>1</v>
      </c>
      <c r="HD159" s="3">
        <v>1</v>
      </c>
      <c r="HE159" s="3">
        <v>1</v>
      </c>
      <c r="HF159" s="3">
        <v>1</v>
      </c>
      <c r="HG159" s="3">
        <v>1</v>
      </c>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row>
    <row r="160" spans="1:256" s="319" customFormat="1" ht="12.75" customHeight="1">
      <c r="A160" s="319" t="s">
        <v>5346</v>
      </c>
      <c r="B160" s="646"/>
      <c r="C160" s="3"/>
      <c r="D160" s="646"/>
      <c r="E160" s="3"/>
      <c r="F160" s="646"/>
      <c r="G160" s="646"/>
      <c r="H160" s="3"/>
      <c r="I160" s="646"/>
      <c r="J160" s="3"/>
      <c r="K160" s="646"/>
      <c r="M160" s="319" t="s">
        <v>1625</v>
      </c>
      <c r="N160" s="3"/>
      <c r="O160" s="3"/>
      <c r="P160" s="3"/>
      <c r="Q160" s="3"/>
      <c r="R160" s="3"/>
      <c r="S160" s="3"/>
      <c r="T160" s="3"/>
      <c r="U160" s="3"/>
      <c r="V160" s="3"/>
      <c r="W160" s="3"/>
      <c r="X160" s="556"/>
      <c r="Y160" s="556" t="s">
        <v>4742</v>
      </c>
      <c r="Z160" s="3"/>
      <c r="AA160" s="3"/>
      <c r="AB160" s="3"/>
      <c r="AC160" s="3"/>
      <c r="AD160" s="3"/>
      <c r="AE160" s="3"/>
      <c r="AF160" s="3"/>
      <c r="AG160" s="3"/>
      <c r="AH160" s="3"/>
      <c r="AI160" s="3"/>
      <c r="AK160" s="556" t="s">
        <v>1618</v>
      </c>
      <c r="AL160" s="3"/>
      <c r="AM160" s="3"/>
      <c r="AN160" s="3"/>
      <c r="AO160" s="3"/>
      <c r="AP160" s="3"/>
      <c r="AQ160" s="3"/>
      <c r="AR160" s="3"/>
      <c r="AS160" s="3"/>
      <c r="AT160" s="3"/>
      <c r="AU160" s="3"/>
      <c r="AW160" s="319" t="s">
        <v>1719</v>
      </c>
      <c r="AX160" s="646">
        <v>1</v>
      </c>
      <c r="AY160" s="3">
        <v>1</v>
      </c>
      <c r="AZ160" s="646">
        <v>1</v>
      </c>
      <c r="BA160" s="3">
        <v>1</v>
      </c>
      <c r="BB160" s="646">
        <v>1</v>
      </c>
      <c r="BC160" s="646">
        <v>1</v>
      </c>
      <c r="BD160" s="3">
        <v>1</v>
      </c>
      <c r="BE160" s="646">
        <v>1</v>
      </c>
      <c r="BF160" s="3">
        <v>1</v>
      </c>
      <c r="BG160" s="646">
        <v>1</v>
      </c>
      <c r="BI160" s="319" t="s">
        <v>5212</v>
      </c>
      <c r="BJ160" s="3"/>
      <c r="BK160" s="3"/>
      <c r="BL160" s="3"/>
      <c r="BM160" s="3"/>
      <c r="BN160" s="3"/>
      <c r="BO160" s="3"/>
      <c r="BP160" s="3"/>
      <c r="BQ160" s="3"/>
      <c r="BR160" s="3"/>
      <c r="BS160" s="3"/>
      <c r="BU160" s="319" t="s">
        <v>2482</v>
      </c>
      <c r="BV160" s="3">
        <v>0</v>
      </c>
      <c r="BW160" s="3">
        <v>0</v>
      </c>
      <c r="BX160" s="3">
        <v>0</v>
      </c>
      <c r="BY160" s="3">
        <v>0</v>
      </c>
      <c r="BZ160" s="3">
        <v>0</v>
      </c>
      <c r="CA160" s="3">
        <v>0</v>
      </c>
      <c r="CB160" s="3">
        <v>0</v>
      </c>
      <c r="CC160" s="3">
        <v>0</v>
      </c>
      <c r="CD160" s="3">
        <v>0</v>
      </c>
      <c r="CE160" s="3">
        <v>0</v>
      </c>
      <c r="CG160" s="319" t="s">
        <v>6005</v>
      </c>
      <c r="CH160" s="3"/>
      <c r="CI160" s="3"/>
      <c r="CJ160" s="3"/>
      <c r="CK160" s="3"/>
      <c r="CL160" s="3"/>
      <c r="CM160" s="3"/>
      <c r="CN160" s="3"/>
      <c r="CO160" s="3"/>
      <c r="CP160" s="3"/>
      <c r="CQ160" s="3"/>
      <c r="CS160" s="319" t="s">
        <v>5308</v>
      </c>
      <c r="CT160" s="3" t="b">
        <v>0</v>
      </c>
      <c r="CU160" s="3" t="b">
        <v>0</v>
      </c>
      <c r="CV160" s="3" t="b">
        <v>0</v>
      </c>
      <c r="CW160" s="3" t="b">
        <v>0</v>
      </c>
      <c r="CX160" s="3" t="b">
        <v>0</v>
      </c>
      <c r="CY160" s="3" t="b">
        <v>0</v>
      </c>
      <c r="CZ160" s="3" t="b">
        <v>0</v>
      </c>
      <c r="DA160" s="3" t="b">
        <v>0</v>
      </c>
      <c r="DB160" s="3" t="b">
        <v>0</v>
      </c>
      <c r="DC160" s="3" t="b">
        <v>0</v>
      </c>
      <c r="DE160" s="319" t="s">
        <v>1027</v>
      </c>
      <c r="DF160" s="3"/>
      <c r="DG160" s="3"/>
      <c r="DH160" s="3"/>
      <c r="DI160" s="3"/>
      <c r="DJ160" s="3"/>
      <c r="DK160" s="3"/>
      <c r="DL160" s="3"/>
      <c r="DM160" s="3"/>
      <c r="DN160" s="3"/>
      <c r="DO160" s="3"/>
      <c r="DQ160" s="319" t="s">
        <v>4057</v>
      </c>
      <c r="DR160" s="3"/>
      <c r="DS160" s="3"/>
      <c r="DT160" s="3"/>
      <c r="DU160" s="3"/>
      <c r="DV160" s="3"/>
      <c r="DW160" s="3"/>
      <c r="DX160" s="3"/>
      <c r="DY160" s="3"/>
      <c r="DZ160" s="3"/>
      <c r="EA160" s="3"/>
      <c r="EC160" s="319" t="s">
        <v>1741</v>
      </c>
      <c r="ED160" s="3" t="b">
        <v>1</v>
      </c>
      <c r="EE160" s="3" t="b">
        <v>0</v>
      </c>
      <c r="EF160" s="3" t="b">
        <v>0</v>
      </c>
      <c r="EG160" s="3" t="b">
        <v>0</v>
      </c>
      <c r="EH160" s="3" t="b">
        <v>0</v>
      </c>
      <c r="EI160" s="3" t="b">
        <v>1</v>
      </c>
      <c r="EJ160" s="3" t="b">
        <v>0</v>
      </c>
      <c r="EK160" s="3" t="b">
        <v>0</v>
      </c>
      <c r="EL160" s="3" t="b">
        <v>0</v>
      </c>
      <c r="EM160" s="3" t="b">
        <v>0</v>
      </c>
      <c r="EO160" s="319" t="s">
        <v>4869</v>
      </c>
      <c r="EP160" s="3">
        <v>0</v>
      </c>
      <c r="EQ160" s="3">
        <v>0</v>
      </c>
      <c r="ER160" s="3">
        <v>0</v>
      </c>
      <c r="ES160" s="3">
        <v>0</v>
      </c>
      <c r="ET160" s="3">
        <v>0</v>
      </c>
      <c r="EU160" s="3">
        <v>0</v>
      </c>
      <c r="EV160" s="3">
        <v>0</v>
      </c>
      <c r="EW160" s="3">
        <v>0</v>
      </c>
      <c r="EX160" s="3">
        <v>0</v>
      </c>
      <c r="EY160" s="3">
        <v>0</v>
      </c>
      <c r="FA160" s="319" t="s">
        <v>5974</v>
      </c>
      <c r="FB160" s="3"/>
      <c r="FC160" s="3"/>
      <c r="FD160" s="3"/>
      <c r="FE160" s="3"/>
      <c r="FF160" s="3"/>
      <c r="FG160" s="3"/>
      <c r="FH160" s="3"/>
      <c r="FI160" s="3"/>
      <c r="FJ160" s="3"/>
      <c r="FK160" s="3"/>
      <c r="FM160" s="319" t="s">
        <v>2339</v>
      </c>
      <c r="FN160" s="3">
        <v>1</v>
      </c>
      <c r="FO160" s="3">
        <v>1</v>
      </c>
      <c r="FP160" s="3">
        <v>1</v>
      </c>
      <c r="FQ160" s="3">
        <v>1</v>
      </c>
      <c r="FR160" s="3">
        <v>1</v>
      </c>
      <c r="FS160" s="3">
        <v>1</v>
      </c>
      <c r="FT160" s="3">
        <v>1</v>
      </c>
      <c r="FU160" s="3">
        <v>1</v>
      </c>
      <c r="FV160" s="3">
        <v>1</v>
      </c>
      <c r="FW160" s="3">
        <v>1</v>
      </c>
      <c r="FY160" s="319" t="s">
        <v>199</v>
      </c>
      <c r="FZ160" s="3"/>
      <c r="GA160" s="3"/>
      <c r="GB160" s="3"/>
      <c r="GC160" s="3"/>
      <c r="GD160" s="3"/>
      <c r="GE160" s="3"/>
      <c r="GF160" s="3"/>
      <c r="GG160" s="3"/>
      <c r="GH160" s="3"/>
      <c r="GI160" s="3"/>
      <c r="GK160" s="319" t="s">
        <v>1676</v>
      </c>
      <c r="GL160" s="3"/>
      <c r="GM160" s="3"/>
      <c r="GN160" s="3"/>
      <c r="GO160" s="3"/>
      <c r="GP160" s="3"/>
      <c r="GQ160" s="3"/>
      <c r="GR160" s="3"/>
      <c r="GS160" s="3"/>
      <c r="GT160" s="3"/>
      <c r="GU160" s="3"/>
      <c r="GW160" s="319" t="s">
        <v>569</v>
      </c>
      <c r="GX160" s="3"/>
      <c r="GY160" s="3"/>
      <c r="GZ160" s="3"/>
      <c r="HA160" s="3"/>
      <c r="HB160" s="3"/>
      <c r="HC160" s="3"/>
      <c r="HD160" s="3"/>
      <c r="HE160" s="3"/>
      <c r="HF160" s="3"/>
      <c r="HG160" s="3"/>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row>
    <row r="161" spans="1:256" s="319" customFormat="1" ht="12.75" customHeight="1">
      <c r="A161" s="319" t="s">
        <v>529</v>
      </c>
      <c r="B161" s="646"/>
      <c r="C161" s="3"/>
      <c r="D161" s="646"/>
      <c r="E161" s="3"/>
      <c r="F161" s="646"/>
      <c r="G161" s="646"/>
      <c r="H161" s="3"/>
      <c r="I161" s="646"/>
      <c r="J161" s="3"/>
      <c r="K161" s="646"/>
      <c r="M161" s="319" t="s">
        <v>456</v>
      </c>
      <c r="N161" s="3"/>
      <c r="O161" s="3"/>
      <c r="P161" s="3"/>
      <c r="Q161" s="3"/>
      <c r="R161" s="3"/>
      <c r="S161" s="3"/>
      <c r="T161" s="3"/>
      <c r="U161" s="3"/>
      <c r="V161" s="3"/>
      <c r="W161" s="3"/>
      <c r="X161" s="556"/>
      <c r="Y161" s="556" t="s">
        <v>1680</v>
      </c>
      <c r="Z161" s="3"/>
      <c r="AA161" s="3"/>
      <c r="AB161" s="3"/>
      <c r="AC161" s="3"/>
      <c r="AD161" s="3"/>
      <c r="AE161" s="3"/>
      <c r="AF161" s="3"/>
      <c r="AG161" s="3"/>
      <c r="AH161" s="3"/>
      <c r="AI161" s="3"/>
      <c r="AK161" s="556" t="s">
        <v>1619</v>
      </c>
      <c r="AL161" s="3"/>
      <c r="AM161" s="3"/>
      <c r="AN161" s="3"/>
      <c r="AO161" s="3"/>
      <c r="AP161" s="3"/>
      <c r="AQ161" s="3"/>
      <c r="AR161" s="3"/>
      <c r="AS161" s="3"/>
      <c r="AT161" s="3"/>
      <c r="AU161" s="3"/>
      <c r="AW161" s="319" t="s">
        <v>1720</v>
      </c>
      <c r="AX161" s="646">
        <v>1</v>
      </c>
      <c r="AY161" s="3">
        <v>1</v>
      </c>
      <c r="AZ161" s="646">
        <v>1</v>
      </c>
      <c r="BA161" s="3">
        <v>1</v>
      </c>
      <c r="BB161" s="646">
        <v>1</v>
      </c>
      <c r="BC161" s="646">
        <v>1</v>
      </c>
      <c r="BD161" s="3">
        <v>1</v>
      </c>
      <c r="BE161" s="646">
        <v>1</v>
      </c>
      <c r="BF161" s="3">
        <v>1</v>
      </c>
      <c r="BG161" s="646">
        <v>1</v>
      </c>
      <c r="BI161" s="319" t="s">
        <v>397</v>
      </c>
      <c r="BJ161" s="3"/>
      <c r="BK161" s="3"/>
      <c r="BL161" s="3"/>
      <c r="BM161" s="3"/>
      <c r="BN161" s="3"/>
      <c r="BO161" s="3"/>
      <c r="BP161" s="3"/>
      <c r="BQ161" s="3"/>
      <c r="BR161" s="3"/>
      <c r="BS161" s="3"/>
      <c r="BU161" s="319" t="s">
        <v>1733</v>
      </c>
      <c r="BV161" s="3">
        <v>0</v>
      </c>
      <c r="BW161" s="3">
        <v>0</v>
      </c>
      <c r="BX161" s="3">
        <v>0</v>
      </c>
      <c r="BY161" s="3">
        <v>0</v>
      </c>
      <c r="BZ161" s="3">
        <v>0</v>
      </c>
      <c r="CA161" s="3">
        <v>0</v>
      </c>
      <c r="CB161" s="3">
        <v>0</v>
      </c>
      <c r="CC161" s="3">
        <v>0</v>
      </c>
      <c r="CD161" s="3">
        <v>0</v>
      </c>
      <c r="CE161" s="3">
        <v>0</v>
      </c>
      <c r="CG161" s="319" t="s">
        <v>6006</v>
      </c>
      <c r="CH161" s="3"/>
      <c r="CI161" s="3"/>
      <c r="CJ161" s="3"/>
      <c r="CK161" s="3"/>
      <c r="CL161" s="3"/>
      <c r="CM161" s="3"/>
      <c r="CN161" s="3"/>
      <c r="CO161" s="3"/>
      <c r="CP161" s="3"/>
      <c r="CQ161" s="3"/>
      <c r="CS161" s="319" t="s">
        <v>5734</v>
      </c>
      <c r="CT161" s="3"/>
      <c r="CU161" s="3"/>
      <c r="CV161" s="3"/>
      <c r="CW161" s="3"/>
      <c r="CX161" s="3"/>
      <c r="CY161" s="3"/>
      <c r="CZ161" s="3"/>
      <c r="DA161" s="3"/>
      <c r="DB161" s="3"/>
      <c r="DC161" s="3"/>
      <c r="DE161" s="319" t="s">
        <v>2499</v>
      </c>
      <c r="DF161" s="3"/>
      <c r="DG161" s="3"/>
      <c r="DH161" s="3"/>
      <c r="DI161" s="3"/>
      <c r="DJ161" s="3"/>
      <c r="DK161" s="3"/>
      <c r="DL161" s="3"/>
      <c r="DM161" s="3"/>
      <c r="DN161" s="3"/>
      <c r="DO161" s="3"/>
      <c r="DQ161" s="319" t="s">
        <v>5393</v>
      </c>
      <c r="DR161" s="3"/>
      <c r="DS161" s="3"/>
      <c r="DT161" s="3"/>
      <c r="DU161" s="3"/>
      <c r="DV161" s="3"/>
      <c r="DW161" s="3"/>
      <c r="DX161" s="3"/>
      <c r="DY161" s="3"/>
      <c r="DZ161" s="3"/>
      <c r="EA161" s="3"/>
      <c r="EC161" s="319" t="s">
        <v>607</v>
      </c>
      <c r="ED161" s="3" t="b">
        <v>0</v>
      </c>
      <c r="EE161" s="3" t="b">
        <v>1</v>
      </c>
      <c r="EF161" s="3" t="b">
        <v>1</v>
      </c>
      <c r="EG161" s="3" t="b">
        <v>1</v>
      </c>
      <c r="EH161" s="3" t="b">
        <v>1</v>
      </c>
      <c r="EI161" s="3" t="b">
        <v>0</v>
      </c>
      <c r="EJ161" s="3" t="b">
        <v>1</v>
      </c>
      <c r="EK161" s="3" t="b">
        <v>1</v>
      </c>
      <c r="EL161" s="3" t="b">
        <v>1</v>
      </c>
      <c r="EM161" s="3" t="b">
        <v>1</v>
      </c>
      <c r="EO161" s="319" t="s">
        <v>199</v>
      </c>
      <c r="EP161" s="3"/>
      <c r="EQ161" s="3"/>
      <c r="ER161" s="3"/>
      <c r="ES161" s="3"/>
      <c r="ET161" s="3"/>
      <c r="EU161" s="3"/>
      <c r="EV161" s="3"/>
      <c r="EW161" s="3"/>
      <c r="EX161" s="3"/>
      <c r="EY161" s="3"/>
      <c r="FA161" s="319" t="s">
        <v>2101</v>
      </c>
      <c r="FB161" s="3">
        <v>0</v>
      </c>
      <c r="FC161" s="3"/>
      <c r="FD161" s="3"/>
      <c r="FE161" s="3"/>
      <c r="FF161" s="3"/>
      <c r="FG161" s="3">
        <v>0</v>
      </c>
      <c r="FH161" s="3"/>
      <c r="FI161" s="3"/>
      <c r="FJ161" s="3"/>
      <c r="FK161" s="3"/>
      <c r="FM161" s="319" t="s">
        <v>2340</v>
      </c>
      <c r="FN161" s="3">
        <v>1</v>
      </c>
      <c r="FO161" s="3">
        <v>1</v>
      </c>
      <c r="FP161" s="3">
        <v>1</v>
      </c>
      <c r="FQ161" s="3">
        <v>1</v>
      </c>
      <c r="FR161" s="3">
        <v>1</v>
      </c>
      <c r="FS161" s="3">
        <v>1</v>
      </c>
      <c r="FT161" s="3">
        <v>1</v>
      </c>
      <c r="FU161" s="3">
        <v>1</v>
      </c>
      <c r="FV161" s="3">
        <v>1</v>
      </c>
      <c r="FW161" s="3">
        <v>1</v>
      </c>
      <c r="FY161" s="319" t="s">
        <v>5974</v>
      </c>
      <c r="FZ161" s="3"/>
      <c r="GA161" s="3"/>
      <c r="GB161" s="3"/>
      <c r="GC161" s="3"/>
      <c r="GD161" s="3"/>
      <c r="GE161" s="3"/>
      <c r="GF161" s="3"/>
      <c r="GG161" s="3"/>
      <c r="GH161" s="3"/>
      <c r="GI161" s="3"/>
      <c r="GK161" s="319" t="s">
        <v>1040</v>
      </c>
      <c r="GL161" s="3">
        <v>0</v>
      </c>
      <c r="GM161" s="3">
        <v>0</v>
      </c>
      <c r="GN161" s="3">
        <v>0</v>
      </c>
      <c r="GO161" s="3">
        <v>0</v>
      </c>
      <c r="GP161" s="3">
        <v>0</v>
      </c>
      <c r="GQ161" s="3">
        <v>0</v>
      </c>
      <c r="GR161" s="3">
        <v>0</v>
      </c>
      <c r="GS161" s="3">
        <v>0</v>
      </c>
      <c r="GT161" s="3">
        <v>0</v>
      </c>
      <c r="GU161" s="3">
        <v>0</v>
      </c>
      <c r="GW161" s="319" t="s">
        <v>599</v>
      </c>
      <c r="GX161" s="3"/>
      <c r="GY161" s="3"/>
      <c r="GZ161" s="3"/>
      <c r="HA161" s="3"/>
      <c r="HB161" s="3"/>
      <c r="HC161" s="3"/>
      <c r="HD161" s="3"/>
      <c r="HE161" s="3"/>
      <c r="HF161" s="3"/>
      <c r="HG161" s="3"/>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row>
    <row r="162" spans="1:256" s="319" customFormat="1" ht="12.75" customHeight="1">
      <c r="A162" s="319" t="s">
        <v>2221</v>
      </c>
      <c r="B162" s="646"/>
      <c r="C162" s="3"/>
      <c r="D162" s="646"/>
      <c r="E162" s="3"/>
      <c r="F162" s="646"/>
      <c r="G162" s="646"/>
      <c r="H162" s="3"/>
      <c r="I162" s="646"/>
      <c r="J162" s="3"/>
      <c r="K162" s="646"/>
      <c r="M162" s="319" t="s">
        <v>457</v>
      </c>
      <c r="N162" s="3"/>
      <c r="O162" s="3"/>
      <c r="P162" s="3"/>
      <c r="Q162" s="3"/>
      <c r="R162" s="3"/>
      <c r="S162" s="3"/>
      <c r="T162" s="3"/>
      <c r="U162" s="3"/>
      <c r="V162" s="3"/>
      <c r="W162" s="3"/>
      <c r="X162" s="556"/>
      <c r="Y162" s="556" t="s">
        <v>1681</v>
      </c>
      <c r="Z162" s="3"/>
      <c r="AA162" s="3"/>
      <c r="AB162" s="3"/>
      <c r="AC162" s="3"/>
      <c r="AD162" s="3"/>
      <c r="AE162" s="3"/>
      <c r="AF162" s="3"/>
      <c r="AG162" s="3"/>
      <c r="AH162" s="3"/>
      <c r="AI162" s="3"/>
      <c r="AK162" s="556" t="s">
        <v>5739</v>
      </c>
      <c r="AL162" s="3"/>
      <c r="AM162" s="3"/>
      <c r="AN162" s="3"/>
      <c r="AO162" s="3"/>
      <c r="AP162" s="3"/>
      <c r="AQ162" s="3"/>
      <c r="AR162" s="3"/>
      <c r="AS162" s="3"/>
      <c r="AT162" s="3"/>
      <c r="AU162" s="3"/>
      <c r="AW162" s="319" t="s">
        <v>5771</v>
      </c>
      <c r="AX162" s="646"/>
      <c r="AY162" s="3"/>
      <c r="AZ162" s="646"/>
      <c r="BA162" s="3"/>
      <c r="BB162" s="646"/>
      <c r="BC162" s="646"/>
      <c r="BD162" s="3"/>
      <c r="BE162" s="646"/>
      <c r="BF162" s="3"/>
      <c r="BG162" s="646"/>
      <c r="BI162" s="319" t="s">
        <v>2318</v>
      </c>
      <c r="BJ162" s="3"/>
      <c r="BK162" s="3"/>
      <c r="BL162" s="3"/>
      <c r="BM162" s="3"/>
      <c r="BN162" s="3"/>
      <c r="BO162" s="3"/>
      <c r="BP162" s="3"/>
      <c r="BQ162" s="3"/>
      <c r="BR162" s="3"/>
      <c r="BS162" s="3"/>
      <c r="BU162" s="319" t="s">
        <v>4072</v>
      </c>
      <c r="BV162" s="3"/>
      <c r="BW162" s="3"/>
      <c r="BX162" s="3"/>
      <c r="BY162" s="3"/>
      <c r="BZ162" s="3"/>
      <c r="CA162" s="3"/>
      <c r="CB162" s="3"/>
      <c r="CC162" s="3"/>
      <c r="CD162" s="3"/>
      <c r="CE162" s="3"/>
      <c r="CG162" s="319" t="s">
        <v>5346</v>
      </c>
      <c r="CH162" s="3"/>
      <c r="CI162" s="3"/>
      <c r="CJ162" s="3"/>
      <c r="CK162" s="3"/>
      <c r="CL162" s="3"/>
      <c r="CM162" s="3"/>
      <c r="CN162" s="3"/>
      <c r="CO162" s="3"/>
      <c r="CP162" s="3"/>
      <c r="CQ162" s="3"/>
      <c r="CS162" s="319" t="s">
        <v>1554</v>
      </c>
      <c r="CT162" s="3"/>
      <c r="CU162" s="3"/>
      <c r="CV162" s="3"/>
      <c r="CW162" s="3"/>
      <c r="CX162" s="3"/>
      <c r="CY162" s="3"/>
      <c r="CZ162" s="3"/>
      <c r="DA162" s="3"/>
      <c r="DB162" s="3"/>
      <c r="DC162" s="3"/>
      <c r="DE162" s="319" t="s">
        <v>2500</v>
      </c>
      <c r="DF162" s="3"/>
      <c r="DG162" s="3"/>
      <c r="DH162" s="3"/>
      <c r="DI162" s="3"/>
      <c r="DJ162" s="3"/>
      <c r="DK162" s="3"/>
      <c r="DL162" s="3"/>
      <c r="DM162" s="3"/>
      <c r="DN162" s="3"/>
      <c r="DO162" s="3"/>
      <c r="DQ162" s="319" t="s">
        <v>3845</v>
      </c>
      <c r="DR162" s="3"/>
      <c r="DS162" s="3"/>
      <c r="DT162" s="3"/>
      <c r="DU162" s="3"/>
      <c r="DV162" s="3"/>
      <c r="DW162" s="3"/>
      <c r="DX162" s="3"/>
      <c r="DY162" s="3"/>
      <c r="DZ162" s="3"/>
      <c r="EA162" s="3"/>
      <c r="EC162" s="319" t="s">
        <v>2076</v>
      </c>
      <c r="ED162" s="3"/>
      <c r="EE162" s="3"/>
      <c r="EF162" s="3"/>
      <c r="EG162" s="3"/>
      <c r="EH162" s="3"/>
      <c r="EI162" s="3"/>
      <c r="EJ162" s="3"/>
      <c r="EK162" s="3"/>
      <c r="EL162" s="3"/>
      <c r="EM162" s="3"/>
      <c r="EO162" s="319" t="s">
        <v>4870</v>
      </c>
      <c r="EP162" s="3"/>
      <c r="EQ162" s="3"/>
      <c r="ER162" s="3"/>
      <c r="ES162" s="3"/>
      <c r="ET162" s="3"/>
      <c r="EU162" s="3"/>
      <c r="EV162" s="3"/>
      <c r="EW162" s="3"/>
      <c r="EX162" s="3"/>
      <c r="EY162" s="3"/>
      <c r="FA162" s="319" t="s">
        <v>6002</v>
      </c>
      <c r="FB162" s="3">
        <v>0</v>
      </c>
      <c r="FC162" s="3"/>
      <c r="FD162" s="3"/>
      <c r="FE162" s="3"/>
      <c r="FF162" s="3"/>
      <c r="FG162" s="3">
        <v>0</v>
      </c>
      <c r="FH162" s="3"/>
      <c r="FI162" s="3"/>
      <c r="FJ162" s="3"/>
      <c r="FK162" s="3"/>
      <c r="FM162" s="319" t="s">
        <v>3078</v>
      </c>
      <c r="FN162" s="3"/>
      <c r="FO162" s="3"/>
      <c r="FP162" s="3"/>
      <c r="FQ162" s="3"/>
      <c r="FR162" s="3"/>
      <c r="FS162" s="3"/>
      <c r="FT162" s="3"/>
      <c r="FU162" s="3"/>
      <c r="FV162" s="3"/>
      <c r="FW162" s="3"/>
      <c r="FY162" s="319" t="s">
        <v>476</v>
      </c>
      <c r="FZ162" s="3">
        <v>0</v>
      </c>
      <c r="GA162" s="3">
        <v>0</v>
      </c>
      <c r="GB162" s="3">
        <v>0</v>
      </c>
      <c r="GC162" s="3">
        <v>0</v>
      </c>
      <c r="GD162" s="3">
        <v>0</v>
      </c>
      <c r="GE162" s="3">
        <v>0</v>
      </c>
      <c r="GF162" s="3">
        <v>0</v>
      </c>
      <c r="GG162" s="3">
        <v>0</v>
      </c>
      <c r="GH162" s="3">
        <v>0</v>
      </c>
      <c r="GI162" s="3">
        <v>0</v>
      </c>
      <c r="GK162" s="319" t="s">
        <v>5925</v>
      </c>
      <c r="GL162" s="3"/>
      <c r="GM162" s="3"/>
      <c r="GN162" s="3"/>
      <c r="GO162" s="3"/>
      <c r="GP162" s="3"/>
      <c r="GQ162" s="3"/>
      <c r="GR162" s="3"/>
      <c r="GS162" s="3"/>
      <c r="GT162" s="3"/>
      <c r="GU162" s="3"/>
      <c r="GW162" s="319" t="s">
        <v>600</v>
      </c>
      <c r="GX162" s="3"/>
      <c r="GY162" s="3"/>
      <c r="GZ162" s="3"/>
      <c r="HA162" s="3"/>
      <c r="HB162" s="3"/>
      <c r="HC162" s="3"/>
      <c r="HD162" s="3"/>
      <c r="HE162" s="3"/>
      <c r="HF162" s="3"/>
      <c r="HG162" s="3"/>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row>
    <row r="163" spans="1:256" s="319" customFormat="1" ht="12.75" customHeight="1">
      <c r="A163" s="319" t="s">
        <v>2222</v>
      </c>
      <c r="B163" s="646"/>
      <c r="C163" s="3"/>
      <c r="D163" s="646"/>
      <c r="E163" s="3"/>
      <c r="F163" s="646"/>
      <c r="G163" s="646"/>
      <c r="H163" s="3"/>
      <c r="I163" s="646"/>
      <c r="J163" s="3"/>
      <c r="K163" s="646"/>
      <c r="M163" s="319" t="s">
        <v>3533</v>
      </c>
      <c r="N163" s="3"/>
      <c r="O163" s="3"/>
      <c r="P163" s="3"/>
      <c r="Q163" s="3"/>
      <c r="R163" s="3"/>
      <c r="S163" s="3"/>
      <c r="T163" s="3"/>
      <c r="U163" s="3"/>
      <c r="V163" s="3"/>
      <c r="W163" s="3"/>
      <c r="X163" s="556"/>
      <c r="Y163" s="556" t="s">
        <v>1682</v>
      </c>
      <c r="Z163" s="3"/>
      <c r="AA163" s="3"/>
      <c r="AB163" s="3"/>
      <c r="AC163" s="3"/>
      <c r="AD163" s="3"/>
      <c r="AE163" s="3"/>
      <c r="AF163" s="3"/>
      <c r="AG163" s="3"/>
      <c r="AH163" s="3"/>
      <c r="AI163" s="3"/>
      <c r="AK163" s="556" t="s">
        <v>3234</v>
      </c>
      <c r="AL163" s="3" t="b">
        <v>0</v>
      </c>
      <c r="AM163" s="3" t="b">
        <v>0</v>
      </c>
      <c r="AN163" s="3" t="b">
        <v>0</v>
      </c>
      <c r="AO163" s="3" t="b">
        <v>0</v>
      </c>
      <c r="AP163" s="3" t="b">
        <v>0</v>
      </c>
      <c r="AQ163" s="3" t="b">
        <v>0</v>
      </c>
      <c r="AR163" s="3" t="b">
        <v>0</v>
      </c>
      <c r="AS163" s="3" t="b">
        <v>0</v>
      </c>
      <c r="AT163" s="3" t="b">
        <v>0</v>
      </c>
      <c r="AU163" s="3" t="b">
        <v>0</v>
      </c>
      <c r="AW163" s="319" t="s">
        <v>5772</v>
      </c>
      <c r="AX163" s="646"/>
      <c r="AY163" s="3"/>
      <c r="AZ163" s="646"/>
      <c r="BA163" s="3"/>
      <c r="BB163" s="646"/>
      <c r="BC163" s="646"/>
      <c r="BD163" s="3"/>
      <c r="BE163" s="646"/>
      <c r="BF163" s="3"/>
      <c r="BG163" s="646"/>
      <c r="BI163" s="319" t="s">
        <v>4908</v>
      </c>
      <c r="BJ163" s="3"/>
      <c r="BK163" s="3"/>
      <c r="BL163" s="3"/>
      <c r="BM163" s="3"/>
      <c r="BN163" s="3"/>
      <c r="BO163" s="3"/>
      <c r="BP163" s="3"/>
      <c r="BQ163" s="3"/>
      <c r="BR163" s="3"/>
      <c r="BS163" s="3"/>
      <c r="BU163" s="319" t="s">
        <v>4073</v>
      </c>
      <c r="BV163" s="3"/>
      <c r="BW163" s="3"/>
      <c r="BX163" s="3"/>
      <c r="BY163" s="3"/>
      <c r="BZ163" s="3"/>
      <c r="CA163" s="3"/>
      <c r="CB163" s="3"/>
      <c r="CC163" s="3"/>
      <c r="CD163" s="3"/>
      <c r="CE163" s="3"/>
      <c r="CG163" s="319" t="s">
        <v>529</v>
      </c>
      <c r="CH163" s="3"/>
      <c r="CI163" s="3"/>
      <c r="CJ163" s="3"/>
      <c r="CK163" s="3"/>
      <c r="CL163" s="3"/>
      <c r="CM163" s="3"/>
      <c r="CN163" s="3"/>
      <c r="CO163" s="3"/>
      <c r="CP163" s="3"/>
      <c r="CQ163" s="3"/>
      <c r="CS163" s="319" t="s">
        <v>1035</v>
      </c>
      <c r="CT163" s="3"/>
      <c r="CU163" s="3"/>
      <c r="CV163" s="3"/>
      <c r="CW163" s="3"/>
      <c r="CX163" s="3"/>
      <c r="CY163" s="3"/>
      <c r="CZ163" s="3"/>
      <c r="DA163" s="3"/>
      <c r="DB163" s="3"/>
      <c r="DC163" s="3"/>
      <c r="DE163" s="319" t="s">
        <v>2501</v>
      </c>
      <c r="DF163" s="3"/>
      <c r="DG163" s="3"/>
      <c r="DH163" s="3"/>
      <c r="DI163" s="3"/>
      <c r="DJ163" s="3"/>
      <c r="DK163" s="3"/>
      <c r="DL163" s="3"/>
      <c r="DM163" s="3"/>
      <c r="DN163" s="3"/>
      <c r="DO163" s="3"/>
      <c r="DQ163" s="319" t="s">
        <v>4142</v>
      </c>
      <c r="DR163" s="3"/>
      <c r="DS163" s="3"/>
      <c r="DT163" s="3"/>
      <c r="DU163" s="3"/>
      <c r="DV163" s="3"/>
      <c r="DW163" s="3"/>
      <c r="DX163" s="3"/>
      <c r="DY163" s="3"/>
      <c r="DZ163" s="3"/>
      <c r="EA163" s="3"/>
      <c r="EC163" s="319" t="s">
        <v>2077</v>
      </c>
      <c r="ED163" s="3"/>
      <c r="EE163" s="3"/>
      <c r="EF163" s="3"/>
      <c r="EG163" s="3"/>
      <c r="EH163" s="3"/>
      <c r="EI163" s="3"/>
      <c r="EJ163" s="3"/>
      <c r="EK163" s="3"/>
      <c r="EL163" s="3"/>
      <c r="EM163" s="3"/>
      <c r="EO163" s="319" t="s">
        <v>4871</v>
      </c>
      <c r="EP163" s="3"/>
      <c r="EQ163" s="3"/>
      <c r="ER163" s="3"/>
      <c r="ES163" s="3"/>
      <c r="ET163" s="3"/>
      <c r="EU163" s="3"/>
      <c r="EV163" s="3"/>
      <c r="EW163" s="3"/>
      <c r="EX163" s="3"/>
      <c r="EY163" s="3"/>
      <c r="FA163" s="319" t="s">
        <v>3039</v>
      </c>
      <c r="FB163" s="3">
        <v>0</v>
      </c>
      <c r="FC163" s="3"/>
      <c r="FD163" s="3"/>
      <c r="FE163" s="3"/>
      <c r="FF163" s="3"/>
      <c r="FG163" s="3">
        <v>0</v>
      </c>
      <c r="FH163" s="3"/>
      <c r="FI163" s="3"/>
      <c r="FJ163" s="3"/>
      <c r="FK163" s="3"/>
      <c r="FM163" s="319" t="s">
        <v>3079</v>
      </c>
      <c r="FN163" s="3"/>
      <c r="FO163" s="3"/>
      <c r="FP163" s="3"/>
      <c r="FQ163" s="3"/>
      <c r="FR163" s="3"/>
      <c r="FS163" s="3"/>
      <c r="FT163" s="3"/>
      <c r="FU163" s="3"/>
      <c r="FV163" s="3"/>
      <c r="FW163" s="3"/>
      <c r="FY163" s="319" t="s">
        <v>2562</v>
      </c>
      <c r="FZ163" s="3"/>
      <c r="GA163" s="3"/>
      <c r="GB163" s="3"/>
      <c r="GC163" s="3"/>
      <c r="GD163" s="3"/>
      <c r="GE163" s="3"/>
      <c r="GF163" s="3"/>
      <c r="GG163" s="3"/>
      <c r="GH163" s="3"/>
      <c r="GI163" s="3"/>
      <c r="GK163" s="319" t="s">
        <v>5926</v>
      </c>
      <c r="GL163" s="3"/>
      <c r="GM163" s="3"/>
      <c r="GN163" s="3"/>
      <c r="GO163" s="3"/>
      <c r="GP163" s="3"/>
      <c r="GQ163" s="3"/>
      <c r="GR163" s="3"/>
      <c r="GS163" s="3"/>
      <c r="GT163" s="3"/>
      <c r="GU163" s="3"/>
      <c r="GW163" s="319" t="s">
        <v>5590</v>
      </c>
      <c r="GX163" s="3"/>
      <c r="GY163" s="3"/>
      <c r="GZ163" s="3"/>
      <c r="HA163" s="3"/>
      <c r="HB163" s="3"/>
      <c r="HC163" s="3"/>
      <c r="HD163" s="3"/>
      <c r="HE163" s="3"/>
      <c r="HF163" s="3"/>
      <c r="HG163" s="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row>
    <row r="164" spans="1:256" s="319" customFormat="1" ht="12.75" customHeight="1">
      <c r="A164" s="319" t="s">
        <v>5097</v>
      </c>
      <c r="B164" s="646"/>
      <c r="C164" s="3"/>
      <c r="D164" s="646"/>
      <c r="E164" s="3"/>
      <c r="F164" s="646"/>
      <c r="G164" s="646"/>
      <c r="H164" s="3"/>
      <c r="I164" s="646"/>
      <c r="J164" s="3"/>
      <c r="K164" s="646"/>
      <c r="M164" s="319" t="s">
        <v>5443</v>
      </c>
      <c r="N164" s="3"/>
      <c r="O164" s="3"/>
      <c r="P164" s="3"/>
      <c r="Q164" s="3"/>
      <c r="R164" s="3"/>
      <c r="S164" s="3"/>
      <c r="T164" s="3"/>
      <c r="U164" s="3"/>
      <c r="V164" s="3"/>
      <c r="W164" s="3"/>
      <c r="X164" s="556"/>
      <c r="Y164" s="556" t="s">
        <v>1683</v>
      </c>
      <c r="Z164" s="3"/>
      <c r="AA164" s="3"/>
      <c r="AB164" s="3"/>
      <c r="AC164" s="3"/>
      <c r="AD164" s="3"/>
      <c r="AE164" s="3"/>
      <c r="AF164" s="3"/>
      <c r="AG164" s="3"/>
      <c r="AH164" s="3"/>
      <c r="AI164" s="3"/>
      <c r="AK164" s="556" t="s">
        <v>862</v>
      </c>
      <c r="AL164" s="3"/>
      <c r="AM164" s="3"/>
      <c r="AN164" s="3"/>
      <c r="AO164" s="3"/>
      <c r="AP164" s="3"/>
      <c r="AQ164" s="3"/>
      <c r="AR164" s="3"/>
      <c r="AS164" s="3"/>
      <c r="AT164" s="3"/>
      <c r="AU164" s="3"/>
      <c r="AW164" s="319" t="s">
        <v>1721</v>
      </c>
      <c r="AX164" s="646"/>
      <c r="AY164" s="3"/>
      <c r="AZ164" s="646"/>
      <c r="BA164" s="3"/>
      <c r="BB164" s="646"/>
      <c r="BC164" s="646"/>
      <c r="BD164" s="3"/>
      <c r="BE164" s="646"/>
      <c r="BF164" s="3"/>
      <c r="BG164" s="646"/>
      <c r="BI164" s="319" t="s">
        <v>2727</v>
      </c>
      <c r="BJ164" s="3"/>
      <c r="BK164" s="3"/>
      <c r="BL164" s="3"/>
      <c r="BM164" s="3"/>
      <c r="BN164" s="3"/>
      <c r="BO164" s="3"/>
      <c r="BP164" s="3"/>
      <c r="BQ164" s="3"/>
      <c r="BR164" s="3"/>
      <c r="BS164" s="3"/>
      <c r="BU164" s="319" t="s">
        <v>4074</v>
      </c>
      <c r="BV164" s="3"/>
      <c r="BW164" s="3"/>
      <c r="BX164" s="3"/>
      <c r="BY164" s="3"/>
      <c r="BZ164" s="3"/>
      <c r="CA164" s="3"/>
      <c r="CB164" s="3"/>
      <c r="CC164" s="3"/>
      <c r="CD164" s="3"/>
      <c r="CE164" s="3"/>
      <c r="CG164" s="319" t="s">
        <v>2221</v>
      </c>
      <c r="CH164" s="3"/>
      <c r="CI164" s="3"/>
      <c r="CJ164" s="3"/>
      <c r="CK164" s="3"/>
      <c r="CL164" s="3"/>
      <c r="CM164" s="3"/>
      <c r="CN164" s="3"/>
      <c r="CO164" s="3"/>
      <c r="CP164" s="3"/>
      <c r="CQ164" s="3"/>
      <c r="CS164" s="319" t="s">
        <v>4198</v>
      </c>
      <c r="CT164" s="3">
        <v>0</v>
      </c>
      <c r="CU164" s="3">
        <v>0</v>
      </c>
      <c r="CV164" s="3">
        <v>0</v>
      </c>
      <c r="CW164" s="3">
        <v>0</v>
      </c>
      <c r="CX164" s="3">
        <v>0</v>
      </c>
      <c r="CY164" s="3">
        <v>0</v>
      </c>
      <c r="CZ164" s="3">
        <v>0</v>
      </c>
      <c r="DA164" s="3">
        <v>0</v>
      </c>
      <c r="DB164" s="3">
        <v>0</v>
      </c>
      <c r="DC164" s="3">
        <v>0</v>
      </c>
      <c r="DE164" s="319" t="s">
        <v>2907</v>
      </c>
      <c r="DF164" s="3"/>
      <c r="DG164" s="3"/>
      <c r="DH164" s="3"/>
      <c r="DI164" s="3"/>
      <c r="DJ164" s="3"/>
      <c r="DK164" s="3"/>
      <c r="DL164" s="3"/>
      <c r="DM164" s="3"/>
      <c r="DN164" s="3"/>
      <c r="DO164" s="3"/>
      <c r="DQ164" s="319" t="s">
        <v>4143</v>
      </c>
      <c r="DR164" s="3">
        <v>0</v>
      </c>
      <c r="DS164" s="3">
        <v>0</v>
      </c>
      <c r="DT164" s="3">
        <v>0</v>
      </c>
      <c r="DU164" s="3">
        <v>0</v>
      </c>
      <c r="DV164" s="3">
        <v>0</v>
      </c>
      <c r="DW164" s="3">
        <v>0</v>
      </c>
      <c r="DX164" s="3">
        <v>0</v>
      </c>
      <c r="DY164" s="3">
        <v>0</v>
      </c>
      <c r="DZ164" s="3">
        <v>0</v>
      </c>
      <c r="EA164" s="3">
        <v>0</v>
      </c>
      <c r="EC164" s="319" t="s">
        <v>1310</v>
      </c>
      <c r="ED164" s="3">
        <v>0</v>
      </c>
      <c r="EE164" s="3">
        <v>0</v>
      </c>
      <c r="EF164" s="3">
        <v>0</v>
      </c>
      <c r="EG164" s="3">
        <v>0</v>
      </c>
      <c r="EH164" s="3">
        <v>0</v>
      </c>
      <c r="EI164" s="3">
        <v>0</v>
      </c>
      <c r="EJ164" s="3">
        <v>0</v>
      </c>
      <c r="EK164" s="3">
        <v>0</v>
      </c>
      <c r="EL164" s="3">
        <v>0</v>
      </c>
      <c r="EM164" s="3">
        <v>0</v>
      </c>
      <c r="EO164" s="319" t="s">
        <v>5974</v>
      </c>
      <c r="EP164" s="3"/>
      <c r="EQ164" s="3"/>
      <c r="ER164" s="3"/>
      <c r="ES164" s="3"/>
      <c r="ET164" s="3"/>
      <c r="EU164" s="3"/>
      <c r="EV164" s="3"/>
      <c r="EW164" s="3"/>
      <c r="EX164" s="3"/>
      <c r="EY164" s="3"/>
      <c r="FA164" s="319" t="s">
        <v>2291</v>
      </c>
      <c r="FB164" s="3">
        <v>0</v>
      </c>
      <c r="FC164" s="3"/>
      <c r="FD164" s="3"/>
      <c r="FE164" s="3"/>
      <c r="FF164" s="3"/>
      <c r="FG164" s="3">
        <v>0</v>
      </c>
      <c r="FH164" s="3"/>
      <c r="FI164" s="3"/>
      <c r="FJ164" s="3"/>
      <c r="FK164" s="3"/>
      <c r="FM164" s="319" t="s">
        <v>1675</v>
      </c>
      <c r="FN164" s="3"/>
      <c r="FO164" s="3"/>
      <c r="FP164" s="3"/>
      <c r="FQ164" s="3"/>
      <c r="FR164" s="3"/>
      <c r="FS164" s="3"/>
      <c r="FT164" s="3"/>
      <c r="FU164" s="3"/>
      <c r="FV164" s="3"/>
      <c r="FW164" s="3"/>
      <c r="FY164" s="319" t="s">
        <v>477</v>
      </c>
      <c r="FZ164" s="3"/>
      <c r="GA164" s="3"/>
      <c r="GB164" s="3"/>
      <c r="GC164" s="3"/>
      <c r="GD164" s="3"/>
      <c r="GE164" s="3"/>
      <c r="GF164" s="3"/>
      <c r="GG164" s="3"/>
      <c r="GH164" s="3"/>
      <c r="GI164" s="3"/>
      <c r="GK164" s="319" t="s">
        <v>2291</v>
      </c>
      <c r="GL164" s="3">
        <v>0</v>
      </c>
      <c r="GM164" s="3">
        <v>0</v>
      </c>
      <c r="GN164" s="3">
        <v>0</v>
      </c>
      <c r="GO164" s="3">
        <v>0</v>
      </c>
      <c r="GP164" s="3">
        <v>0</v>
      </c>
      <c r="GQ164" s="3">
        <v>0</v>
      </c>
      <c r="GR164" s="3">
        <v>0</v>
      </c>
      <c r="GS164" s="3">
        <v>0</v>
      </c>
      <c r="GT164" s="3">
        <v>0</v>
      </c>
      <c r="GU164" s="3">
        <v>0</v>
      </c>
      <c r="GW164" s="319" t="s">
        <v>697</v>
      </c>
      <c r="GX164" s="3">
        <v>0</v>
      </c>
      <c r="GY164" s="3">
        <v>0</v>
      </c>
      <c r="GZ164" s="3">
        <v>0</v>
      </c>
      <c r="HA164" s="3">
        <v>0</v>
      </c>
      <c r="HB164" s="3">
        <v>0</v>
      </c>
      <c r="HC164" s="3">
        <v>0</v>
      </c>
      <c r="HD164" s="3">
        <v>0</v>
      </c>
      <c r="HE164" s="3">
        <v>0</v>
      </c>
      <c r="HF164" s="3">
        <v>0</v>
      </c>
      <c r="HG164" s="3">
        <v>0</v>
      </c>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row>
    <row r="165" spans="1:256" s="319" customFormat="1" ht="12.75" customHeight="1">
      <c r="A165" s="319" t="s">
        <v>4589</v>
      </c>
      <c r="B165" s="646"/>
      <c r="C165" s="3"/>
      <c r="D165" s="646"/>
      <c r="E165" s="3"/>
      <c r="F165" s="646"/>
      <c r="G165" s="646"/>
      <c r="H165" s="3"/>
      <c r="I165" s="646"/>
      <c r="J165" s="3"/>
      <c r="K165" s="646"/>
      <c r="M165" s="319" t="s">
        <v>5444</v>
      </c>
      <c r="N165" s="3"/>
      <c r="O165" s="3"/>
      <c r="P165" s="3"/>
      <c r="Q165" s="3"/>
      <c r="R165" s="3"/>
      <c r="S165" s="3"/>
      <c r="T165" s="3"/>
      <c r="U165" s="3"/>
      <c r="V165" s="3"/>
      <c r="W165" s="3"/>
      <c r="X165" s="556"/>
      <c r="Y165" s="556" t="s">
        <v>1684</v>
      </c>
      <c r="Z165" s="3"/>
      <c r="AA165" s="3"/>
      <c r="AB165" s="3"/>
      <c r="AC165" s="3"/>
      <c r="AD165" s="3"/>
      <c r="AE165" s="3"/>
      <c r="AF165" s="3"/>
      <c r="AG165" s="3"/>
      <c r="AH165" s="3"/>
      <c r="AI165" s="3"/>
      <c r="AK165" s="556" t="s">
        <v>863</v>
      </c>
      <c r="AL165" s="3"/>
      <c r="AM165" s="3"/>
      <c r="AN165" s="3"/>
      <c r="AO165" s="3"/>
      <c r="AP165" s="3"/>
      <c r="AQ165" s="3"/>
      <c r="AR165" s="3"/>
      <c r="AS165" s="3"/>
      <c r="AT165" s="3"/>
      <c r="AU165" s="3"/>
      <c r="AW165" s="319" t="s">
        <v>5050</v>
      </c>
      <c r="AX165" s="646"/>
      <c r="AY165" s="3"/>
      <c r="AZ165" s="646"/>
      <c r="BA165" s="3"/>
      <c r="BB165" s="646"/>
      <c r="BC165" s="646"/>
      <c r="BD165" s="3"/>
      <c r="BE165" s="646"/>
      <c r="BF165" s="3"/>
      <c r="BG165" s="646"/>
      <c r="BI165" s="319" t="s">
        <v>3549</v>
      </c>
      <c r="BJ165" s="3">
        <v>0</v>
      </c>
      <c r="BK165" s="3">
        <v>0</v>
      </c>
      <c r="BL165" s="3">
        <v>0</v>
      </c>
      <c r="BM165" s="3">
        <v>0</v>
      </c>
      <c r="BN165" s="3">
        <v>0</v>
      </c>
      <c r="BO165" s="3">
        <v>0</v>
      </c>
      <c r="BP165" s="3">
        <v>0</v>
      </c>
      <c r="BQ165" s="3">
        <v>0</v>
      </c>
      <c r="BR165" s="3">
        <v>0</v>
      </c>
      <c r="BS165" s="3">
        <v>0</v>
      </c>
      <c r="BU165" s="319" t="s">
        <v>4075</v>
      </c>
      <c r="BV165" s="3"/>
      <c r="BW165" s="3"/>
      <c r="BX165" s="3"/>
      <c r="BY165" s="3"/>
      <c r="BZ165" s="3"/>
      <c r="CA165" s="3"/>
      <c r="CB165" s="3"/>
      <c r="CC165" s="3"/>
      <c r="CD165" s="3"/>
      <c r="CE165" s="3"/>
      <c r="CG165" s="319" t="s">
        <v>2222</v>
      </c>
      <c r="CH165" s="3"/>
      <c r="CI165" s="3"/>
      <c r="CJ165" s="3"/>
      <c r="CK165" s="3"/>
      <c r="CL165" s="3"/>
      <c r="CM165" s="3"/>
      <c r="CN165" s="3"/>
      <c r="CO165" s="3"/>
      <c r="CP165" s="3"/>
      <c r="CQ165" s="3"/>
      <c r="CS165" s="319" t="s">
        <v>1758</v>
      </c>
      <c r="CT165" s="3">
        <v>1</v>
      </c>
      <c r="CU165" s="3">
        <v>1</v>
      </c>
      <c r="CV165" s="3">
        <v>1</v>
      </c>
      <c r="CW165" s="3">
        <v>1</v>
      </c>
      <c r="CX165" s="3">
        <v>1</v>
      </c>
      <c r="CY165" s="3">
        <v>1</v>
      </c>
      <c r="CZ165" s="3">
        <v>1</v>
      </c>
      <c r="DA165" s="3">
        <v>1</v>
      </c>
      <c r="DB165" s="3">
        <v>1</v>
      </c>
      <c r="DC165" s="3">
        <v>1</v>
      </c>
      <c r="DE165" s="319" t="s">
        <v>2908</v>
      </c>
      <c r="DF165" s="3"/>
      <c r="DG165" s="3"/>
      <c r="DH165" s="3"/>
      <c r="DI165" s="3"/>
      <c r="DJ165" s="3"/>
      <c r="DK165" s="3"/>
      <c r="DL165" s="3"/>
      <c r="DM165" s="3"/>
      <c r="DN165" s="3"/>
      <c r="DO165" s="3"/>
      <c r="DQ165" s="319" t="s">
        <v>4144</v>
      </c>
      <c r="DR165" s="3"/>
      <c r="DS165" s="3"/>
      <c r="DT165" s="3"/>
      <c r="DU165" s="3"/>
      <c r="DV165" s="3"/>
      <c r="DW165" s="3"/>
      <c r="DX165" s="3"/>
      <c r="DY165" s="3"/>
      <c r="DZ165" s="3"/>
      <c r="EA165" s="3"/>
      <c r="EC165" s="319" t="s">
        <v>199</v>
      </c>
      <c r="ED165" s="3"/>
      <c r="EE165" s="3"/>
      <c r="EF165" s="3"/>
      <c r="EG165" s="3"/>
      <c r="EH165" s="3"/>
      <c r="EI165" s="3"/>
      <c r="EJ165" s="3"/>
      <c r="EK165" s="3"/>
      <c r="EL165" s="3"/>
      <c r="EM165" s="3"/>
      <c r="EO165" s="319" t="s">
        <v>2299</v>
      </c>
      <c r="EP165" s="3">
        <v>0</v>
      </c>
      <c r="EQ165" s="3">
        <v>0</v>
      </c>
      <c r="ER165" s="3">
        <v>0</v>
      </c>
      <c r="ES165" s="3">
        <v>0</v>
      </c>
      <c r="ET165" s="3">
        <v>0</v>
      </c>
      <c r="EU165" s="3">
        <v>0</v>
      </c>
      <c r="EV165" s="3">
        <v>0</v>
      </c>
      <c r="EW165" s="3">
        <v>0</v>
      </c>
      <c r="EX165" s="3">
        <v>0</v>
      </c>
      <c r="EY165" s="3">
        <v>0</v>
      </c>
      <c r="FA165" s="319" t="s">
        <v>2840</v>
      </c>
      <c r="FB165" s="3">
        <v>0</v>
      </c>
      <c r="FC165" s="3"/>
      <c r="FD165" s="3"/>
      <c r="FE165" s="3"/>
      <c r="FF165" s="3"/>
      <c r="FG165" s="3">
        <v>0</v>
      </c>
      <c r="FH165" s="3"/>
      <c r="FI165" s="3"/>
      <c r="FJ165" s="3"/>
      <c r="FK165" s="3"/>
      <c r="FM165" s="319" t="s">
        <v>1676</v>
      </c>
      <c r="FN165" s="3"/>
      <c r="FO165" s="3"/>
      <c r="FP165" s="3"/>
      <c r="FQ165" s="3"/>
      <c r="FR165" s="3"/>
      <c r="FS165" s="3"/>
      <c r="FT165" s="3"/>
      <c r="FU165" s="3"/>
      <c r="FV165" s="3"/>
      <c r="FW165" s="3"/>
      <c r="FY165" s="319" t="s">
        <v>3279</v>
      </c>
      <c r="FZ165" s="3">
        <v>0</v>
      </c>
      <c r="GA165" s="3">
        <v>0</v>
      </c>
      <c r="GB165" s="3">
        <v>0</v>
      </c>
      <c r="GC165" s="3">
        <v>0</v>
      </c>
      <c r="GD165" s="3">
        <v>0</v>
      </c>
      <c r="GE165" s="3">
        <v>0</v>
      </c>
      <c r="GF165" s="3">
        <v>0</v>
      </c>
      <c r="GG165" s="3">
        <v>0</v>
      </c>
      <c r="GH165" s="3">
        <v>0</v>
      </c>
      <c r="GI165" s="3">
        <v>0</v>
      </c>
      <c r="GK165" s="319" t="s">
        <v>2292</v>
      </c>
      <c r="GL165" s="3"/>
      <c r="GM165" s="3"/>
      <c r="GN165" s="3"/>
      <c r="GO165" s="3"/>
      <c r="GP165" s="3"/>
      <c r="GQ165" s="3"/>
      <c r="GR165" s="3"/>
      <c r="GS165" s="3"/>
      <c r="GT165" s="3"/>
      <c r="GU165" s="3"/>
      <c r="GW165" s="319" t="s">
        <v>698</v>
      </c>
      <c r="GX165" s="3">
        <v>0</v>
      </c>
      <c r="GY165" s="3">
        <v>0</v>
      </c>
      <c r="GZ165" s="3">
        <v>0</v>
      </c>
      <c r="HA165" s="3">
        <v>0</v>
      </c>
      <c r="HB165" s="3">
        <v>0</v>
      </c>
      <c r="HC165" s="3">
        <v>0</v>
      </c>
      <c r="HD165" s="3">
        <v>0</v>
      </c>
      <c r="HE165" s="3">
        <v>0</v>
      </c>
      <c r="HF165" s="3">
        <v>0</v>
      </c>
      <c r="HG165" s="3">
        <v>0</v>
      </c>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row>
    <row r="166" spans="1:256" s="319" customFormat="1" ht="12.75" customHeight="1">
      <c r="A166" s="319" t="s">
        <v>4590</v>
      </c>
      <c r="B166" s="646"/>
      <c r="C166" s="3"/>
      <c r="D166" s="646"/>
      <c r="E166" s="3"/>
      <c r="F166" s="646"/>
      <c r="G166" s="646"/>
      <c r="H166" s="3"/>
      <c r="I166" s="646"/>
      <c r="J166" s="3"/>
      <c r="K166" s="646"/>
      <c r="M166" s="319" t="s">
        <v>5445</v>
      </c>
      <c r="N166" s="3"/>
      <c r="O166" s="3"/>
      <c r="P166" s="3"/>
      <c r="Q166" s="3"/>
      <c r="R166" s="3"/>
      <c r="S166" s="3"/>
      <c r="T166" s="3"/>
      <c r="U166" s="3"/>
      <c r="V166" s="3"/>
      <c r="W166" s="3"/>
      <c r="X166" s="556"/>
      <c r="Y166" s="556" t="s">
        <v>1685</v>
      </c>
      <c r="Z166" s="3"/>
      <c r="AA166" s="3"/>
      <c r="AB166" s="3"/>
      <c r="AC166" s="3"/>
      <c r="AD166" s="3"/>
      <c r="AE166" s="3"/>
      <c r="AF166" s="3"/>
      <c r="AG166" s="3"/>
      <c r="AH166" s="3"/>
      <c r="AI166" s="3"/>
      <c r="AK166" s="556" t="s">
        <v>3407</v>
      </c>
      <c r="AL166" s="3"/>
      <c r="AM166" s="3"/>
      <c r="AN166" s="3"/>
      <c r="AO166" s="3"/>
      <c r="AP166" s="3"/>
      <c r="AQ166" s="3"/>
      <c r="AR166" s="3"/>
      <c r="AS166" s="3"/>
      <c r="AT166" s="3"/>
      <c r="AU166" s="3"/>
      <c r="AW166" s="319" t="s">
        <v>412</v>
      </c>
      <c r="AX166" s="646"/>
      <c r="AY166" s="3"/>
      <c r="AZ166" s="646"/>
      <c r="BA166" s="3"/>
      <c r="BB166" s="646"/>
      <c r="BC166" s="646"/>
      <c r="BD166" s="3"/>
      <c r="BE166" s="646"/>
      <c r="BF166" s="3"/>
      <c r="BG166" s="646"/>
      <c r="BI166" s="319" t="s">
        <v>959</v>
      </c>
      <c r="BJ166" s="3"/>
      <c r="BK166" s="3"/>
      <c r="BL166" s="3"/>
      <c r="BM166" s="3"/>
      <c r="BN166" s="3"/>
      <c r="BO166" s="3"/>
      <c r="BP166" s="3"/>
      <c r="BQ166" s="3"/>
      <c r="BR166" s="3"/>
      <c r="BS166" s="3"/>
      <c r="BU166" s="319" t="s">
        <v>4076</v>
      </c>
      <c r="BV166" s="3">
        <v>0</v>
      </c>
      <c r="BW166" s="3">
        <v>0</v>
      </c>
      <c r="BX166" s="3">
        <v>0</v>
      </c>
      <c r="BY166" s="3">
        <v>0</v>
      </c>
      <c r="BZ166" s="3">
        <v>0</v>
      </c>
      <c r="CA166" s="3">
        <v>0</v>
      </c>
      <c r="CB166" s="3">
        <v>0</v>
      </c>
      <c r="CC166" s="3">
        <v>0</v>
      </c>
      <c r="CD166" s="3">
        <v>0</v>
      </c>
      <c r="CE166" s="3">
        <v>0</v>
      </c>
      <c r="CG166" s="319" t="s">
        <v>5097</v>
      </c>
      <c r="CH166" s="3"/>
      <c r="CI166" s="3"/>
      <c r="CJ166" s="3"/>
      <c r="CK166" s="3"/>
      <c r="CL166" s="3"/>
      <c r="CM166" s="3"/>
      <c r="CN166" s="3"/>
      <c r="CO166" s="3"/>
      <c r="CP166" s="3"/>
      <c r="CQ166" s="3"/>
      <c r="CS166" s="319" t="s">
        <v>5749</v>
      </c>
      <c r="CT166" s="3">
        <v>1</v>
      </c>
      <c r="CU166" s="3">
        <v>1</v>
      </c>
      <c r="CV166" s="3">
        <v>1</v>
      </c>
      <c r="CW166" s="3">
        <v>1</v>
      </c>
      <c r="CX166" s="3">
        <v>1</v>
      </c>
      <c r="CY166" s="3">
        <v>1</v>
      </c>
      <c r="CZ166" s="3">
        <v>1</v>
      </c>
      <c r="DA166" s="3">
        <v>1</v>
      </c>
      <c r="DB166" s="3">
        <v>1</v>
      </c>
      <c r="DC166" s="3">
        <v>1</v>
      </c>
      <c r="DE166" s="319" t="s">
        <v>4699</v>
      </c>
      <c r="DF166" s="3"/>
      <c r="DG166" s="3"/>
      <c r="DH166" s="3"/>
      <c r="DI166" s="3"/>
      <c r="DJ166" s="3"/>
      <c r="DK166" s="3"/>
      <c r="DL166" s="3"/>
      <c r="DM166" s="3"/>
      <c r="DN166" s="3"/>
      <c r="DO166" s="3"/>
      <c r="DQ166" s="319" t="s">
        <v>4145</v>
      </c>
      <c r="DR166" s="3"/>
      <c r="DS166" s="3"/>
      <c r="DT166" s="3"/>
      <c r="DU166" s="3"/>
      <c r="DV166" s="3"/>
      <c r="DW166" s="3"/>
      <c r="DX166" s="3"/>
      <c r="DY166" s="3"/>
      <c r="DZ166" s="3"/>
      <c r="EA166" s="3"/>
      <c r="EC166" s="319" t="s">
        <v>4870</v>
      </c>
      <c r="ED166" s="3"/>
      <c r="EE166" s="3"/>
      <c r="EF166" s="3"/>
      <c r="EG166" s="3"/>
      <c r="EH166" s="3"/>
      <c r="EI166" s="3"/>
      <c r="EJ166" s="3"/>
      <c r="EK166" s="3"/>
      <c r="EL166" s="3"/>
      <c r="EM166" s="3"/>
      <c r="EO166" s="319" t="s">
        <v>5752</v>
      </c>
      <c r="EP166" s="3">
        <v>0</v>
      </c>
      <c r="EQ166" s="3">
        <v>0</v>
      </c>
      <c r="ER166" s="3">
        <v>0</v>
      </c>
      <c r="ES166" s="3">
        <v>0</v>
      </c>
      <c r="ET166" s="3">
        <v>0</v>
      </c>
      <c r="EU166" s="3">
        <v>0</v>
      </c>
      <c r="EV166" s="3">
        <v>0</v>
      </c>
      <c r="EW166" s="3">
        <v>0</v>
      </c>
      <c r="EX166" s="3">
        <v>0</v>
      </c>
      <c r="EY166" s="3">
        <v>0</v>
      </c>
      <c r="FA166" s="319" t="s">
        <v>513</v>
      </c>
      <c r="FB166" s="3">
        <v>0</v>
      </c>
      <c r="FC166" s="3"/>
      <c r="FD166" s="3"/>
      <c r="FE166" s="3"/>
      <c r="FF166" s="3"/>
      <c r="FG166" s="3">
        <v>0</v>
      </c>
      <c r="FH166" s="3"/>
      <c r="FI166" s="3"/>
      <c r="FJ166" s="3"/>
      <c r="FK166" s="3"/>
      <c r="FM166" s="319" t="s">
        <v>4320</v>
      </c>
      <c r="FN166" s="3"/>
      <c r="FO166" s="3"/>
      <c r="FP166" s="3"/>
      <c r="FQ166" s="3"/>
      <c r="FR166" s="3"/>
      <c r="FS166" s="3"/>
      <c r="FT166" s="3"/>
      <c r="FU166" s="3"/>
      <c r="FV166" s="3"/>
      <c r="FW166" s="3"/>
      <c r="FY166" s="319" t="s">
        <v>2075</v>
      </c>
      <c r="FZ166" s="3">
        <v>0</v>
      </c>
      <c r="GA166" s="3">
        <v>0</v>
      </c>
      <c r="GB166" s="3">
        <v>0</v>
      </c>
      <c r="GC166" s="3">
        <v>0</v>
      </c>
      <c r="GD166" s="3">
        <v>0</v>
      </c>
      <c r="GE166" s="3">
        <v>0</v>
      </c>
      <c r="GF166" s="3">
        <v>0</v>
      </c>
      <c r="GG166" s="3">
        <v>0</v>
      </c>
      <c r="GH166" s="3">
        <v>0</v>
      </c>
      <c r="GI166" s="3">
        <v>0</v>
      </c>
      <c r="GK166" s="319" t="s">
        <v>2293</v>
      </c>
      <c r="GL166" s="3">
        <v>1</v>
      </c>
      <c r="GM166" s="3">
        <v>1</v>
      </c>
      <c r="GN166" s="3">
        <v>1</v>
      </c>
      <c r="GO166" s="3">
        <v>1</v>
      </c>
      <c r="GP166" s="3">
        <v>1</v>
      </c>
      <c r="GQ166" s="3">
        <v>1</v>
      </c>
      <c r="GR166" s="3">
        <v>1</v>
      </c>
      <c r="GS166" s="3">
        <v>1</v>
      </c>
      <c r="GT166" s="3">
        <v>1</v>
      </c>
      <c r="GU166" s="3">
        <v>1</v>
      </c>
      <c r="GW166" s="319" t="s">
        <v>3987</v>
      </c>
      <c r="GX166" s="3">
        <v>0</v>
      </c>
      <c r="GY166" s="3">
        <v>0</v>
      </c>
      <c r="GZ166" s="3">
        <v>0</v>
      </c>
      <c r="HA166" s="3">
        <v>0</v>
      </c>
      <c r="HB166" s="3">
        <v>0</v>
      </c>
      <c r="HC166" s="3">
        <v>0</v>
      </c>
      <c r="HD166" s="3">
        <v>0</v>
      </c>
      <c r="HE166" s="3">
        <v>0</v>
      </c>
      <c r="HF166" s="3">
        <v>0</v>
      </c>
      <c r="HG166" s="3">
        <v>0</v>
      </c>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row>
    <row r="167" spans="1:256" s="319" customFormat="1" ht="12.75" customHeight="1">
      <c r="A167" s="319" t="s">
        <v>4591</v>
      </c>
      <c r="B167" s="646"/>
      <c r="C167" s="3"/>
      <c r="D167" s="646"/>
      <c r="E167" s="3"/>
      <c r="F167" s="646"/>
      <c r="G167" s="646"/>
      <c r="H167" s="3"/>
      <c r="I167" s="646"/>
      <c r="J167" s="3"/>
      <c r="K167" s="646"/>
      <c r="M167" s="319" t="s">
        <v>1599</v>
      </c>
      <c r="N167" s="3"/>
      <c r="O167" s="3"/>
      <c r="P167" s="3"/>
      <c r="Q167" s="3"/>
      <c r="R167" s="3"/>
      <c r="S167" s="3"/>
      <c r="T167" s="3"/>
      <c r="U167" s="3"/>
      <c r="V167" s="3"/>
      <c r="W167" s="3"/>
      <c r="X167" s="556"/>
      <c r="Y167" s="556" t="s">
        <v>5482</v>
      </c>
      <c r="Z167" s="3"/>
      <c r="AA167" s="3"/>
      <c r="AB167" s="3"/>
      <c r="AC167" s="3"/>
      <c r="AD167" s="3"/>
      <c r="AE167" s="3"/>
      <c r="AF167" s="3"/>
      <c r="AG167" s="3"/>
      <c r="AH167" s="3"/>
      <c r="AI167" s="3"/>
      <c r="AK167" s="556" t="s">
        <v>4629</v>
      </c>
      <c r="AL167" s="3"/>
      <c r="AM167" s="3"/>
      <c r="AN167" s="3"/>
      <c r="AO167" s="3"/>
      <c r="AP167" s="3"/>
      <c r="AQ167" s="3"/>
      <c r="AR167" s="3"/>
      <c r="AS167" s="3"/>
      <c r="AT167" s="3"/>
      <c r="AU167" s="3"/>
      <c r="AW167" s="319" t="s">
        <v>2634</v>
      </c>
      <c r="AX167" s="646">
        <v>0</v>
      </c>
      <c r="AY167" s="3">
        <v>0</v>
      </c>
      <c r="AZ167" s="646">
        <v>0</v>
      </c>
      <c r="BA167" s="3">
        <v>0</v>
      </c>
      <c r="BB167" s="646">
        <v>0</v>
      </c>
      <c r="BC167" s="646">
        <v>0</v>
      </c>
      <c r="BD167" s="3">
        <v>0</v>
      </c>
      <c r="BE167" s="646">
        <v>0</v>
      </c>
      <c r="BF167" s="3">
        <v>0</v>
      </c>
      <c r="BG167" s="646">
        <v>0</v>
      </c>
      <c r="BI167" s="319" t="s">
        <v>3336</v>
      </c>
      <c r="BJ167" s="3"/>
      <c r="BK167" s="3"/>
      <c r="BL167" s="3"/>
      <c r="BM167" s="3"/>
      <c r="BN167" s="3"/>
      <c r="BO167" s="3"/>
      <c r="BP167" s="3"/>
      <c r="BQ167" s="3"/>
      <c r="BR167" s="3"/>
      <c r="BS167" s="3"/>
      <c r="BU167" s="319" t="s">
        <v>1102</v>
      </c>
      <c r="BV167" s="3"/>
      <c r="BW167" s="3"/>
      <c r="BX167" s="3"/>
      <c r="BY167" s="3"/>
      <c r="BZ167" s="3"/>
      <c r="CA167" s="3"/>
      <c r="CB167" s="3"/>
      <c r="CC167" s="3"/>
      <c r="CD167" s="3"/>
      <c r="CE167" s="3"/>
      <c r="CG167" s="319" t="s">
        <v>4589</v>
      </c>
      <c r="CH167" s="3"/>
      <c r="CI167" s="3"/>
      <c r="CJ167" s="3"/>
      <c r="CK167" s="3"/>
      <c r="CL167" s="3"/>
      <c r="CM167" s="3"/>
      <c r="CN167" s="3"/>
      <c r="CO167" s="3"/>
      <c r="CP167" s="3"/>
      <c r="CQ167" s="3"/>
      <c r="CS167" s="319" t="s">
        <v>5750</v>
      </c>
      <c r="CT167" s="3"/>
      <c r="CU167" s="3"/>
      <c r="CV167" s="3"/>
      <c r="CW167" s="3"/>
      <c r="CX167" s="3"/>
      <c r="CY167" s="3"/>
      <c r="CZ167" s="3"/>
      <c r="DA167" s="3"/>
      <c r="DB167" s="3"/>
      <c r="DC167" s="3"/>
      <c r="DE167" s="319" t="s">
        <v>1187</v>
      </c>
      <c r="DF167" s="3"/>
      <c r="DG167" s="3"/>
      <c r="DH167" s="3"/>
      <c r="DI167" s="3"/>
      <c r="DJ167" s="3"/>
      <c r="DK167" s="3"/>
      <c r="DL167" s="3"/>
      <c r="DM167" s="3"/>
      <c r="DN167" s="3"/>
      <c r="DO167" s="3"/>
      <c r="DQ167" s="319" t="s">
        <v>3753</v>
      </c>
      <c r="DR167" s="3">
        <v>0</v>
      </c>
      <c r="DS167" s="3">
        <v>0</v>
      </c>
      <c r="DT167" s="3">
        <v>0</v>
      </c>
      <c r="DU167" s="3">
        <v>0</v>
      </c>
      <c r="DV167" s="3">
        <v>0</v>
      </c>
      <c r="DW167" s="3">
        <v>0</v>
      </c>
      <c r="DX167" s="3">
        <v>0</v>
      </c>
      <c r="DY167" s="3">
        <v>0</v>
      </c>
      <c r="DZ167" s="3">
        <v>0</v>
      </c>
      <c r="EA167" s="3">
        <v>0</v>
      </c>
      <c r="EC167" s="319" t="s">
        <v>4871</v>
      </c>
      <c r="ED167" s="3"/>
      <c r="EE167" s="3"/>
      <c r="EF167" s="3"/>
      <c r="EG167" s="3"/>
      <c r="EH167" s="3"/>
      <c r="EI167" s="3"/>
      <c r="EJ167" s="3"/>
      <c r="EK167" s="3"/>
      <c r="EL167" s="3"/>
      <c r="EM167" s="3"/>
      <c r="EO167" s="319" t="s">
        <v>2416</v>
      </c>
      <c r="EP167" s="3">
        <v>1</v>
      </c>
      <c r="EQ167" s="3">
        <v>1</v>
      </c>
      <c r="ER167" s="3">
        <v>1</v>
      </c>
      <c r="ES167" s="3">
        <v>1</v>
      </c>
      <c r="ET167" s="3">
        <v>1</v>
      </c>
      <c r="EU167" s="3">
        <v>1</v>
      </c>
      <c r="EV167" s="3">
        <v>1</v>
      </c>
      <c r="EW167" s="3">
        <v>1</v>
      </c>
      <c r="EX167" s="3">
        <v>1</v>
      </c>
      <c r="EY167" s="3">
        <v>1</v>
      </c>
      <c r="FA167" s="319" t="s">
        <v>514</v>
      </c>
      <c r="FB167" s="3"/>
      <c r="FC167" s="3"/>
      <c r="FD167" s="3"/>
      <c r="FE167" s="3"/>
      <c r="FF167" s="3"/>
      <c r="FG167" s="3"/>
      <c r="FH167" s="3"/>
      <c r="FI167" s="3"/>
      <c r="FJ167" s="3"/>
      <c r="FK167" s="3"/>
      <c r="FM167" s="319" t="s">
        <v>5619</v>
      </c>
      <c r="FN167" s="3"/>
      <c r="FO167" s="3"/>
      <c r="FP167" s="3"/>
      <c r="FQ167" s="3"/>
      <c r="FR167" s="3"/>
      <c r="FS167" s="3"/>
      <c r="FT167" s="3"/>
      <c r="FU167" s="3"/>
      <c r="FV167" s="3"/>
      <c r="FW167" s="3"/>
      <c r="FY167" s="319" t="s">
        <v>2076</v>
      </c>
      <c r="FZ167" s="3"/>
      <c r="GA167" s="3"/>
      <c r="GB167" s="3"/>
      <c r="GC167" s="3"/>
      <c r="GD167" s="3"/>
      <c r="GE167" s="3"/>
      <c r="GF167" s="3"/>
      <c r="GG167" s="3"/>
      <c r="GH167" s="3"/>
      <c r="GI167" s="3"/>
      <c r="GK167" s="319" t="s">
        <v>2294</v>
      </c>
      <c r="GL167" s="3">
        <v>1</v>
      </c>
      <c r="GM167" s="3">
        <v>1</v>
      </c>
      <c r="GN167" s="3">
        <v>1</v>
      </c>
      <c r="GO167" s="3">
        <v>1</v>
      </c>
      <c r="GP167" s="3">
        <v>1</v>
      </c>
      <c r="GQ167" s="3">
        <v>1</v>
      </c>
      <c r="GR167" s="3">
        <v>1</v>
      </c>
      <c r="GS167" s="3">
        <v>1</v>
      </c>
      <c r="GT167" s="3">
        <v>1</v>
      </c>
      <c r="GU167" s="3">
        <v>1</v>
      </c>
      <c r="GW167" s="319" t="s">
        <v>3988</v>
      </c>
      <c r="GX167" s="3">
        <v>0</v>
      </c>
      <c r="GY167" s="3">
        <v>0</v>
      </c>
      <c r="GZ167" s="3">
        <v>0</v>
      </c>
      <c r="HA167" s="3">
        <v>0</v>
      </c>
      <c r="HB167" s="3">
        <v>0</v>
      </c>
      <c r="HC167" s="3">
        <v>0</v>
      </c>
      <c r="HD167" s="3">
        <v>0</v>
      </c>
      <c r="HE167" s="3">
        <v>0</v>
      </c>
      <c r="HF167" s="3">
        <v>0</v>
      </c>
      <c r="HG167" s="3">
        <v>0</v>
      </c>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row>
    <row r="168" spans="1:256" s="319" customFormat="1" ht="12.75" customHeight="1">
      <c r="A168" s="319" t="s">
        <v>1955</v>
      </c>
      <c r="B168" s="646"/>
      <c r="C168" s="3"/>
      <c r="D168" s="646"/>
      <c r="E168" s="3"/>
      <c r="F168" s="646"/>
      <c r="G168" s="646"/>
      <c r="H168" s="3"/>
      <c r="I168" s="646"/>
      <c r="J168" s="3"/>
      <c r="K168" s="646"/>
      <c r="M168" s="319" t="s">
        <v>1600</v>
      </c>
      <c r="N168" s="3"/>
      <c r="O168" s="3"/>
      <c r="P168" s="3"/>
      <c r="Q168" s="3"/>
      <c r="R168" s="3"/>
      <c r="S168" s="3"/>
      <c r="T168" s="3"/>
      <c r="U168" s="3"/>
      <c r="V168" s="3"/>
      <c r="W168" s="3"/>
      <c r="X168" s="556"/>
      <c r="Y168" s="556" t="s">
        <v>1675</v>
      </c>
      <c r="Z168" s="3"/>
      <c r="AA168" s="3"/>
      <c r="AB168" s="3"/>
      <c r="AC168" s="3"/>
      <c r="AD168" s="3"/>
      <c r="AE168" s="3"/>
      <c r="AF168" s="3"/>
      <c r="AG168" s="3"/>
      <c r="AH168" s="3"/>
      <c r="AI168" s="3"/>
      <c r="AK168" s="556" t="s">
        <v>4630</v>
      </c>
      <c r="AL168" s="3"/>
      <c r="AM168" s="3"/>
      <c r="AN168" s="3"/>
      <c r="AO168" s="3"/>
      <c r="AP168" s="3"/>
      <c r="AQ168" s="3"/>
      <c r="AR168" s="3"/>
      <c r="AS168" s="3"/>
      <c r="AT168" s="3"/>
      <c r="AU168" s="3"/>
      <c r="AW168" s="319" t="s">
        <v>1225</v>
      </c>
      <c r="AX168" s="646">
        <v>0</v>
      </c>
      <c r="AY168" s="3">
        <v>0</v>
      </c>
      <c r="AZ168" s="646">
        <v>0</v>
      </c>
      <c r="BA168" s="3">
        <v>0</v>
      </c>
      <c r="BB168" s="646">
        <v>0</v>
      </c>
      <c r="BC168" s="646">
        <v>0</v>
      </c>
      <c r="BD168" s="3">
        <v>0</v>
      </c>
      <c r="BE168" s="646">
        <v>0</v>
      </c>
      <c r="BF168" s="3">
        <v>0</v>
      </c>
      <c r="BG168" s="646">
        <v>0</v>
      </c>
      <c r="BI168" s="319" t="s">
        <v>2885</v>
      </c>
      <c r="BJ168" s="3"/>
      <c r="BK168" s="3"/>
      <c r="BL168" s="3"/>
      <c r="BM168" s="3"/>
      <c r="BN168" s="3"/>
      <c r="BO168" s="3"/>
      <c r="BP168" s="3"/>
      <c r="BQ168" s="3"/>
      <c r="BR168" s="3"/>
      <c r="BS168" s="3"/>
      <c r="BU168" s="319" t="s">
        <v>5759</v>
      </c>
      <c r="BV168" s="3">
        <v>0</v>
      </c>
      <c r="BW168" s="3">
        <v>0</v>
      </c>
      <c r="BX168" s="3">
        <v>0</v>
      </c>
      <c r="BY168" s="3">
        <v>0</v>
      </c>
      <c r="BZ168" s="3">
        <v>0</v>
      </c>
      <c r="CA168" s="3">
        <v>0</v>
      </c>
      <c r="CB168" s="3">
        <v>0</v>
      </c>
      <c r="CC168" s="3">
        <v>0</v>
      </c>
      <c r="CD168" s="3">
        <v>0</v>
      </c>
      <c r="CE168" s="3">
        <v>0</v>
      </c>
      <c r="CG168" s="319" t="s">
        <v>5309</v>
      </c>
      <c r="CH168" s="3"/>
      <c r="CI168" s="3"/>
      <c r="CJ168" s="3"/>
      <c r="CK168" s="3"/>
      <c r="CL168" s="3"/>
      <c r="CM168" s="3"/>
      <c r="CN168" s="3"/>
      <c r="CO168" s="3"/>
      <c r="CP168" s="3"/>
      <c r="CQ168" s="3"/>
      <c r="CS168" s="319" t="s">
        <v>1319</v>
      </c>
      <c r="CT168" s="3"/>
      <c r="CU168" s="3"/>
      <c r="CV168" s="3"/>
      <c r="CW168" s="3"/>
      <c r="CX168" s="3"/>
      <c r="CY168" s="3"/>
      <c r="CZ168" s="3"/>
      <c r="DA168" s="3"/>
      <c r="DB168" s="3"/>
      <c r="DC168" s="3"/>
      <c r="DE168" s="319" t="s">
        <v>54</v>
      </c>
      <c r="DF168" s="3"/>
      <c r="DG168" s="3"/>
      <c r="DH168" s="3"/>
      <c r="DI168" s="3"/>
      <c r="DJ168" s="3"/>
      <c r="DK168" s="3"/>
      <c r="DL168" s="3"/>
      <c r="DM168" s="3"/>
      <c r="DN168" s="3"/>
      <c r="DO168" s="3"/>
      <c r="DQ168" s="319" t="s">
        <v>5085</v>
      </c>
      <c r="DR168" s="3">
        <v>0</v>
      </c>
      <c r="DS168" s="3">
        <v>0</v>
      </c>
      <c r="DT168" s="3">
        <v>0</v>
      </c>
      <c r="DU168" s="3">
        <v>0</v>
      </c>
      <c r="DV168" s="3">
        <v>0</v>
      </c>
      <c r="DW168" s="3">
        <v>0</v>
      </c>
      <c r="DX168" s="3">
        <v>0</v>
      </c>
      <c r="DY168" s="3">
        <v>0</v>
      </c>
      <c r="DZ168" s="3">
        <v>0</v>
      </c>
      <c r="EA168" s="3">
        <v>0</v>
      </c>
      <c r="EC168" s="319" t="s">
        <v>5974</v>
      </c>
      <c r="ED168" s="3"/>
      <c r="EE168" s="3"/>
      <c r="EF168" s="3"/>
      <c r="EG168" s="3"/>
      <c r="EH168" s="3"/>
      <c r="EI168" s="3"/>
      <c r="EJ168" s="3"/>
      <c r="EK168" s="3"/>
      <c r="EL168" s="3"/>
      <c r="EM168" s="3"/>
      <c r="EO168" s="319" t="s">
        <v>2417</v>
      </c>
      <c r="EP168" s="3">
        <v>1</v>
      </c>
      <c r="EQ168" s="3">
        <v>1</v>
      </c>
      <c r="ER168" s="3">
        <v>1</v>
      </c>
      <c r="ES168" s="3">
        <v>1</v>
      </c>
      <c r="ET168" s="3">
        <v>1</v>
      </c>
      <c r="EU168" s="3">
        <v>1</v>
      </c>
      <c r="EV168" s="3">
        <v>1</v>
      </c>
      <c r="EW168" s="3">
        <v>1</v>
      </c>
      <c r="EX168" s="3">
        <v>1</v>
      </c>
      <c r="EY168" s="3">
        <v>1</v>
      </c>
      <c r="FA168" s="319" t="s">
        <v>2154</v>
      </c>
      <c r="FB168" s="3"/>
      <c r="FC168" s="3"/>
      <c r="FD168" s="3"/>
      <c r="FE168" s="3"/>
      <c r="FF168" s="3"/>
      <c r="FG168" s="3"/>
      <c r="FH168" s="3"/>
      <c r="FI168" s="3"/>
      <c r="FJ168" s="3"/>
      <c r="FK168" s="3"/>
      <c r="FM168" s="319" t="s">
        <v>5620</v>
      </c>
      <c r="FN168" s="3">
        <v>0</v>
      </c>
      <c r="FO168" s="3">
        <v>0</v>
      </c>
      <c r="FP168" s="3">
        <v>0</v>
      </c>
      <c r="FQ168" s="3">
        <v>0</v>
      </c>
      <c r="FR168" s="3">
        <v>0</v>
      </c>
      <c r="FS168" s="3">
        <v>0</v>
      </c>
      <c r="FT168" s="3">
        <v>0</v>
      </c>
      <c r="FU168" s="3">
        <v>0</v>
      </c>
      <c r="FV168" s="3">
        <v>0</v>
      </c>
      <c r="FW168" s="3">
        <v>0</v>
      </c>
      <c r="FY168" s="319" t="s">
        <v>2077</v>
      </c>
      <c r="FZ168" s="3"/>
      <c r="GA168" s="3"/>
      <c r="GB168" s="3"/>
      <c r="GC168" s="3"/>
      <c r="GD168" s="3"/>
      <c r="GE168" s="3"/>
      <c r="GF168" s="3"/>
      <c r="GG168" s="3"/>
      <c r="GH168" s="3"/>
      <c r="GI168" s="3"/>
      <c r="GK168" s="319" t="s">
        <v>2295</v>
      </c>
      <c r="GL168" s="3"/>
      <c r="GM168" s="3"/>
      <c r="GN168" s="3"/>
      <c r="GO168" s="3"/>
      <c r="GP168" s="3"/>
      <c r="GQ168" s="3"/>
      <c r="GR168" s="3"/>
      <c r="GS168" s="3"/>
      <c r="GT168" s="3"/>
      <c r="GU168" s="3"/>
      <c r="GW168" s="319" t="s">
        <v>5222</v>
      </c>
      <c r="GX168" s="3">
        <v>0</v>
      </c>
      <c r="GY168" s="3">
        <v>0</v>
      </c>
      <c r="GZ168" s="3">
        <v>0</v>
      </c>
      <c r="HA168" s="3">
        <v>0</v>
      </c>
      <c r="HB168" s="3">
        <v>0</v>
      </c>
      <c r="HC168" s="3">
        <v>0</v>
      </c>
      <c r="HD168" s="3">
        <v>0</v>
      </c>
      <c r="HE168" s="3">
        <v>0</v>
      </c>
      <c r="HF168" s="3">
        <v>0</v>
      </c>
      <c r="HG168" s="3">
        <v>0</v>
      </c>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row>
    <row r="169" spans="1:256" s="319" customFormat="1" ht="12.75" customHeight="1">
      <c r="A169" s="319" t="s">
        <v>3555</v>
      </c>
      <c r="B169" s="646"/>
      <c r="C169" s="3"/>
      <c r="D169" s="646"/>
      <c r="E169" s="3"/>
      <c r="F169" s="646"/>
      <c r="G169" s="646"/>
      <c r="H169" s="3"/>
      <c r="I169" s="646"/>
      <c r="J169" s="3"/>
      <c r="K169" s="646"/>
      <c r="M169" s="319" t="s">
        <v>3868</v>
      </c>
      <c r="N169" s="3"/>
      <c r="O169" s="3"/>
      <c r="P169" s="3"/>
      <c r="Q169" s="3"/>
      <c r="R169" s="3"/>
      <c r="S169" s="3"/>
      <c r="T169" s="3"/>
      <c r="U169" s="3"/>
      <c r="V169" s="3"/>
      <c r="W169" s="3"/>
      <c r="X169" s="556"/>
      <c r="Y169" s="556" t="s">
        <v>1676</v>
      </c>
      <c r="Z169" s="3"/>
      <c r="AA169" s="3"/>
      <c r="AB169" s="3"/>
      <c r="AC169" s="3"/>
      <c r="AD169" s="3"/>
      <c r="AE169" s="3"/>
      <c r="AF169" s="3"/>
      <c r="AG169" s="3"/>
      <c r="AH169" s="3"/>
      <c r="AI169" s="3"/>
      <c r="AK169" s="556" t="s">
        <v>350</v>
      </c>
      <c r="AL169" s="3"/>
      <c r="AM169" s="3"/>
      <c r="AN169" s="3"/>
      <c r="AO169" s="3"/>
      <c r="AP169" s="3"/>
      <c r="AQ169" s="3"/>
      <c r="AR169" s="3"/>
      <c r="AS169" s="3"/>
      <c r="AT169" s="3"/>
      <c r="AU169" s="3"/>
      <c r="AW169" s="319" t="s">
        <v>3130</v>
      </c>
      <c r="AX169" s="646">
        <v>0</v>
      </c>
      <c r="AY169" s="3">
        <v>0</v>
      </c>
      <c r="AZ169" s="646">
        <v>0</v>
      </c>
      <c r="BA169" s="3">
        <v>0</v>
      </c>
      <c r="BB169" s="646">
        <v>0</v>
      </c>
      <c r="BC169" s="646">
        <v>0</v>
      </c>
      <c r="BD169" s="3">
        <v>0</v>
      </c>
      <c r="BE169" s="646">
        <v>0</v>
      </c>
      <c r="BF169" s="3">
        <v>0</v>
      </c>
      <c r="BG169" s="646">
        <v>0</v>
      </c>
      <c r="BI169" s="319" t="s">
        <v>546</v>
      </c>
      <c r="BJ169" s="3"/>
      <c r="BK169" s="3"/>
      <c r="BL169" s="3"/>
      <c r="BM169" s="3"/>
      <c r="BN169" s="3"/>
      <c r="BO169" s="3"/>
      <c r="BP169" s="3"/>
      <c r="BQ169" s="3"/>
      <c r="BR169" s="3"/>
      <c r="BS169" s="3"/>
      <c r="BU169" s="319" t="s">
        <v>5487</v>
      </c>
      <c r="BV169" s="3"/>
      <c r="BW169" s="3"/>
      <c r="BX169" s="3"/>
      <c r="BY169" s="3"/>
      <c r="BZ169" s="3"/>
      <c r="CA169" s="3"/>
      <c r="CB169" s="3"/>
      <c r="CC169" s="3"/>
      <c r="CD169" s="3"/>
      <c r="CE169" s="3"/>
      <c r="CG169" s="319" t="s">
        <v>5310</v>
      </c>
      <c r="CH169" s="3"/>
      <c r="CI169" s="3"/>
      <c r="CJ169" s="3"/>
      <c r="CK169" s="3"/>
      <c r="CL169" s="3"/>
      <c r="CM169" s="3"/>
      <c r="CN169" s="3"/>
      <c r="CO169" s="3"/>
      <c r="CP169" s="3"/>
      <c r="CQ169" s="3"/>
      <c r="CS169" s="319" t="s">
        <v>4015</v>
      </c>
      <c r="CT169" s="3"/>
      <c r="CU169" s="3"/>
      <c r="CV169" s="3"/>
      <c r="CW169" s="3"/>
      <c r="CX169" s="3"/>
      <c r="CY169" s="3"/>
      <c r="CZ169" s="3"/>
      <c r="DA169" s="3"/>
      <c r="DB169" s="3"/>
      <c r="DC169" s="3"/>
      <c r="DE169" s="319" t="s">
        <v>55</v>
      </c>
      <c r="DF169" s="3"/>
      <c r="DG169" s="3"/>
      <c r="DH169" s="3"/>
      <c r="DI169" s="3"/>
      <c r="DJ169" s="3"/>
      <c r="DK169" s="3"/>
      <c r="DL169" s="3"/>
      <c r="DM169" s="3"/>
      <c r="DN169" s="3"/>
      <c r="DO169" s="3"/>
      <c r="DQ169" s="319" t="s">
        <v>1144</v>
      </c>
      <c r="DR169" s="3"/>
      <c r="DS169" s="3"/>
      <c r="DT169" s="3"/>
      <c r="DU169" s="3"/>
      <c r="DV169" s="3"/>
      <c r="DW169" s="3"/>
      <c r="DX169" s="3"/>
      <c r="DY169" s="3"/>
      <c r="DZ169" s="3"/>
      <c r="EA169" s="3"/>
      <c r="EC169" s="319" t="s">
        <v>2416</v>
      </c>
      <c r="ED169" s="3">
        <v>1</v>
      </c>
      <c r="EE169" s="3">
        <v>1</v>
      </c>
      <c r="EF169" s="3">
        <v>1</v>
      </c>
      <c r="EG169" s="3">
        <v>1</v>
      </c>
      <c r="EH169" s="3">
        <v>1</v>
      </c>
      <c r="EI169" s="3">
        <v>1</v>
      </c>
      <c r="EJ169" s="3">
        <v>1</v>
      </c>
      <c r="EK169" s="3">
        <v>1</v>
      </c>
      <c r="EL169" s="3">
        <v>1</v>
      </c>
      <c r="EM169" s="3">
        <v>1</v>
      </c>
      <c r="EO169" s="319" t="s">
        <v>4872</v>
      </c>
      <c r="EP169" s="3">
        <v>0</v>
      </c>
      <c r="EQ169" s="3">
        <v>0</v>
      </c>
      <c r="ER169" s="3">
        <v>0</v>
      </c>
      <c r="ES169" s="3">
        <v>0</v>
      </c>
      <c r="ET169" s="3">
        <v>0</v>
      </c>
      <c r="EU169" s="3">
        <v>0</v>
      </c>
      <c r="EV169" s="3">
        <v>0</v>
      </c>
      <c r="EW169" s="3">
        <v>0</v>
      </c>
      <c r="EX169" s="3">
        <v>0</v>
      </c>
      <c r="EY169" s="3">
        <v>0</v>
      </c>
      <c r="FA169" s="319" t="s">
        <v>51</v>
      </c>
      <c r="FB169" s="3"/>
      <c r="FC169" s="3"/>
      <c r="FD169" s="3"/>
      <c r="FE169" s="3"/>
      <c r="FF169" s="3"/>
      <c r="FG169" s="3"/>
      <c r="FH169" s="3"/>
      <c r="FI169" s="3"/>
      <c r="FJ169" s="3"/>
      <c r="FK169" s="3"/>
      <c r="FM169" s="319" t="s">
        <v>5621</v>
      </c>
      <c r="FN169" s="3">
        <v>0</v>
      </c>
      <c r="FO169" s="3">
        <v>0</v>
      </c>
      <c r="FP169" s="3">
        <v>0</v>
      </c>
      <c r="FQ169" s="3">
        <v>0</v>
      </c>
      <c r="FR169" s="3">
        <v>0</v>
      </c>
      <c r="FS169" s="3">
        <v>0</v>
      </c>
      <c r="FT169" s="3">
        <v>0</v>
      </c>
      <c r="FU169" s="3">
        <v>0</v>
      </c>
      <c r="FV169" s="3">
        <v>0</v>
      </c>
      <c r="FW169" s="3">
        <v>0</v>
      </c>
      <c r="FY169" s="319" t="s">
        <v>219</v>
      </c>
      <c r="FZ169" s="3">
        <v>0</v>
      </c>
      <c r="GA169" s="3">
        <v>0</v>
      </c>
      <c r="GB169" s="3">
        <v>0</v>
      </c>
      <c r="GC169" s="3">
        <v>0</v>
      </c>
      <c r="GD169" s="3">
        <v>0</v>
      </c>
      <c r="GE169" s="3">
        <v>0</v>
      </c>
      <c r="GF169" s="3">
        <v>0</v>
      </c>
      <c r="GG169" s="3">
        <v>0</v>
      </c>
      <c r="GH169" s="3">
        <v>0</v>
      </c>
      <c r="GI169" s="3">
        <v>0</v>
      </c>
      <c r="GK169" s="319" t="s">
        <v>2296</v>
      </c>
      <c r="GL169" s="3"/>
      <c r="GM169" s="3"/>
      <c r="GN169" s="3"/>
      <c r="GO169" s="3"/>
      <c r="GP169" s="3"/>
      <c r="GQ169" s="3"/>
      <c r="GR169" s="3"/>
      <c r="GS169" s="3"/>
      <c r="GT169" s="3"/>
      <c r="GU169" s="3"/>
      <c r="GW169" s="319" t="s">
        <v>2195</v>
      </c>
      <c r="GX169" s="3">
        <v>0</v>
      </c>
      <c r="GY169" s="3">
        <v>0</v>
      </c>
      <c r="GZ169" s="3">
        <v>0</v>
      </c>
      <c r="HA169" s="3">
        <v>0</v>
      </c>
      <c r="HB169" s="3">
        <v>0</v>
      </c>
      <c r="HC169" s="3">
        <v>0</v>
      </c>
      <c r="HD169" s="3">
        <v>0</v>
      </c>
      <c r="HE169" s="3">
        <v>0</v>
      </c>
      <c r="HF169" s="3">
        <v>0</v>
      </c>
      <c r="HG169" s="3">
        <v>0</v>
      </c>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row>
    <row r="170" spans="1:256" s="319" customFormat="1" ht="12.75" customHeight="1">
      <c r="A170" s="319" t="s">
        <v>3556</v>
      </c>
      <c r="B170" s="646"/>
      <c r="C170" s="3"/>
      <c r="D170" s="646"/>
      <c r="E170" s="3"/>
      <c r="F170" s="646"/>
      <c r="G170" s="646"/>
      <c r="H170" s="3"/>
      <c r="I170" s="646"/>
      <c r="J170" s="3"/>
      <c r="K170" s="646"/>
      <c r="M170" s="319" t="s">
        <v>3474</v>
      </c>
      <c r="N170" s="3"/>
      <c r="O170" s="3"/>
      <c r="P170" s="3"/>
      <c r="Q170" s="3"/>
      <c r="R170" s="3"/>
      <c r="S170" s="3"/>
      <c r="T170" s="3"/>
      <c r="U170" s="3"/>
      <c r="V170" s="3"/>
      <c r="W170" s="3"/>
      <c r="X170" s="556"/>
      <c r="Y170" s="556" t="s">
        <v>5276</v>
      </c>
      <c r="Z170" s="3">
        <v>0</v>
      </c>
      <c r="AA170" s="3">
        <v>0</v>
      </c>
      <c r="AB170" s="3">
        <v>0</v>
      </c>
      <c r="AC170" s="3">
        <v>0</v>
      </c>
      <c r="AD170" s="3">
        <v>0</v>
      </c>
      <c r="AE170" s="3">
        <v>0</v>
      </c>
      <c r="AF170" s="3">
        <v>0</v>
      </c>
      <c r="AG170" s="3">
        <v>0</v>
      </c>
      <c r="AH170" s="3">
        <v>0</v>
      </c>
      <c r="AI170" s="3">
        <v>0</v>
      </c>
      <c r="AK170" s="556" t="s">
        <v>502</v>
      </c>
      <c r="AL170" s="3">
        <v>0</v>
      </c>
      <c r="AM170" s="3">
        <v>0</v>
      </c>
      <c r="AN170" s="3">
        <v>0</v>
      </c>
      <c r="AO170" s="3">
        <v>0</v>
      </c>
      <c r="AP170" s="3">
        <v>0</v>
      </c>
      <c r="AQ170" s="3">
        <v>0</v>
      </c>
      <c r="AR170" s="3">
        <v>0</v>
      </c>
      <c r="AS170" s="3">
        <v>0</v>
      </c>
      <c r="AT170" s="3">
        <v>0</v>
      </c>
      <c r="AU170" s="3">
        <v>0</v>
      </c>
      <c r="AW170" s="319" t="s">
        <v>3131</v>
      </c>
      <c r="AX170" s="646">
        <v>0</v>
      </c>
      <c r="AY170" s="3">
        <v>0</v>
      </c>
      <c r="AZ170" s="646">
        <v>0</v>
      </c>
      <c r="BA170" s="3">
        <v>0</v>
      </c>
      <c r="BB170" s="646">
        <v>0</v>
      </c>
      <c r="BC170" s="646">
        <v>0</v>
      </c>
      <c r="BD170" s="3">
        <v>0</v>
      </c>
      <c r="BE170" s="646">
        <v>0</v>
      </c>
      <c r="BF170" s="3">
        <v>0</v>
      </c>
      <c r="BG170" s="646">
        <v>0</v>
      </c>
      <c r="BI170" s="319" t="s">
        <v>4070</v>
      </c>
      <c r="BJ170" s="3"/>
      <c r="BK170" s="3"/>
      <c r="BL170" s="3"/>
      <c r="BM170" s="3"/>
      <c r="BN170" s="3"/>
      <c r="BO170" s="3"/>
      <c r="BP170" s="3"/>
      <c r="BQ170" s="3"/>
      <c r="BR170" s="3"/>
      <c r="BS170" s="3"/>
      <c r="BU170" s="319" t="s">
        <v>4482</v>
      </c>
      <c r="BV170" s="3"/>
      <c r="BW170" s="3"/>
      <c r="BX170" s="3"/>
      <c r="BY170" s="3"/>
      <c r="BZ170" s="3"/>
      <c r="CA170" s="3"/>
      <c r="CB170" s="3"/>
      <c r="CC170" s="3"/>
      <c r="CD170" s="3"/>
      <c r="CE170" s="3"/>
      <c r="CG170" s="319" t="s">
        <v>3683</v>
      </c>
      <c r="CH170" s="3"/>
      <c r="CI170" s="3"/>
      <c r="CJ170" s="3"/>
      <c r="CK170" s="3"/>
      <c r="CL170" s="3"/>
      <c r="CM170" s="3"/>
      <c r="CN170" s="3"/>
      <c r="CO170" s="3"/>
      <c r="CP170" s="3"/>
      <c r="CQ170" s="3"/>
      <c r="CS170" s="319" t="s">
        <v>1463</v>
      </c>
      <c r="CT170" s="3"/>
      <c r="CU170" s="3"/>
      <c r="CV170" s="3"/>
      <c r="CW170" s="3"/>
      <c r="CX170" s="3"/>
      <c r="CY170" s="3"/>
      <c r="CZ170" s="3"/>
      <c r="DA170" s="3"/>
      <c r="DB170" s="3"/>
      <c r="DC170" s="3"/>
      <c r="DE170" s="319" t="s">
        <v>5911</v>
      </c>
      <c r="DF170" s="3"/>
      <c r="DG170" s="3"/>
      <c r="DH170" s="3"/>
      <c r="DI170" s="3"/>
      <c r="DJ170" s="3"/>
      <c r="DK170" s="3"/>
      <c r="DL170" s="3"/>
      <c r="DM170" s="3"/>
      <c r="DN170" s="3"/>
      <c r="DO170" s="3"/>
      <c r="DQ170" s="319" t="s">
        <v>1145</v>
      </c>
      <c r="DR170" s="3"/>
      <c r="DS170" s="3"/>
      <c r="DT170" s="3"/>
      <c r="DU170" s="3"/>
      <c r="DV170" s="3"/>
      <c r="DW170" s="3"/>
      <c r="DX170" s="3"/>
      <c r="DY170" s="3"/>
      <c r="DZ170" s="3"/>
      <c r="EA170" s="3"/>
      <c r="EC170" s="319" t="s">
        <v>2417</v>
      </c>
      <c r="ED170" s="3">
        <v>1</v>
      </c>
      <c r="EE170" s="3">
        <v>1</v>
      </c>
      <c r="EF170" s="3">
        <v>1</v>
      </c>
      <c r="EG170" s="3">
        <v>1</v>
      </c>
      <c r="EH170" s="3">
        <v>1</v>
      </c>
      <c r="EI170" s="3">
        <v>1</v>
      </c>
      <c r="EJ170" s="3">
        <v>1</v>
      </c>
      <c r="EK170" s="3">
        <v>1</v>
      </c>
      <c r="EL170" s="3">
        <v>1</v>
      </c>
      <c r="EM170" s="3">
        <v>1</v>
      </c>
      <c r="FA170" s="319" t="s">
        <v>4688</v>
      </c>
      <c r="FB170" s="3"/>
      <c r="FC170" s="3"/>
      <c r="FD170" s="3"/>
      <c r="FE170" s="3"/>
      <c r="FF170" s="3"/>
      <c r="FG170" s="3"/>
      <c r="FH170" s="3"/>
      <c r="FI170" s="3"/>
      <c r="FJ170" s="3"/>
      <c r="FK170" s="3"/>
      <c r="FM170" s="319" t="s">
        <v>5622</v>
      </c>
      <c r="FN170" s="3">
        <v>0</v>
      </c>
      <c r="FO170" s="3">
        <v>0</v>
      </c>
      <c r="FP170" s="3">
        <v>0</v>
      </c>
      <c r="FQ170" s="3">
        <v>0</v>
      </c>
      <c r="FR170" s="3">
        <v>0</v>
      </c>
      <c r="FS170" s="3">
        <v>0</v>
      </c>
      <c r="FT170" s="3">
        <v>0</v>
      </c>
      <c r="FU170" s="3">
        <v>0</v>
      </c>
      <c r="FV170" s="3">
        <v>0</v>
      </c>
      <c r="FW170" s="3">
        <v>0</v>
      </c>
      <c r="GK170" s="319" t="s">
        <v>3039</v>
      </c>
      <c r="GL170" s="3">
        <v>0</v>
      </c>
      <c r="GM170" s="3">
        <v>0</v>
      </c>
      <c r="GN170" s="3">
        <v>0</v>
      </c>
      <c r="GO170" s="3">
        <v>0</v>
      </c>
      <c r="GP170" s="3">
        <v>0</v>
      </c>
      <c r="GQ170" s="3">
        <v>0</v>
      </c>
      <c r="GR170" s="3">
        <v>0</v>
      </c>
      <c r="GS170" s="3">
        <v>0</v>
      </c>
      <c r="GT170" s="3">
        <v>0</v>
      </c>
      <c r="GU170" s="3">
        <v>0</v>
      </c>
      <c r="GW170" s="319" t="s">
        <v>1233</v>
      </c>
      <c r="GX170" s="3">
        <v>0</v>
      </c>
      <c r="GY170" s="3">
        <v>0</v>
      </c>
      <c r="GZ170" s="3">
        <v>0</v>
      </c>
      <c r="HA170" s="3">
        <v>0</v>
      </c>
      <c r="HB170" s="3">
        <v>0</v>
      </c>
      <c r="HC170" s="3">
        <v>0</v>
      </c>
      <c r="HD170" s="3">
        <v>0</v>
      </c>
      <c r="HE170" s="3">
        <v>0</v>
      </c>
      <c r="HF170" s="3">
        <v>0</v>
      </c>
      <c r="HG170" s="3">
        <v>0</v>
      </c>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row>
    <row r="171" spans="1:256" s="319" customFormat="1" ht="12.75" customHeight="1">
      <c r="A171" s="319" t="s">
        <v>4375</v>
      </c>
      <c r="B171" s="646"/>
      <c r="C171" s="3"/>
      <c r="D171" s="646"/>
      <c r="E171" s="3"/>
      <c r="F171" s="646"/>
      <c r="G171" s="646"/>
      <c r="H171" s="3"/>
      <c r="I171" s="646"/>
      <c r="J171" s="3"/>
      <c r="K171" s="646"/>
      <c r="M171" s="319" t="s">
        <v>3464</v>
      </c>
      <c r="N171" s="3"/>
      <c r="O171" s="3"/>
      <c r="P171" s="3"/>
      <c r="Q171" s="3"/>
      <c r="R171" s="3"/>
      <c r="S171" s="3"/>
      <c r="T171" s="3"/>
      <c r="U171" s="3"/>
      <c r="V171" s="3"/>
      <c r="W171" s="3"/>
      <c r="X171" s="556"/>
      <c r="Y171" s="556" t="s">
        <v>5277</v>
      </c>
      <c r="Z171" s="3">
        <v>0</v>
      </c>
      <c r="AA171" s="3">
        <v>0</v>
      </c>
      <c r="AB171" s="3">
        <v>0</v>
      </c>
      <c r="AC171" s="3">
        <v>0</v>
      </c>
      <c r="AD171" s="3">
        <v>0</v>
      </c>
      <c r="AE171" s="3">
        <v>0</v>
      </c>
      <c r="AF171" s="3">
        <v>0</v>
      </c>
      <c r="AG171" s="3">
        <v>0</v>
      </c>
      <c r="AH171" s="3">
        <v>0</v>
      </c>
      <c r="AI171" s="3">
        <v>0</v>
      </c>
      <c r="AK171" s="556" t="s">
        <v>4893</v>
      </c>
      <c r="AL171" s="3"/>
      <c r="AM171" s="3"/>
      <c r="AN171" s="3"/>
      <c r="AO171" s="3"/>
      <c r="AP171" s="3"/>
      <c r="AQ171" s="3"/>
      <c r="AR171" s="3"/>
      <c r="AS171" s="3"/>
      <c r="AT171" s="3"/>
      <c r="AU171" s="3"/>
      <c r="AW171" s="319" t="s">
        <v>1881</v>
      </c>
      <c r="AX171" s="646">
        <v>0</v>
      </c>
      <c r="AY171" s="3">
        <v>0</v>
      </c>
      <c r="AZ171" s="646">
        <v>0</v>
      </c>
      <c r="BA171" s="3">
        <v>0</v>
      </c>
      <c r="BB171" s="646">
        <v>0</v>
      </c>
      <c r="BC171" s="646">
        <v>0</v>
      </c>
      <c r="BD171" s="3">
        <v>0</v>
      </c>
      <c r="BE171" s="646">
        <v>0</v>
      </c>
      <c r="BF171" s="3">
        <v>0</v>
      </c>
      <c r="BG171" s="646">
        <v>0</v>
      </c>
      <c r="BI171" s="319" t="s">
        <v>5774</v>
      </c>
      <c r="BJ171" s="3">
        <v>0</v>
      </c>
      <c r="BK171" s="3">
        <v>0</v>
      </c>
      <c r="BL171" s="3">
        <v>0</v>
      </c>
      <c r="BM171" s="3">
        <v>0</v>
      </c>
      <c r="BN171" s="3">
        <v>0</v>
      </c>
      <c r="BO171" s="3">
        <v>0</v>
      </c>
      <c r="BP171" s="3">
        <v>0</v>
      </c>
      <c r="BQ171" s="3">
        <v>0</v>
      </c>
      <c r="BR171" s="3">
        <v>0</v>
      </c>
      <c r="BS171" s="3">
        <v>0</v>
      </c>
      <c r="BU171" s="319" t="s">
        <v>5423</v>
      </c>
      <c r="BV171" s="3">
        <v>0</v>
      </c>
      <c r="BW171" s="3">
        <v>0</v>
      </c>
      <c r="BX171" s="3">
        <v>0</v>
      </c>
      <c r="BY171" s="3">
        <v>0</v>
      </c>
      <c r="BZ171" s="3">
        <v>0</v>
      </c>
      <c r="CA171" s="3">
        <v>0</v>
      </c>
      <c r="CB171" s="3">
        <v>0</v>
      </c>
      <c r="CC171" s="3">
        <v>0</v>
      </c>
      <c r="CD171" s="3">
        <v>0</v>
      </c>
      <c r="CE171" s="3">
        <v>0</v>
      </c>
      <c r="CG171" s="319" t="s">
        <v>3684</v>
      </c>
      <c r="CH171" s="3"/>
      <c r="CI171" s="3"/>
      <c r="CJ171" s="3"/>
      <c r="CK171" s="3"/>
      <c r="CL171" s="3"/>
      <c r="CM171" s="3"/>
      <c r="CN171" s="3"/>
      <c r="CO171" s="3"/>
      <c r="CP171" s="3"/>
      <c r="CQ171" s="3"/>
      <c r="CS171" s="319" t="s">
        <v>4814</v>
      </c>
      <c r="CT171" s="3">
        <v>1</v>
      </c>
      <c r="CU171" s="3">
        <v>1</v>
      </c>
      <c r="CV171" s="3">
        <v>1</v>
      </c>
      <c r="CW171" s="3">
        <v>1</v>
      </c>
      <c r="CX171" s="3">
        <v>1</v>
      </c>
      <c r="CY171" s="3">
        <v>1</v>
      </c>
      <c r="CZ171" s="3">
        <v>1</v>
      </c>
      <c r="DA171" s="3">
        <v>1</v>
      </c>
      <c r="DB171" s="3">
        <v>1</v>
      </c>
      <c r="DC171" s="3">
        <v>1</v>
      </c>
      <c r="DE171" s="319" t="s">
        <v>4880</v>
      </c>
      <c r="DF171" s="3"/>
      <c r="DG171" s="3"/>
      <c r="DH171" s="3"/>
      <c r="DI171" s="3"/>
      <c r="DJ171" s="3"/>
      <c r="DK171" s="3"/>
      <c r="DL171" s="3"/>
      <c r="DM171" s="3"/>
      <c r="DN171" s="3"/>
      <c r="DO171" s="3"/>
      <c r="DQ171" s="319" t="s">
        <v>1146</v>
      </c>
      <c r="DR171" s="3"/>
      <c r="DS171" s="3"/>
      <c r="DT171" s="3"/>
      <c r="DU171" s="3"/>
      <c r="DV171" s="3"/>
      <c r="DW171" s="3"/>
      <c r="DX171" s="3"/>
      <c r="DY171" s="3"/>
      <c r="DZ171" s="3"/>
      <c r="EA171" s="3"/>
      <c r="FA171" s="319" t="s">
        <v>2124</v>
      </c>
      <c r="FB171" s="3"/>
      <c r="FC171" s="3"/>
      <c r="FD171" s="3"/>
      <c r="FE171" s="3"/>
      <c r="FF171" s="3"/>
      <c r="FG171" s="3"/>
      <c r="FH171" s="3"/>
      <c r="FI171" s="3"/>
      <c r="FJ171" s="3"/>
      <c r="FK171" s="3"/>
      <c r="FM171" s="319" t="s">
        <v>3185</v>
      </c>
      <c r="FN171" s="3">
        <v>0</v>
      </c>
      <c r="FO171" s="3">
        <v>0</v>
      </c>
      <c r="FP171" s="3">
        <v>0</v>
      </c>
      <c r="FQ171" s="3">
        <v>0</v>
      </c>
      <c r="FR171" s="3">
        <v>0</v>
      </c>
      <c r="FS171" s="3">
        <v>0</v>
      </c>
      <c r="FT171" s="3">
        <v>0</v>
      </c>
      <c r="FU171" s="3">
        <v>0</v>
      </c>
      <c r="FV171" s="3">
        <v>0</v>
      </c>
      <c r="FW171" s="3">
        <v>0</v>
      </c>
      <c r="GK171" s="319" t="s">
        <v>479</v>
      </c>
      <c r="GL171" s="3"/>
      <c r="GM171" s="3"/>
      <c r="GN171" s="3"/>
      <c r="GO171" s="3"/>
      <c r="GP171" s="3"/>
      <c r="GQ171" s="3"/>
      <c r="GR171" s="3"/>
      <c r="GS171" s="3"/>
      <c r="GT171" s="3"/>
      <c r="GU171" s="3"/>
      <c r="GW171" s="319" t="s">
        <v>4899</v>
      </c>
      <c r="GX171" s="3">
        <v>0</v>
      </c>
      <c r="GY171" s="3">
        <v>0</v>
      </c>
      <c r="GZ171" s="3">
        <v>0</v>
      </c>
      <c r="HA171" s="3">
        <v>0</v>
      </c>
      <c r="HB171" s="3">
        <v>0</v>
      </c>
      <c r="HC171" s="3">
        <v>0</v>
      </c>
      <c r="HD171" s="3">
        <v>0</v>
      </c>
      <c r="HE171" s="3">
        <v>0</v>
      </c>
      <c r="HF171" s="3">
        <v>0</v>
      </c>
      <c r="HG171" s="3">
        <v>0</v>
      </c>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row>
    <row r="172" spans="1:256" s="319" customFormat="1" ht="12.75" customHeight="1">
      <c r="A172" s="319" t="s">
        <v>4376</v>
      </c>
      <c r="B172" s="646"/>
      <c r="C172" s="3"/>
      <c r="D172" s="646"/>
      <c r="E172" s="3"/>
      <c r="F172" s="646"/>
      <c r="G172" s="646"/>
      <c r="H172" s="3"/>
      <c r="I172" s="646"/>
      <c r="J172" s="3"/>
      <c r="K172" s="646"/>
      <c r="M172" s="319" t="s">
        <v>4488</v>
      </c>
      <c r="N172" s="3"/>
      <c r="O172" s="3"/>
      <c r="P172" s="3"/>
      <c r="Q172" s="3"/>
      <c r="R172" s="3"/>
      <c r="S172" s="3"/>
      <c r="T172" s="3"/>
      <c r="U172" s="3"/>
      <c r="V172" s="3"/>
      <c r="W172" s="3"/>
      <c r="X172" s="556"/>
      <c r="Y172" s="556" t="s">
        <v>4558</v>
      </c>
      <c r="Z172" s="3">
        <v>0</v>
      </c>
      <c r="AA172" s="3">
        <v>0</v>
      </c>
      <c r="AB172" s="3">
        <v>0</v>
      </c>
      <c r="AC172" s="3">
        <v>0</v>
      </c>
      <c r="AD172" s="3">
        <v>0</v>
      </c>
      <c r="AE172" s="3">
        <v>0</v>
      </c>
      <c r="AF172" s="3">
        <v>0</v>
      </c>
      <c r="AG172" s="3">
        <v>0</v>
      </c>
      <c r="AH172" s="3">
        <v>0</v>
      </c>
      <c r="AI172" s="3">
        <v>0</v>
      </c>
      <c r="AK172" s="556" t="s">
        <v>5402</v>
      </c>
      <c r="AL172" s="3">
        <v>0</v>
      </c>
      <c r="AM172" s="3">
        <v>0</v>
      </c>
      <c r="AN172" s="3">
        <v>0</v>
      </c>
      <c r="AO172" s="3">
        <v>0</v>
      </c>
      <c r="AP172" s="3">
        <v>0</v>
      </c>
      <c r="AQ172" s="3">
        <v>0</v>
      </c>
      <c r="AR172" s="3">
        <v>0</v>
      </c>
      <c r="AS172" s="3">
        <v>0</v>
      </c>
      <c r="AT172" s="3">
        <v>0</v>
      </c>
      <c r="AU172" s="3">
        <v>0</v>
      </c>
      <c r="AW172" s="319" t="s">
        <v>5844</v>
      </c>
      <c r="AX172" s="646">
        <v>0</v>
      </c>
      <c r="AY172" s="3">
        <v>0</v>
      </c>
      <c r="AZ172" s="646">
        <v>0</v>
      </c>
      <c r="BA172" s="3">
        <v>0</v>
      </c>
      <c r="BB172" s="646">
        <v>0</v>
      </c>
      <c r="BC172" s="646">
        <v>0</v>
      </c>
      <c r="BD172" s="3">
        <v>0</v>
      </c>
      <c r="BE172" s="646">
        <v>0</v>
      </c>
      <c r="BF172" s="3">
        <v>0</v>
      </c>
      <c r="BG172" s="646">
        <v>0</v>
      </c>
      <c r="BI172" s="319" t="s">
        <v>5775</v>
      </c>
      <c r="BJ172" s="3">
        <v>0</v>
      </c>
      <c r="BK172" s="3">
        <v>0</v>
      </c>
      <c r="BL172" s="3">
        <v>0</v>
      </c>
      <c r="BM172" s="3">
        <v>0</v>
      </c>
      <c r="BN172" s="3">
        <v>0</v>
      </c>
      <c r="BO172" s="3">
        <v>0</v>
      </c>
      <c r="BP172" s="3">
        <v>0</v>
      </c>
      <c r="BQ172" s="3">
        <v>0</v>
      </c>
      <c r="BR172" s="3">
        <v>0</v>
      </c>
      <c r="BS172" s="3">
        <v>0</v>
      </c>
      <c r="BU172" s="319" t="s">
        <v>5424</v>
      </c>
      <c r="BV172" s="3"/>
      <c r="BW172" s="3"/>
      <c r="BX172" s="3"/>
      <c r="BY172" s="3"/>
      <c r="BZ172" s="3"/>
      <c r="CA172" s="3"/>
      <c r="CB172" s="3"/>
      <c r="CC172" s="3"/>
      <c r="CD172" s="3"/>
      <c r="CE172" s="3"/>
      <c r="CG172" s="319" t="s">
        <v>2780</v>
      </c>
      <c r="CH172" s="3"/>
      <c r="CI172" s="3"/>
      <c r="CJ172" s="3"/>
      <c r="CK172" s="3"/>
      <c r="CL172" s="3"/>
      <c r="CM172" s="3"/>
      <c r="CN172" s="3"/>
      <c r="CO172" s="3"/>
      <c r="CP172" s="3"/>
      <c r="CQ172" s="3"/>
      <c r="CS172" s="319" t="s">
        <v>4775</v>
      </c>
      <c r="CT172" s="3">
        <v>1</v>
      </c>
      <c r="CU172" s="3">
        <v>1</v>
      </c>
      <c r="CV172" s="3">
        <v>1</v>
      </c>
      <c r="CW172" s="3">
        <v>1</v>
      </c>
      <c r="CX172" s="3">
        <v>1</v>
      </c>
      <c r="CY172" s="3">
        <v>1</v>
      </c>
      <c r="CZ172" s="3">
        <v>1</v>
      </c>
      <c r="DA172" s="3">
        <v>1</v>
      </c>
      <c r="DB172" s="3">
        <v>1</v>
      </c>
      <c r="DC172" s="3">
        <v>1</v>
      </c>
      <c r="DE172" s="319" t="s">
        <v>4881</v>
      </c>
      <c r="DF172" s="3"/>
      <c r="DG172" s="3"/>
      <c r="DH172" s="3"/>
      <c r="DI172" s="3"/>
      <c r="DJ172" s="3"/>
      <c r="DK172" s="3"/>
      <c r="DL172" s="3"/>
      <c r="DM172" s="3"/>
      <c r="DN172" s="3"/>
      <c r="DO172" s="3"/>
      <c r="DQ172" s="319" t="s">
        <v>3102</v>
      </c>
      <c r="DR172" s="3">
        <v>0</v>
      </c>
      <c r="DS172" s="3">
        <v>0</v>
      </c>
      <c r="DT172" s="3">
        <v>0</v>
      </c>
      <c r="DU172" s="3">
        <v>0</v>
      </c>
      <c r="DV172" s="3">
        <v>0</v>
      </c>
      <c r="DW172" s="3">
        <v>0</v>
      </c>
      <c r="DX172" s="3">
        <v>0</v>
      </c>
      <c r="DY172" s="3">
        <v>0</v>
      </c>
      <c r="DZ172" s="3">
        <v>0</v>
      </c>
      <c r="EA172" s="3">
        <v>0</v>
      </c>
      <c r="FA172" s="319" t="s">
        <v>4617</v>
      </c>
      <c r="FB172" s="3"/>
      <c r="FC172" s="3"/>
      <c r="FD172" s="3"/>
      <c r="FE172" s="3"/>
      <c r="FF172" s="3"/>
      <c r="FG172" s="3"/>
      <c r="FH172" s="3"/>
      <c r="FI172" s="3"/>
      <c r="FJ172" s="3"/>
      <c r="FK172" s="3"/>
      <c r="FM172" s="319" t="s">
        <v>3186</v>
      </c>
      <c r="FN172" s="3">
        <v>0</v>
      </c>
      <c r="FO172" s="3">
        <v>0</v>
      </c>
      <c r="FP172" s="3">
        <v>0</v>
      </c>
      <c r="FQ172" s="3">
        <v>0</v>
      </c>
      <c r="FR172" s="3">
        <v>0</v>
      </c>
      <c r="FS172" s="3">
        <v>0</v>
      </c>
      <c r="FT172" s="3">
        <v>0</v>
      </c>
      <c r="FU172" s="3">
        <v>0</v>
      </c>
      <c r="FV172" s="3">
        <v>0</v>
      </c>
      <c r="FW172" s="3">
        <v>0</v>
      </c>
      <c r="GK172" s="319" t="s">
        <v>480</v>
      </c>
      <c r="GL172" s="3"/>
      <c r="GM172" s="3"/>
      <c r="GN172" s="3"/>
      <c r="GO172" s="3"/>
      <c r="GP172" s="3"/>
      <c r="GQ172" s="3"/>
      <c r="GR172" s="3"/>
      <c r="GS172" s="3"/>
      <c r="GT172" s="3"/>
      <c r="GU172" s="3"/>
      <c r="GW172" s="319" t="s">
        <v>3827</v>
      </c>
      <c r="GX172" s="3">
        <v>0</v>
      </c>
      <c r="GY172" s="3">
        <v>0</v>
      </c>
      <c r="GZ172" s="3">
        <v>0</v>
      </c>
      <c r="HA172" s="3">
        <v>0</v>
      </c>
      <c r="HB172" s="3">
        <v>0</v>
      </c>
      <c r="HC172" s="3">
        <v>0</v>
      </c>
      <c r="HD172" s="3">
        <v>0</v>
      </c>
      <c r="HE172" s="3">
        <v>0</v>
      </c>
      <c r="HF172" s="3">
        <v>0</v>
      </c>
      <c r="HG172" s="3">
        <v>0</v>
      </c>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row>
    <row r="173" spans="1:256" s="319" customFormat="1" ht="12.75" customHeight="1">
      <c r="A173" s="319" t="s">
        <v>1999</v>
      </c>
      <c r="B173" s="646"/>
      <c r="C173" s="3"/>
      <c r="D173" s="646"/>
      <c r="E173" s="3"/>
      <c r="F173" s="646"/>
      <c r="G173" s="646"/>
      <c r="H173" s="3"/>
      <c r="I173" s="646"/>
      <c r="J173" s="3"/>
      <c r="K173" s="646"/>
      <c r="M173" s="319" t="s">
        <v>4489</v>
      </c>
      <c r="N173" s="3"/>
      <c r="O173" s="3"/>
      <c r="P173" s="3"/>
      <c r="Q173" s="3"/>
      <c r="R173" s="3"/>
      <c r="S173" s="3"/>
      <c r="T173" s="3"/>
      <c r="U173" s="3"/>
      <c r="V173" s="3"/>
      <c r="W173" s="3"/>
      <c r="X173" s="556"/>
      <c r="Y173" s="556" t="s">
        <v>1646</v>
      </c>
      <c r="Z173" s="3">
        <v>0</v>
      </c>
      <c r="AA173" s="3">
        <v>0</v>
      </c>
      <c r="AB173" s="3">
        <v>0</v>
      </c>
      <c r="AC173" s="3">
        <v>0</v>
      </c>
      <c r="AD173" s="3">
        <v>0</v>
      </c>
      <c r="AE173" s="3">
        <v>0</v>
      </c>
      <c r="AF173" s="3">
        <v>0</v>
      </c>
      <c r="AG173" s="3">
        <v>0</v>
      </c>
      <c r="AH173" s="3">
        <v>0</v>
      </c>
      <c r="AI173" s="3">
        <v>0</v>
      </c>
      <c r="AK173" s="556" t="s">
        <v>4227</v>
      </c>
      <c r="AL173" s="3">
        <v>0</v>
      </c>
      <c r="AM173" s="3">
        <v>0</v>
      </c>
      <c r="AN173" s="3">
        <v>0</v>
      </c>
      <c r="AO173" s="3">
        <v>0</v>
      </c>
      <c r="AP173" s="3">
        <v>0</v>
      </c>
      <c r="AQ173" s="3">
        <v>0</v>
      </c>
      <c r="AR173" s="3">
        <v>0</v>
      </c>
      <c r="AS173" s="3">
        <v>0</v>
      </c>
      <c r="AT173" s="3">
        <v>0</v>
      </c>
      <c r="AU173" s="3">
        <v>0</v>
      </c>
      <c r="AW173" s="319" t="s">
        <v>5845</v>
      </c>
      <c r="AX173" s="646">
        <v>0</v>
      </c>
      <c r="AY173" s="3">
        <v>0</v>
      </c>
      <c r="AZ173" s="646">
        <v>0</v>
      </c>
      <c r="BA173" s="3">
        <v>0</v>
      </c>
      <c r="BB173" s="646">
        <v>0</v>
      </c>
      <c r="BC173" s="646">
        <v>0</v>
      </c>
      <c r="BD173" s="3">
        <v>0</v>
      </c>
      <c r="BE173" s="646">
        <v>0</v>
      </c>
      <c r="BF173" s="3">
        <v>0</v>
      </c>
      <c r="BG173" s="646">
        <v>0</v>
      </c>
      <c r="BI173" s="319" t="s">
        <v>5776</v>
      </c>
      <c r="BJ173" s="3"/>
      <c r="BK173" s="3"/>
      <c r="BL173" s="3"/>
      <c r="BM173" s="3"/>
      <c r="BN173" s="3"/>
      <c r="BO173" s="3"/>
      <c r="BP173" s="3"/>
      <c r="BQ173" s="3"/>
      <c r="BR173" s="3"/>
      <c r="BS173" s="3"/>
      <c r="BU173" s="319" t="s">
        <v>1371</v>
      </c>
      <c r="BV173" s="3">
        <v>0</v>
      </c>
      <c r="BW173" s="3">
        <v>0</v>
      </c>
      <c r="BX173" s="3">
        <v>0</v>
      </c>
      <c r="BY173" s="3">
        <v>0</v>
      </c>
      <c r="BZ173" s="3">
        <v>0</v>
      </c>
      <c r="CA173" s="3">
        <v>0</v>
      </c>
      <c r="CB173" s="3">
        <v>0</v>
      </c>
      <c r="CC173" s="3">
        <v>0</v>
      </c>
      <c r="CD173" s="3">
        <v>0</v>
      </c>
      <c r="CE173" s="3">
        <v>0</v>
      </c>
      <c r="CG173" s="319" t="s">
        <v>2781</v>
      </c>
      <c r="CH173" s="3"/>
      <c r="CI173" s="3"/>
      <c r="CJ173" s="3"/>
      <c r="CK173" s="3"/>
      <c r="CL173" s="3"/>
      <c r="CM173" s="3"/>
      <c r="CN173" s="3"/>
      <c r="CO173" s="3"/>
      <c r="CP173" s="3"/>
      <c r="CQ173" s="3"/>
      <c r="CS173" s="319" t="s">
        <v>2287</v>
      </c>
      <c r="CT173" s="3" t="b">
        <v>1</v>
      </c>
      <c r="CU173" s="3" t="b">
        <v>1</v>
      </c>
      <c r="CV173" s="3" t="b">
        <v>1</v>
      </c>
      <c r="CW173" s="3" t="b">
        <v>1</v>
      </c>
      <c r="CX173" s="3" t="b">
        <v>1</v>
      </c>
      <c r="CY173" s="3" t="b">
        <v>1</v>
      </c>
      <c r="CZ173" s="3" t="b">
        <v>1</v>
      </c>
      <c r="DA173" s="3" t="b">
        <v>1</v>
      </c>
      <c r="DB173" s="3" t="b">
        <v>1</v>
      </c>
      <c r="DC173" s="3" t="b">
        <v>1</v>
      </c>
      <c r="DE173" s="319" t="s">
        <v>4882</v>
      </c>
      <c r="DF173" s="3"/>
      <c r="DG173" s="3"/>
      <c r="DH173" s="3"/>
      <c r="DI173" s="3"/>
      <c r="DJ173" s="3"/>
      <c r="DK173" s="3"/>
      <c r="DL173" s="3"/>
      <c r="DM173" s="3"/>
      <c r="DN173" s="3"/>
      <c r="DO173" s="3"/>
      <c r="DQ173" s="319" t="s">
        <v>5255</v>
      </c>
      <c r="DR173" s="3"/>
      <c r="DS173" s="3"/>
      <c r="DT173" s="3"/>
      <c r="DU173" s="3"/>
      <c r="DV173" s="3"/>
      <c r="DW173" s="3"/>
      <c r="DX173" s="3"/>
      <c r="DY173" s="3"/>
      <c r="DZ173" s="3"/>
      <c r="EA173" s="3"/>
      <c r="FA173" s="319" t="s">
        <v>4811</v>
      </c>
      <c r="FB173" s="3"/>
      <c r="FC173" s="3"/>
      <c r="FD173" s="3"/>
      <c r="FE173" s="3"/>
      <c r="FF173" s="3"/>
      <c r="FG173" s="3"/>
      <c r="FH173" s="3"/>
      <c r="FI173" s="3"/>
      <c r="FJ173" s="3"/>
      <c r="FK173" s="3"/>
      <c r="FM173" s="319" t="s">
        <v>5736</v>
      </c>
      <c r="FN173" s="3">
        <v>0</v>
      </c>
      <c r="FO173" s="3">
        <v>0</v>
      </c>
      <c r="FP173" s="3">
        <v>0</v>
      </c>
      <c r="FQ173" s="3">
        <v>0</v>
      </c>
      <c r="FR173" s="3">
        <v>0</v>
      </c>
      <c r="FS173" s="3">
        <v>0</v>
      </c>
      <c r="FT173" s="3">
        <v>0</v>
      </c>
      <c r="FU173" s="3">
        <v>0</v>
      </c>
      <c r="FV173" s="3">
        <v>0</v>
      </c>
      <c r="FW173" s="3">
        <v>0</v>
      </c>
      <c r="GK173" s="319" t="s">
        <v>6002</v>
      </c>
      <c r="GL173" s="3">
        <v>0</v>
      </c>
      <c r="GM173" s="3">
        <v>0</v>
      </c>
      <c r="GN173" s="3">
        <v>0</v>
      </c>
      <c r="GO173" s="3">
        <v>0</v>
      </c>
      <c r="GP173" s="3">
        <v>0</v>
      </c>
      <c r="GQ173" s="3">
        <v>0</v>
      </c>
      <c r="GR173" s="3">
        <v>0</v>
      </c>
      <c r="GS173" s="3">
        <v>0</v>
      </c>
      <c r="GT173" s="3">
        <v>0</v>
      </c>
      <c r="GU173" s="3">
        <v>0</v>
      </c>
      <c r="GW173" s="319" t="s">
        <v>3828</v>
      </c>
      <c r="GX173" s="3">
        <v>0</v>
      </c>
      <c r="GY173" s="3">
        <v>0</v>
      </c>
      <c r="GZ173" s="3">
        <v>0</v>
      </c>
      <c r="HA173" s="3">
        <v>0</v>
      </c>
      <c r="HB173" s="3">
        <v>0</v>
      </c>
      <c r="HC173" s="3">
        <v>0</v>
      </c>
      <c r="HD173" s="3">
        <v>0</v>
      </c>
      <c r="HE173" s="3">
        <v>0</v>
      </c>
      <c r="HF173" s="3">
        <v>0</v>
      </c>
      <c r="HG173" s="3">
        <v>0</v>
      </c>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row>
    <row r="174" spans="1:256" s="319" customFormat="1" ht="12.75" customHeight="1">
      <c r="A174" s="319" t="s">
        <v>2000</v>
      </c>
      <c r="B174" s="646"/>
      <c r="C174" s="3"/>
      <c r="D174" s="646"/>
      <c r="E174" s="3"/>
      <c r="F174" s="646"/>
      <c r="G174" s="646"/>
      <c r="H174" s="3"/>
      <c r="I174" s="646"/>
      <c r="J174" s="3"/>
      <c r="K174" s="646"/>
      <c r="M174" s="319" t="s">
        <v>4061</v>
      </c>
      <c r="N174" s="3"/>
      <c r="O174" s="3"/>
      <c r="P174" s="3"/>
      <c r="Q174" s="3"/>
      <c r="R174" s="3"/>
      <c r="S174" s="3"/>
      <c r="T174" s="3"/>
      <c r="U174" s="3"/>
      <c r="V174" s="3"/>
      <c r="W174" s="3"/>
      <c r="X174" s="556"/>
      <c r="Y174" s="556" t="s">
        <v>2233</v>
      </c>
      <c r="Z174" s="3">
        <v>0</v>
      </c>
      <c r="AA174" s="3">
        <v>0</v>
      </c>
      <c r="AB174" s="3">
        <v>0</v>
      </c>
      <c r="AC174" s="3">
        <v>0</v>
      </c>
      <c r="AD174" s="3">
        <v>0</v>
      </c>
      <c r="AE174" s="3">
        <v>0</v>
      </c>
      <c r="AF174" s="3">
        <v>0</v>
      </c>
      <c r="AG174" s="3">
        <v>0</v>
      </c>
      <c r="AH174" s="3">
        <v>0</v>
      </c>
      <c r="AI174" s="3">
        <v>0</v>
      </c>
      <c r="AK174" s="556" t="s">
        <v>4485</v>
      </c>
      <c r="AL174" s="3" t="b">
        <v>0</v>
      </c>
      <c r="AM174" s="3" t="b">
        <v>0</v>
      </c>
      <c r="AN174" s="3" t="b">
        <v>0</v>
      </c>
      <c r="AO174" s="3" t="b">
        <v>0</v>
      </c>
      <c r="AP174" s="3" t="b">
        <v>0</v>
      </c>
      <c r="AQ174" s="3" t="b">
        <v>0</v>
      </c>
      <c r="AR174" s="3" t="b">
        <v>0</v>
      </c>
      <c r="AS174" s="3" t="b">
        <v>0</v>
      </c>
      <c r="AT174" s="3" t="b">
        <v>0</v>
      </c>
      <c r="AU174" s="3" t="b">
        <v>0</v>
      </c>
      <c r="AW174" s="319" t="s">
        <v>860</v>
      </c>
      <c r="AX174" s="646">
        <v>0</v>
      </c>
      <c r="AY174" s="3">
        <v>0</v>
      </c>
      <c r="AZ174" s="646">
        <v>0</v>
      </c>
      <c r="BA174" s="3">
        <v>0</v>
      </c>
      <c r="BB174" s="646">
        <v>0</v>
      </c>
      <c r="BC174" s="646">
        <v>0</v>
      </c>
      <c r="BD174" s="3">
        <v>0</v>
      </c>
      <c r="BE174" s="646">
        <v>0</v>
      </c>
      <c r="BF174" s="3">
        <v>0</v>
      </c>
      <c r="BG174" s="646">
        <v>0</v>
      </c>
      <c r="BI174" s="319" t="s">
        <v>2779</v>
      </c>
      <c r="BJ174" s="3"/>
      <c r="BK174" s="3"/>
      <c r="BL174" s="3"/>
      <c r="BM174" s="3"/>
      <c r="BN174" s="3"/>
      <c r="BO174" s="3"/>
      <c r="BP174" s="3"/>
      <c r="BQ174" s="3"/>
      <c r="BR174" s="3"/>
      <c r="BS174" s="3"/>
      <c r="BU174" s="319" t="s">
        <v>4080</v>
      </c>
      <c r="BV174" s="3">
        <v>0</v>
      </c>
      <c r="BW174" s="3">
        <v>0</v>
      </c>
      <c r="BX174" s="3">
        <v>0</v>
      </c>
      <c r="BY174" s="3">
        <v>0</v>
      </c>
      <c r="BZ174" s="3">
        <v>0</v>
      </c>
      <c r="CA174" s="3">
        <v>0</v>
      </c>
      <c r="CB174" s="3">
        <v>0</v>
      </c>
      <c r="CC174" s="3">
        <v>0</v>
      </c>
      <c r="CD174" s="3">
        <v>0</v>
      </c>
      <c r="CE174" s="3">
        <v>0</v>
      </c>
      <c r="CG174" s="319" t="s">
        <v>3611</v>
      </c>
      <c r="CH174" s="3"/>
      <c r="CI174" s="3"/>
      <c r="CJ174" s="3"/>
      <c r="CK174" s="3"/>
      <c r="CL174" s="3"/>
      <c r="CM174" s="3"/>
      <c r="CN174" s="3"/>
      <c r="CO174" s="3"/>
      <c r="CP174" s="3"/>
      <c r="CQ174" s="3"/>
      <c r="CS174" s="319" t="s">
        <v>2483</v>
      </c>
      <c r="CT174" s="3" t="b">
        <v>0</v>
      </c>
      <c r="CU174" s="3" t="b">
        <v>0</v>
      </c>
      <c r="CV174" s="3" t="b">
        <v>0</v>
      </c>
      <c r="CW174" s="3" t="b">
        <v>0</v>
      </c>
      <c r="CX174" s="3" t="b">
        <v>0</v>
      </c>
      <c r="CY174" s="3" t="b">
        <v>0</v>
      </c>
      <c r="CZ174" s="3" t="b">
        <v>0</v>
      </c>
      <c r="DA174" s="3" t="b">
        <v>0</v>
      </c>
      <c r="DB174" s="3" t="b">
        <v>0</v>
      </c>
      <c r="DC174" s="3" t="b">
        <v>0</v>
      </c>
      <c r="DE174" s="319" t="s">
        <v>4883</v>
      </c>
      <c r="DF174" s="3"/>
      <c r="DG174" s="3"/>
      <c r="DH174" s="3"/>
      <c r="DI174" s="3"/>
      <c r="DJ174" s="3"/>
      <c r="DK174" s="3"/>
      <c r="DL174" s="3"/>
      <c r="DM174" s="3"/>
      <c r="DN174" s="3"/>
      <c r="DO174" s="3"/>
      <c r="DQ174" s="319" t="s">
        <v>2033</v>
      </c>
      <c r="DR174" s="3"/>
      <c r="DS174" s="3"/>
      <c r="DT174" s="3"/>
      <c r="DU174" s="3"/>
      <c r="DV174" s="3"/>
      <c r="DW174" s="3"/>
      <c r="DX174" s="3"/>
      <c r="DY174" s="3"/>
      <c r="DZ174" s="3"/>
      <c r="EA174" s="3"/>
      <c r="FA174" s="319" t="s">
        <v>4550</v>
      </c>
      <c r="FB174" s="3"/>
      <c r="FC174" s="3"/>
      <c r="FD174" s="3"/>
      <c r="FE174" s="3"/>
      <c r="FF174" s="3"/>
      <c r="FG174" s="3"/>
      <c r="FH174" s="3"/>
      <c r="FI174" s="3"/>
      <c r="FJ174" s="3"/>
      <c r="FK174" s="3"/>
      <c r="FM174" s="319" t="s">
        <v>3041</v>
      </c>
      <c r="FN174" s="3">
        <v>0</v>
      </c>
      <c r="FO174" s="3">
        <v>0</v>
      </c>
      <c r="FP174" s="3">
        <v>0</v>
      </c>
      <c r="FQ174" s="3">
        <v>0</v>
      </c>
      <c r="FR174" s="3">
        <v>0</v>
      </c>
      <c r="FS174" s="3">
        <v>0</v>
      </c>
      <c r="FT174" s="3">
        <v>0</v>
      </c>
      <c r="FU174" s="3">
        <v>0</v>
      </c>
      <c r="FV174" s="3">
        <v>0</v>
      </c>
      <c r="FW174" s="3">
        <v>0</v>
      </c>
      <c r="GK174" s="319" t="s">
        <v>389</v>
      </c>
      <c r="GL174" s="3" t="b">
        <v>1</v>
      </c>
      <c r="GM174" s="3" t="b">
        <v>1</v>
      </c>
      <c r="GN174" s="3" t="b">
        <v>1</v>
      </c>
      <c r="GO174" s="3" t="b">
        <v>1</v>
      </c>
      <c r="GP174" s="3" t="b">
        <v>1</v>
      </c>
      <c r="GQ174" s="3" t="b">
        <v>1</v>
      </c>
      <c r="GR174" s="3" t="b">
        <v>1</v>
      </c>
      <c r="GS174" s="3" t="b">
        <v>1</v>
      </c>
      <c r="GT174" s="3" t="b">
        <v>1</v>
      </c>
      <c r="GU174" s="3" t="b">
        <v>1</v>
      </c>
      <c r="GW174" s="319" t="s">
        <v>2169</v>
      </c>
      <c r="GX174" s="3">
        <v>0</v>
      </c>
      <c r="GY174" s="3">
        <v>0</v>
      </c>
      <c r="GZ174" s="3">
        <v>0</v>
      </c>
      <c r="HA174" s="3">
        <v>0</v>
      </c>
      <c r="HB174" s="3">
        <v>0</v>
      </c>
      <c r="HC174" s="3">
        <v>0</v>
      </c>
      <c r="HD174" s="3">
        <v>0</v>
      </c>
      <c r="HE174" s="3">
        <v>0</v>
      </c>
      <c r="HF174" s="3">
        <v>0</v>
      </c>
      <c r="HG174" s="3">
        <v>0</v>
      </c>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row>
    <row r="175" spans="1:256" s="319" customFormat="1" ht="12.75" customHeight="1">
      <c r="A175" s="319" t="s">
        <v>2001</v>
      </c>
      <c r="B175" s="646"/>
      <c r="C175" s="3"/>
      <c r="D175" s="646"/>
      <c r="E175" s="3"/>
      <c r="F175" s="646"/>
      <c r="G175" s="646"/>
      <c r="H175" s="3"/>
      <c r="I175" s="646"/>
      <c r="J175" s="3"/>
      <c r="K175" s="646"/>
      <c r="M175" s="319" t="s">
        <v>1321</v>
      </c>
      <c r="N175" s="3"/>
      <c r="O175" s="3"/>
      <c r="P175" s="3"/>
      <c r="Q175" s="3"/>
      <c r="R175" s="3"/>
      <c r="S175" s="3"/>
      <c r="T175" s="3"/>
      <c r="U175" s="3"/>
      <c r="V175" s="3"/>
      <c r="W175" s="3"/>
      <c r="X175" s="556"/>
      <c r="Y175" s="556" t="s">
        <v>1590</v>
      </c>
      <c r="Z175" s="3">
        <v>0</v>
      </c>
      <c r="AA175" s="3">
        <v>0</v>
      </c>
      <c r="AB175" s="3">
        <v>0</v>
      </c>
      <c r="AC175" s="3">
        <v>0</v>
      </c>
      <c r="AD175" s="3">
        <v>0</v>
      </c>
      <c r="AE175" s="3">
        <v>0</v>
      </c>
      <c r="AF175" s="3">
        <v>0</v>
      </c>
      <c r="AG175" s="3">
        <v>0</v>
      </c>
      <c r="AH175" s="3">
        <v>0</v>
      </c>
      <c r="AI175" s="3">
        <v>0</v>
      </c>
      <c r="AK175" s="556" t="s">
        <v>1794</v>
      </c>
      <c r="AL175" s="3"/>
      <c r="AM175" s="3"/>
      <c r="AN175" s="3"/>
      <c r="AO175" s="3"/>
      <c r="AP175" s="3"/>
      <c r="AQ175" s="3"/>
      <c r="AR175" s="3"/>
      <c r="AS175" s="3"/>
      <c r="AT175" s="3"/>
      <c r="AU175" s="3"/>
      <c r="AW175" s="319" t="s">
        <v>5397</v>
      </c>
      <c r="AX175" s="646"/>
      <c r="AY175" s="3"/>
      <c r="AZ175" s="646"/>
      <c r="BA175" s="3"/>
      <c r="BB175" s="646"/>
      <c r="BC175" s="646"/>
      <c r="BD175" s="3"/>
      <c r="BE175" s="646"/>
      <c r="BF175" s="3"/>
      <c r="BG175" s="646"/>
      <c r="BI175" s="319" t="s">
        <v>2197</v>
      </c>
      <c r="BJ175" s="3">
        <v>0</v>
      </c>
      <c r="BK175" s="3">
        <v>0</v>
      </c>
      <c r="BL175" s="3">
        <v>0</v>
      </c>
      <c r="BM175" s="3">
        <v>0</v>
      </c>
      <c r="BN175" s="3">
        <v>0</v>
      </c>
      <c r="BO175" s="3">
        <v>0</v>
      </c>
      <c r="BP175" s="3">
        <v>0</v>
      </c>
      <c r="BQ175" s="3">
        <v>0</v>
      </c>
      <c r="BR175" s="3">
        <v>0</v>
      </c>
      <c r="BS175" s="3">
        <v>0</v>
      </c>
      <c r="BU175" s="319" t="s">
        <v>3801</v>
      </c>
      <c r="BV175" s="3"/>
      <c r="BW175" s="3"/>
      <c r="BX175" s="3"/>
      <c r="BY175" s="3"/>
      <c r="BZ175" s="3"/>
      <c r="CA175" s="3"/>
      <c r="CB175" s="3"/>
      <c r="CC175" s="3"/>
      <c r="CD175" s="3"/>
      <c r="CE175" s="3"/>
      <c r="CG175" s="319" t="s">
        <v>3612</v>
      </c>
      <c r="CH175" s="3"/>
      <c r="CI175" s="3"/>
      <c r="CJ175" s="3"/>
      <c r="CK175" s="3"/>
      <c r="CL175" s="3"/>
      <c r="CM175" s="3"/>
      <c r="CN175" s="3"/>
      <c r="CO175" s="3"/>
      <c r="CP175" s="3"/>
      <c r="CQ175" s="3"/>
      <c r="CS175" s="319" t="s">
        <v>2484</v>
      </c>
      <c r="CT175" s="3" t="b">
        <v>1</v>
      </c>
      <c r="CU175" s="3" t="b">
        <v>1</v>
      </c>
      <c r="CV175" s="3" t="b">
        <v>1</v>
      </c>
      <c r="CW175" s="3" t="b">
        <v>1</v>
      </c>
      <c r="CX175" s="3" t="b">
        <v>1</v>
      </c>
      <c r="CY175" s="3" t="b">
        <v>1</v>
      </c>
      <c r="CZ175" s="3" t="b">
        <v>1</v>
      </c>
      <c r="DA175" s="3" t="b">
        <v>1</v>
      </c>
      <c r="DB175" s="3" t="b">
        <v>1</v>
      </c>
      <c r="DC175" s="3" t="b">
        <v>1</v>
      </c>
      <c r="DE175" s="319" t="s">
        <v>4157</v>
      </c>
      <c r="DF175" s="3"/>
      <c r="DG175" s="3"/>
      <c r="DH175" s="3"/>
      <c r="DI175" s="3"/>
      <c r="DJ175" s="3"/>
      <c r="DK175" s="3"/>
      <c r="DL175" s="3"/>
      <c r="DM175" s="3"/>
      <c r="DN175" s="3"/>
      <c r="DO175" s="3"/>
      <c r="DQ175" s="319" t="s">
        <v>2034</v>
      </c>
      <c r="DR175" s="3"/>
      <c r="DS175" s="3"/>
      <c r="DT175" s="3"/>
      <c r="DU175" s="3"/>
      <c r="DV175" s="3"/>
      <c r="DW175" s="3"/>
      <c r="DX175" s="3"/>
      <c r="DY175" s="3"/>
      <c r="DZ175" s="3"/>
      <c r="EA175" s="3"/>
      <c r="FA175" s="319" t="s">
        <v>4472</v>
      </c>
      <c r="FB175" s="3"/>
      <c r="FC175" s="3"/>
      <c r="FD175" s="3"/>
      <c r="FE175" s="3"/>
      <c r="FF175" s="3"/>
      <c r="FG175" s="3"/>
      <c r="FH175" s="3"/>
      <c r="FI175" s="3"/>
      <c r="FJ175" s="3"/>
      <c r="FK175" s="3"/>
      <c r="FM175" s="319" t="s">
        <v>3042</v>
      </c>
      <c r="FN175" s="3">
        <v>0</v>
      </c>
      <c r="FO175" s="3">
        <v>0</v>
      </c>
      <c r="FP175" s="3">
        <v>0</v>
      </c>
      <c r="FQ175" s="3">
        <v>0</v>
      </c>
      <c r="FR175" s="3">
        <v>0</v>
      </c>
      <c r="FS175" s="3">
        <v>0</v>
      </c>
      <c r="FT175" s="3">
        <v>0</v>
      </c>
      <c r="FU175" s="3">
        <v>0</v>
      </c>
      <c r="FV175" s="3">
        <v>0</v>
      </c>
      <c r="FW175" s="3">
        <v>0</v>
      </c>
      <c r="GK175" s="319" t="s">
        <v>539</v>
      </c>
      <c r="GL175" s="3" t="b">
        <v>0</v>
      </c>
      <c r="GM175" s="3" t="b">
        <v>0</v>
      </c>
      <c r="GN175" s="3" t="b">
        <v>0</v>
      </c>
      <c r="GO175" s="3" t="b">
        <v>0</v>
      </c>
      <c r="GP175" s="3" t="b">
        <v>0</v>
      </c>
      <c r="GQ175" s="3" t="b">
        <v>0</v>
      </c>
      <c r="GR175" s="3" t="b">
        <v>0</v>
      </c>
      <c r="GS175" s="3" t="b">
        <v>0</v>
      </c>
      <c r="GT175" s="3" t="b">
        <v>0</v>
      </c>
      <c r="GU175" s="3" t="b">
        <v>0</v>
      </c>
      <c r="GW175" s="319" t="s">
        <v>2170</v>
      </c>
      <c r="GX175" s="3">
        <v>0</v>
      </c>
      <c r="GY175" s="3">
        <v>0</v>
      </c>
      <c r="GZ175" s="3">
        <v>0</v>
      </c>
      <c r="HA175" s="3">
        <v>0</v>
      </c>
      <c r="HB175" s="3">
        <v>0</v>
      </c>
      <c r="HC175" s="3">
        <v>0</v>
      </c>
      <c r="HD175" s="3">
        <v>0</v>
      </c>
      <c r="HE175" s="3">
        <v>0</v>
      </c>
      <c r="HF175" s="3">
        <v>0</v>
      </c>
      <c r="HG175" s="3">
        <v>0</v>
      </c>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row>
    <row r="176" spans="1:256" s="319" customFormat="1" ht="12.75" customHeight="1">
      <c r="A176" s="319" t="s">
        <v>3887</v>
      </c>
      <c r="B176" s="646"/>
      <c r="C176" s="3"/>
      <c r="D176" s="646"/>
      <c r="E176" s="3"/>
      <c r="F176" s="646"/>
      <c r="G176" s="646"/>
      <c r="H176" s="3"/>
      <c r="I176" s="646"/>
      <c r="J176" s="3"/>
      <c r="K176" s="646"/>
      <c r="M176" s="319" t="s">
        <v>4949</v>
      </c>
      <c r="N176" s="3"/>
      <c r="O176" s="3"/>
      <c r="P176" s="3"/>
      <c r="Q176" s="3"/>
      <c r="R176" s="3"/>
      <c r="S176" s="3"/>
      <c r="T176" s="3"/>
      <c r="U176" s="3"/>
      <c r="V176" s="3"/>
      <c r="W176" s="3"/>
      <c r="X176" s="556"/>
      <c r="Y176" s="556" t="s">
        <v>5112</v>
      </c>
      <c r="Z176" s="3">
        <v>0</v>
      </c>
      <c r="AA176" s="3">
        <v>0</v>
      </c>
      <c r="AB176" s="3">
        <v>0</v>
      </c>
      <c r="AC176" s="3">
        <v>0</v>
      </c>
      <c r="AD176" s="3">
        <v>0</v>
      </c>
      <c r="AE176" s="3">
        <v>0</v>
      </c>
      <c r="AF176" s="3">
        <v>0</v>
      </c>
      <c r="AG176" s="3">
        <v>0</v>
      </c>
      <c r="AH176" s="3">
        <v>0</v>
      </c>
      <c r="AI176" s="3">
        <v>0</v>
      </c>
      <c r="AK176" s="556" t="s">
        <v>1795</v>
      </c>
      <c r="AL176" s="3">
        <v>0</v>
      </c>
      <c r="AM176" s="3">
        <v>0</v>
      </c>
      <c r="AN176" s="3">
        <v>0</v>
      </c>
      <c r="AO176" s="3">
        <v>0</v>
      </c>
      <c r="AP176" s="3">
        <v>0</v>
      </c>
      <c r="AQ176" s="3">
        <v>0</v>
      </c>
      <c r="AR176" s="3">
        <v>0</v>
      </c>
      <c r="AS176" s="3">
        <v>0</v>
      </c>
      <c r="AT176" s="3">
        <v>0</v>
      </c>
      <c r="AU176" s="3">
        <v>0</v>
      </c>
      <c r="AW176" s="319" t="s">
        <v>5398</v>
      </c>
      <c r="AX176" s="646"/>
      <c r="AY176" s="3"/>
      <c r="AZ176" s="646"/>
      <c r="BA176" s="3"/>
      <c r="BB176" s="646"/>
      <c r="BC176" s="646"/>
      <c r="BD176" s="3"/>
      <c r="BE176" s="646"/>
      <c r="BF176" s="3"/>
      <c r="BG176" s="646"/>
      <c r="BI176" s="319" t="s">
        <v>4907</v>
      </c>
      <c r="BJ176" s="3"/>
      <c r="BK176" s="3"/>
      <c r="BL176" s="3"/>
      <c r="BM176" s="3"/>
      <c r="BN176" s="3"/>
      <c r="BO176" s="3"/>
      <c r="BP176" s="3"/>
      <c r="BQ176" s="3"/>
      <c r="BR176" s="3"/>
      <c r="BS176" s="3"/>
      <c r="BU176" s="319" t="s">
        <v>3176</v>
      </c>
      <c r="BV176" s="3">
        <v>1</v>
      </c>
      <c r="BW176" s="3">
        <v>1</v>
      </c>
      <c r="BX176" s="3">
        <v>1</v>
      </c>
      <c r="BY176" s="3">
        <v>1</v>
      </c>
      <c r="BZ176" s="3">
        <v>1</v>
      </c>
      <c r="CA176" s="3">
        <v>1</v>
      </c>
      <c r="CB176" s="3">
        <v>1</v>
      </c>
      <c r="CC176" s="3">
        <v>1</v>
      </c>
      <c r="CD176" s="3">
        <v>1</v>
      </c>
      <c r="CE176" s="3">
        <v>1</v>
      </c>
      <c r="CG176" s="319" t="s">
        <v>5224</v>
      </c>
      <c r="CH176" s="3"/>
      <c r="CI176" s="3"/>
      <c r="CJ176" s="3"/>
      <c r="CK176" s="3"/>
      <c r="CL176" s="3"/>
      <c r="CM176" s="3"/>
      <c r="CN176" s="3"/>
      <c r="CO176" s="3"/>
      <c r="CP176" s="3"/>
      <c r="CQ176" s="3"/>
      <c r="CS176" s="319" t="s">
        <v>2485</v>
      </c>
      <c r="CT176" s="3" t="b">
        <v>0</v>
      </c>
      <c r="CU176" s="3" t="b">
        <v>0</v>
      </c>
      <c r="CV176" s="3" t="b">
        <v>0</v>
      </c>
      <c r="CW176" s="3" t="b">
        <v>0</v>
      </c>
      <c r="CX176" s="3" t="b">
        <v>0</v>
      </c>
      <c r="CY176" s="3" t="b">
        <v>0</v>
      </c>
      <c r="CZ176" s="3" t="b">
        <v>0</v>
      </c>
      <c r="DA176" s="3" t="b">
        <v>0</v>
      </c>
      <c r="DB176" s="3" t="b">
        <v>0</v>
      </c>
      <c r="DC176" s="3" t="b">
        <v>0</v>
      </c>
      <c r="DE176" s="319" t="s">
        <v>3308</v>
      </c>
      <c r="DF176" s="3"/>
      <c r="DG176" s="3"/>
      <c r="DH176" s="3"/>
      <c r="DI176" s="3"/>
      <c r="DJ176" s="3"/>
      <c r="DK176" s="3"/>
      <c r="DL176" s="3"/>
      <c r="DM176" s="3"/>
      <c r="DN176" s="3"/>
      <c r="DO176" s="3"/>
      <c r="DQ176" s="319" t="s">
        <v>2035</v>
      </c>
      <c r="DR176" s="3"/>
      <c r="DS176" s="3"/>
      <c r="DT176" s="3"/>
      <c r="DU176" s="3"/>
      <c r="DV176" s="3"/>
      <c r="DW176" s="3"/>
      <c r="DX176" s="3"/>
      <c r="DY176" s="3"/>
      <c r="DZ176" s="3"/>
      <c r="EA176" s="3"/>
      <c r="FA176" s="319" t="s">
        <v>4473</v>
      </c>
      <c r="FB176" s="3"/>
      <c r="FC176" s="3"/>
      <c r="FD176" s="3"/>
      <c r="FE176" s="3"/>
      <c r="FF176" s="3"/>
      <c r="FG176" s="3"/>
      <c r="FH176" s="3"/>
      <c r="FI176" s="3"/>
      <c r="FJ176" s="3"/>
      <c r="FK176" s="3"/>
      <c r="FM176" s="319" t="s">
        <v>2552</v>
      </c>
      <c r="FN176" s="3">
        <v>0</v>
      </c>
      <c r="FO176" s="3">
        <v>0</v>
      </c>
      <c r="FP176" s="3">
        <v>0</v>
      </c>
      <c r="FQ176" s="3">
        <v>0</v>
      </c>
      <c r="FR176" s="3">
        <v>0</v>
      </c>
      <c r="FS176" s="3">
        <v>0</v>
      </c>
      <c r="FT176" s="3">
        <v>0</v>
      </c>
      <c r="FU176" s="3">
        <v>0</v>
      </c>
      <c r="FV176" s="3">
        <v>0</v>
      </c>
      <c r="FW176" s="3">
        <v>0</v>
      </c>
      <c r="GK176" s="319" t="s">
        <v>3245</v>
      </c>
      <c r="GL176" s="3">
        <v>0</v>
      </c>
      <c r="GM176" s="3">
        <v>0</v>
      </c>
      <c r="GN176" s="3">
        <v>0</v>
      </c>
      <c r="GO176" s="3">
        <v>0</v>
      </c>
      <c r="GP176" s="3">
        <v>0</v>
      </c>
      <c r="GQ176" s="3">
        <v>0</v>
      </c>
      <c r="GR176" s="3">
        <v>0</v>
      </c>
      <c r="GS176" s="3">
        <v>0</v>
      </c>
      <c r="GT176" s="3">
        <v>0</v>
      </c>
      <c r="GU176" s="3">
        <v>0</v>
      </c>
      <c r="GW176" s="319" t="s">
        <v>3205</v>
      </c>
      <c r="GX176" s="3">
        <v>0</v>
      </c>
      <c r="GY176" s="3">
        <v>0</v>
      </c>
      <c r="GZ176" s="3">
        <v>0</v>
      </c>
      <c r="HA176" s="3">
        <v>0</v>
      </c>
      <c r="HB176" s="3">
        <v>0</v>
      </c>
      <c r="HC176" s="3">
        <v>0</v>
      </c>
      <c r="HD176" s="3">
        <v>0</v>
      </c>
      <c r="HE176" s="3">
        <v>0</v>
      </c>
      <c r="HF176" s="3">
        <v>0</v>
      </c>
      <c r="HG176" s="3">
        <v>0</v>
      </c>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row>
    <row r="177" spans="1:256" s="319" customFormat="1" ht="12.75" customHeight="1">
      <c r="A177" s="319" t="s">
        <v>2107</v>
      </c>
      <c r="B177" s="646">
        <v>0</v>
      </c>
      <c r="C177" s="3">
        <v>0</v>
      </c>
      <c r="D177" s="646">
        <v>0</v>
      </c>
      <c r="E177" s="3">
        <v>0</v>
      </c>
      <c r="F177" s="646">
        <v>0</v>
      </c>
      <c r="G177" s="646">
        <v>0</v>
      </c>
      <c r="H177" s="3">
        <v>0</v>
      </c>
      <c r="I177" s="646">
        <v>0</v>
      </c>
      <c r="J177" s="3">
        <v>0</v>
      </c>
      <c r="K177" s="646">
        <v>0</v>
      </c>
      <c r="M177" s="319" t="s">
        <v>4950</v>
      </c>
      <c r="N177" s="3"/>
      <c r="O177" s="3"/>
      <c r="P177" s="3"/>
      <c r="Q177" s="3"/>
      <c r="R177" s="3"/>
      <c r="S177" s="3"/>
      <c r="T177" s="3"/>
      <c r="U177" s="3"/>
      <c r="V177" s="3"/>
      <c r="W177" s="3"/>
      <c r="X177" s="556"/>
      <c r="Y177" s="556" t="s">
        <v>5113</v>
      </c>
      <c r="Z177" s="3">
        <v>0</v>
      </c>
      <c r="AA177" s="3">
        <v>0</v>
      </c>
      <c r="AB177" s="3">
        <v>0</v>
      </c>
      <c r="AC177" s="3">
        <v>0</v>
      </c>
      <c r="AD177" s="3">
        <v>0</v>
      </c>
      <c r="AE177" s="3">
        <v>0</v>
      </c>
      <c r="AF177" s="3">
        <v>0</v>
      </c>
      <c r="AG177" s="3">
        <v>0</v>
      </c>
      <c r="AH177" s="3">
        <v>0</v>
      </c>
      <c r="AI177" s="3">
        <v>0</v>
      </c>
      <c r="AK177" s="556" t="s">
        <v>3141</v>
      </c>
      <c r="AL177" s="3">
        <v>0</v>
      </c>
      <c r="AM177" s="3">
        <v>0</v>
      </c>
      <c r="AN177" s="3">
        <v>0</v>
      </c>
      <c r="AO177" s="3">
        <v>0</v>
      </c>
      <c r="AP177" s="3">
        <v>0</v>
      </c>
      <c r="AQ177" s="3">
        <v>0</v>
      </c>
      <c r="AR177" s="3">
        <v>0</v>
      </c>
      <c r="AS177" s="3">
        <v>0</v>
      </c>
      <c r="AT177" s="3">
        <v>0</v>
      </c>
      <c r="AU177" s="3">
        <v>0</v>
      </c>
      <c r="AW177" s="319" t="s">
        <v>5399</v>
      </c>
      <c r="AX177" s="646">
        <v>0</v>
      </c>
      <c r="AY177" s="3">
        <v>0</v>
      </c>
      <c r="AZ177" s="646">
        <v>0</v>
      </c>
      <c r="BA177" s="3">
        <v>0</v>
      </c>
      <c r="BB177" s="646">
        <v>0</v>
      </c>
      <c r="BC177" s="646">
        <v>0</v>
      </c>
      <c r="BD177" s="3">
        <v>0</v>
      </c>
      <c r="BE177" s="646">
        <v>0</v>
      </c>
      <c r="BF177" s="3">
        <v>0</v>
      </c>
      <c r="BG177" s="646">
        <v>0</v>
      </c>
      <c r="BI177" s="319" t="s">
        <v>3269</v>
      </c>
      <c r="BJ177" s="3">
        <v>0</v>
      </c>
      <c r="BK177" s="3">
        <v>0</v>
      </c>
      <c r="BL177" s="3">
        <v>0</v>
      </c>
      <c r="BM177" s="3">
        <v>0</v>
      </c>
      <c r="BN177" s="3">
        <v>0</v>
      </c>
      <c r="BO177" s="3">
        <v>0</v>
      </c>
      <c r="BP177" s="3">
        <v>0</v>
      </c>
      <c r="BQ177" s="3">
        <v>0</v>
      </c>
      <c r="BR177" s="3">
        <v>0</v>
      </c>
      <c r="BS177" s="3">
        <v>0</v>
      </c>
      <c r="BU177" s="319" t="s">
        <v>1886</v>
      </c>
      <c r="BV177" s="3">
        <v>0</v>
      </c>
      <c r="BW177" s="3">
        <v>0</v>
      </c>
      <c r="BX177" s="3">
        <v>0</v>
      </c>
      <c r="BY177" s="3">
        <v>0</v>
      </c>
      <c r="BZ177" s="3">
        <v>0</v>
      </c>
      <c r="CA177" s="3">
        <v>0</v>
      </c>
      <c r="CB177" s="3">
        <v>0</v>
      </c>
      <c r="CC177" s="3">
        <v>0</v>
      </c>
      <c r="CD177" s="3">
        <v>0</v>
      </c>
      <c r="CE177" s="3">
        <v>0</v>
      </c>
      <c r="CG177" s="319" t="s">
        <v>5225</v>
      </c>
      <c r="CH177" s="3"/>
      <c r="CI177" s="3"/>
      <c r="CJ177" s="3"/>
      <c r="CK177" s="3"/>
      <c r="CL177" s="3"/>
      <c r="CM177" s="3"/>
      <c r="CN177" s="3"/>
      <c r="CO177" s="3"/>
      <c r="CP177" s="3"/>
      <c r="CQ177" s="3"/>
      <c r="CS177" s="319" t="s">
        <v>3913</v>
      </c>
      <c r="CT177" s="3"/>
      <c r="CU177" s="3"/>
      <c r="CV177" s="3"/>
      <c r="CW177" s="3"/>
      <c r="CX177" s="3"/>
      <c r="CY177" s="3"/>
      <c r="CZ177" s="3"/>
      <c r="DA177" s="3"/>
      <c r="DB177" s="3"/>
      <c r="DC177" s="3"/>
      <c r="DE177" s="319" t="s">
        <v>3309</v>
      </c>
      <c r="DF177" s="3"/>
      <c r="DG177" s="3"/>
      <c r="DH177" s="3"/>
      <c r="DI177" s="3"/>
      <c r="DJ177" s="3"/>
      <c r="DK177" s="3"/>
      <c r="DL177" s="3"/>
      <c r="DM177" s="3"/>
      <c r="DN177" s="3"/>
      <c r="DO177" s="3"/>
      <c r="DQ177" s="319" t="s">
        <v>2036</v>
      </c>
      <c r="DR177" s="3"/>
      <c r="DS177" s="3"/>
      <c r="DT177" s="3"/>
      <c r="DU177" s="3"/>
      <c r="DV177" s="3"/>
      <c r="DW177" s="3"/>
      <c r="DX177" s="3"/>
      <c r="DY177" s="3"/>
      <c r="DZ177" s="3"/>
      <c r="EA177" s="3"/>
      <c r="FA177" s="319" t="s">
        <v>853</v>
      </c>
      <c r="FB177" s="3"/>
      <c r="FC177" s="3"/>
      <c r="FD177" s="3"/>
      <c r="FE177" s="3"/>
      <c r="FF177" s="3"/>
      <c r="FG177" s="3"/>
      <c r="FH177" s="3"/>
      <c r="FI177" s="3"/>
      <c r="FJ177" s="3"/>
      <c r="FK177" s="3"/>
      <c r="FM177" s="319" t="s">
        <v>1777</v>
      </c>
      <c r="FN177" s="3">
        <v>0</v>
      </c>
      <c r="FO177" s="3">
        <v>0</v>
      </c>
      <c r="FP177" s="3">
        <v>0</v>
      </c>
      <c r="FQ177" s="3">
        <v>0</v>
      </c>
      <c r="FR177" s="3">
        <v>0</v>
      </c>
      <c r="FS177" s="3">
        <v>0</v>
      </c>
      <c r="FT177" s="3">
        <v>0</v>
      </c>
      <c r="FU177" s="3">
        <v>0</v>
      </c>
      <c r="FV177" s="3">
        <v>0</v>
      </c>
      <c r="FW177" s="3">
        <v>0</v>
      </c>
      <c r="GK177" s="319" t="s">
        <v>4433</v>
      </c>
      <c r="GL177" s="3">
        <v>0</v>
      </c>
      <c r="GM177" s="3">
        <v>0</v>
      </c>
      <c r="GN177" s="3">
        <v>0</v>
      </c>
      <c r="GO177" s="3">
        <v>0</v>
      </c>
      <c r="GP177" s="3">
        <v>0</v>
      </c>
      <c r="GQ177" s="3">
        <v>0</v>
      </c>
      <c r="GR177" s="3">
        <v>0</v>
      </c>
      <c r="GS177" s="3">
        <v>0</v>
      </c>
      <c r="GT177" s="3">
        <v>0</v>
      </c>
      <c r="GU177" s="3">
        <v>0</v>
      </c>
      <c r="GW177" s="319" t="s">
        <v>2096</v>
      </c>
      <c r="GX177" s="3">
        <v>0</v>
      </c>
      <c r="GY177" s="3">
        <v>0</v>
      </c>
      <c r="GZ177" s="3">
        <v>0</v>
      </c>
      <c r="HA177" s="3">
        <v>0</v>
      </c>
      <c r="HB177" s="3">
        <v>0</v>
      </c>
      <c r="HC177" s="3">
        <v>0</v>
      </c>
      <c r="HD177" s="3">
        <v>0</v>
      </c>
      <c r="HE177" s="3">
        <v>0</v>
      </c>
      <c r="HF177" s="3">
        <v>0</v>
      </c>
      <c r="HG177" s="3">
        <v>0</v>
      </c>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row>
    <row r="178" spans="1:256" s="319" customFormat="1" ht="12.75" customHeight="1">
      <c r="A178" s="319" t="s">
        <v>2526</v>
      </c>
      <c r="B178" s="646"/>
      <c r="C178" s="3"/>
      <c r="D178" s="646"/>
      <c r="E178" s="3"/>
      <c r="F178" s="646"/>
      <c r="G178" s="646"/>
      <c r="H178" s="3"/>
      <c r="I178" s="646"/>
      <c r="J178" s="3"/>
      <c r="K178" s="646"/>
      <c r="M178" s="319" t="s">
        <v>163</v>
      </c>
      <c r="N178" s="3"/>
      <c r="O178" s="3"/>
      <c r="P178" s="3"/>
      <c r="Q178" s="3"/>
      <c r="R178" s="3"/>
      <c r="S178" s="3"/>
      <c r="T178" s="3"/>
      <c r="U178" s="3"/>
      <c r="V178" s="3"/>
      <c r="W178" s="3"/>
      <c r="X178" s="556"/>
      <c r="Y178" s="556" t="s">
        <v>5385</v>
      </c>
      <c r="Z178" s="3">
        <v>0</v>
      </c>
      <c r="AA178" s="3">
        <v>0</v>
      </c>
      <c r="AB178" s="3">
        <v>0</v>
      </c>
      <c r="AC178" s="3">
        <v>0</v>
      </c>
      <c r="AD178" s="3">
        <v>0</v>
      </c>
      <c r="AE178" s="3">
        <v>0</v>
      </c>
      <c r="AF178" s="3">
        <v>0</v>
      </c>
      <c r="AG178" s="3">
        <v>0</v>
      </c>
      <c r="AH178" s="3">
        <v>0</v>
      </c>
      <c r="AI178" s="3">
        <v>0</v>
      </c>
      <c r="AK178" s="556" t="s">
        <v>5451</v>
      </c>
      <c r="AL178" s="3">
        <v>0</v>
      </c>
      <c r="AM178" s="3">
        <v>0</v>
      </c>
      <c r="AN178" s="3">
        <v>0</v>
      </c>
      <c r="AO178" s="3">
        <v>0</v>
      </c>
      <c r="AP178" s="3">
        <v>0</v>
      </c>
      <c r="AQ178" s="3">
        <v>0</v>
      </c>
      <c r="AR178" s="3">
        <v>0</v>
      </c>
      <c r="AS178" s="3">
        <v>0</v>
      </c>
      <c r="AT178" s="3">
        <v>0</v>
      </c>
      <c r="AU178" s="3">
        <v>0</v>
      </c>
      <c r="AW178" s="319" t="s">
        <v>1394</v>
      </c>
      <c r="AX178" s="646">
        <v>0</v>
      </c>
      <c r="AY178" s="3">
        <v>0</v>
      </c>
      <c r="AZ178" s="646">
        <v>0</v>
      </c>
      <c r="BA178" s="3">
        <v>0</v>
      </c>
      <c r="BB178" s="646">
        <v>0</v>
      </c>
      <c r="BC178" s="646">
        <v>0</v>
      </c>
      <c r="BD178" s="3">
        <v>0</v>
      </c>
      <c r="BE178" s="646">
        <v>0</v>
      </c>
      <c r="BF178" s="3">
        <v>0</v>
      </c>
      <c r="BG178" s="646">
        <v>0</v>
      </c>
      <c r="BI178" s="319" t="s">
        <v>331</v>
      </c>
      <c r="BJ178" s="3"/>
      <c r="BK178" s="3"/>
      <c r="BL178" s="3"/>
      <c r="BM178" s="3"/>
      <c r="BN178" s="3"/>
      <c r="BO178" s="3"/>
      <c r="BP178" s="3"/>
      <c r="BQ178" s="3"/>
      <c r="BR178" s="3"/>
      <c r="BS178" s="3"/>
      <c r="BU178" s="319" t="s">
        <v>1702</v>
      </c>
      <c r="BV178" s="3"/>
      <c r="BW178" s="3"/>
      <c r="BX178" s="3"/>
      <c r="BY178" s="3"/>
      <c r="BZ178" s="3"/>
      <c r="CA178" s="3"/>
      <c r="CB178" s="3"/>
      <c r="CC178" s="3"/>
      <c r="CD178" s="3"/>
      <c r="CE178" s="3"/>
      <c r="CG178" s="319" t="s">
        <v>6019</v>
      </c>
      <c r="CH178" s="3"/>
      <c r="CI178" s="3"/>
      <c r="CJ178" s="3"/>
      <c r="CK178" s="3"/>
      <c r="CL178" s="3"/>
      <c r="CM178" s="3"/>
      <c r="CN178" s="3"/>
      <c r="CO178" s="3"/>
      <c r="CP178" s="3"/>
      <c r="CQ178" s="3"/>
      <c r="CS178" s="319" t="s">
        <v>3914</v>
      </c>
      <c r="CT178" s="3">
        <v>0</v>
      </c>
      <c r="CU178" s="3">
        <v>0</v>
      </c>
      <c r="CV178" s="3">
        <v>0</v>
      </c>
      <c r="CW178" s="3">
        <v>0</v>
      </c>
      <c r="CX178" s="3">
        <v>0</v>
      </c>
      <c r="CY178" s="3">
        <v>0</v>
      </c>
      <c r="CZ178" s="3">
        <v>0</v>
      </c>
      <c r="DA178" s="3">
        <v>0</v>
      </c>
      <c r="DB178" s="3">
        <v>0</v>
      </c>
      <c r="DC178" s="3">
        <v>0</v>
      </c>
      <c r="DE178" s="319" t="s">
        <v>3981</v>
      </c>
      <c r="DF178" s="3"/>
      <c r="DG178" s="3"/>
      <c r="DH178" s="3"/>
      <c r="DI178" s="3"/>
      <c r="DJ178" s="3"/>
      <c r="DK178" s="3"/>
      <c r="DL178" s="3"/>
      <c r="DM178" s="3"/>
      <c r="DN178" s="3"/>
      <c r="DO178" s="3"/>
      <c r="DQ178" s="319" t="s">
        <v>2992</v>
      </c>
      <c r="DR178" s="3"/>
      <c r="DS178" s="3"/>
      <c r="DT178" s="3"/>
      <c r="DU178" s="3"/>
      <c r="DV178" s="3"/>
      <c r="DW178" s="3"/>
      <c r="DX178" s="3"/>
      <c r="DY178" s="3"/>
      <c r="DZ178" s="3"/>
      <c r="EA178" s="3"/>
      <c r="FA178" s="319" t="s">
        <v>3719</v>
      </c>
      <c r="FB178" s="3"/>
      <c r="FC178" s="3"/>
      <c r="FD178" s="3"/>
      <c r="FE178" s="3"/>
      <c r="FF178" s="3"/>
      <c r="FG178" s="3"/>
      <c r="FH178" s="3"/>
      <c r="FI178" s="3"/>
      <c r="FJ178" s="3"/>
      <c r="FK178" s="3"/>
      <c r="FM178" s="319" t="s">
        <v>1778</v>
      </c>
      <c r="FN178" s="3"/>
      <c r="FO178" s="3"/>
      <c r="FP178" s="3"/>
      <c r="FQ178" s="3"/>
      <c r="FR178" s="3"/>
      <c r="FS178" s="3"/>
      <c r="FT178" s="3"/>
      <c r="FU178" s="3"/>
      <c r="FV178" s="3"/>
      <c r="FW178" s="3"/>
      <c r="GK178" s="319" t="s">
        <v>4434</v>
      </c>
      <c r="GL178" s="3">
        <v>0</v>
      </c>
      <c r="GM178" s="3">
        <v>0</v>
      </c>
      <c r="GN178" s="3">
        <v>0</v>
      </c>
      <c r="GO178" s="3">
        <v>0</v>
      </c>
      <c r="GP178" s="3">
        <v>0</v>
      </c>
      <c r="GQ178" s="3">
        <v>0</v>
      </c>
      <c r="GR178" s="3">
        <v>0</v>
      </c>
      <c r="GS178" s="3">
        <v>0</v>
      </c>
      <c r="GT178" s="3">
        <v>0</v>
      </c>
      <c r="GU178" s="3">
        <v>0</v>
      </c>
      <c r="GW178" s="319" t="s">
        <v>527</v>
      </c>
      <c r="GX178" s="3">
        <v>0</v>
      </c>
      <c r="GY178" s="3">
        <v>0</v>
      </c>
      <c r="GZ178" s="3">
        <v>0</v>
      </c>
      <c r="HA178" s="3">
        <v>0</v>
      </c>
      <c r="HB178" s="3">
        <v>0</v>
      </c>
      <c r="HC178" s="3">
        <v>0</v>
      </c>
      <c r="HD178" s="3">
        <v>0</v>
      </c>
      <c r="HE178" s="3">
        <v>0</v>
      </c>
      <c r="HF178" s="3">
        <v>0</v>
      </c>
      <c r="HG178" s="3">
        <v>0</v>
      </c>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row>
    <row r="179" spans="1:256" s="319" customFormat="1" ht="12.75" customHeight="1">
      <c r="A179" s="319" t="s">
        <v>2527</v>
      </c>
      <c r="B179" s="646"/>
      <c r="C179" s="3"/>
      <c r="D179" s="646"/>
      <c r="E179" s="3"/>
      <c r="F179" s="646"/>
      <c r="G179" s="646"/>
      <c r="H179" s="3"/>
      <c r="I179" s="646"/>
      <c r="J179" s="3"/>
      <c r="K179" s="646"/>
      <c r="M179" s="319" t="s">
        <v>3322</v>
      </c>
      <c r="N179" s="3" t="b">
        <v>0</v>
      </c>
      <c r="O179" s="3" t="b">
        <v>0</v>
      </c>
      <c r="P179" s="3" t="b">
        <v>0</v>
      </c>
      <c r="Q179" s="3" t="b">
        <v>0</v>
      </c>
      <c r="R179" s="3" t="b">
        <v>0</v>
      </c>
      <c r="S179" s="3" t="b">
        <v>0</v>
      </c>
      <c r="T179" s="3" t="b">
        <v>0</v>
      </c>
      <c r="U179" s="3" t="b">
        <v>0</v>
      </c>
      <c r="V179" s="3" t="b">
        <v>0</v>
      </c>
      <c r="W179" s="3" t="b">
        <v>0</v>
      </c>
      <c r="X179" s="556"/>
      <c r="Y179" s="556" t="s">
        <v>5386</v>
      </c>
      <c r="Z179" s="3">
        <v>0</v>
      </c>
      <c r="AA179" s="3">
        <v>0</v>
      </c>
      <c r="AB179" s="3">
        <v>0</v>
      </c>
      <c r="AC179" s="3">
        <v>0</v>
      </c>
      <c r="AD179" s="3">
        <v>0</v>
      </c>
      <c r="AE179" s="3">
        <v>0</v>
      </c>
      <c r="AF179" s="3">
        <v>0</v>
      </c>
      <c r="AG179" s="3">
        <v>0</v>
      </c>
      <c r="AH179" s="3">
        <v>0</v>
      </c>
      <c r="AI179" s="3">
        <v>0</v>
      </c>
      <c r="AK179" s="556" t="s">
        <v>5452</v>
      </c>
      <c r="AL179" s="3">
        <v>0</v>
      </c>
      <c r="AM179" s="3">
        <v>0</v>
      </c>
      <c r="AN179" s="3">
        <v>0</v>
      </c>
      <c r="AO179" s="3">
        <v>0</v>
      </c>
      <c r="AP179" s="3">
        <v>0</v>
      </c>
      <c r="AQ179" s="3">
        <v>0</v>
      </c>
      <c r="AR179" s="3">
        <v>0</v>
      </c>
      <c r="AS179" s="3">
        <v>0</v>
      </c>
      <c r="AT179" s="3">
        <v>0</v>
      </c>
      <c r="AU179" s="3">
        <v>0</v>
      </c>
      <c r="AW179" s="319" t="s">
        <v>5100</v>
      </c>
      <c r="AX179" s="646"/>
      <c r="AY179" s="3"/>
      <c r="AZ179" s="646"/>
      <c r="BA179" s="3"/>
      <c r="BB179" s="646"/>
      <c r="BC179" s="646"/>
      <c r="BD179" s="3"/>
      <c r="BE179" s="646"/>
      <c r="BF179" s="3"/>
      <c r="BG179" s="646"/>
      <c r="BI179" s="319" t="s">
        <v>508</v>
      </c>
      <c r="BJ179" s="3"/>
      <c r="BK179" s="3"/>
      <c r="BL179" s="3"/>
      <c r="BM179" s="3"/>
      <c r="BN179" s="3"/>
      <c r="BO179" s="3"/>
      <c r="BP179" s="3"/>
      <c r="BQ179" s="3"/>
      <c r="BR179" s="3"/>
      <c r="BS179" s="3"/>
      <c r="BU179" s="319" t="s">
        <v>5802</v>
      </c>
      <c r="BV179" s="3"/>
      <c r="BW179" s="3"/>
      <c r="BX179" s="3"/>
      <c r="BY179" s="3"/>
      <c r="BZ179" s="3"/>
      <c r="CA179" s="3"/>
      <c r="CB179" s="3"/>
      <c r="CC179" s="3"/>
      <c r="CD179" s="3"/>
      <c r="CE179" s="3"/>
      <c r="CG179" s="319" t="s">
        <v>2960</v>
      </c>
      <c r="CH179" s="3">
        <v>0</v>
      </c>
      <c r="CI179" s="3">
        <v>0</v>
      </c>
      <c r="CJ179" s="3">
        <v>0</v>
      </c>
      <c r="CK179" s="3">
        <v>0</v>
      </c>
      <c r="CL179" s="3">
        <v>0</v>
      </c>
      <c r="CM179" s="3">
        <v>0</v>
      </c>
      <c r="CN179" s="3">
        <v>0</v>
      </c>
      <c r="CO179" s="3">
        <v>0</v>
      </c>
      <c r="CP179" s="3">
        <v>0</v>
      </c>
      <c r="CQ179" s="3">
        <v>0</v>
      </c>
      <c r="CS179" s="319" t="s">
        <v>702</v>
      </c>
      <c r="CT179" s="3">
        <v>0</v>
      </c>
      <c r="CU179" s="3">
        <v>0</v>
      </c>
      <c r="CV179" s="3">
        <v>0</v>
      </c>
      <c r="CW179" s="3">
        <v>0</v>
      </c>
      <c r="CX179" s="3">
        <v>0</v>
      </c>
      <c r="CY179" s="3">
        <v>0</v>
      </c>
      <c r="CZ179" s="3">
        <v>0</v>
      </c>
      <c r="DA179" s="3">
        <v>0</v>
      </c>
      <c r="DB179" s="3">
        <v>0</v>
      </c>
      <c r="DC179" s="3">
        <v>0</v>
      </c>
      <c r="DE179" s="319" t="s">
        <v>3121</v>
      </c>
      <c r="DF179" s="3">
        <v>0</v>
      </c>
      <c r="DG179" s="3">
        <v>0</v>
      </c>
      <c r="DH179" s="3">
        <v>0</v>
      </c>
      <c r="DI179" s="3">
        <v>0</v>
      </c>
      <c r="DJ179" s="3">
        <v>0</v>
      </c>
      <c r="DK179" s="3">
        <v>0</v>
      </c>
      <c r="DL179" s="3">
        <v>0</v>
      </c>
      <c r="DM179" s="3">
        <v>0</v>
      </c>
      <c r="DN179" s="3">
        <v>0</v>
      </c>
      <c r="DO179" s="3">
        <v>0</v>
      </c>
      <c r="DQ179" s="319" t="s">
        <v>1385</v>
      </c>
      <c r="DR179" s="3"/>
      <c r="DS179" s="3"/>
      <c r="DT179" s="3"/>
      <c r="DU179" s="3"/>
      <c r="DV179" s="3"/>
      <c r="DW179" s="3"/>
      <c r="DX179" s="3"/>
      <c r="DY179" s="3"/>
      <c r="DZ179" s="3"/>
      <c r="EA179" s="3"/>
      <c r="FA179" s="319" t="s">
        <v>2416</v>
      </c>
      <c r="FB179" s="3">
        <v>1</v>
      </c>
      <c r="FC179" s="3">
        <v>1</v>
      </c>
      <c r="FD179" s="3">
        <v>1</v>
      </c>
      <c r="FE179" s="3">
        <v>1</v>
      </c>
      <c r="FF179" s="3">
        <v>1</v>
      </c>
      <c r="FG179" s="3">
        <v>1</v>
      </c>
      <c r="FH179" s="3">
        <v>1</v>
      </c>
      <c r="FI179" s="3">
        <v>1</v>
      </c>
      <c r="FJ179" s="3">
        <v>1</v>
      </c>
      <c r="FK179" s="3">
        <v>1</v>
      </c>
      <c r="FM179" s="319" t="s">
        <v>4319</v>
      </c>
      <c r="FN179" s="3"/>
      <c r="FO179" s="3"/>
      <c r="FP179" s="3"/>
      <c r="FQ179" s="3"/>
      <c r="FR179" s="3"/>
      <c r="FS179" s="3"/>
      <c r="FT179" s="3"/>
      <c r="FU179" s="3"/>
      <c r="FV179" s="3"/>
      <c r="FW179" s="3"/>
      <c r="GW179" s="319" t="s">
        <v>5919</v>
      </c>
      <c r="GX179" s="3">
        <v>0</v>
      </c>
      <c r="GY179" s="3">
        <v>0</v>
      </c>
      <c r="GZ179" s="3">
        <v>0</v>
      </c>
      <c r="HA179" s="3">
        <v>0</v>
      </c>
      <c r="HB179" s="3">
        <v>0</v>
      </c>
      <c r="HC179" s="3">
        <v>0</v>
      </c>
      <c r="HD179" s="3">
        <v>0</v>
      </c>
      <c r="HE179" s="3">
        <v>0</v>
      </c>
      <c r="HF179" s="3">
        <v>0</v>
      </c>
      <c r="HG179" s="3">
        <v>0</v>
      </c>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row>
    <row r="180" spans="1:256" s="319" customFormat="1" ht="12.75" customHeight="1">
      <c r="A180" s="319" t="s">
        <v>2528</v>
      </c>
      <c r="B180" s="646"/>
      <c r="C180" s="3"/>
      <c r="D180" s="646"/>
      <c r="E180" s="3"/>
      <c r="F180" s="646"/>
      <c r="G180" s="646"/>
      <c r="H180" s="3"/>
      <c r="I180" s="646"/>
      <c r="J180" s="3"/>
      <c r="K180" s="646"/>
      <c r="M180" s="319" t="s">
        <v>2143</v>
      </c>
      <c r="N180" s="3">
        <v>0</v>
      </c>
      <c r="O180" s="3">
        <v>0</v>
      </c>
      <c r="P180" s="3">
        <v>0</v>
      </c>
      <c r="Q180" s="3">
        <v>0</v>
      </c>
      <c r="R180" s="3">
        <v>0</v>
      </c>
      <c r="S180" s="3">
        <v>0</v>
      </c>
      <c r="T180" s="3">
        <v>0</v>
      </c>
      <c r="U180" s="3">
        <v>0</v>
      </c>
      <c r="V180" s="3">
        <v>0</v>
      </c>
      <c r="W180" s="3">
        <v>0</v>
      </c>
      <c r="X180" s="556"/>
      <c r="Y180" s="556" t="s">
        <v>4319</v>
      </c>
      <c r="Z180" s="3"/>
      <c r="AA180" s="3"/>
      <c r="AB180" s="3"/>
      <c r="AC180" s="3"/>
      <c r="AD180" s="3"/>
      <c r="AE180" s="3"/>
      <c r="AF180" s="3"/>
      <c r="AG180" s="3"/>
      <c r="AH180" s="3"/>
      <c r="AI180" s="3"/>
      <c r="AK180" s="556" t="s">
        <v>1118</v>
      </c>
      <c r="AL180" s="3">
        <v>0</v>
      </c>
      <c r="AM180" s="3">
        <v>0</v>
      </c>
      <c r="AN180" s="3">
        <v>0</v>
      </c>
      <c r="AO180" s="3">
        <v>0</v>
      </c>
      <c r="AP180" s="3">
        <v>0</v>
      </c>
      <c r="AQ180" s="3">
        <v>0</v>
      </c>
      <c r="AR180" s="3">
        <v>0</v>
      </c>
      <c r="AS180" s="3">
        <v>0</v>
      </c>
      <c r="AT180" s="3">
        <v>0</v>
      </c>
      <c r="AU180" s="3">
        <v>0</v>
      </c>
      <c r="AW180" s="319" t="s">
        <v>411</v>
      </c>
      <c r="AX180" s="646"/>
      <c r="AY180" s="3"/>
      <c r="AZ180" s="646"/>
      <c r="BA180" s="3"/>
      <c r="BB180" s="646"/>
      <c r="BC180" s="646"/>
      <c r="BD180" s="3"/>
      <c r="BE180" s="646"/>
      <c r="BF180" s="3"/>
      <c r="BG180" s="646"/>
      <c r="BI180" s="319" t="s">
        <v>5585</v>
      </c>
      <c r="BJ180" s="3"/>
      <c r="BK180" s="3"/>
      <c r="BL180" s="3"/>
      <c r="BM180" s="3"/>
      <c r="BN180" s="3"/>
      <c r="BO180" s="3"/>
      <c r="BP180" s="3"/>
      <c r="BQ180" s="3"/>
      <c r="BR180" s="3"/>
      <c r="BS180" s="3"/>
      <c r="BU180" s="319" t="s">
        <v>5803</v>
      </c>
      <c r="BV180" s="3">
        <v>0</v>
      </c>
      <c r="BW180" s="3">
        <v>0</v>
      </c>
      <c r="BX180" s="3">
        <v>0</v>
      </c>
      <c r="BY180" s="3">
        <v>0</v>
      </c>
      <c r="BZ180" s="3">
        <v>0</v>
      </c>
      <c r="CA180" s="3">
        <v>0</v>
      </c>
      <c r="CB180" s="3">
        <v>0</v>
      </c>
      <c r="CC180" s="3">
        <v>0</v>
      </c>
      <c r="CD180" s="3">
        <v>0</v>
      </c>
      <c r="CE180" s="3">
        <v>0</v>
      </c>
      <c r="CG180" s="319" t="s">
        <v>2961</v>
      </c>
      <c r="CH180" s="3"/>
      <c r="CI180" s="3"/>
      <c r="CJ180" s="3"/>
      <c r="CK180" s="3"/>
      <c r="CL180" s="3"/>
      <c r="CM180" s="3"/>
      <c r="CN180" s="3"/>
      <c r="CO180" s="3"/>
      <c r="CP180" s="3"/>
      <c r="CQ180" s="3"/>
      <c r="CS180" s="319" t="s">
        <v>703</v>
      </c>
      <c r="CT180" s="3">
        <v>0</v>
      </c>
      <c r="CU180" s="3">
        <v>0</v>
      </c>
      <c r="CV180" s="3">
        <v>0</v>
      </c>
      <c r="CW180" s="3">
        <v>0</v>
      </c>
      <c r="CX180" s="3">
        <v>0</v>
      </c>
      <c r="CY180" s="3">
        <v>0</v>
      </c>
      <c r="CZ180" s="3">
        <v>0</v>
      </c>
      <c r="DA180" s="3">
        <v>0</v>
      </c>
      <c r="DB180" s="3">
        <v>0</v>
      </c>
      <c r="DC180" s="3">
        <v>0</v>
      </c>
      <c r="DE180" s="319" t="s">
        <v>5792</v>
      </c>
      <c r="DF180" s="3"/>
      <c r="DG180" s="3"/>
      <c r="DH180" s="3"/>
      <c r="DI180" s="3"/>
      <c r="DJ180" s="3"/>
      <c r="DK180" s="3"/>
      <c r="DL180" s="3"/>
      <c r="DM180" s="3"/>
      <c r="DN180" s="3"/>
      <c r="DO180" s="3"/>
      <c r="DQ180" s="319" t="s">
        <v>5330</v>
      </c>
      <c r="DR180" s="3"/>
      <c r="DS180" s="3"/>
      <c r="DT180" s="3"/>
      <c r="DU180" s="3"/>
      <c r="DV180" s="3"/>
      <c r="DW180" s="3"/>
      <c r="DX180" s="3"/>
      <c r="DY180" s="3"/>
      <c r="DZ180" s="3"/>
      <c r="EA180" s="3"/>
      <c r="FA180" s="319" t="s">
        <v>2417</v>
      </c>
      <c r="FB180" s="3">
        <v>1</v>
      </c>
      <c r="FC180" s="3">
        <v>1</v>
      </c>
      <c r="FD180" s="3">
        <v>1</v>
      </c>
      <c r="FE180" s="3">
        <v>1</v>
      </c>
      <c r="FF180" s="3">
        <v>1</v>
      </c>
      <c r="FG180" s="3">
        <v>1</v>
      </c>
      <c r="FH180" s="3">
        <v>1</v>
      </c>
      <c r="FI180" s="3">
        <v>1</v>
      </c>
      <c r="FJ180" s="3">
        <v>1</v>
      </c>
      <c r="FK180" s="3">
        <v>1</v>
      </c>
      <c r="FM180" s="319" t="s">
        <v>5618</v>
      </c>
      <c r="FN180" s="3"/>
      <c r="FO180" s="3"/>
      <c r="FP180" s="3"/>
      <c r="FQ180" s="3"/>
      <c r="FR180" s="3"/>
      <c r="FS180" s="3"/>
      <c r="FT180" s="3"/>
      <c r="FU180" s="3"/>
      <c r="FV180" s="3"/>
      <c r="FW180" s="3"/>
      <c r="GW180" s="319" t="s">
        <v>5920</v>
      </c>
      <c r="GX180" s="3">
        <v>0</v>
      </c>
      <c r="GY180" s="3">
        <v>0</v>
      </c>
      <c r="GZ180" s="3">
        <v>0</v>
      </c>
      <c r="HA180" s="3">
        <v>0</v>
      </c>
      <c r="HB180" s="3">
        <v>0</v>
      </c>
      <c r="HC180" s="3">
        <v>0</v>
      </c>
      <c r="HD180" s="3">
        <v>0</v>
      </c>
      <c r="HE180" s="3">
        <v>0</v>
      </c>
      <c r="HF180" s="3">
        <v>0</v>
      </c>
      <c r="HG180" s="3">
        <v>0</v>
      </c>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row>
    <row r="181" spans="1:256" s="319" customFormat="1" ht="12.75" customHeight="1">
      <c r="A181" s="319" t="s">
        <v>5218</v>
      </c>
      <c r="B181" s="646"/>
      <c r="C181" s="3"/>
      <c r="D181" s="646"/>
      <c r="E181" s="3"/>
      <c r="F181" s="646"/>
      <c r="G181" s="646"/>
      <c r="H181" s="3"/>
      <c r="I181" s="646"/>
      <c r="J181" s="3"/>
      <c r="K181" s="646"/>
      <c r="M181" s="319" t="s">
        <v>2039</v>
      </c>
      <c r="N181" s="3">
        <v>0</v>
      </c>
      <c r="O181" s="3">
        <v>0</v>
      </c>
      <c r="P181" s="3">
        <v>0</v>
      </c>
      <c r="Q181" s="3">
        <v>0</v>
      </c>
      <c r="R181" s="3">
        <v>0</v>
      </c>
      <c r="S181" s="3">
        <v>0</v>
      </c>
      <c r="T181" s="3">
        <v>0</v>
      </c>
      <c r="U181" s="3">
        <v>0</v>
      </c>
      <c r="V181" s="3">
        <v>0</v>
      </c>
      <c r="W181" s="3">
        <v>0</v>
      </c>
      <c r="X181" s="556"/>
      <c r="Y181" s="556" t="s">
        <v>1778</v>
      </c>
      <c r="Z181" s="3"/>
      <c r="AA181" s="3"/>
      <c r="AB181" s="3"/>
      <c r="AC181" s="3"/>
      <c r="AD181" s="3"/>
      <c r="AE181" s="3"/>
      <c r="AF181" s="3"/>
      <c r="AG181" s="3"/>
      <c r="AH181" s="3"/>
      <c r="AI181" s="3"/>
      <c r="AK181" s="319" t="s">
        <v>4288</v>
      </c>
      <c r="AL181" s="3"/>
      <c r="AM181" s="3"/>
      <c r="AN181" s="3"/>
      <c r="AO181" s="3"/>
      <c r="AP181" s="3"/>
      <c r="AQ181" s="3"/>
      <c r="AR181" s="3"/>
      <c r="AS181" s="3"/>
      <c r="AT181" s="3"/>
      <c r="AU181" s="3"/>
      <c r="AW181" s="319" t="s">
        <v>3042</v>
      </c>
      <c r="AX181" s="646">
        <v>0</v>
      </c>
      <c r="AY181" s="3">
        <v>0</v>
      </c>
      <c r="AZ181" s="646">
        <v>0</v>
      </c>
      <c r="BA181" s="3">
        <v>0</v>
      </c>
      <c r="BB181" s="646">
        <v>0</v>
      </c>
      <c r="BC181" s="646">
        <v>0</v>
      </c>
      <c r="BD181" s="3">
        <v>0</v>
      </c>
      <c r="BE181" s="646">
        <v>0</v>
      </c>
      <c r="BF181" s="3">
        <v>0</v>
      </c>
      <c r="BG181" s="646">
        <v>0</v>
      </c>
      <c r="BJ181" s="556"/>
      <c r="BO181" s="556"/>
      <c r="BU181" s="319" t="s">
        <v>5804</v>
      </c>
      <c r="BV181" s="3"/>
      <c r="BW181" s="3"/>
      <c r="BX181" s="3"/>
      <c r="BY181" s="3"/>
      <c r="BZ181" s="3"/>
      <c r="CA181" s="3"/>
      <c r="CB181" s="3"/>
      <c r="CC181" s="3"/>
      <c r="CD181" s="3"/>
      <c r="CE181" s="3"/>
      <c r="CG181" s="319" t="s">
        <v>2962</v>
      </c>
      <c r="CH181" s="3"/>
      <c r="CI181" s="3"/>
      <c r="CJ181" s="3"/>
      <c r="CK181" s="3"/>
      <c r="CL181" s="3"/>
      <c r="CM181" s="3"/>
      <c r="CN181" s="3"/>
      <c r="CO181" s="3"/>
      <c r="CP181" s="3"/>
      <c r="CQ181" s="3"/>
      <c r="CS181" s="319" t="s">
        <v>685</v>
      </c>
      <c r="CT181" s="3"/>
      <c r="CU181" s="3"/>
      <c r="CV181" s="3"/>
      <c r="CW181" s="3"/>
      <c r="CX181" s="3"/>
      <c r="CY181" s="3"/>
      <c r="CZ181" s="3"/>
      <c r="DA181" s="3"/>
      <c r="DB181" s="3"/>
      <c r="DC181" s="3"/>
      <c r="DE181" s="319" t="s">
        <v>4522</v>
      </c>
      <c r="DF181" s="3"/>
      <c r="DG181" s="3"/>
      <c r="DH181" s="3"/>
      <c r="DI181" s="3"/>
      <c r="DJ181" s="3"/>
      <c r="DK181" s="3"/>
      <c r="DL181" s="3"/>
      <c r="DM181" s="3"/>
      <c r="DN181" s="3"/>
      <c r="DO181" s="3"/>
      <c r="DQ181" s="319" t="s">
        <v>5331</v>
      </c>
      <c r="DR181" s="3">
        <v>0</v>
      </c>
      <c r="DS181" s="3">
        <v>0</v>
      </c>
      <c r="DT181" s="3">
        <v>0</v>
      </c>
      <c r="DU181" s="3">
        <v>0</v>
      </c>
      <c r="DV181" s="3">
        <v>0</v>
      </c>
      <c r="DW181" s="3">
        <v>0</v>
      </c>
      <c r="DX181" s="3">
        <v>0</v>
      </c>
      <c r="DY181" s="3">
        <v>0</v>
      </c>
      <c r="DZ181" s="3">
        <v>0</v>
      </c>
      <c r="EA181" s="3">
        <v>0</v>
      </c>
      <c r="FA181" s="319" t="s">
        <v>4507</v>
      </c>
      <c r="FB181" s="3"/>
      <c r="FC181" s="3"/>
      <c r="FD181" s="3"/>
      <c r="FE181" s="3"/>
      <c r="FF181" s="3"/>
      <c r="FG181" s="3"/>
      <c r="FH181" s="3"/>
      <c r="FI181" s="3"/>
      <c r="FJ181" s="3"/>
      <c r="FK181" s="3"/>
      <c r="FM181" s="319" t="s">
        <v>4737</v>
      </c>
      <c r="FN181" s="3"/>
      <c r="FO181" s="3"/>
      <c r="FP181" s="3"/>
      <c r="FQ181" s="3"/>
      <c r="FR181" s="3"/>
      <c r="FS181" s="3"/>
      <c r="FT181" s="3"/>
      <c r="FU181" s="3"/>
      <c r="FV181" s="3"/>
      <c r="FW181" s="3"/>
      <c r="GW181" s="319" t="s">
        <v>321</v>
      </c>
      <c r="GX181" s="3"/>
      <c r="GY181" s="3"/>
      <c r="GZ181" s="3"/>
      <c r="HA181" s="3"/>
      <c r="HB181" s="3"/>
      <c r="HC181" s="3"/>
      <c r="HD181" s="3"/>
      <c r="HE181" s="3"/>
      <c r="HF181" s="3"/>
      <c r="HG181" s="3"/>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row>
    <row r="182" spans="1:256" s="319" customFormat="1" ht="12.75" customHeight="1">
      <c r="A182" s="319" t="s">
        <v>5219</v>
      </c>
      <c r="B182" s="646"/>
      <c r="C182" s="3"/>
      <c r="D182" s="646"/>
      <c r="E182" s="3"/>
      <c r="F182" s="646"/>
      <c r="G182" s="646"/>
      <c r="H182" s="3"/>
      <c r="I182" s="646"/>
      <c r="J182" s="3"/>
      <c r="K182" s="646"/>
      <c r="M182" s="319" t="s">
        <v>325</v>
      </c>
      <c r="N182" s="3"/>
      <c r="O182" s="3"/>
      <c r="P182" s="3"/>
      <c r="Q182" s="3"/>
      <c r="R182" s="3"/>
      <c r="S182" s="3"/>
      <c r="T182" s="3"/>
      <c r="U182" s="3"/>
      <c r="V182" s="3"/>
      <c r="W182" s="3"/>
      <c r="X182" s="556"/>
      <c r="Y182" s="556" t="s">
        <v>5416</v>
      </c>
      <c r="Z182" s="3">
        <v>1</v>
      </c>
      <c r="AA182" s="3">
        <v>1</v>
      </c>
      <c r="AB182" s="3">
        <v>1</v>
      </c>
      <c r="AC182" s="3">
        <v>1</v>
      </c>
      <c r="AD182" s="3">
        <v>1</v>
      </c>
      <c r="AE182" s="3">
        <v>1</v>
      </c>
      <c r="AF182" s="3">
        <v>1</v>
      </c>
      <c r="AG182" s="3">
        <v>1</v>
      </c>
      <c r="AH182" s="3">
        <v>1</v>
      </c>
      <c r="AI182" s="3">
        <v>1</v>
      </c>
      <c r="AK182" s="319" t="s">
        <v>2987</v>
      </c>
      <c r="AL182" s="3"/>
      <c r="AM182" s="3"/>
      <c r="AN182" s="3"/>
      <c r="AO182" s="3"/>
      <c r="AP182" s="3"/>
      <c r="AQ182" s="3"/>
      <c r="AR182" s="3"/>
      <c r="AS182" s="3"/>
      <c r="AT182" s="3"/>
      <c r="AU182" s="3"/>
      <c r="AW182" s="319" t="s">
        <v>3965</v>
      </c>
      <c r="AX182" s="646">
        <v>0</v>
      </c>
      <c r="AY182" s="3">
        <v>0</v>
      </c>
      <c r="AZ182" s="646">
        <v>0</v>
      </c>
      <c r="BA182" s="3">
        <v>0</v>
      </c>
      <c r="BB182" s="646">
        <v>0</v>
      </c>
      <c r="BC182" s="646">
        <v>0</v>
      </c>
      <c r="BD182" s="3">
        <v>0</v>
      </c>
      <c r="BE182" s="646">
        <v>0</v>
      </c>
      <c r="BF182" s="3">
        <v>0</v>
      </c>
      <c r="BG182" s="646">
        <v>0</v>
      </c>
      <c r="BJ182" s="556"/>
      <c r="BO182" s="556"/>
      <c r="BU182" s="319" t="s">
        <v>2863</v>
      </c>
      <c r="BV182" s="3"/>
      <c r="BW182" s="3"/>
      <c r="BX182" s="3"/>
      <c r="BY182" s="3"/>
      <c r="BZ182" s="3"/>
      <c r="CA182" s="3"/>
      <c r="CB182" s="3"/>
      <c r="CC182" s="3"/>
      <c r="CD182" s="3"/>
      <c r="CE182" s="3"/>
      <c r="CG182" s="319" t="s">
        <v>1805</v>
      </c>
      <c r="CH182" s="3"/>
      <c r="CI182" s="3"/>
      <c r="CJ182" s="3"/>
      <c r="CK182" s="3"/>
      <c r="CL182" s="3"/>
      <c r="CM182" s="3"/>
      <c r="CN182" s="3"/>
      <c r="CO182" s="3"/>
      <c r="CP182" s="3"/>
      <c r="CQ182" s="3"/>
      <c r="CS182" s="319" t="s">
        <v>686</v>
      </c>
      <c r="CT182" s="3"/>
      <c r="CU182" s="3"/>
      <c r="CV182" s="3"/>
      <c r="CW182" s="3"/>
      <c r="CX182" s="3"/>
      <c r="CY182" s="3"/>
      <c r="CZ182" s="3"/>
      <c r="DA182" s="3"/>
      <c r="DB182" s="3"/>
      <c r="DC182" s="3"/>
      <c r="DE182" s="319" t="s">
        <v>4523</v>
      </c>
      <c r="DF182" s="3"/>
      <c r="DG182" s="3"/>
      <c r="DH182" s="3"/>
      <c r="DI182" s="3"/>
      <c r="DJ182" s="3"/>
      <c r="DK182" s="3"/>
      <c r="DL182" s="3"/>
      <c r="DM182" s="3"/>
      <c r="DN182" s="3"/>
      <c r="DO182" s="3"/>
      <c r="DQ182" s="319" t="s">
        <v>5332</v>
      </c>
      <c r="DR182" s="3">
        <v>1</v>
      </c>
      <c r="DS182" s="3">
        <v>1</v>
      </c>
      <c r="DT182" s="3">
        <v>1</v>
      </c>
      <c r="DU182" s="3">
        <v>1</v>
      </c>
      <c r="DV182" s="3">
        <v>1</v>
      </c>
      <c r="DW182" s="3">
        <v>1</v>
      </c>
      <c r="DX182" s="3">
        <v>1</v>
      </c>
      <c r="DY182" s="3">
        <v>1</v>
      </c>
      <c r="DZ182" s="3">
        <v>1</v>
      </c>
      <c r="EA182" s="3">
        <v>1</v>
      </c>
      <c r="FA182" s="319" t="s">
        <v>5122</v>
      </c>
      <c r="FB182" s="3"/>
      <c r="FC182" s="3"/>
      <c r="FD182" s="3"/>
      <c r="FE182" s="3"/>
      <c r="FF182" s="3"/>
      <c r="FG182" s="3"/>
      <c r="FH182" s="3"/>
      <c r="FI182" s="3"/>
      <c r="FJ182" s="3"/>
      <c r="FK182" s="3"/>
      <c r="FM182" s="319" t="s">
        <v>4738</v>
      </c>
      <c r="FN182" s="3">
        <v>0</v>
      </c>
      <c r="FO182" s="3">
        <v>0</v>
      </c>
      <c r="FP182" s="3">
        <v>0</v>
      </c>
      <c r="FQ182" s="3">
        <v>0</v>
      </c>
      <c r="FR182" s="3">
        <v>0</v>
      </c>
      <c r="FS182" s="3">
        <v>0</v>
      </c>
      <c r="FT182" s="3">
        <v>0</v>
      </c>
      <c r="FU182" s="3">
        <v>0</v>
      </c>
      <c r="FV182" s="3">
        <v>0</v>
      </c>
      <c r="FW182" s="3">
        <v>0</v>
      </c>
      <c r="GW182" s="319" t="s">
        <v>2732</v>
      </c>
      <c r="GX182" s="3" t="b">
        <v>1</v>
      </c>
      <c r="GY182" s="3" t="b">
        <v>1</v>
      </c>
      <c r="GZ182" s="3" t="b">
        <v>1</v>
      </c>
      <c r="HA182" s="3" t="b">
        <v>1</v>
      </c>
      <c r="HB182" s="3" t="b">
        <v>1</v>
      </c>
      <c r="HC182" s="3" t="b">
        <v>1</v>
      </c>
      <c r="HD182" s="3" t="b">
        <v>1</v>
      </c>
      <c r="HE182" s="3" t="b">
        <v>1</v>
      </c>
      <c r="HF182" s="3" t="b">
        <v>1</v>
      </c>
      <c r="HG182" s="3" t="b">
        <v>1</v>
      </c>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row>
    <row r="183" spans="1:256" s="319" customFormat="1" ht="12.75" customHeight="1">
      <c r="A183" s="319" t="s">
        <v>5220</v>
      </c>
      <c r="B183" s="646"/>
      <c r="C183" s="3"/>
      <c r="D183" s="646"/>
      <c r="E183" s="3"/>
      <c r="F183" s="646"/>
      <c r="G183" s="646"/>
      <c r="H183" s="3"/>
      <c r="I183" s="646"/>
      <c r="J183" s="3"/>
      <c r="K183" s="646"/>
      <c r="M183" s="319" t="s">
        <v>326</v>
      </c>
      <c r="N183" s="3"/>
      <c r="O183" s="3"/>
      <c r="P183" s="3"/>
      <c r="Q183" s="3"/>
      <c r="R183" s="3"/>
      <c r="S183" s="3"/>
      <c r="T183" s="3"/>
      <c r="U183" s="3"/>
      <c r="V183" s="3"/>
      <c r="W183" s="3"/>
      <c r="X183" s="556"/>
      <c r="Y183" s="556" t="s">
        <v>5417</v>
      </c>
      <c r="Z183" s="3">
        <v>1</v>
      </c>
      <c r="AA183" s="3">
        <v>1</v>
      </c>
      <c r="AB183" s="3">
        <v>1</v>
      </c>
      <c r="AC183" s="3">
        <v>1</v>
      </c>
      <c r="AD183" s="3">
        <v>1</v>
      </c>
      <c r="AE183" s="3">
        <v>1</v>
      </c>
      <c r="AF183" s="3">
        <v>1</v>
      </c>
      <c r="AG183" s="3">
        <v>1</v>
      </c>
      <c r="AH183" s="3">
        <v>1</v>
      </c>
      <c r="AI183" s="3">
        <v>1</v>
      </c>
      <c r="AK183" s="319" t="s">
        <v>5585</v>
      </c>
      <c r="AL183" s="3"/>
      <c r="AM183" s="3"/>
      <c r="AN183" s="3"/>
      <c r="AO183" s="3"/>
      <c r="AP183" s="3"/>
      <c r="AQ183" s="3"/>
      <c r="AR183" s="3"/>
      <c r="AS183" s="3"/>
      <c r="AT183" s="3"/>
      <c r="AU183" s="3"/>
      <c r="AW183" s="319" t="s">
        <v>4371</v>
      </c>
      <c r="AX183" s="646">
        <v>0</v>
      </c>
      <c r="AY183" s="3">
        <v>0</v>
      </c>
      <c r="AZ183" s="646">
        <v>0</v>
      </c>
      <c r="BA183" s="3">
        <v>0</v>
      </c>
      <c r="BB183" s="646">
        <v>0</v>
      </c>
      <c r="BC183" s="646">
        <v>0</v>
      </c>
      <c r="BD183" s="3">
        <v>0</v>
      </c>
      <c r="BE183" s="646">
        <v>0</v>
      </c>
      <c r="BF183" s="3">
        <v>0</v>
      </c>
      <c r="BG183" s="646">
        <v>0</v>
      </c>
      <c r="BU183" s="319" t="s">
        <v>1697</v>
      </c>
      <c r="BV183" s="3">
        <v>0</v>
      </c>
      <c r="BW183" s="3">
        <v>0</v>
      </c>
      <c r="BX183" s="3">
        <v>0</v>
      </c>
      <c r="BY183" s="3">
        <v>0</v>
      </c>
      <c r="BZ183" s="3">
        <v>0</v>
      </c>
      <c r="CA183" s="3">
        <v>0</v>
      </c>
      <c r="CB183" s="3">
        <v>0</v>
      </c>
      <c r="CC183" s="3">
        <v>0</v>
      </c>
      <c r="CD183" s="3">
        <v>0</v>
      </c>
      <c r="CE183" s="3">
        <v>0</v>
      </c>
      <c r="CG183" s="319" t="s">
        <v>1806</v>
      </c>
      <c r="CH183" s="3"/>
      <c r="CI183" s="3"/>
      <c r="CJ183" s="3"/>
      <c r="CK183" s="3"/>
      <c r="CL183" s="3"/>
      <c r="CM183" s="3"/>
      <c r="CN183" s="3"/>
      <c r="CO183" s="3"/>
      <c r="CP183" s="3"/>
      <c r="CQ183" s="3"/>
      <c r="CS183" s="319" t="s">
        <v>944</v>
      </c>
      <c r="CT183" s="3"/>
      <c r="CU183" s="3"/>
      <c r="CV183" s="3"/>
      <c r="CW183" s="3"/>
      <c r="CX183" s="3"/>
      <c r="CY183" s="3"/>
      <c r="CZ183" s="3"/>
      <c r="DA183" s="3"/>
      <c r="DB183" s="3"/>
      <c r="DC183" s="3"/>
      <c r="DE183" s="319" t="s">
        <v>919</v>
      </c>
      <c r="DF183" s="3"/>
      <c r="DG183" s="3"/>
      <c r="DH183" s="3"/>
      <c r="DI183" s="3"/>
      <c r="DJ183" s="3"/>
      <c r="DK183" s="3"/>
      <c r="DL183" s="3"/>
      <c r="DM183" s="3"/>
      <c r="DN183" s="3"/>
      <c r="DO183" s="3"/>
      <c r="DQ183" s="319" t="s">
        <v>5333</v>
      </c>
      <c r="DR183" s="3">
        <v>1</v>
      </c>
      <c r="DS183" s="3">
        <v>1</v>
      </c>
      <c r="DT183" s="3">
        <v>1</v>
      </c>
      <c r="DU183" s="3">
        <v>1</v>
      </c>
      <c r="DV183" s="3">
        <v>1</v>
      </c>
      <c r="DW183" s="3">
        <v>1</v>
      </c>
      <c r="DX183" s="3">
        <v>1</v>
      </c>
      <c r="DY183" s="3">
        <v>1</v>
      </c>
      <c r="DZ183" s="3">
        <v>1</v>
      </c>
      <c r="EA183" s="3">
        <v>1</v>
      </c>
      <c r="FA183" s="319" t="s">
        <v>4520</v>
      </c>
      <c r="FB183" s="3">
        <v>0</v>
      </c>
      <c r="FC183" s="3"/>
      <c r="FD183" s="3"/>
      <c r="FE183" s="3"/>
      <c r="FF183" s="3"/>
      <c r="FG183" s="3">
        <v>0</v>
      </c>
      <c r="FH183" s="3"/>
      <c r="FI183" s="3"/>
      <c r="FJ183" s="3"/>
      <c r="FK183" s="3"/>
      <c r="GW183" s="319" t="s">
        <v>2733</v>
      </c>
      <c r="GX183" s="3" t="b">
        <v>0</v>
      </c>
      <c r="GY183" s="3" t="b">
        <v>0</v>
      </c>
      <c r="GZ183" s="3" t="b">
        <v>0</v>
      </c>
      <c r="HA183" s="3" t="b">
        <v>0</v>
      </c>
      <c r="HB183" s="3" t="b">
        <v>0</v>
      </c>
      <c r="HC183" s="3" t="b">
        <v>0</v>
      </c>
      <c r="HD183" s="3" t="b">
        <v>0</v>
      </c>
      <c r="HE183" s="3" t="b">
        <v>0</v>
      </c>
      <c r="HF183" s="3" t="b">
        <v>0</v>
      </c>
      <c r="HG183" s="3" t="b">
        <v>0</v>
      </c>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row>
    <row r="184" spans="1:256" s="319" customFormat="1" ht="12.75" customHeight="1">
      <c r="A184" s="319" t="s">
        <v>4287</v>
      </c>
      <c r="B184" s="646"/>
      <c r="C184" s="3"/>
      <c r="D184" s="646"/>
      <c r="E184" s="3"/>
      <c r="F184" s="646"/>
      <c r="G184" s="646"/>
      <c r="H184" s="3"/>
      <c r="I184" s="646"/>
      <c r="J184" s="3"/>
      <c r="K184" s="646"/>
      <c r="M184" s="319" t="s">
        <v>2031</v>
      </c>
      <c r="N184" s="3"/>
      <c r="O184" s="3"/>
      <c r="P184" s="3"/>
      <c r="Q184" s="3"/>
      <c r="R184" s="3"/>
      <c r="S184" s="3"/>
      <c r="T184" s="3"/>
      <c r="U184" s="3"/>
      <c r="V184" s="3"/>
      <c r="W184" s="3"/>
      <c r="Y184" s="319" t="s">
        <v>5270</v>
      </c>
      <c r="Z184" s="3" t="b">
        <v>1</v>
      </c>
      <c r="AA184" s="3" t="b">
        <v>0</v>
      </c>
      <c r="AB184" s="3" t="b">
        <v>0</v>
      </c>
      <c r="AC184" s="3" t="b">
        <v>0</v>
      </c>
      <c r="AD184" s="3" t="b">
        <v>0</v>
      </c>
      <c r="AE184" s="3" t="b">
        <v>1</v>
      </c>
      <c r="AF184" s="3" t="b">
        <v>0</v>
      </c>
      <c r="AG184" s="3" t="b">
        <v>0</v>
      </c>
      <c r="AH184" s="3" t="b">
        <v>0</v>
      </c>
      <c r="AI184" s="3" t="b">
        <v>0</v>
      </c>
      <c r="AK184" s="319" t="s">
        <v>4347</v>
      </c>
      <c r="AL184" s="3">
        <v>1</v>
      </c>
      <c r="AM184" s="3">
        <v>0</v>
      </c>
      <c r="AN184" s="3">
        <v>0</v>
      </c>
      <c r="AO184" s="3">
        <v>0</v>
      </c>
      <c r="AP184" s="3">
        <v>0</v>
      </c>
      <c r="AQ184" s="3">
        <v>1</v>
      </c>
      <c r="AR184" s="3">
        <v>0</v>
      </c>
      <c r="AS184" s="3">
        <v>0</v>
      </c>
      <c r="AT184" s="3">
        <v>0</v>
      </c>
      <c r="AU184" s="3">
        <v>0</v>
      </c>
      <c r="AW184" s="319" t="s">
        <v>4738</v>
      </c>
      <c r="AX184" s="646">
        <v>0</v>
      </c>
      <c r="AY184" s="3">
        <v>0</v>
      </c>
      <c r="AZ184" s="646">
        <v>0</v>
      </c>
      <c r="BA184" s="3">
        <v>0</v>
      </c>
      <c r="BB184" s="646">
        <v>0</v>
      </c>
      <c r="BC184" s="646">
        <v>0</v>
      </c>
      <c r="BD184" s="3">
        <v>0</v>
      </c>
      <c r="BE184" s="646">
        <v>0</v>
      </c>
      <c r="BF184" s="3">
        <v>0</v>
      </c>
      <c r="BG184" s="646">
        <v>0</v>
      </c>
      <c r="BU184" s="319" t="s">
        <v>2353</v>
      </c>
      <c r="BV184" s="3">
        <v>0</v>
      </c>
      <c r="BW184" s="3">
        <v>0</v>
      </c>
      <c r="BX184" s="3">
        <v>0</v>
      </c>
      <c r="BY184" s="3">
        <v>0</v>
      </c>
      <c r="BZ184" s="3">
        <v>0</v>
      </c>
      <c r="CA184" s="3">
        <v>0</v>
      </c>
      <c r="CB184" s="3">
        <v>0</v>
      </c>
      <c r="CC184" s="3">
        <v>0</v>
      </c>
      <c r="CD184" s="3">
        <v>0</v>
      </c>
      <c r="CE184" s="3">
        <v>0</v>
      </c>
      <c r="CG184" s="319" t="s">
        <v>5377</v>
      </c>
      <c r="CH184" s="3"/>
      <c r="CI184" s="3"/>
      <c r="CJ184" s="3"/>
      <c r="CK184" s="3"/>
      <c r="CL184" s="3"/>
      <c r="CM184" s="3"/>
      <c r="CN184" s="3"/>
      <c r="CO184" s="3"/>
      <c r="CP184" s="3"/>
      <c r="CQ184" s="3"/>
      <c r="CS184" s="319" t="s">
        <v>5267</v>
      </c>
      <c r="CT184" s="3"/>
      <c r="CU184" s="3"/>
      <c r="CV184" s="3"/>
      <c r="CW184" s="3"/>
      <c r="CX184" s="3"/>
      <c r="CY184" s="3"/>
      <c r="CZ184" s="3"/>
      <c r="DA184" s="3"/>
      <c r="DB184" s="3"/>
      <c r="DC184" s="3"/>
      <c r="DE184" s="319" t="s">
        <v>3255</v>
      </c>
      <c r="DF184" s="3"/>
      <c r="DG184" s="3"/>
      <c r="DH184" s="3"/>
      <c r="DI184" s="3"/>
      <c r="DJ184" s="3"/>
      <c r="DK184" s="3"/>
      <c r="DL184" s="3"/>
      <c r="DM184" s="3"/>
      <c r="DN184" s="3"/>
      <c r="DO184" s="3"/>
      <c r="DQ184" s="319" t="s">
        <v>5270</v>
      </c>
      <c r="DR184" s="3" t="b">
        <v>1</v>
      </c>
      <c r="DS184" s="3" t="b">
        <v>0</v>
      </c>
      <c r="DT184" s="3" t="b">
        <v>0</v>
      </c>
      <c r="DU184" s="3" t="b">
        <v>0</v>
      </c>
      <c r="DV184" s="3" t="b">
        <v>0</v>
      </c>
      <c r="DW184" s="3" t="b">
        <v>1</v>
      </c>
      <c r="DX184" s="3" t="b">
        <v>0</v>
      </c>
      <c r="DY184" s="3" t="b">
        <v>0</v>
      </c>
      <c r="DZ184" s="3" t="b">
        <v>0</v>
      </c>
      <c r="EA184" s="3" t="b">
        <v>0</v>
      </c>
      <c r="GW184" s="319" t="s">
        <v>3967</v>
      </c>
      <c r="GX184" s="3"/>
      <c r="GY184" s="3"/>
      <c r="GZ184" s="3"/>
      <c r="HA184" s="3"/>
      <c r="HB184" s="3"/>
      <c r="HC184" s="3"/>
      <c r="HD184" s="3"/>
      <c r="HE184" s="3"/>
      <c r="HF184" s="3"/>
      <c r="HG184" s="3"/>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row>
    <row r="185" spans="1:256" s="319" customFormat="1" ht="12.75" customHeight="1">
      <c r="A185" s="319" t="s">
        <v>1347</v>
      </c>
      <c r="B185" s="646"/>
      <c r="C185" s="3"/>
      <c r="D185" s="646"/>
      <c r="E185" s="3"/>
      <c r="F185" s="646"/>
      <c r="G185" s="646"/>
      <c r="H185" s="3"/>
      <c r="I185" s="646"/>
      <c r="J185" s="3"/>
      <c r="K185" s="646"/>
      <c r="M185" s="319" t="s">
        <v>2032</v>
      </c>
      <c r="N185" s="3"/>
      <c r="O185" s="3"/>
      <c r="P185" s="3"/>
      <c r="Q185" s="3"/>
      <c r="R185" s="3"/>
      <c r="S185" s="3"/>
      <c r="T185" s="3"/>
      <c r="U185" s="3"/>
      <c r="V185" s="3"/>
      <c r="W185" s="3"/>
      <c r="Y185" s="319" t="s">
        <v>1740</v>
      </c>
      <c r="Z185" s="3" t="b">
        <v>0</v>
      </c>
      <c r="AA185" s="3" t="b">
        <v>1</v>
      </c>
      <c r="AB185" s="3" t="b">
        <v>1</v>
      </c>
      <c r="AC185" s="3" t="b">
        <v>1</v>
      </c>
      <c r="AD185" s="3" t="b">
        <v>1</v>
      </c>
      <c r="AE185" s="3" t="b">
        <v>0</v>
      </c>
      <c r="AF185" s="3" t="b">
        <v>1</v>
      </c>
      <c r="AG185" s="3" t="b">
        <v>1</v>
      </c>
      <c r="AH185" s="3" t="b">
        <v>1</v>
      </c>
      <c r="AI185" s="3" t="b">
        <v>1</v>
      </c>
      <c r="AL185" s="556"/>
      <c r="AQ185" s="556"/>
      <c r="BA185" s="556"/>
      <c r="BF185" s="556"/>
      <c r="BU185" s="319" t="s">
        <v>2354</v>
      </c>
      <c r="BV185" s="3"/>
      <c r="BW185" s="3"/>
      <c r="BX185" s="3"/>
      <c r="BY185" s="3"/>
      <c r="BZ185" s="3"/>
      <c r="CA185" s="3"/>
      <c r="CB185" s="3"/>
      <c r="CC185" s="3"/>
      <c r="CD185" s="3"/>
      <c r="CE185" s="3"/>
      <c r="CG185" s="319" t="s">
        <v>3616</v>
      </c>
      <c r="CH185" s="3"/>
      <c r="CI185" s="3"/>
      <c r="CJ185" s="3"/>
      <c r="CK185" s="3"/>
      <c r="CL185" s="3"/>
      <c r="CM185" s="3"/>
      <c r="CN185" s="3"/>
      <c r="CO185" s="3"/>
      <c r="CP185" s="3"/>
      <c r="CQ185" s="3"/>
      <c r="CS185" s="319" t="s">
        <v>5268</v>
      </c>
      <c r="CT185" s="3"/>
      <c r="CU185" s="3"/>
      <c r="CV185" s="3"/>
      <c r="CW185" s="3"/>
      <c r="CX185" s="3"/>
      <c r="CY185" s="3"/>
      <c r="CZ185" s="3"/>
      <c r="DA185" s="3"/>
      <c r="DB185" s="3"/>
      <c r="DC185" s="3"/>
      <c r="DE185" s="319" t="s">
        <v>3256</v>
      </c>
      <c r="DF185" s="3"/>
      <c r="DG185" s="3"/>
      <c r="DH185" s="3"/>
      <c r="DI185" s="3"/>
      <c r="DJ185" s="3"/>
      <c r="DK185" s="3"/>
      <c r="DL185" s="3"/>
      <c r="DM185" s="3"/>
      <c r="DN185" s="3"/>
      <c r="DO185" s="3"/>
      <c r="DQ185" s="319" t="s">
        <v>1740</v>
      </c>
      <c r="DR185" s="3" t="b">
        <v>0</v>
      </c>
      <c r="DS185" s="3" t="b">
        <v>1</v>
      </c>
      <c r="DT185" s="3" t="b">
        <v>1</v>
      </c>
      <c r="DU185" s="3" t="b">
        <v>1</v>
      </c>
      <c r="DV185" s="3" t="b">
        <v>1</v>
      </c>
      <c r="DW185" s="3" t="b">
        <v>0</v>
      </c>
      <c r="DX185" s="3" t="b">
        <v>1</v>
      </c>
      <c r="DY185" s="3" t="b">
        <v>1</v>
      </c>
      <c r="DZ185" s="3" t="b">
        <v>1</v>
      </c>
      <c r="EA185" s="3" t="b">
        <v>1</v>
      </c>
      <c r="GW185" s="319" t="s">
        <v>2927</v>
      </c>
      <c r="GX185" s="3"/>
      <c r="GY185" s="3"/>
      <c r="GZ185" s="3"/>
      <c r="HA185" s="3"/>
      <c r="HB185" s="3"/>
      <c r="HC185" s="3"/>
      <c r="HD185" s="3"/>
      <c r="HE185" s="3"/>
      <c r="HF185" s="3"/>
      <c r="HG185" s="3"/>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row>
    <row r="186" spans="1:256" s="319" customFormat="1" ht="12.75" customHeight="1">
      <c r="A186" s="319" t="s">
        <v>5500</v>
      </c>
      <c r="B186" s="646"/>
      <c r="C186" s="3"/>
      <c r="D186" s="646"/>
      <c r="E186" s="3"/>
      <c r="F186" s="646"/>
      <c r="G186" s="646"/>
      <c r="H186" s="3"/>
      <c r="I186" s="646"/>
      <c r="J186" s="3"/>
      <c r="K186" s="646"/>
      <c r="M186" s="319" t="s">
        <v>4529</v>
      </c>
      <c r="N186" s="3"/>
      <c r="O186" s="3"/>
      <c r="P186" s="3"/>
      <c r="Q186" s="3"/>
      <c r="R186" s="3"/>
      <c r="S186" s="3"/>
      <c r="T186" s="3"/>
      <c r="U186" s="3"/>
      <c r="V186" s="3"/>
      <c r="W186" s="3"/>
      <c r="Y186" s="319" t="s">
        <v>1741</v>
      </c>
      <c r="Z186" s="3" t="b">
        <v>1</v>
      </c>
      <c r="AA186" s="3" t="b">
        <v>0</v>
      </c>
      <c r="AB186" s="3" t="b">
        <v>0</v>
      </c>
      <c r="AC186" s="3" t="b">
        <v>0</v>
      </c>
      <c r="AD186" s="3" t="b">
        <v>0</v>
      </c>
      <c r="AE186" s="3" t="b">
        <v>1</v>
      </c>
      <c r="AF186" s="3" t="b">
        <v>0</v>
      </c>
      <c r="AG186" s="3" t="b">
        <v>0</v>
      </c>
      <c r="AH186" s="3" t="b">
        <v>0</v>
      </c>
      <c r="AI186" s="3" t="b">
        <v>0</v>
      </c>
      <c r="AL186" s="556"/>
      <c r="AQ186" s="556"/>
      <c r="BA186" s="556"/>
      <c r="BF186" s="556"/>
      <c r="BU186" s="319" t="s">
        <v>2355</v>
      </c>
      <c r="BV186" s="3"/>
      <c r="BW186" s="3"/>
      <c r="BX186" s="3"/>
      <c r="BY186" s="3"/>
      <c r="BZ186" s="3"/>
      <c r="CA186" s="3"/>
      <c r="CB186" s="3"/>
      <c r="CC186" s="3"/>
      <c r="CD186" s="3"/>
      <c r="CE186" s="3"/>
      <c r="CG186" s="319" t="s">
        <v>3854</v>
      </c>
      <c r="CH186" s="3"/>
      <c r="CI186" s="3"/>
      <c r="CJ186" s="3"/>
      <c r="CK186" s="3"/>
      <c r="CL186" s="3"/>
      <c r="CM186" s="3"/>
      <c r="CN186" s="3"/>
      <c r="CO186" s="3"/>
      <c r="CP186" s="3"/>
      <c r="CQ186" s="3"/>
      <c r="CS186" s="319" t="s">
        <v>5269</v>
      </c>
      <c r="CT186" s="3">
        <v>80.400000000000006</v>
      </c>
      <c r="CU186" s="3">
        <v>80.400000000000006</v>
      </c>
      <c r="CV186" s="3">
        <v>80.400000000000006</v>
      </c>
      <c r="CW186" s="3">
        <v>80.400000000000006</v>
      </c>
      <c r="CX186" s="3">
        <v>80.400000000000006</v>
      </c>
      <c r="CY186" s="3">
        <v>80.400000000000006</v>
      </c>
      <c r="CZ186" s="3">
        <v>80.400000000000006</v>
      </c>
      <c r="DA186" s="3">
        <v>80.400000000000006</v>
      </c>
      <c r="DB186" s="3">
        <v>80.400000000000006</v>
      </c>
      <c r="DC186" s="3">
        <v>80.400000000000006</v>
      </c>
      <c r="DE186" s="319" t="s">
        <v>5935</v>
      </c>
      <c r="DF186" s="3"/>
      <c r="DG186" s="3"/>
      <c r="DH186" s="3"/>
      <c r="DI186" s="3"/>
      <c r="DJ186" s="3"/>
      <c r="DK186" s="3"/>
      <c r="DL186" s="3"/>
      <c r="DM186" s="3"/>
      <c r="DN186" s="3"/>
      <c r="DO186" s="3"/>
      <c r="DQ186" s="319" t="s">
        <v>1741</v>
      </c>
      <c r="DR186" s="3" t="b">
        <v>1</v>
      </c>
      <c r="DS186" s="3" t="b">
        <v>0</v>
      </c>
      <c r="DT186" s="3" t="b">
        <v>0</v>
      </c>
      <c r="DU186" s="3" t="b">
        <v>0</v>
      </c>
      <c r="DV186" s="3" t="b">
        <v>0</v>
      </c>
      <c r="DW186" s="3" t="b">
        <v>1</v>
      </c>
      <c r="DX186" s="3" t="b">
        <v>0</v>
      </c>
      <c r="DY186" s="3" t="b">
        <v>0</v>
      </c>
      <c r="DZ186" s="3" t="b">
        <v>0</v>
      </c>
      <c r="EA186" s="3" t="b">
        <v>0</v>
      </c>
      <c r="GW186" s="319" t="s">
        <v>2928</v>
      </c>
      <c r="GX186" s="3"/>
      <c r="GY186" s="3"/>
      <c r="GZ186" s="3"/>
      <c r="HA186" s="3"/>
      <c r="HB186" s="3"/>
      <c r="HC186" s="3"/>
      <c r="HD186" s="3"/>
      <c r="HE186" s="3"/>
      <c r="HF186" s="3"/>
      <c r="HG186" s="3"/>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row>
    <row r="187" spans="1:256" s="319" customFormat="1" ht="12.75" customHeight="1">
      <c r="A187" s="319" t="s">
        <v>5501</v>
      </c>
      <c r="B187" s="646"/>
      <c r="C187" s="3"/>
      <c r="D187" s="646"/>
      <c r="E187" s="3"/>
      <c r="F187" s="646"/>
      <c r="G187" s="646"/>
      <c r="H187" s="3"/>
      <c r="I187" s="646"/>
      <c r="J187" s="3"/>
      <c r="K187" s="646"/>
      <c r="M187" s="319" t="s">
        <v>4530</v>
      </c>
      <c r="N187" s="3"/>
      <c r="O187" s="3"/>
      <c r="P187" s="3"/>
      <c r="Q187" s="3"/>
      <c r="R187" s="3"/>
      <c r="S187" s="3"/>
      <c r="T187" s="3"/>
      <c r="U187" s="3"/>
      <c r="V187" s="3"/>
      <c r="W187" s="3"/>
      <c r="Y187" s="319" t="s">
        <v>607</v>
      </c>
      <c r="Z187" s="3" t="b">
        <v>0</v>
      </c>
      <c r="AA187" s="3" t="b">
        <v>1</v>
      </c>
      <c r="AB187" s="3" t="b">
        <v>1</v>
      </c>
      <c r="AC187" s="3" t="b">
        <v>1</v>
      </c>
      <c r="AD187" s="3" t="b">
        <v>1</v>
      </c>
      <c r="AE187" s="3" t="b">
        <v>0</v>
      </c>
      <c r="AF187" s="3" t="b">
        <v>1</v>
      </c>
      <c r="AG187" s="3" t="b">
        <v>1</v>
      </c>
      <c r="AH187" s="3" t="b">
        <v>1</v>
      </c>
      <c r="AI187" s="3" t="b">
        <v>1</v>
      </c>
      <c r="AL187" s="556"/>
      <c r="AQ187" s="556"/>
      <c r="BA187" s="556"/>
      <c r="BF187" s="556"/>
      <c r="BU187" s="319" t="s">
        <v>2356</v>
      </c>
      <c r="BV187" s="3"/>
      <c r="BW187" s="3"/>
      <c r="BX187" s="3"/>
      <c r="BY187" s="3"/>
      <c r="BZ187" s="3"/>
      <c r="CA187" s="3"/>
      <c r="CB187" s="3"/>
      <c r="CC187" s="3"/>
      <c r="CD187" s="3"/>
      <c r="CE187" s="3"/>
      <c r="CG187" s="319" t="s">
        <v>3855</v>
      </c>
      <c r="CH187" s="3"/>
      <c r="CI187" s="3"/>
      <c r="CJ187" s="3"/>
      <c r="CK187" s="3"/>
      <c r="CL187" s="3"/>
      <c r="CM187" s="3"/>
      <c r="CN187" s="3"/>
      <c r="CO187" s="3"/>
      <c r="CP187" s="3"/>
      <c r="CQ187" s="3"/>
      <c r="CS187" s="319" t="s">
        <v>3593</v>
      </c>
      <c r="CT187" s="3">
        <v>80.400000000000006</v>
      </c>
      <c r="CU187" s="3">
        <v>80.400000000000006</v>
      </c>
      <c r="CV187" s="3">
        <v>80.400000000000006</v>
      </c>
      <c r="CW187" s="3">
        <v>80.400000000000006</v>
      </c>
      <c r="CX187" s="3">
        <v>80.400000000000006</v>
      </c>
      <c r="CY187" s="3">
        <v>80.400000000000006</v>
      </c>
      <c r="CZ187" s="3">
        <v>80.400000000000006</v>
      </c>
      <c r="DA187" s="3">
        <v>80.400000000000006</v>
      </c>
      <c r="DB187" s="3">
        <v>80.400000000000006</v>
      </c>
      <c r="DC187" s="3">
        <v>80.400000000000006</v>
      </c>
      <c r="DE187" s="319" t="s">
        <v>5936</v>
      </c>
      <c r="DF187" s="3"/>
      <c r="DG187" s="3"/>
      <c r="DH187" s="3"/>
      <c r="DI187" s="3"/>
      <c r="DJ187" s="3"/>
      <c r="DK187" s="3"/>
      <c r="DL187" s="3"/>
      <c r="DM187" s="3"/>
      <c r="DN187" s="3"/>
      <c r="DO187" s="3"/>
      <c r="DQ187" s="319" t="s">
        <v>607</v>
      </c>
      <c r="DR187" s="3" t="b">
        <v>0</v>
      </c>
      <c r="DS187" s="3" t="b">
        <v>1</v>
      </c>
      <c r="DT187" s="3" t="b">
        <v>1</v>
      </c>
      <c r="DU187" s="3" t="b">
        <v>1</v>
      </c>
      <c r="DV187" s="3" t="b">
        <v>1</v>
      </c>
      <c r="DW187" s="3" t="b">
        <v>0</v>
      </c>
      <c r="DX187" s="3" t="b">
        <v>1</v>
      </c>
      <c r="DY187" s="3" t="b">
        <v>1</v>
      </c>
      <c r="DZ187" s="3" t="b">
        <v>1</v>
      </c>
      <c r="EA187" s="3" t="b">
        <v>1</v>
      </c>
      <c r="GW187" s="319" t="s">
        <v>2929</v>
      </c>
      <c r="GX187" s="3"/>
      <c r="GY187" s="3"/>
      <c r="GZ187" s="3"/>
      <c r="HA187" s="3"/>
      <c r="HB187" s="3"/>
      <c r="HC187" s="3"/>
      <c r="HD187" s="3"/>
      <c r="HE187" s="3"/>
      <c r="HF187" s="3"/>
      <c r="HG187" s="3"/>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row>
    <row r="188" spans="1:256" s="319" customFormat="1" ht="12.75" customHeight="1">
      <c r="A188" s="319" t="s">
        <v>937</v>
      </c>
      <c r="B188" s="646"/>
      <c r="C188" s="3"/>
      <c r="D188" s="646"/>
      <c r="E188" s="3"/>
      <c r="F188" s="646"/>
      <c r="G188" s="646"/>
      <c r="H188" s="3"/>
      <c r="I188" s="646"/>
      <c r="J188" s="3"/>
      <c r="K188" s="646"/>
      <c r="M188" s="319" t="s">
        <v>2668</v>
      </c>
      <c r="N188" s="3"/>
      <c r="O188" s="3"/>
      <c r="P188" s="3"/>
      <c r="Q188" s="3"/>
      <c r="R188" s="3"/>
      <c r="S188" s="3"/>
      <c r="T188" s="3"/>
      <c r="U188" s="3"/>
      <c r="V188" s="3"/>
      <c r="W188" s="3"/>
      <c r="Y188" s="319" t="s">
        <v>5688</v>
      </c>
      <c r="Z188" s="3">
        <v>0</v>
      </c>
      <c r="AA188" s="3">
        <v>0</v>
      </c>
      <c r="AB188" s="3">
        <v>0</v>
      </c>
      <c r="AC188" s="3">
        <v>0</v>
      </c>
      <c r="AD188" s="3">
        <v>0</v>
      </c>
      <c r="AE188" s="3">
        <v>0</v>
      </c>
      <c r="AF188" s="3">
        <v>0</v>
      </c>
      <c r="AG188" s="3">
        <v>0</v>
      </c>
      <c r="AH188" s="3">
        <v>0</v>
      </c>
      <c r="AI188" s="3">
        <v>0</v>
      </c>
      <c r="AL188" s="556"/>
      <c r="AQ188" s="556"/>
      <c r="BA188" s="556"/>
      <c r="BF188" s="556"/>
      <c r="BU188" s="319" t="s">
        <v>2357</v>
      </c>
      <c r="BV188" s="3">
        <v>0</v>
      </c>
      <c r="BW188" s="3">
        <v>0</v>
      </c>
      <c r="BX188" s="3">
        <v>0</v>
      </c>
      <c r="BY188" s="3">
        <v>0</v>
      </c>
      <c r="BZ188" s="3">
        <v>0</v>
      </c>
      <c r="CA188" s="3">
        <v>0</v>
      </c>
      <c r="CB188" s="3">
        <v>0</v>
      </c>
      <c r="CC188" s="3">
        <v>0</v>
      </c>
      <c r="CD188" s="3">
        <v>0</v>
      </c>
      <c r="CE188" s="3">
        <v>0</v>
      </c>
      <c r="CG188" s="319" t="s">
        <v>3856</v>
      </c>
      <c r="CH188" s="3"/>
      <c r="CI188" s="3"/>
      <c r="CJ188" s="3"/>
      <c r="CK188" s="3"/>
      <c r="CL188" s="3"/>
      <c r="CM188" s="3"/>
      <c r="CN188" s="3"/>
      <c r="CO188" s="3"/>
      <c r="CP188" s="3"/>
      <c r="CQ188" s="3"/>
      <c r="CS188" s="319" t="s">
        <v>3944</v>
      </c>
      <c r="CT188" s="3"/>
      <c r="CU188" s="3"/>
      <c r="CV188" s="3"/>
      <c r="CW188" s="3"/>
      <c r="CX188" s="3"/>
      <c r="CY188" s="3"/>
      <c r="CZ188" s="3"/>
      <c r="DA188" s="3"/>
      <c r="DB188" s="3"/>
      <c r="DC188" s="3"/>
      <c r="DE188" s="319" t="s">
        <v>4613</v>
      </c>
      <c r="DF188" s="3"/>
      <c r="DG188" s="3"/>
      <c r="DH188" s="3"/>
      <c r="DI188" s="3"/>
      <c r="DJ188" s="3"/>
      <c r="DK188" s="3"/>
      <c r="DL188" s="3"/>
      <c r="DM188" s="3"/>
      <c r="DN188" s="3"/>
      <c r="DO188" s="3"/>
      <c r="DQ188" s="319" t="s">
        <v>3103</v>
      </c>
      <c r="DR188" s="3"/>
      <c r="DS188" s="3"/>
      <c r="DT188" s="3"/>
      <c r="DU188" s="3"/>
      <c r="DV188" s="3"/>
      <c r="DW188" s="3"/>
      <c r="DX188" s="3"/>
      <c r="DY188" s="3"/>
      <c r="DZ188" s="3"/>
      <c r="EA188" s="3"/>
      <c r="GW188" s="319" t="s">
        <v>2930</v>
      </c>
      <c r="GX188" s="3"/>
      <c r="GY188" s="3"/>
      <c r="GZ188" s="3"/>
      <c r="HA188" s="3"/>
      <c r="HB188" s="3"/>
      <c r="HC188" s="3"/>
      <c r="HD188" s="3"/>
      <c r="HE188" s="3"/>
      <c r="HF188" s="3"/>
      <c r="HG188" s="3"/>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row>
    <row r="189" spans="1:256" s="319" customFormat="1" ht="12.75" customHeight="1">
      <c r="A189" s="319" t="s">
        <v>938</v>
      </c>
      <c r="B189" s="646"/>
      <c r="C189" s="3"/>
      <c r="D189" s="646"/>
      <c r="E189" s="3"/>
      <c r="F189" s="646"/>
      <c r="G189" s="646"/>
      <c r="H189" s="3"/>
      <c r="I189" s="646"/>
      <c r="J189" s="3"/>
      <c r="K189" s="646"/>
      <c r="M189" s="319" t="s">
        <v>1308</v>
      </c>
      <c r="N189" s="3"/>
      <c r="O189" s="3"/>
      <c r="P189" s="3"/>
      <c r="Q189" s="3"/>
      <c r="R189" s="3"/>
      <c r="S189" s="3"/>
      <c r="T189" s="3"/>
      <c r="U189" s="3"/>
      <c r="V189" s="3"/>
      <c r="W189" s="3"/>
      <c r="Y189" s="319" t="s">
        <v>3079</v>
      </c>
      <c r="Z189" s="3"/>
      <c r="AA189" s="3"/>
      <c r="AB189" s="3"/>
      <c r="AC189" s="3"/>
      <c r="AD189" s="3"/>
      <c r="AE189" s="3"/>
      <c r="AF189" s="3"/>
      <c r="AG189" s="3"/>
      <c r="AH189" s="3"/>
      <c r="AI189" s="3"/>
      <c r="AL189" s="556"/>
      <c r="AQ189" s="556"/>
      <c r="BA189" s="556"/>
      <c r="BF189" s="556"/>
      <c r="BU189" s="319" t="s">
        <v>2358</v>
      </c>
      <c r="BV189" s="3"/>
      <c r="BW189" s="3"/>
      <c r="BX189" s="3"/>
      <c r="BY189" s="3"/>
      <c r="BZ189" s="3"/>
      <c r="CA189" s="3"/>
      <c r="CB189" s="3"/>
      <c r="CC189" s="3"/>
      <c r="CD189" s="3"/>
      <c r="CE189" s="3"/>
      <c r="CG189" s="319" t="s">
        <v>3857</v>
      </c>
      <c r="CH189" s="3"/>
      <c r="CI189" s="3"/>
      <c r="CJ189" s="3"/>
      <c r="CK189" s="3"/>
      <c r="CL189" s="3"/>
      <c r="CM189" s="3"/>
      <c r="CN189" s="3"/>
      <c r="CO189" s="3"/>
      <c r="CP189" s="3"/>
      <c r="CQ189" s="3"/>
      <c r="CS189" s="319" t="s">
        <v>4771</v>
      </c>
      <c r="CT189" s="3">
        <v>0</v>
      </c>
      <c r="CU189" s="3">
        <v>0</v>
      </c>
      <c r="CV189" s="3">
        <v>0</v>
      </c>
      <c r="CW189" s="3">
        <v>0</v>
      </c>
      <c r="CX189" s="3">
        <v>0</v>
      </c>
      <c r="CY189" s="3">
        <v>0</v>
      </c>
      <c r="CZ189" s="3">
        <v>0</v>
      </c>
      <c r="DA189" s="3">
        <v>0</v>
      </c>
      <c r="DB189" s="3">
        <v>0</v>
      </c>
      <c r="DC189" s="3">
        <v>0</v>
      </c>
      <c r="DE189" s="319" t="s">
        <v>4614</v>
      </c>
      <c r="DF189" s="3"/>
      <c r="DG189" s="3"/>
      <c r="DH189" s="3"/>
      <c r="DI189" s="3"/>
      <c r="DJ189" s="3"/>
      <c r="DK189" s="3"/>
      <c r="DL189" s="3"/>
      <c r="DM189" s="3"/>
      <c r="DN189" s="3"/>
      <c r="DO189" s="3"/>
      <c r="DQ189" s="319" t="s">
        <v>3104</v>
      </c>
      <c r="DR189" s="3"/>
      <c r="DS189" s="3"/>
      <c r="DT189" s="3"/>
      <c r="DU189" s="3"/>
      <c r="DV189" s="3"/>
      <c r="DW189" s="3"/>
      <c r="DX189" s="3"/>
      <c r="DY189" s="3"/>
      <c r="DZ189" s="3"/>
      <c r="EA189" s="3"/>
      <c r="GW189" s="319" t="s">
        <v>2931</v>
      </c>
      <c r="GX189" s="3"/>
      <c r="GY189" s="3"/>
      <c r="GZ189" s="3"/>
      <c r="HA189" s="3"/>
      <c r="HB189" s="3"/>
      <c r="HC189" s="3"/>
      <c r="HD189" s="3"/>
      <c r="HE189" s="3"/>
      <c r="HF189" s="3"/>
      <c r="HG189" s="3"/>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row>
    <row r="190" spans="1:256" s="319" customFormat="1" ht="12.75" customHeight="1">
      <c r="A190" s="319" t="s">
        <v>939</v>
      </c>
      <c r="B190" s="646"/>
      <c r="C190" s="3"/>
      <c r="D190" s="646"/>
      <c r="E190" s="3"/>
      <c r="F190" s="646"/>
      <c r="G190" s="646"/>
      <c r="H190" s="3"/>
      <c r="I190" s="646"/>
      <c r="J190" s="3"/>
      <c r="K190" s="646"/>
      <c r="M190" s="319" t="s">
        <v>2696</v>
      </c>
      <c r="N190" s="3"/>
      <c r="O190" s="3"/>
      <c r="P190" s="3"/>
      <c r="Q190" s="3"/>
      <c r="R190" s="3"/>
      <c r="S190" s="3"/>
      <c r="T190" s="3"/>
      <c r="U190" s="3"/>
      <c r="V190" s="3"/>
      <c r="W190" s="3"/>
      <c r="Y190" s="319" t="s">
        <v>3078</v>
      </c>
      <c r="Z190" s="3"/>
      <c r="AA190" s="3"/>
      <c r="AB190" s="3"/>
      <c r="AC190" s="3"/>
      <c r="AD190" s="3"/>
      <c r="AE190" s="3"/>
      <c r="AF190" s="3"/>
      <c r="AG190" s="3"/>
      <c r="AH190" s="3"/>
      <c r="AI190" s="3"/>
      <c r="AL190" s="556"/>
      <c r="AQ190" s="556"/>
      <c r="BA190" s="556"/>
      <c r="BF190" s="556"/>
      <c r="BU190" s="319" t="s">
        <v>2359</v>
      </c>
      <c r="BV190" s="3">
        <v>0</v>
      </c>
      <c r="BW190" s="3">
        <v>0</v>
      </c>
      <c r="BX190" s="3">
        <v>0</v>
      </c>
      <c r="BY190" s="3">
        <v>0</v>
      </c>
      <c r="BZ190" s="3">
        <v>0</v>
      </c>
      <c r="CA190" s="3">
        <v>0</v>
      </c>
      <c r="CB190" s="3">
        <v>0</v>
      </c>
      <c r="CC190" s="3">
        <v>0</v>
      </c>
      <c r="CD190" s="3">
        <v>0</v>
      </c>
      <c r="CE190" s="3">
        <v>0</v>
      </c>
      <c r="CG190" s="319" t="s">
        <v>605</v>
      </c>
      <c r="CH190" s="3"/>
      <c r="CI190" s="3"/>
      <c r="CJ190" s="3"/>
      <c r="CK190" s="3"/>
      <c r="CL190" s="3"/>
      <c r="CM190" s="3"/>
      <c r="CN190" s="3"/>
      <c r="CO190" s="3"/>
      <c r="CP190" s="3"/>
      <c r="CQ190" s="3"/>
      <c r="CS190" s="319" t="s">
        <v>5855</v>
      </c>
      <c r="CT190" s="3"/>
      <c r="CU190" s="3"/>
      <c r="CV190" s="3"/>
      <c r="CW190" s="3"/>
      <c r="CX190" s="3"/>
      <c r="CY190" s="3"/>
      <c r="CZ190" s="3"/>
      <c r="DA190" s="3"/>
      <c r="DB190" s="3"/>
      <c r="DC190" s="3"/>
      <c r="DE190" s="319" t="s">
        <v>4615</v>
      </c>
      <c r="DF190" s="3"/>
      <c r="DG190" s="3"/>
      <c r="DH190" s="3"/>
      <c r="DI190" s="3"/>
      <c r="DJ190" s="3"/>
      <c r="DK190" s="3"/>
      <c r="DL190" s="3"/>
      <c r="DM190" s="3"/>
      <c r="DN190" s="3"/>
      <c r="DO190" s="3"/>
      <c r="DQ190" s="319" t="s">
        <v>2468</v>
      </c>
      <c r="DR190" s="3"/>
      <c r="DS190" s="3"/>
      <c r="DT190" s="3"/>
      <c r="DU190" s="3"/>
      <c r="DV190" s="3"/>
      <c r="DW190" s="3"/>
      <c r="DX190" s="3"/>
      <c r="DY190" s="3"/>
      <c r="DZ190" s="3"/>
      <c r="EA190" s="3"/>
      <c r="GW190" s="319" t="s">
        <v>3723</v>
      </c>
      <c r="GX190" s="3"/>
      <c r="GY190" s="3"/>
      <c r="GZ190" s="3"/>
      <c r="HA190" s="3"/>
      <c r="HB190" s="3"/>
      <c r="HC190" s="3"/>
      <c r="HD190" s="3"/>
      <c r="HE190" s="3"/>
      <c r="HF190" s="3"/>
      <c r="HG190" s="3"/>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row>
    <row r="191" spans="1:256" s="319" customFormat="1" ht="12.75" customHeight="1">
      <c r="A191" s="319" t="s">
        <v>5062</v>
      </c>
      <c r="B191" s="646"/>
      <c r="C191" s="3"/>
      <c r="D191" s="646"/>
      <c r="E191" s="3"/>
      <c r="F191" s="646"/>
      <c r="G191" s="646"/>
      <c r="H191" s="3"/>
      <c r="I191" s="646"/>
      <c r="J191" s="3"/>
      <c r="K191" s="646"/>
      <c r="M191" s="319" t="s">
        <v>5982</v>
      </c>
      <c r="N191" s="3"/>
      <c r="O191" s="3"/>
      <c r="P191" s="3"/>
      <c r="Q191" s="3"/>
      <c r="R191" s="3"/>
      <c r="S191" s="3"/>
      <c r="T191" s="3"/>
      <c r="U191" s="3"/>
      <c r="V191" s="3"/>
      <c r="W191" s="3"/>
      <c r="Y191" s="319" t="s">
        <v>564</v>
      </c>
      <c r="Z191" s="3">
        <v>0</v>
      </c>
      <c r="AA191" s="3">
        <v>0</v>
      </c>
      <c r="AB191" s="3">
        <v>0</v>
      </c>
      <c r="AC191" s="3">
        <v>0</v>
      </c>
      <c r="AD191" s="3">
        <v>0</v>
      </c>
      <c r="AE191" s="3">
        <v>0</v>
      </c>
      <c r="AF191" s="3">
        <v>0</v>
      </c>
      <c r="AG191" s="3">
        <v>0</v>
      </c>
      <c r="AH191" s="3">
        <v>0</v>
      </c>
      <c r="AI191" s="3">
        <v>0</v>
      </c>
      <c r="AL191" s="556"/>
      <c r="AQ191" s="556"/>
      <c r="BA191" s="556"/>
      <c r="BF191" s="556"/>
      <c r="BU191" s="319" t="s">
        <v>2360</v>
      </c>
      <c r="BV191" s="3">
        <v>0</v>
      </c>
      <c r="BW191" s="3">
        <v>0</v>
      </c>
      <c r="BX191" s="3">
        <v>0</v>
      </c>
      <c r="BY191" s="3">
        <v>0</v>
      </c>
      <c r="BZ191" s="3">
        <v>0</v>
      </c>
      <c r="CA191" s="3">
        <v>0</v>
      </c>
      <c r="CB191" s="3">
        <v>0</v>
      </c>
      <c r="CC191" s="3">
        <v>0</v>
      </c>
      <c r="CD191" s="3">
        <v>0</v>
      </c>
      <c r="CE191" s="3">
        <v>0</v>
      </c>
      <c r="CG191" s="319" t="s">
        <v>3777</v>
      </c>
      <c r="CH191" s="3">
        <v>0</v>
      </c>
      <c r="CI191" s="3">
        <v>0</v>
      </c>
      <c r="CJ191" s="3">
        <v>0</v>
      </c>
      <c r="CK191" s="3">
        <v>0</v>
      </c>
      <c r="CL191" s="3">
        <v>0</v>
      </c>
      <c r="CM191" s="3">
        <v>0</v>
      </c>
      <c r="CN191" s="3">
        <v>0</v>
      </c>
      <c r="CO191" s="3">
        <v>0</v>
      </c>
      <c r="CP191" s="3">
        <v>0</v>
      </c>
      <c r="CQ191" s="3">
        <v>0</v>
      </c>
      <c r="CS191" s="319" t="s">
        <v>1692</v>
      </c>
      <c r="CT191" s="3"/>
      <c r="CU191" s="3"/>
      <c r="CV191" s="3"/>
      <c r="CW191" s="3"/>
      <c r="CX191" s="3"/>
      <c r="CY191" s="3"/>
      <c r="CZ191" s="3"/>
      <c r="DA191" s="3"/>
      <c r="DB191" s="3"/>
      <c r="DC191" s="3"/>
      <c r="DE191" s="319" t="s">
        <v>4616</v>
      </c>
      <c r="DF191" s="3">
        <v>0</v>
      </c>
      <c r="DG191" s="3">
        <v>0</v>
      </c>
      <c r="DH191" s="3">
        <v>0</v>
      </c>
      <c r="DI191" s="3">
        <v>0</v>
      </c>
      <c r="DJ191" s="3">
        <v>0</v>
      </c>
      <c r="DK191" s="3">
        <v>0</v>
      </c>
      <c r="DL191" s="3">
        <v>0</v>
      </c>
      <c r="DM191" s="3">
        <v>0</v>
      </c>
      <c r="DN191" s="3">
        <v>0</v>
      </c>
      <c r="DO191" s="3">
        <v>0</v>
      </c>
      <c r="DQ191" s="319" t="s">
        <v>2469</v>
      </c>
      <c r="DR191" s="3"/>
      <c r="DS191" s="3"/>
      <c r="DT191" s="3"/>
      <c r="DU191" s="3"/>
      <c r="DV191" s="3"/>
      <c r="DW191" s="3"/>
      <c r="DX191" s="3"/>
      <c r="DY191" s="3"/>
      <c r="DZ191" s="3"/>
      <c r="EA191" s="3"/>
      <c r="GW191" s="319" t="s">
        <v>3237</v>
      </c>
      <c r="GX191" s="3"/>
      <c r="GY191" s="3"/>
      <c r="GZ191" s="3"/>
      <c r="HA191" s="3"/>
      <c r="HB191" s="3"/>
      <c r="HC191" s="3"/>
      <c r="HD191" s="3"/>
      <c r="HE191" s="3"/>
      <c r="HF191" s="3"/>
      <c r="HG191" s="3"/>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row>
    <row r="192" spans="1:256" s="319" customFormat="1" ht="12.75" customHeight="1">
      <c r="A192" s="319" t="s">
        <v>2839</v>
      </c>
      <c r="B192" s="646"/>
      <c r="C192" s="3"/>
      <c r="D192" s="646"/>
      <c r="E192" s="3"/>
      <c r="F192" s="646"/>
      <c r="G192" s="646"/>
      <c r="H192" s="3"/>
      <c r="I192" s="646"/>
      <c r="J192" s="3"/>
      <c r="K192" s="646"/>
      <c r="M192" s="319" t="s">
        <v>5106</v>
      </c>
      <c r="N192" s="3"/>
      <c r="O192" s="3"/>
      <c r="P192" s="3"/>
      <c r="Q192" s="3"/>
      <c r="R192" s="3"/>
      <c r="S192" s="3"/>
      <c r="T192" s="3"/>
      <c r="U192" s="3"/>
      <c r="V192" s="3"/>
      <c r="W192" s="3"/>
      <c r="Y192" s="319" t="s">
        <v>565</v>
      </c>
      <c r="Z192" s="3">
        <v>0</v>
      </c>
      <c r="AA192" s="3">
        <v>0</v>
      </c>
      <c r="AB192" s="3">
        <v>0</v>
      </c>
      <c r="AC192" s="3">
        <v>0</v>
      </c>
      <c r="AD192" s="3">
        <v>0</v>
      </c>
      <c r="AE192" s="3">
        <v>0</v>
      </c>
      <c r="AF192" s="3">
        <v>0</v>
      </c>
      <c r="AG192" s="3">
        <v>0</v>
      </c>
      <c r="AH192" s="3">
        <v>0</v>
      </c>
      <c r="AI192" s="3">
        <v>0</v>
      </c>
      <c r="BA192" s="556"/>
      <c r="BF192" s="556"/>
      <c r="BU192" s="319" t="s">
        <v>2286</v>
      </c>
      <c r="BV192" s="3">
        <v>0</v>
      </c>
      <c r="BW192" s="3">
        <v>0</v>
      </c>
      <c r="BX192" s="3">
        <v>0</v>
      </c>
      <c r="BY192" s="3">
        <v>0</v>
      </c>
      <c r="BZ192" s="3">
        <v>0</v>
      </c>
      <c r="CA192" s="3">
        <v>0</v>
      </c>
      <c r="CB192" s="3">
        <v>0</v>
      </c>
      <c r="CC192" s="3">
        <v>0</v>
      </c>
      <c r="CD192" s="3">
        <v>0</v>
      </c>
      <c r="CE192" s="3">
        <v>0</v>
      </c>
      <c r="CG192" s="319" t="s">
        <v>3778</v>
      </c>
      <c r="CH192" s="3"/>
      <c r="CI192" s="3"/>
      <c r="CJ192" s="3"/>
      <c r="CK192" s="3"/>
      <c r="CL192" s="3"/>
      <c r="CM192" s="3"/>
      <c r="CN192" s="3"/>
      <c r="CO192" s="3"/>
      <c r="CP192" s="3"/>
      <c r="CQ192" s="3"/>
      <c r="CS192" s="319" t="s">
        <v>1303</v>
      </c>
      <c r="CT192" s="3">
        <v>0</v>
      </c>
      <c r="CU192" s="3">
        <v>0</v>
      </c>
      <c r="CV192" s="3">
        <v>0</v>
      </c>
      <c r="CW192" s="3">
        <v>0</v>
      </c>
      <c r="CX192" s="3">
        <v>0</v>
      </c>
      <c r="CY192" s="3">
        <v>0</v>
      </c>
      <c r="CZ192" s="3">
        <v>0</v>
      </c>
      <c r="DA192" s="3">
        <v>0</v>
      </c>
      <c r="DB192" s="3">
        <v>0</v>
      </c>
      <c r="DC192" s="3">
        <v>0</v>
      </c>
      <c r="DE192" s="319" t="s">
        <v>145</v>
      </c>
      <c r="DF192" s="3"/>
      <c r="DG192" s="3"/>
      <c r="DH192" s="3"/>
      <c r="DI192" s="3"/>
      <c r="DJ192" s="3"/>
      <c r="DK192" s="3"/>
      <c r="DL192" s="3"/>
      <c r="DM192" s="3"/>
      <c r="DN192" s="3"/>
      <c r="DO192" s="3"/>
      <c r="DQ192" s="319" t="s">
        <v>4581</v>
      </c>
      <c r="DR192" s="3">
        <v>0</v>
      </c>
      <c r="DS192" s="3">
        <v>0</v>
      </c>
      <c r="DT192" s="3">
        <v>0</v>
      </c>
      <c r="DU192" s="3">
        <v>0</v>
      </c>
      <c r="DV192" s="3">
        <v>0</v>
      </c>
      <c r="DW192" s="3">
        <v>0</v>
      </c>
      <c r="DX192" s="3">
        <v>0</v>
      </c>
      <c r="DY192" s="3">
        <v>0</v>
      </c>
      <c r="DZ192" s="3">
        <v>0</v>
      </c>
      <c r="EA192" s="3">
        <v>0</v>
      </c>
      <c r="GW192" s="319" t="s">
        <v>3238</v>
      </c>
      <c r="GX192" s="3"/>
      <c r="GY192" s="3"/>
      <c r="GZ192" s="3"/>
      <c r="HA192" s="3"/>
      <c r="HB192" s="3"/>
      <c r="HC192" s="3"/>
      <c r="HD192" s="3"/>
      <c r="HE192" s="3"/>
      <c r="HF192" s="3"/>
      <c r="HG192" s="3"/>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row>
    <row r="193" spans="1:256" s="319" customFormat="1" ht="12.75" customHeight="1">
      <c r="A193" s="319" t="s">
        <v>5611</v>
      </c>
      <c r="B193" s="646"/>
      <c r="C193" s="3"/>
      <c r="D193" s="646"/>
      <c r="E193" s="3"/>
      <c r="F193" s="646"/>
      <c r="G193" s="646"/>
      <c r="H193" s="3"/>
      <c r="I193" s="646"/>
      <c r="J193" s="3"/>
      <c r="K193" s="646"/>
      <c r="M193" s="319" t="s">
        <v>5118</v>
      </c>
      <c r="N193" s="3"/>
      <c r="O193" s="3"/>
      <c r="P193" s="3"/>
      <c r="Q193" s="3"/>
      <c r="R193" s="3"/>
      <c r="S193" s="3"/>
      <c r="T193" s="3"/>
      <c r="U193" s="3"/>
      <c r="V193" s="3"/>
      <c r="W193" s="3"/>
      <c r="BA193" s="556"/>
      <c r="BF193" s="556"/>
      <c r="BU193" s="319" t="s">
        <v>602</v>
      </c>
      <c r="BV193" s="3"/>
      <c r="BW193" s="3"/>
      <c r="BX193" s="3"/>
      <c r="BY193" s="3"/>
      <c r="BZ193" s="3"/>
      <c r="CA193" s="3"/>
      <c r="CB193" s="3"/>
      <c r="CC193" s="3"/>
      <c r="CD193" s="3"/>
      <c r="CE193" s="3"/>
      <c r="CG193" s="319" t="s">
        <v>3779</v>
      </c>
      <c r="CH193" s="3"/>
      <c r="CI193" s="3"/>
      <c r="CJ193" s="3"/>
      <c r="CK193" s="3"/>
      <c r="CL193" s="3"/>
      <c r="CM193" s="3"/>
      <c r="CN193" s="3"/>
      <c r="CO193" s="3"/>
      <c r="CP193" s="3"/>
      <c r="CQ193" s="3"/>
      <c r="CS193" s="319" t="s">
        <v>1304</v>
      </c>
      <c r="CT193" s="3"/>
      <c r="CU193" s="3"/>
      <c r="CV193" s="3"/>
      <c r="CW193" s="3"/>
      <c r="CX193" s="3"/>
      <c r="CY193" s="3"/>
      <c r="CZ193" s="3"/>
      <c r="DA193" s="3"/>
      <c r="DB193" s="3"/>
      <c r="DC193" s="3"/>
      <c r="DE193" s="319" t="s">
        <v>3374</v>
      </c>
      <c r="DF193" s="3"/>
      <c r="DG193" s="3"/>
      <c r="DH193" s="3"/>
      <c r="DI193" s="3"/>
      <c r="DJ193" s="3"/>
      <c r="DK193" s="3"/>
      <c r="DL193" s="3"/>
      <c r="DM193" s="3"/>
      <c r="DN193" s="3"/>
      <c r="DO193" s="3"/>
      <c r="DQ193" s="319" t="s">
        <v>4582</v>
      </c>
      <c r="DR193" s="3"/>
      <c r="DS193" s="3"/>
      <c r="DT193" s="3"/>
      <c r="DU193" s="3"/>
      <c r="DV193" s="3"/>
      <c r="DW193" s="3"/>
      <c r="DX193" s="3"/>
      <c r="DY193" s="3"/>
      <c r="DZ193" s="3"/>
      <c r="EA193" s="3"/>
      <c r="GW193" s="319" t="s">
        <v>3239</v>
      </c>
      <c r="GX193" s="3"/>
      <c r="GY193" s="3"/>
      <c r="GZ193" s="3"/>
      <c r="HA193" s="3"/>
      <c r="HB193" s="3"/>
      <c r="HC193" s="3"/>
      <c r="HD193" s="3"/>
      <c r="HE193" s="3"/>
      <c r="HF193" s="3"/>
      <c r="HG193" s="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row>
    <row r="194" spans="1:256" s="319" customFormat="1" ht="12.75" customHeight="1">
      <c r="A194" s="319" t="s">
        <v>1855</v>
      </c>
      <c r="B194" s="646"/>
      <c r="C194" s="3"/>
      <c r="D194" s="646"/>
      <c r="E194" s="3"/>
      <c r="F194" s="646"/>
      <c r="G194" s="646"/>
      <c r="H194" s="3"/>
      <c r="I194" s="646"/>
      <c r="J194" s="3"/>
      <c r="K194" s="646"/>
      <c r="M194" s="319" t="s">
        <v>5645</v>
      </c>
      <c r="N194" s="3"/>
      <c r="O194" s="3"/>
      <c r="P194" s="3"/>
      <c r="Q194" s="3"/>
      <c r="R194" s="3"/>
      <c r="S194" s="3"/>
      <c r="T194" s="3"/>
      <c r="U194" s="3"/>
      <c r="V194" s="3"/>
      <c r="W194" s="3"/>
      <c r="BA194" s="556"/>
      <c r="BF194" s="556"/>
      <c r="BU194" s="319" t="s">
        <v>216</v>
      </c>
      <c r="BV194" s="3"/>
      <c r="BW194" s="3"/>
      <c r="BX194" s="3"/>
      <c r="BY194" s="3"/>
      <c r="BZ194" s="3"/>
      <c r="CA194" s="3"/>
      <c r="CB194" s="3"/>
      <c r="CC194" s="3"/>
      <c r="CD194" s="3"/>
      <c r="CE194" s="3"/>
      <c r="CG194" s="319" t="s">
        <v>3780</v>
      </c>
      <c r="CH194" s="3"/>
      <c r="CI194" s="3"/>
      <c r="CJ194" s="3"/>
      <c r="CK194" s="3"/>
      <c r="CL194" s="3"/>
      <c r="CM194" s="3"/>
      <c r="CN194" s="3"/>
      <c r="CO194" s="3"/>
      <c r="CP194" s="3"/>
      <c r="CQ194" s="3"/>
      <c r="CS194" s="319" t="s">
        <v>2314</v>
      </c>
      <c r="CT194" s="3"/>
      <c r="CU194" s="3"/>
      <c r="CV194" s="3"/>
      <c r="CW194" s="3"/>
      <c r="CX194" s="3"/>
      <c r="CY194" s="3"/>
      <c r="CZ194" s="3"/>
      <c r="DA194" s="3"/>
      <c r="DB194" s="3"/>
      <c r="DC194" s="3"/>
      <c r="DE194" s="319" t="s">
        <v>356</v>
      </c>
      <c r="DF194" s="3"/>
      <c r="DG194" s="3"/>
      <c r="DH194" s="3"/>
      <c r="DI194" s="3"/>
      <c r="DJ194" s="3"/>
      <c r="DK194" s="3"/>
      <c r="DL194" s="3"/>
      <c r="DM194" s="3"/>
      <c r="DN194" s="3"/>
      <c r="DO194" s="3"/>
      <c r="DQ194" s="319" t="s">
        <v>4583</v>
      </c>
      <c r="DR194" s="3"/>
      <c r="DS194" s="3"/>
      <c r="DT194" s="3"/>
      <c r="DU194" s="3"/>
      <c r="DV194" s="3"/>
      <c r="DW194" s="3"/>
      <c r="DX194" s="3"/>
      <c r="DY194" s="3"/>
      <c r="DZ194" s="3"/>
      <c r="EA194" s="3"/>
      <c r="GW194" s="319" t="s">
        <v>5494</v>
      </c>
      <c r="GX194" s="3"/>
      <c r="GY194" s="3"/>
      <c r="GZ194" s="3"/>
      <c r="HA194" s="3"/>
      <c r="HB194" s="3"/>
      <c r="HC194" s="3"/>
      <c r="HD194" s="3"/>
      <c r="HE194" s="3"/>
      <c r="HF194" s="3"/>
      <c r="HG194" s="3"/>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row>
    <row r="195" spans="1:256" s="319" customFormat="1" ht="12.75" customHeight="1">
      <c r="A195" s="319" t="s">
        <v>417</v>
      </c>
      <c r="B195" s="646"/>
      <c r="C195" s="3"/>
      <c r="D195" s="646"/>
      <c r="E195" s="3"/>
      <c r="F195" s="646"/>
      <c r="G195" s="646"/>
      <c r="H195" s="3"/>
      <c r="I195" s="646"/>
      <c r="J195" s="3"/>
      <c r="K195" s="646"/>
      <c r="M195" s="319" t="s">
        <v>5895</v>
      </c>
      <c r="N195" s="3"/>
      <c r="O195" s="3"/>
      <c r="P195" s="3"/>
      <c r="Q195" s="3"/>
      <c r="R195" s="3"/>
      <c r="S195" s="3"/>
      <c r="T195" s="3"/>
      <c r="U195" s="3"/>
      <c r="V195" s="3"/>
      <c r="W195" s="3"/>
      <c r="BA195" s="556"/>
      <c r="BF195" s="556"/>
      <c r="BU195" s="319" t="s">
        <v>217</v>
      </c>
      <c r="BV195" s="3"/>
      <c r="BW195" s="3"/>
      <c r="BX195" s="3"/>
      <c r="BY195" s="3"/>
      <c r="BZ195" s="3"/>
      <c r="CA195" s="3"/>
      <c r="CB195" s="3"/>
      <c r="CC195" s="3"/>
      <c r="CD195" s="3"/>
      <c r="CE195" s="3"/>
      <c r="CG195" s="319" t="s">
        <v>3781</v>
      </c>
      <c r="CH195" s="3"/>
      <c r="CI195" s="3"/>
      <c r="CJ195" s="3"/>
      <c r="CK195" s="3"/>
      <c r="CL195" s="3"/>
      <c r="CM195" s="3"/>
      <c r="CN195" s="3"/>
      <c r="CO195" s="3"/>
      <c r="CP195" s="3"/>
      <c r="CQ195" s="3"/>
      <c r="CS195" s="319" t="s">
        <v>632</v>
      </c>
      <c r="CT195" s="3" t="b">
        <v>0</v>
      </c>
      <c r="CU195" s="3" t="b">
        <v>1</v>
      </c>
      <c r="CV195" s="3" t="b">
        <v>1</v>
      </c>
      <c r="CW195" s="3" t="b">
        <v>1</v>
      </c>
      <c r="CX195" s="3" t="b">
        <v>1</v>
      </c>
      <c r="CY195" s="3" t="b">
        <v>0</v>
      </c>
      <c r="CZ195" s="3" t="b">
        <v>1</v>
      </c>
      <c r="DA195" s="3" t="b">
        <v>1</v>
      </c>
      <c r="DB195" s="3" t="b">
        <v>1</v>
      </c>
      <c r="DC195" s="3" t="b">
        <v>1</v>
      </c>
      <c r="DE195" s="319" t="s">
        <v>357</v>
      </c>
      <c r="DF195" s="3"/>
      <c r="DG195" s="3"/>
      <c r="DH195" s="3"/>
      <c r="DI195" s="3"/>
      <c r="DJ195" s="3"/>
      <c r="DK195" s="3"/>
      <c r="DL195" s="3"/>
      <c r="DM195" s="3"/>
      <c r="DN195" s="3"/>
      <c r="DO195" s="3"/>
      <c r="DQ195" s="319" t="s">
        <v>4584</v>
      </c>
      <c r="DR195" s="3"/>
      <c r="DS195" s="3"/>
      <c r="DT195" s="3"/>
      <c r="DU195" s="3"/>
      <c r="DV195" s="3"/>
      <c r="DW195" s="3"/>
      <c r="DX195" s="3"/>
      <c r="DY195" s="3"/>
      <c r="DZ195" s="3"/>
      <c r="EA195" s="3"/>
      <c r="GW195" s="319" t="s">
        <v>5495</v>
      </c>
      <c r="GX195" s="3"/>
      <c r="GY195" s="3"/>
      <c r="GZ195" s="3"/>
      <c r="HA195" s="3"/>
      <c r="HB195" s="3"/>
      <c r="HC195" s="3"/>
      <c r="HD195" s="3"/>
      <c r="HE195" s="3"/>
      <c r="HF195" s="3"/>
      <c r="HG195" s="3"/>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row>
    <row r="196" spans="1:256" s="319" customFormat="1" ht="12.75" customHeight="1">
      <c r="A196" s="319" t="s">
        <v>1755</v>
      </c>
      <c r="B196" s="646"/>
      <c r="C196" s="3"/>
      <c r="D196" s="646"/>
      <c r="E196" s="3"/>
      <c r="F196" s="646"/>
      <c r="G196" s="646"/>
      <c r="H196" s="3"/>
      <c r="I196" s="646"/>
      <c r="J196" s="3"/>
      <c r="K196" s="646"/>
      <c r="M196" s="319" t="s">
        <v>5896</v>
      </c>
      <c r="N196" s="3"/>
      <c r="O196" s="3"/>
      <c r="P196" s="3"/>
      <c r="Q196" s="3"/>
      <c r="R196" s="3"/>
      <c r="S196" s="3"/>
      <c r="T196" s="3"/>
      <c r="U196" s="3"/>
      <c r="V196" s="3"/>
      <c r="W196" s="3"/>
      <c r="BA196" s="556"/>
      <c r="BF196" s="556"/>
      <c r="BU196" s="319" t="s">
        <v>5406</v>
      </c>
      <c r="BV196" s="3">
        <v>1</v>
      </c>
      <c r="BW196" s="3">
        <v>1</v>
      </c>
      <c r="BX196" s="3">
        <v>1</v>
      </c>
      <c r="BY196" s="3">
        <v>1</v>
      </c>
      <c r="BZ196" s="3">
        <v>1</v>
      </c>
      <c r="CA196" s="3">
        <v>1</v>
      </c>
      <c r="CB196" s="3">
        <v>1</v>
      </c>
      <c r="CC196" s="3">
        <v>1</v>
      </c>
      <c r="CD196" s="3">
        <v>1</v>
      </c>
      <c r="CE196" s="3">
        <v>1</v>
      </c>
      <c r="CG196" s="319" t="s">
        <v>2140</v>
      </c>
      <c r="CH196" s="3"/>
      <c r="CI196" s="3"/>
      <c r="CJ196" s="3"/>
      <c r="CK196" s="3"/>
      <c r="CL196" s="3"/>
      <c r="CM196" s="3"/>
      <c r="CN196" s="3"/>
      <c r="CO196" s="3"/>
      <c r="CP196" s="3"/>
      <c r="CQ196" s="3"/>
      <c r="CS196" s="319" t="s">
        <v>1711</v>
      </c>
      <c r="CT196" s="3"/>
      <c r="CU196" s="3"/>
      <c r="CV196" s="3"/>
      <c r="CW196" s="3"/>
      <c r="CX196" s="3"/>
      <c r="CY196" s="3"/>
      <c r="CZ196" s="3"/>
      <c r="DA196" s="3"/>
      <c r="DB196" s="3"/>
      <c r="DC196" s="3"/>
      <c r="DE196" s="319" t="s">
        <v>358</v>
      </c>
      <c r="DF196" s="3"/>
      <c r="DG196" s="3"/>
      <c r="DH196" s="3"/>
      <c r="DI196" s="3"/>
      <c r="DJ196" s="3"/>
      <c r="DK196" s="3"/>
      <c r="DL196" s="3"/>
      <c r="DM196" s="3"/>
      <c r="DN196" s="3"/>
      <c r="DO196" s="3"/>
      <c r="DQ196" s="319" t="s">
        <v>4669</v>
      </c>
      <c r="DR196" s="3"/>
      <c r="DS196" s="3"/>
      <c r="DT196" s="3"/>
      <c r="DU196" s="3"/>
      <c r="DV196" s="3"/>
      <c r="DW196" s="3"/>
      <c r="DX196" s="3"/>
      <c r="DY196" s="3"/>
      <c r="DZ196" s="3"/>
      <c r="EA196" s="3"/>
      <c r="GW196" s="319" t="s">
        <v>5496</v>
      </c>
      <c r="GX196" s="3">
        <v>0</v>
      </c>
      <c r="GY196" s="3">
        <v>0</v>
      </c>
      <c r="GZ196" s="3">
        <v>0</v>
      </c>
      <c r="HA196" s="3">
        <v>0</v>
      </c>
      <c r="HB196" s="3">
        <v>0</v>
      </c>
      <c r="HC196" s="3">
        <v>0</v>
      </c>
      <c r="HD196" s="3">
        <v>0</v>
      </c>
      <c r="HE196" s="3">
        <v>0</v>
      </c>
      <c r="HF196" s="3">
        <v>0</v>
      </c>
      <c r="HG196" s="3">
        <v>0</v>
      </c>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row>
    <row r="197" spans="1:256" s="319" customFormat="1" ht="12.75" customHeight="1">
      <c r="A197" s="319" t="s">
        <v>1756</v>
      </c>
      <c r="B197" s="646"/>
      <c r="C197" s="3"/>
      <c r="D197" s="646"/>
      <c r="E197" s="3"/>
      <c r="F197" s="646"/>
      <c r="G197" s="646"/>
      <c r="H197" s="3"/>
      <c r="I197" s="646"/>
      <c r="J197" s="3"/>
      <c r="K197" s="646"/>
      <c r="M197" s="319" t="s">
        <v>5934</v>
      </c>
      <c r="N197" s="3"/>
      <c r="O197" s="3"/>
      <c r="P197" s="3"/>
      <c r="Q197" s="3"/>
      <c r="R197" s="3"/>
      <c r="S197" s="3"/>
      <c r="T197" s="3"/>
      <c r="U197" s="3"/>
      <c r="V197" s="3"/>
      <c r="W197" s="3"/>
      <c r="BA197" s="556"/>
      <c r="BF197" s="556"/>
      <c r="BU197" s="319" t="s">
        <v>1475</v>
      </c>
      <c r="BV197" s="3">
        <v>0</v>
      </c>
      <c r="BW197" s="3">
        <v>0</v>
      </c>
      <c r="BX197" s="3">
        <v>0</v>
      </c>
      <c r="BY197" s="3">
        <v>0</v>
      </c>
      <c r="BZ197" s="3">
        <v>0</v>
      </c>
      <c r="CA197" s="3">
        <v>0</v>
      </c>
      <c r="CB197" s="3">
        <v>0</v>
      </c>
      <c r="CC197" s="3">
        <v>0</v>
      </c>
      <c r="CD197" s="3">
        <v>0</v>
      </c>
      <c r="CE197" s="3">
        <v>0</v>
      </c>
      <c r="CG197" s="319" t="s">
        <v>2141</v>
      </c>
      <c r="CH197" s="3"/>
      <c r="CI197" s="3"/>
      <c r="CJ197" s="3"/>
      <c r="CK197" s="3"/>
      <c r="CL197" s="3"/>
      <c r="CM197" s="3"/>
      <c r="CN197" s="3"/>
      <c r="CO197" s="3"/>
      <c r="CP197" s="3"/>
      <c r="CQ197" s="3"/>
      <c r="DE197" s="319" t="s">
        <v>3243</v>
      </c>
      <c r="DF197" s="3"/>
      <c r="DG197" s="3"/>
      <c r="DH197" s="3"/>
      <c r="DI197" s="3"/>
      <c r="DJ197" s="3"/>
      <c r="DK197" s="3"/>
      <c r="DL197" s="3"/>
      <c r="DM197" s="3"/>
      <c r="DN197" s="3"/>
      <c r="DO197" s="3"/>
      <c r="DQ197" s="319" t="s">
        <v>4670</v>
      </c>
      <c r="DR197" s="3">
        <v>0</v>
      </c>
      <c r="DS197" s="3">
        <v>0</v>
      </c>
      <c r="DT197" s="3">
        <v>0</v>
      </c>
      <c r="DU197" s="3">
        <v>0</v>
      </c>
      <c r="DV197" s="3">
        <v>0</v>
      </c>
      <c r="DW197" s="3">
        <v>0</v>
      </c>
      <c r="DX197" s="3">
        <v>0</v>
      </c>
      <c r="DY197" s="3">
        <v>0</v>
      </c>
      <c r="DZ197" s="3">
        <v>0</v>
      </c>
      <c r="EA197" s="3">
        <v>0</v>
      </c>
      <c r="GW197" s="319" t="s">
        <v>5810</v>
      </c>
      <c r="GX197" s="3">
        <v>0</v>
      </c>
      <c r="GY197" s="3">
        <v>0</v>
      </c>
      <c r="GZ197" s="3">
        <v>0</v>
      </c>
      <c r="HA197" s="3">
        <v>0</v>
      </c>
      <c r="HB197" s="3">
        <v>0</v>
      </c>
      <c r="HC197" s="3">
        <v>0</v>
      </c>
      <c r="HD197" s="3">
        <v>0</v>
      </c>
      <c r="HE197" s="3">
        <v>0</v>
      </c>
      <c r="HF197" s="3">
        <v>0</v>
      </c>
      <c r="HG197" s="3">
        <v>0</v>
      </c>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row>
    <row r="198" spans="1:256" s="319" customFormat="1" ht="12.75" customHeight="1">
      <c r="A198" s="319" t="s">
        <v>858</v>
      </c>
      <c r="B198" s="646"/>
      <c r="C198" s="3"/>
      <c r="D198" s="646"/>
      <c r="E198" s="3"/>
      <c r="F198" s="646"/>
      <c r="G198" s="646"/>
      <c r="H198" s="3"/>
      <c r="I198" s="646"/>
      <c r="J198" s="3"/>
      <c r="K198" s="646"/>
      <c r="M198" s="319" t="s">
        <v>464</v>
      </c>
      <c r="N198" s="3"/>
      <c r="O198" s="3"/>
      <c r="P198" s="3"/>
      <c r="Q198" s="3"/>
      <c r="R198" s="3"/>
      <c r="S198" s="3"/>
      <c r="T198" s="3"/>
      <c r="U198" s="3"/>
      <c r="V198" s="3"/>
      <c r="W198" s="3"/>
      <c r="BU198" s="319" t="s">
        <v>1476</v>
      </c>
      <c r="BV198" s="3"/>
      <c r="BW198" s="3"/>
      <c r="BX198" s="3"/>
      <c r="BY198" s="3"/>
      <c r="BZ198" s="3"/>
      <c r="CA198" s="3"/>
      <c r="CB198" s="3"/>
      <c r="CC198" s="3"/>
      <c r="CD198" s="3"/>
      <c r="CE198" s="3"/>
      <c r="CG198" s="319" t="s">
        <v>1099</v>
      </c>
      <c r="CH198" s="3"/>
      <c r="CI198" s="3"/>
      <c r="CJ198" s="3"/>
      <c r="CK198" s="3"/>
      <c r="CL198" s="3"/>
      <c r="CM198" s="3"/>
      <c r="CN198" s="3"/>
      <c r="CO198" s="3"/>
      <c r="CP198" s="3"/>
      <c r="CQ198" s="3"/>
      <c r="DE198" s="319" t="s">
        <v>3244</v>
      </c>
      <c r="DF198" s="3"/>
      <c r="DG198" s="3"/>
      <c r="DH198" s="3"/>
      <c r="DI198" s="3"/>
      <c r="DJ198" s="3"/>
      <c r="DK198" s="3"/>
      <c r="DL198" s="3"/>
      <c r="DM198" s="3"/>
      <c r="DN198" s="3"/>
      <c r="DO198" s="3"/>
      <c r="DQ198" s="319" t="s">
        <v>4743</v>
      </c>
      <c r="DR198" s="3">
        <v>0</v>
      </c>
      <c r="DS198" s="3">
        <v>0</v>
      </c>
      <c r="DT198" s="3">
        <v>0</v>
      </c>
      <c r="DU198" s="3">
        <v>0</v>
      </c>
      <c r="DV198" s="3">
        <v>0</v>
      </c>
      <c r="DW198" s="3">
        <v>0</v>
      </c>
      <c r="DX198" s="3">
        <v>0</v>
      </c>
      <c r="DY198" s="3">
        <v>0</v>
      </c>
      <c r="DZ198" s="3">
        <v>0</v>
      </c>
      <c r="EA198" s="3">
        <v>0</v>
      </c>
      <c r="GW198" s="319" t="s">
        <v>3952</v>
      </c>
      <c r="GX198" s="3">
        <v>0</v>
      </c>
      <c r="GY198" s="3">
        <v>0</v>
      </c>
      <c r="GZ198" s="3">
        <v>0</v>
      </c>
      <c r="HA198" s="3">
        <v>0</v>
      </c>
      <c r="HB198" s="3">
        <v>0</v>
      </c>
      <c r="HC198" s="3">
        <v>0</v>
      </c>
      <c r="HD198" s="3">
        <v>0</v>
      </c>
      <c r="HE198" s="3">
        <v>0</v>
      </c>
      <c r="HF198" s="3">
        <v>0</v>
      </c>
      <c r="HG198" s="3">
        <v>0</v>
      </c>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row>
    <row r="199" spans="1:256" s="556" customFormat="1" ht="12.75" customHeight="1">
      <c r="A199" s="556" t="s">
        <v>859</v>
      </c>
      <c r="B199" s="646"/>
      <c r="C199" s="646"/>
      <c r="D199" s="646"/>
      <c r="E199" s="646"/>
      <c r="F199" s="646"/>
      <c r="G199" s="646"/>
      <c r="H199" s="646"/>
      <c r="I199" s="646"/>
      <c r="J199" s="646"/>
      <c r="K199" s="646"/>
      <c r="M199" s="556" t="s">
        <v>465</v>
      </c>
      <c r="N199" s="646"/>
      <c r="O199" s="646"/>
      <c r="P199" s="646"/>
      <c r="Q199" s="646"/>
      <c r="R199" s="646"/>
      <c r="S199" s="646"/>
      <c r="T199" s="646"/>
      <c r="U199" s="646"/>
      <c r="V199" s="646"/>
      <c r="W199" s="646"/>
      <c r="BU199" s="556" t="s">
        <v>1477</v>
      </c>
      <c r="BV199" s="646"/>
      <c r="BW199" s="646"/>
      <c r="BX199" s="646"/>
      <c r="BY199" s="646"/>
      <c r="BZ199" s="646"/>
      <c r="CA199" s="646"/>
      <c r="CB199" s="646"/>
      <c r="CC199" s="646"/>
      <c r="CD199" s="646"/>
      <c r="CE199" s="646"/>
      <c r="CG199" s="556" t="s">
        <v>5767</v>
      </c>
      <c r="CH199" s="646"/>
      <c r="CI199" s="646"/>
      <c r="CJ199" s="646"/>
      <c r="CK199" s="646"/>
      <c r="CL199" s="646"/>
      <c r="CM199" s="646"/>
      <c r="CN199" s="646"/>
      <c r="CO199" s="646"/>
      <c r="CP199" s="646"/>
      <c r="CQ199" s="646"/>
      <c r="DE199" s="556" t="s">
        <v>5873</v>
      </c>
      <c r="DF199" s="646"/>
      <c r="DG199" s="646"/>
      <c r="DH199" s="646"/>
      <c r="DI199" s="646"/>
      <c r="DJ199" s="646"/>
      <c r="DK199" s="646"/>
      <c r="DL199" s="646"/>
      <c r="DM199" s="646"/>
      <c r="DN199" s="646"/>
      <c r="DO199" s="646"/>
      <c r="DQ199" s="556" t="s">
        <v>5582</v>
      </c>
      <c r="DR199" s="646">
        <v>1</v>
      </c>
      <c r="DS199" s="646">
        <v>1</v>
      </c>
      <c r="DT199" s="646">
        <v>1</v>
      </c>
      <c r="DU199" s="646">
        <v>1</v>
      </c>
      <c r="DV199" s="646">
        <v>1</v>
      </c>
      <c r="DW199" s="646">
        <v>1</v>
      </c>
      <c r="DX199" s="646">
        <v>1</v>
      </c>
      <c r="DY199" s="646">
        <v>1</v>
      </c>
      <c r="DZ199" s="646">
        <v>1</v>
      </c>
      <c r="EA199" s="646">
        <v>1</v>
      </c>
      <c r="GW199" s="556" t="s">
        <v>3953</v>
      </c>
      <c r="GX199" s="646">
        <v>0</v>
      </c>
      <c r="GY199" s="646">
        <v>0</v>
      </c>
      <c r="GZ199" s="646">
        <v>0</v>
      </c>
      <c r="HA199" s="646">
        <v>0</v>
      </c>
      <c r="HB199" s="646">
        <v>0</v>
      </c>
      <c r="HC199" s="646">
        <v>0</v>
      </c>
      <c r="HD199" s="646">
        <v>0</v>
      </c>
      <c r="HE199" s="646">
        <v>0</v>
      </c>
      <c r="HF199" s="646">
        <v>0</v>
      </c>
      <c r="HG199" s="646">
        <v>0</v>
      </c>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row>
    <row r="200" spans="1:256" s="319" customFormat="1" ht="12.75" customHeight="1">
      <c r="A200" s="319" t="s">
        <v>3043</v>
      </c>
      <c r="B200" s="646"/>
      <c r="C200" s="3"/>
      <c r="D200" s="646"/>
      <c r="E200" s="3"/>
      <c r="F200" s="646"/>
      <c r="G200" s="646"/>
      <c r="H200" s="3"/>
      <c r="I200" s="646"/>
      <c r="J200" s="3"/>
      <c r="K200" s="646"/>
      <c r="M200" s="319" t="s">
        <v>466</v>
      </c>
      <c r="N200" s="3"/>
      <c r="O200" s="3"/>
      <c r="P200" s="3"/>
      <c r="Q200" s="3"/>
      <c r="R200" s="3"/>
      <c r="S200" s="3"/>
      <c r="T200" s="3"/>
      <c r="U200" s="3"/>
      <c r="V200" s="3"/>
      <c r="W200" s="3"/>
      <c r="BU200" s="319" t="s">
        <v>2975</v>
      </c>
      <c r="BV200" s="3">
        <v>0</v>
      </c>
      <c r="BW200" s="3">
        <v>0</v>
      </c>
      <c r="BX200" s="3">
        <v>0</v>
      </c>
      <c r="BY200" s="3">
        <v>0</v>
      </c>
      <c r="BZ200" s="3">
        <v>0</v>
      </c>
      <c r="CA200" s="3">
        <v>0</v>
      </c>
      <c r="CB200" s="3">
        <v>0</v>
      </c>
      <c r="CC200" s="3">
        <v>0</v>
      </c>
      <c r="CD200" s="3">
        <v>0</v>
      </c>
      <c r="CE200" s="3">
        <v>0</v>
      </c>
      <c r="CG200" s="319" t="s">
        <v>5768</v>
      </c>
      <c r="CH200" s="3"/>
      <c r="CI200" s="3"/>
      <c r="CJ200" s="3"/>
      <c r="CK200" s="3"/>
      <c r="CL200" s="3"/>
      <c r="CM200" s="3"/>
      <c r="CN200" s="3"/>
      <c r="CO200" s="3"/>
      <c r="CP200" s="3"/>
      <c r="CQ200" s="3"/>
      <c r="DE200" s="319" t="s">
        <v>3259</v>
      </c>
      <c r="DF200" s="3"/>
      <c r="DG200" s="3"/>
      <c r="DH200" s="3"/>
      <c r="DI200" s="3"/>
      <c r="DJ200" s="3"/>
      <c r="DK200" s="3"/>
      <c r="DL200" s="3"/>
      <c r="DM200" s="3"/>
      <c r="DN200" s="3"/>
      <c r="DO200" s="3"/>
      <c r="DQ200" s="319" t="s">
        <v>5583</v>
      </c>
      <c r="DR200" s="3">
        <v>1</v>
      </c>
      <c r="DS200" s="3">
        <v>1</v>
      </c>
      <c r="DT200" s="3">
        <v>1</v>
      </c>
      <c r="DU200" s="3">
        <v>1</v>
      </c>
      <c r="DV200" s="3">
        <v>1</v>
      </c>
      <c r="DW200" s="3">
        <v>1</v>
      </c>
      <c r="DX200" s="3">
        <v>1</v>
      </c>
      <c r="DY200" s="3">
        <v>1</v>
      </c>
      <c r="DZ200" s="3">
        <v>1</v>
      </c>
      <c r="EA200" s="3">
        <v>1</v>
      </c>
      <c r="GW200" s="319" t="s">
        <v>3954</v>
      </c>
      <c r="GX200" s="3">
        <v>0</v>
      </c>
      <c r="GY200" s="3">
        <v>0</v>
      </c>
      <c r="GZ200" s="3">
        <v>0</v>
      </c>
      <c r="HA200" s="3">
        <v>0</v>
      </c>
      <c r="HB200" s="3">
        <v>0</v>
      </c>
      <c r="HC200" s="3">
        <v>0</v>
      </c>
      <c r="HD200" s="3">
        <v>0</v>
      </c>
      <c r="HE200" s="3">
        <v>0</v>
      </c>
      <c r="HF200" s="3">
        <v>0</v>
      </c>
      <c r="HG200" s="3">
        <v>0</v>
      </c>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row>
    <row r="201" spans="1:256" s="319" customFormat="1" ht="12.75" customHeight="1">
      <c r="A201" s="319" t="s">
        <v>4105</v>
      </c>
      <c r="B201" s="646"/>
      <c r="C201" s="3"/>
      <c r="D201" s="646"/>
      <c r="E201" s="3"/>
      <c r="F201" s="646"/>
      <c r="G201" s="646"/>
      <c r="H201" s="3"/>
      <c r="I201" s="646"/>
      <c r="J201" s="3"/>
      <c r="K201" s="646"/>
      <c r="M201" s="319" t="s">
        <v>3198</v>
      </c>
      <c r="N201" s="3"/>
      <c r="O201" s="3"/>
      <c r="P201" s="3"/>
      <c r="Q201" s="3"/>
      <c r="R201" s="3"/>
      <c r="S201" s="3"/>
      <c r="T201" s="3"/>
      <c r="U201" s="3"/>
      <c r="V201" s="3"/>
      <c r="W201" s="3"/>
      <c r="BU201" s="319" t="s">
        <v>5683</v>
      </c>
      <c r="BV201" s="3"/>
      <c r="BW201" s="3"/>
      <c r="BX201" s="3"/>
      <c r="BY201" s="3"/>
      <c r="BZ201" s="3"/>
      <c r="CA201" s="3"/>
      <c r="CB201" s="3"/>
      <c r="CC201" s="3"/>
      <c r="CD201" s="3"/>
      <c r="CE201" s="3"/>
      <c r="CG201" s="319" t="s">
        <v>2470</v>
      </c>
      <c r="CH201" s="3"/>
      <c r="CI201" s="3"/>
      <c r="CJ201" s="3"/>
      <c r="CK201" s="3"/>
      <c r="CL201" s="3"/>
      <c r="CM201" s="3"/>
      <c r="CN201" s="3"/>
      <c r="CO201" s="3"/>
      <c r="CP201" s="3"/>
      <c r="CQ201" s="3"/>
      <c r="DE201" s="319" t="s">
        <v>692</v>
      </c>
      <c r="DF201" s="3"/>
      <c r="DG201" s="3"/>
      <c r="DH201" s="3"/>
      <c r="DI201" s="3"/>
      <c r="DJ201" s="3"/>
      <c r="DK201" s="3"/>
      <c r="DL201" s="3"/>
      <c r="DM201" s="3"/>
      <c r="DN201" s="3"/>
      <c r="DO201" s="3"/>
      <c r="DQ201" s="319" t="s">
        <v>4339</v>
      </c>
      <c r="DR201" s="3">
        <v>0</v>
      </c>
      <c r="DS201" s="3">
        <v>0</v>
      </c>
      <c r="DT201" s="3">
        <v>0</v>
      </c>
      <c r="DU201" s="3">
        <v>0</v>
      </c>
      <c r="DV201" s="3">
        <v>0</v>
      </c>
      <c r="DW201" s="3">
        <v>0</v>
      </c>
      <c r="DX201" s="3">
        <v>0</v>
      </c>
      <c r="DY201" s="3">
        <v>0</v>
      </c>
      <c r="DZ201" s="3">
        <v>0</v>
      </c>
      <c r="EA201" s="3">
        <v>0</v>
      </c>
      <c r="GW201" s="319" t="s">
        <v>3955</v>
      </c>
      <c r="GX201" s="3">
        <v>0</v>
      </c>
      <c r="GY201" s="3">
        <v>0</v>
      </c>
      <c r="GZ201" s="3">
        <v>0</v>
      </c>
      <c r="HA201" s="3">
        <v>0</v>
      </c>
      <c r="HB201" s="3">
        <v>0</v>
      </c>
      <c r="HC201" s="3">
        <v>0</v>
      </c>
      <c r="HD201" s="3">
        <v>0</v>
      </c>
      <c r="HE201" s="3">
        <v>0</v>
      </c>
      <c r="HF201" s="3">
        <v>0</v>
      </c>
      <c r="HG201" s="3">
        <v>0</v>
      </c>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row>
    <row r="202" spans="1:256" s="319" customFormat="1" ht="12.75" customHeight="1">
      <c r="A202" s="319" t="s">
        <v>608</v>
      </c>
      <c r="B202" s="646"/>
      <c r="C202" s="3"/>
      <c r="D202" s="646"/>
      <c r="E202" s="3"/>
      <c r="F202" s="646"/>
      <c r="G202" s="646"/>
      <c r="H202" s="3"/>
      <c r="I202" s="646"/>
      <c r="J202" s="3"/>
      <c r="K202" s="646"/>
      <c r="M202" s="319" t="s">
        <v>322</v>
      </c>
      <c r="N202" s="3"/>
      <c r="O202" s="3"/>
      <c r="P202" s="3"/>
      <c r="Q202" s="3"/>
      <c r="R202" s="3"/>
      <c r="S202" s="3"/>
      <c r="T202" s="3"/>
      <c r="U202" s="3"/>
      <c r="V202" s="3"/>
      <c r="W202" s="3"/>
      <c r="BU202" s="319" t="s">
        <v>2580</v>
      </c>
      <c r="BV202" s="3"/>
      <c r="BW202" s="3"/>
      <c r="BX202" s="3"/>
      <c r="BY202" s="3"/>
      <c r="BZ202" s="3"/>
      <c r="CA202" s="3"/>
      <c r="CB202" s="3"/>
      <c r="CC202" s="3"/>
      <c r="CD202" s="3"/>
      <c r="CE202" s="3"/>
      <c r="CG202" s="319" t="s">
        <v>2471</v>
      </c>
      <c r="CH202" s="3"/>
      <c r="CI202" s="3"/>
      <c r="CJ202" s="3"/>
      <c r="CK202" s="3"/>
      <c r="CL202" s="3"/>
      <c r="CM202" s="3"/>
      <c r="CN202" s="3"/>
      <c r="CO202" s="3"/>
      <c r="CP202" s="3"/>
      <c r="CQ202" s="3"/>
      <c r="DE202" s="319" t="s">
        <v>3834</v>
      </c>
      <c r="DF202" s="3"/>
      <c r="DG202" s="3"/>
      <c r="DH202" s="3"/>
      <c r="DI202" s="3"/>
      <c r="DJ202" s="3"/>
      <c r="DK202" s="3"/>
      <c r="DL202" s="3"/>
      <c r="DM202" s="3"/>
      <c r="DN202" s="3"/>
      <c r="DO202" s="3"/>
      <c r="GW202" s="319" t="s">
        <v>4885</v>
      </c>
      <c r="GX202" s="3">
        <v>0</v>
      </c>
      <c r="GY202" s="3">
        <v>0</v>
      </c>
      <c r="GZ202" s="3">
        <v>0</v>
      </c>
      <c r="HA202" s="3">
        <v>0</v>
      </c>
      <c r="HB202" s="3">
        <v>0</v>
      </c>
      <c r="HC202" s="3">
        <v>0</v>
      </c>
      <c r="HD202" s="3">
        <v>0</v>
      </c>
      <c r="HE202" s="3">
        <v>0</v>
      </c>
      <c r="HF202" s="3">
        <v>0</v>
      </c>
      <c r="HG202" s="3">
        <v>0</v>
      </c>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row>
    <row r="203" spans="1:256" s="319" customFormat="1" ht="12.75" customHeight="1">
      <c r="A203" s="319" t="s">
        <v>609</v>
      </c>
      <c r="B203" s="646"/>
      <c r="C203" s="3"/>
      <c r="D203" s="646"/>
      <c r="E203" s="3"/>
      <c r="F203" s="646"/>
      <c r="G203" s="646"/>
      <c r="H203" s="3"/>
      <c r="I203" s="646"/>
      <c r="J203" s="3"/>
      <c r="K203" s="646"/>
      <c r="M203" s="319" t="s">
        <v>323</v>
      </c>
      <c r="N203" s="3"/>
      <c r="O203" s="3"/>
      <c r="P203" s="3"/>
      <c r="Q203" s="3"/>
      <c r="R203" s="3"/>
      <c r="S203" s="3"/>
      <c r="T203" s="3"/>
      <c r="U203" s="3"/>
      <c r="V203" s="3"/>
      <c r="W203" s="3"/>
      <c r="BU203" s="319" t="s">
        <v>5096</v>
      </c>
      <c r="BV203" s="3">
        <v>0</v>
      </c>
      <c r="BW203" s="3">
        <v>0</v>
      </c>
      <c r="BX203" s="3">
        <v>0</v>
      </c>
      <c r="BY203" s="3">
        <v>0</v>
      </c>
      <c r="BZ203" s="3">
        <v>0</v>
      </c>
      <c r="CA203" s="3">
        <v>0</v>
      </c>
      <c r="CB203" s="3">
        <v>0</v>
      </c>
      <c r="CC203" s="3">
        <v>0</v>
      </c>
      <c r="CD203" s="3">
        <v>0</v>
      </c>
      <c r="CE203" s="3">
        <v>0</v>
      </c>
      <c r="CG203" s="319" t="s">
        <v>2472</v>
      </c>
      <c r="CH203" s="3"/>
      <c r="CI203" s="3"/>
      <c r="CJ203" s="3"/>
      <c r="CK203" s="3"/>
      <c r="CL203" s="3"/>
      <c r="CM203" s="3"/>
      <c r="CN203" s="3"/>
      <c r="CO203" s="3"/>
      <c r="CP203" s="3"/>
      <c r="CQ203" s="3"/>
      <c r="DE203" s="319" t="s">
        <v>1442</v>
      </c>
      <c r="DF203" s="3"/>
      <c r="DG203" s="3"/>
      <c r="DH203" s="3"/>
      <c r="DI203" s="3"/>
      <c r="DJ203" s="3"/>
      <c r="DK203" s="3"/>
      <c r="DL203" s="3"/>
      <c r="DM203" s="3"/>
      <c r="DN203" s="3"/>
      <c r="DO203" s="3"/>
      <c r="GW203" s="319" t="s">
        <v>4886</v>
      </c>
      <c r="GX203" s="3">
        <v>0</v>
      </c>
      <c r="GY203" s="3">
        <v>0</v>
      </c>
      <c r="GZ203" s="3">
        <v>0</v>
      </c>
      <c r="HA203" s="3">
        <v>0</v>
      </c>
      <c r="HB203" s="3">
        <v>0</v>
      </c>
      <c r="HC203" s="3">
        <v>0</v>
      </c>
      <c r="HD203" s="3">
        <v>0</v>
      </c>
      <c r="HE203" s="3">
        <v>0</v>
      </c>
      <c r="HF203" s="3">
        <v>0</v>
      </c>
      <c r="HG203" s="3">
        <v>0</v>
      </c>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row>
    <row r="204" spans="1:256" s="319" customFormat="1" ht="12.75" customHeight="1">
      <c r="A204" s="319" t="s">
        <v>5779</v>
      </c>
      <c r="B204" s="646"/>
      <c r="C204" s="3"/>
      <c r="D204" s="646"/>
      <c r="E204" s="3"/>
      <c r="F204" s="646"/>
      <c r="G204" s="646"/>
      <c r="H204" s="3"/>
      <c r="I204" s="646"/>
      <c r="J204" s="3"/>
      <c r="K204" s="646"/>
      <c r="M204" s="319" t="s">
        <v>324</v>
      </c>
      <c r="N204" s="3"/>
      <c r="O204" s="3"/>
      <c r="P204" s="3"/>
      <c r="Q204" s="3"/>
      <c r="R204" s="3"/>
      <c r="S204" s="3"/>
      <c r="T204" s="3"/>
      <c r="U204" s="3"/>
      <c r="V204" s="3"/>
      <c r="W204" s="3"/>
      <c r="BU204" s="319" t="s">
        <v>2042</v>
      </c>
      <c r="BV204" s="3">
        <v>0</v>
      </c>
      <c r="BW204" s="3">
        <v>0</v>
      </c>
      <c r="BX204" s="3">
        <v>0</v>
      </c>
      <c r="BY204" s="3">
        <v>0</v>
      </c>
      <c r="BZ204" s="3">
        <v>0</v>
      </c>
      <c r="CA204" s="3">
        <v>0</v>
      </c>
      <c r="CB204" s="3">
        <v>0</v>
      </c>
      <c r="CC204" s="3">
        <v>0</v>
      </c>
      <c r="CD204" s="3">
        <v>0</v>
      </c>
      <c r="CE204" s="3">
        <v>0</v>
      </c>
      <c r="CG204" s="319" t="s">
        <v>2473</v>
      </c>
      <c r="CH204" s="3"/>
      <c r="CI204" s="3"/>
      <c r="CJ204" s="3"/>
      <c r="CK204" s="3"/>
      <c r="CL204" s="3"/>
      <c r="CM204" s="3"/>
      <c r="CN204" s="3"/>
      <c r="CO204" s="3"/>
      <c r="CP204" s="3"/>
      <c r="CQ204" s="3"/>
      <c r="DE204" s="319" t="s">
        <v>70</v>
      </c>
      <c r="DF204" s="3"/>
      <c r="DG204" s="3"/>
      <c r="DH204" s="3"/>
      <c r="DI204" s="3"/>
      <c r="DJ204" s="3"/>
      <c r="DK204" s="3"/>
      <c r="DL204" s="3"/>
      <c r="DM204" s="3"/>
      <c r="DN204" s="3"/>
      <c r="DO204" s="3"/>
      <c r="GW204" s="319" t="s">
        <v>1406</v>
      </c>
      <c r="GX204" s="3">
        <v>0</v>
      </c>
      <c r="GY204" s="3">
        <v>0</v>
      </c>
      <c r="GZ204" s="3">
        <v>0</v>
      </c>
      <c r="HA204" s="3">
        <v>0</v>
      </c>
      <c r="HB204" s="3">
        <v>0</v>
      </c>
      <c r="HC204" s="3">
        <v>0</v>
      </c>
      <c r="HD204" s="3">
        <v>0</v>
      </c>
      <c r="HE204" s="3">
        <v>0</v>
      </c>
      <c r="HF204" s="3">
        <v>0</v>
      </c>
      <c r="HG204" s="3">
        <v>0</v>
      </c>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row>
    <row r="205" spans="1:256" s="319" customFormat="1" ht="12.75" customHeight="1">
      <c r="A205" s="319" t="s">
        <v>5780</v>
      </c>
      <c r="B205" s="646"/>
      <c r="C205" s="3"/>
      <c r="D205" s="646"/>
      <c r="E205" s="3"/>
      <c r="F205" s="646"/>
      <c r="G205" s="646"/>
      <c r="H205" s="3"/>
      <c r="I205" s="646"/>
      <c r="J205" s="3"/>
      <c r="K205" s="646"/>
      <c r="M205" s="319" t="s">
        <v>2529</v>
      </c>
      <c r="N205" s="3"/>
      <c r="O205" s="3"/>
      <c r="P205" s="3"/>
      <c r="Q205" s="3"/>
      <c r="R205" s="3"/>
      <c r="S205" s="3"/>
      <c r="T205" s="3"/>
      <c r="U205" s="3"/>
      <c r="V205" s="3"/>
      <c r="W205" s="3"/>
      <c r="BU205" s="319" t="s">
        <v>2043</v>
      </c>
      <c r="BV205" s="3"/>
      <c r="BW205" s="3"/>
      <c r="BX205" s="3"/>
      <c r="BY205" s="3"/>
      <c r="BZ205" s="3"/>
      <c r="CA205" s="3"/>
      <c r="CB205" s="3"/>
      <c r="CC205" s="3"/>
      <c r="CD205" s="3"/>
      <c r="CE205" s="3"/>
      <c r="CG205" s="319" t="s">
        <v>1803</v>
      </c>
      <c r="CH205" s="3"/>
      <c r="CI205" s="3"/>
      <c r="CJ205" s="3"/>
      <c r="CK205" s="3"/>
      <c r="CL205" s="3"/>
      <c r="CM205" s="3"/>
      <c r="CN205" s="3"/>
      <c r="CO205" s="3"/>
      <c r="CP205" s="3"/>
      <c r="CQ205" s="3"/>
      <c r="DE205" s="319" t="s">
        <v>1616</v>
      </c>
      <c r="DF205" s="3"/>
      <c r="DG205" s="3"/>
      <c r="DH205" s="3"/>
      <c r="DI205" s="3"/>
      <c r="DJ205" s="3"/>
      <c r="DK205" s="3"/>
      <c r="DL205" s="3"/>
      <c r="DM205" s="3"/>
      <c r="DN205" s="3"/>
      <c r="DO205" s="3"/>
      <c r="GW205" s="319" t="s">
        <v>6001</v>
      </c>
      <c r="GX205" s="3">
        <v>0</v>
      </c>
      <c r="GY205" s="3">
        <v>0</v>
      </c>
      <c r="GZ205" s="3">
        <v>0</v>
      </c>
      <c r="HA205" s="3">
        <v>0</v>
      </c>
      <c r="HB205" s="3">
        <v>0</v>
      </c>
      <c r="HC205" s="3">
        <v>0</v>
      </c>
      <c r="HD205" s="3">
        <v>0</v>
      </c>
      <c r="HE205" s="3">
        <v>0</v>
      </c>
      <c r="HF205" s="3">
        <v>0</v>
      </c>
      <c r="HG205" s="3">
        <v>0</v>
      </c>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row>
    <row r="206" spans="1:256" s="319" customFormat="1" ht="12.75" customHeight="1">
      <c r="A206" s="319" t="s">
        <v>4257</v>
      </c>
      <c r="B206" s="646"/>
      <c r="C206" s="3"/>
      <c r="D206" s="646"/>
      <c r="E206" s="3"/>
      <c r="F206" s="646"/>
      <c r="G206" s="646"/>
      <c r="H206" s="3"/>
      <c r="I206" s="646"/>
      <c r="J206" s="3"/>
      <c r="K206" s="646"/>
      <c r="M206" s="319" t="s">
        <v>207</v>
      </c>
      <c r="N206" s="3" t="b">
        <v>0</v>
      </c>
      <c r="O206" s="3" t="b">
        <v>0</v>
      </c>
      <c r="P206" s="3" t="b">
        <v>0</v>
      </c>
      <c r="Q206" s="3" t="b">
        <v>0</v>
      </c>
      <c r="R206" s="3" t="b">
        <v>0</v>
      </c>
      <c r="S206" s="3" t="b">
        <v>0</v>
      </c>
      <c r="T206" s="3" t="b">
        <v>0</v>
      </c>
      <c r="U206" s="3" t="b">
        <v>0</v>
      </c>
      <c r="V206" s="3" t="b">
        <v>0</v>
      </c>
      <c r="W206" s="3" t="b">
        <v>0</v>
      </c>
      <c r="BU206" s="319" t="s">
        <v>2044</v>
      </c>
      <c r="BV206" s="3"/>
      <c r="BW206" s="3"/>
      <c r="BX206" s="3"/>
      <c r="BY206" s="3"/>
      <c r="BZ206" s="3"/>
      <c r="CA206" s="3"/>
      <c r="CB206" s="3"/>
      <c r="CC206" s="3"/>
      <c r="CD206" s="3"/>
      <c r="CE206" s="3"/>
      <c r="CG206" s="319" t="s">
        <v>5415</v>
      </c>
      <c r="CH206" s="3"/>
      <c r="CI206" s="3"/>
      <c r="CJ206" s="3"/>
      <c r="CK206" s="3"/>
      <c r="CL206" s="3"/>
      <c r="CM206" s="3"/>
      <c r="CN206" s="3"/>
      <c r="CO206" s="3"/>
      <c r="CP206" s="3"/>
      <c r="CQ206" s="3"/>
      <c r="DE206" s="319" t="s">
        <v>5702</v>
      </c>
      <c r="DF206" s="3"/>
      <c r="DG206" s="3"/>
      <c r="DH206" s="3"/>
      <c r="DI206" s="3"/>
      <c r="DJ206" s="3"/>
      <c r="DK206" s="3"/>
      <c r="DL206" s="3"/>
      <c r="DM206" s="3"/>
      <c r="DN206" s="3"/>
      <c r="DO206" s="3"/>
      <c r="GW206" s="319" t="s">
        <v>310</v>
      </c>
      <c r="GX206" s="3">
        <v>0</v>
      </c>
      <c r="GY206" s="3">
        <v>0</v>
      </c>
      <c r="GZ206" s="3">
        <v>0</v>
      </c>
      <c r="HA206" s="3">
        <v>0</v>
      </c>
      <c r="HB206" s="3">
        <v>0</v>
      </c>
      <c r="HC206" s="3">
        <v>0</v>
      </c>
      <c r="HD206" s="3">
        <v>0</v>
      </c>
      <c r="HE206" s="3">
        <v>0</v>
      </c>
      <c r="HF206" s="3">
        <v>0</v>
      </c>
      <c r="HG206" s="3">
        <v>0</v>
      </c>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row>
    <row r="207" spans="1:256" s="319" customFormat="1" ht="12.75" customHeight="1">
      <c r="A207" s="319" t="s">
        <v>377</v>
      </c>
      <c r="B207" s="646"/>
      <c r="C207" s="3"/>
      <c r="D207" s="646"/>
      <c r="E207" s="3"/>
      <c r="F207" s="646"/>
      <c r="G207" s="646"/>
      <c r="H207" s="3"/>
      <c r="I207" s="646"/>
      <c r="J207" s="3"/>
      <c r="K207" s="646"/>
      <c r="M207" s="319" t="s">
        <v>1732</v>
      </c>
      <c r="N207" s="3"/>
      <c r="O207" s="3"/>
      <c r="P207" s="3"/>
      <c r="Q207" s="3"/>
      <c r="R207" s="3"/>
      <c r="S207" s="3"/>
      <c r="T207" s="3"/>
      <c r="U207" s="3"/>
      <c r="V207" s="3"/>
      <c r="W207" s="3"/>
      <c r="BU207" s="319" t="s">
        <v>2239</v>
      </c>
      <c r="BV207" s="3">
        <v>0</v>
      </c>
      <c r="BW207" s="3">
        <v>0</v>
      </c>
      <c r="BX207" s="3">
        <v>0</v>
      </c>
      <c r="BY207" s="3">
        <v>0</v>
      </c>
      <c r="BZ207" s="3">
        <v>0</v>
      </c>
      <c r="CA207" s="3">
        <v>0</v>
      </c>
      <c r="CB207" s="3">
        <v>0</v>
      </c>
      <c r="CC207" s="3">
        <v>0</v>
      </c>
      <c r="CD207" s="3">
        <v>0</v>
      </c>
      <c r="CE207" s="3">
        <v>0</v>
      </c>
      <c r="CG207" s="319" t="s">
        <v>4430</v>
      </c>
      <c r="CH207" s="3"/>
      <c r="CI207" s="3"/>
      <c r="CJ207" s="3"/>
      <c r="CK207" s="3"/>
      <c r="CL207" s="3"/>
      <c r="CM207" s="3"/>
      <c r="CN207" s="3"/>
      <c r="CO207" s="3"/>
      <c r="CP207" s="3"/>
      <c r="CQ207" s="3"/>
      <c r="DE207" s="319" t="s">
        <v>5788</v>
      </c>
      <c r="DF207" s="3"/>
      <c r="DG207" s="3"/>
      <c r="DH207" s="3"/>
      <c r="DI207" s="3"/>
      <c r="DJ207" s="3"/>
      <c r="DK207" s="3"/>
      <c r="DL207" s="3"/>
      <c r="DM207" s="3"/>
      <c r="DN207" s="3"/>
      <c r="DO207" s="3"/>
      <c r="GW207" s="319" t="s">
        <v>311</v>
      </c>
      <c r="GX207" s="3">
        <v>0</v>
      </c>
      <c r="GY207" s="3">
        <v>0</v>
      </c>
      <c r="GZ207" s="3">
        <v>0</v>
      </c>
      <c r="HA207" s="3">
        <v>0</v>
      </c>
      <c r="HB207" s="3">
        <v>0</v>
      </c>
      <c r="HC207" s="3">
        <v>0</v>
      </c>
      <c r="HD207" s="3">
        <v>0</v>
      </c>
      <c r="HE207" s="3">
        <v>0</v>
      </c>
      <c r="HF207" s="3">
        <v>0</v>
      </c>
      <c r="HG207" s="3">
        <v>0</v>
      </c>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row>
    <row r="208" spans="1:256" s="319" customFormat="1" ht="12.75" customHeight="1">
      <c r="A208" s="319" t="s">
        <v>1060</v>
      </c>
      <c r="B208" s="646"/>
      <c r="C208" s="3"/>
      <c r="D208" s="646"/>
      <c r="E208" s="3"/>
      <c r="F208" s="646"/>
      <c r="G208" s="646"/>
      <c r="H208" s="3"/>
      <c r="I208" s="646"/>
      <c r="J208" s="3"/>
      <c r="K208" s="646"/>
      <c r="M208" s="319" t="s">
        <v>4379</v>
      </c>
      <c r="N208" s="3"/>
      <c r="O208" s="3"/>
      <c r="P208" s="3"/>
      <c r="Q208" s="3"/>
      <c r="R208" s="3"/>
      <c r="S208" s="3"/>
      <c r="T208" s="3"/>
      <c r="U208" s="3"/>
      <c r="V208" s="3"/>
      <c r="W208" s="3"/>
      <c r="BU208" s="319" t="s">
        <v>1254</v>
      </c>
      <c r="BV208" s="3"/>
      <c r="BW208" s="3"/>
      <c r="BX208" s="3"/>
      <c r="BY208" s="3"/>
      <c r="BZ208" s="3"/>
      <c r="CA208" s="3"/>
      <c r="CB208" s="3"/>
      <c r="CC208" s="3"/>
      <c r="CD208" s="3"/>
      <c r="CE208" s="3"/>
      <c r="CG208" s="319" t="s">
        <v>4431</v>
      </c>
      <c r="CH208" s="3"/>
      <c r="CI208" s="3"/>
      <c r="CJ208" s="3"/>
      <c r="CK208" s="3"/>
      <c r="CL208" s="3"/>
      <c r="CM208" s="3"/>
      <c r="CN208" s="3"/>
      <c r="CO208" s="3"/>
      <c r="CP208" s="3"/>
      <c r="CQ208" s="3"/>
      <c r="DE208" s="319" t="s">
        <v>5789</v>
      </c>
      <c r="DF208" s="3"/>
      <c r="DG208" s="3"/>
      <c r="DH208" s="3"/>
      <c r="DI208" s="3"/>
      <c r="DJ208" s="3"/>
      <c r="DK208" s="3"/>
      <c r="DL208" s="3"/>
      <c r="DM208" s="3"/>
      <c r="DN208" s="3"/>
      <c r="DO208" s="3"/>
      <c r="GW208" s="319" t="s">
        <v>5566</v>
      </c>
      <c r="GX208" s="3">
        <v>0</v>
      </c>
      <c r="GY208" s="3">
        <v>0</v>
      </c>
      <c r="GZ208" s="3">
        <v>0</v>
      </c>
      <c r="HA208" s="3">
        <v>0</v>
      </c>
      <c r="HB208" s="3">
        <v>0</v>
      </c>
      <c r="HC208" s="3">
        <v>0</v>
      </c>
      <c r="HD208" s="3">
        <v>0</v>
      </c>
      <c r="HE208" s="3">
        <v>0</v>
      </c>
      <c r="HF208" s="3">
        <v>0</v>
      </c>
      <c r="HG208" s="3">
        <v>0</v>
      </c>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row>
    <row r="209" spans="1:256" s="319" customFormat="1" ht="12.75" customHeight="1">
      <c r="A209" s="319" t="s">
        <v>1061</v>
      </c>
      <c r="B209" s="646"/>
      <c r="C209" s="3"/>
      <c r="D209" s="646"/>
      <c r="E209" s="3"/>
      <c r="F209" s="646"/>
      <c r="G209" s="646"/>
      <c r="H209" s="3"/>
      <c r="I209" s="646"/>
      <c r="J209" s="3"/>
      <c r="K209" s="646"/>
      <c r="M209" s="319" t="s">
        <v>1297</v>
      </c>
      <c r="N209" s="3"/>
      <c r="O209" s="3"/>
      <c r="P209" s="3"/>
      <c r="Q209" s="3"/>
      <c r="R209" s="3"/>
      <c r="S209" s="3"/>
      <c r="T209" s="3"/>
      <c r="U209" s="3"/>
      <c r="V209" s="3"/>
      <c r="W209" s="3"/>
      <c r="BU209" s="319" t="s">
        <v>1255</v>
      </c>
      <c r="BV209" s="3">
        <v>0</v>
      </c>
      <c r="BW209" s="3">
        <v>0</v>
      </c>
      <c r="BX209" s="3">
        <v>0</v>
      </c>
      <c r="BY209" s="3">
        <v>0</v>
      </c>
      <c r="BZ209" s="3">
        <v>0</v>
      </c>
      <c r="CA209" s="3">
        <v>0</v>
      </c>
      <c r="CB209" s="3">
        <v>0</v>
      </c>
      <c r="CC209" s="3">
        <v>0</v>
      </c>
      <c r="CD209" s="3">
        <v>0</v>
      </c>
      <c r="CE209" s="3">
        <v>0</v>
      </c>
      <c r="CG209" s="319" t="s">
        <v>4432</v>
      </c>
      <c r="CH209" s="3"/>
      <c r="CI209" s="3"/>
      <c r="CJ209" s="3"/>
      <c r="CK209" s="3"/>
      <c r="CL209" s="3"/>
      <c r="CM209" s="3"/>
      <c r="CN209" s="3"/>
      <c r="CO209" s="3"/>
      <c r="CP209" s="3"/>
      <c r="CQ209" s="3"/>
      <c r="DE209" s="319" t="s">
        <v>5790</v>
      </c>
      <c r="DF209" s="3"/>
      <c r="DG209" s="3"/>
      <c r="DH209" s="3"/>
      <c r="DI209" s="3"/>
      <c r="DJ209" s="3"/>
      <c r="DK209" s="3"/>
      <c r="DL209" s="3"/>
      <c r="DM209" s="3"/>
      <c r="DN209" s="3"/>
      <c r="DO209" s="3"/>
      <c r="GW209" s="319" t="s">
        <v>5567</v>
      </c>
      <c r="GX209" s="3">
        <v>0</v>
      </c>
      <c r="GY209" s="3">
        <v>0</v>
      </c>
      <c r="GZ209" s="3">
        <v>0</v>
      </c>
      <c r="HA209" s="3">
        <v>0</v>
      </c>
      <c r="HB209" s="3">
        <v>0</v>
      </c>
      <c r="HC209" s="3">
        <v>0</v>
      </c>
      <c r="HD209" s="3">
        <v>0</v>
      </c>
      <c r="HE209" s="3">
        <v>0</v>
      </c>
      <c r="HF209" s="3">
        <v>0</v>
      </c>
      <c r="HG209" s="3">
        <v>0</v>
      </c>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row>
    <row r="210" spans="1:256" s="319" customFormat="1" ht="12.75" customHeight="1">
      <c r="A210" s="319" t="s">
        <v>4090</v>
      </c>
      <c r="B210" s="646"/>
      <c r="C210" s="3"/>
      <c r="D210" s="646"/>
      <c r="E210" s="3"/>
      <c r="F210" s="646"/>
      <c r="G210" s="646"/>
      <c r="H210" s="3"/>
      <c r="I210" s="646"/>
      <c r="J210" s="3"/>
      <c r="K210" s="646"/>
      <c r="M210" s="319" t="s">
        <v>2628</v>
      </c>
      <c r="N210" s="3"/>
      <c r="O210" s="3"/>
      <c r="P210" s="3"/>
      <c r="Q210" s="3"/>
      <c r="R210" s="3"/>
      <c r="S210" s="3"/>
      <c r="T210" s="3"/>
      <c r="U210" s="3"/>
      <c r="V210" s="3"/>
      <c r="W210" s="3"/>
      <c r="BU210" s="319" t="s">
        <v>3804</v>
      </c>
      <c r="BV210" s="3">
        <v>0</v>
      </c>
      <c r="BW210" s="3">
        <v>0</v>
      </c>
      <c r="BX210" s="3">
        <v>0</v>
      </c>
      <c r="BY210" s="3">
        <v>0</v>
      </c>
      <c r="BZ210" s="3">
        <v>0</v>
      </c>
      <c r="CA210" s="3">
        <v>0</v>
      </c>
      <c r="CB210" s="3">
        <v>0</v>
      </c>
      <c r="CC210" s="3">
        <v>0</v>
      </c>
      <c r="CD210" s="3">
        <v>0</v>
      </c>
      <c r="CE210" s="3">
        <v>0</v>
      </c>
      <c r="CG210" s="319" t="s">
        <v>2550</v>
      </c>
      <c r="CH210" s="3"/>
      <c r="CI210" s="3"/>
      <c r="CJ210" s="3"/>
      <c r="CK210" s="3"/>
      <c r="CL210" s="3"/>
      <c r="CM210" s="3"/>
      <c r="CN210" s="3"/>
      <c r="CO210" s="3"/>
      <c r="CP210" s="3"/>
      <c r="CQ210" s="3"/>
      <c r="DE210" s="319" t="s">
        <v>5791</v>
      </c>
      <c r="DF210" s="3"/>
      <c r="DG210" s="3"/>
      <c r="DH210" s="3"/>
      <c r="DI210" s="3"/>
      <c r="DJ210" s="3"/>
      <c r="DK210" s="3"/>
      <c r="DL210" s="3"/>
      <c r="DM210" s="3"/>
      <c r="DN210" s="3"/>
      <c r="DO210" s="3"/>
      <c r="GW210" s="319" t="s">
        <v>1814</v>
      </c>
      <c r="GX210" s="3">
        <v>0</v>
      </c>
      <c r="GY210" s="3">
        <v>0</v>
      </c>
      <c r="GZ210" s="3">
        <v>0</v>
      </c>
      <c r="HA210" s="3">
        <v>0</v>
      </c>
      <c r="HB210" s="3">
        <v>0</v>
      </c>
      <c r="HC210" s="3">
        <v>0</v>
      </c>
      <c r="HD210" s="3">
        <v>0</v>
      </c>
      <c r="HE210" s="3">
        <v>0</v>
      </c>
      <c r="HF210" s="3">
        <v>0</v>
      </c>
      <c r="HG210" s="3">
        <v>0</v>
      </c>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row>
    <row r="211" spans="1:256" s="319" customFormat="1" ht="12.75" customHeight="1">
      <c r="A211" s="319" t="s">
        <v>252</v>
      </c>
      <c r="B211" s="646"/>
      <c r="C211" s="3"/>
      <c r="D211" s="646"/>
      <c r="E211" s="3"/>
      <c r="F211" s="646"/>
      <c r="G211" s="646"/>
      <c r="H211" s="3"/>
      <c r="I211" s="646"/>
      <c r="J211" s="3"/>
      <c r="K211" s="646"/>
      <c r="M211" s="319" t="s">
        <v>2629</v>
      </c>
      <c r="N211" s="3"/>
      <c r="O211" s="3"/>
      <c r="P211" s="3"/>
      <c r="Q211" s="3"/>
      <c r="R211" s="3"/>
      <c r="S211" s="3"/>
      <c r="T211" s="3"/>
      <c r="U211" s="3"/>
      <c r="V211" s="3"/>
      <c r="W211" s="3"/>
      <c r="BU211" s="319" t="s">
        <v>3805</v>
      </c>
      <c r="BV211" s="3"/>
      <c r="BW211" s="3"/>
      <c r="BX211" s="3"/>
      <c r="BY211" s="3"/>
      <c r="BZ211" s="3"/>
      <c r="CA211" s="3"/>
      <c r="CB211" s="3"/>
      <c r="CC211" s="3"/>
      <c r="CD211" s="3"/>
      <c r="CE211" s="3"/>
      <c r="CG211" s="319" t="s">
        <v>2551</v>
      </c>
      <c r="CH211" s="3"/>
      <c r="CI211" s="3"/>
      <c r="CJ211" s="3"/>
      <c r="CK211" s="3"/>
      <c r="CL211" s="3"/>
      <c r="CM211" s="3"/>
      <c r="CN211" s="3"/>
      <c r="CO211" s="3"/>
      <c r="CP211" s="3"/>
      <c r="CQ211" s="3"/>
      <c r="DE211" s="319" t="s">
        <v>2349</v>
      </c>
      <c r="DF211" s="3"/>
      <c r="DG211" s="3"/>
      <c r="DH211" s="3"/>
      <c r="DI211" s="3"/>
      <c r="DJ211" s="3"/>
      <c r="DK211" s="3"/>
      <c r="DL211" s="3"/>
      <c r="DM211" s="3"/>
      <c r="DN211" s="3"/>
      <c r="DO211" s="3"/>
      <c r="GW211" s="319" t="s">
        <v>579</v>
      </c>
      <c r="GX211" s="3">
        <v>0</v>
      </c>
      <c r="GY211" s="3">
        <v>0</v>
      </c>
      <c r="GZ211" s="3">
        <v>0</v>
      </c>
      <c r="HA211" s="3">
        <v>0</v>
      </c>
      <c r="HB211" s="3">
        <v>0</v>
      </c>
      <c r="HC211" s="3">
        <v>0</v>
      </c>
      <c r="HD211" s="3">
        <v>0</v>
      </c>
      <c r="HE211" s="3">
        <v>0</v>
      </c>
      <c r="HF211" s="3">
        <v>0</v>
      </c>
      <c r="HG211" s="3">
        <v>0</v>
      </c>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row>
    <row r="212" spans="1:256" s="319" customFormat="1" ht="12.75" customHeight="1">
      <c r="A212" s="319" t="s">
        <v>253</v>
      </c>
      <c r="B212" s="646"/>
      <c r="C212" s="3"/>
      <c r="D212" s="646"/>
      <c r="E212" s="3"/>
      <c r="F212" s="646"/>
      <c r="G212" s="646"/>
      <c r="H212" s="3"/>
      <c r="I212" s="646"/>
      <c r="J212" s="3"/>
      <c r="K212" s="646"/>
      <c r="M212" s="319" t="s">
        <v>5047</v>
      </c>
      <c r="N212" s="3"/>
      <c r="O212" s="3"/>
      <c r="P212" s="3"/>
      <c r="Q212" s="3"/>
      <c r="R212" s="3"/>
      <c r="S212" s="3"/>
      <c r="T212" s="3"/>
      <c r="U212" s="3"/>
      <c r="V212" s="3"/>
      <c r="W212" s="3"/>
      <c r="BU212" s="319" t="s">
        <v>1969</v>
      </c>
      <c r="BV212" s="3"/>
      <c r="BW212" s="3"/>
      <c r="BX212" s="3"/>
      <c r="BY212" s="3"/>
      <c r="BZ212" s="3"/>
      <c r="CA212" s="3"/>
      <c r="CB212" s="3"/>
      <c r="CC212" s="3"/>
      <c r="CD212" s="3"/>
      <c r="CE212" s="3"/>
      <c r="CG212" s="319" t="s">
        <v>1082</v>
      </c>
      <c r="CH212" s="3"/>
      <c r="CI212" s="3"/>
      <c r="CJ212" s="3"/>
      <c r="CK212" s="3"/>
      <c r="CL212" s="3"/>
      <c r="CM212" s="3"/>
      <c r="CN212" s="3"/>
      <c r="CO212" s="3"/>
      <c r="CP212" s="3"/>
      <c r="CQ212" s="3"/>
      <c r="DE212" s="319" t="s">
        <v>392</v>
      </c>
      <c r="DF212" s="3"/>
      <c r="DG212" s="3"/>
      <c r="DH212" s="3"/>
      <c r="DI212" s="3"/>
      <c r="DJ212" s="3"/>
      <c r="DK212" s="3"/>
      <c r="DL212" s="3"/>
      <c r="DM212" s="3"/>
      <c r="DN212" s="3"/>
      <c r="DO212" s="3"/>
      <c r="GW212" s="319" t="s">
        <v>580</v>
      </c>
      <c r="GX212" s="3">
        <v>0</v>
      </c>
      <c r="GY212" s="3">
        <v>0</v>
      </c>
      <c r="GZ212" s="3">
        <v>0</v>
      </c>
      <c r="HA212" s="3">
        <v>0</v>
      </c>
      <c r="HB212" s="3">
        <v>0</v>
      </c>
      <c r="HC212" s="3">
        <v>0</v>
      </c>
      <c r="HD212" s="3">
        <v>0</v>
      </c>
      <c r="HE212" s="3">
        <v>0</v>
      </c>
      <c r="HF212" s="3">
        <v>0</v>
      </c>
      <c r="HG212" s="3">
        <v>0</v>
      </c>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row>
    <row r="213" spans="1:256" s="319" customFormat="1" ht="12.75" customHeight="1">
      <c r="A213" s="319" t="s">
        <v>200</v>
      </c>
      <c r="B213" s="646"/>
      <c r="C213" s="3"/>
      <c r="D213" s="646"/>
      <c r="E213" s="3"/>
      <c r="F213" s="646"/>
      <c r="G213" s="646"/>
      <c r="H213" s="3"/>
      <c r="I213" s="646"/>
      <c r="J213" s="3"/>
      <c r="K213" s="646"/>
      <c r="M213" s="319" t="s">
        <v>5392</v>
      </c>
      <c r="N213" s="3"/>
      <c r="O213" s="3"/>
      <c r="P213" s="3"/>
      <c r="Q213" s="3"/>
      <c r="R213" s="3"/>
      <c r="S213" s="3"/>
      <c r="T213" s="3"/>
      <c r="U213" s="3"/>
      <c r="V213" s="3"/>
      <c r="W213" s="3"/>
      <c r="BU213" s="319" t="s">
        <v>92</v>
      </c>
      <c r="BV213" s="3"/>
      <c r="BW213" s="3"/>
      <c r="BX213" s="3"/>
      <c r="BY213" s="3"/>
      <c r="BZ213" s="3"/>
      <c r="CA213" s="3"/>
      <c r="CB213" s="3"/>
      <c r="CC213" s="3"/>
      <c r="CD213" s="3"/>
      <c r="CE213" s="3"/>
      <c r="CG213" s="319" t="s">
        <v>2963</v>
      </c>
      <c r="CH213" s="3"/>
      <c r="CI213" s="3"/>
      <c r="CJ213" s="3"/>
      <c r="CK213" s="3"/>
      <c r="CL213" s="3"/>
      <c r="CM213" s="3"/>
      <c r="CN213" s="3"/>
      <c r="CO213" s="3"/>
      <c r="CP213" s="3"/>
      <c r="CQ213" s="3"/>
      <c r="DE213" s="319" t="s">
        <v>393</v>
      </c>
      <c r="DF213" s="3"/>
      <c r="DG213" s="3"/>
      <c r="DH213" s="3"/>
      <c r="DI213" s="3"/>
      <c r="DJ213" s="3"/>
      <c r="DK213" s="3"/>
      <c r="DL213" s="3"/>
      <c r="DM213" s="3"/>
      <c r="DN213" s="3"/>
      <c r="DO213" s="3"/>
      <c r="GW213" s="319" t="s">
        <v>4548</v>
      </c>
      <c r="GX213" s="3">
        <v>0</v>
      </c>
      <c r="GY213" s="3">
        <v>0</v>
      </c>
      <c r="GZ213" s="3">
        <v>0</v>
      </c>
      <c r="HA213" s="3">
        <v>0</v>
      </c>
      <c r="HB213" s="3">
        <v>0</v>
      </c>
      <c r="HC213" s="3">
        <v>0</v>
      </c>
      <c r="HD213" s="3">
        <v>0</v>
      </c>
      <c r="HE213" s="3">
        <v>0</v>
      </c>
      <c r="HF213" s="3">
        <v>0</v>
      </c>
      <c r="HG213" s="3">
        <v>0</v>
      </c>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row>
    <row r="214" spans="1:256" s="319" customFormat="1" ht="12.75" customHeight="1">
      <c r="A214" s="319" t="s">
        <v>201</v>
      </c>
      <c r="B214" s="646"/>
      <c r="C214" s="3"/>
      <c r="D214" s="646"/>
      <c r="E214" s="3"/>
      <c r="F214" s="646"/>
      <c r="G214" s="646"/>
      <c r="H214" s="3"/>
      <c r="I214" s="646"/>
      <c r="J214" s="3"/>
      <c r="K214" s="646"/>
      <c r="M214" s="319" t="s">
        <v>1995</v>
      </c>
      <c r="N214" s="3"/>
      <c r="O214" s="3"/>
      <c r="P214" s="3"/>
      <c r="Q214" s="3"/>
      <c r="R214" s="3"/>
      <c r="S214" s="3"/>
      <c r="T214" s="3"/>
      <c r="U214" s="3"/>
      <c r="V214" s="3"/>
      <c r="W214" s="3"/>
      <c r="BU214" s="319" t="s">
        <v>4671</v>
      </c>
      <c r="BV214" s="3">
        <v>1</v>
      </c>
      <c r="BW214" s="3">
        <v>1</v>
      </c>
      <c r="BX214" s="3">
        <v>1</v>
      </c>
      <c r="BY214" s="3">
        <v>1</v>
      </c>
      <c r="BZ214" s="3">
        <v>1</v>
      </c>
      <c r="CA214" s="3">
        <v>1</v>
      </c>
      <c r="CB214" s="3">
        <v>1</v>
      </c>
      <c r="CC214" s="3">
        <v>1</v>
      </c>
      <c r="CD214" s="3">
        <v>1</v>
      </c>
      <c r="CE214" s="3">
        <v>1</v>
      </c>
      <c r="CG214" s="319" t="s">
        <v>5937</v>
      </c>
      <c r="CH214" s="3"/>
      <c r="CI214" s="3"/>
      <c r="CJ214" s="3"/>
      <c r="CK214" s="3"/>
      <c r="CL214" s="3"/>
      <c r="CM214" s="3"/>
      <c r="CN214" s="3"/>
      <c r="CO214" s="3"/>
      <c r="CP214" s="3"/>
      <c r="CQ214" s="3"/>
      <c r="DE214" s="319" t="s">
        <v>532</v>
      </c>
      <c r="DF214" s="3"/>
      <c r="DG214" s="3"/>
      <c r="DH214" s="3"/>
      <c r="DI214" s="3"/>
      <c r="DJ214" s="3"/>
      <c r="DK214" s="3"/>
      <c r="DL214" s="3"/>
      <c r="DM214" s="3"/>
      <c r="DN214" s="3"/>
      <c r="DO214" s="3"/>
      <c r="GW214" s="319" t="s">
        <v>4549</v>
      </c>
      <c r="GX214" s="3">
        <v>0</v>
      </c>
      <c r="GY214" s="3">
        <v>0</v>
      </c>
      <c r="GZ214" s="3">
        <v>0</v>
      </c>
      <c r="HA214" s="3">
        <v>0</v>
      </c>
      <c r="HB214" s="3">
        <v>0</v>
      </c>
      <c r="HC214" s="3">
        <v>0</v>
      </c>
      <c r="HD214" s="3">
        <v>0</v>
      </c>
      <c r="HE214" s="3">
        <v>0</v>
      </c>
      <c r="HF214" s="3">
        <v>0</v>
      </c>
      <c r="HG214" s="3">
        <v>0</v>
      </c>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row>
    <row r="215" spans="1:256" s="319" customFormat="1" ht="12.75" customHeight="1">
      <c r="A215" s="319" t="s">
        <v>202</v>
      </c>
      <c r="B215" s="646"/>
      <c r="C215" s="3"/>
      <c r="D215" s="646"/>
      <c r="E215" s="3"/>
      <c r="F215" s="646"/>
      <c r="G215" s="646"/>
      <c r="H215" s="3"/>
      <c r="I215" s="646"/>
      <c r="J215" s="3"/>
      <c r="K215" s="646"/>
      <c r="M215" s="319" t="s">
        <v>1046</v>
      </c>
      <c r="N215" s="3"/>
      <c r="O215" s="3"/>
      <c r="P215" s="3"/>
      <c r="Q215" s="3"/>
      <c r="R215" s="3"/>
      <c r="S215" s="3"/>
      <c r="T215" s="3"/>
      <c r="U215" s="3"/>
      <c r="V215" s="3"/>
      <c r="W215" s="3"/>
      <c r="BU215" s="319" t="s">
        <v>622</v>
      </c>
      <c r="BV215" s="3">
        <v>0</v>
      </c>
      <c r="BW215" s="3">
        <v>0</v>
      </c>
      <c r="BX215" s="3">
        <v>0</v>
      </c>
      <c r="BY215" s="3">
        <v>0</v>
      </c>
      <c r="BZ215" s="3">
        <v>0</v>
      </c>
      <c r="CA215" s="3">
        <v>0</v>
      </c>
      <c r="CB215" s="3">
        <v>0</v>
      </c>
      <c r="CC215" s="3">
        <v>0</v>
      </c>
      <c r="CD215" s="3">
        <v>0</v>
      </c>
      <c r="CE215" s="3">
        <v>0</v>
      </c>
      <c r="CG215" s="319" t="s">
        <v>213</v>
      </c>
      <c r="CH215" s="3"/>
      <c r="CI215" s="3"/>
      <c r="CJ215" s="3"/>
      <c r="CK215" s="3"/>
      <c r="CL215" s="3"/>
      <c r="CM215" s="3"/>
      <c r="CN215" s="3"/>
      <c r="CO215" s="3"/>
      <c r="CP215" s="3"/>
      <c r="CQ215" s="3"/>
      <c r="DE215" s="319" t="s">
        <v>238</v>
      </c>
      <c r="DF215" s="3"/>
      <c r="DG215" s="3"/>
      <c r="DH215" s="3"/>
      <c r="DI215" s="3"/>
      <c r="DJ215" s="3"/>
      <c r="DK215" s="3"/>
      <c r="DL215" s="3"/>
      <c r="DM215" s="3"/>
      <c r="DN215" s="3"/>
      <c r="DO215" s="3"/>
      <c r="GW215" s="319" t="s">
        <v>4672</v>
      </c>
      <c r="GX215" s="3">
        <v>0</v>
      </c>
      <c r="GY215" s="3">
        <v>0</v>
      </c>
      <c r="GZ215" s="3">
        <v>0</v>
      </c>
      <c r="HA215" s="3">
        <v>0</v>
      </c>
      <c r="HB215" s="3">
        <v>0</v>
      </c>
      <c r="HC215" s="3">
        <v>0</v>
      </c>
      <c r="HD215" s="3">
        <v>0</v>
      </c>
      <c r="HE215" s="3">
        <v>0</v>
      </c>
      <c r="HF215" s="3">
        <v>0</v>
      </c>
      <c r="HG215" s="3">
        <v>0</v>
      </c>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row>
    <row r="216" spans="1:256" s="319" customFormat="1" ht="12.75" customHeight="1">
      <c r="A216" s="319" t="s">
        <v>1827</v>
      </c>
      <c r="B216" s="646"/>
      <c r="C216" s="3"/>
      <c r="D216" s="646"/>
      <c r="E216" s="3"/>
      <c r="F216" s="646"/>
      <c r="G216" s="646"/>
      <c r="H216" s="3"/>
      <c r="I216" s="646"/>
      <c r="J216" s="3"/>
      <c r="K216" s="646"/>
      <c r="M216" s="319" t="s">
        <v>1030</v>
      </c>
      <c r="N216" s="3"/>
      <c r="O216" s="3"/>
      <c r="P216" s="3"/>
      <c r="Q216" s="3"/>
      <c r="R216" s="3"/>
      <c r="S216" s="3"/>
      <c r="T216" s="3"/>
      <c r="U216" s="3"/>
      <c r="V216" s="3"/>
      <c r="W216" s="3"/>
      <c r="BU216" s="319" t="s">
        <v>5144</v>
      </c>
      <c r="BV216" s="3"/>
      <c r="BW216" s="3"/>
      <c r="BX216" s="3"/>
      <c r="BY216" s="3"/>
      <c r="BZ216" s="3"/>
      <c r="CA216" s="3"/>
      <c r="CB216" s="3"/>
      <c r="CC216" s="3"/>
      <c r="CD216" s="3"/>
      <c r="CE216" s="3"/>
      <c r="CG216" s="319" t="s">
        <v>214</v>
      </c>
      <c r="CH216" s="3"/>
      <c r="CI216" s="3"/>
      <c r="CJ216" s="3"/>
      <c r="CK216" s="3"/>
      <c r="CL216" s="3"/>
      <c r="CM216" s="3"/>
      <c r="CN216" s="3"/>
      <c r="CO216" s="3"/>
      <c r="CP216" s="3"/>
      <c r="CQ216" s="3"/>
      <c r="DE216" s="319" t="s">
        <v>4052</v>
      </c>
      <c r="DF216" s="3"/>
      <c r="DG216" s="3"/>
      <c r="DH216" s="3"/>
      <c r="DI216" s="3"/>
      <c r="DJ216" s="3"/>
      <c r="DK216" s="3"/>
      <c r="DL216" s="3"/>
      <c r="DM216" s="3"/>
      <c r="DN216" s="3"/>
      <c r="DO216" s="3"/>
      <c r="GW216" s="319" t="s">
        <v>4673</v>
      </c>
      <c r="GX216" s="3">
        <v>0</v>
      </c>
      <c r="GY216" s="3">
        <v>0</v>
      </c>
      <c r="GZ216" s="3">
        <v>0</v>
      </c>
      <c r="HA216" s="3">
        <v>0</v>
      </c>
      <c r="HB216" s="3">
        <v>0</v>
      </c>
      <c r="HC216" s="3">
        <v>0</v>
      </c>
      <c r="HD216" s="3">
        <v>0</v>
      </c>
      <c r="HE216" s="3">
        <v>0</v>
      </c>
      <c r="HF216" s="3">
        <v>0</v>
      </c>
      <c r="HG216" s="3">
        <v>0</v>
      </c>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row>
    <row r="217" spans="1:256" s="319" customFormat="1" ht="12.75" customHeight="1">
      <c r="A217" s="319" t="s">
        <v>1828</v>
      </c>
      <c r="B217" s="646"/>
      <c r="C217" s="3"/>
      <c r="D217" s="646"/>
      <c r="E217" s="3"/>
      <c r="F217" s="646"/>
      <c r="G217" s="646"/>
      <c r="H217" s="3"/>
      <c r="I217" s="646"/>
      <c r="J217" s="3"/>
      <c r="K217" s="646"/>
      <c r="M217" s="319" t="s">
        <v>1031</v>
      </c>
      <c r="N217" s="3"/>
      <c r="O217" s="3"/>
      <c r="P217" s="3"/>
      <c r="Q217" s="3"/>
      <c r="R217" s="3"/>
      <c r="S217" s="3"/>
      <c r="T217" s="3"/>
      <c r="U217" s="3"/>
      <c r="V217" s="3"/>
      <c r="W217" s="3"/>
      <c r="BU217" s="319" t="s">
        <v>5145</v>
      </c>
      <c r="BV217" s="3"/>
      <c r="BW217" s="3"/>
      <c r="BX217" s="3"/>
      <c r="BY217" s="3"/>
      <c r="BZ217" s="3"/>
      <c r="CA217" s="3"/>
      <c r="CB217" s="3"/>
      <c r="CC217" s="3"/>
      <c r="CD217" s="3"/>
      <c r="CE217" s="3"/>
      <c r="CG217" s="319" t="s">
        <v>4053</v>
      </c>
      <c r="CH217" s="3"/>
      <c r="CI217" s="3"/>
      <c r="CJ217" s="3"/>
      <c r="CK217" s="3"/>
      <c r="CL217" s="3"/>
      <c r="CM217" s="3"/>
      <c r="CN217" s="3"/>
      <c r="CO217" s="3"/>
      <c r="CP217" s="3"/>
      <c r="CQ217" s="3"/>
      <c r="DE217" s="319" t="s">
        <v>1365</v>
      </c>
      <c r="DF217" s="3"/>
      <c r="DG217" s="3"/>
      <c r="DH217" s="3"/>
      <c r="DI217" s="3"/>
      <c r="DJ217" s="3"/>
      <c r="DK217" s="3"/>
      <c r="DL217" s="3"/>
      <c r="DM217" s="3"/>
      <c r="DN217" s="3"/>
      <c r="DO217" s="3"/>
      <c r="GW217" s="319" t="s">
        <v>3095</v>
      </c>
      <c r="GX217" s="3">
        <v>0</v>
      </c>
      <c r="GY217" s="3">
        <v>0</v>
      </c>
      <c r="GZ217" s="3">
        <v>0</v>
      </c>
      <c r="HA217" s="3">
        <v>0</v>
      </c>
      <c r="HB217" s="3">
        <v>0</v>
      </c>
      <c r="HC217" s="3">
        <v>0</v>
      </c>
      <c r="HD217" s="3">
        <v>0</v>
      </c>
      <c r="HE217" s="3">
        <v>0</v>
      </c>
      <c r="HF217" s="3">
        <v>0</v>
      </c>
      <c r="HG217" s="3">
        <v>0</v>
      </c>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row>
    <row r="218" spans="1:256" s="319" customFormat="1" ht="12.75" customHeight="1">
      <c r="A218" s="319" t="s">
        <v>5418</v>
      </c>
      <c r="B218" s="646"/>
      <c r="C218" s="3"/>
      <c r="D218" s="646"/>
      <c r="E218" s="3"/>
      <c r="F218" s="646"/>
      <c r="G218" s="646"/>
      <c r="H218" s="3"/>
      <c r="I218" s="646"/>
      <c r="J218" s="3"/>
      <c r="K218" s="646"/>
      <c r="M218" s="319" t="s">
        <v>1582</v>
      </c>
      <c r="N218" s="3"/>
      <c r="O218" s="3"/>
      <c r="P218" s="3"/>
      <c r="Q218" s="3"/>
      <c r="R218" s="3"/>
      <c r="S218" s="3"/>
      <c r="T218" s="3"/>
      <c r="U218" s="3"/>
      <c r="V218" s="3"/>
      <c r="W218" s="3"/>
      <c r="BU218" s="319" t="s">
        <v>1094</v>
      </c>
      <c r="BV218" s="3">
        <v>0</v>
      </c>
      <c r="BW218" s="3">
        <v>0</v>
      </c>
      <c r="BX218" s="3">
        <v>0</v>
      </c>
      <c r="BY218" s="3">
        <v>0</v>
      </c>
      <c r="BZ218" s="3">
        <v>0</v>
      </c>
      <c r="CA218" s="3">
        <v>0</v>
      </c>
      <c r="CB218" s="3">
        <v>0</v>
      </c>
      <c r="CC218" s="3">
        <v>0</v>
      </c>
      <c r="CD218" s="3">
        <v>0</v>
      </c>
      <c r="CE218" s="3">
        <v>0</v>
      </c>
      <c r="CG218" s="319" t="s">
        <v>4054</v>
      </c>
      <c r="CH218" s="3"/>
      <c r="CI218" s="3"/>
      <c r="CJ218" s="3"/>
      <c r="CK218" s="3"/>
      <c r="CL218" s="3"/>
      <c r="CM218" s="3"/>
      <c r="CN218" s="3"/>
      <c r="CO218" s="3"/>
      <c r="CP218" s="3"/>
      <c r="CQ218" s="3"/>
      <c r="DE218" s="319" t="s">
        <v>1832</v>
      </c>
      <c r="DF218" s="3"/>
      <c r="DG218" s="3"/>
      <c r="DH218" s="3"/>
      <c r="DI218" s="3"/>
      <c r="DJ218" s="3"/>
      <c r="DK218" s="3"/>
      <c r="DL218" s="3"/>
      <c r="DM218" s="3"/>
      <c r="DN218" s="3"/>
      <c r="DO218" s="3"/>
      <c r="GW218" s="319" t="s">
        <v>3096</v>
      </c>
      <c r="GX218" s="3">
        <v>0</v>
      </c>
      <c r="GY218" s="3">
        <v>0</v>
      </c>
      <c r="GZ218" s="3">
        <v>0</v>
      </c>
      <c r="HA218" s="3">
        <v>0</v>
      </c>
      <c r="HB218" s="3">
        <v>0</v>
      </c>
      <c r="HC218" s="3">
        <v>0</v>
      </c>
      <c r="HD218" s="3">
        <v>0</v>
      </c>
      <c r="HE218" s="3">
        <v>0</v>
      </c>
      <c r="HF218" s="3">
        <v>0</v>
      </c>
      <c r="HG218" s="3">
        <v>0</v>
      </c>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row>
    <row r="219" spans="1:256" s="319" customFormat="1" ht="12.75" customHeight="1">
      <c r="A219" s="319" t="s">
        <v>5419</v>
      </c>
      <c r="B219" s="646"/>
      <c r="C219" s="3"/>
      <c r="D219" s="646"/>
      <c r="E219" s="3"/>
      <c r="F219" s="646"/>
      <c r="G219" s="646"/>
      <c r="H219" s="3"/>
      <c r="I219" s="646"/>
      <c r="J219" s="3"/>
      <c r="K219" s="646"/>
      <c r="M219" s="319" t="s">
        <v>2040</v>
      </c>
      <c r="N219" s="3"/>
      <c r="O219" s="3"/>
      <c r="P219" s="3"/>
      <c r="Q219" s="3"/>
      <c r="R219" s="3"/>
      <c r="S219" s="3"/>
      <c r="T219" s="3"/>
      <c r="U219" s="3"/>
      <c r="V219" s="3"/>
      <c r="W219" s="3"/>
      <c r="BU219" s="319" t="s">
        <v>4310</v>
      </c>
      <c r="BV219" s="3"/>
      <c r="BW219" s="3"/>
      <c r="BX219" s="3"/>
      <c r="BY219" s="3"/>
      <c r="BZ219" s="3"/>
      <c r="CA219" s="3"/>
      <c r="CB219" s="3"/>
      <c r="CC219" s="3"/>
      <c r="CD219" s="3"/>
      <c r="CE219" s="3"/>
      <c r="CG219" s="319" t="s">
        <v>2005</v>
      </c>
      <c r="CH219" s="3"/>
      <c r="CI219" s="3"/>
      <c r="CJ219" s="3"/>
      <c r="CK219" s="3"/>
      <c r="CL219" s="3"/>
      <c r="CM219" s="3"/>
      <c r="CN219" s="3"/>
      <c r="CO219" s="3"/>
      <c r="CP219" s="3"/>
      <c r="CQ219" s="3"/>
      <c r="DE219" s="319" t="s">
        <v>1833</v>
      </c>
      <c r="DF219" s="3"/>
      <c r="DG219" s="3"/>
      <c r="DH219" s="3"/>
      <c r="DI219" s="3"/>
      <c r="DJ219" s="3"/>
      <c r="DK219" s="3"/>
      <c r="DL219" s="3"/>
      <c r="DM219" s="3"/>
      <c r="DN219" s="3"/>
      <c r="DO219" s="3"/>
      <c r="GW219" s="319" t="s">
        <v>5743</v>
      </c>
      <c r="GX219" s="3">
        <v>0</v>
      </c>
      <c r="GY219" s="3">
        <v>0</v>
      </c>
      <c r="GZ219" s="3">
        <v>0</v>
      </c>
      <c r="HA219" s="3">
        <v>0</v>
      </c>
      <c r="HB219" s="3">
        <v>0</v>
      </c>
      <c r="HC219" s="3">
        <v>0</v>
      </c>
      <c r="HD219" s="3">
        <v>0</v>
      </c>
      <c r="HE219" s="3">
        <v>0</v>
      </c>
      <c r="HF219" s="3">
        <v>0</v>
      </c>
      <c r="HG219" s="3">
        <v>0</v>
      </c>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row>
    <row r="220" spans="1:256" s="319" customFormat="1" ht="12.75" customHeight="1">
      <c r="A220" s="319" t="s">
        <v>3769</v>
      </c>
      <c r="B220" s="646"/>
      <c r="C220" s="3"/>
      <c r="D220" s="646"/>
      <c r="E220" s="3"/>
      <c r="F220" s="646"/>
      <c r="G220" s="646"/>
      <c r="H220" s="3"/>
      <c r="I220" s="646"/>
      <c r="J220" s="3"/>
      <c r="K220" s="646"/>
      <c r="M220" s="319" t="s">
        <v>2300</v>
      </c>
      <c r="N220" s="3"/>
      <c r="O220" s="3"/>
      <c r="P220" s="3"/>
      <c r="Q220" s="3"/>
      <c r="R220" s="3"/>
      <c r="S220" s="3"/>
      <c r="T220" s="3"/>
      <c r="U220" s="3"/>
      <c r="V220" s="3"/>
      <c r="W220" s="3"/>
      <c r="BU220" s="319" t="s">
        <v>4311</v>
      </c>
      <c r="BV220" s="3"/>
      <c r="BW220" s="3"/>
      <c r="BX220" s="3"/>
      <c r="BY220" s="3"/>
      <c r="BZ220" s="3"/>
      <c r="CA220" s="3"/>
      <c r="CB220" s="3"/>
      <c r="CC220" s="3"/>
      <c r="CD220" s="3"/>
      <c r="CE220" s="3"/>
      <c r="CG220" s="319" t="s">
        <v>3990</v>
      </c>
      <c r="CH220" s="3"/>
      <c r="CI220" s="3"/>
      <c r="CJ220" s="3"/>
      <c r="CK220" s="3"/>
      <c r="CL220" s="3"/>
      <c r="CM220" s="3"/>
      <c r="CN220" s="3"/>
      <c r="CO220" s="3"/>
      <c r="CP220" s="3"/>
      <c r="CQ220" s="3"/>
      <c r="DE220" s="319" t="s">
        <v>1834</v>
      </c>
      <c r="DF220" s="3"/>
      <c r="DG220" s="3"/>
      <c r="DH220" s="3"/>
      <c r="DI220" s="3"/>
      <c r="DJ220" s="3"/>
      <c r="DK220" s="3"/>
      <c r="DL220" s="3"/>
      <c r="DM220" s="3"/>
      <c r="DN220" s="3"/>
      <c r="DO220" s="3"/>
      <c r="GW220" s="319" t="s">
        <v>5318</v>
      </c>
      <c r="GX220" s="3"/>
      <c r="GY220" s="3"/>
      <c r="GZ220" s="3"/>
      <c r="HA220" s="3"/>
      <c r="HB220" s="3"/>
      <c r="HC220" s="3"/>
      <c r="HD220" s="3"/>
      <c r="HE220" s="3"/>
      <c r="HF220" s="3"/>
      <c r="HG220" s="3"/>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row>
    <row r="221" spans="1:256" s="319" customFormat="1" ht="12.75" customHeight="1">
      <c r="A221" s="319" t="s">
        <v>3770</v>
      </c>
      <c r="B221" s="646"/>
      <c r="C221" s="3"/>
      <c r="D221" s="646"/>
      <c r="E221" s="3"/>
      <c r="F221" s="646"/>
      <c r="G221" s="646"/>
      <c r="H221" s="3"/>
      <c r="I221" s="646"/>
      <c r="J221" s="3"/>
      <c r="K221" s="646"/>
      <c r="M221" s="319" t="s">
        <v>2301</v>
      </c>
      <c r="N221" s="3"/>
      <c r="O221" s="3"/>
      <c r="P221" s="3"/>
      <c r="Q221" s="3"/>
      <c r="R221" s="3"/>
      <c r="S221" s="3"/>
      <c r="T221" s="3"/>
      <c r="U221" s="3"/>
      <c r="V221" s="3"/>
      <c r="W221" s="3"/>
      <c r="BU221" s="319" t="s">
        <v>5232</v>
      </c>
      <c r="BV221" s="3">
        <v>0</v>
      </c>
      <c r="BW221" s="3">
        <v>0</v>
      </c>
      <c r="BX221" s="3">
        <v>0</v>
      </c>
      <c r="BY221" s="3">
        <v>0</v>
      </c>
      <c r="BZ221" s="3">
        <v>0</v>
      </c>
      <c r="CA221" s="3">
        <v>0</v>
      </c>
      <c r="CB221" s="3">
        <v>0</v>
      </c>
      <c r="CC221" s="3">
        <v>0</v>
      </c>
      <c r="CD221" s="3">
        <v>0</v>
      </c>
      <c r="CE221" s="3">
        <v>0</v>
      </c>
      <c r="CG221" s="319" t="s">
        <v>1199</v>
      </c>
      <c r="CH221" s="3"/>
      <c r="CI221" s="3"/>
      <c r="CJ221" s="3"/>
      <c r="CK221" s="3"/>
      <c r="CL221" s="3"/>
      <c r="CM221" s="3"/>
      <c r="CN221" s="3"/>
      <c r="CO221" s="3"/>
      <c r="CP221" s="3"/>
      <c r="CQ221" s="3"/>
      <c r="DE221" s="319" t="s">
        <v>5313</v>
      </c>
      <c r="DF221" s="3"/>
      <c r="DG221" s="3"/>
      <c r="DH221" s="3"/>
      <c r="DI221" s="3"/>
      <c r="DJ221" s="3"/>
      <c r="DK221" s="3"/>
      <c r="DL221" s="3"/>
      <c r="DM221" s="3"/>
      <c r="DN221" s="3"/>
      <c r="DO221" s="3"/>
      <c r="GW221" s="319" t="s">
        <v>682</v>
      </c>
      <c r="GX221" s="3"/>
      <c r="GY221" s="3"/>
      <c r="GZ221" s="3"/>
      <c r="HA221" s="3"/>
      <c r="HB221" s="3"/>
      <c r="HC221" s="3"/>
      <c r="HD221" s="3"/>
      <c r="HE221" s="3"/>
      <c r="HF221" s="3"/>
      <c r="HG221" s="3"/>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row>
    <row r="222" spans="1:256" s="319" customFormat="1" ht="12.75" customHeight="1">
      <c r="A222" s="319" t="s">
        <v>1140</v>
      </c>
      <c r="B222" s="646"/>
      <c r="C222" s="3"/>
      <c r="D222" s="646"/>
      <c r="E222" s="3"/>
      <c r="F222" s="646"/>
      <c r="G222" s="646"/>
      <c r="H222" s="3"/>
      <c r="I222" s="646"/>
      <c r="J222" s="3"/>
      <c r="K222" s="646"/>
      <c r="M222" s="319" t="s">
        <v>1571</v>
      </c>
      <c r="N222" s="3"/>
      <c r="O222" s="3"/>
      <c r="P222" s="3"/>
      <c r="Q222" s="3"/>
      <c r="R222" s="3"/>
      <c r="S222" s="3"/>
      <c r="T222" s="3"/>
      <c r="U222" s="3"/>
      <c r="V222" s="3"/>
      <c r="W222" s="3"/>
      <c r="BU222" s="319" t="s">
        <v>5460</v>
      </c>
      <c r="BV222" s="3"/>
      <c r="BW222" s="3"/>
      <c r="BX222" s="3"/>
      <c r="BY222" s="3"/>
      <c r="BZ222" s="3"/>
      <c r="CA222" s="3"/>
      <c r="CB222" s="3"/>
      <c r="CC222" s="3"/>
      <c r="CD222" s="3"/>
      <c r="CE222" s="3"/>
      <c r="CG222" s="319" t="s">
        <v>1200</v>
      </c>
      <c r="CH222" s="3"/>
      <c r="CI222" s="3"/>
      <c r="CJ222" s="3"/>
      <c r="CK222" s="3"/>
      <c r="CL222" s="3"/>
      <c r="CM222" s="3"/>
      <c r="CN222" s="3"/>
      <c r="CO222" s="3"/>
      <c r="CP222" s="3"/>
      <c r="CQ222" s="3"/>
      <c r="DE222" s="319" t="s">
        <v>5314</v>
      </c>
      <c r="DF222" s="3"/>
      <c r="DG222" s="3"/>
      <c r="DH222" s="3"/>
      <c r="DI222" s="3"/>
      <c r="DJ222" s="3"/>
      <c r="DK222" s="3"/>
      <c r="DL222" s="3"/>
      <c r="DM222" s="3"/>
      <c r="DN222" s="3"/>
      <c r="DO222" s="3"/>
      <c r="GW222" s="319" t="s">
        <v>610</v>
      </c>
      <c r="GX222" s="3"/>
      <c r="GY222" s="3"/>
      <c r="GZ222" s="3"/>
      <c r="HA222" s="3"/>
      <c r="HB222" s="3"/>
      <c r="HC222" s="3"/>
      <c r="HD222" s="3"/>
      <c r="HE222" s="3"/>
      <c r="HF222" s="3"/>
      <c r="HG222" s="3"/>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row>
    <row r="223" spans="1:256" s="319" customFormat="1" ht="12.75" customHeight="1">
      <c r="A223" s="319" t="s">
        <v>4270</v>
      </c>
      <c r="B223" s="646"/>
      <c r="C223" s="3"/>
      <c r="D223" s="646"/>
      <c r="E223" s="3"/>
      <c r="F223" s="646"/>
      <c r="G223" s="646"/>
      <c r="H223" s="3"/>
      <c r="I223" s="646"/>
      <c r="J223" s="3"/>
      <c r="K223" s="646"/>
      <c r="M223" s="319" t="s">
        <v>3113</v>
      </c>
      <c r="N223" s="3"/>
      <c r="O223" s="3"/>
      <c r="P223" s="3"/>
      <c r="Q223" s="3"/>
      <c r="R223" s="3"/>
      <c r="S223" s="3"/>
      <c r="T223" s="3"/>
      <c r="U223" s="3"/>
      <c r="V223" s="3"/>
      <c r="W223" s="3"/>
      <c r="BU223" s="319" t="s">
        <v>5461</v>
      </c>
      <c r="BV223" s="3"/>
      <c r="BW223" s="3"/>
      <c r="BX223" s="3"/>
      <c r="BY223" s="3"/>
      <c r="BZ223" s="3"/>
      <c r="CA223" s="3"/>
      <c r="CB223" s="3"/>
      <c r="CC223" s="3"/>
      <c r="CD223" s="3"/>
      <c r="CE223" s="3"/>
      <c r="CG223" s="319" t="s">
        <v>1201</v>
      </c>
      <c r="CH223" s="3"/>
      <c r="CI223" s="3"/>
      <c r="CJ223" s="3"/>
      <c r="CK223" s="3"/>
      <c r="CL223" s="3"/>
      <c r="CM223" s="3"/>
      <c r="CN223" s="3"/>
      <c r="CO223" s="3"/>
      <c r="CP223" s="3"/>
      <c r="CQ223" s="3"/>
      <c r="DE223" s="319" t="s">
        <v>670</v>
      </c>
      <c r="DF223" s="3"/>
      <c r="DG223" s="3"/>
      <c r="DH223" s="3"/>
      <c r="DI223" s="3"/>
      <c r="DJ223" s="3"/>
      <c r="DK223" s="3"/>
      <c r="DL223" s="3"/>
      <c r="DM223" s="3"/>
      <c r="DN223" s="3"/>
      <c r="DO223" s="3"/>
      <c r="GW223" s="319" t="s">
        <v>3532</v>
      </c>
      <c r="GX223" s="3"/>
      <c r="GY223" s="3"/>
      <c r="GZ223" s="3"/>
      <c r="HA223" s="3"/>
      <c r="HB223" s="3"/>
      <c r="HC223" s="3"/>
      <c r="HD223" s="3"/>
      <c r="HE223" s="3"/>
      <c r="HF223" s="3"/>
      <c r="HG223" s="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row>
    <row r="224" spans="1:256" s="319" customFormat="1" ht="12.75" customHeight="1">
      <c r="A224" s="319" t="s">
        <v>96</v>
      </c>
      <c r="B224" s="646"/>
      <c r="C224" s="3"/>
      <c r="D224" s="646"/>
      <c r="E224" s="3"/>
      <c r="F224" s="646"/>
      <c r="G224" s="646"/>
      <c r="H224" s="3"/>
      <c r="I224" s="646"/>
      <c r="J224" s="3"/>
      <c r="K224" s="646"/>
      <c r="M224" s="319" t="s">
        <v>4794</v>
      </c>
      <c r="N224" s="3" t="b">
        <v>0</v>
      </c>
      <c r="O224" s="3" t="b">
        <v>0</v>
      </c>
      <c r="P224" s="3" t="b">
        <v>0</v>
      </c>
      <c r="Q224" s="3" t="b">
        <v>0</v>
      </c>
      <c r="R224" s="3" t="b">
        <v>0</v>
      </c>
      <c r="S224" s="3" t="b">
        <v>0</v>
      </c>
      <c r="T224" s="3" t="b">
        <v>0</v>
      </c>
      <c r="U224" s="3" t="b">
        <v>0</v>
      </c>
      <c r="V224" s="3" t="b">
        <v>0</v>
      </c>
      <c r="W224" s="3" t="b">
        <v>0</v>
      </c>
      <c r="BU224" s="319" t="s">
        <v>3915</v>
      </c>
      <c r="BV224" s="3">
        <v>0</v>
      </c>
      <c r="BW224" s="3">
        <v>0</v>
      </c>
      <c r="BX224" s="3">
        <v>0</v>
      </c>
      <c r="BY224" s="3">
        <v>0</v>
      </c>
      <c r="BZ224" s="3">
        <v>0</v>
      </c>
      <c r="CA224" s="3">
        <v>0</v>
      </c>
      <c r="CB224" s="3">
        <v>0</v>
      </c>
      <c r="CC224" s="3">
        <v>0</v>
      </c>
      <c r="CD224" s="3">
        <v>0</v>
      </c>
      <c r="CE224" s="3">
        <v>0</v>
      </c>
      <c r="CG224" s="319" t="s">
        <v>1202</v>
      </c>
      <c r="CH224" s="3"/>
      <c r="CI224" s="3"/>
      <c r="CJ224" s="3"/>
      <c r="CK224" s="3"/>
      <c r="CL224" s="3"/>
      <c r="CM224" s="3"/>
      <c r="CN224" s="3"/>
      <c r="CO224" s="3"/>
      <c r="CP224" s="3"/>
      <c r="CQ224" s="3"/>
      <c r="DE224" s="319" t="s">
        <v>671</v>
      </c>
      <c r="DF224" s="3"/>
      <c r="DG224" s="3"/>
      <c r="DH224" s="3"/>
      <c r="DI224" s="3"/>
      <c r="DJ224" s="3"/>
      <c r="DK224" s="3"/>
      <c r="DL224" s="3"/>
      <c r="DM224" s="3"/>
      <c r="DN224" s="3"/>
      <c r="DO224" s="3"/>
      <c r="GW224" s="319" t="s">
        <v>5170</v>
      </c>
      <c r="GX224" s="3"/>
      <c r="GY224" s="3"/>
      <c r="GZ224" s="3"/>
      <c r="HA224" s="3"/>
      <c r="HB224" s="3"/>
      <c r="HC224" s="3"/>
      <c r="HD224" s="3"/>
      <c r="HE224" s="3"/>
      <c r="HF224" s="3"/>
      <c r="HG224" s="3"/>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row>
    <row r="225" spans="1:256" s="319" customFormat="1" ht="12.75" customHeight="1">
      <c r="A225" s="319" t="s">
        <v>1760</v>
      </c>
      <c r="B225" s="646"/>
      <c r="C225" s="3"/>
      <c r="D225" s="646"/>
      <c r="E225" s="3"/>
      <c r="F225" s="646"/>
      <c r="G225" s="646"/>
      <c r="H225" s="3"/>
      <c r="I225" s="646"/>
      <c r="J225" s="3"/>
      <c r="K225" s="646"/>
      <c r="M225" s="319" t="s">
        <v>3552</v>
      </c>
      <c r="N225" s="3">
        <v>0</v>
      </c>
      <c r="O225" s="3">
        <v>0</v>
      </c>
      <c r="P225" s="3">
        <v>0</v>
      </c>
      <c r="Q225" s="3">
        <v>0</v>
      </c>
      <c r="R225" s="3">
        <v>0</v>
      </c>
      <c r="S225" s="3">
        <v>0</v>
      </c>
      <c r="T225" s="3">
        <v>0</v>
      </c>
      <c r="U225" s="3">
        <v>0</v>
      </c>
      <c r="V225" s="3">
        <v>0</v>
      </c>
      <c r="W225" s="3">
        <v>0</v>
      </c>
      <c r="BU225" s="319" t="s">
        <v>2966</v>
      </c>
      <c r="BV225" s="3"/>
      <c r="BW225" s="3"/>
      <c r="BX225" s="3"/>
      <c r="BY225" s="3"/>
      <c r="BZ225" s="3"/>
      <c r="CA225" s="3"/>
      <c r="CB225" s="3"/>
      <c r="CC225" s="3"/>
      <c r="CD225" s="3"/>
      <c r="CE225" s="3"/>
      <c r="CG225" s="319" t="s">
        <v>4728</v>
      </c>
      <c r="CH225" s="3"/>
      <c r="CI225" s="3"/>
      <c r="CJ225" s="3"/>
      <c r="CK225" s="3"/>
      <c r="CL225" s="3"/>
      <c r="CM225" s="3"/>
      <c r="CN225" s="3"/>
      <c r="CO225" s="3"/>
      <c r="CP225" s="3"/>
      <c r="CQ225" s="3"/>
      <c r="DE225" s="319" t="s">
        <v>1658</v>
      </c>
      <c r="DF225" s="3"/>
      <c r="DG225" s="3"/>
      <c r="DH225" s="3"/>
      <c r="DI225" s="3"/>
      <c r="DJ225" s="3"/>
      <c r="DK225" s="3"/>
      <c r="DL225" s="3"/>
      <c r="DM225" s="3"/>
      <c r="DN225" s="3"/>
      <c r="DO225" s="3"/>
      <c r="GW225" s="319" t="s">
        <v>4343</v>
      </c>
      <c r="GX225" s="3"/>
      <c r="GY225" s="3"/>
      <c r="GZ225" s="3"/>
      <c r="HA225" s="3"/>
      <c r="HB225" s="3"/>
      <c r="HC225" s="3"/>
      <c r="HD225" s="3"/>
      <c r="HE225" s="3"/>
      <c r="HF225" s="3"/>
      <c r="HG225" s="3"/>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row>
    <row r="226" spans="1:256" s="319" customFormat="1" ht="12.75" customHeight="1">
      <c r="A226" s="319" t="s">
        <v>97</v>
      </c>
      <c r="B226" s="646"/>
      <c r="C226" s="3"/>
      <c r="D226" s="646"/>
      <c r="E226" s="3"/>
      <c r="F226" s="646"/>
      <c r="G226" s="646"/>
      <c r="H226" s="3"/>
      <c r="I226" s="646"/>
      <c r="J226" s="3"/>
      <c r="K226" s="646"/>
      <c r="M226" s="319" t="s">
        <v>3553</v>
      </c>
      <c r="N226" s="3">
        <v>0</v>
      </c>
      <c r="O226" s="3">
        <v>0</v>
      </c>
      <c r="P226" s="3">
        <v>0</v>
      </c>
      <c r="Q226" s="3">
        <v>0</v>
      </c>
      <c r="R226" s="3">
        <v>0</v>
      </c>
      <c r="S226" s="3">
        <v>0</v>
      </c>
      <c r="T226" s="3">
        <v>0</v>
      </c>
      <c r="U226" s="3">
        <v>0</v>
      </c>
      <c r="V226" s="3">
        <v>0</v>
      </c>
      <c r="W226" s="3">
        <v>0</v>
      </c>
      <c r="BU226" s="319" t="s">
        <v>5326</v>
      </c>
      <c r="BV226" s="3">
        <v>0</v>
      </c>
      <c r="BW226" s="3">
        <v>0</v>
      </c>
      <c r="BX226" s="3">
        <v>0</v>
      </c>
      <c r="BY226" s="3">
        <v>0</v>
      </c>
      <c r="BZ226" s="3">
        <v>0</v>
      </c>
      <c r="CA226" s="3">
        <v>0</v>
      </c>
      <c r="CB226" s="3">
        <v>0</v>
      </c>
      <c r="CC226" s="3">
        <v>0</v>
      </c>
      <c r="CD226" s="3">
        <v>0</v>
      </c>
      <c r="CE226" s="3">
        <v>0</v>
      </c>
      <c r="CG226" s="319" t="s">
        <v>4729</v>
      </c>
      <c r="CH226" s="3"/>
      <c r="CI226" s="3"/>
      <c r="CJ226" s="3"/>
      <c r="CK226" s="3"/>
      <c r="CL226" s="3"/>
      <c r="CM226" s="3"/>
      <c r="CN226" s="3"/>
      <c r="CO226" s="3"/>
      <c r="CP226" s="3"/>
      <c r="CQ226" s="3"/>
      <c r="DE226" s="319" t="s">
        <v>3200</v>
      </c>
      <c r="DF226" s="3"/>
      <c r="DG226" s="3"/>
      <c r="DH226" s="3"/>
      <c r="DI226" s="3"/>
      <c r="DJ226" s="3"/>
      <c r="DK226" s="3"/>
      <c r="DL226" s="3"/>
      <c r="DM226" s="3"/>
      <c r="DN226" s="3"/>
      <c r="DO226" s="3"/>
      <c r="GW226" s="319" t="s">
        <v>856</v>
      </c>
      <c r="GX226" s="3"/>
      <c r="GY226" s="3"/>
      <c r="GZ226" s="3"/>
      <c r="HA226" s="3"/>
      <c r="HB226" s="3"/>
      <c r="HC226" s="3"/>
      <c r="HD226" s="3"/>
      <c r="HE226" s="3"/>
      <c r="HF226" s="3"/>
      <c r="HG226" s="3"/>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row>
    <row r="227" spans="1:256" s="319" customFormat="1" ht="12.75" customHeight="1">
      <c r="A227" s="319" t="s">
        <v>2558</v>
      </c>
      <c r="B227" s="646"/>
      <c r="C227" s="3"/>
      <c r="D227" s="646"/>
      <c r="E227" s="3"/>
      <c r="F227" s="646"/>
      <c r="G227" s="646"/>
      <c r="H227" s="3"/>
      <c r="I227" s="646"/>
      <c r="J227" s="3"/>
      <c r="K227" s="646"/>
      <c r="M227" s="319" t="s">
        <v>666</v>
      </c>
      <c r="N227" s="3"/>
      <c r="O227" s="3"/>
      <c r="P227" s="3"/>
      <c r="Q227" s="3"/>
      <c r="R227" s="3"/>
      <c r="S227" s="3"/>
      <c r="T227" s="3"/>
      <c r="U227" s="3"/>
      <c r="V227" s="3"/>
      <c r="W227" s="3"/>
      <c r="BU227" s="319" t="s">
        <v>1323</v>
      </c>
      <c r="BV227" s="3">
        <v>0</v>
      </c>
      <c r="BW227" s="3">
        <v>0</v>
      </c>
      <c r="BX227" s="3">
        <v>0</v>
      </c>
      <c r="BY227" s="3">
        <v>0</v>
      </c>
      <c r="BZ227" s="3">
        <v>0</v>
      </c>
      <c r="CA227" s="3">
        <v>0</v>
      </c>
      <c r="CB227" s="3">
        <v>0</v>
      </c>
      <c r="CC227" s="3">
        <v>0</v>
      </c>
      <c r="CD227" s="3">
        <v>0</v>
      </c>
      <c r="CE227" s="3">
        <v>0</v>
      </c>
      <c r="CG227" s="319" t="s">
        <v>6016</v>
      </c>
      <c r="CH227" s="3"/>
      <c r="CI227" s="3"/>
      <c r="CJ227" s="3"/>
      <c r="CK227" s="3"/>
      <c r="CL227" s="3"/>
      <c r="CM227" s="3"/>
      <c r="CN227" s="3"/>
      <c r="CO227" s="3"/>
      <c r="CP227" s="3"/>
      <c r="CQ227" s="3"/>
      <c r="DE227" s="319" t="s">
        <v>1177</v>
      </c>
      <c r="DF227" s="3"/>
      <c r="DG227" s="3"/>
      <c r="DH227" s="3"/>
      <c r="DI227" s="3"/>
      <c r="DJ227" s="3"/>
      <c r="DK227" s="3"/>
      <c r="DL227" s="3"/>
      <c r="DM227" s="3"/>
      <c r="DN227" s="3"/>
      <c r="DO227" s="3"/>
      <c r="GW227" s="319" t="s">
        <v>857</v>
      </c>
      <c r="GX227" s="3"/>
      <c r="GY227" s="3"/>
      <c r="GZ227" s="3"/>
      <c r="HA227" s="3"/>
      <c r="HB227" s="3"/>
      <c r="HC227" s="3"/>
      <c r="HD227" s="3"/>
      <c r="HE227" s="3"/>
      <c r="HF227" s="3"/>
      <c r="HG227" s="3"/>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row>
    <row r="228" spans="1:256" s="319" customFormat="1" ht="12.75" customHeight="1">
      <c r="A228" s="319" t="s">
        <v>2559</v>
      </c>
      <c r="B228" s="646"/>
      <c r="C228" s="3"/>
      <c r="D228" s="646"/>
      <c r="E228" s="3"/>
      <c r="F228" s="646"/>
      <c r="G228" s="646"/>
      <c r="H228" s="3"/>
      <c r="I228" s="646"/>
      <c r="J228" s="3"/>
      <c r="K228" s="646"/>
      <c r="M228" s="319" t="s">
        <v>667</v>
      </c>
      <c r="N228" s="3"/>
      <c r="O228" s="3"/>
      <c r="P228" s="3"/>
      <c r="Q228" s="3"/>
      <c r="R228" s="3"/>
      <c r="S228" s="3"/>
      <c r="T228" s="3"/>
      <c r="U228" s="3"/>
      <c r="V228" s="3"/>
      <c r="W228" s="3"/>
      <c r="BU228" s="319" t="s">
        <v>2187</v>
      </c>
      <c r="BV228" s="3"/>
      <c r="BW228" s="3"/>
      <c r="BX228" s="3"/>
      <c r="BY228" s="3"/>
      <c r="BZ228" s="3"/>
      <c r="CA228" s="3"/>
      <c r="CB228" s="3"/>
      <c r="CC228" s="3"/>
      <c r="CD228" s="3"/>
      <c r="CE228" s="3"/>
      <c r="CG228" s="319" t="s">
        <v>6017</v>
      </c>
      <c r="CH228" s="3"/>
      <c r="CI228" s="3"/>
      <c r="CJ228" s="3"/>
      <c r="CK228" s="3"/>
      <c r="CL228" s="3"/>
      <c r="CM228" s="3"/>
      <c r="CN228" s="3"/>
      <c r="CO228" s="3"/>
      <c r="CP228" s="3"/>
      <c r="CQ228" s="3"/>
      <c r="DE228" s="319" t="s">
        <v>1178</v>
      </c>
      <c r="DF228" s="3"/>
      <c r="DG228" s="3"/>
      <c r="DH228" s="3"/>
      <c r="DI228" s="3"/>
      <c r="DJ228" s="3"/>
      <c r="DK228" s="3"/>
      <c r="DL228" s="3"/>
      <c r="DM228" s="3"/>
      <c r="DN228" s="3"/>
      <c r="DO228" s="3"/>
      <c r="GW228" s="319" t="s">
        <v>2394</v>
      </c>
      <c r="GX228" s="3"/>
      <c r="GY228" s="3"/>
      <c r="GZ228" s="3"/>
      <c r="HA228" s="3"/>
      <c r="HB228" s="3"/>
      <c r="HC228" s="3"/>
      <c r="HD228" s="3"/>
      <c r="HE228" s="3"/>
      <c r="HF228" s="3"/>
      <c r="HG228" s="3"/>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row>
    <row r="229" spans="1:256" s="319" customFormat="1" ht="12.75" customHeight="1">
      <c r="A229" s="319" t="s">
        <v>2489</v>
      </c>
      <c r="B229" s="646"/>
      <c r="C229" s="3"/>
      <c r="D229" s="646"/>
      <c r="E229" s="3"/>
      <c r="F229" s="646"/>
      <c r="G229" s="646"/>
      <c r="H229" s="3"/>
      <c r="I229" s="646"/>
      <c r="J229" s="3"/>
      <c r="K229" s="646"/>
      <c r="M229" s="319" t="s">
        <v>5751</v>
      </c>
      <c r="N229" s="3"/>
      <c r="O229" s="3"/>
      <c r="P229" s="3"/>
      <c r="Q229" s="3"/>
      <c r="R229" s="3"/>
      <c r="S229" s="3"/>
      <c r="T229" s="3"/>
      <c r="U229" s="3"/>
      <c r="V229" s="3"/>
      <c r="W229" s="3"/>
      <c r="BU229" s="319" t="s">
        <v>2188</v>
      </c>
      <c r="BV229" s="3"/>
      <c r="BW229" s="3"/>
      <c r="BX229" s="3"/>
      <c r="BY229" s="3"/>
      <c r="BZ229" s="3"/>
      <c r="CA229" s="3"/>
      <c r="CB229" s="3"/>
      <c r="CC229" s="3"/>
      <c r="CD229" s="3"/>
      <c r="CE229" s="3"/>
      <c r="CG229" s="319" t="s">
        <v>6018</v>
      </c>
      <c r="CH229" s="3"/>
      <c r="CI229" s="3"/>
      <c r="CJ229" s="3"/>
      <c r="CK229" s="3"/>
      <c r="CL229" s="3"/>
      <c r="CM229" s="3"/>
      <c r="CN229" s="3"/>
      <c r="CO229" s="3"/>
      <c r="CP229" s="3"/>
      <c r="CQ229" s="3"/>
      <c r="DE229" s="319" t="s">
        <v>1179</v>
      </c>
      <c r="DF229" s="3"/>
      <c r="DG229" s="3"/>
      <c r="DH229" s="3"/>
      <c r="DI229" s="3"/>
      <c r="DJ229" s="3"/>
      <c r="DK229" s="3"/>
      <c r="DL229" s="3"/>
      <c r="DM229" s="3"/>
      <c r="DN229" s="3"/>
      <c r="DO229" s="3"/>
      <c r="GW229" s="319" t="s">
        <v>2395</v>
      </c>
      <c r="GX229" s="3"/>
      <c r="GY229" s="3"/>
      <c r="GZ229" s="3"/>
      <c r="HA229" s="3"/>
      <c r="HB229" s="3"/>
      <c r="HC229" s="3"/>
      <c r="HD229" s="3"/>
      <c r="HE229" s="3"/>
      <c r="HF229" s="3"/>
      <c r="HG229" s="3"/>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row>
    <row r="230" spans="1:256" s="319" customFormat="1" ht="12.75" customHeight="1">
      <c r="A230" s="319" t="s">
        <v>3505</v>
      </c>
      <c r="B230" s="646"/>
      <c r="C230" s="3"/>
      <c r="D230" s="646"/>
      <c r="E230" s="3"/>
      <c r="F230" s="646"/>
      <c r="G230" s="646"/>
      <c r="H230" s="3"/>
      <c r="I230" s="646"/>
      <c r="J230" s="3"/>
      <c r="K230" s="646"/>
      <c r="M230" s="319" t="s">
        <v>4632</v>
      </c>
      <c r="N230" s="3"/>
      <c r="O230" s="3"/>
      <c r="P230" s="3"/>
      <c r="Q230" s="3"/>
      <c r="R230" s="3"/>
      <c r="S230" s="3"/>
      <c r="T230" s="3"/>
      <c r="U230" s="3"/>
      <c r="V230" s="3"/>
      <c r="W230" s="3"/>
      <c r="BU230" s="319" t="s">
        <v>1754</v>
      </c>
      <c r="BV230" s="3"/>
      <c r="BW230" s="3"/>
      <c r="BX230" s="3"/>
      <c r="BY230" s="3"/>
      <c r="BZ230" s="3"/>
      <c r="CA230" s="3"/>
      <c r="CB230" s="3"/>
      <c r="CC230" s="3"/>
      <c r="CD230" s="3"/>
      <c r="CE230" s="3"/>
      <c r="CG230" s="319" t="s">
        <v>414</v>
      </c>
      <c r="CH230" s="3"/>
      <c r="CI230" s="3"/>
      <c r="CJ230" s="3"/>
      <c r="CK230" s="3"/>
      <c r="CL230" s="3"/>
      <c r="CM230" s="3"/>
      <c r="CN230" s="3"/>
      <c r="CO230" s="3"/>
      <c r="CP230" s="3"/>
      <c r="CQ230" s="3"/>
      <c r="DE230" s="319" t="s">
        <v>2505</v>
      </c>
      <c r="DF230" s="3"/>
      <c r="DG230" s="3"/>
      <c r="DH230" s="3"/>
      <c r="DI230" s="3"/>
      <c r="DJ230" s="3"/>
      <c r="DK230" s="3"/>
      <c r="DL230" s="3"/>
      <c r="DM230" s="3"/>
      <c r="DN230" s="3"/>
      <c r="DO230" s="3"/>
      <c r="GW230" s="319" t="s">
        <v>2396</v>
      </c>
      <c r="GX230" s="3"/>
      <c r="GY230" s="3"/>
      <c r="GZ230" s="3"/>
      <c r="HA230" s="3"/>
      <c r="HB230" s="3"/>
      <c r="HC230" s="3"/>
      <c r="HD230" s="3"/>
      <c r="HE230" s="3"/>
      <c r="HF230" s="3"/>
      <c r="HG230" s="3"/>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row>
    <row r="231" spans="1:256" s="319" customFormat="1" ht="12.75" customHeight="1">
      <c r="A231" s="319" t="s">
        <v>3506</v>
      </c>
      <c r="B231" s="646"/>
      <c r="C231" s="3"/>
      <c r="D231" s="646"/>
      <c r="E231" s="3"/>
      <c r="F231" s="646"/>
      <c r="G231" s="646"/>
      <c r="H231" s="3"/>
      <c r="I231" s="646"/>
      <c r="J231" s="3"/>
      <c r="K231" s="646"/>
      <c r="M231" s="319" t="s">
        <v>4633</v>
      </c>
      <c r="N231" s="3"/>
      <c r="O231" s="3"/>
      <c r="P231" s="3"/>
      <c r="Q231" s="3"/>
      <c r="R231" s="3"/>
      <c r="S231" s="3"/>
      <c r="T231" s="3"/>
      <c r="U231" s="3"/>
      <c r="V231" s="3"/>
      <c r="W231" s="3"/>
      <c r="BU231" s="319" t="s">
        <v>3837</v>
      </c>
      <c r="BV231" s="3">
        <v>1</v>
      </c>
      <c r="BW231" s="3">
        <v>1</v>
      </c>
      <c r="BX231" s="3">
        <v>1</v>
      </c>
      <c r="BY231" s="3">
        <v>1</v>
      </c>
      <c r="BZ231" s="3">
        <v>1</v>
      </c>
      <c r="CA231" s="3">
        <v>1</v>
      </c>
      <c r="CB231" s="3">
        <v>1</v>
      </c>
      <c r="CC231" s="3">
        <v>1</v>
      </c>
      <c r="CD231" s="3">
        <v>1</v>
      </c>
      <c r="CE231" s="3">
        <v>1</v>
      </c>
      <c r="CG231" s="319" t="s">
        <v>2371</v>
      </c>
      <c r="CH231" s="3"/>
      <c r="CI231" s="3"/>
      <c r="CJ231" s="3"/>
      <c r="CK231" s="3"/>
      <c r="CL231" s="3"/>
      <c r="CM231" s="3"/>
      <c r="CN231" s="3"/>
      <c r="CO231" s="3"/>
      <c r="CP231" s="3"/>
      <c r="CQ231" s="3"/>
      <c r="DE231" s="319" t="s">
        <v>131</v>
      </c>
      <c r="DF231" s="3"/>
      <c r="DG231" s="3"/>
      <c r="DH231" s="3"/>
      <c r="DI231" s="3"/>
      <c r="DJ231" s="3"/>
      <c r="DK231" s="3"/>
      <c r="DL231" s="3"/>
      <c r="DM231" s="3"/>
      <c r="DN231" s="3"/>
      <c r="DO231" s="3"/>
      <c r="GW231" s="319" t="s">
        <v>2397</v>
      </c>
      <c r="GX231" s="3"/>
      <c r="GY231" s="3"/>
      <c r="GZ231" s="3"/>
      <c r="HA231" s="3"/>
      <c r="HB231" s="3"/>
      <c r="HC231" s="3"/>
      <c r="HD231" s="3"/>
      <c r="HE231" s="3"/>
      <c r="HF231" s="3"/>
      <c r="HG231" s="3"/>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row>
    <row r="232" spans="1:256" s="319" customFormat="1" ht="12.75" customHeight="1">
      <c r="A232" s="319" t="s">
        <v>3507</v>
      </c>
      <c r="B232" s="646"/>
      <c r="C232" s="3"/>
      <c r="D232" s="646"/>
      <c r="E232" s="3"/>
      <c r="F232" s="646"/>
      <c r="G232" s="646"/>
      <c r="H232" s="3"/>
      <c r="I232" s="646"/>
      <c r="J232" s="3"/>
      <c r="K232" s="646"/>
      <c r="M232" s="319" t="s">
        <v>4931</v>
      </c>
      <c r="N232" s="3"/>
      <c r="O232" s="3"/>
      <c r="P232" s="3"/>
      <c r="Q232" s="3"/>
      <c r="R232" s="3"/>
      <c r="S232" s="3"/>
      <c r="T232" s="3"/>
      <c r="U232" s="3"/>
      <c r="V232" s="3"/>
      <c r="W232" s="3"/>
      <c r="BU232" s="319" t="s">
        <v>3838</v>
      </c>
      <c r="BV232" s="3"/>
      <c r="BW232" s="3"/>
      <c r="BX232" s="3"/>
      <c r="BY232" s="3"/>
      <c r="BZ232" s="3"/>
      <c r="CA232" s="3"/>
      <c r="CB232" s="3"/>
      <c r="CC232" s="3"/>
      <c r="CD232" s="3"/>
      <c r="CE232" s="3"/>
      <c r="CG232" s="319" t="s">
        <v>2372</v>
      </c>
      <c r="CH232" s="3"/>
      <c r="CI232" s="3"/>
      <c r="CJ232" s="3"/>
      <c r="CK232" s="3"/>
      <c r="CL232" s="3"/>
      <c r="CM232" s="3"/>
      <c r="CN232" s="3"/>
      <c r="CO232" s="3"/>
      <c r="CP232" s="3"/>
      <c r="CQ232" s="3"/>
      <c r="DE232" s="319" t="s">
        <v>132</v>
      </c>
      <c r="DF232" s="3"/>
      <c r="DG232" s="3"/>
      <c r="DH232" s="3"/>
      <c r="DI232" s="3"/>
      <c r="DJ232" s="3"/>
      <c r="DK232" s="3"/>
      <c r="DL232" s="3"/>
      <c r="DM232" s="3"/>
      <c r="DN232" s="3"/>
      <c r="DO232" s="3"/>
      <c r="GW232" s="319" t="s">
        <v>733</v>
      </c>
      <c r="GX232" s="3"/>
      <c r="GY232" s="3"/>
      <c r="GZ232" s="3"/>
      <c r="HA232" s="3"/>
      <c r="HB232" s="3"/>
      <c r="HC232" s="3"/>
      <c r="HD232" s="3"/>
      <c r="HE232" s="3"/>
      <c r="HF232" s="3"/>
      <c r="HG232" s="3"/>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row>
    <row r="233" spans="1:256" s="319" customFormat="1" ht="12.75" customHeight="1">
      <c r="A233" s="319" t="s">
        <v>1205</v>
      </c>
      <c r="B233" s="646"/>
      <c r="C233" s="3"/>
      <c r="D233" s="646"/>
      <c r="E233" s="3"/>
      <c r="F233" s="646"/>
      <c r="G233" s="646"/>
      <c r="H233" s="3"/>
      <c r="I233" s="646"/>
      <c r="J233" s="3"/>
      <c r="K233" s="646"/>
      <c r="M233" s="319" t="s">
        <v>4932</v>
      </c>
      <c r="N233" s="3"/>
      <c r="O233" s="3"/>
      <c r="P233" s="3"/>
      <c r="Q233" s="3"/>
      <c r="R233" s="3"/>
      <c r="S233" s="3"/>
      <c r="T233" s="3"/>
      <c r="U233" s="3"/>
      <c r="V233" s="3"/>
      <c r="W233" s="3"/>
      <c r="BU233" s="319" t="s">
        <v>111</v>
      </c>
      <c r="BV233" s="3">
        <v>1</v>
      </c>
      <c r="BW233" s="3">
        <v>1</v>
      </c>
      <c r="BX233" s="3">
        <v>1</v>
      </c>
      <c r="BY233" s="3">
        <v>1</v>
      </c>
      <c r="BZ233" s="3">
        <v>1</v>
      </c>
      <c r="CA233" s="3">
        <v>1</v>
      </c>
      <c r="CB233" s="3">
        <v>1</v>
      </c>
      <c r="CC233" s="3">
        <v>1</v>
      </c>
      <c r="CD233" s="3">
        <v>1</v>
      </c>
      <c r="CE233" s="3">
        <v>1</v>
      </c>
      <c r="CG233" s="319" t="s">
        <v>5676</v>
      </c>
      <c r="CH233" s="3"/>
      <c r="CI233" s="3"/>
      <c r="CJ233" s="3"/>
      <c r="CK233" s="3"/>
      <c r="CL233" s="3"/>
      <c r="CM233" s="3"/>
      <c r="CN233" s="3"/>
      <c r="CO233" s="3"/>
      <c r="CP233" s="3"/>
      <c r="CQ233" s="3"/>
      <c r="DE233" s="319" t="s">
        <v>1845</v>
      </c>
      <c r="DF233" s="3"/>
      <c r="DG233" s="3"/>
      <c r="DH233" s="3"/>
      <c r="DI233" s="3"/>
      <c r="DJ233" s="3"/>
      <c r="DK233" s="3"/>
      <c r="DL233" s="3"/>
      <c r="DM233" s="3"/>
      <c r="DN233" s="3"/>
      <c r="DO233" s="3"/>
      <c r="GW233" s="319" t="s">
        <v>734</v>
      </c>
      <c r="GX233" s="3"/>
      <c r="GY233" s="3"/>
      <c r="GZ233" s="3"/>
      <c r="HA233" s="3"/>
      <c r="HB233" s="3"/>
      <c r="HC233" s="3"/>
      <c r="HD233" s="3"/>
      <c r="HE233" s="3"/>
      <c r="HF233" s="3"/>
      <c r="HG233" s="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row>
    <row r="234" spans="1:256" s="319" customFormat="1" ht="12.75" customHeight="1">
      <c r="A234" s="319" t="s">
        <v>5673</v>
      </c>
      <c r="B234" s="646"/>
      <c r="C234" s="3"/>
      <c r="D234" s="646"/>
      <c r="E234" s="3"/>
      <c r="F234" s="646"/>
      <c r="G234" s="646"/>
      <c r="H234" s="3"/>
      <c r="I234" s="646"/>
      <c r="J234" s="3"/>
      <c r="K234" s="646"/>
      <c r="M234" s="319" t="s">
        <v>3513</v>
      </c>
      <c r="N234" s="3"/>
      <c r="O234" s="3"/>
      <c r="P234" s="3"/>
      <c r="Q234" s="3"/>
      <c r="R234" s="3"/>
      <c r="S234" s="3"/>
      <c r="T234" s="3"/>
      <c r="U234" s="3"/>
      <c r="V234" s="3"/>
      <c r="W234" s="3"/>
      <c r="BU234" s="319" t="s">
        <v>112</v>
      </c>
      <c r="BV234" s="3"/>
      <c r="BW234" s="3"/>
      <c r="BX234" s="3"/>
      <c r="BY234" s="3"/>
      <c r="BZ234" s="3"/>
      <c r="CA234" s="3"/>
      <c r="CB234" s="3"/>
      <c r="CC234" s="3"/>
      <c r="CD234" s="3"/>
      <c r="CE234" s="3"/>
      <c r="CG234" s="319" t="s">
        <v>3052</v>
      </c>
      <c r="CH234" s="3"/>
      <c r="CI234" s="3"/>
      <c r="CJ234" s="3"/>
      <c r="CK234" s="3"/>
      <c r="CL234" s="3"/>
      <c r="CM234" s="3"/>
      <c r="CN234" s="3"/>
      <c r="CO234" s="3"/>
      <c r="CP234" s="3"/>
      <c r="CQ234" s="3"/>
      <c r="DE234" s="319" t="s">
        <v>1846</v>
      </c>
      <c r="DF234" s="3"/>
      <c r="DG234" s="3"/>
      <c r="DH234" s="3"/>
      <c r="DI234" s="3"/>
      <c r="DJ234" s="3"/>
      <c r="DK234" s="3"/>
      <c r="DL234" s="3"/>
      <c r="DM234" s="3"/>
      <c r="DN234" s="3"/>
      <c r="DO234" s="3"/>
      <c r="GW234" s="319" t="s">
        <v>2135</v>
      </c>
      <c r="GX234" s="3"/>
      <c r="GY234" s="3"/>
      <c r="GZ234" s="3"/>
      <c r="HA234" s="3"/>
      <c r="HB234" s="3"/>
      <c r="HC234" s="3"/>
      <c r="HD234" s="3"/>
      <c r="HE234" s="3"/>
      <c r="HF234" s="3"/>
      <c r="HG234" s="3"/>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row>
    <row r="235" spans="1:256" s="319" customFormat="1" ht="12.75" customHeight="1">
      <c r="A235" s="319" t="s">
        <v>5674</v>
      </c>
      <c r="B235" s="646"/>
      <c r="C235" s="3"/>
      <c r="D235" s="646"/>
      <c r="E235" s="3"/>
      <c r="F235" s="646"/>
      <c r="G235" s="646"/>
      <c r="H235" s="3"/>
      <c r="I235" s="646"/>
      <c r="J235" s="3"/>
      <c r="K235" s="646"/>
      <c r="M235" s="319" t="s">
        <v>3514</v>
      </c>
      <c r="N235" s="3"/>
      <c r="O235" s="3"/>
      <c r="P235" s="3"/>
      <c r="Q235" s="3"/>
      <c r="R235" s="3"/>
      <c r="S235" s="3"/>
      <c r="T235" s="3"/>
      <c r="U235" s="3"/>
      <c r="V235" s="3"/>
      <c r="W235" s="3"/>
      <c r="BU235" s="319" t="s">
        <v>3382</v>
      </c>
      <c r="BV235" s="3" t="b">
        <v>1</v>
      </c>
      <c r="BW235" s="3" t="b">
        <v>1</v>
      </c>
      <c r="BX235" s="3" t="b">
        <v>1</v>
      </c>
      <c r="BY235" s="3" t="b">
        <v>1</v>
      </c>
      <c r="BZ235" s="3" t="b">
        <v>1</v>
      </c>
      <c r="CA235" s="3" t="b">
        <v>1</v>
      </c>
      <c r="CB235" s="3" t="b">
        <v>1</v>
      </c>
      <c r="CC235" s="3" t="b">
        <v>1</v>
      </c>
      <c r="CD235" s="3" t="b">
        <v>1</v>
      </c>
      <c r="CE235" s="3" t="b">
        <v>1</v>
      </c>
      <c r="CG235" s="319" t="s">
        <v>3053</v>
      </c>
      <c r="CH235" s="3"/>
      <c r="CI235" s="3"/>
      <c r="CJ235" s="3"/>
      <c r="CK235" s="3"/>
      <c r="CL235" s="3"/>
      <c r="CM235" s="3"/>
      <c r="CN235" s="3"/>
      <c r="CO235" s="3"/>
      <c r="CP235" s="3"/>
      <c r="CQ235" s="3"/>
      <c r="DE235" s="319" t="s">
        <v>4734</v>
      </c>
      <c r="DF235" s="3"/>
      <c r="DG235" s="3"/>
      <c r="DH235" s="3"/>
      <c r="DI235" s="3"/>
      <c r="DJ235" s="3"/>
      <c r="DK235" s="3"/>
      <c r="DL235" s="3"/>
      <c r="DM235" s="3"/>
      <c r="DN235" s="3"/>
      <c r="DO235" s="3"/>
      <c r="GW235" s="319" t="s">
        <v>2136</v>
      </c>
      <c r="GX235" s="3"/>
      <c r="GY235" s="3"/>
      <c r="GZ235" s="3"/>
      <c r="HA235" s="3"/>
      <c r="HB235" s="3"/>
      <c r="HC235" s="3"/>
      <c r="HD235" s="3"/>
      <c r="HE235" s="3"/>
      <c r="HF235" s="3"/>
      <c r="HG235" s="3"/>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row>
    <row r="236" spans="1:256" s="319" customFormat="1" ht="12.75" customHeight="1">
      <c r="A236" s="319" t="s">
        <v>5944</v>
      </c>
      <c r="B236" s="646"/>
      <c r="C236" s="3"/>
      <c r="D236" s="646"/>
      <c r="E236" s="3"/>
      <c r="F236" s="646"/>
      <c r="G236" s="646"/>
      <c r="H236" s="3"/>
      <c r="I236" s="646"/>
      <c r="J236" s="3"/>
      <c r="K236" s="646"/>
      <c r="M236" s="319" t="s">
        <v>4793</v>
      </c>
      <c r="N236" s="3" t="b">
        <v>0</v>
      </c>
      <c r="O236" s="3" t="b">
        <v>0</v>
      </c>
      <c r="P236" s="3" t="b">
        <v>0</v>
      </c>
      <c r="Q236" s="3" t="b">
        <v>0</v>
      </c>
      <c r="R236" s="3" t="b">
        <v>0</v>
      </c>
      <c r="S236" s="3" t="b">
        <v>0</v>
      </c>
      <c r="T236" s="3" t="b">
        <v>0</v>
      </c>
      <c r="U236" s="3" t="b">
        <v>0</v>
      </c>
      <c r="V236" s="3" t="b">
        <v>0</v>
      </c>
      <c r="W236" s="3" t="b">
        <v>0</v>
      </c>
      <c r="BU236" s="319" t="s">
        <v>3383</v>
      </c>
      <c r="BV236" s="3" t="b">
        <v>0</v>
      </c>
      <c r="BW236" s="3" t="b">
        <v>0</v>
      </c>
      <c r="BX236" s="3" t="b">
        <v>0</v>
      </c>
      <c r="BY236" s="3" t="b">
        <v>0</v>
      </c>
      <c r="BZ236" s="3" t="b">
        <v>0</v>
      </c>
      <c r="CA236" s="3" t="b">
        <v>0</v>
      </c>
      <c r="CB236" s="3" t="b">
        <v>0</v>
      </c>
      <c r="CC236" s="3" t="b">
        <v>0</v>
      </c>
      <c r="CD236" s="3" t="b">
        <v>0</v>
      </c>
      <c r="CE236" s="3" t="b">
        <v>0</v>
      </c>
      <c r="CG236" s="319" t="s">
        <v>1205</v>
      </c>
      <c r="CH236" s="3"/>
      <c r="CI236" s="3"/>
      <c r="CJ236" s="3"/>
      <c r="CK236" s="3"/>
      <c r="CL236" s="3"/>
      <c r="CM236" s="3"/>
      <c r="CN236" s="3"/>
      <c r="CO236" s="3"/>
      <c r="CP236" s="3"/>
      <c r="CQ236" s="3"/>
      <c r="DE236" s="319" t="s">
        <v>4735</v>
      </c>
      <c r="DF236" s="3"/>
      <c r="DG236" s="3"/>
      <c r="DH236" s="3"/>
      <c r="DI236" s="3"/>
      <c r="DJ236" s="3"/>
      <c r="DK236" s="3"/>
      <c r="DL236" s="3"/>
      <c r="DM236" s="3"/>
      <c r="DN236" s="3"/>
      <c r="DO236" s="3"/>
      <c r="GW236" s="319" t="s">
        <v>2137</v>
      </c>
      <c r="GX236" s="3"/>
      <c r="GY236" s="3"/>
      <c r="GZ236" s="3"/>
      <c r="HA236" s="3"/>
      <c r="HB236" s="3"/>
      <c r="HC236" s="3"/>
      <c r="HD236" s="3"/>
      <c r="HE236" s="3"/>
      <c r="HF236" s="3"/>
      <c r="HG236" s="3"/>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row>
    <row r="237" spans="1:256" s="319" customFormat="1" ht="12.75" customHeight="1">
      <c r="A237" s="319" t="s">
        <v>5324</v>
      </c>
      <c r="B237" s="646"/>
      <c r="C237" s="3"/>
      <c r="D237" s="646"/>
      <c r="E237" s="3"/>
      <c r="F237" s="646"/>
      <c r="G237" s="646"/>
      <c r="H237" s="3"/>
      <c r="I237" s="646"/>
      <c r="J237" s="3"/>
      <c r="K237" s="646"/>
      <c r="M237" s="319" t="s">
        <v>553</v>
      </c>
      <c r="N237" s="3">
        <v>0</v>
      </c>
      <c r="O237" s="3">
        <v>0</v>
      </c>
      <c r="P237" s="3">
        <v>0</v>
      </c>
      <c r="Q237" s="3">
        <v>0</v>
      </c>
      <c r="R237" s="3">
        <v>0</v>
      </c>
      <c r="S237" s="3">
        <v>0</v>
      </c>
      <c r="T237" s="3">
        <v>0</v>
      </c>
      <c r="U237" s="3">
        <v>0</v>
      </c>
      <c r="V237" s="3">
        <v>0</v>
      </c>
      <c r="W237" s="3">
        <v>0</v>
      </c>
      <c r="BU237" s="319" t="s">
        <v>3384</v>
      </c>
      <c r="BV237" s="3" t="b">
        <v>0</v>
      </c>
      <c r="BW237" s="3" t="b">
        <v>0</v>
      </c>
      <c r="BX237" s="3" t="b">
        <v>0</v>
      </c>
      <c r="BY237" s="3" t="b">
        <v>0</v>
      </c>
      <c r="BZ237" s="3" t="b">
        <v>0</v>
      </c>
      <c r="CA237" s="3" t="b">
        <v>0</v>
      </c>
      <c r="CB237" s="3" t="b">
        <v>0</v>
      </c>
      <c r="CC237" s="3" t="b">
        <v>0</v>
      </c>
      <c r="CD237" s="3" t="b">
        <v>0</v>
      </c>
      <c r="CE237" s="3" t="b">
        <v>0</v>
      </c>
      <c r="CG237" s="319" t="s">
        <v>5673</v>
      </c>
      <c r="CH237" s="3"/>
      <c r="CI237" s="3"/>
      <c r="CJ237" s="3"/>
      <c r="CK237" s="3"/>
      <c r="CL237" s="3"/>
      <c r="CM237" s="3"/>
      <c r="CN237" s="3"/>
      <c r="CO237" s="3"/>
      <c r="CP237" s="3"/>
      <c r="CQ237" s="3"/>
      <c r="DE237" s="319" t="s">
        <v>4736</v>
      </c>
      <c r="DF237" s="3"/>
      <c r="DG237" s="3"/>
      <c r="DH237" s="3"/>
      <c r="DI237" s="3"/>
      <c r="DJ237" s="3"/>
      <c r="DK237" s="3"/>
      <c r="DL237" s="3"/>
      <c r="DM237" s="3"/>
      <c r="DN237" s="3"/>
      <c r="DO237" s="3"/>
      <c r="GW237" s="319" t="s">
        <v>2480</v>
      </c>
      <c r="GX237" s="3"/>
      <c r="GY237" s="3"/>
      <c r="GZ237" s="3"/>
      <c r="HA237" s="3"/>
      <c r="HB237" s="3"/>
      <c r="HC237" s="3"/>
      <c r="HD237" s="3"/>
      <c r="HE237" s="3"/>
      <c r="HF237" s="3"/>
      <c r="HG237" s="3"/>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row>
    <row r="238" spans="1:256" s="319" customFormat="1" ht="12.75" customHeight="1">
      <c r="A238" s="319" t="s">
        <v>5325</v>
      </c>
      <c r="B238" s="646"/>
      <c r="C238" s="3"/>
      <c r="D238" s="646"/>
      <c r="E238" s="3"/>
      <c r="F238" s="646"/>
      <c r="G238" s="646"/>
      <c r="H238" s="3"/>
      <c r="I238" s="646"/>
      <c r="J238" s="3"/>
      <c r="K238" s="646"/>
      <c r="M238" s="319" t="s">
        <v>3702</v>
      </c>
      <c r="N238" s="3">
        <v>0</v>
      </c>
      <c r="O238" s="3">
        <v>0</v>
      </c>
      <c r="P238" s="3">
        <v>0</v>
      </c>
      <c r="Q238" s="3">
        <v>0</v>
      </c>
      <c r="R238" s="3">
        <v>0</v>
      </c>
      <c r="S238" s="3">
        <v>0</v>
      </c>
      <c r="T238" s="3">
        <v>0</v>
      </c>
      <c r="U238" s="3">
        <v>0</v>
      </c>
      <c r="V238" s="3">
        <v>0</v>
      </c>
      <c r="W238" s="3">
        <v>0</v>
      </c>
      <c r="BU238" s="319" t="s">
        <v>4131</v>
      </c>
      <c r="BV238" s="3" t="b">
        <v>0</v>
      </c>
      <c r="BW238" s="3" t="b">
        <v>0</v>
      </c>
      <c r="BX238" s="3" t="b">
        <v>0</v>
      </c>
      <c r="BY238" s="3" t="b">
        <v>0</v>
      </c>
      <c r="BZ238" s="3" t="b">
        <v>0</v>
      </c>
      <c r="CA238" s="3" t="b">
        <v>0</v>
      </c>
      <c r="CB238" s="3" t="b">
        <v>0</v>
      </c>
      <c r="CC238" s="3" t="b">
        <v>0</v>
      </c>
      <c r="CD238" s="3" t="b">
        <v>0</v>
      </c>
      <c r="CE238" s="3" t="b">
        <v>0</v>
      </c>
      <c r="CG238" s="319" t="s">
        <v>5674</v>
      </c>
      <c r="CH238" s="3"/>
      <c r="CI238" s="3"/>
      <c r="CJ238" s="3"/>
      <c r="CK238" s="3"/>
      <c r="CL238" s="3"/>
      <c r="CM238" s="3"/>
      <c r="CN238" s="3"/>
      <c r="CO238" s="3"/>
      <c r="CP238" s="3"/>
      <c r="CQ238" s="3"/>
      <c r="DE238" s="319" t="s">
        <v>3203</v>
      </c>
      <c r="DF238" s="3"/>
      <c r="DG238" s="3"/>
      <c r="DH238" s="3"/>
      <c r="DI238" s="3"/>
      <c r="DJ238" s="3"/>
      <c r="DK238" s="3"/>
      <c r="DL238" s="3"/>
      <c r="DM238" s="3"/>
      <c r="DN238" s="3"/>
      <c r="DO238" s="3"/>
      <c r="GW238" s="319" t="s">
        <v>2481</v>
      </c>
      <c r="GX238" s="3"/>
      <c r="GY238" s="3"/>
      <c r="GZ238" s="3"/>
      <c r="HA238" s="3"/>
      <c r="HB238" s="3"/>
      <c r="HC238" s="3"/>
      <c r="HD238" s="3"/>
      <c r="HE238" s="3"/>
      <c r="HF238" s="3"/>
      <c r="HG238" s="3"/>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row>
    <row r="239" spans="1:256" s="319" customFormat="1" ht="12.75" customHeight="1">
      <c r="A239" s="319" t="s">
        <v>505</v>
      </c>
      <c r="B239" s="646"/>
      <c r="C239" s="3"/>
      <c r="D239" s="646"/>
      <c r="E239" s="3"/>
      <c r="F239" s="646"/>
      <c r="G239" s="646"/>
      <c r="H239" s="3"/>
      <c r="I239" s="646"/>
      <c r="J239" s="3"/>
      <c r="K239" s="646"/>
      <c r="M239" s="319" t="s">
        <v>4238</v>
      </c>
      <c r="N239" s="3"/>
      <c r="O239" s="3"/>
      <c r="P239" s="3"/>
      <c r="Q239" s="3"/>
      <c r="R239" s="3"/>
      <c r="S239" s="3"/>
      <c r="T239" s="3"/>
      <c r="U239" s="3"/>
      <c r="V239" s="3"/>
      <c r="W239" s="3"/>
      <c r="BU239" s="319" t="s">
        <v>2277</v>
      </c>
      <c r="BV239" s="3" t="b">
        <v>0</v>
      </c>
      <c r="BW239" s="3" t="b">
        <v>0</v>
      </c>
      <c r="BX239" s="3" t="b">
        <v>0</v>
      </c>
      <c r="BY239" s="3" t="b">
        <v>0</v>
      </c>
      <c r="BZ239" s="3" t="b">
        <v>0</v>
      </c>
      <c r="CA239" s="3" t="b">
        <v>0</v>
      </c>
      <c r="CB239" s="3" t="b">
        <v>0</v>
      </c>
      <c r="CC239" s="3" t="b">
        <v>0</v>
      </c>
      <c r="CD239" s="3" t="b">
        <v>0</v>
      </c>
      <c r="CE239" s="3" t="b">
        <v>0</v>
      </c>
      <c r="CG239" s="319" t="s">
        <v>5944</v>
      </c>
      <c r="CH239" s="3"/>
      <c r="CI239" s="3"/>
      <c r="CJ239" s="3"/>
      <c r="CK239" s="3"/>
      <c r="CL239" s="3"/>
      <c r="CM239" s="3"/>
      <c r="CN239" s="3"/>
      <c r="CO239" s="3"/>
      <c r="CP239" s="3"/>
      <c r="CQ239" s="3"/>
      <c r="DE239" s="319" t="s">
        <v>3204</v>
      </c>
      <c r="DF239" s="3"/>
      <c r="DG239" s="3"/>
      <c r="DH239" s="3"/>
      <c r="DI239" s="3"/>
      <c r="DJ239" s="3"/>
      <c r="DK239" s="3"/>
      <c r="DL239" s="3"/>
      <c r="DM239" s="3"/>
      <c r="DN239" s="3"/>
      <c r="DO239" s="3"/>
      <c r="GW239" s="319" t="s">
        <v>2306</v>
      </c>
      <c r="GX239" s="3"/>
      <c r="GY239" s="3"/>
      <c r="GZ239" s="3"/>
      <c r="HA239" s="3"/>
      <c r="HB239" s="3"/>
      <c r="HC239" s="3"/>
      <c r="HD239" s="3"/>
      <c r="HE239" s="3"/>
      <c r="HF239" s="3"/>
      <c r="HG239" s="3"/>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row>
    <row r="240" spans="1:256" s="319" customFormat="1" ht="12.75" customHeight="1">
      <c r="A240" s="319" t="s">
        <v>506</v>
      </c>
      <c r="B240" s="646"/>
      <c r="C240" s="3"/>
      <c r="D240" s="646"/>
      <c r="E240" s="3"/>
      <c r="F240" s="646"/>
      <c r="G240" s="646"/>
      <c r="H240" s="3"/>
      <c r="I240" s="646"/>
      <c r="J240" s="3"/>
      <c r="K240" s="646"/>
      <c r="M240" s="319" t="s">
        <v>760</v>
      </c>
      <c r="N240" s="3"/>
      <c r="O240" s="3"/>
      <c r="P240" s="3"/>
      <c r="Q240" s="3"/>
      <c r="R240" s="3"/>
      <c r="S240" s="3"/>
      <c r="T240" s="3"/>
      <c r="U240" s="3"/>
      <c r="V240" s="3"/>
      <c r="W240" s="3"/>
      <c r="BU240" s="319" t="s">
        <v>1810</v>
      </c>
      <c r="BV240" s="3">
        <v>0</v>
      </c>
      <c r="BW240" s="3">
        <v>0</v>
      </c>
      <c r="BX240" s="3">
        <v>0</v>
      </c>
      <c r="BY240" s="3">
        <v>0</v>
      </c>
      <c r="BZ240" s="3">
        <v>0</v>
      </c>
      <c r="CA240" s="3">
        <v>0</v>
      </c>
      <c r="CB240" s="3">
        <v>0</v>
      </c>
      <c r="CC240" s="3">
        <v>0</v>
      </c>
      <c r="CD240" s="3">
        <v>0</v>
      </c>
      <c r="CE240" s="3">
        <v>0</v>
      </c>
      <c r="CG240" s="319" t="s">
        <v>5324</v>
      </c>
      <c r="CH240" s="3"/>
      <c r="CI240" s="3"/>
      <c r="CJ240" s="3"/>
      <c r="CK240" s="3"/>
      <c r="CL240" s="3"/>
      <c r="CM240" s="3"/>
      <c r="CN240" s="3"/>
      <c r="CO240" s="3"/>
      <c r="CP240" s="3"/>
      <c r="CQ240" s="3"/>
      <c r="DE240" s="319" t="s">
        <v>4163</v>
      </c>
      <c r="DF240" s="3"/>
      <c r="DG240" s="3"/>
      <c r="DH240" s="3"/>
      <c r="DI240" s="3"/>
      <c r="DJ240" s="3"/>
      <c r="DK240" s="3"/>
      <c r="DL240" s="3"/>
      <c r="DM240" s="3"/>
      <c r="DN240" s="3"/>
      <c r="DO240" s="3"/>
      <c r="GW240" s="319" t="s">
        <v>3787</v>
      </c>
      <c r="GX240" s="3"/>
      <c r="GY240" s="3"/>
      <c r="GZ240" s="3"/>
      <c r="HA240" s="3"/>
      <c r="HB240" s="3"/>
      <c r="HC240" s="3"/>
      <c r="HD240" s="3"/>
      <c r="HE240" s="3"/>
      <c r="HF240" s="3"/>
      <c r="HG240" s="3"/>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row>
    <row r="241" spans="1:256" s="319" customFormat="1" ht="12.75" customHeight="1">
      <c r="A241" s="319" t="s">
        <v>3282</v>
      </c>
      <c r="B241" s="646"/>
      <c r="C241" s="3"/>
      <c r="D241" s="646"/>
      <c r="E241" s="3"/>
      <c r="F241" s="646"/>
      <c r="G241" s="646"/>
      <c r="H241" s="3"/>
      <c r="I241" s="646"/>
      <c r="J241" s="3"/>
      <c r="K241" s="646"/>
      <c r="M241" s="319" t="s">
        <v>2717</v>
      </c>
      <c r="N241" s="3"/>
      <c r="O241" s="3"/>
      <c r="P241" s="3"/>
      <c r="Q241" s="3"/>
      <c r="R241" s="3"/>
      <c r="S241" s="3"/>
      <c r="T241" s="3"/>
      <c r="U241" s="3"/>
      <c r="V241" s="3"/>
      <c r="W241" s="3"/>
      <c r="BU241" s="319" t="s">
        <v>1132</v>
      </c>
      <c r="BV241" s="3">
        <v>0</v>
      </c>
      <c r="BW241" s="3">
        <v>0</v>
      </c>
      <c r="BX241" s="3">
        <v>0</v>
      </c>
      <c r="BY241" s="3">
        <v>0</v>
      </c>
      <c r="BZ241" s="3">
        <v>0</v>
      </c>
      <c r="CA241" s="3">
        <v>0</v>
      </c>
      <c r="CB241" s="3">
        <v>0</v>
      </c>
      <c r="CC241" s="3">
        <v>0</v>
      </c>
      <c r="CD241" s="3">
        <v>0</v>
      </c>
      <c r="CE241" s="3">
        <v>0</v>
      </c>
      <c r="CG241" s="319" t="s">
        <v>5325</v>
      </c>
      <c r="CH241" s="3"/>
      <c r="CI241" s="3"/>
      <c r="CJ241" s="3"/>
      <c r="CK241" s="3"/>
      <c r="CL241" s="3"/>
      <c r="CM241" s="3"/>
      <c r="CN241" s="3"/>
      <c r="CO241" s="3"/>
      <c r="CP241" s="3"/>
      <c r="CQ241" s="3"/>
      <c r="DE241" s="319" t="s">
        <v>4164</v>
      </c>
      <c r="DF241" s="3"/>
      <c r="DG241" s="3"/>
      <c r="DH241" s="3"/>
      <c r="DI241" s="3"/>
      <c r="DJ241" s="3"/>
      <c r="DK241" s="3"/>
      <c r="DL241" s="3"/>
      <c r="DM241" s="3"/>
      <c r="DN241" s="3"/>
      <c r="DO241" s="3"/>
      <c r="GW241" s="319" t="s">
        <v>3900</v>
      </c>
      <c r="GX241" s="3"/>
      <c r="GY241" s="3"/>
      <c r="GZ241" s="3"/>
      <c r="HA241" s="3"/>
      <c r="HB241" s="3"/>
      <c r="HC241" s="3"/>
      <c r="HD241" s="3"/>
      <c r="HE241" s="3"/>
      <c r="HF241" s="3"/>
      <c r="HG241" s="3"/>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row>
    <row r="242" spans="1:256" s="319" customFormat="1" ht="12.75" customHeight="1">
      <c r="A242" s="319" t="s">
        <v>3283</v>
      </c>
      <c r="B242" s="646"/>
      <c r="C242" s="3"/>
      <c r="D242" s="646"/>
      <c r="E242" s="3"/>
      <c r="F242" s="646"/>
      <c r="G242" s="646"/>
      <c r="H242" s="3"/>
      <c r="I242" s="646"/>
      <c r="J242" s="3"/>
      <c r="K242" s="646"/>
      <c r="M242" s="319" t="s">
        <v>2718</v>
      </c>
      <c r="N242" s="3"/>
      <c r="O242" s="3"/>
      <c r="P242" s="3"/>
      <c r="Q242" s="3"/>
      <c r="R242" s="3"/>
      <c r="S242" s="3"/>
      <c r="T242" s="3"/>
      <c r="U242" s="3"/>
      <c r="V242" s="3"/>
      <c r="W242" s="3"/>
      <c r="BU242" s="319" t="s">
        <v>218</v>
      </c>
      <c r="BV242" s="3">
        <v>0</v>
      </c>
      <c r="BW242" s="3">
        <v>0</v>
      </c>
      <c r="BX242" s="3">
        <v>0</v>
      </c>
      <c r="BY242" s="3">
        <v>0</v>
      </c>
      <c r="BZ242" s="3">
        <v>0</v>
      </c>
      <c r="CA242" s="3">
        <v>0</v>
      </c>
      <c r="CB242" s="3">
        <v>0</v>
      </c>
      <c r="CC242" s="3">
        <v>0</v>
      </c>
      <c r="CD242" s="3">
        <v>0</v>
      </c>
      <c r="CE242" s="3">
        <v>0</v>
      </c>
      <c r="CG242" s="319" t="s">
        <v>505</v>
      </c>
      <c r="CH242" s="3"/>
      <c r="CI242" s="3"/>
      <c r="CJ242" s="3"/>
      <c r="CK242" s="3"/>
      <c r="CL242" s="3"/>
      <c r="CM242" s="3"/>
      <c r="CN242" s="3"/>
      <c r="CO242" s="3"/>
      <c r="CP242" s="3"/>
      <c r="CQ242" s="3"/>
      <c r="DE242" s="319" t="s">
        <v>4165</v>
      </c>
      <c r="DF242" s="3"/>
      <c r="DG242" s="3"/>
      <c r="DH242" s="3"/>
      <c r="DI242" s="3"/>
      <c r="DJ242" s="3"/>
      <c r="DK242" s="3"/>
      <c r="DL242" s="3"/>
      <c r="DM242" s="3"/>
      <c r="DN242" s="3"/>
      <c r="DO242" s="3"/>
      <c r="GW242" s="319" t="s">
        <v>547</v>
      </c>
      <c r="GX242" s="3"/>
      <c r="GY242" s="3"/>
      <c r="GZ242" s="3"/>
      <c r="HA242" s="3"/>
      <c r="HB242" s="3"/>
      <c r="HC242" s="3"/>
      <c r="HD242" s="3"/>
      <c r="HE242" s="3"/>
      <c r="HF242" s="3"/>
      <c r="HG242" s="3"/>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row>
    <row r="243" spans="1:256" s="319" customFormat="1" ht="12.75" customHeight="1">
      <c r="A243" s="319" t="s">
        <v>5403</v>
      </c>
      <c r="B243" s="646"/>
      <c r="C243" s="3"/>
      <c r="D243" s="646"/>
      <c r="E243" s="3"/>
      <c r="F243" s="646"/>
      <c r="G243" s="646"/>
      <c r="H243" s="3"/>
      <c r="I243" s="646"/>
      <c r="J243" s="3"/>
      <c r="K243" s="646"/>
      <c r="M243" s="319" t="s">
        <v>2719</v>
      </c>
      <c r="N243" s="3"/>
      <c r="O243" s="3"/>
      <c r="P243" s="3"/>
      <c r="Q243" s="3"/>
      <c r="R243" s="3"/>
      <c r="S243" s="3"/>
      <c r="T243" s="3"/>
      <c r="U243" s="3"/>
      <c r="V243" s="3"/>
      <c r="W243" s="3"/>
      <c r="BU243" s="319" t="s">
        <v>1007</v>
      </c>
      <c r="BV243" s="3">
        <v>0</v>
      </c>
      <c r="BW243" s="3">
        <v>0</v>
      </c>
      <c r="BX243" s="3">
        <v>0</v>
      </c>
      <c r="BY243" s="3">
        <v>0</v>
      </c>
      <c r="BZ243" s="3">
        <v>0</v>
      </c>
      <c r="CA243" s="3">
        <v>0</v>
      </c>
      <c r="CB243" s="3">
        <v>0</v>
      </c>
      <c r="CC243" s="3">
        <v>0</v>
      </c>
      <c r="CD243" s="3">
        <v>0</v>
      </c>
      <c r="CE243" s="3">
        <v>0</v>
      </c>
      <c r="CG243" s="319" t="s">
        <v>506</v>
      </c>
      <c r="CH243" s="3"/>
      <c r="CI243" s="3"/>
      <c r="CJ243" s="3"/>
      <c r="CK243" s="3"/>
      <c r="CL243" s="3"/>
      <c r="CM243" s="3"/>
      <c r="CN243" s="3"/>
      <c r="CO243" s="3"/>
      <c r="CP243" s="3"/>
      <c r="CQ243" s="3"/>
      <c r="DE243" s="319" t="s">
        <v>173</v>
      </c>
      <c r="DF243" s="3"/>
      <c r="DG243" s="3"/>
      <c r="DH243" s="3"/>
      <c r="DI243" s="3"/>
      <c r="DJ243" s="3"/>
      <c r="DK243" s="3"/>
      <c r="DL243" s="3"/>
      <c r="DM243" s="3"/>
      <c r="DN243" s="3"/>
      <c r="DO243" s="3"/>
      <c r="GW243" s="319" t="s">
        <v>548</v>
      </c>
      <c r="GX243" s="3"/>
      <c r="GY243" s="3"/>
      <c r="GZ243" s="3"/>
      <c r="HA243" s="3"/>
      <c r="HB243" s="3"/>
      <c r="HC243" s="3"/>
      <c r="HD243" s="3"/>
      <c r="HE243" s="3"/>
      <c r="HF243" s="3"/>
      <c r="HG243" s="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row>
    <row r="244" spans="1:256" s="319" customFormat="1" ht="12.75" customHeight="1">
      <c r="A244" s="319" t="s">
        <v>5613</v>
      </c>
      <c r="B244" s="3" t="b">
        <v>1</v>
      </c>
      <c r="C244" s="3" t="b">
        <v>0</v>
      </c>
      <c r="D244" s="3" t="b">
        <v>0</v>
      </c>
      <c r="E244" s="3" t="b">
        <v>0</v>
      </c>
      <c r="F244" s="3" t="b">
        <v>0</v>
      </c>
      <c r="G244" s="3" t="b">
        <v>1</v>
      </c>
      <c r="H244" s="3" t="b">
        <v>0</v>
      </c>
      <c r="I244" s="3" t="b">
        <v>0</v>
      </c>
      <c r="J244" s="3" t="b">
        <v>0</v>
      </c>
      <c r="K244" s="3" t="b">
        <v>0</v>
      </c>
      <c r="M244" s="319" t="s">
        <v>1115</v>
      </c>
      <c r="N244" s="3"/>
      <c r="O244" s="3"/>
      <c r="P244" s="3"/>
      <c r="Q244" s="3"/>
      <c r="R244" s="3"/>
      <c r="S244" s="3"/>
      <c r="T244" s="3"/>
      <c r="U244" s="3"/>
      <c r="V244" s="3"/>
      <c r="W244" s="3"/>
      <c r="BU244" s="319" t="s">
        <v>403</v>
      </c>
      <c r="BV244" s="3">
        <v>0</v>
      </c>
      <c r="BW244" s="3">
        <v>0</v>
      </c>
      <c r="BX244" s="3">
        <v>0</v>
      </c>
      <c r="BY244" s="3">
        <v>0</v>
      </c>
      <c r="BZ244" s="3">
        <v>0</v>
      </c>
      <c r="CA244" s="3">
        <v>0</v>
      </c>
      <c r="CB244" s="3">
        <v>0</v>
      </c>
      <c r="CC244" s="3">
        <v>0</v>
      </c>
      <c r="CD244" s="3">
        <v>0</v>
      </c>
      <c r="CE244" s="3">
        <v>0</v>
      </c>
      <c r="CG244" s="319" t="s">
        <v>3282</v>
      </c>
      <c r="CH244" s="3"/>
      <c r="CI244" s="3"/>
      <c r="CJ244" s="3"/>
      <c r="CK244" s="3"/>
      <c r="CL244" s="3"/>
      <c r="CM244" s="3"/>
      <c r="CN244" s="3"/>
      <c r="CO244" s="3"/>
      <c r="CP244" s="3"/>
      <c r="CQ244" s="3"/>
      <c r="DE244" s="319" t="s">
        <v>5876</v>
      </c>
      <c r="DF244" s="3"/>
      <c r="DG244" s="3"/>
      <c r="DH244" s="3"/>
      <c r="DI244" s="3"/>
      <c r="DJ244" s="3"/>
      <c r="DK244" s="3"/>
      <c r="DL244" s="3"/>
      <c r="DM244" s="3"/>
      <c r="DN244" s="3"/>
      <c r="DO244" s="3"/>
      <c r="GW244" s="319" t="s">
        <v>549</v>
      </c>
      <c r="GX244" s="3">
        <v>0</v>
      </c>
      <c r="GY244" s="3">
        <v>0</v>
      </c>
      <c r="GZ244" s="3">
        <v>0</v>
      </c>
      <c r="HA244" s="3">
        <v>0</v>
      </c>
      <c r="HB244" s="3">
        <v>0</v>
      </c>
      <c r="HC244" s="3">
        <v>0</v>
      </c>
      <c r="HD244" s="3">
        <v>0</v>
      </c>
      <c r="HE244" s="3">
        <v>0</v>
      </c>
      <c r="HF244" s="3">
        <v>0</v>
      </c>
      <c r="HG244" s="3">
        <v>0</v>
      </c>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row>
    <row r="245" spans="1:256" s="319" customFormat="1" ht="12.75" customHeight="1">
      <c r="A245" s="319" t="s">
        <v>4247</v>
      </c>
      <c r="B245" s="3" t="b">
        <v>0</v>
      </c>
      <c r="C245" s="3" t="b">
        <v>1</v>
      </c>
      <c r="D245" s="3" t="b">
        <v>1</v>
      </c>
      <c r="E245" s="3" t="b">
        <v>1</v>
      </c>
      <c r="F245" s="3" t="b">
        <v>1</v>
      </c>
      <c r="G245" s="3" t="b">
        <v>0</v>
      </c>
      <c r="H245" s="3" t="b">
        <v>1</v>
      </c>
      <c r="I245" s="3" t="b">
        <v>1</v>
      </c>
      <c r="J245" s="3" t="b">
        <v>1</v>
      </c>
      <c r="K245" s="3" t="b">
        <v>1</v>
      </c>
      <c r="M245" s="319" t="s">
        <v>421</v>
      </c>
      <c r="N245" s="3"/>
      <c r="O245" s="3"/>
      <c r="P245" s="3"/>
      <c r="Q245" s="3"/>
      <c r="R245" s="3"/>
      <c r="S245" s="3"/>
      <c r="T245" s="3"/>
      <c r="U245" s="3"/>
      <c r="V245" s="3"/>
      <c r="W245" s="3"/>
      <c r="BU245" s="319" t="s">
        <v>1220</v>
      </c>
      <c r="BV245" s="3">
        <v>0</v>
      </c>
      <c r="BW245" s="3">
        <v>0</v>
      </c>
      <c r="BX245" s="3">
        <v>0</v>
      </c>
      <c r="BY245" s="3">
        <v>0</v>
      </c>
      <c r="BZ245" s="3">
        <v>0</v>
      </c>
      <c r="CA245" s="3">
        <v>0</v>
      </c>
      <c r="CB245" s="3">
        <v>0</v>
      </c>
      <c r="CC245" s="3">
        <v>0</v>
      </c>
      <c r="CD245" s="3">
        <v>0</v>
      </c>
      <c r="CE245" s="3">
        <v>0</v>
      </c>
      <c r="CG245" s="319" t="s">
        <v>3283</v>
      </c>
      <c r="CH245" s="3"/>
      <c r="CI245" s="3"/>
      <c r="CJ245" s="3"/>
      <c r="CK245" s="3"/>
      <c r="CL245" s="3"/>
      <c r="CM245" s="3"/>
      <c r="CN245" s="3"/>
      <c r="CO245" s="3"/>
      <c r="CP245" s="3"/>
      <c r="CQ245" s="3"/>
      <c r="DE245" s="319" t="s">
        <v>5877</v>
      </c>
      <c r="DF245" s="3"/>
      <c r="DG245" s="3"/>
      <c r="DH245" s="3"/>
      <c r="DI245" s="3"/>
      <c r="DJ245" s="3"/>
      <c r="DK245" s="3"/>
      <c r="DL245" s="3"/>
      <c r="DM245" s="3"/>
      <c r="DN245" s="3"/>
      <c r="DO245" s="3"/>
      <c r="GW245" s="319" t="s">
        <v>4577</v>
      </c>
      <c r="GX245" s="3">
        <v>0</v>
      </c>
      <c r="GY245" s="3">
        <v>0</v>
      </c>
      <c r="GZ245" s="3">
        <v>0</v>
      </c>
      <c r="HA245" s="3">
        <v>0</v>
      </c>
      <c r="HB245" s="3">
        <v>0</v>
      </c>
      <c r="HC245" s="3">
        <v>0</v>
      </c>
      <c r="HD245" s="3">
        <v>0</v>
      </c>
      <c r="HE245" s="3">
        <v>0</v>
      </c>
      <c r="HF245" s="3">
        <v>0</v>
      </c>
      <c r="HG245" s="3">
        <v>0</v>
      </c>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row>
    <row r="246" spans="1:256" s="319" customFormat="1" ht="12.75" customHeight="1">
      <c r="A246" s="319" t="s">
        <v>3009</v>
      </c>
      <c r="B246" s="3" t="b">
        <v>1</v>
      </c>
      <c r="C246" s="3" t="b">
        <v>0</v>
      </c>
      <c r="D246" s="3" t="b">
        <v>0</v>
      </c>
      <c r="E246" s="3" t="b">
        <v>0</v>
      </c>
      <c r="F246" s="3" t="b">
        <v>0</v>
      </c>
      <c r="G246" s="3" t="b">
        <v>1</v>
      </c>
      <c r="H246" s="3" t="b">
        <v>0</v>
      </c>
      <c r="I246" s="3" t="b">
        <v>0</v>
      </c>
      <c r="J246" s="3" t="b">
        <v>0</v>
      </c>
      <c r="K246" s="3" t="b">
        <v>0</v>
      </c>
      <c r="M246" s="319" t="s">
        <v>422</v>
      </c>
      <c r="N246" s="3"/>
      <c r="O246" s="3"/>
      <c r="P246" s="3"/>
      <c r="Q246" s="3"/>
      <c r="R246" s="3"/>
      <c r="S246" s="3"/>
      <c r="T246" s="3"/>
      <c r="U246" s="3"/>
      <c r="V246" s="3"/>
      <c r="W246" s="3"/>
      <c r="BU246" s="319" t="s">
        <v>2369</v>
      </c>
      <c r="BV246" s="3">
        <v>0</v>
      </c>
      <c r="BW246" s="3">
        <v>0</v>
      </c>
      <c r="BX246" s="3">
        <v>0</v>
      </c>
      <c r="BY246" s="3">
        <v>0</v>
      </c>
      <c r="BZ246" s="3">
        <v>0</v>
      </c>
      <c r="CA246" s="3">
        <v>0</v>
      </c>
      <c r="CB246" s="3">
        <v>0</v>
      </c>
      <c r="CC246" s="3">
        <v>0</v>
      </c>
      <c r="CD246" s="3">
        <v>0</v>
      </c>
      <c r="CE246" s="3">
        <v>0</v>
      </c>
      <c r="CG246" s="319" t="s">
        <v>5403</v>
      </c>
      <c r="CH246" s="3"/>
      <c r="CI246" s="3"/>
      <c r="CJ246" s="3"/>
      <c r="CK246" s="3"/>
      <c r="CL246" s="3"/>
      <c r="CM246" s="3"/>
      <c r="CN246" s="3"/>
      <c r="CO246" s="3"/>
      <c r="CP246" s="3"/>
      <c r="CQ246" s="3"/>
      <c r="DE246" s="319" t="s">
        <v>1712</v>
      </c>
      <c r="DF246" s="3"/>
      <c r="DG246" s="3"/>
      <c r="DH246" s="3"/>
      <c r="DI246" s="3"/>
      <c r="DJ246" s="3"/>
      <c r="DK246" s="3"/>
      <c r="DL246" s="3"/>
      <c r="DM246" s="3"/>
      <c r="DN246" s="3"/>
      <c r="DO246" s="3"/>
      <c r="GW246" s="319" t="s">
        <v>577</v>
      </c>
      <c r="GX246" s="3">
        <v>0</v>
      </c>
      <c r="GY246" s="3">
        <v>0</v>
      </c>
      <c r="GZ246" s="3">
        <v>0</v>
      </c>
      <c r="HA246" s="3">
        <v>0</v>
      </c>
      <c r="HB246" s="3">
        <v>0</v>
      </c>
      <c r="HC246" s="3">
        <v>0</v>
      </c>
      <c r="HD246" s="3">
        <v>0</v>
      </c>
      <c r="HE246" s="3">
        <v>0</v>
      </c>
      <c r="HF246" s="3">
        <v>0</v>
      </c>
      <c r="HG246" s="3">
        <v>0</v>
      </c>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row>
    <row r="247" spans="1:256" s="319" customFormat="1" ht="12.75" customHeight="1">
      <c r="A247" s="319" t="s">
        <v>5947</v>
      </c>
      <c r="B247" s="3" t="b">
        <v>0</v>
      </c>
      <c r="C247" s="3" t="b">
        <v>1</v>
      </c>
      <c r="D247" s="3" t="b">
        <v>1</v>
      </c>
      <c r="E247" s="3" t="b">
        <v>1</v>
      </c>
      <c r="F247" s="3" t="b">
        <v>1</v>
      </c>
      <c r="G247" s="3" t="b">
        <v>0</v>
      </c>
      <c r="H247" s="3" t="b">
        <v>1</v>
      </c>
      <c r="I247" s="3" t="b">
        <v>1</v>
      </c>
      <c r="J247" s="3" t="b">
        <v>1</v>
      </c>
      <c r="K247" s="3" t="b">
        <v>1</v>
      </c>
      <c r="M247" s="319" t="s">
        <v>4428</v>
      </c>
      <c r="N247" s="3"/>
      <c r="O247" s="3"/>
      <c r="P247" s="3"/>
      <c r="Q247" s="3"/>
      <c r="R247" s="3"/>
      <c r="S247" s="3"/>
      <c r="T247" s="3"/>
      <c r="U247" s="3"/>
      <c r="V247" s="3"/>
      <c r="W247" s="3"/>
      <c r="BU247" s="319" t="s">
        <v>402</v>
      </c>
      <c r="BV247" s="3">
        <v>0</v>
      </c>
      <c r="BW247" s="3">
        <v>0</v>
      </c>
      <c r="BX247" s="3">
        <v>0</v>
      </c>
      <c r="BY247" s="3">
        <v>0</v>
      </c>
      <c r="BZ247" s="3">
        <v>0</v>
      </c>
      <c r="CA247" s="3">
        <v>0</v>
      </c>
      <c r="CB247" s="3">
        <v>0</v>
      </c>
      <c r="CC247" s="3">
        <v>0</v>
      </c>
      <c r="CD247" s="3">
        <v>0</v>
      </c>
      <c r="CE247" s="3">
        <v>0</v>
      </c>
      <c r="CG247" s="319" t="s">
        <v>4594</v>
      </c>
      <c r="CH247" s="3"/>
      <c r="CI247" s="3"/>
      <c r="CJ247" s="3"/>
      <c r="CK247" s="3"/>
      <c r="CL247" s="3"/>
      <c r="CM247" s="3"/>
      <c r="CN247" s="3"/>
      <c r="CO247" s="3"/>
      <c r="CP247" s="3"/>
      <c r="CQ247" s="3"/>
      <c r="DE247" s="319" t="s">
        <v>1713</v>
      </c>
      <c r="DF247" s="3" t="b">
        <v>1</v>
      </c>
      <c r="DG247" s="3" t="b">
        <v>0</v>
      </c>
      <c r="DH247" s="3" t="b">
        <v>0</v>
      </c>
      <c r="DI247" s="3" t="b">
        <v>0</v>
      </c>
      <c r="DJ247" s="3" t="b">
        <v>0</v>
      </c>
      <c r="DK247" s="3" t="b">
        <v>1</v>
      </c>
      <c r="DL247" s="3" t="b">
        <v>0</v>
      </c>
      <c r="DM247" s="3" t="b">
        <v>0</v>
      </c>
      <c r="DN247" s="3" t="b">
        <v>0</v>
      </c>
      <c r="DO247" s="3" t="b">
        <v>0</v>
      </c>
      <c r="GW247" s="319" t="s">
        <v>1311</v>
      </c>
      <c r="GX247" s="3">
        <v>0</v>
      </c>
      <c r="GY247" s="3">
        <v>0</v>
      </c>
      <c r="GZ247" s="3">
        <v>0</v>
      </c>
      <c r="HA247" s="3">
        <v>0</v>
      </c>
      <c r="HB247" s="3">
        <v>0</v>
      </c>
      <c r="HC247" s="3">
        <v>0</v>
      </c>
      <c r="HD247" s="3">
        <v>0</v>
      </c>
      <c r="HE247" s="3">
        <v>0</v>
      </c>
      <c r="HF247" s="3">
        <v>0</v>
      </c>
      <c r="HG247" s="3">
        <v>0</v>
      </c>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row>
    <row r="248" spans="1:256" s="319" customFormat="1" ht="12.75" customHeight="1">
      <c r="A248" s="319" t="s">
        <v>5948</v>
      </c>
      <c r="B248" s="646"/>
      <c r="C248" s="3"/>
      <c r="D248" s="646"/>
      <c r="E248" s="3"/>
      <c r="F248" s="646"/>
      <c r="G248" s="646"/>
      <c r="H248" s="3"/>
      <c r="I248" s="646"/>
      <c r="J248" s="3"/>
      <c r="K248" s="646"/>
      <c r="M248" s="319" t="s">
        <v>3711</v>
      </c>
      <c r="N248" s="3"/>
      <c r="O248" s="3"/>
      <c r="P248" s="3"/>
      <c r="Q248" s="3"/>
      <c r="R248" s="3"/>
      <c r="S248" s="3"/>
      <c r="T248" s="3"/>
      <c r="U248" s="3"/>
      <c r="V248" s="3"/>
      <c r="W248" s="3"/>
      <c r="BU248" s="319" t="s">
        <v>5615</v>
      </c>
      <c r="BV248" s="3"/>
      <c r="BW248" s="3"/>
      <c r="BX248" s="3"/>
      <c r="BY248" s="3"/>
      <c r="BZ248" s="3"/>
      <c r="CA248" s="3"/>
      <c r="CB248" s="3"/>
      <c r="CC248" s="3"/>
      <c r="CD248" s="3"/>
      <c r="CE248" s="3"/>
      <c r="CG248" s="319" t="s">
        <v>4595</v>
      </c>
      <c r="CH248" s="3"/>
      <c r="CI248" s="3"/>
      <c r="CJ248" s="3"/>
      <c r="CK248" s="3"/>
      <c r="CL248" s="3"/>
      <c r="CM248" s="3"/>
      <c r="CN248" s="3"/>
      <c r="CO248" s="3"/>
      <c r="CP248" s="3"/>
      <c r="CQ248" s="3"/>
      <c r="DE248" s="319" t="s">
        <v>5634</v>
      </c>
      <c r="DF248" s="3" t="b">
        <v>0</v>
      </c>
      <c r="DG248" s="3" t="b">
        <v>1</v>
      </c>
      <c r="DH248" s="3" t="b">
        <v>1</v>
      </c>
      <c r="DI248" s="3" t="b">
        <v>1</v>
      </c>
      <c r="DJ248" s="3" t="b">
        <v>1</v>
      </c>
      <c r="DK248" s="3" t="b">
        <v>0</v>
      </c>
      <c r="DL248" s="3" t="b">
        <v>1</v>
      </c>
      <c r="DM248" s="3" t="b">
        <v>1</v>
      </c>
      <c r="DN248" s="3" t="b">
        <v>1</v>
      </c>
      <c r="DO248" s="3" t="b">
        <v>1</v>
      </c>
      <c r="GW248" s="319" t="s">
        <v>1312</v>
      </c>
      <c r="GX248" s="3">
        <v>0</v>
      </c>
      <c r="GY248" s="3">
        <v>0</v>
      </c>
      <c r="GZ248" s="3">
        <v>0</v>
      </c>
      <c r="HA248" s="3">
        <v>0</v>
      </c>
      <c r="HB248" s="3">
        <v>0</v>
      </c>
      <c r="HC248" s="3">
        <v>0</v>
      </c>
      <c r="HD248" s="3">
        <v>0</v>
      </c>
      <c r="HE248" s="3">
        <v>0</v>
      </c>
      <c r="HF248" s="3">
        <v>0</v>
      </c>
      <c r="HG248" s="3">
        <v>0</v>
      </c>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row>
    <row r="249" spans="1:256" s="319" customFormat="1" ht="12.75" customHeight="1">
      <c r="A249" s="319" t="s">
        <v>5849</v>
      </c>
      <c r="B249" s="646"/>
      <c r="C249" s="3"/>
      <c r="D249" s="646"/>
      <c r="E249" s="3"/>
      <c r="F249" s="646"/>
      <c r="G249" s="646"/>
      <c r="H249" s="3"/>
      <c r="I249" s="646"/>
      <c r="J249" s="3"/>
      <c r="K249" s="646"/>
      <c r="M249" s="319" t="s">
        <v>1367</v>
      </c>
      <c r="N249" s="3"/>
      <c r="O249" s="3"/>
      <c r="P249" s="3"/>
      <c r="Q249" s="3"/>
      <c r="R249" s="3"/>
      <c r="S249" s="3"/>
      <c r="T249" s="3"/>
      <c r="U249" s="3"/>
      <c r="V249" s="3"/>
      <c r="W249" s="3"/>
      <c r="BU249" s="319" t="s">
        <v>3661</v>
      </c>
      <c r="BV249" s="3"/>
      <c r="BW249" s="3"/>
      <c r="BX249" s="3"/>
      <c r="BY249" s="3"/>
      <c r="BZ249" s="3"/>
      <c r="CA249" s="3"/>
      <c r="CB249" s="3"/>
      <c r="CC249" s="3"/>
      <c r="CD249" s="3"/>
      <c r="CE249" s="3"/>
      <c r="CG249" s="319" t="s">
        <v>5730</v>
      </c>
      <c r="CH249" s="3"/>
      <c r="CI249" s="3"/>
      <c r="CJ249" s="3"/>
      <c r="CK249" s="3"/>
      <c r="CL249" s="3"/>
      <c r="CM249" s="3"/>
      <c r="CN249" s="3"/>
      <c r="CO249" s="3"/>
      <c r="CP249" s="3"/>
      <c r="CQ249" s="3"/>
      <c r="DE249" s="319" t="s">
        <v>5635</v>
      </c>
      <c r="DF249" s="3" t="b">
        <v>1</v>
      </c>
      <c r="DG249" s="3" t="b">
        <v>0</v>
      </c>
      <c r="DH249" s="3" t="b">
        <v>0</v>
      </c>
      <c r="DI249" s="3" t="b">
        <v>0</v>
      </c>
      <c r="DJ249" s="3" t="b">
        <v>0</v>
      </c>
      <c r="DK249" s="3" t="b">
        <v>1</v>
      </c>
      <c r="DL249" s="3" t="b">
        <v>0</v>
      </c>
      <c r="DM249" s="3" t="b">
        <v>0</v>
      </c>
      <c r="DN249" s="3" t="b">
        <v>0</v>
      </c>
      <c r="DO249" s="3" t="b">
        <v>0</v>
      </c>
      <c r="GW249" s="319" t="s">
        <v>1313</v>
      </c>
      <c r="GX249" s="3">
        <v>0</v>
      </c>
      <c r="GY249" s="3">
        <v>0</v>
      </c>
      <c r="GZ249" s="3">
        <v>0</v>
      </c>
      <c r="HA249" s="3">
        <v>0</v>
      </c>
      <c r="HB249" s="3">
        <v>0</v>
      </c>
      <c r="HC249" s="3">
        <v>0</v>
      </c>
      <c r="HD249" s="3">
        <v>0</v>
      </c>
      <c r="HE249" s="3">
        <v>0</v>
      </c>
      <c r="HF249" s="3">
        <v>0</v>
      </c>
      <c r="HG249" s="3">
        <v>0</v>
      </c>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row>
    <row r="250" spans="1:256" s="319" customFormat="1" ht="12.75" customHeight="1">
      <c r="A250" s="319" t="s">
        <v>5850</v>
      </c>
      <c r="B250" s="646"/>
      <c r="C250" s="3"/>
      <c r="D250" s="646"/>
      <c r="E250" s="3"/>
      <c r="F250" s="646"/>
      <c r="G250" s="646"/>
      <c r="H250" s="3"/>
      <c r="I250" s="646"/>
      <c r="J250" s="3"/>
      <c r="K250" s="646"/>
      <c r="M250" s="319" t="s">
        <v>4792</v>
      </c>
      <c r="N250" s="3" t="b">
        <v>0</v>
      </c>
      <c r="O250" s="3" t="b">
        <v>0</v>
      </c>
      <c r="P250" s="3" t="b">
        <v>0</v>
      </c>
      <c r="Q250" s="3" t="b">
        <v>0</v>
      </c>
      <c r="R250" s="3" t="b">
        <v>0</v>
      </c>
      <c r="S250" s="3" t="b">
        <v>0</v>
      </c>
      <c r="T250" s="3" t="b">
        <v>0</v>
      </c>
      <c r="U250" s="3" t="b">
        <v>0</v>
      </c>
      <c r="V250" s="3" t="b">
        <v>0</v>
      </c>
      <c r="W250" s="3" t="b">
        <v>0</v>
      </c>
      <c r="BU250" s="319" t="s">
        <v>1726</v>
      </c>
      <c r="BV250" s="3">
        <v>0</v>
      </c>
      <c r="BW250" s="3">
        <v>0</v>
      </c>
      <c r="BX250" s="3">
        <v>0</v>
      </c>
      <c r="BY250" s="3">
        <v>0</v>
      </c>
      <c r="BZ250" s="3">
        <v>0</v>
      </c>
      <c r="CA250" s="3">
        <v>0</v>
      </c>
      <c r="CB250" s="3">
        <v>0</v>
      </c>
      <c r="CC250" s="3">
        <v>0</v>
      </c>
      <c r="CD250" s="3">
        <v>0</v>
      </c>
      <c r="CE250" s="3">
        <v>0</v>
      </c>
      <c r="CG250" s="319" t="s">
        <v>1698</v>
      </c>
      <c r="CH250" s="3"/>
      <c r="CI250" s="3"/>
      <c r="CJ250" s="3"/>
      <c r="CK250" s="3"/>
      <c r="CL250" s="3"/>
      <c r="CM250" s="3"/>
      <c r="CN250" s="3"/>
      <c r="CO250" s="3"/>
      <c r="CP250" s="3"/>
      <c r="CQ250" s="3"/>
      <c r="DE250" s="319" t="s">
        <v>2892</v>
      </c>
      <c r="DF250" s="3" t="b">
        <v>0</v>
      </c>
      <c r="DG250" s="3" t="b">
        <v>1</v>
      </c>
      <c r="DH250" s="3" t="b">
        <v>1</v>
      </c>
      <c r="DI250" s="3" t="b">
        <v>1</v>
      </c>
      <c r="DJ250" s="3" t="b">
        <v>1</v>
      </c>
      <c r="DK250" s="3" t="b">
        <v>0</v>
      </c>
      <c r="DL250" s="3" t="b">
        <v>1</v>
      </c>
      <c r="DM250" s="3" t="b">
        <v>1</v>
      </c>
      <c r="DN250" s="3" t="b">
        <v>1</v>
      </c>
      <c r="DO250" s="3" t="b">
        <v>1</v>
      </c>
      <c r="GW250" s="319" t="s">
        <v>109</v>
      </c>
      <c r="GX250" s="3">
        <v>0</v>
      </c>
      <c r="GY250" s="3">
        <v>0</v>
      </c>
      <c r="GZ250" s="3">
        <v>0</v>
      </c>
      <c r="HA250" s="3">
        <v>0</v>
      </c>
      <c r="HB250" s="3">
        <v>0</v>
      </c>
      <c r="HC250" s="3">
        <v>0</v>
      </c>
      <c r="HD250" s="3">
        <v>0</v>
      </c>
      <c r="HE250" s="3">
        <v>0</v>
      </c>
      <c r="HF250" s="3">
        <v>0</v>
      </c>
      <c r="HG250" s="3">
        <v>0</v>
      </c>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row>
    <row r="251" spans="1:256" s="319" customFormat="1" ht="12.75" customHeight="1">
      <c r="A251" s="319" t="s">
        <v>5851</v>
      </c>
      <c r="B251" s="646"/>
      <c r="C251" s="3"/>
      <c r="D251" s="646"/>
      <c r="E251" s="3"/>
      <c r="F251" s="646"/>
      <c r="G251" s="646"/>
      <c r="H251" s="3"/>
      <c r="I251" s="646"/>
      <c r="J251" s="3"/>
      <c r="K251" s="646"/>
      <c r="M251" s="319" t="s">
        <v>3759</v>
      </c>
      <c r="N251" s="3">
        <v>0</v>
      </c>
      <c r="O251" s="3">
        <v>0</v>
      </c>
      <c r="P251" s="3">
        <v>0</v>
      </c>
      <c r="Q251" s="3">
        <v>0</v>
      </c>
      <c r="R251" s="3">
        <v>0</v>
      </c>
      <c r="S251" s="3">
        <v>0</v>
      </c>
      <c r="T251" s="3">
        <v>0</v>
      </c>
      <c r="U251" s="3">
        <v>0</v>
      </c>
      <c r="V251" s="3">
        <v>0</v>
      </c>
      <c r="W251" s="3">
        <v>0</v>
      </c>
      <c r="BU251" s="319" t="s">
        <v>1100</v>
      </c>
      <c r="BV251" s="3">
        <v>0</v>
      </c>
      <c r="BW251" s="3">
        <v>0</v>
      </c>
      <c r="BX251" s="3">
        <v>0</v>
      </c>
      <c r="BY251" s="3">
        <v>0</v>
      </c>
      <c r="BZ251" s="3">
        <v>0</v>
      </c>
      <c r="CA251" s="3">
        <v>0</v>
      </c>
      <c r="CB251" s="3">
        <v>0</v>
      </c>
      <c r="CC251" s="3">
        <v>0</v>
      </c>
      <c r="CD251" s="3">
        <v>0</v>
      </c>
      <c r="CE251" s="3">
        <v>0</v>
      </c>
      <c r="CG251" s="319" t="s">
        <v>5715</v>
      </c>
      <c r="CH251" s="3"/>
      <c r="CI251" s="3"/>
      <c r="CJ251" s="3"/>
      <c r="CK251" s="3"/>
      <c r="CL251" s="3"/>
      <c r="CM251" s="3"/>
      <c r="CN251" s="3"/>
      <c r="CO251" s="3"/>
      <c r="CP251" s="3"/>
      <c r="CQ251" s="3"/>
      <c r="DE251" s="319" t="s">
        <v>3944</v>
      </c>
      <c r="DF251" s="3"/>
      <c r="DG251" s="3"/>
      <c r="DH251" s="3"/>
      <c r="DI251" s="3"/>
      <c r="DJ251" s="3"/>
      <c r="DK251" s="3"/>
      <c r="DL251" s="3"/>
      <c r="DM251" s="3"/>
      <c r="DN251" s="3"/>
      <c r="DO251" s="3"/>
      <c r="GW251" s="319" t="s">
        <v>3230</v>
      </c>
      <c r="GX251" s="3">
        <v>0</v>
      </c>
      <c r="GY251" s="3">
        <v>0</v>
      </c>
      <c r="GZ251" s="3">
        <v>0</v>
      </c>
      <c r="HA251" s="3">
        <v>0</v>
      </c>
      <c r="HB251" s="3">
        <v>0</v>
      </c>
      <c r="HC251" s="3">
        <v>0</v>
      </c>
      <c r="HD251" s="3">
        <v>0</v>
      </c>
      <c r="HE251" s="3">
        <v>0</v>
      </c>
      <c r="HF251" s="3">
        <v>0</v>
      </c>
      <c r="HG251" s="3">
        <v>0</v>
      </c>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row>
    <row r="252" spans="1:256" s="319" customFormat="1" ht="12.75" customHeight="1">
      <c r="A252" s="319" t="s">
        <v>5852</v>
      </c>
      <c r="B252" s="646"/>
      <c r="C252" s="3"/>
      <c r="D252" s="646"/>
      <c r="E252" s="3"/>
      <c r="F252" s="646"/>
      <c r="G252" s="646"/>
      <c r="H252" s="3"/>
      <c r="I252" s="646"/>
      <c r="J252" s="3"/>
      <c r="K252" s="646"/>
      <c r="M252" s="319" t="s">
        <v>3760</v>
      </c>
      <c r="N252" s="3">
        <v>0</v>
      </c>
      <c r="O252" s="3">
        <v>0</v>
      </c>
      <c r="P252" s="3">
        <v>0</v>
      </c>
      <c r="Q252" s="3">
        <v>0</v>
      </c>
      <c r="R252" s="3">
        <v>0</v>
      </c>
      <c r="S252" s="3">
        <v>0</v>
      </c>
      <c r="T252" s="3">
        <v>0</v>
      </c>
      <c r="U252" s="3">
        <v>0</v>
      </c>
      <c r="V252" s="3">
        <v>0</v>
      </c>
      <c r="W252" s="3">
        <v>0</v>
      </c>
      <c r="BU252" s="319" t="s">
        <v>1101</v>
      </c>
      <c r="BV252" s="3">
        <v>0</v>
      </c>
      <c r="BW252" s="3">
        <v>0</v>
      </c>
      <c r="BX252" s="3">
        <v>0</v>
      </c>
      <c r="BY252" s="3">
        <v>0</v>
      </c>
      <c r="BZ252" s="3">
        <v>0</v>
      </c>
      <c r="CA252" s="3">
        <v>0</v>
      </c>
      <c r="CB252" s="3">
        <v>0</v>
      </c>
      <c r="CC252" s="3">
        <v>0</v>
      </c>
      <c r="CD252" s="3">
        <v>0</v>
      </c>
      <c r="CE252" s="3">
        <v>0</v>
      </c>
      <c r="CG252" s="319" t="s">
        <v>5716</v>
      </c>
      <c r="CH252" s="3"/>
      <c r="CI252" s="3"/>
      <c r="CJ252" s="3"/>
      <c r="CK252" s="3"/>
      <c r="CL252" s="3"/>
      <c r="CM252" s="3"/>
      <c r="CN252" s="3"/>
      <c r="CO252" s="3"/>
      <c r="CP252" s="3"/>
      <c r="CQ252" s="3"/>
      <c r="DE252" s="319" t="s">
        <v>2287</v>
      </c>
      <c r="DF252" s="3" t="b">
        <v>1</v>
      </c>
      <c r="DG252" s="3" t="b">
        <v>0</v>
      </c>
      <c r="DH252" s="3" t="b">
        <v>0</v>
      </c>
      <c r="DI252" s="3" t="b">
        <v>0</v>
      </c>
      <c r="DJ252" s="3" t="b">
        <v>0</v>
      </c>
      <c r="DK252" s="3" t="b">
        <v>1</v>
      </c>
      <c r="DL252" s="3" t="b">
        <v>0</v>
      </c>
      <c r="DM252" s="3" t="b">
        <v>0</v>
      </c>
      <c r="DN252" s="3" t="b">
        <v>0</v>
      </c>
      <c r="DO252" s="3" t="b">
        <v>0</v>
      </c>
      <c r="GW252" s="319" t="s">
        <v>459</v>
      </c>
      <c r="GX252" s="3">
        <v>0</v>
      </c>
      <c r="GY252" s="3">
        <v>0</v>
      </c>
      <c r="GZ252" s="3">
        <v>0</v>
      </c>
      <c r="HA252" s="3">
        <v>0</v>
      </c>
      <c r="HB252" s="3">
        <v>0</v>
      </c>
      <c r="HC252" s="3">
        <v>0</v>
      </c>
      <c r="HD252" s="3">
        <v>0</v>
      </c>
      <c r="HE252" s="3">
        <v>0</v>
      </c>
      <c r="HF252" s="3">
        <v>0</v>
      </c>
      <c r="HG252" s="3">
        <v>0</v>
      </c>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row>
    <row r="253" spans="1:256" s="319" customFormat="1" ht="12.75" customHeight="1">
      <c r="A253" s="319" t="s">
        <v>5853</v>
      </c>
      <c r="B253" s="646"/>
      <c r="C253" s="3"/>
      <c r="D253" s="646"/>
      <c r="E253" s="3"/>
      <c r="F253" s="646"/>
      <c r="G253" s="646"/>
      <c r="H253" s="3"/>
      <c r="I253" s="646"/>
      <c r="J253" s="3"/>
      <c r="K253" s="646"/>
      <c r="M253" s="319" t="s">
        <v>3761</v>
      </c>
      <c r="N253" s="3"/>
      <c r="O253" s="3"/>
      <c r="P253" s="3"/>
      <c r="Q253" s="3"/>
      <c r="R253" s="3"/>
      <c r="S253" s="3"/>
      <c r="T253" s="3"/>
      <c r="U253" s="3"/>
      <c r="V253" s="3"/>
      <c r="W253" s="3"/>
      <c r="BU253" s="319" t="s">
        <v>4922</v>
      </c>
      <c r="BV253" s="3">
        <v>0</v>
      </c>
      <c r="BW253" s="3">
        <v>0</v>
      </c>
      <c r="BX253" s="3">
        <v>0</v>
      </c>
      <c r="BY253" s="3">
        <v>0</v>
      </c>
      <c r="BZ253" s="3">
        <v>0</v>
      </c>
      <c r="CA253" s="3">
        <v>0</v>
      </c>
      <c r="CB253" s="3">
        <v>0</v>
      </c>
      <c r="CC253" s="3">
        <v>0</v>
      </c>
      <c r="CD253" s="3">
        <v>0</v>
      </c>
      <c r="CE253" s="3">
        <v>0</v>
      </c>
      <c r="CG253" s="319" t="s">
        <v>5717</v>
      </c>
      <c r="CH253" s="3"/>
      <c r="CI253" s="3"/>
      <c r="CJ253" s="3"/>
      <c r="CK253" s="3"/>
      <c r="CL253" s="3"/>
      <c r="CM253" s="3"/>
      <c r="CN253" s="3"/>
      <c r="CO253" s="3"/>
      <c r="CP253" s="3"/>
      <c r="CQ253" s="3"/>
      <c r="DE253" s="319" t="s">
        <v>2483</v>
      </c>
      <c r="DF253" s="3" t="b">
        <v>0</v>
      </c>
      <c r="DG253" s="3" t="b">
        <v>1</v>
      </c>
      <c r="DH253" s="3" t="b">
        <v>1</v>
      </c>
      <c r="DI253" s="3" t="b">
        <v>1</v>
      </c>
      <c r="DJ253" s="3" t="b">
        <v>1</v>
      </c>
      <c r="DK253" s="3" t="b">
        <v>0</v>
      </c>
      <c r="DL253" s="3" t="b">
        <v>1</v>
      </c>
      <c r="DM253" s="3" t="b">
        <v>1</v>
      </c>
      <c r="DN253" s="3" t="b">
        <v>1</v>
      </c>
      <c r="DO253" s="3" t="b">
        <v>1</v>
      </c>
      <c r="GW253" s="319" t="s">
        <v>3695</v>
      </c>
      <c r="GX253" s="3">
        <v>0</v>
      </c>
      <c r="GY253" s="3">
        <v>0</v>
      </c>
      <c r="GZ253" s="3">
        <v>0</v>
      </c>
      <c r="HA253" s="3">
        <v>0</v>
      </c>
      <c r="HB253" s="3">
        <v>0</v>
      </c>
      <c r="HC253" s="3">
        <v>0</v>
      </c>
      <c r="HD253" s="3">
        <v>0</v>
      </c>
      <c r="HE253" s="3">
        <v>0</v>
      </c>
      <c r="HF253" s="3">
        <v>0</v>
      </c>
      <c r="HG253" s="3">
        <v>0</v>
      </c>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row>
    <row r="254" spans="1:256" s="319" customFormat="1" ht="12.75" customHeight="1">
      <c r="A254" s="319" t="s">
        <v>1936</v>
      </c>
      <c r="B254" s="646"/>
      <c r="C254" s="3"/>
      <c r="D254" s="646"/>
      <c r="E254" s="3"/>
      <c r="F254" s="646"/>
      <c r="G254" s="646"/>
      <c r="H254" s="3"/>
      <c r="I254" s="646"/>
      <c r="J254" s="3"/>
      <c r="K254" s="646"/>
      <c r="M254" s="319" t="s">
        <v>3762</v>
      </c>
      <c r="N254" s="3"/>
      <c r="O254" s="3"/>
      <c r="P254" s="3"/>
      <c r="Q254" s="3"/>
      <c r="R254" s="3"/>
      <c r="S254" s="3"/>
      <c r="T254" s="3"/>
      <c r="U254" s="3"/>
      <c r="V254" s="3"/>
      <c r="W254" s="3"/>
      <c r="BU254" s="319" t="s">
        <v>174</v>
      </c>
      <c r="BV254" s="3">
        <v>0</v>
      </c>
      <c r="BW254" s="3">
        <v>0</v>
      </c>
      <c r="BX254" s="3">
        <v>0</v>
      </c>
      <c r="BY254" s="3">
        <v>0</v>
      </c>
      <c r="BZ254" s="3">
        <v>0</v>
      </c>
      <c r="CA254" s="3">
        <v>0</v>
      </c>
      <c r="CB254" s="3">
        <v>0</v>
      </c>
      <c r="CC254" s="3">
        <v>0</v>
      </c>
      <c r="CD254" s="3">
        <v>0</v>
      </c>
      <c r="CE254" s="3">
        <v>0</v>
      </c>
      <c r="CG254" s="319" t="s">
        <v>4245</v>
      </c>
      <c r="CH254" s="3"/>
      <c r="CI254" s="3"/>
      <c r="CJ254" s="3"/>
      <c r="CK254" s="3"/>
      <c r="CL254" s="3"/>
      <c r="CM254" s="3"/>
      <c r="CN254" s="3"/>
      <c r="CO254" s="3"/>
      <c r="CP254" s="3"/>
      <c r="CQ254" s="3"/>
      <c r="DE254" s="319" t="s">
        <v>2484</v>
      </c>
      <c r="DF254" s="3" t="b">
        <v>1</v>
      </c>
      <c r="DG254" s="3" t="b">
        <v>0</v>
      </c>
      <c r="DH254" s="3" t="b">
        <v>0</v>
      </c>
      <c r="DI254" s="3" t="b">
        <v>0</v>
      </c>
      <c r="DJ254" s="3" t="b">
        <v>0</v>
      </c>
      <c r="DK254" s="3" t="b">
        <v>1</v>
      </c>
      <c r="DL254" s="3" t="b">
        <v>0</v>
      </c>
      <c r="DM254" s="3" t="b">
        <v>0</v>
      </c>
      <c r="DN254" s="3" t="b">
        <v>0</v>
      </c>
      <c r="DO254" s="3" t="b">
        <v>0</v>
      </c>
      <c r="GW254" s="319" t="s">
        <v>3696</v>
      </c>
      <c r="GX254" s="3">
        <v>0</v>
      </c>
      <c r="GY254" s="3">
        <v>0</v>
      </c>
      <c r="GZ254" s="3">
        <v>0</v>
      </c>
      <c r="HA254" s="3">
        <v>0</v>
      </c>
      <c r="HB254" s="3">
        <v>0</v>
      </c>
      <c r="HC254" s="3">
        <v>0</v>
      </c>
      <c r="HD254" s="3">
        <v>0</v>
      </c>
      <c r="HE254" s="3">
        <v>0</v>
      </c>
      <c r="HF254" s="3">
        <v>0</v>
      </c>
      <c r="HG254" s="3">
        <v>0</v>
      </c>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row>
    <row r="255" spans="1:256" s="319" customFormat="1" ht="12.75" customHeight="1">
      <c r="A255" s="319" t="s">
        <v>4951</v>
      </c>
      <c r="B255" s="646"/>
      <c r="C255" s="3"/>
      <c r="D255" s="646"/>
      <c r="E255" s="3"/>
      <c r="F255" s="646"/>
      <c r="G255" s="646"/>
      <c r="H255" s="3"/>
      <c r="I255" s="646"/>
      <c r="J255" s="3"/>
      <c r="K255" s="646"/>
      <c r="M255" s="319" t="s">
        <v>3763</v>
      </c>
      <c r="N255" s="3"/>
      <c r="O255" s="3"/>
      <c r="P255" s="3"/>
      <c r="Q255" s="3"/>
      <c r="R255" s="3"/>
      <c r="S255" s="3"/>
      <c r="T255" s="3"/>
      <c r="U255" s="3"/>
      <c r="V255" s="3"/>
      <c r="W255" s="3"/>
      <c r="BU255" s="319" t="s">
        <v>4443</v>
      </c>
      <c r="BV255" s="3">
        <v>0</v>
      </c>
      <c r="BW255" s="3">
        <v>0</v>
      </c>
      <c r="BX255" s="3">
        <v>0</v>
      </c>
      <c r="BY255" s="3">
        <v>0</v>
      </c>
      <c r="BZ255" s="3">
        <v>0</v>
      </c>
      <c r="CA255" s="3">
        <v>0</v>
      </c>
      <c r="CB255" s="3">
        <v>0</v>
      </c>
      <c r="CC255" s="3">
        <v>0</v>
      </c>
      <c r="CD255" s="3">
        <v>0</v>
      </c>
      <c r="CE255" s="3">
        <v>0</v>
      </c>
      <c r="CG255" s="319" t="s">
        <v>681</v>
      </c>
      <c r="CH255" s="3"/>
      <c r="CI255" s="3"/>
      <c r="CJ255" s="3"/>
      <c r="CK255" s="3"/>
      <c r="CL255" s="3"/>
      <c r="CM255" s="3"/>
      <c r="CN255" s="3"/>
      <c r="CO255" s="3"/>
      <c r="CP255" s="3"/>
      <c r="CQ255" s="3"/>
      <c r="DE255" s="319" t="s">
        <v>2485</v>
      </c>
      <c r="DF255" s="3" t="b">
        <v>0</v>
      </c>
      <c r="DG255" s="3" t="b">
        <v>1</v>
      </c>
      <c r="DH255" s="3" t="b">
        <v>1</v>
      </c>
      <c r="DI255" s="3" t="b">
        <v>1</v>
      </c>
      <c r="DJ255" s="3" t="b">
        <v>1</v>
      </c>
      <c r="DK255" s="3" t="b">
        <v>0</v>
      </c>
      <c r="DL255" s="3" t="b">
        <v>1</v>
      </c>
      <c r="DM255" s="3" t="b">
        <v>1</v>
      </c>
      <c r="DN255" s="3" t="b">
        <v>1</v>
      </c>
      <c r="DO255" s="3" t="b">
        <v>1</v>
      </c>
      <c r="GW255" s="319" t="s">
        <v>1553</v>
      </c>
      <c r="GX255" s="3">
        <v>0</v>
      </c>
      <c r="GY255" s="3">
        <v>0</v>
      </c>
      <c r="GZ255" s="3">
        <v>0</v>
      </c>
      <c r="HA255" s="3">
        <v>0</v>
      </c>
      <c r="HB255" s="3">
        <v>0</v>
      </c>
      <c r="HC255" s="3">
        <v>0</v>
      </c>
      <c r="HD255" s="3">
        <v>0</v>
      </c>
      <c r="HE255" s="3">
        <v>0</v>
      </c>
      <c r="HF255" s="3">
        <v>0</v>
      </c>
      <c r="HG255" s="3">
        <v>0</v>
      </c>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row>
    <row r="256" spans="1:256" s="319" customFormat="1" ht="12.75" customHeight="1">
      <c r="A256" s="319" t="s">
        <v>3933</v>
      </c>
      <c r="B256" s="646"/>
      <c r="C256" s="3"/>
      <c r="D256" s="646"/>
      <c r="E256" s="3"/>
      <c r="F256" s="646"/>
      <c r="G256" s="646"/>
      <c r="H256" s="3"/>
      <c r="I256" s="646"/>
      <c r="J256" s="3"/>
      <c r="K256" s="646"/>
      <c r="M256" s="319" t="s">
        <v>5757</v>
      </c>
      <c r="N256" s="3"/>
      <c r="O256" s="3"/>
      <c r="P256" s="3"/>
      <c r="Q256" s="3"/>
      <c r="R256" s="3"/>
      <c r="S256" s="3"/>
      <c r="T256" s="3"/>
      <c r="U256" s="3"/>
      <c r="V256" s="3"/>
      <c r="W256" s="3"/>
      <c r="BU256" s="319" t="s">
        <v>1601</v>
      </c>
      <c r="BV256" s="3">
        <v>0</v>
      </c>
      <c r="BW256" s="3">
        <v>0</v>
      </c>
      <c r="BX256" s="3">
        <v>0</v>
      </c>
      <c r="BY256" s="3">
        <v>0</v>
      </c>
      <c r="BZ256" s="3">
        <v>0</v>
      </c>
      <c r="CA256" s="3">
        <v>0</v>
      </c>
      <c r="CB256" s="3">
        <v>0</v>
      </c>
      <c r="CC256" s="3">
        <v>0</v>
      </c>
      <c r="CD256" s="3">
        <v>0</v>
      </c>
      <c r="CE256" s="3">
        <v>0</v>
      </c>
      <c r="CG256" s="319" t="s">
        <v>1543</v>
      </c>
      <c r="CH256" s="3"/>
      <c r="CI256" s="3"/>
      <c r="CJ256" s="3"/>
      <c r="CK256" s="3"/>
      <c r="CL256" s="3"/>
      <c r="CM256" s="3"/>
      <c r="CN256" s="3"/>
      <c r="CO256" s="3"/>
      <c r="CP256" s="3"/>
      <c r="CQ256" s="3"/>
      <c r="DE256" s="319" t="s">
        <v>4532</v>
      </c>
      <c r="DF256" s="3">
        <v>1</v>
      </c>
      <c r="DG256" s="3">
        <v>1</v>
      </c>
      <c r="DH256" s="3">
        <v>1</v>
      </c>
      <c r="DI256" s="3">
        <v>1</v>
      </c>
      <c r="DJ256" s="3">
        <v>1</v>
      </c>
      <c r="DK256" s="3">
        <v>1</v>
      </c>
      <c r="DL256" s="3">
        <v>1</v>
      </c>
      <c r="DM256" s="3">
        <v>1</v>
      </c>
      <c r="DN256" s="3">
        <v>1</v>
      </c>
      <c r="DO256" s="3">
        <v>1</v>
      </c>
      <c r="GW256" s="319" t="s">
        <v>5138</v>
      </c>
      <c r="GX256" s="3">
        <v>0</v>
      </c>
      <c r="GY256" s="3">
        <v>0</v>
      </c>
      <c r="GZ256" s="3">
        <v>0</v>
      </c>
      <c r="HA256" s="3">
        <v>0</v>
      </c>
      <c r="HB256" s="3">
        <v>0</v>
      </c>
      <c r="HC256" s="3">
        <v>0</v>
      </c>
      <c r="HD256" s="3">
        <v>0</v>
      </c>
      <c r="HE256" s="3">
        <v>0</v>
      </c>
      <c r="HF256" s="3">
        <v>0</v>
      </c>
      <c r="HG256" s="3">
        <v>0</v>
      </c>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row>
    <row r="257" spans="1:256" s="319" customFormat="1" ht="12.75" customHeight="1">
      <c r="A257" s="319" t="s">
        <v>582</v>
      </c>
      <c r="B257" s="646"/>
      <c r="C257" s="3"/>
      <c r="D257" s="646"/>
      <c r="E257" s="3"/>
      <c r="F257" s="646"/>
      <c r="G257" s="646"/>
      <c r="H257" s="3"/>
      <c r="I257" s="646"/>
      <c r="J257" s="3"/>
      <c r="K257" s="646"/>
      <c r="M257" s="319" t="s">
        <v>4909</v>
      </c>
      <c r="N257" s="3"/>
      <c r="O257" s="3"/>
      <c r="P257" s="3"/>
      <c r="Q257" s="3"/>
      <c r="R257" s="3"/>
      <c r="S257" s="3"/>
      <c r="T257" s="3"/>
      <c r="U257" s="3"/>
      <c r="V257" s="3"/>
      <c r="W257" s="3"/>
      <c r="BU257" s="319" t="s">
        <v>1809</v>
      </c>
      <c r="BV257" s="3">
        <v>0</v>
      </c>
      <c r="BW257" s="3">
        <v>0</v>
      </c>
      <c r="BX257" s="3">
        <v>0</v>
      </c>
      <c r="BY257" s="3">
        <v>0</v>
      </c>
      <c r="BZ257" s="3">
        <v>0</v>
      </c>
      <c r="CA257" s="3">
        <v>0</v>
      </c>
      <c r="CB257" s="3">
        <v>0</v>
      </c>
      <c r="CC257" s="3">
        <v>0</v>
      </c>
      <c r="CD257" s="3">
        <v>0</v>
      </c>
      <c r="CE257" s="3">
        <v>0</v>
      </c>
      <c r="CG257" s="319" t="s">
        <v>1544</v>
      </c>
      <c r="CH257" s="3"/>
      <c r="CI257" s="3"/>
      <c r="CJ257" s="3"/>
      <c r="CK257" s="3"/>
      <c r="CL257" s="3"/>
      <c r="CM257" s="3"/>
      <c r="CN257" s="3"/>
      <c r="CO257" s="3"/>
      <c r="CP257" s="3"/>
      <c r="CQ257" s="3"/>
      <c r="DE257" s="319" t="s">
        <v>4533</v>
      </c>
      <c r="DF257" s="3">
        <v>1</v>
      </c>
      <c r="DG257" s="3">
        <v>1</v>
      </c>
      <c r="DH257" s="3">
        <v>1</v>
      </c>
      <c r="DI257" s="3">
        <v>1</v>
      </c>
      <c r="DJ257" s="3">
        <v>1</v>
      </c>
      <c r="DK257" s="3">
        <v>1</v>
      </c>
      <c r="DL257" s="3">
        <v>1</v>
      </c>
      <c r="DM257" s="3">
        <v>1</v>
      </c>
      <c r="DN257" s="3">
        <v>1</v>
      </c>
      <c r="DO257" s="3">
        <v>1</v>
      </c>
      <c r="GW257" s="319" t="s">
        <v>592</v>
      </c>
      <c r="GX257" s="3">
        <v>0</v>
      </c>
      <c r="GY257" s="3">
        <v>0</v>
      </c>
      <c r="GZ257" s="3">
        <v>0</v>
      </c>
      <c r="HA257" s="3">
        <v>0</v>
      </c>
      <c r="HB257" s="3">
        <v>0</v>
      </c>
      <c r="HC257" s="3">
        <v>0</v>
      </c>
      <c r="HD257" s="3">
        <v>0</v>
      </c>
      <c r="HE257" s="3">
        <v>0</v>
      </c>
      <c r="HF257" s="3">
        <v>0</v>
      </c>
      <c r="HG257" s="3">
        <v>0</v>
      </c>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row>
    <row r="258" spans="1:256" s="319" customFormat="1" ht="12.75" customHeight="1">
      <c r="A258" s="319" t="s">
        <v>1400</v>
      </c>
      <c r="B258" s="646"/>
      <c r="C258" s="3"/>
      <c r="D258" s="646"/>
      <c r="E258" s="3"/>
      <c r="F258" s="646"/>
      <c r="G258" s="646"/>
      <c r="H258" s="3"/>
      <c r="I258" s="646"/>
      <c r="J258" s="3"/>
      <c r="K258" s="646"/>
      <c r="M258" s="319" t="s">
        <v>3504</v>
      </c>
      <c r="N258" s="3" t="b">
        <v>0</v>
      </c>
      <c r="O258" s="3" t="b">
        <v>0</v>
      </c>
      <c r="P258" s="3" t="b">
        <v>0</v>
      </c>
      <c r="Q258" s="3" t="b">
        <v>0</v>
      </c>
      <c r="R258" s="3" t="b">
        <v>0</v>
      </c>
      <c r="S258" s="3" t="b">
        <v>0</v>
      </c>
      <c r="T258" s="3" t="b">
        <v>0</v>
      </c>
      <c r="U258" s="3" t="b">
        <v>0</v>
      </c>
      <c r="V258" s="3" t="b">
        <v>0</v>
      </c>
      <c r="W258" s="3" t="b">
        <v>0</v>
      </c>
      <c r="CG258" s="319" t="s">
        <v>2102</v>
      </c>
      <c r="CH258" s="3">
        <v>0</v>
      </c>
      <c r="CI258" s="3">
        <v>0</v>
      </c>
      <c r="CJ258" s="3">
        <v>0</v>
      </c>
      <c r="CK258" s="3">
        <v>0</v>
      </c>
      <c r="CL258" s="3">
        <v>0</v>
      </c>
      <c r="CM258" s="3">
        <v>0</v>
      </c>
      <c r="CN258" s="3">
        <v>0</v>
      </c>
      <c r="CO258" s="3">
        <v>0</v>
      </c>
      <c r="CP258" s="3">
        <v>0</v>
      </c>
      <c r="CQ258" s="3">
        <v>0</v>
      </c>
      <c r="DE258" s="319" t="s">
        <v>3001</v>
      </c>
      <c r="DF258" s="3">
        <v>0</v>
      </c>
      <c r="DG258" s="3"/>
      <c r="DH258" s="3"/>
      <c r="DI258" s="3"/>
      <c r="DJ258" s="3"/>
      <c r="DK258" s="3">
        <v>0</v>
      </c>
      <c r="DL258" s="3"/>
      <c r="DM258" s="3"/>
      <c r="DN258" s="3"/>
      <c r="DO258" s="3"/>
      <c r="GW258" s="319" t="s">
        <v>4266</v>
      </c>
      <c r="GX258" s="3">
        <v>0</v>
      </c>
      <c r="GY258" s="3">
        <v>0</v>
      </c>
      <c r="GZ258" s="3">
        <v>0</v>
      </c>
      <c r="HA258" s="3">
        <v>0</v>
      </c>
      <c r="HB258" s="3">
        <v>0</v>
      </c>
      <c r="HC258" s="3">
        <v>0</v>
      </c>
      <c r="HD258" s="3">
        <v>0</v>
      </c>
      <c r="HE258" s="3">
        <v>0</v>
      </c>
      <c r="HF258" s="3">
        <v>0</v>
      </c>
      <c r="HG258" s="3">
        <v>0</v>
      </c>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row>
    <row r="259" spans="1:256" s="319" customFormat="1" ht="12.75" customHeight="1">
      <c r="A259" s="319" t="s">
        <v>1306</v>
      </c>
      <c r="B259" s="646"/>
      <c r="C259" s="3"/>
      <c r="D259" s="646"/>
      <c r="E259" s="3"/>
      <c r="F259" s="646"/>
      <c r="G259" s="646"/>
      <c r="H259" s="3"/>
      <c r="I259" s="646"/>
      <c r="J259" s="3"/>
      <c r="K259" s="646"/>
      <c r="M259" s="319" t="s">
        <v>1204</v>
      </c>
      <c r="N259" s="3">
        <v>0</v>
      </c>
      <c r="O259" s="3">
        <v>0</v>
      </c>
      <c r="P259" s="3">
        <v>0</v>
      </c>
      <c r="Q259" s="3">
        <v>0</v>
      </c>
      <c r="R259" s="3">
        <v>0</v>
      </c>
      <c r="S259" s="3">
        <v>0</v>
      </c>
      <c r="T259" s="3">
        <v>0</v>
      </c>
      <c r="U259" s="3">
        <v>0</v>
      </c>
      <c r="V259" s="3">
        <v>0</v>
      </c>
      <c r="W259" s="3">
        <v>0</v>
      </c>
      <c r="CG259" s="319" t="s">
        <v>4683</v>
      </c>
      <c r="CH259" s="3"/>
      <c r="CI259" s="3"/>
      <c r="CJ259" s="3"/>
      <c r="CK259" s="3"/>
      <c r="CL259" s="3"/>
      <c r="CM259" s="3"/>
      <c r="CN259" s="3"/>
      <c r="CO259" s="3"/>
      <c r="CP259" s="3"/>
      <c r="CQ259" s="3"/>
      <c r="DE259" s="319" t="s">
        <v>5434</v>
      </c>
      <c r="DF259" s="3"/>
      <c r="DG259" s="3"/>
      <c r="DH259" s="3"/>
      <c r="DI259" s="3"/>
      <c r="DJ259" s="3"/>
      <c r="DK259" s="3"/>
      <c r="DL259" s="3"/>
      <c r="DM259" s="3"/>
      <c r="DN259" s="3"/>
      <c r="DO259" s="3"/>
      <c r="GW259" s="319" t="s">
        <v>855</v>
      </c>
      <c r="GX259" s="3">
        <v>0</v>
      </c>
      <c r="GY259" s="3">
        <v>0</v>
      </c>
      <c r="GZ259" s="3">
        <v>0</v>
      </c>
      <c r="HA259" s="3">
        <v>0</v>
      </c>
      <c r="HB259" s="3">
        <v>0</v>
      </c>
      <c r="HC259" s="3">
        <v>0</v>
      </c>
      <c r="HD259" s="3">
        <v>0</v>
      </c>
      <c r="HE259" s="3">
        <v>0</v>
      </c>
      <c r="HF259" s="3">
        <v>0</v>
      </c>
      <c r="HG259" s="3">
        <v>0</v>
      </c>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row>
    <row r="260" spans="1:256" s="319" customFormat="1" ht="12.75" customHeight="1">
      <c r="A260" s="319" t="s">
        <v>3010</v>
      </c>
      <c r="B260" s="646"/>
      <c r="C260" s="3"/>
      <c r="D260" s="646"/>
      <c r="E260" s="3"/>
      <c r="F260" s="646"/>
      <c r="G260" s="646"/>
      <c r="H260" s="3"/>
      <c r="I260" s="646"/>
      <c r="J260" s="3"/>
      <c r="K260" s="646"/>
      <c r="M260" s="319" t="s">
        <v>4566</v>
      </c>
      <c r="N260" s="3">
        <v>0</v>
      </c>
      <c r="O260" s="3">
        <v>0</v>
      </c>
      <c r="P260" s="3">
        <v>0</v>
      </c>
      <c r="Q260" s="3">
        <v>0</v>
      </c>
      <c r="R260" s="3">
        <v>0</v>
      </c>
      <c r="S260" s="3">
        <v>0</v>
      </c>
      <c r="T260" s="3">
        <v>0</v>
      </c>
      <c r="U260" s="3">
        <v>0</v>
      </c>
      <c r="V260" s="3">
        <v>0</v>
      </c>
      <c r="W260" s="3">
        <v>0</v>
      </c>
      <c r="CG260" s="319" t="s">
        <v>5058</v>
      </c>
      <c r="CH260" s="3"/>
      <c r="CI260" s="3"/>
      <c r="CJ260" s="3"/>
      <c r="CK260" s="3"/>
      <c r="CL260" s="3"/>
      <c r="CM260" s="3"/>
      <c r="CN260" s="3"/>
      <c r="CO260" s="3"/>
      <c r="CP260" s="3"/>
      <c r="CQ260" s="3"/>
      <c r="DE260" s="319" t="s">
        <v>5435</v>
      </c>
      <c r="DF260" s="3">
        <v>0</v>
      </c>
      <c r="DG260" s="3"/>
      <c r="DH260" s="3"/>
      <c r="DI260" s="3"/>
      <c r="DJ260" s="3"/>
      <c r="DK260" s="3">
        <v>0</v>
      </c>
      <c r="DL260" s="3"/>
      <c r="DM260" s="3"/>
      <c r="DN260" s="3"/>
      <c r="DO260" s="3"/>
      <c r="GW260" s="319" t="s">
        <v>3704</v>
      </c>
      <c r="GX260" s="3">
        <v>0</v>
      </c>
      <c r="GY260" s="3">
        <v>0</v>
      </c>
      <c r="GZ260" s="3">
        <v>0</v>
      </c>
      <c r="HA260" s="3">
        <v>0</v>
      </c>
      <c r="HB260" s="3">
        <v>0</v>
      </c>
      <c r="HC260" s="3">
        <v>0</v>
      </c>
      <c r="HD260" s="3">
        <v>0</v>
      </c>
      <c r="HE260" s="3">
        <v>0</v>
      </c>
      <c r="HF260" s="3">
        <v>0</v>
      </c>
      <c r="HG260" s="3">
        <v>0</v>
      </c>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row>
    <row r="261" spans="1:256" s="319" customFormat="1" ht="12.75" customHeight="1">
      <c r="A261" s="319" t="s">
        <v>3011</v>
      </c>
      <c r="B261" s="646"/>
      <c r="C261" s="3"/>
      <c r="D261" s="646"/>
      <c r="E261" s="3"/>
      <c r="F261" s="646"/>
      <c r="G261" s="646"/>
      <c r="H261" s="3"/>
      <c r="I261" s="646"/>
      <c r="J261" s="3"/>
      <c r="K261" s="646"/>
      <c r="M261" s="319" t="s">
        <v>4567</v>
      </c>
      <c r="N261" s="3"/>
      <c r="O261" s="3"/>
      <c r="P261" s="3"/>
      <c r="Q261" s="3"/>
      <c r="R261" s="3"/>
      <c r="S261" s="3"/>
      <c r="T261" s="3"/>
      <c r="U261" s="3"/>
      <c r="V261" s="3"/>
      <c r="W261" s="3"/>
      <c r="CG261" s="319" t="s">
        <v>5059</v>
      </c>
      <c r="CH261" s="3"/>
      <c r="CI261" s="3"/>
      <c r="CJ261" s="3"/>
      <c r="CK261" s="3"/>
      <c r="CL261" s="3"/>
      <c r="CM261" s="3"/>
      <c r="CN261" s="3"/>
      <c r="CO261" s="3"/>
      <c r="CP261" s="3"/>
      <c r="CQ261" s="3"/>
      <c r="DE261" s="319" t="s">
        <v>1774</v>
      </c>
      <c r="DF261" s="3">
        <v>0</v>
      </c>
      <c r="DG261" s="3">
        <v>0</v>
      </c>
      <c r="DH261" s="3">
        <v>0</v>
      </c>
      <c r="DI261" s="3">
        <v>0</v>
      </c>
      <c r="DJ261" s="3">
        <v>0</v>
      </c>
      <c r="DK261" s="3">
        <v>0</v>
      </c>
      <c r="DL261" s="3">
        <v>0</v>
      </c>
      <c r="DM261" s="3">
        <v>0</v>
      </c>
      <c r="DN261" s="3">
        <v>0</v>
      </c>
      <c r="DO261" s="3">
        <v>0</v>
      </c>
      <c r="GW261" s="319" t="s">
        <v>3508</v>
      </c>
      <c r="GX261" s="3">
        <v>0</v>
      </c>
      <c r="GY261" s="3">
        <v>0</v>
      </c>
      <c r="GZ261" s="3">
        <v>0</v>
      </c>
      <c r="HA261" s="3">
        <v>0</v>
      </c>
      <c r="HB261" s="3">
        <v>0</v>
      </c>
      <c r="HC261" s="3">
        <v>0</v>
      </c>
      <c r="HD261" s="3">
        <v>0</v>
      </c>
      <c r="HE261" s="3">
        <v>0</v>
      </c>
      <c r="HF261" s="3">
        <v>0</v>
      </c>
      <c r="HG261" s="3">
        <v>0</v>
      </c>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row>
    <row r="262" spans="1:256" s="319" customFormat="1" ht="12.75" customHeight="1">
      <c r="A262" s="319" t="s">
        <v>3012</v>
      </c>
      <c r="B262" s="646"/>
      <c r="C262" s="3"/>
      <c r="D262" s="646"/>
      <c r="E262" s="3"/>
      <c r="F262" s="646"/>
      <c r="G262" s="646"/>
      <c r="H262" s="3"/>
      <c r="I262" s="646"/>
      <c r="J262" s="3"/>
      <c r="K262" s="646"/>
      <c r="M262" s="319" t="s">
        <v>4199</v>
      </c>
      <c r="N262" s="3"/>
      <c r="O262" s="3"/>
      <c r="P262" s="3"/>
      <c r="Q262" s="3"/>
      <c r="R262" s="3"/>
      <c r="S262" s="3"/>
      <c r="T262" s="3"/>
      <c r="U262" s="3"/>
      <c r="V262" s="3"/>
      <c r="W262" s="3"/>
      <c r="CG262" s="319" t="s">
        <v>5060</v>
      </c>
      <c r="CH262" s="3"/>
      <c r="CI262" s="3"/>
      <c r="CJ262" s="3"/>
      <c r="CK262" s="3"/>
      <c r="CL262" s="3"/>
      <c r="CM262" s="3"/>
      <c r="CN262" s="3"/>
      <c r="CO262" s="3"/>
      <c r="CP262" s="3"/>
      <c r="CQ262" s="3"/>
      <c r="DE262" s="319" t="s">
        <v>4205</v>
      </c>
      <c r="DF262" s="3">
        <v>0</v>
      </c>
      <c r="DG262" s="3">
        <v>0</v>
      </c>
      <c r="DH262" s="3">
        <v>0</v>
      </c>
      <c r="DI262" s="3">
        <v>0</v>
      </c>
      <c r="DJ262" s="3">
        <v>0</v>
      </c>
      <c r="DK262" s="3">
        <v>0</v>
      </c>
      <c r="DL262" s="3">
        <v>0</v>
      </c>
      <c r="DM262" s="3">
        <v>0</v>
      </c>
      <c r="DN262" s="3">
        <v>0</v>
      </c>
      <c r="DO262" s="3">
        <v>0</v>
      </c>
      <c r="GW262" s="319" t="s">
        <v>208</v>
      </c>
      <c r="GX262" s="3">
        <v>0</v>
      </c>
      <c r="GY262" s="3">
        <v>0</v>
      </c>
      <c r="GZ262" s="3">
        <v>0</v>
      </c>
      <c r="HA262" s="3">
        <v>0</v>
      </c>
      <c r="HB262" s="3">
        <v>0</v>
      </c>
      <c r="HC262" s="3">
        <v>0</v>
      </c>
      <c r="HD262" s="3">
        <v>0</v>
      </c>
      <c r="HE262" s="3">
        <v>0</v>
      </c>
      <c r="HF262" s="3">
        <v>0</v>
      </c>
      <c r="HG262" s="3">
        <v>0</v>
      </c>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c r="IU262"/>
      <c r="IV262"/>
    </row>
    <row r="263" spans="1:256" s="319" customFormat="1" ht="12.75" customHeight="1">
      <c r="A263" s="319" t="s">
        <v>328</v>
      </c>
      <c r="B263" s="646"/>
      <c r="C263" s="3"/>
      <c r="D263" s="646"/>
      <c r="E263" s="3"/>
      <c r="F263" s="646"/>
      <c r="G263" s="646"/>
      <c r="H263" s="3"/>
      <c r="I263" s="646"/>
      <c r="J263" s="3"/>
      <c r="K263" s="646"/>
      <c r="M263" s="319" t="s">
        <v>4200</v>
      </c>
      <c r="N263" s="3"/>
      <c r="O263" s="3"/>
      <c r="P263" s="3"/>
      <c r="Q263" s="3"/>
      <c r="R263" s="3"/>
      <c r="S263" s="3"/>
      <c r="T263" s="3"/>
      <c r="U263" s="3"/>
      <c r="V263" s="3"/>
      <c r="W263" s="3"/>
      <c r="CG263" s="319" t="s">
        <v>5343</v>
      </c>
      <c r="CH263" s="3"/>
      <c r="CI263" s="3"/>
      <c r="CJ263" s="3"/>
      <c r="CK263" s="3"/>
      <c r="CL263" s="3"/>
      <c r="CM263" s="3"/>
      <c r="CN263" s="3"/>
      <c r="CO263" s="3"/>
      <c r="CP263" s="3"/>
      <c r="CQ263" s="3"/>
      <c r="DE263" s="319" t="s">
        <v>4206</v>
      </c>
      <c r="DF263" s="3">
        <v>0</v>
      </c>
      <c r="DG263" s="3">
        <v>0</v>
      </c>
      <c r="DH263" s="3">
        <v>0</v>
      </c>
      <c r="DI263" s="3">
        <v>0</v>
      </c>
      <c r="DJ263" s="3">
        <v>0</v>
      </c>
      <c r="DK263" s="3">
        <v>0</v>
      </c>
      <c r="DL263" s="3">
        <v>0</v>
      </c>
      <c r="DM263" s="3">
        <v>0</v>
      </c>
      <c r="DN263" s="3">
        <v>0</v>
      </c>
      <c r="DO263" s="3">
        <v>0</v>
      </c>
      <c r="GW263" s="319" t="s">
        <v>3366</v>
      </c>
      <c r="GX263" s="3">
        <v>0</v>
      </c>
      <c r="GY263" s="3">
        <v>0</v>
      </c>
      <c r="GZ263" s="3">
        <v>0</v>
      </c>
      <c r="HA263" s="3">
        <v>0</v>
      </c>
      <c r="HB263" s="3">
        <v>0</v>
      </c>
      <c r="HC263" s="3">
        <v>0</v>
      </c>
      <c r="HD263" s="3">
        <v>0</v>
      </c>
      <c r="HE263" s="3">
        <v>0</v>
      </c>
      <c r="HF263" s="3">
        <v>0</v>
      </c>
      <c r="HG263" s="3">
        <v>0</v>
      </c>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c r="IU263"/>
      <c r="IV263"/>
    </row>
    <row r="264" spans="1:256" s="319" customFormat="1" ht="12.75" customHeight="1">
      <c r="A264" s="319" t="s">
        <v>329</v>
      </c>
      <c r="B264" s="646"/>
      <c r="C264" s="3"/>
      <c r="D264" s="646"/>
      <c r="E264" s="3"/>
      <c r="F264" s="646"/>
      <c r="G264" s="646"/>
      <c r="H264" s="3"/>
      <c r="I264" s="646"/>
      <c r="J264" s="3"/>
      <c r="K264" s="646"/>
      <c r="M264" s="319" t="s">
        <v>4201</v>
      </c>
      <c r="N264" s="3"/>
      <c r="O264" s="3"/>
      <c r="P264" s="3"/>
      <c r="Q264" s="3"/>
      <c r="R264" s="3"/>
      <c r="S264" s="3"/>
      <c r="T264" s="3"/>
      <c r="U264" s="3"/>
      <c r="V264" s="3"/>
      <c r="W264" s="3"/>
      <c r="CG264" s="319" t="s">
        <v>5344</v>
      </c>
      <c r="CH264" s="3">
        <v>0</v>
      </c>
      <c r="CI264" s="3">
        <v>0</v>
      </c>
      <c r="CJ264" s="3">
        <v>0</v>
      </c>
      <c r="CK264" s="3">
        <v>0</v>
      </c>
      <c r="CL264" s="3">
        <v>0</v>
      </c>
      <c r="CM264" s="3">
        <v>0</v>
      </c>
      <c r="CN264" s="3">
        <v>0</v>
      </c>
      <c r="CO264" s="3">
        <v>0</v>
      </c>
      <c r="CP264" s="3">
        <v>0</v>
      </c>
      <c r="CQ264" s="3">
        <v>0</v>
      </c>
      <c r="DE264" s="319" t="s">
        <v>3286</v>
      </c>
      <c r="DF264" s="3"/>
      <c r="DG264" s="3"/>
      <c r="DH264" s="3"/>
      <c r="DI264" s="3"/>
      <c r="DJ264" s="3"/>
      <c r="DK264" s="3"/>
      <c r="DL264" s="3"/>
      <c r="DM264" s="3"/>
      <c r="DN264" s="3"/>
      <c r="DO264" s="3"/>
      <c r="GW264" s="319" t="s">
        <v>4762</v>
      </c>
      <c r="GX264" s="3">
        <v>0</v>
      </c>
      <c r="GY264" s="3">
        <v>0</v>
      </c>
      <c r="GZ264" s="3">
        <v>0</v>
      </c>
      <c r="HA264" s="3">
        <v>0</v>
      </c>
      <c r="HB264" s="3">
        <v>0</v>
      </c>
      <c r="HC264" s="3">
        <v>0</v>
      </c>
      <c r="HD264" s="3">
        <v>0</v>
      </c>
      <c r="HE264" s="3">
        <v>0</v>
      </c>
      <c r="HF264" s="3">
        <v>0</v>
      </c>
      <c r="HG264" s="3">
        <v>0</v>
      </c>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c r="IU264"/>
      <c r="IV264"/>
    </row>
    <row r="265" spans="1:256" s="319" customFormat="1" ht="12.75" customHeight="1">
      <c r="A265" s="319" t="s">
        <v>4290</v>
      </c>
      <c r="B265" s="646"/>
      <c r="C265" s="3"/>
      <c r="D265" s="646"/>
      <c r="E265" s="3"/>
      <c r="F265" s="646"/>
      <c r="G265" s="646"/>
      <c r="H265" s="3"/>
      <c r="I265" s="646"/>
      <c r="J265" s="3"/>
      <c r="K265" s="646"/>
      <c r="M265" s="319" t="s">
        <v>3503</v>
      </c>
      <c r="N265" s="3" t="b">
        <v>0</v>
      </c>
      <c r="O265" s="3" t="b">
        <v>0</v>
      </c>
      <c r="P265" s="3" t="b">
        <v>0</v>
      </c>
      <c r="Q265" s="3" t="b">
        <v>0</v>
      </c>
      <c r="R265" s="3" t="b">
        <v>0</v>
      </c>
      <c r="S265" s="3" t="b">
        <v>0</v>
      </c>
      <c r="T265" s="3" t="b">
        <v>0</v>
      </c>
      <c r="U265" s="3" t="b">
        <v>0</v>
      </c>
      <c r="V265" s="3" t="b">
        <v>0</v>
      </c>
      <c r="W265" s="3" t="b">
        <v>0</v>
      </c>
      <c r="CG265" s="319" t="s">
        <v>5345</v>
      </c>
      <c r="CH265" s="3">
        <v>0</v>
      </c>
      <c r="CI265" s="3">
        <v>0</v>
      </c>
      <c r="CJ265" s="3">
        <v>0</v>
      </c>
      <c r="CK265" s="3">
        <v>0</v>
      </c>
      <c r="CL265" s="3">
        <v>0</v>
      </c>
      <c r="CM265" s="3">
        <v>0</v>
      </c>
      <c r="CN265" s="3">
        <v>0</v>
      </c>
      <c r="CO265" s="3">
        <v>0</v>
      </c>
      <c r="CP265" s="3">
        <v>0</v>
      </c>
      <c r="CQ265" s="3">
        <v>0</v>
      </c>
      <c r="DE265" s="319" t="s">
        <v>712</v>
      </c>
      <c r="DF265" s="3"/>
      <c r="DG265" s="3"/>
      <c r="DH265" s="3"/>
      <c r="DI265" s="3"/>
      <c r="DJ265" s="3"/>
      <c r="DK265" s="3"/>
      <c r="DL265" s="3"/>
      <c r="DM265" s="3"/>
      <c r="DN265" s="3"/>
      <c r="DO265" s="3"/>
      <c r="GW265" s="319" t="s">
        <v>2622</v>
      </c>
      <c r="GX265" s="3">
        <v>0</v>
      </c>
      <c r="GY265" s="3">
        <v>0</v>
      </c>
      <c r="GZ265" s="3">
        <v>0</v>
      </c>
      <c r="HA265" s="3">
        <v>0</v>
      </c>
      <c r="HB265" s="3">
        <v>0</v>
      </c>
      <c r="HC265" s="3">
        <v>0</v>
      </c>
      <c r="HD265" s="3">
        <v>0</v>
      </c>
      <c r="HE265" s="3">
        <v>0</v>
      </c>
      <c r="HF265" s="3">
        <v>0</v>
      </c>
      <c r="HG265" s="3">
        <v>0</v>
      </c>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c r="IU265"/>
      <c r="IV265"/>
    </row>
    <row r="266" spans="1:256" s="319" customFormat="1" ht="12.75" customHeight="1">
      <c r="A266" s="319" t="s">
        <v>1127</v>
      </c>
      <c r="B266" s="646"/>
      <c r="C266" s="3"/>
      <c r="D266" s="646"/>
      <c r="E266" s="3"/>
      <c r="F266" s="646"/>
      <c r="G266" s="646"/>
      <c r="H266" s="3"/>
      <c r="I266" s="646"/>
      <c r="J266" s="3"/>
      <c r="K266" s="646"/>
      <c r="M266" s="319" t="s">
        <v>2320</v>
      </c>
      <c r="N266" s="3">
        <v>0</v>
      </c>
      <c r="O266" s="3">
        <v>0</v>
      </c>
      <c r="P266" s="3">
        <v>0</v>
      </c>
      <c r="Q266" s="3">
        <v>0</v>
      </c>
      <c r="R266" s="3">
        <v>0</v>
      </c>
      <c r="S266" s="3">
        <v>0</v>
      </c>
      <c r="T266" s="3">
        <v>0</v>
      </c>
      <c r="U266" s="3">
        <v>0</v>
      </c>
      <c r="V266" s="3">
        <v>0</v>
      </c>
      <c r="W266" s="3">
        <v>0</v>
      </c>
      <c r="CG266" s="319" t="s">
        <v>5186</v>
      </c>
      <c r="CH266" s="3"/>
      <c r="CI266" s="3"/>
      <c r="CJ266" s="3"/>
      <c r="CK266" s="3"/>
      <c r="CL266" s="3"/>
      <c r="CM266" s="3"/>
      <c r="CN266" s="3"/>
      <c r="CO266" s="3"/>
      <c r="CP266" s="3"/>
      <c r="CQ266" s="3"/>
      <c r="DE266" s="319" t="s">
        <v>5855</v>
      </c>
      <c r="DF266" s="3"/>
      <c r="DG266" s="3"/>
      <c r="DH266" s="3"/>
      <c r="DI266" s="3"/>
      <c r="DJ266" s="3"/>
      <c r="DK266" s="3"/>
      <c r="DL266" s="3"/>
      <c r="DM266" s="3"/>
      <c r="DN266" s="3"/>
      <c r="DO266" s="3"/>
      <c r="GW266" s="319" t="s">
        <v>2623</v>
      </c>
      <c r="GX266" s="3">
        <v>0</v>
      </c>
      <c r="GY266" s="3">
        <v>0</v>
      </c>
      <c r="GZ266" s="3">
        <v>0</v>
      </c>
      <c r="HA266" s="3">
        <v>0</v>
      </c>
      <c r="HB266" s="3">
        <v>0</v>
      </c>
      <c r="HC266" s="3">
        <v>0</v>
      </c>
      <c r="HD266" s="3">
        <v>0</v>
      </c>
      <c r="HE266" s="3">
        <v>0</v>
      </c>
      <c r="HF266" s="3">
        <v>0</v>
      </c>
      <c r="HG266" s="3">
        <v>0</v>
      </c>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c r="IU266"/>
      <c r="IV266"/>
    </row>
    <row r="267" spans="1:256" s="319" customFormat="1" ht="12.75" customHeight="1">
      <c r="A267" s="319" t="s">
        <v>5509</v>
      </c>
      <c r="B267" s="646"/>
      <c r="C267" s="3"/>
      <c r="D267" s="646"/>
      <c r="E267" s="3"/>
      <c r="F267" s="646"/>
      <c r="G267" s="646"/>
      <c r="H267" s="3"/>
      <c r="I267" s="646"/>
      <c r="J267" s="3"/>
      <c r="K267" s="646"/>
      <c r="M267" s="319" t="s">
        <v>2792</v>
      </c>
      <c r="N267" s="3">
        <v>0</v>
      </c>
      <c r="O267" s="3">
        <v>0</v>
      </c>
      <c r="P267" s="3">
        <v>0</v>
      </c>
      <c r="Q267" s="3">
        <v>0</v>
      </c>
      <c r="R267" s="3">
        <v>0</v>
      </c>
      <c r="S267" s="3">
        <v>0</v>
      </c>
      <c r="T267" s="3">
        <v>0</v>
      </c>
      <c r="U267" s="3">
        <v>0</v>
      </c>
      <c r="V267" s="3">
        <v>0</v>
      </c>
      <c r="W267" s="3">
        <v>0</v>
      </c>
      <c r="CG267" s="319" t="s">
        <v>1274</v>
      </c>
      <c r="CH267" s="3">
        <v>0</v>
      </c>
      <c r="CI267" s="3">
        <v>0</v>
      </c>
      <c r="CJ267" s="3">
        <v>0</v>
      </c>
      <c r="CK267" s="3">
        <v>0</v>
      </c>
      <c r="CL267" s="3">
        <v>0</v>
      </c>
      <c r="CM267" s="3">
        <v>0</v>
      </c>
      <c r="CN267" s="3">
        <v>0</v>
      </c>
      <c r="CO267" s="3">
        <v>0</v>
      </c>
      <c r="CP267" s="3">
        <v>0</v>
      </c>
      <c r="CQ267" s="3">
        <v>0</v>
      </c>
      <c r="DE267" s="319" t="s">
        <v>1692</v>
      </c>
      <c r="DF267" s="3"/>
      <c r="DG267" s="3"/>
      <c r="DH267" s="3"/>
      <c r="DI267" s="3"/>
      <c r="DJ267" s="3"/>
      <c r="DK267" s="3"/>
      <c r="DL267" s="3"/>
      <c r="DM267" s="3"/>
      <c r="DN267" s="3"/>
      <c r="DO267" s="3"/>
      <c r="GW267" s="319" t="s">
        <v>4312</v>
      </c>
      <c r="GX267" s="3">
        <v>0</v>
      </c>
      <c r="GY267" s="3">
        <v>0</v>
      </c>
      <c r="GZ267" s="3">
        <v>0</v>
      </c>
      <c r="HA267" s="3">
        <v>0</v>
      </c>
      <c r="HB267" s="3">
        <v>0</v>
      </c>
      <c r="HC267" s="3">
        <v>0</v>
      </c>
      <c r="HD267" s="3">
        <v>0</v>
      </c>
      <c r="HE267" s="3">
        <v>0</v>
      </c>
      <c r="HF267" s="3">
        <v>0</v>
      </c>
      <c r="HG267" s="3">
        <v>0</v>
      </c>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c r="IU267"/>
      <c r="IV267"/>
    </row>
    <row r="268" spans="1:256" s="319" customFormat="1" ht="12.75" customHeight="1">
      <c r="A268" s="319" t="s">
        <v>333</v>
      </c>
      <c r="B268" s="646"/>
      <c r="C268" s="3"/>
      <c r="D268" s="646"/>
      <c r="E268" s="3"/>
      <c r="F268" s="646"/>
      <c r="G268" s="646"/>
      <c r="H268" s="3"/>
      <c r="I268" s="646"/>
      <c r="J268" s="3"/>
      <c r="K268" s="646"/>
      <c r="M268" s="319" t="s">
        <v>4254</v>
      </c>
      <c r="N268" s="3"/>
      <c r="O268" s="3"/>
      <c r="P268" s="3"/>
      <c r="Q268" s="3"/>
      <c r="R268" s="3"/>
      <c r="S268" s="3"/>
      <c r="T268" s="3"/>
      <c r="U268" s="3"/>
      <c r="V268" s="3"/>
      <c r="W268" s="3"/>
      <c r="CG268" s="319" t="s">
        <v>1626</v>
      </c>
      <c r="CH268" s="3"/>
      <c r="CI268" s="3"/>
      <c r="CJ268" s="3"/>
      <c r="CK268" s="3"/>
      <c r="CL268" s="3"/>
      <c r="CM268" s="3"/>
      <c r="CN268" s="3"/>
      <c r="CO268" s="3"/>
      <c r="CP268" s="3"/>
      <c r="CQ268" s="3"/>
      <c r="DE268" s="319" t="s">
        <v>4317</v>
      </c>
      <c r="DF268" s="3"/>
      <c r="DG268" s="3"/>
      <c r="DH268" s="3"/>
      <c r="DI268" s="3"/>
      <c r="DJ268" s="3"/>
      <c r="DK268" s="3"/>
      <c r="DL268" s="3"/>
      <c r="DM268" s="3"/>
      <c r="DN268" s="3"/>
      <c r="DO268" s="3"/>
      <c r="GW268" s="319" t="s">
        <v>4313</v>
      </c>
      <c r="GX268" s="3"/>
      <c r="GY268" s="3"/>
      <c r="GZ268" s="3"/>
      <c r="HA268" s="3"/>
      <c r="HB268" s="3"/>
      <c r="HC268" s="3"/>
      <c r="HD268" s="3"/>
      <c r="HE268" s="3"/>
      <c r="HF268" s="3"/>
      <c r="HG268" s="3"/>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c r="IU268"/>
      <c r="IV268"/>
    </row>
    <row r="269" spans="1:256" s="319" customFormat="1" ht="12.75" customHeight="1">
      <c r="A269" s="319" t="s">
        <v>1688</v>
      </c>
      <c r="B269" s="646"/>
      <c r="C269" s="3"/>
      <c r="D269" s="646"/>
      <c r="E269" s="3"/>
      <c r="F269" s="646"/>
      <c r="G269" s="646"/>
      <c r="H269" s="3"/>
      <c r="I269" s="646"/>
      <c r="J269" s="3"/>
      <c r="K269" s="646"/>
      <c r="M269" s="319" t="s">
        <v>2373</v>
      </c>
      <c r="N269" s="3"/>
      <c r="O269" s="3"/>
      <c r="P269" s="3"/>
      <c r="Q269" s="3"/>
      <c r="R269" s="3"/>
      <c r="S269" s="3"/>
      <c r="T269" s="3"/>
      <c r="U269" s="3"/>
      <c r="V269" s="3"/>
      <c r="W269" s="3"/>
      <c r="CG269" s="319" t="s">
        <v>1627</v>
      </c>
      <c r="CH269" s="3"/>
      <c r="CI269" s="3"/>
      <c r="CJ269" s="3"/>
      <c r="CK269" s="3"/>
      <c r="CL269" s="3"/>
      <c r="CM269" s="3"/>
      <c r="CN269" s="3"/>
      <c r="CO269" s="3"/>
      <c r="CP269" s="3"/>
      <c r="CQ269" s="3"/>
      <c r="DE269" s="319" t="s">
        <v>4318</v>
      </c>
      <c r="DF269" s="3"/>
      <c r="DG269" s="3"/>
      <c r="DH269" s="3"/>
      <c r="DI269" s="3"/>
      <c r="DJ269" s="3"/>
      <c r="DK269" s="3"/>
      <c r="DL269" s="3"/>
      <c r="DM269" s="3"/>
      <c r="DN269" s="3"/>
      <c r="DO269" s="3"/>
      <c r="GW269" s="319" t="s">
        <v>4314</v>
      </c>
      <c r="GX269" s="3"/>
      <c r="GY269" s="3"/>
      <c r="GZ269" s="3"/>
      <c r="HA269" s="3"/>
      <c r="HB269" s="3"/>
      <c r="HC269" s="3"/>
      <c r="HD269" s="3"/>
      <c r="HE269" s="3"/>
      <c r="HF269" s="3"/>
      <c r="HG269" s="3"/>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c r="IV269"/>
    </row>
    <row r="270" spans="1:256" s="319" customFormat="1" ht="12.75" customHeight="1">
      <c r="A270" s="319" t="s">
        <v>1689</v>
      </c>
      <c r="B270" s="646"/>
      <c r="C270" s="3"/>
      <c r="D270" s="646"/>
      <c r="E270" s="3"/>
      <c r="F270" s="646"/>
      <c r="G270" s="646"/>
      <c r="H270" s="3"/>
      <c r="I270" s="646"/>
      <c r="J270" s="3"/>
      <c r="K270" s="646"/>
      <c r="M270" s="319" t="s">
        <v>2988</v>
      </c>
      <c r="N270" s="3">
        <v>0</v>
      </c>
      <c r="O270" s="3">
        <v>0</v>
      </c>
      <c r="P270" s="3">
        <v>0</v>
      </c>
      <c r="Q270" s="3">
        <v>0</v>
      </c>
      <c r="R270" s="3">
        <v>0</v>
      </c>
      <c r="S270" s="3">
        <v>0</v>
      </c>
      <c r="T270" s="3">
        <v>0</v>
      </c>
      <c r="U270" s="3">
        <v>0</v>
      </c>
      <c r="V270" s="3">
        <v>0</v>
      </c>
      <c r="W270" s="3">
        <v>0</v>
      </c>
      <c r="CG270" s="319" t="s">
        <v>1628</v>
      </c>
      <c r="CH270" s="3"/>
      <c r="CI270" s="3">
        <v>2</v>
      </c>
      <c r="CJ270" s="3">
        <v>2</v>
      </c>
      <c r="CK270" s="3">
        <v>2</v>
      </c>
      <c r="CL270" s="3">
        <v>2</v>
      </c>
      <c r="CM270" s="3"/>
      <c r="CN270" s="3">
        <v>2</v>
      </c>
      <c r="CO270" s="3">
        <v>2</v>
      </c>
      <c r="CP270" s="3">
        <v>2</v>
      </c>
      <c r="CQ270" s="3">
        <v>2</v>
      </c>
      <c r="DE270" s="319" t="s">
        <v>4050</v>
      </c>
      <c r="DF270" s="3">
        <v>0</v>
      </c>
      <c r="DG270" s="3">
        <v>0</v>
      </c>
      <c r="DH270" s="3">
        <v>0</v>
      </c>
      <c r="DI270" s="3">
        <v>0</v>
      </c>
      <c r="DJ270" s="3">
        <v>0</v>
      </c>
      <c r="DK270" s="3">
        <v>0</v>
      </c>
      <c r="DL270" s="3">
        <v>0</v>
      </c>
      <c r="DM270" s="3">
        <v>0</v>
      </c>
      <c r="DN270" s="3">
        <v>0</v>
      </c>
      <c r="DO270" s="3">
        <v>0</v>
      </c>
      <c r="GW270" s="319" t="s">
        <v>4315</v>
      </c>
      <c r="GX270" s="3"/>
      <c r="GY270" s="3"/>
      <c r="GZ270" s="3"/>
      <c r="HA270" s="3"/>
      <c r="HB270" s="3"/>
      <c r="HC270" s="3"/>
      <c r="HD270" s="3"/>
      <c r="HE270" s="3"/>
      <c r="HF270" s="3"/>
      <c r="HG270" s="3"/>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row>
    <row r="271" spans="1:256" s="319" customFormat="1" ht="12.75" customHeight="1">
      <c r="A271" s="319" t="s">
        <v>423</v>
      </c>
      <c r="B271" s="646"/>
      <c r="C271" s="3"/>
      <c r="D271" s="646"/>
      <c r="E271" s="3"/>
      <c r="F271" s="646"/>
      <c r="G271" s="646"/>
      <c r="H271" s="3"/>
      <c r="I271" s="646"/>
      <c r="J271" s="3"/>
      <c r="K271" s="646"/>
      <c r="M271" s="319" t="s">
        <v>3427</v>
      </c>
      <c r="N271" s="3">
        <v>1</v>
      </c>
      <c r="O271" s="3">
        <v>1</v>
      </c>
      <c r="P271" s="3">
        <v>1</v>
      </c>
      <c r="Q271" s="3">
        <v>1</v>
      </c>
      <c r="R271" s="3">
        <v>1</v>
      </c>
      <c r="S271" s="3">
        <v>1</v>
      </c>
      <c r="T271" s="3">
        <v>1</v>
      </c>
      <c r="U271" s="3">
        <v>1</v>
      </c>
      <c r="V271" s="3">
        <v>1</v>
      </c>
      <c r="W271" s="3">
        <v>1</v>
      </c>
      <c r="CG271" s="319" t="s">
        <v>1629</v>
      </c>
      <c r="CH271" s="3"/>
      <c r="CI271" s="3">
        <v>12</v>
      </c>
      <c r="CJ271" s="3">
        <v>12</v>
      </c>
      <c r="CK271" s="3">
        <v>12</v>
      </c>
      <c r="CL271" s="3">
        <v>12</v>
      </c>
      <c r="CM271" s="3"/>
      <c r="CN271" s="3">
        <v>12</v>
      </c>
      <c r="CO271" s="3">
        <v>12</v>
      </c>
      <c r="CP271" s="3">
        <v>12</v>
      </c>
      <c r="CQ271" s="3">
        <v>12</v>
      </c>
      <c r="DE271" s="319" t="s">
        <v>683</v>
      </c>
      <c r="DF271" s="3"/>
      <c r="DG271" s="3"/>
      <c r="DH271" s="3"/>
      <c r="DI271" s="3"/>
      <c r="DJ271" s="3"/>
      <c r="DK271" s="3"/>
      <c r="DL271" s="3"/>
      <c r="DM271" s="3"/>
      <c r="DN271" s="3"/>
      <c r="DO271" s="3"/>
      <c r="GW271" s="319" t="s">
        <v>5594</v>
      </c>
      <c r="GX271" s="3"/>
      <c r="GY271" s="3"/>
      <c r="GZ271" s="3"/>
      <c r="HA271" s="3"/>
      <c r="HB271" s="3"/>
      <c r="HC271" s="3"/>
      <c r="HD271" s="3"/>
      <c r="HE271" s="3"/>
      <c r="HF271" s="3"/>
      <c r="HG271" s="3"/>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c r="IU271"/>
      <c r="IV271"/>
    </row>
    <row r="272" spans="1:256" s="319" customFormat="1" ht="12.75" customHeight="1">
      <c r="M272" s="319" t="s">
        <v>3428</v>
      </c>
      <c r="N272" s="3">
        <v>1</v>
      </c>
      <c r="O272" s="3">
        <v>1</v>
      </c>
      <c r="P272" s="3">
        <v>1</v>
      </c>
      <c r="Q272" s="3">
        <v>1</v>
      </c>
      <c r="R272" s="3">
        <v>1</v>
      </c>
      <c r="S272" s="3">
        <v>1</v>
      </c>
      <c r="T272" s="3">
        <v>1</v>
      </c>
      <c r="U272" s="3">
        <v>1</v>
      </c>
      <c r="V272" s="3">
        <v>1</v>
      </c>
      <c r="W272" s="3">
        <v>1</v>
      </c>
      <c r="CG272" s="319" t="s">
        <v>2589</v>
      </c>
      <c r="CH272" s="3"/>
      <c r="CI272" s="3"/>
      <c r="CJ272" s="3"/>
      <c r="CK272" s="3"/>
      <c r="CL272" s="3"/>
      <c r="CM272" s="3"/>
      <c r="CN272" s="3"/>
      <c r="CO272" s="3"/>
      <c r="CP272" s="3"/>
      <c r="CQ272" s="3"/>
      <c r="DE272" s="319" t="s">
        <v>684</v>
      </c>
      <c r="DF272" s="3">
        <v>0</v>
      </c>
      <c r="DG272" s="3">
        <v>0</v>
      </c>
      <c r="DH272" s="3">
        <v>0</v>
      </c>
      <c r="DI272" s="3">
        <v>0</v>
      </c>
      <c r="DJ272" s="3">
        <v>0</v>
      </c>
      <c r="DK272" s="3">
        <v>0</v>
      </c>
      <c r="DL272" s="3">
        <v>0</v>
      </c>
      <c r="DM272" s="3">
        <v>0</v>
      </c>
      <c r="DN272" s="3">
        <v>0</v>
      </c>
      <c r="DO272" s="3">
        <v>0</v>
      </c>
      <c r="GW272" s="319" t="s">
        <v>1260</v>
      </c>
      <c r="GX272" s="3"/>
      <c r="GY272" s="3"/>
      <c r="GZ272" s="3"/>
      <c r="HA272" s="3"/>
      <c r="HB272" s="3"/>
      <c r="HC272" s="3"/>
      <c r="HD272" s="3"/>
      <c r="HE272" s="3"/>
      <c r="HF272" s="3"/>
      <c r="HG272" s="3"/>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c r="IU272"/>
      <c r="IV272"/>
    </row>
    <row r="273" spans="13:256" s="319" customFormat="1" ht="12.75" customHeight="1">
      <c r="M273" s="319" t="s">
        <v>2464</v>
      </c>
      <c r="N273" s="3">
        <v>0</v>
      </c>
      <c r="O273" s="3">
        <v>0</v>
      </c>
      <c r="P273" s="3">
        <v>0</v>
      </c>
      <c r="Q273" s="3">
        <v>0</v>
      </c>
      <c r="R273" s="3">
        <v>0</v>
      </c>
      <c r="S273" s="3">
        <v>0</v>
      </c>
      <c r="T273" s="3">
        <v>0</v>
      </c>
      <c r="U273" s="3">
        <v>0</v>
      </c>
      <c r="V273" s="3">
        <v>0</v>
      </c>
      <c r="W273" s="3">
        <v>0</v>
      </c>
      <c r="CG273" s="319" t="s">
        <v>226</v>
      </c>
      <c r="CH273" s="3"/>
      <c r="CI273" s="3"/>
      <c r="CJ273" s="3"/>
      <c r="CK273" s="3"/>
      <c r="CL273" s="3"/>
      <c r="CM273" s="3"/>
      <c r="CN273" s="3"/>
      <c r="CO273" s="3"/>
      <c r="CP273" s="3"/>
      <c r="CQ273" s="3"/>
      <c r="DE273" s="319" t="s">
        <v>685</v>
      </c>
      <c r="DF273" s="3"/>
      <c r="DG273" s="3"/>
      <c r="DH273" s="3"/>
      <c r="DI273" s="3"/>
      <c r="DJ273" s="3"/>
      <c r="DK273" s="3"/>
      <c r="DL273" s="3"/>
      <c r="DM273" s="3"/>
      <c r="DN273" s="3"/>
      <c r="DO273" s="3"/>
      <c r="GW273" s="319" t="s">
        <v>1261</v>
      </c>
      <c r="GX273" s="3"/>
      <c r="GY273" s="3"/>
      <c r="GZ273" s="3"/>
      <c r="HA273" s="3"/>
      <c r="HB273" s="3"/>
      <c r="HC273" s="3"/>
      <c r="HD273" s="3"/>
      <c r="HE273" s="3"/>
      <c r="HF273" s="3"/>
      <c r="HG273" s="3"/>
      <c r="HH273"/>
      <c r="HI273"/>
      <c r="HJ273"/>
      <c r="HK273"/>
      <c r="HL273"/>
      <c r="HM273"/>
      <c r="HN273"/>
      <c r="HO273"/>
      <c r="HP273"/>
      <c r="HQ273"/>
      <c r="HR273"/>
      <c r="HS273"/>
      <c r="HT273"/>
      <c r="HU273"/>
      <c r="HV273"/>
      <c r="HW273"/>
      <c r="HX273"/>
      <c r="HY273"/>
      <c r="HZ273"/>
      <c r="IA273"/>
      <c r="IB273"/>
      <c r="IC273"/>
      <c r="ID273"/>
      <c r="IE273"/>
      <c r="IF273"/>
      <c r="IG273"/>
      <c r="IH273"/>
      <c r="II273"/>
      <c r="IJ273"/>
      <c r="IK273"/>
      <c r="IL273"/>
      <c r="IM273"/>
      <c r="IN273"/>
      <c r="IO273"/>
      <c r="IP273"/>
      <c r="IQ273"/>
      <c r="IR273"/>
      <c r="IS273"/>
      <c r="IT273"/>
      <c r="IU273"/>
      <c r="IV273"/>
    </row>
    <row r="274" spans="13:256" s="319" customFormat="1" ht="12.75" customHeight="1">
      <c r="M274" s="319" t="s">
        <v>423</v>
      </c>
      <c r="N274" s="3"/>
      <c r="O274" s="3"/>
      <c r="P274" s="3"/>
      <c r="Q274" s="3"/>
      <c r="R274" s="3"/>
      <c r="S274" s="3"/>
      <c r="T274" s="3"/>
      <c r="U274" s="3"/>
      <c r="V274" s="3"/>
      <c r="W274" s="3"/>
      <c r="CG274" s="319" t="s">
        <v>227</v>
      </c>
      <c r="CH274" s="3"/>
      <c r="CI274" s="3"/>
      <c r="CJ274" s="3"/>
      <c r="CK274" s="3"/>
      <c r="CL274" s="3"/>
      <c r="CM274" s="3"/>
      <c r="CN274" s="3"/>
      <c r="CO274" s="3"/>
      <c r="CP274" s="3"/>
      <c r="CQ274" s="3"/>
      <c r="DE274" s="319" t="s">
        <v>686</v>
      </c>
      <c r="DF274" s="3"/>
      <c r="DG274" s="3"/>
      <c r="DH274" s="3"/>
      <c r="DI274" s="3"/>
      <c r="DJ274" s="3"/>
      <c r="DK274" s="3"/>
      <c r="DL274" s="3"/>
      <c r="DM274" s="3"/>
      <c r="DN274" s="3"/>
      <c r="DO274" s="3"/>
      <c r="GW274" s="319" t="s">
        <v>1262</v>
      </c>
      <c r="GX274" s="3"/>
      <c r="GY274" s="3"/>
      <c r="GZ274" s="3"/>
      <c r="HA274" s="3"/>
      <c r="HB274" s="3"/>
      <c r="HC274" s="3"/>
      <c r="HD274" s="3"/>
      <c r="HE274" s="3"/>
      <c r="HF274" s="3"/>
      <c r="HG274" s="3"/>
      <c r="HH274"/>
      <c r="HI274"/>
      <c r="HJ274"/>
      <c r="HK274"/>
      <c r="HL274"/>
      <c r="HM274"/>
      <c r="HN274"/>
      <c r="HO274"/>
      <c r="HP274"/>
      <c r="HQ274"/>
      <c r="HR274"/>
      <c r="HS274"/>
      <c r="HT274"/>
      <c r="HU274"/>
      <c r="HV274"/>
      <c r="HW274"/>
      <c r="HX274"/>
      <c r="HY274"/>
      <c r="HZ274"/>
      <c r="IA274"/>
      <c r="IB274"/>
      <c r="IC274"/>
      <c r="ID274"/>
      <c r="IE274"/>
      <c r="IF274"/>
      <c r="IG274"/>
      <c r="IH274"/>
      <c r="II274"/>
      <c r="IJ274"/>
      <c r="IK274"/>
      <c r="IL274"/>
      <c r="IM274"/>
      <c r="IN274"/>
      <c r="IO274"/>
      <c r="IP274"/>
      <c r="IQ274"/>
      <c r="IR274"/>
      <c r="IS274"/>
      <c r="IT274"/>
      <c r="IU274"/>
      <c r="IV274"/>
    </row>
    <row r="275" spans="13:256" s="319" customFormat="1" ht="12.75" customHeight="1">
      <c r="M275" s="319" t="s">
        <v>554</v>
      </c>
      <c r="N275" s="3"/>
      <c r="O275" s="3"/>
      <c r="P275" s="3"/>
      <c r="Q275" s="3"/>
      <c r="R275" s="3"/>
      <c r="S275" s="3"/>
      <c r="T275" s="3"/>
      <c r="U275" s="3"/>
      <c r="V275" s="3"/>
      <c r="W275" s="3"/>
      <c r="CG275" s="319" t="s">
        <v>2561</v>
      </c>
      <c r="CH275" s="3"/>
      <c r="CI275" s="3"/>
      <c r="CJ275" s="3"/>
      <c r="CK275" s="3"/>
      <c r="CL275" s="3"/>
      <c r="CM275" s="3"/>
      <c r="CN275" s="3"/>
      <c r="CO275" s="3"/>
      <c r="CP275" s="3"/>
      <c r="CQ275" s="3"/>
      <c r="DE275" s="319" t="s">
        <v>4943</v>
      </c>
      <c r="DF275" s="3">
        <v>0</v>
      </c>
      <c r="DG275" s="3">
        <v>0</v>
      </c>
      <c r="DH275" s="3">
        <v>0</v>
      </c>
      <c r="DI275" s="3">
        <v>0</v>
      </c>
      <c r="DJ275" s="3">
        <v>0</v>
      </c>
      <c r="DK275" s="3">
        <v>0</v>
      </c>
      <c r="DL275" s="3">
        <v>0</v>
      </c>
      <c r="DM275" s="3">
        <v>0</v>
      </c>
      <c r="DN275" s="3">
        <v>0</v>
      </c>
      <c r="DO275" s="3">
        <v>0</v>
      </c>
      <c r="GW275" s="319" t="s">
        <v>2149</v>
      </c>
      <c r="GX275" s="3"/>
      <c r="GY275" s="3"/>
      <c r="GZ275" s="3"/>
      <c r="HA275" s="3"/>
      <c r="HB275" s="3"/>
      <c r="HC275" s="3"/>
      <c r="HD275" s="3"/>
      <c r="HE275" s="3"/>
      <c r="HF275" s="3"/>
      <c r="HG275" s="3"/>
      <c r="HH275"/>
      <c r="HI275"/>
      <c r="HJ275"/>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c r="IU275"/>
      <c r="IV275"/>
    </row>
    <row r="276" spans="13:256" s="556" customFormat="1" ht="12.75" customHeight="1">
      <c r="M276" s="556" t="s">
        <v>4002</v>
      </c>
      <c r="N276" s="646">
        <v>0</v>
      </c>
      <c r="O276" s="646">
        <v>0</v>
      </c>
      <c r="P276" s="646">
        <v>0</v>
      </c>
      <c r="Q276" s="646">
        <v>0</v>
      </c>
      <c r="R276" s="646">
        <v>0</v>
      </c>
      <c r="S276" s="646">
        <v>0</v>
      </c>
      <c r="T276" s="646">
        <v>0</v>
      </c>
      <c r="U276" s="646">
        <v>0</v>
      </c>
      <c r="V276" s="646">
        <v>0</v>
      </c>
      <c r="W276" s="646">
        <v>0</v>
      </c>
      <c r="CG276" s="556" t="s">
        <v>2547</v>
      </c>
      <c r="CH276" s="646"/>
      <c r="CI276" s="646"/>
      <c r="CJ276" s="646"/>
      <c r="CK276" s="646"/>
      <c r="CL276" s="646"/>
      <c r="CM276" s="646"/>
      <c r="CN276" s="646"/>
      <c r="CO276" s="646"/>
      <c r="CP276" s="646"/>
      <c r="CQ276" s="646"/>
      <c r="GW276" s="556" t="s">
        <v>384</v>
      </c>
      <c r="GX276" s="646"/>
      <c r="GY276" s="646"/>
      <c r="GZ276" s="646"/>
      <c r="HA276" s="646"/>
      <c r="HB276" s="646"/>
      <c r="HC276" s="646"/>
      <c r="HD276" s="646"/>
      <c r="HE276" s="646"/>
      <c r="HF276" s="646"/>
      <c r="HG276" s="64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c r="IS276"/>
      <c r="IT276"/>
      <c r="IU276"/>
      <c r="IV276"/>
    </row>
    <row r="277" spans="13:256" s="556" customFormat="1" ht="12.75" customHeight="1">
      <c r="M277" s="556" t="s">
        <v>404</v>
      </c>
      <c r="N277" s="646">
        <v>0</v>
      </c>
      <c r="O277" s="646">
        <v>0</v>
      </c>
      <c r="P277" s="646">
        <v>0</v>
      </c>
      <c r="Q277" s="646">
        <v>0</v>
      </c>
      <c r="R277" s="646">
        <v>0</v>
      </c>
      <c r="S277" s="646">
        <v>0</v>
      </c>
      <c r="T277" s="646">
        <v>0</v>
      </c>
      <c r="U277" s="646">
        <v>0</v>
      </c>
      <c r="V277" s="646">
        <v>0</v>
      </c>
      <c r="W277" s="646">
        <v>0</v>
      </c>
      <c r="CG277" s="556" t="s">
        <v>1071</v>
      </c>
      <c r="CH277" s="646"/>
      <c r="CI277" s="646"/>
      <c r="CJ277" s="646"/>
      <c r="CK277" s="646"/>
      <c r="CL277" s="646"/>
      <c r="CM277" s="646"/>
      <c r="CN277" s="646"/>
      <c r="CO277" s="646"/>
      <c r="CP277" s="646"/>
      <c r="CQ277" s="646"/>
      <c r="GW277" s="556" t="s">
        <v>385</v>
      </c>
      <c r="GX277" s="646"/>
      <c r="GY277" s="646"/>
      <c r="GZ277" s="646"/>
      <c r="HA277" s="646"/>
      <c r="HB277" s="646"/>
      <c r="HC277" s="646"/>
      <c r="HD277" s="646"/>
      <c r="HE277" s="646"/>
      <c r="HF277" s="646"/>
      <c r="HG277" s="646"/>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c r="IN277"/>
      <c r="IO277"/>
      <c r="IP277"/>
      <c r="IQ277"/>
      <c r="IR277"/>
      <c r="IS277"/>
      <c r="IT277"/>
      <c r="IU277"/>
      <c r="IV277"/>
    </row>
    <row r="278" spans="13:256" s="556" customFormat="1" ht="12.75" customHeight="1">
      <c r="M278" s="556" t="s">
        <v>405</v>
      </c>
      <c r="N278" s="646">
        <v>0</v>
      </c>
      <c r="O278" s="646">
        <v>0</v>
      </c>
      <c r="P278" s="646">
        <v>0</v>
      </c>
      <c r="Q278" s="646">
        <v>0</v>
      </c>
      <c r="R278" s="646">
        <v>0</v>
      </c>
      <c r="S278" s="646">
        <v>0</v>
      </c>
      <c r="T278" s="646">
        <v>0</v>
      </c>
      <c r="U278" s="646">
        <v>0</v>
      </c>
      <c r="V278" s="646">
        <v>0</v>
      </c>
      <c r="W278" s="646">
        <v>0</v>
      </c>
      <c r="CG278" s="556" t="s">
        <v>1072</v>
      </c>
      <c r="CH278" s="646">
        <v>0</v>
      </c>
      <c r="CI278" s="646">
        <v>0</v>
      </c>
      <c r="CJ278" s="646">
        <v>0</v>
      </c>
      <c r="CK278" s="646">
        <v>0</v>
      </c>
      <c r="CL278" s="646">
        <v>0</v>
      </c>
      <c r="CM278" s="646">
        <v>0</v>
      </c>
      <c r="CN278" s="646">
        <v>0</v>
      </c>
      <c r="CO278" s="646">
        <v>0</v>
      </c>
      <c r="CP278" s="646">
        <v>0</v>
      </c>
      <c r="CQ278" s="646">
        <v>0</v>
      </c>
      <c r="GW278" s="556" t="s">
        <v>386</v>
      </c>
      <c r="GX278" s="646"/>
      <c r="GY278" s="646"/>
      <c r="GZ278" s="646"/>
      <c r="HA278" s="646"/>
      <c r="HB278" s="646"/>
      <c r="HC278" s="646"/>
      <c r="HD278" s="646"/>
      <c r="HE278" s="646"/>
      <c r="HF278" s="646"/>
      <c r="HG278" s="646"/>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c r="IU278"/>
      <c r="IV278"/>
    </row>
    <row r="279" spans="13:256" s="556" customFormat="1" ht="12.75" customHeight="1">
      <c r="M279" s="556" t="s">
        <v>3195</v>
      </c>
      <c r="N279" s="646">
        <v>0</v>
      </c>
      <c r="O279" s="646">
        <v>0</v>
      </c>
      <c r="P279" s="646">
        <v>0</v>
      </c>
      <c r="Q279" s="646">
        <v>0</v>
      </c>
      <c r="R279" s="646">
        <v>0</v>
      </c>
      <c r="S279" s="646">
        <v>0</v>
      </c>
      <c r="T279" s="646">
        <v>0</v>
      </c>
      <c r="U279" s="646">
        <v>0</v>
      </c>
      <c r="V279" s="646">
        <v>0</v>
      </c>
      <c r="W279" s="646">
        <v>0</v>
      </c>
      <c r="CG279" s="556" t="s">
        <v>1073</v>
      </c>
      <c r="CH279" s="646">
        <v>0</v>
      </c>
      <c r="CI279" s="646">
        <v>0</v>
      </c>
      <c r="CJ279" s="646">
        <v>0</v>
      </c>
      <c r="CK279" s="646">
        <v>0</v>
      </c>
      <c r="CL279" s="646">
        <v>0</v>
      </c>
      <c r="CM279" s="646">
        <v>0</v>
      </c>
      <c r="CN279" s="646">
        <v>0</v>
      </c>
      <c r="CO279" s="646">
        <v>0</v>
      </c>
      <c r="CP279" s="646">
        <v>0</v>
      </c>
      <c r="CQ279" s="646">
        <v>0</v>
      </c>
      <c r="GW279" s="556" t="s">
        <v>1459</v>
      </c>
      <c r="GX279" s="646"/>
      <c r="GY279" s="646"/>
      <c r="GZ279" s="646"/>
      <c r="HA279" s="646"/>
      <c r="HB279" s="646"/>
      <c r="HC279" s="646"/>
      <c r="HD279" s="646"/>
      <c r="HE279" s="646"/>
      <c r="HF279" s="646"/>
      <c r="HG279" s="646"/>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c r="IU279"/>
      <c r="IV279"/>
    </row>
    <row r="280" spans="13:256" s="556" customFormat="1" ht="12.75" customHeight="1">
      <c r="M280" s="556" t="s">
        <v>3194</v>
      </c>
      <c r="N280" s="646">
        <v>0</v>
      </c>
      <c r="O280" s="646">
        <v>0</v>
      </c>
      <c r="P280" s="646">
        <v>0</v>
      </c>
      <c r="Q280" s="646">
        <v>0</v>
      </c>
      <c r="R280" s="646">
        <v>0</v>
      </c>
      <c r="S280" s="646">
        <v>0</v>
      </c>
      <c r="T280" s="646">
        <v>0</v>
      </c>
      <c r="U280" s="646">
        <v>0</v>
      </c>
      <c r="V280" s="646">
        <v>0</v>
      </c>
      <c r="W280" s="646">
        <v>0</v>
      </c>
      <c r="CG280" s="556" t="s">
        <v>5738</v>
      </c>
      <c r="CH280" s="646"/>
      <c r="CI280" s="646">
        <v>2</v>
      </c>
      <c r="CJ280" s="646">
        <v>2</v>
      </c>
      <c r="CK280" s="646">
        <v>2</v>
      </c>
      <c r="CL280" s="646">
        <v>2</v>
      </c>
      <c r="CM280" s="646"/>
      <c r="CN280" s="646">
        <v>2</v>
      </c>
      <c r="CO280" s="646">
        <v>2</v>
      </c>
      <c r="CP280" s="646">
        <v>2</v>
      </c>
      <c r="CQ280" s="646">
        <v>2</v>
      </c>
      <c r="GW280" s="556" t="s">
        <v>1460</v>
      </c>
      <c r="GX280" s="646"/>
      <c r="GY280" s="646"/>
      <c r="GZ280" s="646"/>
      <c r="HA280" s="646"/>
      <c r="HB280" s="646"/>
      <c r="HC280" s="646"/>
      <c r="HD280" s="646"/>
      <c r="HE280" s="646"/>
      <c r="HF280" s="646"/>
      <c r="HG280" s="646"/>
      <c r="HH280"/>
      <c r="HI280"/>
      <c r="HJ280"/>
      <c r="HK280"/>
      <c r="HL280"/>
      <c r="HM280"/>
      <c r="HN280"/>
      <c r="HO280"/>
      <c r="HP280"/>
      <c r="HQ280"/>
      <c r="HR280"/>
      <c r="HS280"/>
      <c r="HT280"/>
      <c r="HU280"/>
      <c r="HV280"/>
      <c r="HW280"/>
      <c r="HX280"/>
      <c r="HY280"/>
      <c r="HZ280"/>
      <c r="IA280"/>
      <c r="IB280"/>
      <c r="IC280"/>
      <c r="ID280"/>
      <c r="IE280"/>
      <c r="IF280"/>
      <c r="IG280"/>
      <c r="IH280"/>
      <c r="II280"/>
      <c r="IJ280"/>
      <c r="IK280"/>
      <c r="IL280"/>
      <c r="IM280"/>
      <c r="IN280"/>
      <c r="IO280"/>
      <c r="IP280"/>
      <c r="IQ280"/>
      <c r="IR280"/>
      <c r="IS280"/>
      <c r="IT280"/>
      <c r="IU280"/>
      <c r="IV280"/>
    </row>
    <row r="281" spans="13:256" s="556" customFormat="1" ht="12.75" customHeight="1">
      <c r="M281" s="556" t="s">
        <v>3196</v>
      </c>
      <c r="N281" s="646"/>
      <c r="O281" s="646"/>
      <c r="P281" s="646"/>
      <c r="Q281" s="646"/>
      <c r="R281" s="646"/>
      <c r="S281" s="646"/>
      <c r="T281" s="646"/>
      <c r="U281" s="646"/>
      <c r="V281" s="646"/>
      <c r="W281" s="646"/>
      <c r="CG281" s="556" t="s">
        <v>5782</v>
      </c>
      <c r="CH281" s="646"/>
      <c r="CI281" s="646">
        <v>12</v>
      </c>
      <c r="CJ281" s="646">
        <v>12</v>
      </c>
      <c r="CK281" s="646">
        <v>12</v>
      </c>
      <c r="CL281" s="646">
        <v>12</v>
      </c>
      <c r="CM281" s="646"/>
      <c r="CN281" s="646">
        <v>12</v>
      </c>
      <c r="CO281" s="646">
        <v>12</v>
      </c>
      <c r="CP281" s="646">
        <v>12</v>
      </c>
      <c r="CQ281" s="646">
        <v>12</v>
      </c>
      <c r="GW281" s="556" t="s">
        <v>2581</v>
      </c>
      <c r="GX281" s="646"/>
      <c r="GY281" s="646"/>
      <c r="GZ281" s="646"/>
      <c r="HA281" s="646"/>
      <c r="HB281" s="646"/>
      <c r="HC281" s="646"/>
      <c r="HD281" s="646"/>
      <c r="HE281" s="646"/>
      <c r="HF281" s="646"/>
      <c r="HG281" s="646"/>
      <c r="HH281"/>
      <c r="HI281"/>
      <c r="HJ281"/>
      <c r="HK281"/>
      <c r="HL281"/>
      <c r="HM281"/>
      <c r="HN281"/>
      <c r="HO281"/>
      <c r="HP281"/>
      <c r="HQ281"/>
      <c r="HR281"/>
      <c r="HS281"/>
      <c r="HT281"/>
      <c r="HU281"/>
      <c r="HV281"/>
      <c r="HW281"/>
      <c r="HX281"/>
      <c r="HY281"/>
      <c r="HZ281"/>
      <c r="IA281"/>
      <c r="IB281"/>
      <c r="IC281"/>
      <c r="ID281"/>
      <c r="IE281"/>
      <c r="IF281"/>
      <c r="IG281"/>
      <c r="IH281"/>
      <c r="II281"/>
      <c r="IJ281"/>
      <c r="IK281"/>
      <c r="IL281"/>
      <c r="IM281"/>
      <c r="IN281"/>
      <c r="IO281"/>
      <c r="IP281"/>
      <c r="IQ281"/>
      <c r="IR281"/>
      <c r="IS281"/>
      <c r="IT281"/>
      <c r="IU281"/>
      <c r="IV281"/>
    </row>
    <row r="282" spans="13:256" s="556" customFormat="1" ht="12.75" customHeight="1">
      <c r="M282" s="556" t="s">
        <v>3197</v>
      </c>
      <c r="N282" s="646">
        <v>0</v>
      </c>
      <c r="O282" s="646">
        <v>0</v>
      </c>
      <c r="P282" s="646">
        <v>0</v>
      </c>
      <c r="Q282" s="646">
        <v>0</v>
      </c>
      <c r="R282" s="646">
        <v>0</v>
      </c>
      <c r="S282" s="646">
        <v>0</v>
      </c>
      <c r="T282" s="646">
        <v>0</v>
      </c>
      <c r="U282" s="646">
        <v>0</v>
      </c>
      <c r="V282" s="646">
        <v>0</v>
      </c>
      <c r="W282" s="646">
        <v>0</v>
      </c>
      <c r="CG282" s="556" t="s">
        <v>5783</v>
      </c>
      <c r="CH282" s="646"/>
      <c r="CI282" s="646"/>
      <c r="CJ282" s="646"/>
      <c r="CK282" s="646"/>
      <c r="CL282" s="646"/>
      <c r="CM282" s="646"/>
      <c r="CN282" s="646"/>
      <c r="CO282" s="646"/>
      <c r="CP282" s="646"/>
      <c r="CQ282" s="646"/>
      <c r="GW282" s="556" t="s">
        <v>2832</v>
      </c>
      <c r="GX282" s="646"/>
      <c r="GY282" s="646"/>
      <c r="GZ282" s="646"/>
      <c r="HA282" s="646"/>
      <c r="HB282" s="646"/>
      <c r="HC282" s="646"/>
      <c r="HD282" s="646"/>
      <c r="HE282" s="646"/>
      <c r="HF282" s="646"/>
      <c r="HG282" s="646"/>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c r="IU282"/>
      <c r="IV282"/>
    </row>
    <row r="283" spans="13:256" s="556" customFormat="1" ht="12.75" customHeight="1">
      <c r="M283" s="556" t="s">
        <v>2609</v>
      </c>
      <c r="N283" s="646">
        <v>0</v>
      </c>
      <c r="O283" s="646">
        <v>0</v>
      </c>
      <c r="P283" s="646">
        <v>0</v>
      </c>
      <c r="Q283" s="646">
        <v>0</v>
      </c>
      <c r="R283" s="646">
        <v>0</v>
      </c>
      <c r="S283" s="646">
        <v>0</v>
      </c>
      <c r="T283" s="646">
        <v>0</v>
      </c>
      <c r="U283" s="646">
        <v>0</v>
      </c>
      <c r="V283" s="646">
        <v>0</v>
      </c>
      <c r="W283" s="646">
        <v>0</v>
      </c>
      <c r="CG283" s="556" t="s">
        <v>3391</v>
      </c>
      <c r="CH283" s="646">
        <v>0</v>
      </c>
      <c r="CI283" s="646">
        <v>0</v>
      </c>
      <c r="CJ283" s="646">
        <v>0</v>
      </c>
      <c r="CK283" s="646">
        <v>0</v>
      </c>
      <c r="CL283" s="646">
        <v>0</v>
      </c>
      <c r="CM283" s="646">
        <v>0</v>
      </c>
      <c r="CN283" s="646">
        <v>0</v>
      </c>
      <c r="CO283" s="646">
        <v>0</v>
      </c>
      <c r="CP283" s="646">
        <v>0</v>
      </c>
      <c r="CQ283" s="646">
        <v>0</v>
      </c>
      <c r="GW283" s="556" t="s">
        <v>5666</v>
      </c>
      <c r="GX283" s="646"/>
      <c r="GY283" s="646"/>
      <c r="GZ283" s="646"/>
      <c r="HA283" s="646"/>
      <c r="HB283" s="646"/>
      <c r="HC283" s="646"/>
      <c r="HD283" s="646"/>
      <c r="HE283" s="646"/>
      <c r="HF283" s="646"/>
      <c r="HG283" s="646"/>
      <c r="HH283"/>
      <c r="HI283"/>
      <c r="HJ283"/>
      <c r="HK283"/>
      <c r="HL283"/>
      <c r="HM283"/>
      <c r="HN283"/>
      <c r="HO283"/>
      <c r="HP283"/>
      <c r="HQ283"/>
      <c r="HR283"/>
      <c r="HS283"/>
      <c r="HT283"/>
      <c r="HU283"/>
      <c r="HV283"/>
      <c r="HW283"/>
      <c r="HX283"/>
      <c r="HY283"/>
      <c r="HZ283"/>
      <c r="IA283"/>
      <c r="IB283"/>
      <c r="IC283"/>
      <c r="ID283"/>
      <c r="IE283"/>
      <c r="IF283"/>
      <c r="IG283"/>
      <c r="IH283"/>
      <c r="II283"/>
      <c r="IJ283"/>
      <c r="IK283"/>
      <c r="IL283"/>
      <c r="IM283"/>
      <c r="IN283"/>
      <c r="IO283"/>
      <c r="IP283"/>
      <c r="IQ283"/>
      <c r="IR283"/>
      <c r="IS283"/>
      <c r="IT283"/>
      <c r="IU283"/>
      <c r="IV283"/>
    </row>
    <row r="284" spans="13:256" s="556" customFormat="1" ht="12.75" customHeight="1">
      <c r="M284" s="556" t="s">
        <v>2894</v>
      </c>
      <c r="N284" s="646"/>
      <c r="O284" s="646"/>
      <c r="P284" s="646"/>
      <c r="Q284" s="646"/>
      <c r="R284" s="646"/>
      <c r="S284" s="646"/>
      <c r="T284" s="646"/>
      <c r="U284" s="646"/>
      <c r="V284" s="646"/>
      <c r="W284" s="646"/>
      <c r="CG284" s="556" t="s">
        <v>3392</v>
      </c>
      <c r="CH284" s="646">
        <v>0</v>
      </c>
      <c r="CI284" s="646">
        <v>0</v>
      </c>
      <c r="CJ284" s="646">
        <v>0</v>
      </c>
      <c r="CK284" s="646">
        <v>0</v>
      </c>
      <c r="CL284" s="646">
        <v>0</v>
      </c>
      <c r="CM284" s="646">
        <v>0</v>
      </c>
      <c r="CN284" s="646">
        <v>0</v>
      </c>
      <c r="CO284" s="646">
        <v>0</v>
      </c>
      <c r="CP284" s="646">
        <v>0</v>
      </c>
      <c r="CQ284" s="646">
        <v>0</v>
      </c>
      <c r="GW284" s="556" t="s">
        <v>101</v>
      </c>
      <c r="GX284" s="646"/>
      <c r="GY284" s="646"/>
      <c r="GZ284" s="646"/>
      <c r="HA284" s="646"/>
      <c r="HB284" s="646"/>
      <c r="HC284" s="646"/>
      <c r="HD284" s="646"/>
      <c r="HE284" s="646"/>
      <c r="HF284" s="646"/>
      <c r="HG284" s="646"/>
      <c r="HH284"/>
      <c r="HI284"/>
      <c r="HJ284"/>
      <c r="HK284"/>
      <c r="HL284"/>
      <c r="HM284"/>
      <c r="HN284"/>
      <c r="HO284"/>
      <c r="HP284"/>
      <c r="HQ284"/>
      <c r="HR284"/>
      <c r="HS284"/>
      <c r="HT284"/>
      <c r="HU284"/>
      <c r="HV284"/>
      <c r="HW284"/>
      <c r="HX284"/>
      <c r="HY284"/>
      <c r="HZ284"/>
      <c r="IA284"/>
      <c r="IB284"/>
      <c r="IC284"/>
      <c r="ID284"/>
      <c r="IE284"/>
      <c r="IF284"/>
      <c r="IG284"/>
      <c r="IH284"/>
      <c r="II284"/>
      <c r="IJ284"/>
      <c r="IK284"/>
      <c r="IL284"/>
      <c r="IM284"/>
      <c r="IN284"/>
      <c r="IO284"/>
      <c r="IP284"/>
      <c r="IQ284"/>
      <c r="IR284"/>
      <c r="IS284"/>
      <c r="IT284"/>
      <c r="IU284"/>
      <c r="IV284"/>
    </row>
    <row r="285" spans="13:256" s="556" customFormat="1" ht="12.75" customHeight="1">
      <c r="M285" s="556" t="s">
        <v>2895</v>
      </c>
      <c r="N285" s="646">
        <v>0</v>
      </c>
      <c r="O285" s="646">
        <v>0</v>
      </c>
      <c r="P285" s="646">
        <v>0</v>
      </c>
      <c r="Q285" s="646">
        <v>0</v>
      </c>
      <c r="R285" s="646">
        <v>0</v>
      </c>
      <c r="S285" s="646">
        <v>0</v>
      </c>
      <c r="T285" s="646">
        <v>0</v>
      </c>
      <c r="U285" s="646">
        <v>0</v>
      </c>
      <c r="V285" s="646">
        <v>0</v>
      </c>
      <c r="W285" s="646">
        <v>0</v>
      </c>
      <c r="CG285" s="556" t="s">
        <v>3393</v>
      </c>
      <c r="CH285" s="646"/>
      <c r="CI285" s="646"/>
      <c r="CJ285" s="646"/>
      <c r="CK285" s="646"/>
      <c r="CL285" s="646"/>
      <c r="CM285" s="646"/>
      <c r="CN285" s="646"/>
      <c r="CO285" s="646"/>
      <c r="CP285" s="646"/>
      <c r="CQ285" s="646"/>
      <c r="GW285" s="556" t="s">
        <v>5860</v>
      </c>
      <c r="GX285" s="646"/>
      <c r="GY285" s="646"/>
      <c r="GZ285" s="646"/>
      <c r="HA285" s="646"/>
      <c r="HB285" s="646"/>
      <c r="HC285" s="646"/>
      <c r="HD285" s="646"/>
      <c r="HE285" s="646"/>
      <c r="HF285" s="646"/>
      <c r="HG285" s="646"/>
      <c r="HH285"/>
      <c r="HI285"/>
      <c r="HJ285"/>
      <c r="HK285"/>
      <c r="HL285"/>
      <c r="HM285"/>
      <c r="HN285"/>
      <c r="HO285"/>
      <c r="HP285"/>
      <c r="HQ285"/>
      <c r="HR285"/>
      <c r="HS285"/>
      <c r="HT285"/>
      <c r="HU285"/>
      <c r="HV285"/>
      <c r="HW285"/>
      <c r="HX285"/>
      <c r="HY285"/>
      <c r="HZ285"/>
      <c r="IA285"/>
      <c r="IB285"/>
      <c r="IC285"/>
      <c r="ID285"/>
      <c r="IE285"/>
      <c r="IF285"/>
      <c r="IG285"/>
      <c r="IH285"/>
      <c r="II285"/>
      <c r="IJ285"/>
      <c r="IK285"/>
      <c r="IL285"/>
      <c r="IM285"/>
      <c r="IN285"/>
      <c r="IO285"/>
      <c r="IP285"/>
      <c r="IQ285"/>
      <c r="IR285"/>
      <c r="IS285"/>
      <c r="IT285"/>
      <c r="IU285"/>
      <c r="IV285"/>
    </row>
    <row r="286" spans="13:256" s="556" customFormat="1" ht="12.75" customHeight="1">
      <c r="M286" s="556" t="s">
        <v>2896</v>
      </c>
      <c r="N286" s="646">
        <v>0</v>
      </c>
      <c r="O286" s="646">
        <v>0</v>
      </c>
      <c r="P286" s="646">
        <v>0</v>
      </c>
      <c r="Q286" s="646">
        <v>0</v>
      </c>
      <c r="R286" s="646">
        <v>0</v>
      </c>
      <c r="S286" s="646">
        <v>0</v>
      </c>
      <c r="T286" s="646">
        <v>0</v>
      </c>
      <c r="U286" s="646">
        <v>0</v>
      </c>
      <c r="V286" s="646">
        <v>0</v>
      </c>
      <c r="W286" s="646">
        <v>0</v>
      </c>
      <c r="CG286" s="556" t="s">
        <v>3394</v>
      </c>
      <c r="CH286" s="646"/>
      <c r="CI286" s="646"/>
      <c r="CJ286" s="646"/>
      <c r="CK286" s="646"/>
      <c r="CL286" s="646"/>
      <c r="CM286" s="646"/>
      <c r="CN286" s="646"/>
      <c r="CO286" s="646"/>
      <c r="CP286" s="646"/>
      <c r="CQ286" s="646"/>
      <c r="GW286" s="556" t="s">
        <v>5861</v>
      </c>
      <c r="GX286" s="646"/>
      <c r="GY286" s="646"/>
      <c r="GZ286" s="646"/>
      <c r="HA286" s="646"/>
      <c r="HB286" s="646"/>
      <c r="HC286" s="646"/>
      <c r="HD286" s="646"/>
      <c r="HE286" s="646"/>
      <c r="HF286" s="646"/>
      <c r="HG286" s="646"/>
      <c r="HH286"/>
      <c r="HI286"/>
      <c r="HJ286"/>
      <c r="HK286"/>
      <c r="HL286"/>
      <c r="HM286"/>
      <c r="HN286"/>
      <c r="HO286"/>
      <c r="HP286"/>
      <c r="HQ286"/>
      <c r="HR286"/>
      <c r="HS286"/>
      <c r="HT286"/>
      <c r="HU286"/>
      <c r="HV286"/>
      <c r="HW286"/>
      <c r="HX286"/>
      <c r="HY286"/>
      <c r="HZ286"/>
      <c r="IA286"/>
      <c r="IB286"/>
      <c r="IC286"/>
      <c r="ID286"/>
      <c r="IE286"/>
      <c r="IF286"/>
      <c r="IG286"/>
      <c r="IH286"/>
      <c r="II286"/>
      <c r="IJ286"/>
      <c r="IK286"/>
      <c r="IL286"/>
      <c r="IM286"/>
      <c r="IN286"/>
      <c r="IO286"/>
      <c r="IP286"/>
      <c r="IQ286"/>
      <c r="IR286"/>
      <c r="IS286"/>
      <c r="IT286"/>
      <c r="IU286"/>
      <c r="IV286"/>
    </row>
    <row r="287" spans="13:256" s="556" customFormat="1" ht="12.75" customHeight="1">
      <c r="M287" s="556" t="s">
        <v>408</v>
      </c>
      <c r="N287" s="646">
        <v>0</v>
      </c>
      <c r="O287" s="646">
        <v>0</v>
      </c>
      <c r="P287" s="646">
        <v>0</v>
      </c>
      <c r="Q287" s="646">
        <v>0</v>
      </c>
      <c r="R287" s="646">
        <v>0</v>
      </c>
      <c r="S287" s="646">
        <v>0</v>
      </c>
      <c r="T287" s="646">
        <v>0</v>
      </c>
      <c r="U287" s="646">
        <v>0</v>
      </c>
      <c r="V287" s="646">
        <v>0</v>
      </c>
      <c r="W287" s="646">
        <v>0</v>
      </c>
      <c r="CG287" s="556" t="s">
        <v>5695</v>
      </c>
      <c r="CH287" s="646">
        <v>0</v>
      </c>
      <c r="CI287" s="646">
        <v>0</v>
      </c>
      <c r="CJ287" s="646">
        <v>0</v>
      </c>
      <c r="CK287" s="646">
        <v>0</v>
      </c>
      <c r="CL287" s="646">
        <v>0</v>
      </c>
      <c r="CM287" s="646">
        <v>0</v>
      </c>
      <c r="CN287" s="646">
        <v>0</v>
      </c>
      <c r="CO287" s="646">
        <v>0</v>
      </c>
      <c r="CP287" s="646">
        <v>0</v>
      </c>
      <c r="CQ287" s="646">
        <v>0</v>
      </c>
      <c r="GW287" s="556" t="s">
        <v>424</v>
      </c>
      <c r="GX287" s="646"/>
      <c r="GY287" s="646"/>
      <c r="GZ287" s="646"/>
      <c r="HA287" s="646"/>
      <c r="HB287" s="646"/>
      <c r="HC287" s="646"/>
      <c r="HD287" s="646"/>
      <c r="HE287" s="646"/>
      <c r="HF287" s="646"/>
      <c r="HG287" s="646"/>
      <c r="HH287"/>
      <c r="HI287"/>
      <c r="HJ287"/>
      <c r="HK287"/>
      <c r="HL287"/>
      <c r="HM287"/>
      <c r="HN287"/>
      <c r="HO287"/>
      <c r="HP287"/>
      <c r="HQ287"/>
      <c r="HR287"/>
      <c r="HS287"/>
      <c r="HT287"/>
      <c r="HU287"/>
      <c r="HV287"/>
      <c r="HW287"/>
      <c r="HX287"/>
      <c r="HY287"/>
      <c r="HZ287"/>
      <c r="IA287"/>
      <c r="IB287"/>
      <c r="IC287"/>
      <c r="ID287"/>
      <c r="IE287"/>
      <c r="IF287"/>
      <c r="IG287"/>
      <c r="IH287"/>
      <c r="II287"/>
      <c r="IJ287"/>
      <c r="IK287"/>
      <c r="IL287"/>
      <c r="IM287"/>
      <c r="IN287"/>
      <c r="IO287"/>
      <c r="IP287"/>
      <c r="IQ287"/>
      <c r="IR287"/>
      <c r="IS287"/>
      <c r="IT287"/>
      <c r="IU287"/>
      <c r="IV287"/>
    </row>
    <row r="288" spans="13:256" s="556" customFormat="1" ht="12.75" customHeight="1">
      <c r="M288" s="556" t="s">
        <v>4815</v>
      </c>
      <c r="N288" s="646">
        <v>0</v>
      </c>
      <c r="O288" s="646">
        <v>0</v>
      </c>
      <c r="P288" s="646">
        <v>0</v>
      </c>
      <c r="Q288" s="646">
        <v>0</v>
      </c>
      <c r="R288" s="646">
        <v>0</v>
      </c>
      <c r="S288" s="646">
        <v>0</v>
      </c>
      <c r="T288" s="646">
        <v>0</v>
      </c>
      <c r="U288" s="646">
        <v>0</v>
      </c>
      <c r="V288" s="646">
        <v>0</v>
      </c>
      <c r="W288" s="646">
        <v>0</v>
      </c>
      <c r="CG288" s="556" t="s">
        <v>2785</v>
      </c>
      <c r="CH288" s="646">
        <v>0</v>
      </c>
      <c r="CI288" s="646">
        <v>0</v>
      </c>
      <c r="CJ288" s="646">
        <v>0</v>
      </c>
      <c r="CK288" s="646">
        <v>0</v>
      </c>
      <c r="CL288" s="646">
        <v>0</v>
      </c>
      <c r="CM288" s="646">
        <v>0</v>
      </c>
      <c r="CN288" s="646">
        <v>0</v>
      </c>
      <c r="CO288" s="646">
        <v>0</v>
      </c>
      <c r="CP288" s="646">
        <v>0</v>
      </c>
      <c r="CQ288" s="646">
        <v>0</v>
      </c>
      <c r="GW288" s="556" t="s">
        <v>467</v>
      </c>
      <c r="GX288" s="646"/>
      <c r="GY288" s="646"/>
      <c r="GZ288" s="646"/>
      <c r="HA288" s="646"/>
      <c r="HB288" s="646"/>
      <c r="HC288" s="646"/>
      <c r="HD288" s="646"/>
      <c r="HE288" s="646"/>
      <c r="HF288" s="646"/>
      <c r="HG288" s="646"/>
      <c r="HH288"/>
      <c r="HI288"/>
      <c r="HJ288"/>
      <c r="HK288"/>
      <c r="HL288"/>
      <c r="HM288"/>
      <c r="HN288"/>
      <c r="HO288"/>
      <c r="HP288"/>
      <c r="HQ288"/>
      <c r="HR288"/>
      <c r="HS288"/>
      <c r="HT288"/>
      <c r="HU288"/>
      <c r="HV288"/>
      <c r="HW288"/>
      <c r="HX288"/>
      <c r="HY288"/>
      <c r="HZ288"/>
      <c r="IA288"/>
      <c r="IB288"/>
      <c r="IC288"/>
      <c r="ID288"/>
      <c r="IE288"/>
      <c r="IF288"/>
      <c r="IG288"/>
      <c r="IH288"/>
      <c r="II288"/>
      <c r="IJ288"/>
      <c r="IK288"/>
      <c r="IL288"/>
      <c r="IM288"/>
      <c r="IN288"/>
      <c r="IO288"/>
      <c r="IP288"/>
      <c r="IQ288"/>
      <c r="IR288"/>
      <c r="IS288"/>
      <c r="IT288"/>
      <c r="IU288"/>
      <c r="IV288"/>
    </row>
    <row r="289" spans="13:256" s="556" customFormat="1" ht="12.75" customHeight="1">
      <c r="M289" s="556" t="s">
        <v>4816</v>
      </c>
      <c r="N289" s="646">
        <v>0</v>
      </c>
      <c r="O289" s="646">
        <v>0</v>
      </c>
      <c r="P289" s="646">
        <v>0</v>
      </c>
      <c r="Q289" s="646">
        <v>0</v>
      </c>
      <c r="R289" s="646">
        <v>0</v>
      </c>
      <c r="S289" s="646">
        <v>0</v>
      </c>
      <c r="T289" s="646">
        <v>0</v>
      </c>
      <c r="U289" s="646">
        <v>0</v>
      </c>
      <c r="V289" s="646">
        <v>0</v>
      </c>
      <c r="W289" s="646">
        <v>0</v>
      </c>
      <c r="CG289" s="556" t="s">
        <v>2786</v>
      </c>
      <c r="CH289" s="646">
        <v>0</v>
      </c>
      <c r="CI289" s="646">
        <v>0</v>
      </c>
      <c r="CJ289" s="646">
        <v>0</v>
      </c>
      <c r="CK289" s="646">
        <v>0</v>
      </c>
      <c r="CL289" s="646">
        <v>0</v>
      </c>
      <c r="CM289" s="646">
        <v>0</v>
      </c>
      <c r="CN289" s="646">
        <v>0</v>
      </c>
      <c r="CO289" s="646">
        <v>0</v>
      </c>
      <c r="CP289" s="646">
        <v>0</v>
      </c>
      <c r="CQ289" s="646">
        <v>0</v>
      </c>
      <c r="GW289" s="556" t="s">
        <v>2544</v>
      </c>
      <c r="GX289" s="646"/>
      <c r="GY289" s="646"/>
      <c r="GZ289" s="646"/>
      <c r="HA289" s="646"/>
      <c r="HB289" s="646"/>
      <c r="HC289" s="646"/>
      <c r="HD289" s="646"/>
      <c r="HE289" s="646"/>
      <c r="HF289" s="646"/>
      <c r="HG289" s="646"/>
      <c r="HH289"/>
      <c r="HI289"/>
      <c r="HJ289"/>
      <c r="HK289"/>
      <c r="HL289"/>
      <c r="HM289"/>
      <c r="HN289"/>
      <c r="HO289"/>
      <c r="HP289"/>
      <c r="HQ289"/>
      <c r="HR289"/>
      <c r="HS289"/>
      <c r="HT289"/>
      <c r="HU289"/>
      <c r="HV289"/>
      <c r="HW289"/>
      <c r="HX289"/>
      <c r="HY289"/>
      <c r="HZ289"/>
      <c r="IA289"/>
      <c r="IB289"/>
      <c r="IC289"/>
      <c r="ID289"/>
      <c r="IE289"/>
      <c r="IF289"/>
      <c r="IG289"/>
      <c r="IH289"/>
      <c r="II289"/>
      <c r="IJ289"/>
      <c r="IK289"/>
      <c r="IL289"/>
      <c r="IM289"/>
      <c r="IN289"/>
      <c r="IO289"/>
      <c r="IP289"/>
      <c r="IQ289"/>
      <c r="IR289"/>
      <c r="IS289"/>
      <c r="IT289"/>
      <c r="IU289"/>
      <c r="IV289"/>
    </row>
    <row r="290" spans="13:256" s="556" customFormat="1" ht="12.75" customHeight="1">
      <c r="M290" s="556" t="s">
        <v>3264</v>
      </c>
      <c r="N290" s="646">
        <v>0</v>
      </c>
      <c r="O290" s="646">
        <v>0</v>
      </c>
      <c r="P290" s="646">
        <v>0</v>
      </c>
      <c r="Q290" s="646">
        <v>0</v>
      </c>
      <c r="R290" s="646">
        <v>0</v>
      </c>
      <c r="S290" s="646">
        <v>0</v>
      </c>
      <c r="T290" s="646">
        <v>0</v>
      </c>
      <c r="U290" s="646">
        <v>0</v>
      </c>
      <c r="V290" s="646">
        <v>0</v>
      </c>
      <c r="W290" s="646">
        <v>0</v>
      </c>
      <c r="CG290" s="556" t="s">
        <v>2787</v>
      </c>
      <c r="CH290" s="646">
        <v>0</v>
      </c>
      <c r="CI290" s="646">
        <v>0</v>
      </c>
      <c r="CJ290" s="646">
        <v>0</v>
      </c>
      <c r="CK290" s="646">
        <v>0</v>
      </c>
      <c r="CL290" s="646">
        <v>0</v>
      </c>
      <c r="CM290" s="646">
        <v>0</v>
      </c>
      <c r="CN290" s="646">
        <v>0</v>
      </c>
      <c r="CO290" s="646">
        <v>0</v>
      </c>
      <c r="CP290" s="646">
        <v>0</v>
      </c>
      <c r="CQ290" s="646">
        <v>0</v>
      </c>
      <c r="GW290" s="556" t="s">
        <v>1521</v>
      </c>
      <c r="GX290" s="646"/>
      <c r="GY290" s="646"/>
      <c r="GZ290" s="646"/>
      <c r="HA290" s="646"/>
      <c r="HB290" s="646"/>
      <c r="HC290" s="646"/>
      <c r="HD290" s="646"/>
      <c r="HE290" s="646"/>
      <c r="HF290" s="646"/>
      <c r="HG290" s="646"/>
      <c r="HH290"/>
      <c r="HI290"/>
      <c r="HJ290"/>
      <c r="HK290"/>
      <c r="HL290"/>
      <c r="HM290"/>
      <c r="HN290"/>
      <c r="HO290"/>
      <c r="HP290"/>
      <c r="HQ290"/>
      <c r="HR290"/>
      <c r="HS290"/>
      <c r="HT290"/>
      <c r="HU290"/>
      <c r="HV290"/>
      <c r="HW290"/>
      <c r="HX290"/>
      <c r="HY290"/>
      <c r="HZ290"/>
      <c r="IA290"/>
      <c r="IB290"/>
      <c r="IC290"/>
      <c r="ID290"/>
      <c r="IE290"/>
      <c r="IF290"/>
      <c r="IG290"/>
      <c r="IH290"/>
      <c r="II290"/>
      <c r="IJ290"/>
      <c r="IK290"/>
      <c r="IL290"/>
      <c r="IM290"/>
      <c r="IN290"/>
      <c r="IO290"/>
      <c r="IP290"/>
      <c r="IQ290"/>
      <c r="IR290"/>
      <c r="IS290"/>
      <c r="IT290"/>
      <c r="IU290"/>
      <c r="IV290"/>
    </row>
    <row r="291" spans="13:256" s="556" customFormat="1" ht="12.75" customHeight="1">
      <c r="M291" s="556" t="s">
        <v>2479</v>
      </c>
      <c r="N291" s="646">
        <v>0</v>
      </c>
      <c r="O291" s="646">
        <v>0</v>
      </c>
      <c r="P291" s="646">
        <v>0</v>
      </c>
      <c r="Q291" s="646">
        <v>0</v>
      </c>
      <c r="R291" s="646">
        <v>0</v>
      </c>
      <c r="S291" s="646">
        <v>0</v>
      </c>
      <c r="T291" s="646">
        <v>0</v>
      </c>
      <c r="U291" s="646">
        <v>0</v>
      </c>
      <c r="V291" s="646">
        <v>0</v>
      </c>
      <c r="W291" s="646">
        <v>0</v>
      </c>
      <c r="CG291" s="556" t="s">
        <v>2788</v>
      </c>
      <c r="CH291" s="646">
        <v>0</v>
      </c>
      <c r="CI291" s="646">
        <v>0</v>
      </c>
      <c r="CJ291" s="646">
        <v>0</v>
      </c>
      <c r="CK291" s="646">
        <v>0</v>
      </c>
      <c r="CL291" s="646">
        <v>0</v>
      </c>
      <c r="CM291" s="646">
        <v>0</v>
      </c>
      <c r="CN291" s="646">
        <v>0</v>
      </c>
      <c r="CO291" s="646">
        <v>0</v>
      </c>
      <c r="CP291" s="646">
        <v>0</v>
      </c>
      <c r="CQ291" s="646">
        <v>0</v>
      </c>
      <c r="GW291" s="556" t="s">
        <v>1522</v>
      </c>
      <c r="GX291" s="646"/>
      <c r="GY291" s="646"/>
      <c r="GZ291" s="646"/>
      <c r="HA291" s="646"/>
      <c r="HB291" s="646"/>
      <c r="HC291" s="646"/>
      <c r="HD291" s="646"/>
      <c r="HE291" s="646"/>
      <c r="HF291" s="646"/>
      <c r="HG291" s="646"/>
      <c r="HH291"/>
      <c r="HI291"/>
      <c r="HJ291"/>
      <c r="HK291"/>
      <c r="HL291"/>
      <c r="HM291"/>
      <c r="HN291"/>
      <c r="HO291"/>
      <c r="HP291"/>
      <c r="HQ291"/>
      <c r="HR291"/>
      <c r="HS291"/>
      <c r="HT291"/>
      <c r="HU291"/>
      <c r="HV291"/>
      <c r="HW291"/>
      <c r="HX291"/>
      <c r="HY291"/>
      <c r="HZ291"/>
      <c r="IA291"/>
      <c r="IB291"/>
      <c r="IC291"/>
      <c r="ID291"/>
      <c r="IE291"/>
      <c r="IF291"/>
      <c r="IG291"/>
      <c r="IH291"/>
      <c r="II291"/>
      <c r="IJ291"/>
      <c r="IK291"/>
      <c r="IL291"/>
      <c r="IM291"/>
      <c r="IN291"/>
      <c r="IO291"/>
      <c r="IP291"/>
      <c r="IQ291"/>
      <c r="IR291"/>
      <c r="IS291"/>
      <c r="IT291"/>
      <c r="IU291"/>
      <c r="IV291"/>
    </row>
    <row r="292" spans="13:256" s="556" customFormat="1" ht="12.75" customHeight="1">
      <c r="M292" s="556" t="s">
        <v>4815</v>
      </c>
      <c r="N292" s="646">
        <v>0</v>
      </c>
      <c r="O292" s="646">
        <v>0</v>
      </c>
      <c r="P292" s="646">
        <v>0</v>
      </c>
      <c r="Q292" s="646">
        <v>0</v>
      </c>
      <c r="R292" s="646">
        <v>0</v>
      </c>
      <c r="S292" s="646">
        <v>0</v>
      </c>
      <c r="T292" s="646">
        <v>0</v>
      </c>
      <c r="U292" s="646">
        <v>0</v>
      </c>
      <c r="V292" s="646">
        <v>0</v>
      </c>
      <c r="W292" s="646">
        <v>0</v>
      </c>
      <c r="CG292" s="556" t="s">
        <v>3800</v>
      </c>
      <c r="CH292" s="646">
        <v>0</v>
      </c>
      <c r="CI292" s="646">
        <v>0</v>
      </c>
      <c r="CJ292" s="646">
        <v>0</v>
      </c>
      <c r="CK292" s="646">
        <v>0</v>
      </c>
      <c r="CL292" s="646">
        <v>0</v>
      </c>
      <c r="CM292" s="646">
        <v>0</v>
      </c>
      <c r="CN292" s="646">
        <v>0</v>
      </c>
      <c r="CO292" s="646">
        <v>0</v>
      </c>
      <c r="CP292" s="646">
        <v>0</v>
      </c>
      <c r="CQ292" s="646">
        <v>0</v>
      </c>
      <c r="GW292" s="556" t="s">
        <v>1523</v>
      </c>
      <c r="GX292" s="646"/>
      <c r="GY292" s="646"/>
      <c r="GZ292" s="646"/>
      <c r="HA292" s="646"/>
      <c r="HB292" s="646"/>
      <c r="HC292" s="646"/>
      <c r="HD292" s="646"/>
      <c r="HE292" s="646"/>
      <c r="HF292" s="646"/>
      <c r="HG292" s="646"/>
      <c r="HH292"/>
      <c r="HI292"/>
      <c r="HJ292"/>
      <c r="HK292"/>
      <c r="HL292"/>
      <c r="HM292"/>
      <c r="HN292"/>
      <c r="HO292"/>
      <c r="HP292"/>
      <c r="HQ292"/>
      <c r="HR292"/>
      <c r="HS292"/>
      <c r="HT292"/>
      <c r="HU292"/>
      <c r="HV292"/>
      <c r="HW292"/>
      <c r="HX292"/>
      <c r="HY292"/>
      <c r="HZ292"/>
      <c r="IA292"/>
      <c r="IB292"/>
      <c r="IC292"/>
      <c r="ID292"/>
      <c r="IE292"/>
      <c r="IF292"/>
      <c r="IG292"/>
      <c r="IH292"/>
      <c r="II292"/>
      <c r="IJ292"/>
      <c r="IK292"/>
      <c r="IL292"/>
      <c r="IM292"/>
      <c r="IN292"/>
      <c r="IO292"/>
      <c r="IP292"/>
      <c r="IQ292"/>
      <c r="IR292"/>
      <c r="IS292"/>
      <c r="IT292"/>
      <c r="IU292"/>
      <c r="IV292"/>
    </row>
    <row r="293" spans="13:256" s="556" customFormat="1" ht="12.75" customHeight="1">
      <c r="M293" s="556" t="s">
        <v>4787</v>
      </c>
      <c r="N293" s="646"/>
      <c r="O293" s="646"/>
      <c r="P293" s="646"/>
      <c r="Q293" s="646"/>
      <c r="R293" s="646"/>
      <c r="S293" s="646"/>
      <c r="T293" s="646"/>
      <c r="U293" s="646"/>
      <c r="V293" s="646"/>
      <c r="W293" s="646"/>
      <c r="CG293" s="556" t="s">
        <v>683</v>
      </c>
      <c r="CH293" s="646"/>
      <c r="CI293" s="646"/>
      <c r="CJ293" s="646"/>
      <c r="CK293" s="646"/>
      <c r="CL293" s="646"/>
      <c r="CM293" s="646"/>
      <c r="CN293" s="646"/>
      <c r="CO293" s="646"/>
      <c r="CP293" s="646"/>
      <c r="CQ293" s="646"/>
      <c r="GW293" s="556" t="s">
        <v>1524</v>
      </c>
      <c r="GX293" s="646"/>
      <c r="GY293" s="646"/>
      <c r="GZ293" s="646"/>
      <c r="HA293" s="646"/>
      <c r="HB293" s="646"/>
      <c r="HC293" s="646"/>
      <c r="HD293" s="646"/>
      <c r="HE293" s="646"/>
      <c r="HF293" s="646"/>
      <c r="HG293" s="646"/>
      <c r="HH293"/>
      <c r="HI293"/>
      <c r="HJ293"/>
      <c r="HK293"/>
      <c r="HL293"/>
      <c r="HM293"/>
      <c r="HN293"/>
      <c r="HO293"/>
      <c r="HP293"/>
      <c r="HQ293"/>
      <c r="HR293"/>
      <c r="HS293"/>
      <c r="HT293"/>
      <c r="HU293"/>
      <c r="HV293"/>
      <c r="HW293"/>
      <c r="HX293"/>
      <c r="HY293"/>
      <c r="HZ293"/>
      <c r="IA293"/>
      <c r="IB293"/>
      <c r="IC293"/>
      <c r="ID293"/>
      <c r="IE293"/>
      <c r="IF293"/>
      <c r="IG293"/>
      <c r="IH293"/>
      <c r="II293"/>
      <c r="IJ293"/>
      <c r="IK293"/>
      <c r="IL293"/>
      <c r="IM293"/>
      <c r="IN293"/>
      <c r="IO293"/>
      <c r="IP293"/>
      <c r="IQ293"/>
      <c r="IR293"/>
      <c r="IS293"/>
      <c r="IT293"/>
      <c r="IU293"/>
      <c r="IV293"/>
    </row>
    <row r="294" spans="13:256" s="556" customFormat="1" ht="12.75" customHeight="1">
      <c r="M294" s="556" t="s">
        <v>4535</v>
      </c>
      <c r="N294" s="646"/>
      <c r="O294" s="646"/>
      <c r="P294" s="646"/>
      <c r="Q294" s="646"/>
      <c r="R294" s="646"/>
      <c r="S294" s="646"/>
      <c r="T294" s="646"/>
      <c r="U294" s="646"/>
      <c r="V294" s="646"/>
      <c r="W294" s="646"/>
      <c r="CG294" s="556" t="s">
        <v>2207</v>
      </c>
      <c r="CH294" s="646" t="b">
        <v>0</v>
      </c>
      <c r="CI294" s="646" t="b">
        <v>0</v>
      </c>
      <c r="CJ294" s="646" t="b">
        <v>0</v>
      </c>
      <c r="CK294" s="646" t="b">
        <v>0</v>
      </c>
      <c r="CL294" s="646" t="b">
        <v>0</v>
      </c>
      <c r="CM294" s="646" t="b">
        <v>0</v>
      </c>
      <c r="CN294" s="646" t="b">
        <v>0</v>
      </c>
      <c r="CO294" s="646" t="b">
        <v>0</v>
      </c>
      <c r="CP294" s="646" t="b">
        <v>0</v>
      </c>
      <c r="CQ294" s="646" t="b">
        <v>0</v>
      </c>
      <c r="GW294" s="556" t="s">
        <v>1525</v>
      </c>
      <c r="GX294" s="646"/>
      <c r="GY294" s="646"/>
      <c r="GZ294" s="646"/>
      <c r="HA294" s="646"/>
      <c r="HB294" s="646"/>
      <c r="HC294" s="646"/>
      <c r="HD294" s="646"/>
      <c r="HE294" s="646"/>
      <c r="HF294" s="646"/>
      <c r="HG294" s="646"/>
      <c r="HH294"/>
      <c r="HI294"/>
      <c r="HJ294"/>
      <c r="HK294"/>
      <c r="HL294"/>
      <c r="HM294"/>
      <c r="HN294"/>
      <c r="HO294"/>
      <c r="HP294"/>
      <c r="HQ294"/>
      <c r="HR294"/>
      <c r="HS294"/>
      <c r="HT294"/>
      <c r="HU294"/>
      <c r="HV294"/>
      <c r="HW294"/>
      <c r="HX294"/>
      <c r="HY294"/>
      <c r="HZ294"/>
      <c r="IA294"/>
      <c r="IB294"/>
      <c r="IC294"/>
      <c r="ID294"/>
      <c r="IE294"/>
      <c r="IF294"/>
      <c r="IG294"/>
      <c r="IH294"/>
      <c r="II294"/>
      <c r="IJ294"/>
      <c r="IK294"/>
      <c r="IL294"/>
      <c r="IM294"/>
      <c r="IN294"/>
      <c r="IO294"/>
      <c r="IP294"/>
      <c r="IQ294"/>
      <c r="IR294"/>
      <c r="IS294"/>
      <c r="IT294"/>
      <c r="IU294"/>
      <c r="IV294"/>
    </row>
    <row r="295" spans="13:256" s="556" customFormat="1" ht="12.75" customHeight="1">
      <c r="M295" s="556" t="s">
        <v>406</v>
      </c>
      <c r="N295" s="646"/>
      <c r="O295" s="646"/>
      <c r="P295" s="646"/>
      <c r="Q295" s="646"/>
      <c r="R295" s="646"/>
      <c r="S295" s="646"/>
      <c r="T295" s="646"/>
      <c r="U295" s="646"/>
      <c r="V295" s="646"/>
      <c r="W295" s="646"/>
      <c r="CG295" s="556" t="s">
        <v>3800</v>
      </c>
      <c r="CH295" s="646">
        <v>0</v>
      </c>
      <c r="CI295" s="646">
        <v>0</v>
      </c>
      <c r="CJ295" s="646">
        <v>0</v>
      </c>
      <c r="CK295" s="646">
        <v>0</v>
      </c>
      <c r="CL295" s="646">
        <v>0</v>
      </c>
      <c r="CM295" s="646">
        <v>0</v>
      </c>
      <c r="CN295" s="646">
        <v>0</v>
      </c>
      <c r="CO295" s="646">
        <v>0</v>
      </c>
      <c r="CP295" s="646">
        <v>0</v>
      </c>
      <c r="CQ295" s="646">
        <v>0</v>
      </c>
      <c r="GW295" s="556" t="s">
        <v>1526</v>
      </c>
      <c r="GX295" s="646"/>
      <c r="GY295" s="646"/>
      <c r="GZ295" s="646"/>
      <c r="HA295" s="646"/>
      <c r="HB295" s="646"/>
      <c r="HC295" s="646"/>
      <c r="HD295" s="646"/>
      <c r="HE295" s="646"/>
      <c r="HF295" s="646"/>
      <c r="HG295" s="646"/>
      <c r="HH295"/>
      <c r="HI295"/>
      <c r="HJ295"/>
      <c r="HK295"/>
      <c r="HL295"/>
      <c r="HM295"/>
      <c r="HN295"/>
      <c r="HO295"/>
      <c r="HP295"/>
      <c r="HQ295"/>
      <c r="HR295"/>
      <c r="HS295"/>
      <c r="HT295"/>
      <c r="HU295"/>
      <c r="HV295"/>
      <c r="HW295"/>
      <c r="HX295"/>
      <c r="HY295"/>
      <c r="HZ295"/>
      <c r="IA295"/>
      <c r="IB295"/>
      <c r="IC295"/>
      <c r="ID295"/>
      <c r="IE295"/>
      <c r="IF295"/>
      <c r="IG295"/>
      <c r="IH295"/>
      <c r="II295"/>
      <c r="IJ295"/>
      <c r="IK295"/>
      <c r="IL295"/>
      <c r="IM295"/>
      <c r="IN295"/>
      <c r="IO295"/>
      <c r="IP295"/>
      <c r="IQ295"/>
      <c r="IR295"/>
      <c r="IS295"/>
      <c r="IT295"/>
      <c r="IU295"/>
      <c r="IV295"/>
    </row>
    <row r="296" spans="13:256" s="556" customFormat="1" ht="12.75" customHeight="1">
      <c r="M296" s="556" t="s">
        <v>407</v>
      </c>
      <c r="N296" s="646"/>
      <c r="O296" s="646"/>
      <c r="P296" s="646"/>
      <c r="Q296" s="646"/>
      <c r="R296" s="646"/>
      <c r="S296" s="646"/>
      <c r="T296" s="646"/>
      <c r="U296" s="646"/>
      <c r="V296" s="646"/>
      <c r="W296" s="646"/>
      <c r="GW296" s="556" t="s">
        <v>3562</v>
      </c>
      <c r="GX296" s="646"/>
      <c r="GY296" s="646"/>
      <c r="GZ296" s="646"/>
      <c r="HA296" s="646"/>
      <c r="HB296" s="646"/>
      <c r="HC296" s="646"/>
      <c r="HD296" s="646"/>
      <c r="HE296" s="646"/>
      <c r="HF296" s="646"/>
      <c r="HG296" s="646"/>
      <c r="HH296"/>
      <c r="HI296"/>
      <c r="HJ296"/>
      <c r="HK296"/>
      <c r="HL296"/>
      <c r="HM296"/>
      <c r="HN296"/>
      <c r="HO296"/>
      <c r="HP296"/>
      <c r="HQ296"/>
      <c r="HR296"/>
      <c r="HS296"/>
      <c r="HT296"/>
      <c r="HU296"/>
      <c r="HV296"/>
      <c r="HW296"/>
      <c r="HX296"/>
      <c r="HY296"/>
      <c r="HZ296"/>
      <c r="IA296"/>
      <c r="IB296"/>
      <c r="IC296"/>
      <c r="ID296"/>
      <c r="IE296"/>
      <c r="IF296"/>
      <c r="IG296"/>
      <c r="IH296"/>
      <c r="II296"/>
      <c r="IJ296"/>
      <c r="IK296"/>
      <c r="IL296"/>
      <c r="IM296"/>
      <c r="IN296"/>
      <c r="IO296"/>
      <c r="IP296"/>
      <c r="IQ296"/>
      <c r="IR296"/>
      <c r="IS296"/>
      <c r="IT296"/>
      <c r="IU296"/>
      <c r="IV296"/>
    </row>
    <row r="297" spans="13:256" s="556" customFormat="1" ht="12.75" customHeight="1">
      <c r="M297" s="556" t="s">
        <v>1870</v>
      </c>
      <c r="N297" s="646"/>
      <c r="O297" s="646"/>
      <c r="P297" s="646"/>
      <c r="Q297" s="646"/>
      <c r="R297" s="646"/>
      <c r="S297" s="646"/>
      <c r="T297" s="646"/>
      <c r="U297" s="646"/>
      <c r="V297" s="646"/>
      <c r="W297" s="646"/>
      <c r="GW297" s="556" t="s">
        <v>3686</v>
      </c>
      <c r="GX297" s="646"/>
      <c r="GY297" s="646"/>
      <c r="GZ297" s="646"/>
      <c r="HA297" s="646"/>
      <c r="HB297" s="646"/>
      <c r="HC297" s="646"/>
      <c r="HD297" s="646"/>
      <c r="HE297" s="646"/>
      <c r="HF297" s="646"/>
      <c r="HG297" s="646"/>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row>
    <row r="298" spans="13:256" s="556" customFormat="1" ht="12.75" customHeight="1">
      <c r="M298" s="556" t="s">
        <v>3351</v>
      </c>
      <c r="N298" s="646"/>
      <c r="O298" s="646"/>
      <c r="P298" s="646"/>
      <c r="Q298" s="646"/>
      <c r="R298" s="646"/>
      <c r="S298" s="646"/>
      <c r="T298" s="646"/>
      <c r="U298" s="646"/>
      <c r="V298" s="646"/>
      <c r="W298" s="646"/>
      <c r="GW298" s="556" t="s">
        <v>1289</v>
      </c>
      <c r="GX298" s="646"/>
      <c r="GY298" s="646"/>
      <c r="GZ298" s="646"/>
      <c r="HA298" s="646"/>
      <c r="HB298" s="646"/>
      <c r="HC298" s="646"/>
      <c r="HD298" s="646"/>
      <c r="HE298" s="646"/>
      <c r="HF298" s="646"/>
      <c r="HG298" s="646"/>
      <c r="HH298"/>
      <c r="HI298"/>
      <c r="HJ298"/>
      <c r="HK298"/>
      <c r="HL298"/>
      <c r="HM298"/>
      <c r="HN298"/>
      <c r="HO298"/>
      <c r="HP298"/>
      <c r="HQ298"/>
      <c r="HR298"/>
      <c r="HS298"/>
      <c r="HT298"/>
      <c r="HU298"/>
      <c r="HV298"/>
      <c r="HW298"/>
      <c r="HX298"/>
      <c r="HY298"/>
      <c r="HZ298"/>
      <c r="IA298"/>
      <c r="IB298"/>
      <c r="IC298"/>
      <c r="ID298"/>
      <c r="IE298"/>
      <c r="IF298"/>
      <c r="IG298"/>
      <c r="IH298"/>
      <c r="II298"/>
      <c r="IJ298"/>
      <c r="IK298"/>
      <c r="IL298"/>
      <c r="IM298"/>
      <c r="IN298"/>
      <c r="IO298"/>
      <c r="IP298"/>
      <c r="IQ298"/>
      <c r="IR298"/>
      <c r="IS298"/>
      <c r="IT298"/>
      <c r="IU298"/>
      <c r="IV298"/>
    </row>
    <row r="299" spans="13:256" s="556" customFormat="1" ht="12.75" customHeight="1">
      <c r="M299" s="556" t="s">
        <v>3352</v>
      </c>
      <c r="N299" s="646"/>
      <c r="O299" s="646"/>
      <c r="P299" s="646"/>
      <c r="Q299" s="646"/>
      <c r="R299" s="646"/>
      <c r="S299" s="646"/>
      <c r="T299" s="646"/>
      <c r="U299" s="646"/>
      <c r="V299" s="646"/>
      <c r="W299" s="646"/>
      <c r="GW299" s="556" t="s">
        <v>1290</v>
      </c>
      <c r="GX299" s="646"/>
      <c r="GY299" s="646"/>
      <c r="GZ299" s="646"/>
      <c r="HA299" s="646"/>
      <c r="HB299" s="646"/>
      <c r="HC299" s="646"/>
      <c r="HD299" s="646"/>
      <c r="HE299" s="646"/>
      <c r="HF299" s="646"/>
      <c r="HG299" s="646"/>
      <c r="HH299"/>
      <c r="HI299"/>
      <c r="HJ299"/>
      <c r="HK299"/>
      <c r="HL299"/>
      <c r="HM299"/>
      <c r="HN299"/>
      <c r="HO299"/>
      <c r="HP299"/>
      <c r="HQ299"/>
      <c r="HR299"/>
      <c r="HS299"/>
      <c r="HT299"/>
      <c r="HU299"/>
      <c r="HV299"/>
      <c r="HW299"/>
      <c r="HX299"/>
      <c r="HY299"/>
      <c r="HZ299"/>
      <c r="IA299"/>
      <c r="IB299"/>
      <c r="IC299"/>
      <c r="ID299"/>
      <c r="IE299"/>
      <c r="IF299"/>
      <c r="IG299"/>
      <c r="IH299"/>
      <c r="II299"/>
      <c r="IJ299"/>
      <c r="IK299"/>
      <c r="IL299"/>
      <c r="IM299"/>
      <c r="IN299"/>
      <c r="IO299"/>
      <c r="IP299"/>
      <c r="IQ299"/>
      <c r="IR299"/>
      <c r="IS299"/>
      <c r="IT299"/>
      <c r="IU299"/>
      <c r="IV299"/>
    </row>
    <row r="300" spans="13:256" s="556" customFormat="1" ht="12.75" customHeight="1">
      <c r="M300" s="556" t="s">
        <v>3353</v>
      </c>
      <c r="N300" s="646"/>
      <c r="O300" s="646"/>
      <c r="P300" s="646"/>
      <c r="Q300" s="646"/>
      <c r="R300" s="646"/>
      <c r="S300" s="646"/>
      <c r="T300" s="646"/>
      <c r="U300" s="646"/>
      <c r="V300" s="646"/>
      <c r="W300" s="646"/>
      <c r="GW300" s="556" t="s">
        <v>5123</v>
      </c>
      <c r="GX300" s="646"/>
      <c r="GY300" s="646"/>
      <c r="GZ300" s="646"/>
      <c r="HA300" s="646"/>
      <c r="HB300" s="646"/>
      <c r="HC300" s="646"/>
      <c r="HD300" s="646"/>
      <c r="HE300" s="646"/>
      <c r="HF300" s="646"/>
      <c r="HG300" s="646"/>
      <c r="HH300"/>
      <c r="HI300"/>
      <c r="HJ300"/>
      <c r="HK300"/>
      <c r="HL300"/>
      <c r="HM300"/>
      <c r="HN300"/>
      <c r="HO300"/>
      <c r="HP300"/>
      <c r="HQ300"/>
      <c r="HR300"/>
      <c r="HS300"/>
      <c r="HT300"/>
      <c r="HU300"/>
      <c r="HV300"/>
      <c r="HW300"/>
      <c r="HX300"/>
      <c r="HY300"/>
      <c r="HZ300"/>
      <c r="IA300"/>
      <c r="IB300"/>
      <c r="IC300"/>
      <c r="ID300"/>
      <c r="IE300"/>
      <c r="IF300"/>
      <c r="IG300"/>
      <c r="IH300"/>
      <c r="II300"/>
      <c r="IJ300"/>
      <c r="IK300"/>
      <c r="IL300"/>
      <c r="IM300"/>
      <c r="IN300"/>
      <c r="IO300"/>
      <c r="IP300"/>
      <c r="IQ300"/>
      <c r="IR300"/>
      <c r="IS300"/>
      <c r="IT300"/>
      <c r="IU300"/>
      <c r="IV300"/>
    </row>
    <row r="301" spans="13:256" s="556" customFormat="1" ht="12.75" customHeight="1">
      <c r="M301" s="556" t="s">
        <v>1865</v>
      </c>
      <c r="N301" s="646">
        <v>0</v>
      </c>
      <c r="O301" s="646">
        <v>0</v>
      </c>
      <c r="P301" s="646">
        <v>0</v>
      </c>
      <c r="Q301" s="646">
        <v>0</v>
      </c>
      <c r="R301" s="646">
        <v>0</v>
      </c>
      <c r="S301" s="646">
        <v>0</v>
      </c>
      <c r="T301" s="646">
        <v>0</v>
      </c>
      <c r="U301" s="646">
        <v>0</v>
      </c>
      <c r="V301" s="646">
        <v>0</v>
      </c>
      <c r="W301" s="646">
        <v>0</v>
      </c>
      <c r="GW301" s="556" t="s">
        <v>4768</v>
      </c>
      <c r="GX301" s="646"/>
      <c r="GY301" s="646"/>
      <c r="GZ301" s="646"/>
      <c r="HA301" s="646"/>
      <c r="HB301" s="646"/>
      <c r="HC301" s="646"/>
      <c r="HD301" s="646"/>
      <c r="HE301" s="646"/>
      <c r="HF301" s="646"/>
      <c r="HG301" s="646"/>
      <c r="HH301"/>
      <c r="HI301"/>
      <c r="HJ301"/>
      <c r="HK301"/>
      <c r="HL301"/>
      <c r="HM301"/>
      <c r="HN301"/>
      <c r="HO301"/>
      <c r="HP301"/>
      <c r="HQ301"/>
      <c r="HR301"/>
      <c r="HS301"/>
      <c r="HT301"/>
      <c r="HU301"/>
      <c r="HV301"/>
      <c r="HW301"/>
      <c r="HX301"/>
      <c r="HY301"/>
      <c r="HZ301"/>
      <c r="IA301"/>
      <c r="IB301"/>
      <c r="IC301"/>
      <c r="ID301"/>
      <c r="IE301"/>
      <c r="IF301"/>
      <c r="IG301"/>
      <c r="IH301"/>
      <c r="II301"/>
      <c r="IJ301"/>
      <c r="IK301"/>
      <c r="IL301"/>
      <c r="IM301"/>
      <c r="IN301"/>
      <c r="IO301"/>
      <c r="IP301"/>
      <c r="IQ301"/>
      <c r="IR301"/>
      <c r="IS301"/>
      <c r="IT301"/>
      <c r="IU301"/>
      <c r="IV301"/>
    </row>
    <row r="302" spans="13:256" s="556" customFormat="1" ht="12.75" customHeight="1">
      <c r="M302" s="556" t="s">
        <v>3503</v>
      </c>
      <c r="N302" s="646" t="b">
        <v>0</v>
      </c>
      <c r="O302" s="646" t="b">
        <v>0</v>
      </c>
      <c r="P302" s="646" t="b">
        <v>0</v>
      </c>
      <c r="Q302" s="646" t="b">
        <v>0</v>
      </c>
      <c r="R302" s="646" t="b">
        <v>0</v>
      </c>
      <c r="S302" s="646" t="b">
        <v>0</v>
      </c>
      <c r="T302" s="646" t="b">
        <v>0</v>
      </c>
      <c r="U302" s="646" t="b">
        <v>0</v>
      </c>
      <c r="V302" s="646" t="b">
        <v>0</v>
      </c>
      <c r="W302" s="646" t="b">
        <v>0</v>
      </c>
      <c r="GW302" s="556" t="s">
        <v>4769</v>
      </c>
      <c r="GX302" s="646"/>
      <c r="GY302" s="646"/>
      <c r="GZ302" s="646"/>
      <c r="HA302" s="646"/>
      <c r="HB302" s="646"/>
      <c r="HC302" s="646"/>
      <c r="HD302" s="646"/>
      <c r="HE302" s="646"/>
      <c r="HF302" s="646"/>
      <c r="HG302" s="646"/>
      <c r="HH302"/>
      <c r="HI302"/>
      <c r="HJ302"/>
      <c r="HK302"/>
      <c r="HL302"/>
      <c r="HM302"/>
      <c r="HN302"/>
      <c r="HO302"/>
      <c r="HP302"/>
      <c r="HQ302"/>
      <c r="HR302"/>
      <c r="HS302"/>
      <c r="HT302"/>
      <c r="HU302"/>
      <c r="HV302"/>
      <c r="HW302"/>
      <c r="HX302"/>
      <c r="HY302"/>
      <c r="HZ302"/>
      <c r="IA302"/>
      <c r="IB302"/>
      <c r="IC302"/>
      <c r="ID302"/>
      <c r="IE302"/>
      <c r="IF302"/>
      <c r="IG302"/>
      <c r="IH302"/>
      <c r="II302"/>
      <c r="IJ302"/>
      <c r="IK302"/>
      <c r="IL302"/>
      <c r="IM302"/>
      <c r="IN302"/>
      <c r="IO302"/>
      <c r="IP302"/>
      <c r="IQ302"/>
      <c r="IR302"/>
      <c r="IS302"/>
      <c r="IT302"/>
      <c r="IU302"/>
      <c r="IV302"/>
    </row>
    <row r="303" spans="13:256" s="556" customFormat="1" ht="12.75" customHeight="1">
      <c r="M303" s="556" t="s">
        <v>3504</v>
      </c>
      <c r="N303" s="646" t="b">
        <v>0</v>
      </c>
      <c r="O303" s="646" t="b">
        <v>0</v>
      </c>
      <c r="P303" s="646" t="b">
        <v>0</v>
      </c>
      <c r="Q303" s="646" t="b">
        <v>0</v>
      </c>
      <c r="R303" s="646" t="b">
        <v>0</v>
      </c>
      <c r="S303" s="646" t="b">
        <v>0</v>
      </c>
      <c r="T303" s="646" t="b">
        <v>0</v>
      </c>
      <c r="U303" s="646" t="b">
        <v>0</v>
      </c>
      <c r="V303" s="646" t="b">
        <v>0</v>
      </c>
      <c r="W303" s="646" t="b">
        <v>0</v>
      </c>
      <c r="GW303" s="556" t="s">
        <v>5584</v>
      </c>
      <c r="GX303" s="646"/>
      <c r="GY303" s="646"/>
      <c r="GZ303" s="646"/>
      <c r="HA303" s="646"/>
      <c r="HB303" s="646"/>
      <c r="HC303" s="646"/>
      <c r="HD303" s="646"/>
      <c r="HE303" s="646"/>
      <c r="HF303" s="646"/>
      <c r="HG303" s="646"/>
      <c r="HH303"/>
      <c r="HI303"/>
      <c r="HJ303"/>
      <c r="HK303"/>
      <c r="HL303"/>
      <c r="HM303"/>
      <c r="HN303"/>
      <c r="HO303"/>
      <c r="HP303"/>
      <c r="HQ303"/>
      <c r="HR303"/>
      <c r="HS303"/>
      <c r="HT303"/>
      <c r="HU303"/>
      <c r="HV303"/>
      <c r="HW303"/>
      <c r="HX303"/>
      <c r="HY303"/>
      <c r="HZ303"/>
      <c r="IA303"/>
      <c r="IB303"/>
      <c r="IC303"/>
      <c r="ID303"/>
      <c r="IE303"/>
      <c r="IF303"/>
      <c r="IG303"/>
      <c r="IH303"/>
      <c r="II303"/>
      <c r="IJ303"/>
      <c r="IK303"/>
      <c r="IL303"/>
      <c r="IM303"/>
      <c r="IN303"/>
      <c r="IO303"/>
      <c r="IP303"/>
      <c r="IQ303"/>
      <c r="IR303"/>
      <c r="IS303"/>
      <c r="IT303"/>
      <c r="IU303"/>
      <c r="IV303"/>
    </row>
    <row r="304" spans="13:256" s="556" customFormat="1" ht="12.75" customHeight="1">
      <c r="M304" s="556" t="s">
        <v>4792</v>
      </c>
      <c r="N304" s="646" t="b">
        <v>0</v>
      </c>
      <c r="O304" s="646" t="b">
        <v>0</v>
      </c>
      <c r="P304" s="646" t="b">
        <v>0</v>
      </c>
      <c r="Q304" s="646" t="b">
        <v>0</v>
      </c>
      <c r="R304" s="646" t="b">
        <v>0</v>
      </c>
      <c r="S304" s="646" t="b">
        <v>0</v>
      </c>
      <c r="T304" s="646" t="b">
        <v>0</v>
      </c>
      <c r="U304" s="646" t="b">
        <v>0</v>
      </c>
      <c r="V304" s="646" t="b">
        <v>0</v>
      </c>
      <c r="W304" s="646" t="b">
        <v>0</v>
      </c>
      <c r="GW304" s="556" t="s">
        <v>5585</v>
      </c>
      <c r="GX304" s="646"/>
      <c r="GY304" s="646"/>
      <c r="GZ304" s="646"/>
      <c r="HA304" s="646"/>
      <c r="HB304" s="646"/>
      <c r="HC304" s="646"/>
      <c r="HD304" s="646"/>
      <c r="HE304" s="646"/>
      <c r="HF304" s="646"/>
      <c r="HG304" s="646"/>
      <c r="HH304"/>
      <c r="HI304"/>
      <c r="HJ304"/>
      <c r="HK304"/>
      <c r="HL304"/>
      <c r="HM304"/>
      <c r="HN304"/>
      <c r="HO304"/>
      <c r="HP304"/>
      <c r="HQ304"/>
      <c r="HR304"/>
      <c r="HS304"/>
      <c r="HT304"/>
      <c r="HU304"/>
      <c r="HV304"/>
      <c r="HW304"/>
      <c r="HX304"/>
      <c r="HY304"/>
      <c r="HZ304"/>
      <c r="IA304"/>
      <c r="IB304"/>
      <c r="IC304"/>
      <c r="ID304"/>
      <c r="IE304"/>
      <c r="IF304"/>
      <c r="IG304"/>
      <c r="IH304"/>
      <c r="II304"/>
      <c r="IJ304"/>
      <c r="IK304"/>
      <c r="IL304"/>
      <c r="IM304"/>
      <c r="IN304"/>
      <c r="IO304"/>
      <c r="IP304"/>
      <c r="IQ304"/>
      <c r="IR304"/>
      <c r="IS304"/>
      <c r="IT304"/>
      <c r="IU304"/>
      <c r="IV304"/>
    </row>
    <row r="305" spans="13:256" s="556" customFormat="1" ht="12.75" customHeight="1">
      <c r="M305" s="556" t="s">
        <v>4793</v>
      </c>
      <c r="N305" s="646" t="b">
        <v>0</v>
      </c>
      <c r="O305" s="646" t="b">
        <v>0</v>
      </c>
      <c r="P305" s="646" t="b">
        <v>0</v>
      </c>
      <c r="Q305" s="646" t="b">
        <v>0</v>
      </c>
      <c r="R305" s="646" t="b">
        <v>0</v>
      </c>
      <c r="S305" s="646" t="b">
        <v>0</v>
      </c>
      <c r="T305" s="646" t="b">
        <v>0</v>
      </c>
      <c r="U305" s="646" t="b">
        <v>0</v>
      </c>
      <c r="V305" s="646" t="b">
        <v>0</v>
      </c>
      <c r="W305" s="646" t="b">
        <v>0</v>
      </c>
      <c r="GW305" s="556" t="s">
        <v>1759</v>
      </c>
      <c r="GX305" s="646">
        <v>0</v>
      </c>
      <c r="GY305" s="646">
        <v>0</v>
      </c>
      <c r="GZ305" s="646">
        <v>0</v>
      </c>
      <c r="HA305" s="646">
        <v>0</v>
      </c>
      <c r="HB305" s="646">
        <v>0</v>
      </c>
      <c r="HC305" s="646">
        <v>0</v>
      </c>
      <c r="HD305" s="646">
        <v>0</v>
      </c>
      <c r="HE305" s="646">
        <v>0</v>
      </c>
      <c r="HF305" s="646">
        <v>0</v>
      </c>
      <c r="HG305" s="646">
        <v>0</v>
      </c>
      <c r="HH305"/>
      <c r="HI305"/>
      <c r="HJ305"/>
      <c r="HK305"/>
      <c r="HL305"/>
      <c r="HM305"/>
      <c r="HN305"/>
      <c r="HO305"/>
      <c r="HP305"/>
      <c r="HQ305"/>
      <c r="HR305"/>
      <c r="HS305"/>
      <c r="HT305"/>
      <c r="HU305"/>
      <c r="HV305"/>
      <c r="HW305"/>
      <c r="HX305"/>
      <c r="HY305"/>
      <c r="HZ305"/>
      <c r="IA305"/>
      <c r="IB305"/>
      <c r="IC305"/>
      <c r="ID305"/>
      <c r="IE305"/>
      <c r="IF305"/>
      <c r="IG305"/>
      <c r="IH305"/>
      <c r="II305"/>
      <c r="IJ305"/>
      <c r="IK305"/>
      <c r="IL305"/>
      <c r="IM305"/>
      <c r="IN305"/>
      <c r="IO305"/>
      <c r="IP305"/>
      <c r="IQ305"/>
      <c r="IR305"/>
      <c r="IS305"/>
      <c r="IT305"/>
      <c r="IU305"/>
      <c r="IV305"/>
    </row>
    <row r="306" spans="13:256" s="556" customFormat="1" ht="12.75" customHeight="1">
      <c r="M306" s="556" t="s">
        <v>4794</v>
      </c>
      <c r="N306" s="646" t="b">
        <v>0</v>
      </c>
      <c r="O306" s="646" t="b">
        <v>0</v>
      </c>
      <c r="P306" s="646" t="b">
        <v>0</v>
      </c>
      <c r="Q306" s="646" t="b">
        <v>0</v>
      </c>
      <c r="R306" s="646" t="b">
        <v>0</v>
      </c>
      <c r="S306" s="646" t="b">
        <v>0</v>
      </c>
      <c r="T306" s="646" t="b">
        <v>0</v>
      </c>
      <c r="U306" s="646" t="b">
        <v>0</v>
      </c>
      <c r="V306" s="646" t="b">
        <v>0</v>
      </c>
      <c r="W306" s="646" t="b">
        <v>0</v>
      </c>
      <c r="GW306" s="556" t="s">
        <v>1761</v>
      </c>
      <c r="GX306" s="646">
        <v>0</v>
      </c>
      <c r="GY306" s="646">
        <v>0</v>
      </c>
      <c r="GZ306" s="646">
        <v>0</v>
      </c>
      <c r="HA306" s="646">
        <v>0</v>
      </c>
      <c r="HB306" s="646">
        <v>0</v>
      </c>
      <c r="HC306" s="646">
        <v>0</v>
      </c>
      <c r="HD306" s="646">
        <v>0</v>
      </c>
      <c r="HE306" s="646">
        <v>0</v>
      </c>
      <c r="HF306" s="646">
        <v>0</v>
      </c>
      <c r="HG306" s="646">
        <v>0</v>
      </c>
      <c r="HH306"/>
      <c r="HI306"/>
      <c r="HJ306"/>
      <c r="HK306"/>
      <c r="HL306"/>
      <c r="HM306"/>
      <c r="HN306"/>
      <c r="HO306"/>
      <c r="HP306"/>
      <c r="HQ306"/>
      <c r="HR306"/>
      <c r="HS306"/>
      <c r="HT306"/>
      <c r="HU306"/>
      <c r="HV306"/>
      <c r="HW306"/>
      <c r="HX306"/>
      <c r="HY306"/>
      <c r="HZ306"/>
      <c r="IA306"/>
      <c r="IB306"/>
      <c r="IC306"/>
      <c r="ID306"/>
      <c r="IE306"/>
      <c r="IF306"/>
      <c r="IG306"/>
      <c r="IH306"/>
      <c r="II306"/>
      <c r="IJ306"/>
      <c r="IK306"/>
      <c r="IL306"/>
      <c r="IM306"/>
      <c r="IN306"/>
      <c r="IO306"/>
      <c r="IP306"/>
      <c r="IQ306"/>
      <c r="IR306"/>
      <c r="IS306"/>
      <c r="IT306"/>
      <c r="IU306"/>
      <c r="IV306"/>
    </row>
    <row r="307" spans="13:256" s="556" customFormat="1" ht="12.75" customHeight="1">
      <c r="M307" s="556" t="s">
        <v>3322</v>
      </c>
      <c r="N307" s="646" t="b">
        <v>0</v>
      </c>
      <c r="O307" s="646" t="b">
        <v>0</v>
      </c>
      <c r="P307" s="646" t="b">
        <v>0</v>
      </c>
      <c r="Q307" s="646" t="b">
        <v>0</v>
      </c>
      <c r="R307" s="646" t="b">
        <v>0</v>
      </c>
      <c r="S307" s="646" t="b">
        <v>0</v>
      </c>
      <c r="T307" s="646" t="b">
        <v>0</v>
      </c>
      <c r="U307" s="646" t="b">
        <v>0</v>
      </c>
      <c r="V307" s="646" t="b">
        <v>0</v>
      </c>
      <c r="W307" s="646" t="b">
        <v>0</v>
      </c>
      <c r="GW307" s="556" t="s">
        <v>5946</v>
      </c>
      <c r="GX307" s="646">
        <v>0</v>
      </c>
      <c r="GY307" s="646">
        <v>0</v>
      </c>
      <c r="GZ307" s="646">
        <v>0</v>
      </c>
      <c r="HA307" s="646">
        <v>0</v>
      </c>
      <c r="HB307" s="646">
        <v>0</v>
      </c>
      <c r="HC307" s="646">
        <v>0</v>
      </c>
      <c r="HD307" s="646">
        <v>0</v>
      </c>
      <c r="HE307" s="646">
        <v>0</v>
      </c>
      <c r="HF307" s="646">
        <v>0</v>
      </c>
      <c r="HG307" s="646">
        <v>0</v>
      </c>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c r="IR307"/>
      <c r="IS307"/>
      <c r="IT307"/>
      <c r="IU307"/>
      <c r="IV307"/>
    </row>
    <row r="308" spans="13:256" s="556" customFormat="1" ht="12.75" customHeight="1">
      <c r="M308" s="556" t="s">
        <v>207</v>
      </c>
      <c r="N308" s="646" t="b">
        <v>0</v>
      </c>
      <c r="O308" s="646" t="b">
        <v>0</v>
      </c>
      <c r="P308" s="646" t="b">
        <v>0</v>
      </c>
      <c r="Q308" s="646" t="b">
        <v>0</v>
      </c>
      <c r="R308" s="646" t="b">
        <v>0</v>
      </c>
      <c r="S308" s="646" t="b">
        <v>0</v>
      </c>
      <c r="T308" s="646" t="b">
        <v>0</v>
      </c>
      <c r="U308" s="646" t="b">
        <v>0</v>
      </c>
      <c r="V308" s="646" t="b">
        <v>0</v>
      </c>
      <c r="W308" s="646" t="b">
        <v>0</v>
      </c>
      <c r="GW308" s="556" t="s">
        <v>2734</v>
      </c>
      <c r="GX308" s="646">
        <v>0</v>
      </c>
      <c r="GY308" s="646">
        <v>0</v>
      </c>
      <c r="GZ308" s="646">
        <v>0</v>
      </c>
      <c r="HA308" s="646">
        <v>0</v>
      </c>
      <c r="HB308" s="646">
        <v>0</v>
      </c>
      <c r="HC308" s="646">
        <v>0</v>
      </c>
      <c r="HD308" s="646">
        <v>0</v>
      </c>
      <c r="HE308" s="646">
        <v>0</v>
      </c>
      <c r="HF308" s="646">
        <v>0</v>
      </c>
      <c r="HG308" s="646">
        <v>0</v>
      </c>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row>
    <row r="309" spans="13:256" s="556" customFormat="1" ht="12.75" customHeight="1">
      <c r="M309" s="556" t="s">
        <v>576</v>
      </c>
      <c r="N309" s="646">
        <v>1.39</v>
      </c>
      <c r="O309" s="646">
        <v>1.39</v>
      </c>
      <c r="P309" s="646">
        <v>1.39</v>
      </c>
      <c r="Q309" s="646">
        <v>1.39</v>
      </c>
      <c r="R309" s="646">
        <v>1.39</v>
      </c>
      <c r="S309" s="646">
        <v>1.39</v>
      </c>
      <c r="T309" s="646">
        <v>1.39</v>
      </c>
      <c r="U309" s="646">
        <v>1.39</v>
      </c>
      <c r="V309" s="646">
        <v>1.39</v>
      </c>
      <c r="W309" s="646">
        <v>1.39</v>
      </c>
      <c r="GW309" s="556" t="s">
        <v>4800</v>
      </c>
      <c r="GX309" s="646">
        <v>0</v>
      </c>
      <c r="GY309" s="646">
        <v>0</v>
      </c>
      <c r="GZ309" s="646">
        <v>0</v>
      </c>
      <c r="HA309" s="646">
        <v>0</v>
      </c>
      <c r="HB309" s="646">
        <v>0</v>
      </c>
      <c r="HC309" s="646">
        <v>0</v>
      </c>
      <c r="HD309" s="646">
        <v>0</v>
      </c>
      <c r="HE309" s="646">
        <v>0</v>
      </c>
      <c r="HF309" s="646">
        <v>0</v>
      </c>
      <c r="HG309" s="646">
        <v>0</v>
      </c>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row>
    <row r="310" spans="13:256" s="556" customFormat="1" ht="12.75" customHeight="1">
      <c r="M310" s="556" t="s">
        <v>2650</v>
      </c>
      <c r="N310" s="646">
        <v>1.39</v>
      </c>
      <c r="O310" s="646">
        <v>1.39</v>
      </c>
      <c r="P310" s="646">
        <v>1.39</v>
      </c>
      <c r="Q310" s="646">
        <v>1.39</v>
      </c>
      <c r="R310" s="646">
        <v>1.39</v>
      </c>
      <c r="S310" s="646">
        <v>1.39</v>
      </c>
      <c r="T310" s="646">
        <v>1.39</v>
      </c>
      <c r="U310" s="646">
        <v>1.39</v>
      </c>
      <c r="V310" s="646">
        <v>1.39</v>
      </c>
      <c r="W310" s="646">
        <v>1.39</v>
      </c>
      <c r="GW310" s="556" t="s">
        <v>4786</v>
      </c>
      <c r="GX310" s="646">
        <v>0</v>
      </c>
      <c r="GY310" s="646">
        <v>0</v>
      </c>
      <c r="GZ310" s="646">
        <v>0</v>
      </c>
      <c r="HA310" s="646">
        <v>0</v>
      </c>
      <c r="HB310" s="646">
        <v>0</v>
      </c>
      <c r="HC310" s="646">
        <v>0</v>
      </c>
      <c r="HD310" s="646">
        <v>0</v>
      </c>
      <c r="HE310" s="646">
        <v>0</v>
      </c>
      <c r="HF310" s="646">
        <v>0</v>
      </c>
      <c r="HG310" s="646">
        <v>0</v>
      </c>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row>
    <row r="311" spans="13:256" s="556" customFormat="1" ht="12.75" customHeight="1">
      <c r="M311" s="556" t="s">
        <v>2618</v>
      </c>
      <c r="N311" s="646"/>
      <c r="O311" s="646"/>
      <c r="P311" s="646"/>
      <c r="Q311" s="646"/>
      <c r="R311" s="646"/>
      <c r="S311" s="646"/>
      <c r="T311" s="646"/>
      <c r="U311" s="646"/>
      <c r="V311" s="646"/>
      <c r="W311" s="646"/>
      <c r="GW311" s="556" t="s">
        <v>1574</v>
      </c>
      <c r="GX311" s="646"/>
      <c r="GY311" s="646"/>
      <c r="GZ311" s="646"/>
      <c r="HA311" s="646"/>
      <c r="HB311" s="646"/>
      <c r="HC311" s="646"/>
      <c r="HD311" s="646"/>
      <c r="HE311" s="646"/>
      <c r="HF311" s="646"/>
      <c r="HG311" s="646"/>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row>
    <row r="312" spans="13:256" s="556" customFormat="1" ht="12.75" customHeight="1">
      <c r="M312" s="556" t="s">
        <v>2290</v>
      </c>
      <c r="N312" s="646"/>
      <c r="O312" s="646"/>
      <c r="P312" s="646"/>
      <c r="Q312" s="646"/>
      <c r="R312" s="646"/>
      <c r="S312" s="646"/>
      <c r="T312" s="646"/>
      <c r="U312" s="646"/>
      <c r="V312" s="646"/>
      <c r="W312" s="646"/>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row>
    <row r="313" spans="13:256" s="556" customFormat="1" ht="12.75" customHeight="1">
      <c r="M313" s="556" t="s">
        <v>2361</v>
      </c>
      <c r="N313" s="646"/>
      <c r="O313" s="646"/>
      <c r="P313" s="646"/>
      <c r="Q313" s="646"/>
      <c r="R313" s="646"/>
      <c r="S313" s="646"/>
      <c r="T313" s="646"/>
      <c r="U313" s="646"/>
      <c r="V313" s="646"/>
      <c r="W313" s="646"/>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row>
    <row r="314" spans="13:256" s="556" customFormat="1" ht="12.75" customHeight="1">
      <c r="M314" s="556" t="s">
        <v>5682</v>
      </c>
      <c r="N314" s="646" t="b">
        <v>1</v>
      </c>
      <c r="O314" s="646" t="b">
        <v>1</v>
      </c>
      <c r="P314" s="646" t="b">
        <v>1</v>
      </c>
      <c r="Q314" s="646" t="b">
        <v>1</v>
      </c>
      <c r="R314" s="646" t="b">
        <v>1</v>
      </c>
      <c r="S314" s="646" t="b">
        <v>1</v>
      </c>
      <c r="T314" s="646" t="b">
        <v>1</v>
      </c>
      <c r="U314" s="646" t="b">
        <v>1</v>
      </c>
      <c r="V314" s="646" t="b">
        <v>1</v>
      </c>
      <c r="W314" s="646" t="b">
        <v>1</v>
      </c>
      <c r="GW314" s="319"/>
      <c r="GX314" s="319"/>
      <c r="HC314" s="319"/>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row>
    <row r="315" spans="13:256" s="556" customFormat="1" ht="12.75" customHeight="1">
      <c r="M315" s="556" t="s">
        <v>3170</v>
      </c>
      <c r="N315" s="646">
        <v>0</v>
      </c>
      <c r="O315" s="646">
        <v>0</v>
      </c>
      <c r="P315" s="646">
        <v>0</v>
      </c>
      <c r="Q315" s="646">
        <v>0</v>
      </c>
      <c r="R315" s="646">
        <v>0</v>
      </c>
      <c r="S315" s="646">
        <v>0</v>
      </c>
      <c r="T315" s="646">
        <v>0</v>
      </c>
      <c r="U315" s="646">
        <v>0</v>
      </c>
      <c r="V315" s="646">
        <v>0</v>
      </c>
      <c r="W315" s="646">
        <v>0</v>
      </c>
      <c r="GW315" s="319"/>
      <c r="GX315" s="319"/>
      <c r="HC315" s="319"/>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c r="IS315"/>
      <c r="IT315"/>
      <c r="IU315"/>
      <c r="IV315"/>
    </row>
    <row r="316" spans="13:256" s="556" customFormat="1" ht="12.75" customHeight="1">
      <c r="M316" s="556" t="s">
        <v>3385</v>
      </c>
      <c r="N316" s="646"/>
      <c r="O316" s="646"/>
      <c r="P316" s="646"/>
      <c r="Q316" s="646"/>
      <c r="R316" s="646"/>
      <c r="S316" s="646"/>
      <c r="T316" s="646"/>
      <c r="U316" s="646"/>
      <c r="V316" s="646"/>
      <c r="W316" s="646"/>
      <c r="GW316" s="319"/>
      <c r="GX316" s="319"/>
      <c r="HC316" s="319"/>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row>
    <row r="317" spans="13:256" s="319" customFormat="1" ht="12.75" customHeight="1">
      <c r="M317" s="319" t="s">
        <v>3386</v>
      </c>
      <c r="N317" s="3">
        <v>0</v>
      </c>
      <c r="O317" s="3">
        <v>0</v>
      </c>
      <c r="P317" s="3">
        <v>0</v>
      </c>
      <c r="Q317" s="3">
        <v>0</v>
      </c>
      <c r="R317" s="3">
        <v>0</v>
      </c>
      <c r="S317" s="3">
        <v>0</v>
      </c>
      <c r="T317" s="3">
        <v>0</v>
      </c>
      <c r="U317" s="3">
        <v>0</v>
      </c>
      <c r="V317" s="3">
        <v>0</v>
      </c>
      <c r="W317" s="3">
        <v>0</v>
      </c>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row>
    <row r="318" spans="13:256" s="319" customFormat="1" ht="12.75" customHeight="1">
      <c r="M318" s="319" t="s">
        <v>1784</v>
      </c>
      <c r="N318" s="3">
        <v>0</v>
      </c>
      <c r="O318" s="3">
        <v>0</v>
      </c>
      <c r="P318" s="3">
        <v>0</v>
      </c>
      <c r="Q318" s="3">
        <v>0</v>
      </c>
      <c r="R318" s="3">
        <v>0</v>
      </c>
      <c r="S318" s="3">
        <v>0</v>
      </c>
      <c r="T318" s="3">
        <v>0</v>
      </c>
      <c r="U318" s="3">
        <v>0</v>
      </c>
      <c r="V318" s="3">
        <v>0</v>
      </c>
      <c r="W318" s="3">
        <v>0</v>
      </c>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row>
    <row r="319" spans="13:256" ht="12.75" customHeight="1">
      <c r="M319" t="s">
        <v>2142</v>
      </c>
      <c r="N319" s="3" t="b">
        <v>0</v>
      </c>
      <c r="O319" s="3" t="b">
        <v>0</v>
      </c>
      <c r="P319" s="3" t="b">
        <v>0</v>
      </c>
      <c r="Q319" s="3" t="b">
        <v>0</v>
      </c>
      <c r="R319" s="3" t="b">
        <v>0</v>
      </c>
      <c r="S319" s="3" t="b">
        <v>0</v>
      </c>
      <c r="T319" s="3" t="b">
        <v>0</v>
      </c>
      <c r="U319" s="3" t="b">
        <v>0</v>
      </c>
      <c r="V319" s="3" t="b">
        <v>0</v>
      </c>
      <c r="W319" s="3" t="b">
        <v>0</v>
      </c>
    </row>
    <row r="320" spans="13:256" ht="12.75" customHeight="1">
      <c r="M320" t="s">
        <v>2530</v>
      </c>
      <c r="N320" s="3" t="b">
        <v>0</v>
      </c>
      <c r="O320" s="3" t="b">
        <v>0</v>
      </c>
      <c r="P320" s="3" t="b">
        <v>0</v>
      </c>
      <c r="Q320" s="3" t="b">
        <v>0</v>
      </c>
      <c r="R320" s="3" t="b">
        <v>0</v>
      </c>
      <c r="S320" s="3" t="b">
        <v>0</v>
      </c>
      <c r="T320" s="3" t="b">
        <v>0</v>
      </c>
      <c r="U320" s="3" t="b">
        <v>0</v>
      </c>
      <c r="V320" s="3" t="b">
        <v>0</v>
      </c>
      <c r="W320" s="3" t="b">
        <v>0</v>
      </c>
    </row>
    <row r="321" spans="13:23" ht="12.75" customHeight="1">
      <c r="M321" t="s">
        <v>3114</v>
      </c>
      <c r="N321" s="3" t="b">
        <v>0</v>
      </c>
      <c r="O321" s="3" t="b">
        <v>0</v>
      </c>
      <c r="P321" s="3" t="b">
        <v>0</v>
      </c>
      <c r="Q321" s="3" t="b">
        <v>0</v>
      </c>
      <c r="R321" s="3" t="b">
        <v>0</v>
      </c>
      <c r="S321" s="3" t="b">
        <v>0</v>
      </c>
      <c r="T321" s="3" t="b">
        <v>0</v>
      </c>
      <c r="U321" s="3" t="b">
        <v>0</v>
      </c>
      <c r="V321" s="3" t="b">
        <v>0</v>
      </c>
      <c r="W321" s="3" t="b">
        <v>0</v>
      </c>
    </row>
    <row r="322" spans="13:23" ht="12.75" customHeight="1">
      <c r="M322" t="s">
        <v>574</v>
      </c>
      <c r="N322" s="3" t="b">
        <v>0</v>
      </c>
      <c r="O322" s="3" t="b">
        <v>0</v>
      </c>
      <c r="P322" s="3" t="b">
        <v>0</v>
      </c>
      <c r="Q322" s="3" t="b">
        <v>0</v>
      </c>
      <c r="R322" s="3" t="b">
        <v>0</v>
      </c>
      <c r="S322" s="3" t="b">
        <v>0</v>
      </c>
      <c r="T322" s="3" t="b">
        <v>0</v>
      </c>
      <c r="U322" s="3" t="b">
        <v>0</v>
      </c>
      <c r="V322" s="3" t="b">
        <v>0</v>
      </c>
      <c r="W322" s="3" t="b">
        <v>0</v>
      </c>
    </row>
    <row r="323" spans="13:23" ht="12.75" customHeight="1">
      <c r="M323" t="s">
        <v>1368</v>
      </c>
      <c r="N323" s="3" t="b">
        <v>0</v>
      </c>
      <c r="O323" s="3" t="b">
        <v>0</v>
      </c>
      <c r="P323" s="3" t="b">
        <v>0</v>
      </c>
      <c r="Q323" s="3" t="b">
        <v>0</v>
      </c>
      <c r="R323" s="3" t="b">
        <v>0</v>
      </c>
      <c r="S323" s="3" t="b">
        <v>0</v>
      </c>
      <c r="T323" s="3" t="b">
        <v>0</v>
      </c>
      <c r="U323" s="3" t="b">
        <v>0</v>
      </c>
      <c r="V323" s="3" t="b">
        <v>0</v>
      </c>
      <c r="W323" s="3" t="b">
        <v>0</v>
      </c>
    </row>
    <row r="324" spans="13:23" ht="12.75" customHeight="1">
      <c r="M324" t="s">
        <v>1203</v>
      </c>
      <c r="N324" s="3" t="b">
        <v>0</v>
      </c>
      <c r="O324" s="3" t="b">
        <v>0</v>
      </c>
      <c r="P324" s="3" t="b">
        <v>0</v>
      </c>
      <c r="Q324" s="3" t="b">
        <v>0</v>
      </c>
      <c r="R324" s="3" t="b">
        <v>0</v>
      </c>
      <c r="S324" s="3" t="b">
        <v>0</v>
      </c>
      <c r="T324" s="3" t="b">
        <v>0</v>
      </c>
      <c r="U324" s="3" t="b">
        <v>0</v>
      </c>
      <c r="V324" s="3" t="b">
        <v>0</v>
      </c>
      <c r="W324" s="3" t="b">
        <v>0</v>
      </c>
    </row>
    <row r="325" spans="13:23" ht="12.75" customHeight="1">
      <c r="M325" t="s">
        <v>330</v>
      </c>
      <c r="N325" s="3" t="b">
        <v>0</v>
      </c>
      <c r="O325" s="3" t="b">
        <v>0</v>
      </c>
      <c r="P325" s="3" t="b">
        <v>0</v>
      </c>
      <c r="Q325" s="3" t="b">
        <v>0</v>
      </c>
      <c r="R325" s="3" t="b">
        <v>0</v>
      </c>
      <c r="S325" s="3" t="b">
        <v>0</v>
      </c>
      <c r="T325" s="3" t="b">
        <v>0</v>
      </c>
      <c r="U325" s="3" t="b">
        <v>0</v>
      </c>
      <c r="V325" s="3" t="b">
        <v>0</v>
      </c>
      <c r="W325" s="3" t="b">
        <v>0</v>
      </c>
    </row>
    <row r="326" spans="13:23" ht="12.75" customHeight="1">
      <c r="M326" t="s">
        <v>3460</v>
      </c>
      <c r="N326" s="3">
        <v>0</v>
      </c>
      <c r="O326" s="3">
        <v>0</v>
      </c>
      <c r="P326" s="3">
        <v>0</v>
      </c>
      <c r="Q326" s="3">
        <v>0</v>
      </c>
      <c r="R326" s="3">
        <v>0</v>
      </c>
      <c r="S326" s="3">
        <v>0</v>
      </c>
      <c r="T326" s="3">
        <v>0</v>
      </c>
      <c r="U326" s="3">
        <v>0</v>
      </c>
      <c r="V326" s="3">
        <v>0</v>
      </c>
      <c r="W326" s="3">
        <v>0</v>
      </c>
    </row>
  </sheetData>
  <mergeCells count="2">
    <mergeCell ref="CX14:CY14"/>
    <mergeCell ref="CZ14:DA14"/>
  </mergeCells>
  <phoneticPr fontId="0" type="noConversion"/>
  <pageMargins left="0.75" right="0.75" top="1" bottom="1" header="0.5" footer="0.5"/>
  <pageSetup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7D221-36BA-4592-B142-3F64515BFAE5}">
  <sheetPr codeName="CHP_Charts"/>
  <dimension ref="A1:E157"/>
  <sheetViews>
    <sheetView workbookViewId="0">
      <selection activeCell="G24" sqref="G24"/>
    </sheetView>
  </sheetViews>
  <sheetFormatPr defaultRowHeight="12.75" customHeight="1"/>
  <sheetData>
    <row r="1" spans="1:1" ht="13.2">
      <c r="A1">
        <v>1</v>
      </c>
    </row>
    <row r="19" spans="1:3" ht="12.75" customHeight="1">
      <c r="B19" s="204"/>
      <c r="C19" s="204"/>
    </row>
    <row r="20" spans="1:3" ht="12.75" customHeight="1">
      <c r="B20" s="204"/>
      <c r="C20" s="204"/>
    </row>
    <row r="21" spans="1:3" ht="12.75" customHeight="1">
      <c r="B21" s="204"/>
      <c r="C21" s="204"/>
    </row>
    <row r="22" spans="1:3" ht="12.75" customHeight="1">
      <c r="B22" s="204"/>
      <c r="C22" s="204"/>
    </row>
    <row r="23" spans="1:3" ht="12.75" customHeight="1">
      <c r="B23" s="204"/>
      <c r="C23" s="204"/>
    </row>
    <row r="24" spans="1:3" ht="12.75" customHeight="1">
      <c r="B24" s="204"/>
      <c r="C24" s="204"/>
    </row>
    <row r="25" spans="1:3" ht="12.75" customHeight="1">
      <c r="B25" s="204"/>
      <c r="C25" s="204"/>
    </row>
    <row r="26" spans="1:3" ht="12.75" customHeight="1">
      <c r="B26" s="204"/>
      <c r="C26" s="204"/>
    </row>
    <row r="27" spans="1:3" ht="12.75" customHeight="1">
      <c r="B27" s="204"/>
      <c r="C27" s="204"/>
    </row>
    <row r="28" spans="1:3" ht="12.75" customHeight="1">
      <c r="B28" s="204"/>
      <c r="C28" s="204"/>
    </row>
    <row r="29" spans="1:3" ht="12.75" customHeight="1">
      <c r="B29" s="204"/>
      <c r="C29" s="204"/>
    </row>
    <row r="30" spans="1:3" ht="12.75" customHeight="1">
      <c r="B30" s="204"/>
      <c r="C30" s="204"/>
    </row>
    <row r="32" spans="1:3" ht="13.2">
      <c r="A32">
        <v>2</v>
      </c>
    </row>
    <row r="50" spans="1:4" ht="12.75" customHeight="1">
      <c r="A50" t="str">
        <f>D52</f>
        <v>Velocidade do Vento - m/s</v>
      </c>
      <c r="B50" t="str">
        <f>Language!$C$847</f>
        <v>Energia</v>
      </c>
      <c r="C50" t="str">
        <f>Language!$C$189</f>
        <v xml:space="preserve">Eletricidade </v>
      </c>
      <c r="D50" t="str">
        <f>Language!C1896&amp;" - "&amp;Language!C1364</f>
        <v>Potência - kW</v>
      </c>
    </row>
    <row r="51" spans="1:4" ht="12.75" customHeight="1">
      <c r="A51">
        <v>0</v>
      </c>
      <c r="B51" s="204"/>
      <c r="C51">
        <f>'Modelo Energético'!P269</f>
        <v>0</v>
      </c>
      <c r="D51" t="str">
        <f>Language!C847&amp;" - "&amp;Language!C1396</f>
        <v>Energia - MWh</v>
      </c>
    </row>
    <row r="52" spans="1:4" ht="12.75" customHeight="1">
      <c r="A52">
        <v>1</v>
      </c>
      <c r="B52" s="204"/>
      <c r="C52">
        <f>'Modelo Energético'!P270</f>
        <v>0</v>
      </c>
      <c r="D52" t="str">
        <f>'Modelo Energético'!C267&amp;" - "&amp;'Modelo Energético'!C268</f>
        <v>Velocidade do Vento - m/s</v>
      </c>
    </row>
    <row r="53" spans="1:4" ht="12.75" customHeight="1">
      <c r="A53">
        <v>2</v>
      </c>
      <c r="B53" s="204"/>
      <c r="C53">
        <f>'Modelo Energético'!P271</f>
        <v>0</v>
      </c>
    </row>
    <row r="54" spans="1:4" ht="12.75" customHeight="1">
      <c r="A54">
        <v>3</v>
      </c>
      <c r="B54" s="204">
        <f>'Modelo Energético'!E272</f>
        <v>0</v>
      </c>
      <c r="C54">
        <f>'Modelo Energético'!P272</f>
        <v>0</v>
      </c>
    </row>
    <row r="55" spans="1:4" ht="12.75" customHeight="1">
      <c r="A55">
        <v>4</v>
      </c>
      <c r="B55" s="204">
        <f>'Modelo Energético'!E273</f>
        <v>0</v>
      </c>
      <c r="C55">
        <f>'Modelo Energético'!P273</f>
        <v>0</v>
      </c>
    </row>
    <row r="56" spans="1:4" ht="12.75" customHeight="1">
      <c r="A56">
        <v>5</v>
      </c>
      <c r="B56" s="204">
        <f>'Modelo Energético'!E274</f>
        <v>0</v>
      </c>
      <c r="C56">
        <f>'Modelo Energético'!P274</f>
        <v>0</v>
      </c>
    </row>
    <row r="57" spans="1:4" ht="12.75" customHeight="1">
      <c r="A57">
        <v>6</v>
      </c>
      <c r="B57" s="204">
        <f>'Modelo Energético'!E275</f>
        <v>0</v>
      </c>
      <c r="C57">
        <f>'Modelo Energético'!P275</f>
        <v>0</v>
      </c>
    </row>
    <row r="58" spans="1:4" ht="12.75" customHeight="1">
      <c r="A58">
        <v>7</v>
      </c>
      <c r="B58" s="204">
        <f>'Modelo Energético'!E276</f>
        <v>0</v>
      </c>
      <c r="C58">
        <f>'Modelo Energético'!P276</f>
        <v>0</v>
      </c>
    </row>
    <row r="59" spans="1:4" ht="12.75" customHeight="1">
      <c r="A59">
        <v>8</v>
      </c>
      <c r="B59" s="204">
        <f>'Modelo Energético'!E277</f>
        <v>0</v>
      </c>
      <c r="C59">
        <f>'Modelo Energético'!P277</f>
        <v>0</v>
      </c>
    </row>
    <row r="60" spans="1:4" ht="12.75" customHeight="1">
      <c r="A60">
        <v>9</v>
      </c>
      <c r="B60" s="204">
        <f>'Modelo Energético'!E278</f>
        <v>0</v>
      </c>
      <c r="C60">
        <f>'Modelo Energético'!P278</f>
        <v>0</v>
      </c>
    </row>
    <row r="61" spans="1:4" ht="12.75" customHeight="1">
      <c r="A61">
        <v>10</v>
      </c>
      <c r="B61" s="204">
        <f>'Modelo Energético'!E279</f>
        <v>0</v>
      </c>
      <c r="C61">
        <f>'Modelo Energético'!P279</f>
        <v>0</v>
      </c>
    </row>
    <row r="62" spans="1:4" ht="12.75" customHeight="1">
      <c r="A62">
        <v>11</v>
      </c>
      <c r="B62" s="204">
        <f>'Modelo Energético'!E280</f>
        <v>0</v>
      </c>
      <c r="C62">
        <f>'Modelo Energético'!P280</f>
        <v>0</v>
      </c>
    </row>
    <row r="63" spans="1:4" ht="12.75" customHeight="1">
      <c r="A63">
        <v>12</v>
      </c>
      <c r="B63" s="204">
        <f>'Modelo Energético'!E281</f>
        <v>0</v>
      </c>
      <c r="C63">
        <f>'Modelo Energético'!P281</f>
        <v>0</v>
      </c>
    </row>
    <row r="64" spans="1:4" ht="12.75" customHeight="1">
      <c r="A64">
        <v>13</v>
      </c>
      <c r="B64" s="204">
        <f>'Modelo Energético'!E282</f>
        <v>0</v>
      </c>
      <c r="C64">
        <f>'Modelo Energético'!P282</f>
        <v>0</v>
      </c>
    </row>
    <row r="65" spans="1:3" ht="12.75" customHeight="1">
      <c r="A65">
        <v>14</v>
      </c>
      <c r="B65" s="204">
        <f>'Modelo Energético'!E283</f>
        <v>0</v>
      </c>
      <c r="C65">
        <f>'Modelo Energético'!P283</f>
        <v>0</v>
      </c>
    </row>
    <row r="66" spans="1:3" ht="12.75" customHeight="1">
      <c r="A66">
        <v>15</v>
      </c>
      <c r="B66" s="204">
        <f>'Modelo Energético'!E284</f>
        <v>0</v>
      </c>
      <c r="C66">
        <f>'Modelo Energético'!P284</f>
        <v>0</v>
      </c>
    </row>
    <row r="67" spans="1:3" ht="12.75" customHeight="1">
      <c r="A67">
        <v>16</v>
      </c>
      <c r="B67" s="204"/>
      <c r="C67">
        <f>'Modelo Energético'!P285</f>
        <v>0</v>
      </c>
    </row>
    <row r="68" spans="1:3" ht="12.75" customHeight="1">
      <c r="A68">
        <v>17</v>
      </c>
      <c r="B68" s="204"/>
      <c r="C68">
        <f>'Modelo Energético'!P286</f>
        <v>0</v>
      </c>
    </row>
    <row r="69" spans="1:3" ht="12.75" customHeight="1">
      <c r="A69">
        <v>18</v>
      </c>
      <c r="B69" s="204"/>
      <c r="C69">
        <f>'Modelo Energético'!P287</f>
        <v>0</v>
      </c>
    </row>
    <row r="70" spans="1:3" ht="12.75" customHeight="1">
      <c r="A70">
        <v>19</v>
      </c>
      <c r="B70" s="204"/>
      <c r="C70">
        <f>'Modelo Energético'!P288</f>
        <v>0</v>
      </c>
    </row>
    <row r="71" spans="1:3" ht="12.75" customHeight="1">
      <c r="A71">
        <v>20</v>
      </c>
      <c r="B71" s="204"/>
      <c r="C71">
        <f>'Modelo Energético'!P289</f>
        <v>0</v>
      </c>
    </row>
    <row r="72" spans="1:3" ht="12.75" customHeight="1">
      <c r="A72">
        <v>21</v>
      </c>
      <c r="B72" s="204"/>
      <c r="C72">
        <f>'Modelo Energético'!P290</f>
        <v>0</v>
      </c>
    </row>
    <row r="73" spans="1:3" ht="12.75" customHeight="1">
      <c r="A73">
        <v>22</v>
      </c>
      <c r="B73" s="204"/>
      <c r="C73">
        <f>'Modelo Energético'!P291</f>
        <v>0</v>
      </c>
    </row>
    <row r="74" spans="1:3" ht="12.75" customHeight="1">
      <c r="A74">
        <v>23</v>
      </c>
      <c r="B74" s="204"/>
      <c r="C74">
        <f>'Modelo Energético'!P292</f>
        <v>0</v>
      </c>
    </row>
    <row r="75" spans="1:3" ht="12.75" customHeight="1">
      <c r="A75">
        <v>24</v>
      </c>
      <c r="B75" s="204"/>
      <c r="C75">
        <f>'Modelo Energético'!P293</f>
        <v>0</v>
      </c>
    </row>
    <row r="76" spans="1:3" ht="12.75" customHeight="1">
      <c r="A76">
        <v>25</v>
      </c>
      <c r="B76" s="204"/>
      <c r="C76">
        <f>'Modelo Energético'!P294</f>
        <v>0</v>
      </c>
    </row>
    <row r="77" spans="1:3" ht="12.75" customHeight="1">
      <c r="A77">
        <v>26</v>
      </c>
      <c r="C77">
        <f>'Modelo Energético'!P295</f>
        <v>0</v>
      </c>
    </row>
    <row r="78" spans="1:3" ht="12.75" customHeight="1">
      <c r="A78">
        <v>27</v>
      </c>
      <c r="C78">
        <f>'Modelo Energético'!P296</f>
        <v>0</v>
      </c>
    </row>
    <row r="79" spans="1:3" ht="13.2">
      <c r="A79">
        <v>28</v>
      </c>
      <c r="C79">
        <f>'Modelo Energético'!P297</f>
        <v>0</v>
      </c>
    </row>
    <row r="80" spans="1:3" ht="13.2">
      <c r="A80">
        <v>29</v>
      </c>
      <c r="C80">
        <f>'Modelo Energético'!P298</f>
        <v>0</v>
      </c>
    </row>
    <row r="81" spans="1:3" ht="13.2">
      <c r="A81">
        <v>30</v>
      </c>
      <c r="B81" s="204"/>
      <c r="C81">
        <f>'Modelo Energético'!P299</f>
        <v>0</v>
      </c>
    </row>
    <row r="82" spans="1:3" ht="13.2">
      <c r="A82" t="s">
        <v>2754</v>
      </c>
      <c r="B82" s="204"/>
    </row>
    <row r="84" spans="1:3" ht="12.75" customHeight="1">
      <c r="A84">
        <f>'Modelo Energético'!O295</f>
        <v>26</v>
      </c>
      <c r="C84">
        <f>'Modelo Energético'!P295</f>
        <v>0</v>
      </c>
    </row>
    <row r="85" spans="1:3" ht="12.75" customHeight="1">
      <c r="A85">
        <f>'Modelo Energético'!O296</f>
        <v>27</v>
      </c>
      <c r="C85">
        <f>'Modelo Energético'!P296</f>
        <v>0</v>
      </c>
    </row>
    <row r="86" spans="1:3" ht="12.75" customHeight="1">
      <c r="A86">
        <f>'Modelo Energético'!O297</f>
        <v>28</v>
      </c>
      <c r="C86">
        <f>'Modelo Energético'!P297</f>
        <v>0</v>
      </c>
    </row>
    <row r="87" spans="1:3" ht="12.75" customHeight="1">
      <c r="A87">
        <f>'Modelo Energético'!O298</f>
        <v>29</v>
      </c>
      <c r="C87">
        <f>'Modelo Energético'!P298</f>
        <v>0</v>
      </c>
    </row>
    <row r="88" spans="1:3" ht="12.75" customHeight="1">
      <c r="A88">
        <f>'Modelo Energético'!O299</f>
        <v>30</v>
      </c>
      <c r="C88">
        <f>'Modelo Energético'!P299</f>
        <v>0</v>
      </c>
    </row>
    <row r="98" spans="1:2" ht="12.75" customHeight="1">
      <c r="A98" t="s">
        <v>4731</v>
      </c>
    </row>
    <row r="99" spans="1:2" ht="12.75" customHeight="1">
      <c r="A99" s="247">
        <v>0</v>
      </c>
      <c r="B99" s="78">
        <f>IF(ES_Hydro_HM=100,'Modelo Energético'!I406,'Modelo Energético'!H382)</f>
        <v>0</v>
      </c>
    </row>
    <row r="100" spans="1:2" ht="12.75" customHeight="1">
      <c r="A100" s="247">
        <v>0.05</v>
      </c>
      <c r="B100" s="78" t="e">
        <f>IF(ES_Hydro_HM=100,'Modelo Energético'!I407,'Modelo Energético'!H383)</f>
        <v>#DIV/0!</v>
      </c>
    </row>
    <row r="101" spans="1:2" ht="12.75" customHeight="1">
      <c r="A101" s="247">
        <v>0.1</v>
      </c>
      <c r="B101" s="78" t="e">
        <f>IF(ES_Hydro_HM=100,'Modelo Energético'!I408,'Modelo Energético'!H384)</f>
        <v>#DIV/0!</v>
      </c>
    </row>
    <row r="102" spans="1:2" ht="12.75" customHeight="1">
      <c r="A102" s="247">
        <v>0.15</v>
      </c>
      <c r="B102" s="78" t="e">
        <f>IF(ES_Hydro_HM=100,'Modelo Energético'!I409,'Modelo Energético'!H385)</f>
        <v>#DIV/0!</v>
      </c>
    </row>
    <row r="103" spans="1:2" ht="12.75" customHeight="1">
      <c r="A103" s="247">
        <v>0.2</v>
      </c>
      <c r="B103" s="78" t="e">
        <f>IF(ES_Hydro_HM=100,'Modelo Energético'!I410,'Modelo Energético'!H386)</f>
        <v>#DIV/0!</v>
      </c>
    </row>
    <row r="104" spans="1:2" ht="12.75" customHeight="1">
      <c r="A104" s="247">
        <v>0.25</v>
      </c>
      <c r="B104" s="78" t="e">
        <f>IF(ES_Hydro_HM=100,'Modelo Energético'!I411,'Modelo Energético'!H387)</f>
        <v>#DIV/0!</v>
      </c>
    </row>
    <row r="105" spans="1:2" ht="12.75" customHeight="1">
      <c r="A105" s="247">
        <v>0.3</v>
      </c>
      <c r="B105" s="78" t="e">
        <f>IF(ES_Hydro_HM=100,'Modelo Energético'!I412,'Modelo Energético'!H388)</f>
        <v>#DIV/0!</v>
      </c>
    </row>
    <row r="106" spans="1:2" ht="12.75" customHeight="1">
      <c r="A106" s="247">
        <v>0.35</v>
      </c>
      <c r="B106" s="78" t="e">
        <f>IF(ES_Hydro_HM=100,'Modelo Energético'!I413,'Modelo Energético'!H389)</f>
        <v>#DIV/0!</v>
      </c>
    </row>
    <row r="107" spans="1:2" ht="12.75" customHeight="1">
      <c r="A107" s="247">
        <v>0.4</v>
      </c>
      <c r="B107" s="78" t="e">
        <f>IF(ES_Hydro_HM=100,'Modelo Energético'!I414,'Modelo Energético'!H390)</f>
        <v>#DIV/0!</v>
      </c>
    </row>
    <row r="108" spans="1:2" ht="12.75" customHeight="1">
      <c r="A108" s="247">
        <v>0.45</v>
      </c>
      <c r="B108" s="78" t="e">
        <f>IF(ES_Hydro_HM=100,'Modelo Energético'!I415,'Modelo Energético'!H391)</f>
        <v>#DIV/0!</v>
      </c>
    </row>
    <row r="109" spans="1:2" ht="12.75" customHeight="1">
      <c r="A109" s="247">
        <v>0.5</v>
      </c>
      <c r="B109" s="78" t="e">
        <f>IF(ES_Hydro_HM=100,'Modelo Energético'!I416,'Modelo Energético'!H392)</f>
        <v>#DIV/0!</v>
      </c>
    </row>
    <row r="110" spans="1:2" ht="12.75" customHeight="1">
      <c r="A110" s="247">
        <v>0.55000000000000004</v>
      </c>
      <c r="B110" s="78" t="e">
        <f>IF(ES_Hydro_HM=100,'Modelo Energético'!I417,'Modelo Energético'!H393)</f>
        <v>#DIV/0!</v>
      </c>
    </row>
    <row r="111" spans="1:2" ht="12.75" customHeight="1">
      <c r="A111" s="247">
        <v>0.6</v>
      </c>
      <c r="B111" s="78" t="e">
        <f>IF(ES_Hydro_HM=100,'Modelo Energético'!I418,'Modelo Energético'!H394)</f>
        <v>#DIV/0!</v>
      </c>
    </row>
    <row r="112" spans="1:2" ht="12.75" customHeight="1">
      <c r="A112" s="247">
        <v>0.65</v>
      </c>
      <c r="B112" s="78" t="e">
        <f>IF(ES_Hydro_HM=100,'Modelo Energético'!I419,'Modelo Energético'!H395)</f>
        <v>#DIV/0!</v>
      </c>
    </row>
    <row r="113" spans="1:2" ht="12.75" customHeight="1">
      <c r="A113" s="247">
        <v>0.7</v>
      </c>
      <c r="B113" s="78" t="e">
        <f>IF(ES_Hydro_HM=100,'Modelo Energético'!I420,'Modelo Energético'!H396)</f>
        <v>#DIV/0!</v>
      </c>
    </row>
    <row r="114" spans="1:2" ht="12.75" customHeight="1">
      <c r="A114" s="247">
        <v>0.75</v>
      </c>
      <c r="B114" s="78" t="e">
        <f>IF(ES_Hydro_HM=100,'Modelo Energético'!I421,'Modelo Energético'!H397)</f>
        <v>#DIV/0!</v>
      </c>
    </row>
    <row r="115" spans="1:2" ht="12.75" customHeight="1">
      <c r="A115" s="247">
        <v>0.8</v>
      </c>
      <c r="B115" s="78" t="e">
        <f>IF(ES_Hydro_HM=100,'Modelo Energético'!I422,'Modelo Energético'!H398)</f>
        <v>#DIV/0!</v>
      </c>
    </row>
    <row r="116" spans="1:2" ht="12.75" customHeight="1">
      <c r="A116" s="247">
        <v>0.85</v>
      </c>
      <c r="B116" s="78" t="e">
        <f>IF(ES_Hydro_HM=100,'Modelo Energético'!I423,'Modelo Energético'!H399)</f>
        <v>#DIV/0!</v>
      </c>
    </row>
    <row r="117" spans="1:2" ht="12.75" customHeight="1">
      <c r="A117" s="247">
        <v>0.9</v>
      </c>
      <c r="B117" s="78" t="e">
        <f>IF(ES_Hydro_HM=100,'Modelo Energético'!I424,'Modelo Energético'!H400)</f>
        <v>#DIV/0!</v>
      </c>
    </row>
    <row r="118" spans="1:2" ht="12.75" customHeight="1">
      <c r="A118" s="247">
        <v>0.95</v>
      </c>
      <c r="B118" s="78" t="e">
        <f>IF(ES_Hydro_HM=100,'Modelo Energético'!I425,'Modelo Energético'!H401)</f>
        <v>#DIV/0!</v>
      </c>
    </row>
    <row r="119" spans="1:2" ht="12.75" customHeight="1">
      <c r="A119" s="247">
        <v>1</v>
      </c>
      <c r="B119" s="78" t="e">
        <f>IF(ES_Hydro_HM=100,'Modelo Energético'!I426,'Modelo Energético'!H402)</f>
        <v>#DIV/0!</v>
      </c>
    </row>
    <row r="136" spans="1:5" ht="12.75" customHeight="1">
      <c r="A136" s="349" t="s">
        <v>5856</v>
      </c>
      <c r="B136" s="350"/>
      <c r="C136" s="351"/>
      <c r="E136" t="str">
        <f>Language!C1665&amp;" - "&amp;Language!C2238</f>
        <v>Fluxo - m³/s</v>
      </c>
    </row>
    <row r="137" spans="1:5" ht="12.75" customHeight="1">
      <c r="A137" s="231">
        <v>0</v>
      </c>
      <c r="B137" s="352">
        <f>'Modelo Energético'!X382</f>
        <v>0</v>
      </c>
      <c r="C137" s="352">
        <f>'Modelo Energético'!AA382</f>
        <v>0</v>
      </c>
      <c r="D137" s="353" t="e">
        <f>'Modelo Energético'!AE382</f>
        <v>#DIV/0!</v>
      </c>
      <c r="E137" t="str">
        <f>PDPower&amp;" - "&amp;Language!C1364</f>
        <v>Eletricidade  - kW</v>
      </c>
    </row>
    <row r="138" spans="1:5" ht="12.75" customHeight="1">
      <c r="A138" s="231">
        <v>0.05</v>
      </c>
      <c r="B138" s="352">
        <f>'Modelo Energético'!X383</f>
        <v>0</v>
      </c>
      <c r="C138" s="352">
        <f>'Modelo Energético'!AA383</f>
        <v>0</v>
      </c>
      <c r="D138" s="353" t="e">
        <f>'Modelo Energético'!AE383</f>
        <v>#DIV/0!</v>
      </c>
    </row>
    <row r="139" spans="1:5" ht="12.75" customHeight="1">
      <c r="A139" s="231">
        <v>0.1</v>
      </c>
      <c r="B139" s="352">
        <f>'Modelo Energético'!X384</f>
        <v>0</v>
      </c>
      <c r="C139" s="352">
        <f>'Modelo Energético'!AA384</f>
        <v>0</v>
      </c>
      <c r="D139" s="353" t="e">
        <f>'Modelo Energético'!AE384</f>
        <v>#DIV/0!</v>
      </c>
    </row>
    <row r="140" spans="1:5" ht="12.75" customHeight="1">
      <c r="A140" s="231">
        <v>0.15</v>
      </c>
      <c r="B140" s="352">
        <f>'Modelo Energético'!X385</f>
        <v>0</v>
      </c>
      <c r="C140" s="352">
        <f>'Modelo Energético'!AA385</f>
        <v>0</v>
      </c>
      <c r="D140" s="353" t="e">
        <f>'Modelo Energético'!AE385</f>
        <v>#DIV/0!</v>
      </c>
    </row>
    <row r="141" spans="1:5" ht="12.75" customHeight="1">
      <c r="A141" s="231">
        <v>0.2</v>
      </c>
      <c r="B141" s="352">
        <f>'Modelo Energético'!X386</f>
        <v>0</v>
      </c>
      <c r="C141" s="352">
        <f>'Modelo Energético'!AA386</f>
        <v>0</v>
      </c>
      <c r="D141" s="353" t="e">
        <f>'Modelo Energético'!AE386</f>
        <v>#DIV/0!</v>
      </c>
    </row>
    <row r="142" spans="1:5" ht="12.75" customHeight="1">
      <c r="A142" s="231">
        <v>0.25</v>
      </c>
      <c r="B142" s="352">
        <f>'Modelo Energético'!X387</f>
        <v>0</v>
      </c>
      <c r="C142" s="352">
        <f>'Modelo Energético'!AA387</f>
        <v>0</v>
      </c>
      <c r="D142" s="353" t="e">
        <f>'Modelo Energético'!AE387</f>
        <v>#DIV/0!</v>
      </c>
    </row>
    <row r="143" spans="1:5" ht="12.75" customHeight="1">
      <c r="A143" s="231">
        <v>0.3</v>
      </c>
      <c r="B143" s="352">
        <f>'Modelo Energético'!X388</f>
        <v>0</v>
      </c>
      <c r="C143" s="352">
        <f>'Modelo Energético'!AA388</f>
        <v>0</v>
      </c>
      <c r="D143" s="353" t="e">
        <f>'Modelo Energético'!AE388</f>
        <v>#DIV/0!</v>
      </c>
    </row>
    <row r="144" spans="1:5" ht="12.75" customHeight="1">
      <c r="A144" s="231">
        <v>0.35</v>
      </c>
      <c r="B144" s="352">
        <f>'Modelo Energético'!X389</f>
        <v>0</v>
      </c>
      <c r="C144" s="352">
        <f>'Modelo Energético'!AA389</f>
        <v>0</v>
      </c>
      <c r="D144" s="353" t="e">
        <f>'Modelo Energético'!AE389</f>
        <v>#DIV/0!</v>
      </c>
    </row>
    <row r="145" spans="1:4" ht="12.75" customHeight="1">
      <c r="A145" s="231">
        <v>0.4</v>
      </c>
      <c r="B145" s="352">
        <f>'Modelo Energético'!X390</f>
        <v>0</v>
      </c>
      <c r="C145" s="352">
        <f>'Modelo Energético'!AA390</f>
        <v>0</v>
      </c>
      <c r="D145" s="353" t="e">
        <f>'Modelo Energético'!AE390</f>
        <v>#DIV/0!</v>
      </c>
    </row>
    <row r="146" spans="1:4" ht="12.75" customHeight="1">
      <c r="A146" s="231">
        <v>0.45</v>
      </c>
      <c r="B146" s="352">
        <f>'Modelo Energético'!X391</f>
        <v>0</v>
      </c>
      <c r="C146" s="352">
        <f>'Modelo Energético'!AA391</f>
        <v>0</v>
      </c>
      <c r="D146" s="353" t="e">
        <f>'Modelo Energético'!AE391</f>
        <v>#DIV/0!</v>
      </c>
    </row>
    <row r="147" spans="1:4" ht="12.75" customHeight="1">
      <c r="A147" s="231">
        <v>0.5</v>
      </c>
      <c r="B147" s="352">
        <f>'Modelo Energético'!X392</f>
        <v>0</v>
      </c>
      <c r="C147" s="352">
        <f>'Modelo Energético'!AA392</f>
        <v>0</v>
      </c>
      <c r="D147" s="353" t="e">
        <f>'Modelo Energético'!AE392</f>
        <v>#DIV/0!</v>
      </c>
    </row>
    <row r="148" spans="1:4" ht="12.75" customHeight="1">
      <c r="A148" s="231">
        <v>0.55000000000000004</v>
      </c>
      <c r="B148" s="352">
        <f>'Modelo Energético'!X393</f>
        <v>0</v>
      </c>
      <c r="C148" s="352">
        <f>'Modelo Energético'!AA393</f>
        <v>0</v>
      </c>
      <c r="D148" s="353" t="e">
        <f>'Modelo Energético'!AE393</f>
        <v>#DIV/0!</v>
      </c>
    </row>
    <row r="149" spans="1:4" ht="12.75" customHeight="1">
      <c r="A149" s="231">
        <v>0.6</v>
      </c>
      <c r="B149" s="352">
        <f>'Modelo Energético'!X394</f>
        <v>0</v>
      </c>
      <c r="C149" s="352">
        <f>'Modelo Energético'!AA394</f>
        <v>0</v>
      </c>
      <c r="D149" s="353" t="e">
        <f>'Modelo Energético'!AE394</f>
        <v>#DIV/0!</v>
      </c>
    </row>
    <row r="150" spans="1:4" ht="12.75" customHeight="1">
      <c r="A150" s="231">
        <v>0.65</v>
      </c>
      <c r="B150" s="352">
        <f>'Modelo Energético'!X395</f>
        <v>0</v>
      </c>
      <c r="C150" s="352">
        <f>'Modelo Energético'!AA395</f>
        <v>0</v>
      </c>
      <c r="D150" s="353" t="e">
        <f>'Modelo Energético'!AE395</f>
        <v>#DIV/0!</v>
      </c>
    </row>
    <row r="151" spans="1:4" ht="12.75" customHeight="1">
      <c r="A151" s="231">
        <v>0.7</v>
      </c>
      <c r="B151" s="352">
        <f>'Modelo Energético'!X396</f>
        <v>0</v>
      </c>
      <c r="C151" s="352">
        <f>'Modelo Energético'!AA396</f>
        <v>0</v>
      </c>
      <c r="D151" s="353" t="e">
        <f>'Modelo Energético'!AE396</f>
        <v>#DIV/0!</v>
      </c>
    </row>
    <row r="152" spans="1:4" ht="12.75" customHeight="1">
      <c r="A152" s="231">
        <v>0.75</v>
      </c>
      <c r="B152" s="352">
        <f>'Modelo Energético'!X397</f>
        <v>0</v>
      </c>
      <c r="C152" s="352">
        <f>'Modelo Energético'!AA397</f>
        <v>0</v>
      </c>
      <c r="D152" s="353" t="e">
        <f>'Modelo Energético'!AE397</f>
        <v>#DIV/0!</v>
      </c>
    </row>
    <row r="153" spans="1:4" ht="12.75" customHeight="1">
      <c r="A153" s="231">
        <v>0.8</v>
      </c>
      <c r="B153" s="352">
        <f>'Modelo Energético'!X398</f>
        <v>0</v>
      </c>
      <c r="C153" s="352">
        <f>'Modelo Energético'!AA398</f>
        <v>0</v>
      </c>
      <c r="D153" s="353" t="e">
        <f>'Modelo Energético'!AE398</f>
        <v>#DIV/0!</v>
      </c>
    </row>
    <row r="154" spans="1:4" ht="12.75" customHeight="1">
      <c r="A154" s="231">
        <v>0.85</v>
      </c>
      <c r="B154" s="352">
        <f>'Modelo Energético'!X399</f>
        <v>0</v>
      </c>
      <c r="C154" s="352">
        <f>'Modelo Energético'!AA399</f>
        <v>0</v>
      </c>
      <c r="D154" s="353" t="e">
        <f>'Modelo Energético'!AE399</f>
        <v>#DIV/0!</v>
      </c>
    </row>
    <row r="155" spans="1:4" ht="12.75" customHeight="1">
      <c r="A155" s="231">
        <v>0.9</v>
      </c>
      <c r="B155" s="352">
        <f>'Modelo Energético'!X400</f>
        <v>0</v>
      </c>
      <c r="C155" s="352">
        <f>'Modelo Energético'!AA400</f>
        <v>0</v>
      </c>
      <c r="D155" s="353" t="e">
        <f>'Modelo Energético'!AE400</f>
        <v>#DIV/0!</v>
      </c>
    </row>
    <row r="156" spans="1:4" ht="12.75" customHeight="1">
      <c r="A156" s="231">
        <v>0.95</v>
      </c>
      <c r="B156" s="352">
        <f>'Modelo Energético'!X401</f>
        <v>0</v>
      </c>
      <c r="C156" s="352">
        <f>'Modelo Energético'!AA401</f>
        <v>0</v>
      </c>
      <c r="D156" s="353" t="e">
        <f>'Modelo Energético'!AE401</f>
        <v>#DIV/0!</v>
      </c>
    </row>
    <row r="157" spans="1:4" ht="12.75" customHeight="1">
      <c r="A157" s="231">
        <v>1</v>
      </c>
      <c r="B157" s="352">
        <f>'Modelo Energético'!X402</f>
        <v>0</v>
      </c>
      <c r="C157" s="352">
        <f>'Modelo Energético'!AA402</f>
        <v>0</v>
      </c>
      <c r="D157" s="353" t="e">
        <f>'Modelo Energético'!AE402</f>
        <v>#DIV/0!</v>
      </c>
    </row>
  </sheetData>
  <phoneticPr fontId="17" type="noConversion"/>
  <pageMargins left="0.75" right="0.75" top="1" bottom="1" header="0.5" footer="0.5"/>
  <pageSetup orientation="portrait"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9144A-80D7-4B03-A4CC-2524185D7D39}">
  <sheetPr codeName="CHP_ALang"/>
  <dimension ref="A1:C42947"/>
  <sheetViews>
    <sheetView topLeftCell="A42520" workbookViewId="0">
      <selection activeCell="A42565" sqref="A42565"/>
    </sheetView>
  </sheetViews>
  <sheetFormatPr defaultRowHeight="12.75" customHeight="1"/>
  <cols>
    <col min="1" max="1" width="17.109375" customWidth="1"/>
    <col min="2" max="2" width="18.88671875" customWidth="1"/>
    <col min="3" max="3" width="105.44140625" customWidth="1"/>
  </cols>
  <sheetData>
    <row r="1" spans="1:3" ht="12.9" customHeight="1">
      <c r="A1" s="504" t="s">
        <v>4226</v>
      </c>
      <c r="B1" s="504" t="s">
        <v>4861</v>
      </c>
      <c r="C1" s="504"/>
    </row>
    <row r="2" spans="1:3" ht="12.9" customHeight="1">
      <c r="A2" s="381"/>
      <c r="B2" s="381" t="s">
        <v>2647</v>
      </c>
      <c r="C2" s="381" t="s">
        <v>6021</v>
      </c>
    </row>
    <row r="3" spans="1:3" ht="12.9" customHeight="1">
      <c r="A3" s="381" t="s">
        <v>511</v>
      </c>
      <c r="B3" s="381" t="s">
        <v>2648</v>
      </c>
      <c r="C3" s="381" t="s">
        <v>6021</v>
      </c>
    </row>
    <row r="4" spans="1:3" ht="12.9" customHeight="1">
      <c r="A4" s="381"/>
      <c r="B4" s="381" t="s">
        <v>512</v>
      </c>
      <c r="C4" s="381" t="s">
        <v>1790</v>
      </c>
    </row>
    <row r="5" spans="1:3" ht="12.9" customHeight="1">
      <c r="A5" s="381"/>
      <c r="B5" s="381" t="s">
        <v>4568</v>
      </c>
      <c r="C5" s="442" t="s">
        <v>6022</v>
      </c>
    </row>
    <row r="6" spans="1:3" ht="12.9" customHeight="1">
      <c r="A6" s="381" t="s">
        <v>2058</v>
      </c>
      <c r="B6" s="381" t="s">
        <v>5146</v>
      </c>
      <c r="C6" s="381" t="s">
        <v>6023</v>
      </c>
    </row>
    <row r="7" spans="1:3" ht="12.9" customHeight="1">
      <c r="A7" s="381"/>
      <c r="B7" s="381" t="s">
        <v>5899</v>
      </c>
      <c r="C7" s="381" t="s">
        <v>4016</v>
      </c>
    </row>
    <row r="8" spans="1:3" ht="12.9" customHeight="1">
      <c r="A8" s="381"/>
      <c r="B8" s="381" t="s">
        <v>3657</v>
      </c>
      <c r="C8" s="381" t="s">
        <v>1505</v>
      </c>
    </row>
    <row r="9" spans="1:3" ht="12.9" customHeight="1">
      <c r="A9" s="381"/>
      <c r="B9" s="381" t="s">
        <v>2319</v>
      </c>
      <c r="C9" s="381" t="s">
        <v>6024</v>
      </c>
    </row>
    <row r="10" spans="1:3" ht="12.9" customHeight="1">
      <c r="A10" s="381"/>
      <c r="B10" s="381" t="s">
        <v>5693</v>
      </c>
      <c r="C10" s="381" t="s">
        <v>6025</v>
      </c>
    </row>
    <row r="11" spans="1:3" ht="12.9" customHeight="1">
      <c r="A11" s="381"/>
      <c r="B11" s="381" t="s">
        <v>5592</v>
      </c>
      <c r="C11" s="381" t="s">
        <v>6026</v>
      </c>
    </row>
    <row r="12" spans="1:3" ht="12.9" customHeight="1">
      <c r="A12" s="381"/>
      <c r="B12" s="381" t="s">
        <v>4283</v>
      </c>
      <c r="C12" s="381" t="s">
        <v>6027</v>
      </c>
    </row>
    <row r="13" spans="1:3" ht="12.9" customHeight="1">
      <c r="A13" s="381"/>
      <c r="B13" s="381" t="s">
        <v>5142</v>
      </c>
      <c r="C13" s="381" t="s">
        <v>6028</v>
      </c>
    </row>
    <row r="14" spans="1:3" ht="12.9" customHeight="1">
      <c r="A14" s="381"/>
      <c r="B14" s="381" t="s">
        <v>587</v>
      </c>
      <c r="C14" s="381" t="s">
        <v>6029</v>
      </c>
    </row>
    <row r="15" spans="1:3" ht="12.9" customHeight="1">
      <c r="A15" s="381"/>
      <c r="B15" s="381" t="s">
        <v>2366</v>
      </c>
      <c r="C15" s="381" t="s">
        <v>6030</v>
      </c>
    </row>
    <row r="16" spans="1:3" ht="12.9" customHeight="1">
      <c r="A16" s="381"/>
      <c r="B16" s="381" t="s">
        <v>2367</v>
      </c>
      <c r="C16" s="381" t="s">
        <v>6031</v>
      </c>
    </row>
    <row r="17" spans="1:3" ht="12.9" customHeight="1">
      <c r="A17" s="381"/>
      <c r="B17" s="381" t="s">
        <v>2368</v>
      </c>
      <c r="C17" s="381" t="s">
        <v>6032</v>
      </c>
    </row>
    <row r="18" spans="1:3" ht="12.9" customHeight="1">
      <c r="A18" s="381"/>
      <c r="B18" s="381" t="s">
        <v>4216</v>
      </c>
      <c r="C18" s="381" t="s">
        <v>6033</v>
      </c>
    </row>
    <row r="19" spans="1:3" ht="12.9" customHeight="1">
      <c r="A19" s="381" t="s">
        <v>4547</v>
      </c>
      <c r="B19" s="381" t="s">
        <v>4631</v>
      </c>
      <c r="C19" s="381" t="s">
        <v>6034</v>
      </c>
    </row>
    <row r="20" spans="1:3" ht="12.9" customHeight="1">
      <c r="A20" s="381"/>
      <c r="B20" s="381" t="s">
        <v>2125</v>
      </c>
      <c r="C20" s="381" t="s">
        <v>6035</v>
      </c>
    </row>
    <row r="21" spans="1:3" ht="12.9" customHeight="1">
      <c r="A21" s="381"/>
      <c r="B21" s="381"/>
      <c r="C21" s="381"/>
    </row>
    <row r="22" spans="1:3" ht="12.9" customHeight="1">
      <c r="A22" s="381"/>
      <c r="B22" s="381" t="s">
        <v>4572</v>
      </c>
      <c r="C22" s="381" t="s">
        <v>6036</v>
      </c>
    </row>
    <row r="23" spans="1:3" ht="12.9" customHeight="1">
      <c r="A23" s="381"/>
      <c r="B23" s="381"/>
      <c r="C23" s="381"/>
    </row>
    <row r="24" spans="1:3" ht="12.9" customHeight="1">
      <c r="A24" s="381"/>
      <c r="B24" s="381" t="s">
        <v>4573</v>
      </c>
      <c r="C24" s="381" t="s">
        <v>6037</v>
      </c>
    </row>
    <row r="25" spans="1:3" ht="12.9" customHeight="1">
      <c r="A25" s="381"/>
      <c r="B25" s="381" t="s">
        <v>645</v>
      </c>
      <c r="C25" s="381" t="s">
        <v>6038</v>
      </c>
    </row>
    <row r="26" spans="1:3" ht="12.9" customHeight="1">
      <c r="A26" s="381"/>
      <c r="B26" s="381"/>
      <c r="C26" s="381"/>
    </row>
    <row r="27" spans="1:3" ht="12.9" customHeight="1">
      <c r="A27" s="381"/>
      <c r="B27" s="381"/>
      <c r="C27" s="381"/>
    </row>
    <row r="28" spans="1:3" ht="12.9" customHeight="1">
      <c r="A28" s="381"/>
      <c r="B28" s="381" t="s">
        <v>646</v>
      </c>
      <c r="C28" s="381" t="s">
        <v>6039</v>
      </c>
    </row>
    <row r="29" spans="1:3" ht="12.9" customHeight="1">
      <c r="A29" s="381"/>
      <c r="B29" s="381" t="s">
        <v>647</v>
      </c>
      <c r="C29" s="381" t="s">
        <v>6040</v>
      </c>
    </row>
    <row r="30" spans="1:3" ht="12.9" customHeight="1">
      <c r="A30" s="381"/>
      <c r="B30" s="381" t="s">
        <v>648</v>
      </c>
      <c r="C30" s="381" t="s">
        <v>6041</v>
      </c>
    </row>
    <row r="31" spans="1:3" ht="12.9" customHeight="1">
      <c r="A31" s="381"/>
      <c r="B31" s="381" t="s">
        <v>5117</v>
      </c>
      <c r="C31" s="381" t="s">
        <v>6042</v>
      </c>
    </row>
    <row r="32" spans="1:3" ht="12.9" customHeight="1">
      <c r="A32" s="381">
        <v>1</v>
      </c>
      <c r="B32" s="381" t="s">
        <v>2679</v>
      </c>
      <c r="C32" s="442" t="s">
        <v>6043</v>
      </c>
    </row>
    <row r="33" spans="1:3" ht="12.9" customHeight="1">
      <c r="A33" s="381">
        <v>2</v>
      </c>
      <c r="B33" s="381" t="s">
        <v>125</v>
      </c>
      <c r="C33" s="442" t="s">
        <v>6044</v>
      </c>
    </row>
    <row r="34" spans="1:3" ht="12.9" customHeight="1">
      <c r="A34" s="381">
        <v>3</v>
      </c>
      <c r="B34" s="381" t="s">
        <v>543</v>
      </c>
      <c r="C34" s="381" t="s">
        <v>6045</v>
      </c>
    </row>
    <row r="35" spans="1:3" ht="12.9" customHeight="1">
      <c r="A35" s="381">
        <v>4</v>
      </c>
      <c r="B35" s="381" t="s">
        <v>544</v>
      </c>
      <c r="C35" s="442" t="s">
        <v>6046</v>
      </c>
    </row>
    <row r="36" spans="1:3" ht="12.9" customHeight="1">
      <c r="A36" s="381">
        <v>5</v>
      </c>
      <c r="B36" s="381" t="s">
        <v>545</v>
      </c>
      <c r="C36" s="381" t="s">
        <v>6047</v>
      </c>
    </row>
    <row r="37" spans="1:3" ht="12.9" customHeight="1">
      <c r="A37" s="381">
        <v>6</v>
      </c>
      <c r="B37" s="381" t="s">
        <v>182</v>
      </c>
      <c r="C37" s="381" t="s">
        <v>6048</v>
      </c>
    </row>
    <row r="38" spans="1:3" ht="12.9" customHeight="1">
      <c r="A38" s="381">
        <v>7</v>
      </c>
      <c r="B38" s="381" t="s">
        <v>183</v>
      </c>
      <c r="C38" s="381" t="s">
        <v>6049</v>
      </c>
    </row>
    <row r="39" spans="1:3" ht="12.9" customHeight="1">
      <c r="A39" s="381">
        <v>8</v>
      </c>
      <c r="B39" s="381" t="s">
        <v>184</v>
      </c>
      <c r="C39" s="381" t="s">
        <v>6050</v>
      </c>
    </row>
    <row r="40" spans="1:3" ht="12.9" customHeight="1">
      <c r="A40" s="381">
        <v>9</v>
      </c>
      <c r="B40" s="381" t="s">
        <v>2289</v>
      </c>
      <c r="C40" s="381" t="s">
        <v>6051</v>
      </c>
    </row>
    <row r="41" spans="1:3" ht="12.9" customHeight="1">
      <c r="A41" s="381">
        <v>10</v>
      </c>
      <c r="B41" s="381"/>
      <c r="C41" s="381"/>
    </row>
    <row r="42" spans="1:3" ht="12.9" customHeight="1">
      <c r="A42" s="381">
        <v>11</v>
      </c>
      <c r="B42" s="381" t="s">
        <v>1611</v>
      </c>
      <c r="C42" s="381" t="s">
        <v>6052</v>
      </c>
    </row>
    <row r="43" spans="1:3" ht="12.9" customHeight="1">
      <c r="A43" s="381"/>
      <c r="B43" s="381" t="s">
        <v>1612</v>
      </c>
      <c r="C43" s="381" t="s">
        <v>6053</v>
      </c>
    </row>
    <row r="44" spans="1:3" ht="12.9" customHeight="1">
      <c r="A44" s="381"/>
      <c r="B44" s="381" t="s">
        <v>5499</v>
      </c>
      <c r="C44" s="381" t="s">
        <v>6054</v>
      </c>
    </row>
    <row r="45" spans="1:3" ht="12.9" customHeight="1">
      <c r="A45" s="381"/>
      <c r="B45" s="381" t="s">
        <v>2877</v>
      </c>
      <c r="C45" s="381" t="s">
        <v>6055</v>
      </c>
    </row>
    <row r="46" spans="1:3" ht="12.9" customHeight="1">
      <c r="A46" s="381"/>
      <c r="B46" s="381" t="s">
        <v>3530</v>
      </c>
      <c r="C46" s="381" t="s">
        <v>6056</v>
      </c>
    </row>
    <row r="47" spans="1:3" ht="12.9" customHeight="1">
      <c r="A47" s="381" t="s">
        <v>5720</v>
      </c>
      <c r="B47" s="381" t="s">
        <v>2038</v>
      </c>
      <c r="C47" s="381" t="s">
        <v>6057</v>
      </c>
    </row>
    <row r="48" spans="1:3" ht="12.9" customHeight="1">
      <c r="A48" s="381"/>
      <c r="B48" s="381" t="s">
        <v>4623</v>
      </c>
      <c r="C48" s="381" t="s">
        <v>6058</v>
      </c>
    </row>
    <row r="49" spans="1:3" ht="12.9" customHeight="1">
      <c r="A49" s="381"/>
      <c r="B49" s="381" t="s">
        <v>5581</v>
      </c>
      <c r="C49" s="381" t="s">
        <v>1413</v>
      </c>
    </row>
    <row r="50" spans="1:3" ht="12.9" customHeight="1">
      <c r="A50" s="381"/>
      <c r="B50" s="381" t="s">
        <v>4624</v>
      </c>
      <c r="C50" s="381" t="s">
        <v>4409</v>
      </c>
    </row>
    <row r="51" spans="1:3" ht="12.9" customHeight="1">
      <c r="A51" s="381"/>
      <c r="B51" s="381" t="s">
        <v>428</v>
      </c>
      <c r="C51" s="381" t="s">
        <v>2946</v>
      </c>
    </row>
    <row r="52" spans="1:3" ht="12.9" customHeight="1">
      <c r="A52" s="381"/>
      <c r="B52" s="381" t="s">
        <v>5153</v>
      </c>
      <c r="C52" s="381" t="s">
        <v>2947</v>
      </c>
    </row>
    <row r="53" spans="1:3" ht="12.9" customHeight="1">
      <c r="A53" s="381" t="s">
        <v>5272</v>
      </c>
      <c r="B53" s="381" t="s">
        <v>5735</v>
      </c>
      <c r="C53" s="381" t="s">
        <v>6059</v>
      </c>
    </row>
    <row r="54" spans="1:3" ht="12.9" customHeight="1">
      <c r="A54" s="381"/>
      <c r="B54" s="381" t="s">
        <v>5154</v>
      </c>
      <c r="C54" s="381" t="s">
        <v>6060</v>
      </c>
    </row>
    <row r="55" spans="1:3" ht="12.9" customHeight="1">
      <c r="A55" s="381"/>
      <c r="B55" s="381" t="s">
        <v>5155</v>
      </c>
      <c r="C55" s="381" t="s">
        <v>6061</v>
      </c>
    </row>
    <row r="56" spans="1:3" ht="12.9" customHeight="1">
      <c r="A56" s="381"/>
      <c r="B56" s="381" t="s">
        <v>3866</v>
      </c>
      <c r="C56" s="381" t="s">
        <v>6062</v>
      </c>
    </row>
    <row r="57" spans="1:3" ht="12.9" customHeight="1">
      <c r="A57" s="381" t="s">
        <v>1987</v>
      </c>
      <c r="B57" s="381" t="s">
        <v>4812</v>
      </c>
      <c r="C57" s="381" t="s">
        <v>6063</v>
      </c>
    </row>
    <row r="58" spans="1:3" ht="12.9" customHeight="1">
      <c r="A58" s="381"/>
      <c r="B58" s="381" t="s">
        <v>1184</v>
      </c>
      <c r="C58" s="381" t="s">
        <v>6064</v>
      </c>
    </row>
    <row r="59" spans="1:3" ht="12.9" customHeight="1">
      <c r="A59" s="381"/>
      <c r="B59" s="381" t="s">
        <v>5747</v>
      </c>
      <c r="C59" s="381" t="s">
        <v>6065</v>
      </c>
    </row>
    <row r="60" spans="1:3" ht="12.9" customHeight="1">
      <c r="A60" s="381"/>
      <c r="B60" s="381" t="s">
        <v>440</v>
      </c>
      <c r="C60" s="381" t="s">
        <v>6066</v>
      </c>
    </row>
    <row r="61" spans="1:3" ht="12.9" customHeight="1">
      <c r="A61" s="381" t="s">
        <v>1988</v>
      </c>
      <c r="B61" s="381" t="s">
        <v>2999</v>
      </c>
      <c r="C61" s="381" t="s">
        <v>6067</v>
      </c>
    </row>
    <row r="62" spans="1:3" ht="12.9" customHeight="1">
      <c r="A62" s="381"/>
      <c r="B62" s="381" t="s">
        <v>3000</v>
      </c>
      <c r="C62" s="381" t="s">
        <v>6068</v>
      </c>
    </row>
    <row r="63" spans="1:3" ht="12.9" customHeight="1">
      <c r="A63" s="381"/>
      <c r="B63" s="381" t="s">
        <v>5119</v>
      </c>
      <c r="C63" s="381" t="s">
        <v>6069</v>
      </c>
    </row>
    <row r="64" spans="1:3" ht="12.9" customHeight="1">
      <c r="A64" s="381" t="s">
        <v>317</v>
      </c>
      <c r="B64" s="381" t="s">
        <v>5120</v>
      </c>
      <c r="C64" s="381" t="s">
        <v>6070</v>
      </c>
    </row>
    <row r="65" spans="1:3" ht="12.9" customHeight="1">
      <c r="A65" s="381" t="s">
        <v>318</v>
      </c>
      <c r="B65" s="381" t="s">
        <v>3447</v>
      </c>
      <c r="C65" s="381" t="s">
        <v>6071</v>
      </c>
    </row>
    <row r="66" spans="1:3" ht="12.9" customHeight="1">
      <c r="A66" s="381" t="s">
        <v>2996</v>
      </c>
      <c r="B66" s="381" t="s">
        <v>3659</v>
      </c>
      <c r="C66" s="381" t="s">
        <v>6072</v>
      </c>
    </row>
    <row r="67" spans="1:3" ht="12.9" customHeight="1">
      <c r="A67" s="381" t="s">
        <v>175</v>
      </c>
      <c r="B67" s="381" t="s">
        <v>3660</v>
      </c>
      <c r="C67" s="381" t="s">
        <v>2948</v>
      </c>
    </row>
    <row r="68" spans="1:3" ht="12.9" customHeight="1">
      <c r="A68" s="381"/>
      <c r="B68" s="381" t="s">
        <v>3765</v>
      </c>
      <c r="C68" s="381" t="s">
        <v>2949</v>
      </c>
    </row>
    <row r="69" spans="1:3" ht="12.9" customHeight="1">
      <c r="A69" s="381" t="s">
        <v>5449</v>
      </c>
      <c r="B69" s="381" t="s">
        <v>3766</v>
      </c>
      <c r="C69" s="381" t="s">
        <v>2950</v>
      </c>
    </row>
    <row r="70" spans="1:3" ht="12.9" customHeight="1">
      <c r="A70" s="381"/>
      <c r="B70" s="381" t="s">
        <v>721</v>
      </c>
      <c r="C70" s="381" t="s">
        <v>2951</v>
      </c>
    </row>
    <row r="71" spans="1:3" ht="12.9" customHeight="1">
      <c r="A71" s="381"/>
      <c r="B71" s="381" t="s">
        <v>4066</v>
      </c>
      <c r="C71" s="381" t="s">
        <v>2952</v>
      </c>
    </row>
    <row r="72" spans="1:3" ht="12.9" customHeight="1">
      <c r="A72" s="381"/>
      <c r="B72" s="381" t="s">
        <v>722</v>
      </c>
      <c r="C72" s="381" t="s">
        <v>2953</v>
      </c>
    </row>
    <row r="73" spans="1:3" ht="12.9" customHeight="1">
      <c r="A73" s="381"/>
      <c r="B73" s="381" t="s">
        <v>723</v>
      </c>
      <c r="C73" s="381" t="s">
        <v>2954</v>
      </c>
    </row>
    <row r="74" spans="1:3" ht="12.9" customHeight="1">
      <c r="A74" s="381"/>
      <c r="B74" s="381" t="s">
        <v>758</v>
      </c>
      <c r="C74" s="381" t="s">
        <v>5958</v>
      </c>
    </row>
    <row r="75" spans="1:3" ht="12.9" customHeight="1">
      <c r="A75" s="381"/>
      <c r="B75" s="381" t="s">
        <v>759</v>
      </c>
      <c r="C75" s="381" t="s">
        <v>2955</v>
      </c>
    </row>
    <row r="76" spans="1:3" ht="12.9" customHeight="1">
      <c r="A76" s="381"/>
      <c r="B76" s="381" t="s">
        <v>1613</v>
      </c>
      <c r="C76" s="381" t="s">
        <v>2956</v>
      </c>
    </row>
    <row r="77" spans="1:3" ht="12.9" customHeight="1">
      <c r="A77" s="381"/>
      <c r="B77" s="381" t="s">
        <v>3959</v>
      </c>
      <c r="C77" s="381" t="s">
        <v>2957</v>
      </c>
    </row>
    <row r="78" spans="1:3" ht="12.9" customHeight="1">
      <c r="A78" s="381"/>
      <c r="B78" s="381" t="s">
        <v>3960</v>
      </c>
      <c r="C78" s="381" t="s">
        <v>2958</v>
      </c>
    </row>
    <row r="79" spans="1:3" ht="12.9" customHeight="1">
      <c r="A79" s="381"/>
      <c r="B79" s="381" t="s">
        <v>1533</v>
      </c>
      <c r="C79" s="381" t="s">
        <v>2959</v>
      </c>
    </row>
    <row r="80" spans="1:3" ht="12.9" customHeight="1">
      <c r="A80" s="381" t="s">
        <v>5679</v>
      </c>
      <c r="B80" s="381" t="s">
        <v>4586</v>
      </c>
      <c r="C80" s="381" t="s">
        <v>6073</v>
      </c>
    </row>
    <row r="81" spans="1:3" ht="12.9" customHeight="1">
      <c r="A81" s="381"/>
      <c r="B81" s="381" t="s">
        <v>1251</v>
      </c>
      <c r="C81" s="381" t="s">
        <v>6093</v>
      </c>
    </row>
    <row r="82" spans="1:3" ht="12.9" customHeight="1">
      <c r="A82" s="381" t="s">
        <v>4255</v>
      </c>
      <c r="B82" s="381" t="s">
        <v>3741</v>
      </c>
      <c r="C82" s="381" t="s">
        <v>6094</v>
      </c>
    </row>
    <row r="83" spans="1:3" ht="12.9" customHeight="1">
      <c r="A83" s="381"/>
      <c r="B83" s="381" t="s">
        <v>1456</v>
      </c>
      <c r="C83" s="381" t="s">
        <v>6095</v>
      </c>
    </row>
    <row r="84" spans="1:3" ht="12.9" customHeight="1">
      <c r="A84" s="381" t="s">
        <v>1519</v>
      </c>
      <c r="B84" s="381" t="s">
        <v>1252</v>
      </c>
      <c r="C84" s="381" t="s">
        <v>6096</v>
      </c>
    </row>
    <row r="85" spans="1:3" ht="12.9" customHeight="1">
      <c r="A85" s="381"/>
      <c r="B85" s="381" t="s">
        <v>167</v>
      </c>
      <c r="C85" s="381" t="s">
        <v>6097</v>
      </c>
    </row>
    <row r="86" spans="1:3" ht="12.9" customHeight="1">
      <c r="A86" s="381"/>
      <c r="B86" s="381" t="s">
        <v>168</v>
      </c>
      <c r="C86" s="381" t="s">
        <v>6098</v>
      </c>
    </row>
    <row r="87" spans="1:3" ht="12.9" customHeight="1">
      <c r="A87" s="381"/>
      <c r="B87" s="381" t="s">
        <v>76</v>
      </c>
      <c r="C87" s="381" t="s">
        <v>6099</v>
      </c>
    </row>
    <row r="88" spans="1:3" ht="12.9" customHeight="1">
      <c r="A88" s="381"/>
      <c r="B88" s="381" t="s">
        <v>77</v>
      </c>
      <c r="C88" s="381" t="s">
        <v>6100</v>
      </c>
    </row>
    <row r="89" spans="1:3" ht="12.9" customHeight="1">
      <c r="A89" s="381"/>
      <c r="B89" s="381" t="s">
        <v>78</v>
      </c>
      <c r="C89" s="381" t="s">
        <v>6101</v>
      </c>
    </row>
    <row r="90" spans="1:3" ht="12.9" customHeight="1">
      <c r="A90" s="381"/>
      <c r="B90" s="381" t="s">
        <v>79</v>
      </c>
      <c r="C90" s="381" t="s">
        <v>6102</v>
      </c>
    </row>
    <row r="91" spans="1:3" ht="12.9" customHeight="1">
      <c r="A91" s="381"/>
      <c r="B91" s="381" t="s">
        <v>5462</v>
      </c>
      <c r="C91" s="381" t="s">
        <v>6103</v>
      </c>
    </row>
    <row r="92" spans="1:3" ht="12.9" customHeight="1">
      <c r="A92" s="381"/>
      <c r="B92" s="381" t="s">
        <v>1241</v>
      </c>
      <c r="C92" s="381" t="s">
        <v>6104</v>
      </c>
    </row>
    <row r="93" spans="1:3" ht="12.9" customHeight="1">
      <c r="A93" s="381"/>
      <c r="B93" s="381" t="s">
        <v>1242</v>
      </c>
      <c r="C93" s="381" t="s">
        <v>6105</v>
      </c>
    </row>
    <row r="94" spans="1:3" ht="12.9" customHeight="1">
      <c r="A94" s="381"/>
      <c r="B94" s="381" t="s">
        <v>1243</v>
      </c>
      <c r="C94" s="381" t="s">
        <v>6106</v>
      </c>
    </row>
    <row r="95" spans="1:3" ht="12.9" customHeight="1">
      <c r="A95" s="381" t="s">
        <v>1361</v>
      </c>
      <c r="B95" s="381" t="s">
        <v>5347</v>
      </c>
      <c r="C95" s="381" t="s">
        <v>6107</v>
      </c>
    </row>
    <row r="96" spans="1:3" ht="12.9" customHeight="1">
      <c r="A96" s="381" t="s">
        <v>4918</v>
      </c>
      <c r="B96" s="381" t="s">
        <v>586</v>
      </c>
      <c r="C96" s="381" t="s">
        <v>6108</v>
      </c>
    </row>
    <row r="97" spans="1:3" ht="12.9" customHeight="1">
      <c r="A97" s="381"/>
      <c r="B97" s="381" t="s">
        <v>4048</v>
      </c>
      <c r="C97" s="381" t="s">
        <v>6109</v>
      </c>
    </row>
    <row r="98" spans="1:3" ht="12.9" customHeight="1">
      <c r="A98" s="381"/>
      <c r="B98" s="381" t="s">
        <v>1340</v>
      </c>
      <c r="C98" s="381" t="s">
        <v>6110</v>
      </c>
    </row>
    <row r="99" spans="1:3" ht="12.9" customHeight="1">
      <c r="A99" s="381" t="s">
        <v>2798</v>
      </c>
      <c r="B99" s="381" t="s">
        <v>2048</v>
      </c>
      <c r="C99" s="381" t="s">
        <v>6111</v>
      </c>
    </row>
    <row r="100" spans="1:3" ht="12.9" customHeight="1">
      <c r="A100" s="381"/>
      <c r="B100" s="381" t="s">
        <v>2833</v>
      </c>
      <c r="C100" s="381" t="s">
        <v>6112</v>
      </c>
    </row>
    <row r="101" spans="1:3" ht="12.9" customHeight="1">
      <c r="A101" s="381"/>
      <c r="B101" s="381" t="s">
        <v>4666</v>
      </c>
      <c r="C101" s="381" t="s">
        <v>6113</v>
      </c>
    </row>
    <row r="102" spans="1:3" ht="12.9" customHeight="1">
      <c r="A102" s="381"/>
      <c r="B102" s="381" t="s">
        <v>4049</v>
      </c>
      <c r="C102" s="381" t="s">
        <v>6114</v>
      </c>
    </row>
    <row r="103" spans="1:3" ht="12.9" customHeight="1">
      <c r="A103" s="381"/>
      <c r="B103" s="381" t="s">
        <v>5080</v>
      </c>
      <c r="C103" s="381" t="s">
        <v>6115</v>
      </c>
    </row>
    <row r="104" spans="1:3" ht="12.9" customHeight="1">
      <c r="A104" s="381"/>
      <c r="B104" s="381" t="s">
        <v>1339</v>
      </c>
      <c r="C104" s="381" t="s">
        <v>6116</v>
      </c>
    </row>
    <row r="105" spans="1:3" ht="12.9" customHeight="1">
      <c r="A105" s="381"/>
      <c r="B105" s="381" t="s">
        <v>3957</v>
      </c>
      <c r="C105" s="381" t="s">
        <v>6117</v>
      </c>
    </row>
    <row r="106" spans="1:3" ht="12.9" customHeight="1">
      <c r="A106" s="381"/>
      <c r="B106" s="381" t="s">
        <v>2307</v>
      </c>
      <c r="C106" s="381" t="s">
        <v>6118</v>
      </c>
    </row>
    <row r="107" spans="1:3" ht="12.9" customHeight="1">
      <c r="A107" s="381"/>
      <c r="B107" s="381" t="s">
        <v>56</v>
      </c>
      <c r="C107" s="381" t="s">
        <v>6119</v>
      </c>
    </row>
    <row r="108" spans="1:3" ht="12.9" customHeight="1">
      <c r="A108" s="381" t="s">
        <v>3613</v>
      </c>
      <c r="B108" s="381" t="s">
        <v>1534</v>
      </c>
      <c r="C108" s="381" t="s">
        <v>6120</v>
      </c>
    </row>
    <row r="109" spans="1:3" ht="12.9" customHeight="1">
      <c r="A109" s="381"/>
      <c r="B109" s="381" t="s">
        <v>1535</v>
      </c>
      <c r="C109" s="381" t="s">
        <v>6121</v>
      </c>
    </row>
    <row r="110" spans="1:3" ht="12.9" customHeight="1">
      <c r="A110" s="381"/>
      <c r="B110" s="381" t="s">
        <v>2807</v>
      </c>
      <c r="C110" s="381" t="s">
        <v>6122</v>
      </c>
    </row>
    <row r="111" spans="1:3" ht="12.9" customHeight="1">
      <c r="A111" s="381"/>
      <c r="B111" s="381" t="s">
        <v>1156</v>
      </c>
      <c r="C111" s="381" t="s">
        <v>6123</v>
      </c>
    </row>
    <row r="112" spans="1:3" ht="12.9" customHeight="1">
      <c r="A112" s="381"/>
      <c r="B112" s="381" t="s">
        <v>2317</v>
      </c>
      <c r="C112" s="381" t="s">
        <v>6124</v>
      </c>
    </row>
    <row r="113" spans="1:3" ht="12.9" customHeight="1">
      <c r="A113" s="381"/>
      <c r="B113" s="381" t="s">
        <v>4610</v>
      </c>
      <c r="C113" s="381" t="s">
        <v>6125</v>
      </c>
    </row>
    <row r="114" spans="1:3" ht="12.9" customHeight="1">
      <c r="A114" s="381"/>
      <c r="B114" s="381" t="s">
        <v>4611</v>
      </c>
      <c r="C114" s="381" t="s">
        <v>6126</v>
      </c>
    </row>
    <row r="115" spans="1:3" ht="12.9" customHeight="1">
      <c r="A115" s="381"/>
      <c r="B115" s="381" t="s">
        <v>4612</v>
      </c>
      <c r="C115" s="381" t="s">
        <v>6127</v>
      </c>
    </row>
    <row r="116" spans="1:3" ht="12.9" customHeight="1">
      <c r="A116" s="381"/>
      <c r="B116" s="381" t="s">
        <v>4667</v>
      </c>
      <c r="C116" s="381" t="s">
        <v>6128</v>
      </c>
    </row>
    <row r="117" spans="1:3" ht="12.9" customHeight="1">
      <c r="A117" s="381" t="s">
        <v>2770</v>
      </c>
      <c r="B117" s="381" t="s">
        <v>4668</v>
      </c>
      <c r="C117" s="381" t="s">
        <v>6129</v>
      </c>
    </row>
    <row r="118" spans="1:3" ht="12.9" customHeight="1">
      <c r="A118" s="381"/>
      <c r="B118" s="381" t="s">
        <v>4358</v>
      </c>
      <c r="C118" s="381" t="s">
        <v>6130</v>
      </c>
    </row>
    <row r="119" spans="1:3" ht="12.9" customHeight="1">
      <c r="A119" s="381" t="s">
        <v>5391</v>
      </c>
      <c r="B119" s="381" t="s">
        <v>1129</v>
      </c>
      <c r="C119" s="381" t="s">
        <v>6131</v>
      </c>
    </row>
    <row r="120" spans="1:3" ht="12.9" customHeight="1">
      <c r="A120" s="381"/>
      <c r="B120" s="381" t="s">
        <v>1373</v>
      </c>
      <c r="C120" s="381" t="s">
        <v>6132</v>
      </c>
    </row>
    <row r="121" spans="1:3" ht="12.9" customHeight="1">
      <c r="A121" s="381" t="s">
        <v>991</v>
      </c>
      <c r="B121" s="381" t="s">
        <v>3942</v>
      </c>
      <c r="C121" s="381" t="s">
        <v>6133</v>
      </c>
    </row>
    <row r="122" spans="1:3" ht="12.9" customHeight="1">
      <c r="A122" s="381" t="s">
        <v>3346</v>
      </c>
      <c r="B122" s="381" t="s">
        <v>4819</v>
      </c>
      <c r="C122" s="381" t="s">
        <v>6134</v>
      </c>
    </row>
    <row r="123" spans="1:3" ht="12.9" customHeight="1">
      <c r="A123" s="381"/>
      <c r="B123" s="381" t="s">
        <v>4820</v>
      </c>
      <c r="C123" s="381" t="s">
        <v>6135</v>
      </c>
    </row>
    <row r="124" spans="1:3" ht="12.9" customHeight="1">
      <c r="A124" s="381" t="s">
        <v>1282</v>
      </c>
      <c r="B124" s="381" t="s">
        <v>4268</v>
      </c>
      <c r="C124" s="381" t="s">
        <v>6136</v>
      </c>
    </row>
    <row r="125" spans="1:3" ht="12.9" customHeight="1">
      <c r="A125" s="381"/>
      <c r="B125" s="381" t="s">
        <v>4940</v>
      </c>
      <c r="C125" s="381" t="s">
        <v>6137</v>
      </c>
    </row>
    <row r="126" spans="1:3" ht="12.9" customHeight="1">
      <c r="A126" s="381"/>
      <c r="B126" s="381" t="s">
        <v>416</v>
      </c>
      <c r="C126" s="381" t="s">
        <v>6138</v>
      </c>
    </row>
    <row r="127" spans="1:3" ht="12.9" customHeight="1">
      <c r="A127" s="381" t="s">
        <v>2646</v>
      </c>
      <c r="B127" s="381" t="s">
        <v>5998</v>
      </c>
      <c r="C127" s="381" t="s">
        <v>147</v>
      </c>
    </row>
    <row r="128" spans="1:3" ht="12.9" customHeight="1">
      <c r="A128" s="381" t="s">
        <v>2645</v>
      </c>
      <c r="B128" s="381" t="s">
        <v>640</v>
      </c>
      <c r="C128" s="381" t="s">
        <v>6139</v>
      </c>
    </row>
    <row r="129" spans="1:3" ht="12.9" customHeight="1">
      <c r="A129" s="381"/>
      <c r="B129" s="381" t="s">
        <v>2399</v>
      </c>
      <c r="C129" s="381" t="s">
        <v>6140</v>
      </c>
    </row>
    <row r="130" spans="1:3" ht="12.9" customHeight="1">
      <c r="A130" s="381"/>
      <c r="B130" s="381" t="s">
        <v>3002</v>
      </c>
      <c r="C130" s="381" t="s">
        <v>6141</v>
      </c>
    </row>
    <row r="131" spans="1:3" ht="12.9" customHeight="1">
      <c r="A131" s="381" t="s">
        <v>4599</v>
      </c>
      <c r="B131" s="381" t="s">
        <v>3003</v>
      </c>
      <c r="C131" s="381" t="s">
        <v>6142</v>
      </c>
    </row>
    <row r="132" spans="1:3" ht="12.9" customHeight="1">
      <c r="A132" s="381"/>
      <c r="B132" s="381" t="s">
        <v>5703</v>
      </c>
      <c r="C132" s="381" t="s">
        <v>6143</v>
      </c>
    </row>
    <row r="133" spans="1:3" ht="12.9" customHeight="1">
      <c r="A133" s="381" t="s">
        <v>2697</v>
      </c>
      <c r="B133" s="381" t="s">
        <v>4873</v>
      </c>
      <c r="C133" s="381" t="s">
        <v>6144</v>
      </c>
    </row>
    <row r="134" spans="1:3" ht="12.9" customHeight="1">
      <c r="A134" s="381"/>
      <c r="B134" s="381" t="s">
        <v>615</v>
      </c>
      <c r="C134" s="381" t="s">
        <v>6145</v>
      </c>
    </row>
    <row r="135" spans="1:3" ht="12.9" customHeight="1">
      <c r="A135" s="381"/>
      <c r="B135" s="381" t="s">
        <v>1985</v>
      </c>
      <c r="C135" s="381" t="s">
        <v>6146</v>
      </c>
    </row>
    <row r="136" spans="1:3" ht="12.9" customHeight="1">
      <c r="A136" s="381"/>
      <c r="B136" s="381" t="s">
        <v>5834</v>
      </c>
      <c r="C136" s="381" t="s">
        <v>6147</v>
      </c>
    </row>
    <row r="137" spans="1:3" ht="12.9" customHeight="1">
      <c r="A137" s="381"/>
      <c r="B137" s="381" t="s">
        <v>4874</v>
      </c>
      <c r="C137" s="381" t="s">
        <v>6148</v>
      </c>
    </row>
    <row r="138" spans="1:3" ht="12.9" customHeight="1">
      <c r="A138" s="381"/>
      <c r="B138" s="381" t="s">
        <v>4875</v>
      </c>
      <c r="C138" s="381" t="s">
        <v>6149</v>
      </c>
    </row>
    <row r="139" spans="1:3" ht="12.9" customHeight="1">
      <c r="A139" s="381"/>
      <c r="B139" s="381" t="s">
        <v>5835</v>
      </c>
      <c r="C139" s="381" t="s">
        <v>6150</v>
      </c>
    </row>
    <row r="140" spans="1:3" ht="12.9" customHeight="1">
      <c r="A140" s="381"/>
      <c r="B140" s="381" t="s">
        <v>352</v>
      </c>
      <c r="C140" s="381" t="s">
        <v>6151</v>
      </c>
    </row>
    <row r="141" spans="1:3" ht="12.9" customHeight="1">
      <c r="A141" s="381"/>
      <c r="B141" s="381" t="s">
        <v>2332</v>
      </c>
      <c r="C141" s="381" t="s">
        <v>6152</v>
      </c>
    </row>
    <row r="142" spans="1:3" ht="12.9" customHeight="1">
      <c r="A142" s="381"/>
      <c r="B142" s="381" t="s">
        <v>5761</v>
      </c>
      <c r="C142" s="381" t="s">
        <v>6153</v>
      </c>
    </row>
    <row r="143" spans="1:3" ht="12.9" customHeight="1">
      <c r="A143" s="381" t="s">
        <v>5476</v>
      </c>
      <c r="B143" s="381" t="s">
        <v>4972</v>
      </c>
      <c r="C143" s="381" t="s">
        <v>6154</v>
      </c>
    </row>
    <row r="144" spans="1:3" ht="12.9" customHeight="1">
      <c r="A144" s="381"/>
      <c r="B144" s="381"/>
      <c r="C144" s="381" t="s">
        <v>6155</v>
      </c>
    </row>
    <row r="145" spans="1:3" ht="12.9" customHeight="1">
      <c r="A145" s="381"/>
      <c r="B145" s="381"/>
      <c r="C145" s="381" t="s">
        <v>6156</v>
      </c>
    </row>
    <row r="146" spans="1:3" ht="12.9" customHeight="1">
      <c r="A146" s="381" t="s">
        <v>2211</v>
      </c>
      <c r="B146" s="381" t="s">
        <v>4961</v>
      </c>
      <c r="C146" s="381" t="s">
        <v>6157</v>
      </c>
    </row>
    <row r="147" spans="1:3" ht="12.9" customHeight="1">
      <c r="A147" s="381"/>
      <c r="B147" s="381" t="s">
        <v>4962</v>
      </c>
      <c r="C147" s="381" t="s">
        <v>6158</v>
      </c>
    </row>
    <row r="148" spans="1:3" ht="12.9" customHeight="1">
      <c r="A148" s="381"/>
      <c r="B148" s="381" t="s">
        <v>4957</v>
      </c>
      <c r="C148" s="381" t="s">
        <v>6159</v>
      </c>
    </row>
    <row r="149" spans="1:3" ht="12.9" customHeight="1">
      <c r="A149" s="381" t="s">
        <v>3999</v>
      </c>
      <c r="B149" s="381" t="s">
        <v>2911</v>
      </c>
      <c r="C149" s="381" t="s">
        <v>6160</v>
      </c>
    </row>
    <row r="150" spans="1:3" ht="12.9" customHeight="1">
      <c r="A150" s="381"/>
      <c r="B150" s="381" t="s">
        <v>1326</v>
      </c>
      <c r="C150" s="381" t="s">
        <v>6161</v>
      </c>
    </row>
    <row r="151" spans="1:3" ht="12.9" customHeight="1">
      <c r="A151" s="381" t="s">
        <v>4000</v>
      </c>
      <c r="B151" s="381" t="s">
        <v>4958</v>
      </c>
      <c r="C151" s="381" t="s">
        <v>6162</v>
      </c>
    </row>
    <row r="152" spans="1:3" ht="12.9" customHeight="1">
      <c r="A152" s="381"/>
      <c r="B152" s="381" t="s">
        <v>4959</v>
      </c>
      <c r="C152" s="381" t="s">
        <v>6163</v>
      </c>
    </row>
    <row r="153" spans="1:3" ht="12.9" customHeight="1">
      <c r="A153" s="381"/>
      <c r="B153" s="381" t="s">
        <v>4973</v>
      </c>
      <c r="C153" s="381" t="s">
        <v>6164</v>
      </c>
    </row>
    <row r="154" spans="1:3" ht="12.9" customHeight="1">
      <c r="A154" s="381"/>
      <c r="B154" s="381" t="s">
        <v>4974</v>
      </c>
      <c r="C154" s="381" t="s">
        <v>6165</v>
      </c>
    </row>
    <row r="155" spans="1:3" ht="12.9" customHeight="1">
      <c r="A155" s="381"/>
      <c r="B155" s="381" t="s">
        <v>4975</v>
      </c>
      <c r="C155" s="381" t="s">
        <v>6166</v>
      </c>
    </row>
    <row r="156" spans="1:3" ht="12.9" customHeight="1">
      <c r="A156" s="381"/>
      <c r="B156" s="381" t="s">
        <v>4976</v>
      </c>
      <c r="C156" s="381" t="s">
        <v>6167</v>
      </c>
    </row>
    <row r="157" spans="1:3" ht="12.9" customHeight="1">
      <c r="A157" s="381"/>
      <c r="B157" s="381" t="s">
        <v>4977</v>
      </c>
      <c r="C157" s="381" t="s">
        <v>6168</v>
      </c>
    </row>
    <row r="158" spans="1:3" ht="12.9" customHeight="1">
      <c r="A158" s="381"/>
      <c r="B158" s="381" t="s">
        <v>3475</v>
      </c>
      <c r="C158" s="381" t="s">
        <v>6169</v>
      </c>
    </row>
    <row r="159" spans="1:3" ht="12.9" customHeight="1">
      <c r="A159" s="381"/>
      <c r="B159" s="381" t="s">
        <v>3486</v>
      </c>
      <c r="C159" s="381" t="s">
        <v>6170</v>
      </c>
    </row>
    <row r="160" spans="1:3" ht="12.9" customHeight="1">
      <c r="A160" s="381" t="s">
        <v>4001</v>
      </c>
      <c r="B160" s="381" t="s">
        <v>1767</v>
      </c>
      <c r="C160" s="381" t="s">
        <v>6171</v>
      </c>
    </row>
    <row r="161" spans="1:3" ht="12.9" customHeight="1">
      <c r="A161" s="381"/>
      <c r="B161" s="381" t="s">
        <v>4969</v>
      </c>
      <c r="C161" s="381" t="s">
        <v>6172</v>
      </c>
    </row>
    <row r="162" spans="1:3" ht="12.9" customHeight="1">
      <c r="A162" s="381" t="s">
        <v>3754</v>
      </c>
      <c r="B162" s="381" t="s">
        <v>4970</v>
      </c>
      <c r="C162" s="381" t="s">
        <v>6173</v>
      </c>
    </row>
    <row r="163" spans="1:3" ht="12.9" customHeight="1">
      <c r="A163" s="381" t="s">
        <v>137</v>
      </c>
      <c r="B163" s="381" t="s">
        <v>1049</v>
      </c>
      <c r="C163" s="381" t="s">
        <v>6174</v>
      </c>
    </row>
    <row r="164" spans="1:3" ht="12.9" customHeight="1">
      <c r="A164" s="381" t="s">
        <v>5320</v>
      </c>
      <c r="B164" s="381" t="s">
        <v>4971</v>
      </c>
      <c r="C164" s="381" t="s">
        <v>6175</v>
      </c>
    </row>
    <row r="165" spans="1:3" ht="12.9" customHeight="1">
      <c r="A165" s="381" t="s">
        <v>224</v>
      </c>
      <c r="B165" s="381" t="s">
        <v>4963</v>
      </c>
      <c r="C165" s="381" t="s">
        <v>6176</v>
      </c>
    </row>
    <row r="166" spans="1:3" ht="12.9" customHeight="1">
      <c r="A166" s="381"/>
      <c r="B166" s="381" t="s">
        <v>4964</v>
      </c>
      <c r="C166" s="381" t="s">
        <v>6177</v>
      </c>
    </row>
    <row r="167" spans="1:3" ht="12.9" customHeight="1">
      <c r="A167" s="381" t="s">
        <v>138</v>
      </c>
      <c r="B167" s="381" t="s">
        <v>4965</v>
      </c>
      <c r="C167" s="381" t="s">
        <v>6178</v>
      </c>
    </row>
    <row r="168" spans="1:3" ht="12.9" customHeight="1">
      <c r="A168" s="381"/>
      <c r="B168" s="381" t="s">
        <v>4966</v>
      </c>
      <c r="C168" s="381" t="s">
        <v>6179</v>
      </c>
    </row>
    <row r="169" spans="1:3" ht="12.9" customHeight="1">
      <c r="A169" s="381"/>
      <c r="B169" s="381" t="s">
        <v>4960</v>
      </c>
      <c r="C169" s="381" t="s">
        <v>6180</v>
      </c>
    </row>
    <row r="170" spans="1:3" ht="12.9" customHeight="1">
      <c r="A170" s="381"/>
      <c r="B170" s="381" t="s">
        <v>4359</v>
      </c>
      <c r="C170" s="381" t="s">
        <v>6181</v>
      </c>
    </row>
    <row r="171" spans="1:3" ht="12.9" customHeight="1">
      <c r="A171" s="381"/>
      <c r="B171" s="381" t="s">
        <v>1244</v>
      </c>
      <c r="C171" s="381" t="s">
        <v>6182</v>
      </c>
    </row>
    <row r="172" spans="1:3" ht="12.9" customHeight="1">
      <c r="A172" s="381" t="s">
        <v>2585</v>
      </c>
      <c r="B172" s="381" t="s">
        <v>1245</v>
      </c>
      <c r="C172" s="381" t="s">
        <v>6183</v>
      </c>
    </row>
    <row r="173" spans="1:3" ht="12.9" customHeight="1">
      <c r="A173" s="381"/>
      <c r="B173" s="381" t="s">
        <v>153</v>
      </c>
      <c r="C173" s="442" t="s">
        <v>6184</v>
      </c>
    </row>
    <row r="174" spans="1:3" ht="12.9" customHeight="1">
      <c r="A174" s="381"/>
      <c r="B174" s="381" t="s">
        <v>228</v>
      </c>
      <c r="C174" s="381" t="s">
        <v>6185</v>
      </c>
    </row>
    <row r="175" spans="1:3" ht="12.9" customHeight="1">
      <c r="A175" s="381" t="s">
        <v>2585</v>
      </c>
      <c r="B175" s="381" t="s">
        <v>3895</v>
      </c>
      <c r="C175" s="381" t="s">
        <v>6186</v>
      </c>
    </row>
    <row r="176" spans="1:3" ht="12.9" customHeight="1">
      <c r="A176" s="381"/>
      <c r="B176" s="381" t="s">
        <v>3896</v>
      </c>
      <c r="C176" s="381" t="s">
        <v>6187</v>
      </c>
    </row>
    <row r="177" spans="1:3" ht="12.9" customHeight="1">
      <c r="A177" s="381" t="s">
        <v>3247</v>
      </c>
      <c r="B177" s="381" t="s">
        <v>1083</v>
      </c>
      <c r="C177" s="381" t="s">
        <v>6188</v>
      </c>
    </row>
    <row r="178" spans="1:3" ht="12.9" customHeight="1">
      <c r="A178" s="381"/>
      <c r="B178" s="381" t="s">
        <v>5704</v>
      </c>
      <c r="C178" s="381" t="s">
        <v>6189</v>
      </c>
    </row>
    <row r="179" spans="1:3" ht="12.9" customHeight="1">
      <c r="A179" s="381" t="s">
        <v>1169</v>
      </c>
      <c r="B179" s="381" t="s">
        <v>3248</v>
      </c>
      <c r="C179" s="381" t="s">
        <v>6190</v>
      </c>
    </row>
    <row r="180" spans="1:3" ht="12.9" customHeight="1">
      <c r="A180" s="381"/>
      <c r="B180" s="381" t="s">
        <v>4173</v>
      </c>
      <c r="C180" s="381" t="s">
        <v>6074</v>
      </c>
    </row>
    <row r="181" spans="1:3" ht="12.9" customHeight="1">
      <c r="A181" s="381"/>
      <c r="B181" s="381" t="s">
        <v>3664</v>
      </c>
      <c r="C181" s="381" t="s">
        <v>6075</v>
      </c>
    </row>
    <row r="182" spans="1:3" ht="12.9" customHeight="1">
      <c r="A182" s="381"/>
      <c r="B182" s="381" t="s">
        <v>1747</v>
      </c>
      <c r="C182" s="381" t="s">
        <v>6076</v>
      </c>
    </row>
    <row r="183" spans="1:3" ht="12.9" customHeight="1">
      <c r="A183" s="381"/>
      <c r="B183" s="381" t="s">
        <v>3249</v>
      </c>
      <c r="C183" s="381" t="s">
        <v>6077</v>
      </c>
    </row>
    <row r="184" spans="1:3" ht="12.9" customHeight="1">
      <c r="A184" s="381"/>
      <c r="B184" s="381" t="s">
        <v>1034</v>
      </c>
      <c r="C184" s="381" t="s">
        <v>6078</v>
      </c>
    </row>
    <row r="185" spans="1:3" ht="12.9" customHeight="1">
      <c r="A185" s="381"/>
      <c r="B185" s="381" t="s">
        <v>2598</v>
      </c>
      <c r="C185" s="381" t="s">
        <v>6079</v>
      </c>
    </row>
    <row r="186" spans="1:3" ht="12.9" customHeight="1">
      <c r="A186" s="381"/>
      <c r="B186" s="381" t="s">
        <v>4308</v>
      </c>
      <c r="C186" s="381" t="s">
        <v>6080</v>
      </c>
    </row>
    <row r="187" spans="1:3" ht="12.9" customHeight="1">
      <c r="A187" s="381"/>
      <c r="B187" s="381" t="s">
        <v>4309</v>
      </c>
      <c r="C187" s="381" t="s">
        <v>6081</v>
      </c>
    </row>
    <row r="188" spans="1:3" ht="12.9" customHeight="1">
      <c r="A188" s="381"/>
      <c r="B188" s="381" t="s">
        <v>5158</v>
      </c>
      <c r="C188" s="381" t="s">
        <v>6082</v>
      </c>
    </row>
    <row r="189" spans="1:3" ht="12.9" customHeight="1">
      <c r="A189" s="381"/>
      <c r="B189" s="381" t="s">
        <v>3554</v>
      </c>
      <c r="C189" s="381" t="s">
        <v>6083</v>
      </c>
    </row>
    <row r="190" spans="1:3" ht="12.9" customHeight="1">
      <c r="A190" s="381"/>
      <c r="B190" s="381" t="s">
        <v>5643</v>
      </c>
      <c r="C190" s="381" t="s">
        <v>6084</v>
      </c>
    </row>
    <row r="191" spans="1:3" ht="12.9" customHeight="1">
      <c r="A191" s="381"/>
      <c r="B191" s="381" t="s">
        <v>5644</v>
      </c>
      <c r="C191" s="381" t="s">
        <v>6085</v>
      </c>
    </row>
    <row r="192" spans="1:3" ht="12.9" customHeight="1">
      <c r="A192" s="381" t="s">
        <v>1166</v>
      </c>
      <c r="B192" s="381" t="s">
        <v>5159</v>
      </c>
      <c r="C192" s="381" t="s">
        <v>6086</v>
      </c>
    </row>
    <row r="193" spans="1:3" ht="12.9" customHeight="1">
      <c r="A193" s="381"/>
      <c r="B193" s="381"/>
      <c r="C193" s="381" t="s">
        <v>6087</v>
      </c>
    </row>
    <row r="194" spans="1:3" ht="12.9" customHeight="1">
      <c r="A194" s="381"/>
      <c r="B194" s="381"/>
      <c r="C194" s="381" t="s">
        <v>3201</v>
      </c>
    </row>
    <row r="195" spans="1:3" ht="12.9" customHeight="1">
      <c r="A195" s="381"/>
      <c r="B195" s="381"/>
      <c r="C195" s="381" t="s">
        <v>83</v>
      </c>
    </row>
    <row r="196" spans="1:3" ht="12.9" customHeight="1">
      <c r="A196" s="381"/>
      <c r="B196" s="381"/>
      <c r="C196" s="381" t="s">
        <v>6088</v>
      </c>
    </row>
    <row r="197" spans="1:3" ht="12.9" customHeight="1">
      <c r="A197" s="381"/>
      <c r="B197" s="381"/>
      <c r="C197" s="442" t="s">
        <v>6089</v>
      </c>
    </row>
    <row r="198" spans="1:3" ht="12.9" customHeight="1">
      <c r="A198" s="381"/>
      <c r="B198" s="381"/>
      <c r="C198" s="442" t="s">
        <v>6090</v>
      </c>
    </row>
    <row r="199" spans="1:3" ht="12.9" customHeight="1">
      <c r="A199" s="381"/>
      <c r="B199" s="381"/>
      <c r="C199" s="381" t="s">
        <v>6091</v>
      </c>
    </row>
    <row r="200" spans="1:3" ht="12.9" customHeight="1">
      <c r="A200" s="381"/>
      <c r="B200" s="381" t="s">
        <v>2977</v>
      </c>
      <c r="C200" s="381" t="s">
        <v>6092</v>
      </c>
    </row>
    <row r="201" spans="1:3" ht="12.9" customHeight="1">
      <c r="A201" s="381"/>
      <c r="B201" s="381" t="s">
        <v>3768</v>
      </c>
      <c r="C201" s="381" t="s">
        <v>6191</v>
      </c>
    </row>
    <row r="202" spans="1:3" ht="12.9" customHeight="1">
      <c r="A202" s="381"/>
      <c r="B202" s="381" t="s">
        <v>1620</v>
      </c>
      <c r="C202" s="381" t="s">
        <v>6192</v>
      </c>
    </row>
    <row r="203" spans="1:3" ht="12.9" customHeight="1">
      <c r="A203" s="381"/>
      <c r="B203" s="381" t="s">
        <v>590</v>
      </c>
      <c r="C203" s="381" t="s">
        <v>6193</v>
      </c>
    </row>
    <row r="204" spans="1:3" ht="12.9" customHeight="1">
      <c r="A204" s="381"/>
      <c r="B204" s="381" t="s">
        <v>2502</v>
      </c>
      <c r="C204" s="381" t="s">
        <v>6194</v>
      </c>
    </row>
    <row r="205" spans="1:3" ht="12.9" customHeight="1">
      <c r="A205" s="381"/>
      <c r="B205" s="381"/>
      <c r="C205" s="381" t="s">
        <v>6195</v>
      </c>
    </row>
    <row r="206" spans="1:3" ht="12.9" customHeight="1">
      <c r="A206" s="381"/>
      <c r="B206" s="381"/>
      <c r="C206" s="442" t="s">
        <v>6196</v>
      </c>
    </row>
    <row r="207" spans="1:3" ht="12.9" customHeight="1">
      <c r="A207" s="381"/>
      <c r="B207" s="381"/>
      <c r="C207" s="381" t="s">
        <v>6197</v>
      </c>
    </row>
    <row r="208" spans="1:3" ht="12.9" customHeight="1">
      <c r="A208" s="381"/>
      <c r="B208" s="381"/>
      <c r="C208" s="381" t="s">
        <v>6198</v>
      </c>
    </row>
    <row r="209" spans="1:3" ht="12.9" customHeight="1">
      <c r="A209" s="381"/>
      <c r="B209" s="381"/>
      <c r="C209" s="381" t="s">
        <v>6199</v>
      </c>
    </row>
    <row r="210" spans="1:3" ht="12.9" customHeight="1">
      <c r="A210" s="381"/>
      <c r="B210" s="381"/>
      <c r="C210" s="381" t="s">
        <v>6200</v>
      </c>
    </row>
    <row r="211" spans="1:3" ht="12.9" customHeight="1">
      <c r="A211" s="381"/>
      <c r="B211" s="381" t="s">
        <v>1471</v>
      </c>
      <c r="C211" s="381" t="s">
        <v>6201</v>
      </c>
    </row>
    <row r="212" spans="1:3" ht="12.9" customHeight="1">
      <c r="A212" s="381"/>
      <c r="B212" s="381" t="s">
        <v>1084</v>
      </c>
      <c r="C212" s="442" t="s">
        <v>6185</v>
      </c>
    </row>
    <row r="213" spans="1:3" ht="12.9" customHeight="1">
      <c r="A213" s="381"/>
      <c r="B213" s="381"/>
      <c r="C213" s="442"/>
    </row>
    <row r="214" spans="1:3" ht="12.9" customHeight="1">
      <c r="A214" s="381"/>
      <c r="B214" s="381" t="s">
        <v>3901</v>
      </c>
      <c r="C214" s="381" t="s">
        <v>6202</v>
      </c>
    </row>
    <row r="215" spans="1:3" ht="12.9" customHeight="1">
      <c r="A215" s="381"/>
      <c r="B215" s="381" t="s">
        <v>3897</v>
      </c>
      <c r="C215" s="381" t="s">
        <v>6203</v>
      </c>
    </row>
    <row r="216" spans="1:3" ht="12.9" customHeight="1">
      <c r="A216" s="381"/>
      <c r="B216" s="381" t="s">
        <v>4676</v>
      </c>
      <c r="C216" s="381" t="s">
        <v>6204</v>
      </c>
    </row>
    <row r="217" spans="1:3" ht="12.9" customHeight="1">
      <c r="A217" s="381"/>
      <c r="B217" s="381" t="s">
        <v>4316</v>
      </c>
      <c r="C217" s="381" t="s">
        <v>6205</v>
      </c>
    </row>
    <row r="218" spans="1:3" ht="12.9" customHeight="1">
      <c r="A218" s="381"/>
      <c r="B218" s="381" t="s">
        <v>118</v>
      </c>
      <c r="C218" s="381" t="s">
        <v>6206</v>
      </c>
    </row>
    <row r="219" spans="1:3" ht="12.9" customHeight="1">
      <c r="A219" s="381"/>
      <c r="B219" s="381" t="s">
        <v>119</v>
      </c>
      <c r="C219" s="381" t="s">
        <v>6215</v>
      </c>
    </row>
    <row r="220" spans="1:3" ht="12.9" customHeight="1">
      <c r="A220" s="381"/>
      <c r="B220" s="381"/>
      <c r="C220" s="381" t="s">
        <v>6216</v>
      </c>
    </row>
    <row r="221" spans="1:3" ht="12.9" customHeight="1">
      <c r="A221" s="381"/>
      <c r="B221" s="381"/>
      <c r="C221" s="381" t="s">
        <v>6217</v>
      </c>
    </row>
    <row r="222" spans="1:3" ht="12.9" customHeight="1">
      <c r="A222" s="381"/>
      <c r="B222" s="381"/>
      <c r="C222" s="381" t="s">
        <v>6218</v>
      </c>
    </row>
    <row r="223" spans="1:3" ht="12.9" customHeight="1">
      <c r="A223" s="381"/>
      <c r="B223" s="381"/>
      <c r="C223" s="381" t="s">
        <v>6219</v>
      </c>
    </row>
    <row r="224" spans="1:3" ht="12.9" customHeight="1">
      <c r="A224" s="381"/>
      <c r="B224" s="381"/>
      <c r="C224" s="381" t="s">
        <v>6220</v>
      </c>
    </row>
    <row r="225" spans="1:3" ht="12.9" customHeight="1">
      <c r="A225" s="381" t="s">
        <v>4242</v>
      </c>
      <c r="B225" s="381"/>
      <c r="C225" s="381" t="s">
        <v>6221</v>
      </c>
    </row>
    <row r="226" spans="1:3" ht="12.9" customHeight="1">
      <c r="A226" s="381"/>
      <c r="B226" s="381"/>
      <c r="C226" s="381" t="s">
        <v>6222</v>
      </c>
    </row>
    <row r="227" spans="1:3" ht="12.9" customHeight="1">
      <c r="A227" s="381"/>
      <c r="B227" s="381"/>
      <c r="C227" s="442" t="s">
        <v>6223</v>
      </c>
    </row>
    <row r="228" spans="1:3" ht="12.9" customHeight="1">
      <c r="A228" s="381"/>
      <c r="B228" s="381"/>
      <c r="C228" s="442" t="s">
        <v>6224</v>
      </c>
    </row>
    <row r="229" spans="1:3" ht="12.9" customHeight="1">
      <c r="A229" s="381"/>
      <c r="B229" s="381"/>
      <c r="C229" s="381" t="s">
        <v>6225</v>
      </c>
    </row>
    <row r="230" spans="1:3" ht="12.9" customHeight="1">
      <c r="A230" s="381"/>
      <c r="B230" s="381"/>
      <c r="C230" s="442" t="s">
        <v>6226</v>
      </c>
    </row>
    <row r="231" spans="1:3" ht="12.9" customHeight="1">
      <c r="A231" s="381"/>
      <c r="B231" s="381"/>
      <c r="C231" s="381" t="s">
        <v>6227</v>
      </c>
    </row>
    <row r="232" spans="1:3" ht="12.9" customHeight="1">
      <c r="A232" s="381"/>
      <c r="B232" s="381" t="s">
        <v>2651</v>
      </c>
      <c r="C232" s="381" t="s">
        <v>6228</v>
      </c>
    </row>
    <row r="233" spans="1:3" ht="12.9" customHeight="1">
      <c r="A233" s="381"/>
      <c r="B233" s="381" t="s">
        <v>4913</v>
      </c>
      <c r="C233" s="381" t="s">
        <v>2746</v>
      </c>
    </row>
    <row r="234" spans="1:3" ht="12.9" customHeight="1">
      <c r="A234" s="381"/>
      <c r="B234" s="381" t="s">
        <v>5507</v>
      </c>
      <c r="C234" s="381" t="s">
        <v>6229</v>
      </c>
    </row>
    <row r="235" spans="1:3" ht="12.9" customHeight="1">
      <c r="A235" s="381" t="s">
        <v>212</v>
      </c>
      <c r="B235" s="381"/>
      <c r="C235" s="381" t="s">
        <v>6230</v>
      </c>
    </row>
    <row r="236" spans="1:3" ht="12.9" customHeight="1">
      <c r="A236" s="381"/>
      <c r="B236" s="381"/>
      <c r="C236" s="381" t="s">
        <v>6231</v>
      </c>
    </row>
    <row r="237" spans="1:3" ht="12.9" customHeight="1">
      <c r="A237" s="381"/>
      <c r="B237" s="381"/>
      <c r="C237" s="381" t="s">
        <v>6232</v>
      </c>
    </row>
    <row r="238" spans="1:3" ht="12.9" customHeight="1">
      <c r="A238" s="381"/>
      <c r="B238" s="381"/>
      <c r="C238" s="381" t="s">
        <v>6233</v>
      </c>
    </row>
    <row r="239" spans="1:3" ht="12.9" customHeight="1">
      <c r="A239" s="381"/>
      <c r="B239" s="381"/>
      <c r="C239" s="381" t="s">
        <v>6234</v>
      </c>
    </row>
    <row r="240" spans="1:3" ht="12.9" customHeight="1">
      <c r="A240" s="381"/>
      <c r="B240" s="381"/>
      <c r="C240" s="381" t="s">
        <v>6235</v>
      </c>
    </row>
    <row r="241" spans="1:3" ht="12.9" customHeight="1">
      <c r="A241" s="381"/>
      <c r="B241" s="381"/>
      <c r="C241" s="381" t="s">
        <v>6236</v>
      </c>
    </row>
    <row r="242" spans="1:3" ht="12.9" customHeight="1">
      <c r="A242" s="381"/>
      <c r="B242" s="381"/>
      <c r="C242" s="381" t="s">
        <v>6237</v>
      </c>
    </row>
    <row r="243" spans="1:3" ht="12.9" customHeight="1">
      <c r="A243" s="381" t="s">
        <v>4425</v>
      </c>
      <c r="B243" s="381"/>
      <c r="C243" s="381" t="s">
        <v>6238</v>
      </c>
    </row>
    <row r="244" spans="1:3" ht="12.9" customHeight="1">
      <c r="A244" s="381"/>
      <c r="B244" s="381"/>
      <c r="C244" s="381" t="s">
        <v>6239</v>
      </c>
    </row>
    <row r="245" spans="1:3" ht="12.9" customHeight="1">
      <c r="A245" s="381"/>
      <c r="B245" s="381"/>
      <c r="C245" s="381" t="s">
        <v>6240</v>
      </c>
    </row>
    <row r="246" spans="1:3" ht="12.9" customHeight="1">
      <c r="A246" s="381"/>
      <c r="B246" s="381"/>
      <c r="C246" s="381" t="s">
        <v>6241</v>
      </c>
    </row>
    <row r="247" spans="1:3" ht="12.9" customHeight="1">
      <c r="A247" s="381"/>
      <c r="B247" s="381"/>
      <c r="C247" s="381" t="s">
        <v>6242</v>
      </c>
    </row>
    <row r="248" spans="1:3" ht="12.9" customHeight="1">
      <c r="A248" s="381"/>
      <c r="B248" s="381"/>
      <c r="C248" s="381" t="s">
        <v>6243</v>
      </c>
    </row>
    <row r="249" spans="1:3" ht="12.9" customHeight="1">
      <c r="A249" s="381"/>
      <c r="B249" s="381"/>
      <c r="C249" s="381" t="s">
        <v>6244</v>
      </c>
    </row>
    <row r="250" spans="1:3" ht="12.9" customHeight="1">
      <c r="A250" s="381"/>
      <c r="B250" s="381"/>
      <c r="C250" s="381" t="s">
        <v>6245</v>
      </c>
    </row>
    <row r="251" spans="1:3" ht="12.9" customHeight="1">
      <c r="A251" s="381"/>
      <c r="B251" s="381" t="s">
        <v>2906</v>
      </c>
      <c r="C251" s="381" t="s">
        <v>6213</v>
      </c>
    </row>
    <row r="252" spans="1:3" ht="12.9" customHeight="1">
      <c r="A252" s="381"/>
      <c r="B252" s="381" t="s">
        <v>5470</v>
      </c>
      <c r="C252" s="381" t="s">
        <v>6246</v>
      </c>
    </row>
    <row r="253" spans="1:3" ht="12.9" customHeight="1">
      <c r="A253" s="381"/>
      <c r="B253" s="381" t="s">
        <v>5471</v>
      </c>
      <c r="C253" s="381" t="s">
        <v>6247</v>
      </c>
    </row>
    <row r="254" spans="1:3" ht="12.9" customHeight="1">
      <c r="A254" s="381"/>
      <c r="B254" s="381" t="s">
        <v>5472</v>
      </c>
      <c r="C254" s="381" t="s">
        <v>6248</v>
      </c>
    </row>
    <row r="255" spans="1:3" ht="12.9" customHeight="1">
      <c r="A255" s="381"/>
      <c r="B255" s="381" t="s">
        <v>5037</v>
      </c>
      <c r="C255" s="381" t="s">
        <v>6249</v>
      </c>
    </row>
    <row r="256" spans="1:3" ht="12.9" customHeight="1">
      <c r="A256" s="381"/>
      <c r="B256" s="381" t="s">
        <v>5473</v>
      </c>
      <c r="C256" s="381" t="s">
        <v>6250</v>
      </c>
    </row>
    <row r="257" spans="1:3" ht="12.9" customHeight="1">
      <c r="A257" s="381"/>
      <c r="B257" s="381" t="s">
        <v>4232</v>
      </c>
      <c r="C257" s="381" t="s">
        <v>6207</v>
      </c>
    </row>
    <row r="258" spans="1:3" ht="12.9" customHeight="1">
      <c r="A258" s="381"/>
      <c r="B258" s="381" t="s">
        <v>4233</v>
      </c>
      <c r="C258" s="381" t="s">
        <v>6208</v>
      </c>
    </row>
    <row r="259" spans="1:3" ht="12.9" customHeight="1">
      <c r="A259" s="381"/>
      <c r="B259" s="381" t="s">
        <v>4234</v>
      </c>
      <c r="C259" s="381" t="s">
        <v>6209</v>
      </c>
    </row>
    <row r="260" spans="1:3" ht="12.9" customHeight="1">
      <c r="A260" s="381"/>
      <c r="B260" s="381" t="s">
        <v>4235</v>
      </c>
      <c r="C260" s="381" t="s">
        <v>6210</v>
      </c>
    </row>
    <row r="261" spans="1:3" ht="12.9" customHeight="1">
      <c r="A261" s="381"/>
      <c r="B261" s="381" t="s">
        <v>4236</v>
      </c>
      <c r="C261" s="381" t="s">
        <v>6211</v>
      </c>
    </row>
    <row r="262" spans="1:3" ht="12.9" customHeight="1">
      <c r="A262" s="381"/>
      <c r="B262" s="381" t="s">
        <v>2944</v>
      </c>
      <c r="C262" s="381" t="s">
        <v>6212</v>
      </c>
    </row>
    <row r="263" spans="1:3" ht="12.9" customHeight="1">
      <c r="A263" s="381"/>
      <c r="B263" s="381"/>
      <c r="C263" s="381" t="s">
        <v>6213</v>
      </c>
    </row>
    <row r="264" spans="1:3" ht="12.9" customHeight="1">
      <c r="A264" s="381"/>
      <c r="B264" s="381"/>
      <c r="C264" s="381" t="s">
        <v>6214</v>
      </c>
    </row>
    <row r="265" spans="1:3" ht="12.9" customHeight="1">
      <c r="A265" s="381"/>
      <c r="B265" s="381"/>
      <c r="C265" s="381" t="s">
        <v>5680</v>
      </c>
    </row>
    <row r="266" spans="1:3" ht="12.9" customHeight="1">
      <c r="A266" s="381"/>
      <c r="B266" s="381"/>
      <c r="C266" s="381" t="s">
        <v>6251</v>
      </c>
    </row>
    <row r="267" spans="1:3" ht="12.9" customHeight="1">
      <c r="A267" s="381"/>
      <c r="B267" s="381" t="s">
        <v>4184</v>
      </c>
      <c r="C267" s="381" t="s">
        <v>6252</v>
      </c>
    </row>
    <row r="268" spans="1:3" ht="12.9" customHeight="1">
      <c r="A268" s="381"/>
      <c r="B268" s="381"/>
      <c r="C268" s="381" t="s">
        <v>6250</v>
      </c>
    </row>
    <row r="269" spans="1:3" ht="12.9" customHeight="1">
      <c r="A269" s="381"/>
      <c r="B269" s="381"/>
      <c r="C269" s="381" t="s">
        <v>6207</v>
      </c>
    </row>
    <row r="270" spans="1:3" ht="12.9" customHeight="1">
      <c r="A270" s="381"/>
      <c r="B270" s="381"/>
      <c r="C270" s="381" t="s">
        <v>6253</v>
      </c>
    </row>
    <row r="271" spans="1:3" ht="12.9" customHeight="1">
      <c r="A271" s="381"/>
      <c r="B271" s="381"/>
      <c r="C271" s="381" t="s">
        <v>6254</v>
      </c>
    </row>
    <row r="272" spans="1:3" ht="12.9" customHeight="1">
      <c r="A272" s="381"/>
      <c r="B272" s="381"/>
      <c r="C272" s="381" t="s">
        <v>828</v>
      </c>
    </row>
    <row r="273" spans="1:3" ht="12.9" customHeight="1">
      <c r="A273" s="381"/>
      <c r="B273" s="381"/>
      <c r="C273" s="381" t="s">
        <v>6211</v>
      </c>
    </row>
    <row r="274" spans="1:3" ht="12.9" customHeight="1">
      <c r="A274" s="381"/>
      <c r="B274" s="381"/>
      <c r="C274" s="381" t="s">
        <v>6255</v>
      </c>
    </row>
    <row r="275" spans="1:3" ht="12.9" customHeight="1">
      <c r="A275" s="381"/>
      <c r="B275" s="381"/>
      <c r="C275" s="381" t="s">
        <v>6256</v>
      </c>
    </row>
    <row r="276" spans="1:3" ht="12.9" customHeight="1">
      <c r="A276" s="381"/>
      <c r="B276" s="381"/>
      <c r="C276" s="381" t="s">
        <v>6257</v>
      </c>
    </row>
    <row r="277" spans="1:3" ht="12.9" customHeight="1">
      <c r="A277" s="381"/>
      <c r="B277" s="381"/>
      <c r="C277" s="381" t="s">
        <v>6270</v>
      </c>
    </row>
    <row r="278" spans="1:3" ht="12.9" customHeight="1">
      <c r="A278" s="381"/>
      <c r="B278" s="381"/>
      <c r="C278" s="381" t="s">
        <v>6271</v>
      </c>
    </row>
    <row r="279" spans="1:3" ht="12.9" customHeight="1">
      <c r="A279" s="381"/>
      <c r="B279" s="381"/>
      <c r="C279" s="381" t="s">
        <v>6272</v>
      </c>
    </row>
    <row r="280" spans="1:3" ht="12.9" customHeight="1">
      <c r="A280" s="381"/>
      <c r="B280" s="381"/>
      <c r="C280" s="381" t="s">
        <v>6273</v>
      </c>
    </row>
    <row r="281" spans="1:3" ht="12.9" customHeight="1">
      <c r="A281" s="381"/>
      <c r="B281" s="381"/>
      <c r="C281" s="381" t="s">
        <v>6274</v>
      </c>
    </row>
    <row r="282" spans="1:3" ht="12.9" customHeight="1">
      <c r="A282" s="381"/>
      <c r="B282" s="381"/>
      <c r="C282" s="381" t="s">
        <v>6275</v>
      </c>
    </row>
    <row r="283" spans="1:3" ht="12.9" customHeight="1">
      <c r="A283" s="381"/>
      <c r="B283" s="381"/>
      <c r="C283" s="381" t="s">
        <v>6276</v>
      </c>
    </row>
    <row r="284" spans="1:3" ht="12.9" customHeight="1">
      <c r="A284" s="381"/>
      <c r="B284" s="381"/>
      <c r="C284" s="381" t="s">
        <v>6277</v>
      </c>
    </row>
    <row r="285" spans="1:3" ht="12.9" customHeight="1">
      <c r="A285" s="381"/>
      <c r="B285" s="381"/>
      <c r="C285" s="381" t="s">
        <v>6278</v>
      </c>
    </row>
    <row r="286" spans="1:3" ht="12.9" customHeight="1">
      <c r="A286" s="381"/>
      <c r="B286" s="381"/>
      <c r="C286" s="381" t="s">
        <v>6279</v>
      </c>
    </row>
    <row r="287" spans="1:3" ht="12.9" customHeight="1">
      <c r="A287" s="381"/>
      <c r="B287" s="381"/>
      <c r="C287" s="381" t="s">
        <v>6280</v>
      </c>
    </row>
    <row r="288" spans="1:3" ht="12.9" customHeight="1">
      <c r="A288" s="381"/>
      <c r="B288" s="381"/>
      <c r="C288" s="442" t="s">
        <v>6281</v>
      </c>
    </row>
    <row r="289" spans="1:3" ht="12.9" customHeight="1">
      <c r="A289" s="381"/>
      <c r="B289" s="381"/>
      <c r="C289" s="381" t="s">
        <v>6282</v>
      </c>
    </row>
    <row r="290" spans="1:3" ht="12.9" customHeight="1">
      <c r="A290" s="381"/>
      <c r="B290" s="381"/>
      <c r="C290" s="381" t="s">
        <v>6283</v>
      </c>
    </row>
    <row r="291" spans="1:3" ht="12.9" customHeight="1">
      <c r="A291" s="381"/>
      <c r="B291" s="381"/>
      <c r="C291" s="381" t="s">
        <v>6284</v>
      </c>
    </row>
    <row r="292" spans="1:3" ht="12.9" customHeight="1">
      <c r="A292" s="381" t="s">
        <v>1223</v>
      </c>
      <c r="B292" s="381"/>
      <c r="C292" s="381" t="s">
        <v>6285</v>
      </c>
    </row>
    <row r="293" spans="1:3" ht="12.9" customHeight="1">
      <c r="A293" s="381"/>
      <c r="B293" s="381"/>
      <c r="C293" s="381" t="s">
        <v>6286</v>
      </c>
    </row>
    <row r="294" spans="1:3" ht="12.9" customHeight="1">
      <c r="A294" s="381"/>
      <c r="B294" s="381"/>
      <c r="C294" s="381" t="s">
        <v>6287</v>
      </c>
    </row>
    <row r="295" spans="1:3" ht="12.9" customHeight="1">
      <c r="A295" s="381"/>
      <c r="B295" s="381"/>
      <c r="C295" s="381" t="s">
        <v>6288</v>
      </c>
    </row>
    <row r="296" spans="1:3" ht="12.9" customHeight="1">
      <c r="A296" s="381"/>
      <c r="B296" s="381"/>
      <c r="C296" s="381" t="s">
        <v>6289</v>
      </c>
    </row>
    <row r="297" spans="1:3" ht="12.9" customHeight="1">
      <c r="A297" s="381"/>
      <c r="B297" s="381"/>
      <c r="C297" s="381" t="s">
        <v>6290</v>
      </c>
    </row>
    <row r="298" spans="1:3" ht="12.9" customHeight="1">
      <c r="A298" s="381"/>
      <c r="B298" s="381"/>
      <c r="C298" s="381" t="s">
        <v>6291</v>
      </c>
    </row>
    <row r="299" spans="1:3" ht="12.9" customHeight="1">
      <c r="A299" s="381"/>
      <c r="B299" s="381"/>
      <c r="C299" s="381" t="s">
        <v>6292</v>
      </c>
    </row>
    <row r="300" spans="1:3" ht="12.9" customHeight="1">
      <c r="A300" s="381" t="s">
        <v>5593</v>
      </c>
      <c r="B300" s="381"/>
      <c r="C300" s="381" t="s">
        <v>6293</v>
      </c>
    </row>
    <row r="301" spans="1:3" ht="12.9" customHeight="1">
      <c r="A301" s="381"/>
      <c r="B301" s="381"/>
      <c r="C301" s="381" t="s">
        <v>6294</v>
      </c>
    </row>
    <row r="302" spans="1:3" ht="12.9" customHeight="1">
      <c r="A302" s="381"/>
      <c r="B302" s="381"/>
      <c r="C302" s="381" t="s">
        <v>6295</v>
      </c>
    </row>
    <row r="303" spans="1:3" ht="12.9" customHeight="1">
      <c r="A303" s="381"/>
      <c r="B303" s="381"/>
      <c r="C303" s="381" t="s">
        <v>6296</v>
      </c>
    </row>
    <row r="304" spans="1:3" ht="12.9" customHeight="1">
      <c r="A304" s="381"/>
      <c r="B304" s="381"/>
      <c r="C304" s="381" t="s">
        <v>6297</v>
      </c>
    </row>
    <row r="305" spans="1:3" ht="12.9" customHeight="1">
      <c r="A305" s="381"/>
      <c r="B305" s="381"/>
      <c r="C305" s="381" t="s">
        <v>6298</v>
      </c>
    </row>
    <row r="306" spans="1:3" ht="12.9" customHeight="1">
      <c r="A306" s="381"/>
      <c r="B306" s="381"/>
      <c r="C306" s="381" t="s">
        <v>6299</v>
      </c>
    </row>
    <row r="307" spans="1:3" ht="12.9" customHeight="1">
      <c r="A307" s="381"/>
      <c r="B307" s="381"/>
      <c r="C307" s="381" t="s">
        <v>6300</v>
      </c>
    </row>
    <row r="308" spans="1:3" ht="12.9" customHeight="1">
      <c r="A308" s="381"/>
      <c r="B308" s="381"/>
      <c r="C308" s="381" t="s">
        <v>6301</v>
      </c>
    </row>
    <row r="309" spans="1:3" ht="12.9" customHeight="1">
      <c r="A309" s="381"/>
      <c r="B309" s="381"/>
      <c r="C309" s="381" t="s">
        <v>6302</v>
      </c>
    </row>
    <row r="310" spans="1:3" ht="12.9" customHeight="1">
      <c r="A310" s="381"/>
      <c r="B310" s="381" t="s">
        <v>108</v>
      </c>
      <c r="C310" s="381" t="s">
        <v>6303</v>
      </c>
    </row>
    <row r="311" spans="1:3" ht="12.9" customHeight="1">
      <c r="A311" s="381"/>
      <c r="B311" s="381"/>
      <c r="C311" s="381" t="s">
        <v>6304</v>
      </c>
    </row>
    <row r="312" spans="1:3" ht="12.9" customHeight="1">
      <c r="A312" s="381"/>
      <c r="B312" s="381"/>
      <c r="C312" s="381" t="s">
        <v>6305</v>
      </c>
    </row>
    <row r="313" spans="1:3" ht="12.9" customHeight="1">
      <c r="A313" s="381"/>
      <c r="B313" s="381"/>
      <c r="C313" s="381" t="s">
        <v>6306</v>
      </c>
    </row>
    <row r="314" spans="1:3" ht="12.9" customHeight="1">
      <c r="A314" s="381"/>
      <c r="B314" s="381"/>
      <c r="C314" s="381" t="s">
        <v>6307</v>
      </c>
    </row>
    <row r="315" spans="1:3" ht="12.9" customHeight="1">
      <c r="A315" s="381"/>
      <c r="B315" s="381"/>
      <c r="C315" s="381" t="s">
        <v>6308</v>
      </c>
    </row>
    <row r="316" spans="1:3" ht="12.9" customHeight="1">
      <c r="A316" s="381"/>
      <c r="B316" s="381"/>
      <c r="C316" s="381" t="s">
        <v>6309</v>
      </c>
    </row>
    <row r="317" spans="1:3" ht="12.9" customHeight="1">
      <c r="A317" s="381"/>
      <c r="B317" s="381"/>
      <c r="C317" s="381" t="s">
        <v>6310</v>
      </c>
    </row>
    <row r="318" spans="1:3" ht="12.9" customHeight="1">
      <c r="A318" s="381"/>
      <c r="B318" s="381"/>
      <c r="C318" s="381" t="s">
        <v>6311</v>
      </c>
    </row>
    <row r="319" spans="1:3" ht="12.9" customHeight="1">
      <c r="A319" s="381"/>
      <c r="B319" s="381"/>
      <c r="C319" s="381" t="s">
        <v>6312</v>
      </c>
    </row>
    <row r="320" spans="1:3" ht="12.9" customHeight="1">
      <c r="A320" s="381"/>
      <c r="B320" s="381"/>
      <c r="C320" s="381" t="s">
        <v>6313</v>
      </c>
    </row>
    <row r="321" spans="1:3" ht="12.9" customHeight="1">
      <c r="A321" s="381"/>
      <c r="B321" s="381"/>
      <c r="C321" s="381" t="s">
        <v>6314</v>
      </c>
    </row>
    <row r="322" spans="1:3" ht="12.9" customHeight="1">
      <c r="A322" s="381"/>
      <c r="B322" s="381"/>
      <c r="C322" s="442" t="s">
        <v>6315</v>
      </c>
    </row>
    <row r="323" spans="1:3" ht="12.9" customHeight="1">
      <c r="A323" s="381"/>
      <c r="B323" s="381"/>
      <c r="C323" s="381" t="s">
        <v>6316</v>
      </c>
    </row>
    <row r="324" spans="1:3" ht="12.9" customHeight="1">
      <c r="A324" s="381"/>
      <c r="B324" s="381"/>
      <c r="C324" s="381" t="s">
        <v>6317</v>
      </c>
    </row>
    <row r="325" spans="1:3" ht="12.9" customHeight="1">
      <c r="A325" s="381"/>
      <c r="B325" s="381"/>
      <c r="C325" s="381" t="s">
        <v>6318</v>
      </c>
    </row>
    <row r="326" spans="1:3" ht="12.9" customHeight="1">
      <c r="A326" s="381"/>
      <c r="B326" s="381"/>
      <c r="C326" s="381" t="s">
        <v>6319</v>
      </c>
    </row>
    <row r="327" spans="1:3" ht="12.9" customHeight="1">
      <c r="A327" s="381"/>
      <c r="B327" s="381"/>
      <c r="C327" s="381" t="s">
        <v>6320</v>
      </c>
    </row>
    <row r="328" spans="1:3" ht="12.9" customHeight="1">
      <c r="A328" s="381"/>
      <c r="B328" s="381"/>
      <c r="C328" s="381" t="s">
        <v>6321</v>
      </c>
    </row>
    <row r="329" spans="1:3" ht="12.9" customHeight="1">
      <c r="A329" s="381"/>
      <c r="B329" s="381"/>
      <c r="C329" s="381" t="s">
        <v>6322</v>
      </c>
    </row>
    <row r="330" spans="1:3" ht="12.9" customHeight="1">
      <c r="A330" s="381"/>
      <c r="B330" s="381"/>
      <c r="C330" s="381" t="s">
        <v>6323</v>
      </c>
    </row>
    <row r="331" spans="1:3" ht="12.9" customHeight="1">
      <c r="A331" s="381"/>
      <c r="B331" s="381"/>
      <c r="C331" s="381" t="s">
        <v>6324</v>
      </c>
    </row>
    <row r="332" spans="1:3" ht="12.9" customHeight="1">
      <c r="A332" s="381"/>
      <c r="B332" s="381"/>
      <c r="C332" s="381" t="s">
        <v>6325</v>
      </c>
    </row>
    <row r="333" spans="1:3" ht="12.9" customHeight="1">
      <c r="A333" s="381"/>
      <c r="B333" s="381"/>
      <c r="C333" s="381" t="s">
        <v>6326</v>
      </c>
    </row>
    <row r="334" spans="1:3" ht="12.9" customHeight="1">
      <c r="A334" s="381"/>
      <c r="B334" s="381"/>
      <c r="C334" s="381" t="s">
        <v>6327</v>
      </c>
    </row>
    <row r="335" spans="1:3" ht="12.9" customHeight="1">
      <c r="A335" s="381"/>
      <c r="B335" s="381"/>
      <c r="C335" s="381" t="s">
        <v>6328</v>
      </c>
    </row>
    <row r="336" spans="1:3" ht="12.9" customHeight="1">
      <c r="A336" s="381" t="s">
        <v>453</v>
      </c>
      <c r="B336" s="381"/>
      <c r="C336" s="381" t="s">
        <v>6329</v>
      </c>
    </row>
    <row r="337" spans="1:3" ht="12.9" customHeight="1">
      <c r="A337" s="381"/>
      <c r="B337" s="381"/>
      <c r="C337" s="381" t="s">
        <v>6330</v>
      </c>
    </row>
    <row r="338" spans="1:3" ht="12.9" customHeight="1">
      <c r="A338" s="381"/>
      <c r="B338" s="381"/>
      <c r="C338" s="381" t="s">
        <v>6331</v>
      </c>
    </row>
    <row r="339" spans="1:3" ht="12.9" customHeight="1">
      <c r="A339" s="381" t="s">
        <v>4360</v>
      </c>
      <c r="B339" s="381"/>
      <c r="C339" s="381" t="s">
        <v>6332</v>
      </c>
    </row>
    <row r="340" spans="1:3" ht="12.9" customHeight="1">
      <c r="A340" s="381"/>
      <c r="B340" s="381" t="s">
        <v>1701</v>
      </c>
      <c r="C340" s="381" t="s">
        <v>6333</v>
      </c>
    </row>
    <row r="341" spans="1:3" ht="12.9" customHeight="1">
      <c r="A341" s="381"/>
      <c r="B341" s="381"/>
      <c r="C341" s="381" t="s">
        <v>6334</v>
      </c>
    </row>
    <row r="342" spans="1:3" ht="12.9" customHeight="1">
      <c r="A342" s="381"/>
      <c r="B342" s="381"/>
      <c r="C342" s="381" t="s">
        <v>6335</v>
      </c>
    </row>
    <row r="343" spans="1:3" ht="12.9" customHeight="1">
      <c r="A343" s="381"/>
      <c r="B343" s="381"/>
      <c r="C343" s="381" t="s">
        <v>6336</v>
      </c>
    </row>
    <row r="344" spans="1:3" ht="12.9" customHeight="1">
      <c r="A344" s="381"/>
      <c r="B344" s="381"/>
      <c r="C344" s="381" t="s">
        <v>6337</v>
      </c>
    </row>
    <row r="345" spans="1:3" ht="12.9" customHeight="1">
      <c r="A345" s="381"/>
      <c r="B345" s="381"/>
      <c r="C345" s="442" t="s">
        <v>6338</v>
      </c>
    </row>
    <row r="346" spans="1:3" ht="12.9" customHeight="1">
      <c r="A346" s="381"/>
      <c r="B346" s="381"/>
      <c r="C346" s="381" t="s">
        <v>6339</v>
      </c>
    </row>
    <row r="347" spans="1:3" ht="12.9" customHeight="1">
      <c r="A347" s="381"/>
      <c r="B347" s="381"/>
      <c r="C347" s="381" t="s">
        <v>6340</v>
      </c>
    </row>
    <row r="348" spans="1:3" ht="12.9" customHeight="1">
      <c r="A348" s="381"/>
      <c r="B348" s="381"/>
      <c r="C348" s="381" t="s">
        <v>6341</v>
      </c>
    </row>
    <row r="349" spans="1:3" ht="12.9" customHeight="1">
      <c r="A349" s="381"/>
      <c r="B349" s="381"/>
      <c r="C349" s="381" t="s">
        <v>6342</v>
      </c>
    </row>
    <row r="350" spans="1:3" ht="12.9" customHeight="1">
      <c r="A350" s="381"/>
      <c r="B350" s="381"/>
      <c r="C350" s="381" t="s">
        <v>6343</v>
      </c>
    </row>
    <row r="351" spans="1:3" ht="12.9" customHeight="1">
      <c r="A351" s="381"/>
      <c r="B351" s="381"/>
      <c r="C351" s="381" t="s">
        <v>6344</v>
      </c>
    </row>
    <row r="352" spans="1:3" ht="12.9" customHeight="1">
      <c r="A352" s="381" t="s">
        <v>1223</v>
      </c>
      <c r="B352" s="381"/>
      <c r="C352" s="381" t="s">
        <v>6345</v>
      </c>
    </row>
    <row r="353" spans="1:3" ht="12.9" customHeight="1">
      <c r="A353" s="381"/>
      <c r="B353" s="381"/>
      <c r="C353" s="381" t="s">
        <v>6346</v>
      </c>
    </row>
    <row r="354" spans="1:3" ht="12.9" customHeight="1">
      <c r="A354" s="381"/>
      <c r="B354" s="381"/>
      <c r="C354" s="381" t="s">
        <v>6347</v>
      </c>
    </row>
    <row r="355" spans="1:3" ht="12.9" customHeight="1">
      <c r="A355" s="381"/>
      <c r="B355" s="381"/>
      <c r="C355" s="381" t="s">
        <v>6348</v>
      </c>
    </row>
    <row r="356" spans="1:3" ht="12.9" customHeight="1">
      <c r="A356" s="381"/>
      <c r="B356" s="381"/>
      <c r="C356" s="381" t="s">
        <v>6349</v>
      </c>
    </row>
    <row r="357" spans="1:3" ht="12.9" customHeight="1">
      <c r="A357" s="381"/>
      <c r="B357" s="381" t="s">
        <v>3496</v>
      </c>
      <c r="C357" s="442" t="s">
        <v>6350</v>
      </c>
    </row>
    <row r="358" spans="1:3" ht="12.9" customHeight="1">
      <c r="A358" s="381"/>
      <c r="B358" s="381"/>
      <c r="C358" s="442"/>
    </row>
    <row r="359" spans="1:3" ht="12.9" customHeight="1">
      <c r="A359" s="381"/>
      <c r="B359" s="381"/>
      <c r="C359" s="442" t="s">
        <v>6351</v>
      </c>
    </row>
    <row r="360" spans="1:3" ht="12.9" customHeight="1">
      <c r="A360" s="381" t="s">
        <v>3240</v>
      </c>
      <c r="B360" s="381"/>
      <c r="C360" s="381" t="s">
        <v>6352</v>
      </c>
    </row>
    <row r="361" spans="1:3" ht="12.9" customHeight="1">
      <c r="A361" s="381"/>
      <c r="B361" s="381"/>
      <c r="C361" s="381" t="s">
        <v>6353</v>
      </c>
    </row>
    <row r="362" spans="1:3" ht="12.9" customHeight="1">
      <c r="A362" s="381"/>
      <c r="B362" s="381"/>
      <c r="C362" s="442" t="s">
        <v>6354</v>
      </c>
    </row>
    <row r="363" spans="1:3" ht="12.9" customHeight="1">
      <c r="A363" s="381"/>
      <c r="B363" s="381"/>
      <c r="C363" s="381" t="s">
        <v>6355</v>
      </c>
    </row>
    <row r="364" spans="1:3" ht="12.9" customHeight="1">
      <c r="A364" s="381"/>
      <c r="B364" s="381"/>
      <c r="C364" s="381" t="s">
        <v>6356</v>
      </c>
    </row>
    <row r="365" spans="1:3" ht="12.9" customHeight="1">
      <c r="A365" s="381"/>
      <c r="B365" s="381"/>
      <c r="C365" s="381" t="s">
        <v>6357</v>
      </c>
    </row>
    <row r="366" spans="1:3" ht="12.9" customHeight="1">
      <c r="A366" s="381" t="s">
        <v>2321</v>
      </c>
      <c r="B366" s="381"/>
      <c r="C366" s="381" t="s">
        <v>6358</v>
      </c>
    </row>
    <row r="367" spans="1:3" ht="12.9" customHeight="1">
      <c r="A367" s="381"/>
      <c r="B367" s="381"/>
      <c r="C367" s="381" t="s">
        <v>6359</v>
      </c>
    </row>
    <row r="368" spans="1:3" ht="12.9" customHeight="1">
      <c r="A368" s="381"/>
      <c r="B368" s="381"/>
      <c r="C368" s="381" t="s">
        <v>6360</v>
      </c>
    </row>
    <row r="369" spans="1:3" ht="12.9" customHeight="1">
      <c r="A369" s="381"/>
      <c r="B369" s="381"/>
      <c r="C369" s="381" t="s">
        <v>6361</v>
      </c>
    </row>
    <row r="370" spans="1:3" ht="12.9" customHeight="1">
      <c r="A370" s="381"/>
      <c r="B370" s="381"/>
      <c r="C370" s="381" t="s">
        <v>6362</v>
      </c>
    </row>
    <row r="371" spans="1:3" ht="12.9" customHeight="1">
      <c r="A371" s="381" t="s">
        <v>3560</v>
      </c>
      <c r="B371" s="381"/>
      <c r="C371" s="381" t="s">
        <v>6363</v>
      </c>
    </row>
    <row r="372" spans="1:3" ht="12.9" customHeight="1">
      <c r="A372" s="381"/>
      <c r="B372" s="381"/>
      <c r="C372" s="381" t="s">
        <v>6364</v>
      </c>
    </row>
    <row r="373" spans="1:3" ht="12.9" customHeight="1">
      <c r="A373" s="381"/>
      <c r="B373" s="381"/>
      <c r="C373" s="442" t="s">
        <v>6365</v>
      </c>
    </row>
    <row r="374" spans="1:3" ht="12.9" customHeight="1">
      <c r="A374" s="381"/>
      <c r="B374" s="381"/>
      <c r="C374" s="442" t="s">
        <v>6366</v>
      </c>
    </row>
    <row r="375" spans="1:3" ht="12.9" customHeight="1">
      <c r="A375" s="381"/>
      <c r="B375" s="381"/>
      <c r="C375" s="442" t="s">
        <v>6367</v>
      </c>
    </row>
    <row r="376" spans="1:3" ht="12.9" customHeight="1">
      <c r="A376" s="381"/>
      <c r="B376" s="381"/>
      <c r="C376" s="442" t="s">
        <v>6368</v>
      </c>
    </row>
    <row r="377" spans="1:3" ht="12.9" customHeight="1">
      <c r="A377" s="381"/>
      <c r="B377" s="381"/>
      <c r="C377" s="442" t="s">
        <v>6369</v>
      </c>
    </row>
    <row r="378" spans="1:3" ht="12.9" customHeight="1">
      <c r="A378" s="381"/>
      <c r="B378" s="381"/>
      <c r="C378" s="442" t="s">
        <v>6370</v>
      </c>
    </row>
    <row r="379" spans="1:3" ht="12.9" customHeight="1">
      <c r="A379" s="381"/>
      <c r="B379" s="381"/>
      <c r="C379" s="442" t="s">
        <v>6371</v>
      </c>
    </row>
    <row r="380" spans="1:3" ht="12.9" customHeight="1">
      <c r="A380" s="381"/>
      <c r="B380" s="381"/>
      <c r="C380" s="442" t="s">
        <v>6372</v>
      </c>
    </row>
    <row r="381" spans="1:3" ht="12.9" customHeight="1">
      <c r="A381" s="381"/>
      <c r="B381" s="381"/>
      <c r="C381" s="442" t="s">
        <v>6373</v>
      </c>
    </row>
    <row r="382" spans="1:3" ht="12.9" customHeight="1">
      <c r="A382" s="381"/>
      <c r="B382" s="381"/>
      <c r="C382" s="442" t="s">
        <v>6374</v>
      </c>
    </row>
    <row r="383" spans="1:3" ht="12.9" customHeight="1">
      <c r="A383" s="381"/>
      <c r="B383" s="381"/>
      <c r="C383" s="442" t="s">
        <v>6375</v>
      </c>
    </row>
    <row r="384" spans="1:3" ht="12.9" customHeight="1">
      <c r="A384" s="381"/>
      <c r="B384" s="381"/>
      <c r="C384" s="442" t="s">
        <v>6376</v>
      </c>
    </row>
    <row r="385" spans="1:3" ht="12.9" customHeight="1">
      <c r="A385" s="381"/>
      <c r="B385" s="381"/>
      <c r="C385" s="381" t="s">
        <v>6377</v>
      </c>
    </row>
    <row r="386" spans="1:3" ht="12.9" customHeight="1">
      <c r="A386" s="381"/>
      <c r="B386" s="381"/>
      <c r="C386" s="381" t="s">
        <v>6378</v>
      </c>
    </row>
    <row r="387" spans="1:3" ht="12.9" customHeight="1">
      <c r="A387" s="381"/>
      <c r="B387" s="381" t="s">
        <v>4911</v>
      </c>
      <c r="C387" s="381" t="s">
        <v>6379</v>
      </c>
    </row>
    <row r="388" spans="1:3" ht="12.9" customHeight="1">
      <c r="A388" s="381"/>
      <c r="B388" s="381"/>
      <c r="C388" s="442" t="s">
        <v>6380</v>
      </c>
    </row>
    <row r="389" spans="1:3" ht="12.9" customHeight="1">
      <c r="A389" s="381"/>
      <c r="B389" s="381"/>
      <c r="C389" s="442" t="s">
        <v>6381</v>
      </c>
    </row>
    <row r="390" spans="1:3" ht="12.9" customHeight="1">
      <c r="A390" s="381"/>
      <c r="B390" s="381"/>
      <c r="C390" s="381" t="s">
        <v>6382</v>
      </c>
    </row>
    <row r="391" spans="1:3" ht="12.9" customHeight="1">
      <c r="A391" s="381"/>
      <c r="B391" s="381"/>
      <c r="C391" s="381" t="s">
        <v>6383</v>
      </c>
    </row>
    <row r="392" spans="1:3" ht="12.9" customHeight="1">
      <c r="A392" s="381" t="s">
        <v>4511</v>
      </c>
      <c r="B392" s="381"/>
      <c r="C392" s="381" t="s">
        <v>6384</v>
      </c>
    </row>
    <row r="393" spans="1:3" ht="12.9" customHeight="1">
      <c r="A393" s="381"/>
      <c r="B393" s="381"/>
      <c r="C393" s="381" t="s">
        <v>6385</v>
      </c>
    </row>
    <row r="394" spans="1:3" ht="12.9" customHeight="1">
      <c r="A394" s="381" t="s">
        <v>212</v>
      </c>
      <c r="B394" s="381"/>
      <c r="C394" s="381" t="s">
        <v>6386</v>
      </c>
    </row>
    <row r="395" spans="1:3" ht="12.9" customHeight="1">
      <c r="A395" s="381"/>
      <c r="B395" s="381"/>
      <c r="C395" s="381" t="s">
        <v>6387</v>
      </c>
    </row>
    <row r="396" spans="1:3" ht="12.9" customHeight="1">
      <c r="A396" s="381" t="s">
        <v>988</v>
      </c>
      <c r="B396" s="381"/>
      <c r="C396" s="381" t="s">
        <v>6388</v>
      </c>
    </row>
    <row r="397" spans="1:3" ht="12.9" customHeight="1">
      <c r="A397" s="381" t="s">
        <v>726</v>
      </c>
      <c r="B397" s="381"/>
      <c r="C397" s="381" t="s">
        <v>6389</v>
      </c>
    </row>
    <row r="398" spans="1:3" ht="12.9" customHeight="1">
      <c r="A398" s="381"/>
      <c r="B398" s="381"/>
      <c r="C398" s="381" t="s">
        <v>6390</v>
      </c>
    </row>
    <row r="399" spans="1:3" ht="12.9" customHeight="1">
      <c r="A399" s="381"/>
      <c r="B399" s="381" t="s">
        <v>3575</v>
      </c>
      <c r="C399" s="381" t="s">
        <v>6391</v>
      </c>
    </row>
    <row r="400" spans="1:3" ht="12.9" customHeight="1">
      <c r="A400" s="381"/>
      <c r="B400" s="381" t="s">
        <v>2166</v>
      </c>
      <c r="C400" s="381" t="s">
        <v>6392</v>
      </c>
    </row>
    <row r="401" spans="1:3" ht="12.9" customHeight="1">
      <c r="A401" s="381"/>
      <c r="B401" s="381" t="s">
        <v>3576</v>
      </c>
      <c r="C401" s="381" t="s">
        <v>6393</v>
      </c>
    </row>
    <row r="402" spans="1:3" ht="12.9" customHeight="1">
      <c r="A402" s="381"/>
      <c r="B402" s="381" t="s">
        <v>3577</v>
      </c>
      <c r="C402" s="381" t="s">
        <v>6394</v>
      </c>
    </row>
    <row r="403" spans="1:3" ht="12.9" customHeight="1">
      <c r="A403" s="381"/>
      <c r="B403" s="381" t="s">
        <v>3578</v>
      </c>
      <c r="C403" s="381" t="s">
        <v>6395</v>
      </c>
    </row>
    <row r="404" spans="1:3" ht="12.9" customHeight="1">
      <c r="A404" s="381"/>
      <c r="B404" s="381" t="s">
        <v>3579</v>
      </c>
      <c r="C404" s="381" t="s">
        <v>6396</v>
      </c>
    </row>
    <row r="405" spans="1:3" ht="12.9" customHeight="1">
      <c r="A405" s="381"/>
      <c r="B405" s="381" t="s">
        <v>2167</v>
      </c>
      <c r="C405" s="381" t="s">
        <v>6397</v>
      </c>
    </row>
    <row r="406" spans="1:3" ht="12.9" customHeight="1">
      <c r="A406" s="381"/>
      <c r="B406" s="381" t="s">
        <v>2736</v>
      </c>
      <c r="C406" s="381" t="s">
        <v>6398</v>
      </c>
    </row>
    <row r="407" spans="1:3" ht="12.9" customHeight="1">
      <c r="A407" s="381" t="s">
        <v>2506</v>
      </c>
      <c r="B407" s="381"/>
      <c r="C407" s="381" t="s">
        <v>6399</v>
      </c>
    </row>
    <row r="408" spans="1:3" ht="12.9" customHeight="1">
      <c r="A408" s="381"/>
      <c r="B408" s="381" t="s">
        <v>1028</v>
      </c>
      <c r="C408" s="381" t="s">
        <v>6400</v>
      </c>
    </row>
    <row r="409" spans="1:3" ht="12.9" customHeight="1">
      <c r="A409" s="381"/>
      <c r="B409" s="381"/>
      <c r="C409" s="381" t="s">
        <v>6401</v>
      </c>
    </row>
    <row r="410" spans="1:3" ht="12.9" customHeight="1">
      <c r="A410" s="381"/>
      <c r="B410" s="381"/>
      <c r="C410" s="381" t="s">
        <v>6402</v>
      </c>
    </row>
    <row r="411" spans="1:3" ht="12.9" customHeight="1">
      <c r="A411" s="381" t="s">
        <v>4256</v>
      </c>
      <c r="B411" s="381"/>
      <c r="C411" s="381" t="s">
        <v>6403</v>
      </c>
    </row>
    <row r="412" spans="1:3" ht="12.9" customHeight="1">
      <c r="A412" s="381"/>
      <c r="B412" s="381"/>
      <c r="C412" s="442" t="s">
        <v>6404</v>
      </c>
    </row>
    <row r="413" spans="1:3" ht="12.9" customHeight="1">
      <c r="A413" s="381"/>
      <c r="B413" s="381" t="s">
        <v>2823</v>
      </c>
      <c r="C413" s="442" t="s">
        <v>6405</v>
      </c>
    </row>
    <row r="414" spans="1:3" ht="12.9" customHeight="1">
      <c r="A414" s="381"/>
      <c r="B414" s="381"/>
      <c r="C414" s="442"/>
    </row>
    <row r="415" spans="1:3" ht="12.9" customHeight="1">
      <c r="A415" s="381"/>
      <c r="B415" s="381"/>
      <c r="C415" s="442" t="s">
        <v>6406</v>
      </c>
    </row>
    <row r="416" spans="1:3" ht="12.9" customHeight="1">
      <c r="A416" s="381"/>
      <c r="B416" s="381"/>
      <c r="C416" s="381" t="s">
        <v>6407</v>
      </c>
    </row>
    <row r="417" spans="1:3" ht="12.9" customHeight="1">
      <c r="A417" s="381" t="s">
        <v>2619</v>
      </c>
      <c r="B417" s="381" t="s">
        <v>3881</v>
      </c>
      <c r="C417" s="381" t="s">
        <v>6408</v>
      </c>
    </row>
    <row r="418" spans="1:3" ht="12.9" customHeight="1">
      <c r="A418" s="381"/>
      <c r="B418" s="381" t="s">
        <v>2768</v>
      </c>
      <c r="C418" s="381" t="s">
        <v>6409</v>
      </c>
    </row>
    <row r="419" spans="1:3" ht="12.9" customHeight="1">
      <c r="A419" s="381"/>
      <c r="B419" s="381" t="s">
        <v>399</v>
      </c>
      <c r="C419" s="381" t="s">
        <v>6410</v>
      </c>
    </row>
    <row r="420" spans="1:3" ht="12.9" customHeight="1">
      <c r="A420" s="381"/>
      <c r="B420" s="381" t="s">
        <v>400</v>
      </c>
      <c r="C420" s="381" t="s">
        <v>6411</v>
      </c>
    </row>
    <row r="421" spans="1:3" ht="12.9" customHeight="1">
      <c r="A421" s="381"/>
      <c r="B421" s="381" t="s">
        <v>401</v>
      </c>
      <c r="C421" s="381" t="s">
        <v>6412</v>
      </c>
    </row>
    <row r="422" spans="1:3" ht="12.9" customHeight="1">
      <c r="A422" s="381"/>
      <c r="B422" s="381"/>
      <c r="C422" s="381" t="s">
        <v>6413</v>
      </c>
    </row>
    <row r="423" spans="1:3" ht="12.9" customHeight="1">
      <c r="A423" s="381"/>
      <c r="B423" s="381"/>
      <c r="C423" s="381" t="s">
        <v>6414</v>
      </c>
    </row>
    <row r="424" spans="1:3" ht="12.9" customHeight="1">
      <c r="A424" s="381"/>
      <c r="B424" s="381" t="s">
        <v>2914</v>
      </c>
      <c r="C424" s="381" t="s">
        <v>6415</v>
      </c>
    </row>
    <row r="425" spans="1:3" ht="12.9" customHeight="1">
      <c r="A425" s="381"/>
      <c r="B425" s="381" t="s">
        <v>1357</v>
      </c>
      <c r="C425" s="381" t="s">
        <v>6416</v>
      </c>
    </row>
    <row r="426" spans="1:3" ht="12.9" customHeight="1">
      <c r="A426" s="381"/>
      <c r="B426" s="381"/>
      <c r="C426" s="381" t="s">
        <v>6417</v>
      </c>
    </row>
    <row r="427" spans="1:3" ht="12.9" customHeight="1">
      <c r="A427" s="381" t="s">
        <v>5132</v>
      </c>
      <c r="B427" s="381"/>
      <c r="C427" s="381" t="s">
        <v>6418</v>
      </c>
    </row>
    <row r="428" spans="1:3" ht="12.9" customHeight="1">
      <c r="A428" s="381"/>
      <c r="B428" s="381"/>
      <c r="C428" s="381" t="s">
        <v>6419</v>
      </c>
    </row>
    <row r="429" spans="1:3" ht="12.9" customHeight="1">
      <c r="A429" s="381"/>
      <c r="B429" s="381"/>
      <c r="C429" s="381" t="s">
        <v>6420</v>
      </c>
    </row>
    <row r="430" spans="1:3" ht="12.9" customHeight="1">
      <c r="A430" s="381"/>
      <c r="B430" s="381" t="s">
        <v>1358</v>
      </c>
      <c r="C430" s="381" t="s">
        <v>6421</v>
      </c>
    </row>
    <row r="431" spans="1:3" ht="12.9" customHeight="1">
      <c r="A431" s="381"/>
      <c r="B431" s="381" t="s">
        <v>2333</v>
      </c>
      <c r="C431" s="381" t="s">
        <v>6422</v>
      </c>
    </row>
    <row r="432" spans="1:3" ht="12.9" customHeight="1">
      <c r="A432" s="381"/>
      <c r="B432" s="381"/>
      <c r="C432" s="381" t="s">
        <v>6423</v>
      </c>
    </row>
    <row r="433" spans="1:3" ht="12.9" customHeight="1">
      <c r="A433" s="381"/>
      <c r="B433" s="381"/>
      <c r="C433" s="381" t="s">
        <v>6424</v>
      </c>
    </row>
    <row r="434" spans="1:3" ht="12.9" customHeight="1">
      <c r="A434" s="381" t="s">
        <v>1750</v>
      </c>
      <c r="B434" s="381"/>
      <c r="C434" s="381" t="s">
        <v>6425</v>
      </c>
    </row>
    <row r="435" spans="1:3" ht="12.9" customHeight="1">
      <c r="A435" s="381"/>
      <c r="B435" s="381"/>
      <c r="C435" s="381" t="s">
        <v>6426</v>
      </c>
    </row>
    <row r="436" spans="1:3" ht="12.9" customHeight="1">
      <c r="A436" s="381"/>
      <c r="B436" s="381"/>
      <c r="C436" s="381" t="s">
        <v>6427</v>
      </c>
    </row>
    <row r="437" spans="1:3" ht="12.9" customHeight="1">
      <c r="A437" s="381"/>
      <c r="B437" s="381"/>
      <c r="C437" s="381" t="s">
        <v>6428</v>
      </c>
    </row>
    <row r="438" spans="1:3" ht="12.9" customHeight="1">
      <c r="A438" s="381"/>
      <c r="B438" s="381"/>
      <c r="C438" s="381" t="s">
        <v>6429</v>
      </c>
    </row>
    <row r="439" spans="1:3" ht="12.9" customHeight="1">
      <c r="A439" s="381"/>
      <c r="B439" s="381"/>
      <c r="C439" s="381" t="s">
        <v>6430</v>
      </c>
    </row>
    <row r="440" spans="1:3" ht="12.9" customHeight="1">
      <c r="A440" s="381"/>
      <c r="B440" s="381"/>
      <c r="C440" s="381" t="s">
        <v>6431</v>
      </c>
    </row>
    <row r="441" spans="1:3" ht="12.9" customHeight="1">
      <c r="A441" s="381"/>
      <c r="B441" s="381"/>
      <c r="C441" s="381" t="s">
        <v>6432</v>
      </c>
    </row>
    <row r="442" spans="1:3" ht="12.9" customHeight="1">
      <c r="A442" s="381"/>
      <c r="B442" s="381"/>
      <c r="C442" s="381" t="s">
        <v>6433</v>
      </c>
    </row>
    <row r="443" spans="1:3" ht="12.9" customHeight="1">
      <c r="A443" s="381"/>
      <c r="B443" s="381" t="s">
        <v>337</v>
      </c>
      <c r="C443" s="381" t="s">
        <v>6434</v>
      </c>
    </row>
    <row r="444" spans="1:3" ht="12.9" customHeight="1">
      <c r="A444" s="381"/>
      <c r="B444" s="381"/>
      <c r="C444" s="381" t="s">
        <v>6435</v>
      </c>
    </row>
    <row r="445" spans="1:3" ht="12.9" customHeight="1">
      <c r="A445" s="381"/>
      <c r="B445" s="381"/>
      <c r="C445" s="381" t="s">
        <v>6436</v>
      </c>
    </row>
    <row r="446" spans="1:3" ht="12.9" customHeight="1">
      <c r="A446" s="381"/>
      <c r="B446" s="381"/>
      <c r="C446" s="381" t="s">
        <v>6437</v>
      </c>
    </row>
    <row r="447" spans="1:3" ht="12.9" customHeight="1">
      <c r="A447" s="381"/>
      <c r="B447" s="381"/>
      <c r="C447" s="381" t="s">
        <v>6438</v>
      </c>
    </row>
    <row r="448" spans="1:3" ht="12.9" customHeight="1">
      <c r="A448" s="381"/>
      <c r="B448" s="381"/>
      <c r="C448" s="381" t="s">
        <v>6439</v>
      </c>
    </row>
    <row r="449" spans="1:3" ht="12.9" customHeight="1">
      <c r="A449" s="381"/>
      <c r="B449" s="381"/>
      <c r="C449" s="381" t="s">
        <v>6440</v>
      </c>
    </row>
    <row r="450" spans="1:3" ht="12.9" customHeight="1">
      <c r="A450" s="381"/>
      <c r="B450" s="381"/>
      <c r="C450" s="381" t="s">
        <v>6441</v>
      </c>
    </row>
    <row r="451" spans="1:3" ht="12.9" customHeight="1">
      <c r="A451" s="381"/>
      <c r="B451" s="381" t="s">
        <v>5943</v>
      </c>
      <c r="C451" s="381" t="s">
        <v>6442</v>
      </c>
    </row>
    <row r="452" spans="1:3" ht="12.9" customHeight="1">
      <c r="A452" s="381"/>
      <c r="B452" s="381"/>
      <c r="C452" s="381" t="s">
        <v>6443</v>
      </c>
    </row>
    <row r="453" spans="1:3" ht="12.9" customHeight="1">
      <c r="A453" s="381"/>
      <c r="B453" s="381"/>
      <c r="C453" s="381" t="s">
        <v>6444</v>
      </c>
    </row>
    <row r="454" spans="1:3" ht="12.9" customHeight="1">
      <c r="A454" s="381"/>
      <c r="B454" s="381"/>
      <c r="C454" s="381" t="s">
        <v>6445</v>
      </c>
    </row>
    <row r="455" spans="1:3" ht="12.9" customHeight="1">
      <c r="A455" s="381"/>
      <c r="B455" s="381"/>
      <c r="C455" s="381" t="s">
        <v>6446</v>
      </c>
    </row>
    <row r="456" spans="1:3" ht="12.9" customHeight="1">
      <c r="A456" s="381"/>
      <c r="B456" s="381" t="s">
        <v>338</v>
      </c>
      <c r="C456" s="381" t="s">
        <v>6447</v>
      </c>
    </row>
    <row r="457" spans="1:3" ht="12.9" customHeight="1">
      <c r="A457" s="381"/>
      <c r="B457" s="381"/>
      <c r="C457" s="381" t="s">
        <v>6448</v>
      </c>
    </row>
    <row r="458" spans="1:3" ht="12.9" customHeight="1">
      <c r="A458" s="381" t="s">
        <v>951</v>
      </c>
      <c r="B458" s="381" t="s">
        <v>3531</v>
      </c>
      <c r="C458" s="381" t="s">
        <v>6449</v>
      </c>
    </row>
    <row r="459" spans="1:3" ht="12.9" customHeight="1">
      <c r="A459" s="381"/>
      <c r="B459" s="381"/>
      <c r="C459" s="381" t="s">
        <v>6450</v>
      </c>
    </row>
    <row r="460" spans="1:3" ht="12.9" customHeight="1">
      <c r="A460" s="381"/>
      <c r="B460" s="381" t="s">
        <v>3601</v>
      </c>
      <c r="C460" s="381" t="s">
        <v>6451</v>
      </c>
    </row>
    <row r="461" spans="1:3" ht="12.9" customHeight="1">
      <c r="A461" s="381" t="s">
        <v>2995</v>
      </c>
      <c r="B461" s="381" t="s">
        <v>3117</v>
      </c>
      <c r="C461" s="381" t="s">
        <v>6452</v>
      </c>
    </row>
    <row r="462" spans="1:3" ht="12.9" customHeight="1">
      <c r="A462" s="381"/>
      <c r="B462" s="381"/>
      <c r="C462" s="381" t="s">
        <v>6453</v>
      </c>
    </row>
    <row r="463" spans="1:3" ht="12.9" customHeight="1">
      <c r="A463" s="381" t="s">
        <v>989</v>
      </c>
      <c r="B463" s="381"/>
      <c r="C463" s="442" t="s">
        <v>6454</v>
      </c>
    </row>
    <row r="464" spans="1:3" ht="12.9" customHeight="1">
      <c r="A464" s="381"/>
      <c r="B464" s="381"/>
      <c r="C464" s="442" t="s">
        <v>6455</v>
      </c>
    </row>
    <row r="465" spans="1:3" ht="12.9" customHeight="1">
      <c r="A465" s="381"/>
      <c r="B465" s="381"/>
      <c r="C465" s="381" t="s">
        <v>6456</v>
      </c>
    </row>
    <row r="466" spans="1:3" ht="12.9" customHeight="1">
      <c r="A466" s="381"/>
      <c r="B466" s="381"/>
      <c r="C466" s="381" t="s">
        <v>6457</v>
      </c>
    </row>
    <row r="467" spans="1:3" ht="12.9" customHeight="1">
      <c r="A467" s="381"/>
      <c r="B467" s="381"/>
      <c r="C467" s="381" t="s">
        <v>6458</v>
      </c>
    </row>
    <row r="468" spans="1:3" ht="12.9" customHeight="1">
      <c r="A468" s="381"/>
      <c r="B468" s="381"/>
      <c r="C468" s="381" t="s">
        <v>6459</v>
      </c>
    </row>
    <row r="469" spans="1:3" ht="12.9" customHeight="1">
      <c r="A469" s="381"/>
      <c r="B469" s="381"/>
      <c r="C469" s="381" t="s">
        <v>6460</v>
      </c>
    </row>
    <row r="470" spans="1:3" ht="12.9" customHeight="1">
      <c r="A470" s="381"/>
      <c r="B470" s="381"/>
      <c r="C470" s="381" t="s">
        <v>6461</v>
      </c>
    </row>
    <row r="471" spans="1:3" ht="12.9" customHeight="1">
      <c r="A471" s="381"/>
      <c r="B471" s="381"/>
      <c r="C471" s="442" t="s">
        <v>6462</v>
      </c>
    </row>
    <row r="472" spans="1:3" ht="12.9" customHeight="1">
      <c r="A472" s="381"/>
      <c r="B472" s="381"/>
      <c r="C472" s="442" t="s">
        <v>6463</v>
      </c>
    </row>
    <row r="473" spans="1:3" ht="12.9" customHeight="1">
      <c r="A473" s="381"/>
      <c r="B473" s="381"/>
      <c r="C473" s="442" t="s">
        <v>6464</v>
      </c>
    </row>
    <row r="474" spans="1:3" ht="12.9" customHeight="1">
      <c r="A474" s="381"/>
      <c r="B474" s="381"/>
      <c r="C474" s="442" t="s">
        <v>6465</v>
      </c>
    </row>
    <row r="475" spans="1:3" ht="12.9" customHeight="1">
      <c r="A475" s="381"/>
      <c r="B475" s="381"/>
      <c r="C475" s="442" t="s">
        <v>6466</v>
      </c>
    </row>
    <row r="476" spans="1:3" ht="12.9" customHeight="1">
      <c r="A476" s="381"/>
      <c r="B476" s="381" t="s">
        <v>2612</v>
      </c>
      <c r="C476" s="381" t="s">
        <v>6467</v>
      </c>
    </row>
    <row r="477" spans="1:3" ht="12.9" customHeight="1">
      <c r="A477" s="381"/>
      <c r="B477" s="381"/>
      <c r="C477" s="381" t="s">
        <v>6468</v>
      </c>
    </row>
    <row r="478" spans="1:3" ht="12.9" customHeight="1">
      <c r="A478" s="381"/>
      <c r="B478" s="381"/>
      <c r="C478" s="381" t="s">
        <v>6469</v>
      </c>
    </row>
    <row r="479" spans="1:3" ht="12.9" customHeight="1">
      <c r="A479" s="381" t="s">
        <v>212</v>
      </c>
      <c r="B479" s="381"/>
      <c r="C479" s="381" t="s">
        <v>6470</v>
      </c>
    </row>
    <row r="480" spans="1:3" ht="12.9" customHeight="1">
      <c r="A480" s="381"/>
      <c r="B480" s="381"/>
      <c r="C480" s="381" t="s">
        <v>6471</v>
      </c>
    </row>
    <row r="481" spans="1:3" ht="12.9" customHeight="1">
      <c r="A481" s="381"/>
      <c r="B481" s="381"/>
      <c r="C481" s="381" t="s">
        <v>6472</v>
      </c>
    </row>
    <row r="482" spans="1:3" ht="12.9" customHeight="1">
      <c r="A482" s="381"/>
      <c r="B482" s="381"/>
      <c r="C482" s="381" t="s">
        <v>6473</v>
      </c>
    </row>
    <row r="483" spans="1:3" ht="12.9" customHeight="1">
      <c r="A483" s="381"/>
      <c r="B483" s="381"/>
      <c r="C483" s="381" t="s">
        <v>6474</v>
      </c>
    </row>
    <row r="484" spans="1:3" ht="12.9" customHeight="1">
      <c r="A484" s="381"/>
      <c r="B484" s="381"/>
      <c r="C484" s="381" t="s">
        <v>6475</v>
      </c>
    </row>
    <row r="485" spans="1:3" ht="12.9" customHeight="1">
      <c r="A485" s="381"/>
      <c r="B485" s="381"/>
      <c r="C485" s="381" t="s">
        <v>6476</v>
      </c>
    </row>
    <row r="486" spans="1:3" ht="12.9" customHeight="1">
      <c r="A486" s="381"/>
      <c r="B486" s="381"/>
      <c r="C486" s="381" t="s">
        <v>6477</v>
      </c>
    </row>
    <row r="487" spans="1:3" ht="12.9" customHeight="1">
      <c r="A487" s="381"/>
      <c r="B487" s="381"/>
      <c r="C487" s="381" t="s">
        <v>6478</v>
      </c>
    </row>
    <row r="488" spans="1:3" ht="12.9" customHeight="1">
      <c r="A488" s="381"/>
      <c r="B488" s="381"/>
      <c r="C488" s="381" t="s">
        <v>6479</v>
      </c>
    </row>
    <row r="489" spans="1:3" ht="12.9" customHeight="1">
      <c r="A489" s="381"/>
      <c r="B489" s="381"/>
      <c r="C489" s="381" t="s">
        <v>6480</v>
      </c>
    </row>
    <row r="490" spans="1:3" ht="12.9" customHeight="1">
      <c r="A490" s="381"/>
      <c r="B490" s="381"/>
      <c r="C490" s="381" t="s">
        <v>6481</v>
      </c>
    </row>
    <row r="491" spans="1:3" ht="12.9" customHeight="1">
      <c r="A491" s="381"/>
      <c r="B491" s="381" t="s">
        <v>2737</v>
      </c>
      <c r="C491" s="381" t="s">
        <v>6482</v>
      </c>
    </row>
    <row r="492" spans="1:3" ht="12.9" customHeight="1">
      <c r="A492" s="381" t="s">
        <v>5640</v>
      </c>
      <c r="B492" s="381"/>
      <c r="C492" s="381" t="s">
        <v>6483</v>
      </c>
    </row>
    <row r="493" spans="1:3" ht="12.9" customHeight="1">
      <c r="A493" s="381"/>
      <c r="B493" s="381"/>
      <c r="C493" s="381" t="s">
        <v>6484</v>
      </c>
    </row>
    <row r="494" spans="1:3" ht="12.9" customHeight="1">
      <c r="A494" s="381"/>
      <c r="B494" s="381"/>
      <c r="C494" s="381" t="s">
        <v>6485</v>
      </c>
    </row>
    <row r="495" spans="1:3" ht="12.9" customHeight="1">
      <c r="A495" s="381"/>
      <c r="B495" s="381"/>
      <c r="C495" s="381" t="s">
        <v>6486</v>
      </c>
    </row>
    <row r="496" spans="1:3" ht="12.9" customHeight="1">
      <c r="A496" s="381"/>
      <c r="B496" s="381" t="s">
        <v>2738</v>
      </c>
      <c r="C496" s="381" t="s">
        <v>6487</v>
      </c>
    </row>
    <row r="497" spans="1:3" ht="12.9" customHeight="1">
      <c r="A497" s="381"/>
      <c r="B497" s="381"/>
      <c r="C497" s="381" t="s">
        <v>6488</v>
      </c>
    </row>
    <row r="498" spans="1:3" ht="12.9" customHeight="1">
      <c r="A498" s="381"/>
      <c r="B498" s="381"/>
      <c r="C498" s="381" t="s">
        <v>6489</v>
      </c>
    </row>
    <row r="499" spans="1:3" ht="12.9" customHeight="1">
      <c r="A499" s="381"/>
      <c r="B499" s="381" t="s">
        <v>3377</v>
      </c>
      <c r="C499" s="381" t="s">
        <v>6490</v>
      </c>
    </row>
    <row r="500" spans="1:3" ht="12.9" customHeight="1">
      <c r="A500" s="381" t="s">
        <v>4424</v>
      </c>
      <c r="B500" s="381"/>
      <c r="C500" s="381" t="s">
        <v>6491</v>
      </c>
    </row>
    <row r="501" spans="1:3" ht="12.9" customHeight="1">
      <c r="A501" s="381"/>
      <c r="B501" s="381" t="s">
        <v>4912</v>
      </c>
      <c r="C501" s="381" t="s">
        <v>6222</v>
      </c>
    </row>
    <row r="502" spans="1:3" ht="12.9" customHeight="1">
      <c r="A502" s="381"/>
      <c r="B502" s="381"/>
      <c r="C502" s="381" t="s">
        <v>6492</v>
      </c>
    </row>
    <row r="503" spans="1:3" ht="12.9" customHeight="1">
      <c r="A503" s="381"/>
      <c r="B503" s="381"/>
      <c r="C503" s="381" t="s">
        <v>6493</v>
      </c>
    </row>
    <row r="504" spans="1:3" ht="12.9" customHeight="1">
      <c r="A504" s="381"/>
      <c r="B504" s="381"/>
      <c r="C504" s="381" t="s">
        <v>6494</v>
      </c>
    </row>
    <row r="505" spans="1:3" ht="12.9" customHeight="1">
      <c r="A505" s="381"/>
      <c r="B505" s="381"/>
      <c r="C505" s="381" t="s">
        <v>6495</v>
      </c>
    </row>
    <row r="506" spans="1:3" ht="12.9" customHeight="1">
      <c r="A506" s="381"/>
      <c r="B506" s="381"/>
      <c r="C506" s="381" t="s">
        <v>6496</v>
      </c>
    </row>
    <row r="507" spans="1:3" ht="12.9" customHeight="1">
      <c r="A507" s="381"/>
      <c r="B507" s="381"/>
      <c r="C507" s="381" t="s">
        <v>6497</v>
      </c>
    </row>
    <row r="508" spans="1:3" ht="12.9" customHeight="1">
      <c r="A508" s="381" t="s">
        <v>1381</v>
      </c>
      <c r="B508" s="381"/>
      <c r="C508" s="381" t="s">
        <v>6498</v>
      </c>
    </row>
    <row r="509" spans="1:3" ht="12.9" customHeight="1">
      <c r="A509" s="381"/>
      <c r="B509" s="381"/>
      <c r="C509" s="381" t="s">
        <v>6499</v>
      </c>
    </row>
    <row r="510" spans="1:3" ht="12.9" customHeight="1">
      <c r="A510" s="381"/>
      <c r="B510" s="381"/>
      <c r="C510" s="381" t="s">
        <v>6500</v>
      </c>
    </row>
    <row r="511" spans="1:3" ht="12.9" customHeight="1">
      <c r="A511" s="381"/>
      <c r="B511" s="381"/>
      <c r="C511" s="381" t="s">
        <v>6501</v>
      </c>
    </row>
    <row r="512" spans="1:3" ht="12.9" customHeight="1">
      <c r="A512" s="381"/>
      <c r="B512" s="381"/>
      <c r="C512" s="381" t="s">
        <v>6502</v>
      </c>
    </row>
    <row r="513" spans="1:3" ht="12.9" customHeight="1">
      <c r="A513" s="381"/>
      <c r="B513" s="381"/>
      <c r="C513" s="381" t="s">
        <v>6503</v>
      </c>
    </row>
    <row r="514" spans="1:3" ht="12.9" customHeight="1">
      <c r="A514" s="381"/>
      <c r="B514" s="381"/>
      <c r="C514" s="381" t="s">
        <v>6504</v>
      </c>
    </row>
    <row r="515" spans="1:3" ht="12.9" customHeight="1">
      <c r="A515" s="381"/>
      <c r="B515" s="381"/>
      <c r="C515" s="381" t="s">
        <v>6505</v>
      </c>
    </row>
    <row r="516" spans="1:3" ht="12.9" customHeight="1">
      <c r="A516" s="381"/>
      <c r="B516" s="381"/>
      <c r="C516" s="381" t="s">
        <v>6506</v>
      </c>
    </row>
    <row r="517" spans="1:3" ht="12.9" customHeight="1">
      <c r="A517" s="381"/>
      <c r="B517" s="381"/>
      <c r="C517" s="381" t="s">
        <v>6507</v>
      </c>
    </row>
    <row r="518" spans="1:3" ht="12.9" customHeight="1">
      <c r="A518" s="381"/>
      <c r="B518" s="381"/>
      <c r="C518" s="381" t="s">
        <v>6508</v>
      </c>
    </row>
    <row r="519" spans="1:3" ht="12.9" customHeight="1">
      <c r="A519" s="381" t="s">
        <v>5745</v>
      </c>
      <c r="B519" s="381"/>
      <c r="C519" s="381" t="s">
        <v>6509</v>
      </c>
    </row>
    <row r="520" spans="1:3" ht="12.9" customHeight="1">
      <c r="A520" s="381"/>
      <c r="B520" s="381"/>
      <c r="C520" s="381" t="s">
        <v>6510</v>
      </c>
    </row>
    <row r="521" spans="1:3" ht="12.9" customHeight="1">
      <c r="A521" s="381"/>
      <c r="B521" s="381"/>
      <c r="C521" s="381" t="s">
        <v>6511</v>
      </c>
    </row>
    <row r="522" spans="1:3" ht="12.9" customHeight="1">
      <c r="A522" s="381"/>
      <c r="B522" s="381"/>
      <c r="C522" s="381" t="s">
        <v>6512</v>
      </c>
    </row>
    <row r="523" spans="1:3" ht="12.9" customHeight="1">
      <c r="A523" s="381"/>
      <c r="B523" s="381"/>
      <c r="C523" s="381" t="s">
        <v>6513</v>
      </c>
    </row>
    <row r="524" spans="1:3" ht="12.9" customHeight="1">
      <c r="A524" s="381"/>
      <c r="B524" s="381"/>
      <c r="C524" s="381" t="s">
        <v>6258</v>
      </c>
    </row>
    <row r="525" spans="1:3" ht="12.9" customHeight="1">
      <c r="A525" s="381"/>
      <c r="B525" s="381"/>
      <c r="C525" s="381" t="s">
        <v>6259</v>
      </c>
    </row>
    <row r="526" spans="1:3" ht="12.9" customHeight="1">
      <c r="A526" s="381" t="s">
        <v>225</v>
      </c>
      <c r="B526" s="381"/>
      <c r="C526" s="381" t="s">
        <v>6260</v>
      </c>
    </row>
    <row r="527" spans="1:3" ht="12.9" customHeight="1">
      <c r="A527" s="381"/>
      <c r="B527" s="381"/>
      <c r="C527" s="381" t="s">
        <v>6261</v>
      </c>
    </row>
    <row r="528" spans="1:3" ht="12.9" customHeight="1">
      <c r="A528" s="381"/>
      <c r="B528" s="381"/>
      <c r="C528" s="381" t="s">
        <v>6262</v>
      </c>
    </row>
    <row r="529" spans="1:3" ht="12.9" customHeight="1">
      <c r="A529" s="381"/>
      <c r="B529" s="381"/>
      <c r="C529" s="381" t="s">
        <v>6263</v>
      </c>
    </row>
    <row r="530" spans="1:3" ht="12.9" customHeight="1">
      <c r="A530" s="381"/>
      <c r="B530" s="381"/>
      <c r="C530" s="381" t="s">
        <v>6264</v>
      </c>
    </row>
    <row r="531" spans="1:3" ht="12.9" customHeight="1">
      <c r="A531" s="381"/>
      <c r="B531" s="381"/>
      <c r="C531" s="381" t="s">
        <v>6265</v>
      </c>
    </row>
    <row r="532" spans="1:3" ht="12.9" customHeight="1">
      <c r="A532" s="381"/>
      <c r="B532" s="381"/>
      <c r="C532" s="381" t="s">
        <v>6266</v>
      </c>
    </row>
    <row r="533" spans="1:3" ht="12.9" customHeight="1">
      <c r="A533" s="381"/>
      <c r="B533" s="381"/>
      <c r="C533" s="381" t="s">
        <v>6267</v>
      </c>
    </row>
    <row r="534" spans="1:3" ht="12.9" customHeight="1">
      <c r="A534" s="381" t="s">
        <v>49</v>
      </c>
      <c r="B534" s="381"/>
      <c r="C534" s="381" t="s">
        <v>6268</v>
      </c>
    </row>
    <row r="535" spans="1:3" ht="12.9" customHeight="1">
      <c r="A535" s="381"/>
      <c r="B535" s="381"/>
      <c r="C535" s="381" t="s">
        <v>6269</v>
      </c>
    </row>
    <row r="536" spans="1:3" ht="12.9" customHeight="1">
      <c r="A536" s="381"/>
      <c r="B536" s="381"/>
      <c r="C536" s="381" t="s">
        <v>6514</v>
      </c>
    </row>
    <row r="537" spans="1:3" ht="12.9" customHeight="1">
      <c r="A537" s="381"/>
      <c r="B537" s="381"/>
      <c r="C537" s="381" t="s">
        <v>6515</v>
      </c>
    </row>
    <row r="538" spans="1:3" ht="12.9" customHeight="1">
      <c r="A538" s="381"/>
      <c r="B538" s="381"/>
      <c r="C538" s="381" t="s">
        <v>6516</v>
      </c>
    </row>
    <row r="539" spans="1:3" ht="12.9" customHeight="1">
      <c r="A539" s="381" t="s">
        <v>571</v>
      </c>
      <c r="B539" s="381"/>
      <c r="C539" s="381" t="s">
        <v>6517</v>
      </c>
    </row>
    <row r="540" spans="1:3" ht="12.9" customHeight="1">
      <c r="A540" s="381"/>
      <c r="B540" s="381"/>
      <c r="C540" s="381" t="s">
        <v>6518</v>
      </c>
    </row>
    <row r="541" spans="1:3" ht="12.9" customHeight="1">
      <c r="A541" s="381"/>
      <c r="B541" s="381"/>
      <c r="C541" s="381" t="s">
        <v>6519</v>
      </c>
    </row>
    <row r="542" spans="1:3" ht="12.9" customHeight="1">
      <c r="A542" s="381" t="s">
        <v>1092</v>
      </c>
      <c r="B542" s="381" t="s">
        <v>3116</v>
      </c>
      <c r="C542" s="381" t="s">
        <v>6397</v>
      </c>
    </row>
    <row r="543" spans="1:3" ht="12.9" customHeight="1">
      <c r="A543" s="381"/>
      <c r="B543" s="381"/>
      <c r="C543" s="381" t="s">
        <v>6536</v>
      </c>
    </row>
    <row r="544" spans="1:3" ht="12.9" customHeight="1">
      <c r="A544" s="381"/>
      <c r="B544" s="381"/>
      <c r="C544" s="381" t="s">
        <v>6537</v>
      </c>
    </row>
    <row r="545" spans="1:3" ht="12.9" customHeight="1">
      <c r="A545" s="381" t="s">
        <v>5638</v>
      </c>
      <c r="B545" s="381"/>
      <c r="C545" s="381" t="s">
        <v>6538</v>
      </c>
    </row>
    <row r="546" spans="1:3" ht="12.9" customHeight="1">
      <c r="A546" s="381"/>
      <c r="B546" s="381"/>
      <c r="C546" s="381" t="s">
        <v>6539</v>
      </c>
    </row>
    <row r="547" spans="1:3" ht="12.9" customHeight="1">
      <c r="A547" s="381"/>
      <c r="B547" s="381"/>
      <c r="C547" s="381" t="s">
        <v>6540</v>
      </c>
    </row>
    <row r="548" spans="1:3" ht="12.9" customHeight="1">
      <c r="A548" s="381"/>
      <c r="B548" s="381"/>
      <c r="C548" s="381" t="s">
        <v>6541</v>
      </c>
    </row>
    <row r="549" spans="1:3" ht="12.9" customHeight="1">
      <c r="A549" s="381"/>
      <c r="B549" s="381"/>
      <c r="C549" s="381" t="s">
        <v>6542</v>
      </c>
    </row>
    <row r="550" spans="1:3" ht="12.9" customHeight="1">
      <c r="A550" s="381"/>
      <c r="B550" s="381"/>
      <c r="C550" s="381" t="s">
        <v>6543</v>
      </c>
    </row>
    <row r="551" spans="1:3" ht="12.9" customHeight="1">
      <c r="A551" s="381"/>
      <c r="B551" s="381"/>
      <c r="C551" s="381" t="s">
        <v>6544</v>
      </c>
    </row>
    <row r="552" spans="1:3" ht="12.9" customHeight="1">
      <c r="A552" s="381"/>
      <c r="B552" s="381"/>
      <c r="C552" s="381" t="s">
        <v>6545</v>
      </c>
    </row>
    <row r="553" spans="1:3" ht="12.9" customHeight="1">
      <c r="A553" s="381"/>
      <c r="B553" s="381"/>
      <c r="C553" s="381" t="s">
        <v>6546</v>
      </c>
    </row>
    <row r="554" spans="1:3" ht="12.9" customHeight="1">
      <c r="A554" s="381"/>
      <c r="B554" s="381"/>
      <c r="C554" s="381" t="s">
        <v>6547</v>
      </c>
    </row>
    <row r="555" spans="1:3" ht="12.9" customHeight="1">
      <c r="A555" s="381"/>
      <c r="B555" s="381"/>
      <c r="C555" s="381" t="s">
        <v>6548</v>
      </c>
    </row>
    <row r="556" spans="1:3" ht="12.9" customHeight="1">
      <c r="A556" s="381"/>
      <c r="B556" s="381"/>
      <c r="C556" s="381" t="s">
        <v>6549</v>
      </c>
    </row>
    <row r="557" spans="1:3" ht="12.9" customHeight="1">
      <c r="A557" s="381"/>
      <c r="B557" s="381"/>
      <c r="C557" s="381" t="s">
        <v>6550</v>
      </c>
    </row>
    <row r="558" spans="1:3" ht="12.9" customHeight="1">
      <c r="A558" s="381"/>
      <c r="B558" s="381"/>
      <c r="C558" s="381" t="s">
        <v>6551</v>
      </c>
    </row>
    <row r="559" spans="1:3" ht="12.9" customHeight="1">
      <c r="A559" s="381"/>
      <c r="B559" s="381"/>
      <c r="C559" s="381" t="s">
        <v>6552</v>
      </c>
    </row>
    <row r="560" spans="1:3" ht="12.9" customHeight="1">
      <c r="A560" s="381"/>
      <c r="B560" s="381"/>
      <c r="C560" s="381" t="s">
        <v>6553</v>
      </c>
    </row>
    <row r="561" spans="1:3" ht="12.9" customHeight="1">
      <c r="A561" s="381"/>
      <c r="B561" s="381"/>
      <c r="C561" s="381" t="s">
        <v>6554</v>
      </c>
    </row>
    <row r="562" spans="1:3" ht="12.9" customHeight="1">
      <c r="A562" s="381"/>
      <c r="B562" s="381"/>
      <c r="C562" s="381" t="s">
        <v>6555</v>
      </c>
    </row>
    <row r="563" spans="1:3" ht="12.9" customHeight="1">
      <c r="A563" s="381"/>
      <c r="B563" s="381"/>
      <c r="C563" s="381" t="s">
        <v>6556</v>
      </c>
    </row>
    <row r="564" spans="1:3" ht="12.9" customHeight="1">
      <c r="A564" s="381" t="s">
        <v>3288</v>
      </c>
      <c r="B564" s="381"/>
      <c r="C564" s="381" t="s">
        <v>3288</v>
      </c>
    </row>
    <row r="565" spans="1:3" ht="12.9" customHeight="1">
      <c r="A565" s="381"/>
      <c r="B565" s="381"/>
      <c r="C565" s="381" t="s">
        <v>6557</v>
      </c>
    </row>
    <row r="566" spans="1:3" ht="12.9" customHeight="1">
      <c r="A566" s="381"/>
      <c r="B566" s="381"/>
      <c r="C566" s="381" t="s">
        <v>6558</v>
      </c>
    </row>
    <row r="567" spans="1:3" ht="12.9" customHeight="1">
      <c r="A567" s="381"/>
      <c r="B567" s="381"/>
      <c r="C567" s="381" t="s">
        <v>6559</v>
      </c>
    </row>
    <row r="568" spans="1:3" ht="12.9" customHeight="1">
      <c r="A568" s="381"/>
      <c r="B568" s="381"/>
      <c r="C568" s="381" t="s">
        <v>6560</v>
      </c>
    </row>
    <row r="569" spans="1:3" ht="12.9" customHeight="1">
      <c r="A569" s="381"/>
      <c r="B569" s="381"/>
      <c r="C569" s="381" t="s">
        <v>6561</v>
      </c>
    </row>
    <row r="570" spans="1:3" ht="12.9" customHeight="1">
      <c r="A570" s="381"/>
      <c r="B570" s="381"/>
      <c r="C570" s="381" t="s">
        <v>6562</v>
      </c>
    </row>
    <row r="571" spans="1:3" ht="12.9" customHeight="1">
      <c r="A571" s="381"/>
      <c r="B571" s="381"/>
      <c r="C571" s="381" t="s">
        <v>6563</v>
      </c>
    </row>
    <row r="572" spans="1:3" ht="12.9" customHeight="1">
      <c r="A572" s="381"/>
      <c r="B572" s="381"/>
      <c r="C572" s="381" t="s">
        <v>6564</v>
      </c>
    </row>
    <row r="573" spans="1:3" ht="12.9" customHeight="1">
      <c r="A573" s="381" t="s">
        <v>5079</v>
      </c>
      <c r="B573" s="381"/>
      <c r="C573" s="381" t="s">
        <v>6565</v>
      </c>
    </row>
    <row r="574" spans="1:3" ht="12.9" customHeight="1">
      <c r="A574" s="381" t="s">
        <v>5769</v>
      </c>
      <c r="B574" s="381" t="s">
        <v>2152</v>
      </c>
      <c r="C574" s="381" t="s">
        <v>6566</v>
      </c>
    </row>
    <row r="575" spans="1:3" ht="12.9" customHeight="1">
      <c r="A575" s="381"/>
      <c r="B575" s="381"/>
      <c r="C575" s="381" t="s">
        <v>6567</v>
      </c>
    </row>
    <row r="576" spans="1:3" ht="12.9" customHeight="1">
      <c r="A576" s="381"/>
      <c r="B576" s="381"/>
      <c r="C576" s="381" t="s">
        <v>6568</v>
      </c>
    </row>
    <row r="577" spans="1:3" ht="12.9" customHeight="1">
      <c r="A577" s="381" t="s">
        <v>3680</v>
      </c>
      <c r="B577" s="381"/>
      <c r="C577" s="381" t="s">
        <v>6569</v>
      </c>
    </row>
    <row r="578" spans="1:3" ht="12.9" customHeight="1">
      <c r="A578" s="381"/>
      <c r="B578" s="381" t="s">
        <v>961</v>
      </c>
      <c r="C578" s="381" t="s">
        <v>6570</v>
      </c>
    </row>
    <row r="579" spans="1:3" ht="12.9" customHeight="1">
      <c r="A579" s="381"/>
      <c r="B579" s="381"/>
      <c r="C579" s="381" t="s">
        <v>6571</v>
      </c>
    </row>
    <row r="580" spans="1:3" ht="12.9" customHeight="1">
      <c r="A580" s="381" t="s">
        <v>98</v>
      </c>
      <c r="B580" s="381" t="s">
        <v>1150</v>
      </c>
      <c r="C580" s="381" t="s">
        <v>6572</v>
      </c>
    </row>
    <row r="581" spans="1:3" ht="12.9" customHeight="1">
      <c r="A581" s="381"/>
      <c r="B581" s="381" t="s">
        <v>468</v>
      </c>
      <c r="C581" s="381" t="s">
        <v>6573</v>
      </c>
    </row>
    <row r="582" spans="1:3" ht="12.9" customHeight="1">
      <c r="A582" s="381"/>
      <c r="B582" s="381" t="s">
        <v>3746</v>
      </c>
      <c r="C582" s="381" t="s">
        <v>6574</v>
      </c>
    </row>
    <row r="583" spans="1:3" ht="12.9" customHeight="1">
      <c r="A583" s="381"/>
      <c r="B583" s="381" t="s">
        <v>3747</v>
      </c>
      <c r="C583" s="381" t="s">
        <v>6575</v>
      </c>
    </row>
    <row r="584" spans="1:3" ht="12.9" customHeight="1">
      <c r="A584" s="381"/>
      <c r="B584" s="381" t="s">
        <v>3748</v>
      </c>
      <c r="C584" s="381" t="s">
        <v>6576</v>
      </c>
    </row>
    <row r="585" spans="1:3" ht="12.9" customHeight="1">
      <c r="A585" s="381"/>
      <c r="B585" s="381" t="s">
        <v>1621</v>
      </c>
      <c r="C585" s="381" t="s">
        <v>6577</v>
      </c>
    </row>
    <row r="586" spans="1:3" ht="12.9" customHeight="1">
      <c r="A586" s="381"/>
      <c r="B586" s="381" t="s">
        <v>2813</v>
      </c>
      <c r="C586" s="381" t="s">
        <v>6520</v>
      </c>
    </row>
    <row r="587" spans="1:3" ht="12.9" customHeight="1">
      <c r="A587" s="381"/>
      <c r="B587" s="381" t="s">
        <v>2782</v>
      </c>
      <c r="C587" s="381" t="s">
        <v>6521</v>
      </c>
    </row>
    <row r="588" spans="1:3" ht="12.9" customHeight="1">
      <c r="A588" s="381"/>
      <c r="B588" s="381" t="s">
        <v>1745</v>
      </c>
      <c r="C588" s="381" t="s">
        <v>6522</v>
      </c>
    </row>
    <row r="589" spans="1:3" ht="12.9" customHeight="1">
      <c r="A589" s="381"/>
      <c r="B589" s="381" t="s">
        <v>2735</v>
      </c>
      <c r="C589" s="381" t="s">
        <v>6523</v>
      </c>
    </row>
    <row r="590" spans="1:3" ht="12.9" customHeight="1">
      <c r="A590" s="381" t="s">
        <v>1384</v>
      </c>
      <c r="B590" s="381"/>
      <c r="C590" s="381" t="s">
        <v>6524</v>
      </c>
    </row>
    <row r="591" spans="1:3" ht="12.9" customHeight="1">
      <c r="A591" s="381"/>
      <c r="B591" s="381"/>
      <c r="C591" s="442" t="s">
        <v>6525</v>
      </c>
    </row>
    <row r="592" spans="1:3" ht="12.9" customHeight="1">
      <c r="A592" s="381"/>
      <c r="B592" s="381"/>
      <c r="C592" s="442" t="s">
        <v>6526</v>
      </c>
    </row>
    <row r="593" spans="1:3" ht="12.9" customHeight="1">
      <c r="A593" s="381"/>
      <c r="B593" s="381"/>
      <c r="C593" s="442" t="s">
        <v>6527</v>
      </c>
    </row>
    <row r="594" spans="1:3" ht="12.9" customHeight="1">
      <c r="A594" s="381"/>
      <c r="B594" s="381"/>
      <c r="C594" s="442" t="s">
        <v>6528</v>
      </c>
    </row>
    <row r="595" spans="1:3" ht="12.9" customHeight="1">
      <c r="A595" s="381"/>
      <c r="B595" s="381"/>
      <c r="C595" s="442" t="s">
        <v>6529</v>
      </c>
    </row>
    <row r="596" spans="1:3" ht="12.9" customHeight="1">
      <c r="A596" s="381"/>
      <c r="B596" s="381"/>
      <c r="C596" s="442" t="s">
        <v>6530</v>
      </c>
    </row>
    <row r="597" spans="1:3" ht="12.9" customHeight="1">
      <c r="A597" s="381"/>
      <c r="B597" s="381"/>
      <c r="C597" s="442" t="s">
        <v>6531</v>
      </c>
    </row>
    <row r="598" spans="1:3" ht="12.9" customHeight="1">
      <c r="A598" s="381"/>
      <c r="B598" s="381"/>
      <c r="C598" s="381" t="s">
        <v>6532</v>
      </c>
    </row>
    <row r="599" spans="1:3" ht="12.9" customHeight="1">
      <c r="A599" s="381"/>
      <c r="B599" s="381"/>
      <c r="C599" s="442" t="s">
        <v>6578</v>
      </c>
    </row>
    <row r="600" spans="1:3" ht="12.9" customHeight="1">
      <c r="A600" s="381"/>
      <c r="B600" s="381"/>
      <c r="C600" s="381" t="s">
        <v>6579</v>
      </c>
    </row>
    <row r="601" spans="1:3" ht="12.9" customHeight="1">
      <c r="A601" s="381"/>
      <c r="B601" s="381"/>
      <c r="C601" s="381" t="s">
        <v>6580</v>
      </c>
    </row>
    <row r="602" spans="1:3" ht="12.9" customHeight="1">
      <c r="A602" s="381"/>
      <c r="B602" s="381"/>
      <c r="C602" s="381" t="s">
        <v>6581</v>
      </c>
    </row>
    <row r="603" spans="1:3" ht="12.9" customHeight="1">
      <c r="A603" s="381"/>
      <c r="B603" s="381"/>
      <c r="C603" s="381" t="s">
        <v>6582</v>
      </c>
    </row>
    <row r="604" spans="1:3" ht="12.9" customHeight="1">
      <c r="A604" s="381"/>
      <c r="B604" s="381"/>
      <c r="C604" s="381" t="s">
        <v>6583</v>
      </c>
    </row>
    <row r="605" spans="1:3" ht="12.9" customHeight="1">
      <c r="A605" s="381" t="s">
        <v>5698</v>
      </c>
      <c r="B605" s="381"/>
      <c r="C605" s="442" t="s">
        <v>6584</v>
      </c>
    </row>
    <row r="606" spans="1:3" ht="12.9" customHeight="1">
      <c r="A606" s="381"/>
      <c r="B606" s="381"/>
      <c r="C606" s="442" t="s">
        <v>6585</v>
      </c>
    </row>
    <row r="607" spans="1:3" ht="12.9" customHeight="1">
      <c r="A607" s="381"/>
      <c r="B607" s="381"/>
      <c r="C607" s="442" t="s">
        <v>6586</v>
      </c>
    </row>
    <row r="608" spans="1:3" ht="12.9" customHeight="1">
      <c r="A608" s="381"/>
      <c r="B608" s="381"/>
      <c r="C608" s="442" t="s">
        <v>6587</v>
      </c>
    </row>
    <row r="609" spans="1:3" ht="12.9" customHeight="1">
      <c r="A609" s="381"/>
      <c r="B609" s="381"/>
      <c r="C609" s="381" t="s">
        <v>6588</v>
      </c>
    </row>
    <row r="610" spans="1:3" ht="12.9" customHeight="1">
      <c r="A610" s="381" t="s">
        <v>1387</v>
      </c>
      <c r="B610" s="381"/>
      <c r="C610" s="381" t="s">
        <v>6589</v>
      </c>
    </row>
    <row r="611" spans="1:3" ht="12.9" customHeight="1">
      <c r="A611" s="381" t="s">
        <v>3511</v>
      </c>
      <c r="B611" s="381"/>
      <c r="C611" s="381" t="s">
        <v>6590</v>
      </c>
    </row>
    <row r="612" spans="1:3" ht="12.9" customHeight="1">
      <c r="A612" s="381"/>
      <c r="B612" s="381"/>
      <c r="C612" s="381" t="s">
        <v>6591</v>
      </c>
    </row>
    <row r="613" spans="1:3" ht="12.9" customHeight="1">
      <c r="A613" s="381"/>
      <c r="B613" s="381"/>
      <c r="C613" s="442" t="s">
        <v>6592</v>
      </c>
    </row>
    <row r="614" spans="1:3" ht="12.9" customHeight="1">
      <c r="A614" s="381"/>
      <c r="B614" s="381"/>
      <c r="C614" s="442" t="s">
        <v>6593</v>
      </c>
    </row>
    <row r="615" spans="1:3" ht="12.9" customHeight="1">
      <c r="A615" s="381"/>
      <c r="B615" s="381"/>
      <c r="C615" s="442" t="s">
        <v>6594</v>
      </c>
    </row>
    <row r="616" spans="1:3" ht="12.9" customHeight="1">
      <c r="A616" s="381"/>
      <c r="B616" s="381"/>
      <c r="C616" s="442" t="s">
        <v>6595</v>
      </c>
    </row>
    <row r="617" spans="1:3" ht="12.9" customHeight="1">
      <c r="A617" s="381"/>
      <c r="B617" s="381"/>
      <c r="C617" s="442" t="s">
        <v>6596</v>
      </c>
    </row>
    <row r="618" spans="1:3" ht="12.9" customHeight="1">
      <c r="A618" s="381"/>
      <c r="B618" s="381"/>
      <c r="C618" s="442" t="s">
        <v>6597</v>
      </c>
    </row>
    <row r="619" spans="1:3" ht="12.9" customHeight="1">
      <c r="A619" s="381"/>
      <c r="B619" s="381"/>
      <c r="C619" s="381" t="s">
        <v>6598</v>
      </c>
    </row>
    <row r="620" spans="1:3" ht="12.9" customHeight="1">
      <c r="A620" s="381"/>
      <c r="B620" s="381"/>
      <c r="C620" s="381" t="s">
        <v>846</v>
      </c>
    </row>
    <row r="621" spans="1:3" ht="12.9" customHeight="1">
      <c r="A621" s="381"/>
      <c r="B621" s="381"/>
      <c r="C621" s="381" t="s">
        <v>6599</v>
      </c>
    </row>
    <row r="622" spans="1:3" ht="12.9" customHeight="1">
      <c r="A622" s="381"/>
      <c r="B622" s="381"/>
      <c r="C622" s="381" t="s">
        <v>6600</v>
      </c>
    </row>
    <row r="623" spans="1:3" ht="12.9" customHeight="1">
      <c r="A623" s="381"/>
      <c r="B623" s="381"/>
      <c r="C623" s="381" t="s">
        <v>6601</v>
      </c>
    </row>
    <row r="624" spans="1:3" ht="12.9" customHeight="1">
      <c r="A624" s="381"/>
      <c r="B624" s="381"/>
      <c r="C624" s="381" t="s">
        <v>847</v>
      </c>
    </row>
    <row r="625" spans="1:3" ht="12.9" customHeight="1">
      <c r="A625" s="381" t="s">
        <v>212</v>
      </c>
      <c r="B625" s="381"/>
      <c r="C625" s="381" t="s">
        <v>6602</v>
      </c>
    </row>
    <row r="626" spans="1:3" ht="12.9" customHeight="1">
      <c r="A626" s="381"/>
      <c r="B626" s="381"/>
      <c r="C626" s="381" t="s">
        <v>6603</v>
      </c>
    </row>
    <row r="627" spans="1:3" ht="12.9" customHeight="1">
      <c r="A627" s="381"/>
      <c r="B627" s="381"/>
      <c r="C627" s="381" t="s">
        <v>6604</v>
      </c>
    </row>
    <row r="628" spans="1:3" ht="12.9" customHeight="1">
      <c r="A628" s="381"/>
      <c r="B628" s="381"/>
      <c r="C628" s="381" t="s">
        <v>6605</v>
      </c>
    </row>
    <row r="629" spans="1:3" ht="12.9" customHeight="1">
      <c r="A629" s="381"/>
      <c r="B629" s="381"/>
      <c r="C629" s="381" t="s">
        <v>6606</v>
      </c>
    </row>
    <row r="630" spans="1:3" ht="12.9" customHeight="1">
      <c r="A630" s="381"/>
      <c r="B630" s="381"/>
      <c r="C630" s="381" t="s">
        <v>6607</v>
      </c>
    </row>
    <row r="631" spans="1:3" ht="12.9" customHeight="1">
      <c r="A631" s="381"/>
      <c r="B631" s="962" t="s">
        <v>1121</v>
      </c>
      <c r="C631" s="381" t="s">
        <v>6608</v>
      </c>
    </row>
    <row r="632" spans="1:3" ht="12.9" customHeight="1">
      <c r="A632" s="381"/>
      <c r="B632" s="381"/>
      <c r="C632" s="381" t="s">
        <v>6609</v>
      </c>
    </row>
    <row r="633" spans="1:3" ht="12.9" customHeight="1">
      <c r="A633" s="381" t="s">
        <v>3333</v>
      </c>
      <c r="B633" s="381"/>
      <c r="C633" s="381" t="s">
        <v>6610</v>
      </c>
    </row>
    <row r="634" spans="1:3" ht="12.9" customHeight="1">
      <c r="A634" s="381"/>
      <c r="B634" s="381"/>
      <c r="C634" s="381" t="s">
        <v>6611</v>
      </c>
    </row>
    <row r="635" spans="1:3" ht="12.9" customHeight="1">
      <c r="A635" s="381"/>
      <c r="B635" s="381"/>
      <c r="C635" s="381" t="s">
        <v>6612</v>
      </c>
    </row>
    <row r="636" spans="1:3" ht="12.9" customHeight="1">
      <c r="A636" s="381"/>
      <c r="B636" s="381"/>
      <c r="C636" s="442" t="s">
        <v>6613</v>
      </c>
    </row>
    <row r="637" spans="1:3" ht="12.9" customHeight="1">
      <c r="A637" s="381"/>
      <c r="B637" s="381"/>
      <c r="C637" s="381" t="s">
        <v>6614</v>
      </c>
    </row>
    <row r="638" spans="1:3" ht="12.9" customHeight="1">
      <c r="A638" s="381"/>
      <c r="B638" s="381"/>
      <c r="C638" s="381" t="s">
        <v>6615</v>
      </c>
    </row>
    <row r="639" spans="1:3" ht="12.9" customHeight="1">
      <c r="A639" s="381"/>
      <c r="B639" s="381"/>
      <c r="C639" s="381" t="s">
        <v>6616</v>
      </c>
    </row>
    <row r="640" spans="1:3" ht="12.9" customHeight="1">
      <c r="A640" s="381"/>
      <c r="B640" s="381"/>
      <c r="C640" s="381" t="s">
        <v>6617</v>
      </c>
    </row>
    <row r="641" spans="1:3" ht="12.9" customHeight="1">
      <c r="A641" s="381"/>
      <c r="B641" s="381" t="s">
        <v>1462</v>
      </c>
      <c r="C641" s="381" t="s">
        <v>6618</v>
      </c>
    </row>
    <row r="642" spans="1:3" ht="12.9" customHeight="1">
      <c r="A642" s="381" t="s">
        <v>4952</v>
      </c>
      <c r="B642" s="381" t="s">
        <v>3005</v>
      </c>
      <c r="C642" s="381" t="s">
        <v>6619</v>
      </c>
    </row>
    <row r="643" spans="1:3" ht="12.9" customHeight="1">
      <c r="A643" s="381"/>
      <c r="B643" s="381" t="s">
        <v>4755</v>
      </c>
      <c r="C643" s="381" t="s">
        <v>6620</v>
      </c>
    </row>
    <row r="644" spans="1:3" ht="12.9" customHeight="1">
      <c r="A644" s="381"/>
      <c r="B644" s="381"/>
      <c r="C644" s="381" t="s">
        <v>6621</v>
      </c>
    </row>
    <row r="645" spans="1:3" ht="12.9" customHeight="1">
      <c r="A645" s="381"/>
      <c r="B645" s="381"/>
      <c r="C645" s="381" t="s">
        <v>6622</v>
      </c>
    </row>
    <row r="646" spans="1:3" ht="12.9" customHeight="1">
      <c r="A646" s="381"/>
      <c r="B646" s="381"/>
      <c r="C646" s="381" t="s">
        <v>6623</v>
      </c>
    </row>
    <row r="647" spans="1:3" ht="12.9" customHeight="1">
      <c r="A647" s="381" t="s">
        <v>691</v>
      </c>
      <c r="B647" s="381"/>
      <c r="C647" s="381" t="s">
        <v>6624</v>
      </c>
    </row>
    <row r="648" spans="1:3" ht="12.9" customHeight="1">
      <c r="A648" s="381"/>
      <c r="B648" s="381"/>
      <c r="C648" s="442" t="s">
        <v>6625</v>
      </c>
    </row>
    <row r="649" spans="1:3" ht="12.9" customHeight="1">
      <c r="A649" s="381"/>
      <c r="B649" s="381"/>
      <c r="C649" s="442" t="s">
        <v>6626</v>
      </c>
    </row>
    <row r="650" spans="1:3" ht="12.9" customHeight="1">
      <c r="A650" s="381"/>
      <c r="B650" s="381"/>
      <c r="C650" s="381" t="s">
        <v>6627</v>
      </c>
    </row>
    <row r="651" spans="1:3" ht="12.9" customHeight="1">
      <c r="A651" s="381"/>
      <c r="B651" s="381"/>
      <c r="C651" s="381" t="s">
        <v>6628</v>
      </c>
    </row>
    <row r="652" spans="1:3" ht="12.9" customHeight="1">
      <c r="A652" s="381"/>
      <c r="B652" s="381"/>
      <c r="C652" s="381" t="s">
        <v>6629</v>
      </c>
    </row>
    <row r="653" spans="1:3" ht="12.9" customHeight="1">
      <c r="A653" s="381"/>
      <c r="B653" s="381"/>
      <c r="C653" s="381" t="s">
        <v>6630</v>
      </c>
    </row>
    <row r="654" spans="1:3" ht="12.9" customHeight="1">
      <c r="A654" s="381"/>
      <c r="B654" s="381"/>
      <c r="C654" s="381" t="s">
        <v>6533</v>
      </c>
    </row>
    <row r="655" spans="1:3" ht="12.9" customHeight="1">
      <c r="A655" s="381"/>
      <c r="B655" s="381"/>
      <c r="C655" s="381" t="s">
        <v>6534</v>
      </c>
    </row>
    <row r="656" spans="1:3" ht="12.9" customHeight="1">
      <c r="A656" s="381"/>
      <c r="B656" s="381"/>
      <c r="C656" s="381" t="s">
        <v>6535</v>
      </c>
    </row>
    <row r="657" spans="1:3" ht="12.9" customHeight="1">
      <c r="A657" s="381"/>
      <c r="B657" s="381"/>
      <c r="C657" s="381" t="s">
        <v>6631</v>
      </c>
    </row>
    <row r="658" spans="1:3" ht="12.9" customHeight="1">
      <c r="A658" s="381"/>
      <c r="B658" s="381"/>
      <c r="C658" s="442" t="s">
        <v>6632</v>
      </c>
    </row>
    <row r="659" spans="1:3" ht="12.9" customHeight="1">
      <c r="A659" s="381"/>
      <c r="B659" s="381"/>
      <c r="C659" s="381" t="s">
        <v>6633</v>
      </c>
    </row>
    <row r="660" spans="1:3" ht="12.9" customHeight="1">
      <c r="A660" s="381"/>
      <c r="B660" s="381"/>
      <c r="C660" s="381" t="s">
        <v>6634</v>
      </c>
    </row>
    <row r="661" spans="1:3" ht="12.9" customHeight="1">
      <c r="A661" s="381"/>
      <c r="B661" s="381"/>
      <c r="C661" s="381" t="s">
        <v>6635</v>
      </c>
    </row>
    <row r="662" spans="1:3" ht="12.9" customHeight="1">
      <c r="A662" s="381"/>
      <c r="B662" s="381"/>
      <c r="C662" s="381" t="s">
        <v>6636</v>
      </c>
    </row>
    <row r="663" spans="1:3" ht="12.9" customHeight="1">
      <c r="A663" s="381"/>
      <c r="B663" s="381"/>
      <c r="C663" s="381" t="s">
        <v>6637</v>
      </c>
    </row>
    <row r="664" spans="1:3" ht="12.9" customHeight="1">
      <c r="A664" s="381"/>
      <c r="B664" s="381"/>
      <c r="C664" s="381" t="s">
        <v>6638</v>
      </c>
    </row>
    <row r="665" spans="1:3" ht="12.9" customHeight="1">
      <c r="A665" s="381"/>
      <c r="B665" s="381"/>
      <c r="C665" s="381" t="s">
        <v>6639</v>
      </c>
    </row>
    <row r="666" spans="1:3" ht="12.9" customHeight="1">
      <c r="A666" s="381"/>
      <c r="B666" s="381"/>
      <c r="C666" s="381" t="s">
        <v>6640</v>
      </c>
    </row>
    <row r="667" spans="1:3" ht="12.9" customHeight="1">
      <c r="A667" s="381"/>
      <c r="B667" s="381"/>
      <c r="C667" s="381" t="s">
        <v>6641</v>
      </c>
    </row>
    <row r="668" spans="1:3" ht="12.9" customHeight="1">
      <c r="A668" s="381"/>
      <c r="B668" s="381"/>
      <c r="C668" s="381" t="s">
        <v>6642</v>
      </c>
    </row>
    <row r="669" spans="1:3" ht="12.9" customHeight="1">
      <c r="A669" s="381"/>
      <c r="B669" s="381"/>
      <c r="C669" s="381" t="s">
        <v>6643</v>
      </c>
    </row>
    <row r="670" spans="1:3" ht="12.9" customHeight="1">
      <c r="A670" s="381"/>
      <c r="B670" s="381"/>
      <c r="C670" s="381" t="s">
        <v>6644</v>
      </c>
    </row>
    <row r="671" spans="1:3" ht="12.9" customHeight="1">
      <c r="A671" s="381"/>
      <c r="B671" s="381"/>
      <c r="C671" s="381" t="s">
        <v>6645</v>
      </c>
    </row>
    <row r="672" spans="1:3" ht="12.9" customHeight="1">
      <c r="A672" s="381"/>
      <c r="B672" s="381"/>
      <c r="C672" s="381" t="s">
        <v>6646</v>
      </c>
    </row>
    <row r="673" spans="1:3" ht="12.9" customHeight="1">
      <c r="A673" s="381"/>
      <c r="B673" s="381"/>
      <c r="C673" s="381" t="s">
        <v>6647</v>
      </c>
    </row>
    <row r="674" spans="1:3" ht="12.9" customHeight="1">
      <c r="A674" s="381"/>
      <c r="B674" s="381"/>
      <c r="C674" s="381" t="s">
        <v>6651</v>
      </c>
    </row>
    <row r="675" spans="1:3" ht="12.9" customHeight="1">
      <c r="A675" s="381"/>
      <c r="B675" s="381"/>
      <c r="C675" s="381" t="s">
        <v>6652</v>
      </c>
    </row>
    <row r="676" spans="1:3" ht="12.9" customHeight="1">
      <c r="A676" s="381"/>
      <c r="B676" s="381"/>
      <c r="C676" s="381" t="s">
        <v>6653</v>
      </c>
    </row>
    <row r="677" spans="1:3" ht="12.9" customHeight="1">
      <c r="A677" s="381"/>
      <c r="B677" s="381"/>
      <c r="C677" s="381" t="s">
        <v>6654</v>
      </c>
    </row>
    <row r="678" spans="1:3" ht="12.9" customHeight="1">
      <c r="A678" s="381"/>
      <c r="B678" s="381"/>
      <c r="C678" s="381" t="s">
        <v>6655</v>
      </c>
    </row>
    <row r="679" spans="1:3" ht="12.9" customHeight="1">
      <c r="A679" s="381"/>
      <c r="B679" s="381"/>
      <c r="C679" s="381" t="s">
        <v>6656</v>
      </c>
    </row>
    <row r="680" spans="1:3" ht="12.9" customHeight="1">
      <c r="A680" s="381"/>
      <c r="B680" s="381"/>
      <c r="C680" s="381" t="s">
        <v>6657</v>
      </c>
    </row>
    <row r="681" spans="1:3" ht="12.9" customHeight="1">
      <c r="A681" s="381"/>
      <c r="B681" s="381"/>
      <c r="C681" s="381" t="s">
        <v>6658</v>
      </c>
    </row>
    <row r="682" spans="1:3" ht="12.9" customHeight="1">
      <c r="A682" s="381" t="s">
        <v>570</v>
      </c>
      <c r="B682" s="381"/>
      <c r="C682" s="442" t="s">
        <v>6659</v>
      </c>
    </row>
    <row r="683" spans="1:3" ht="12.9" customHeight="1">
      <c r="A683" s="381"/>
      <c r="B683" s="381"/>
      <c r="C683" s="381" t="s">
        <v>6660</v>
      </c>
    </row>
    <row r="684" spans="1:3" ht="12.9" customHeight="1">
      <c r="A684" s="381"/>
      <c r="B684" s="381"/>
      <c r="C684" s="381" t="s">
        <v>6538</v>
      </c>
    </row>
    <row r="685" spans="1:3" ht="12.9" customHeight="1">
      <c r="A685" s="381"/>
      <c r="B685" s="381"/>
      <c r="C685" s="381" t="s">
        <v>6661</v>
      </c>
    </row>
    <row r="686" spans="1:3" ht="12.9" customHeight="1">
      <c r="A686" s="381"/>
      <c r="B686" s="381"/>
      <c r="C686" s="381" t="s">
        <v>6662</v>
      </c>
    </row>
    <row r="687" spans="1:3" ht="12.9" customHeight="1">
      <c r="A687" s="381"/>
      <c r="B687" s="381"/>
      <c r="C687" s="381" t="s">
        <v>6663</v>
      </c>
    </row>
    <row r="688" spans="1:3" ht="12.9" customHeight="1">
      <c r="A688" s="381"/>
      <c r="B688" s="381"/>
      <c r="C688" s="381" t="s">
        <v>6664</v>
      </c>
    </row>
    <row r="689" spans="1:3" ht="12.9" customHeight="1">
      <c r="A689" s="381"/>
      <c r="B689" s="381"/>
      <c r="C689" s="381" t="s">
        <v>6665</v>
      </c>
    </row>
    <row r="690" spans="1:3" ht="12.9" customHeight="1">
      <c r="A690" s="381"/>
      <c r="B690" s="381"/>
      <c r="C690" s="381" t="s">
        <v>6666</v>
      </c>
    </row>
    <row r="691" spans="1:3" ht="12.9" customHeight="1">
      <c r="A691" s="381"/>
      <c r="B691" s="381"/>
      <c r="C691" s="381" t="s">
        <v>6667</v>
      </c>
    </row>
    <row r="692" spans="1:3" ht="12.9" customHeight="1">
      <c r="A692" s="381"/>
      <c r="B692" s="381"/>
      <c r="C692" s="381" t="s">
        <v>6668</v>
      </c>
    </row>
    <row r="693" spans="1:3" ht="12.9" customHeight="1">
      <c r="A693" s="381"/>
      <c r="B693" s="381"/>
      <c r="C693" s="381" t="s">
        <v>6669</v>
      </c>
    </row>
    <row r="694" spans="1:3" ht="12.9" customHeight="1">
      <c r="A694" s="381" t="s">
        <v>1283</v>
      </c>
      <c r="B694" s="381"/>
      <c r="C694" s="381" t="s">
        <v>6670</v>
      </c>
    </row>
    <row r="695" spans="1:3" ht="12.9" customHeight="1">
      <c r="A695" s="381"/>
      <c r="B695" s="381"/>
      <c r="C695" s="381" t="s">
        <v>6671</v>
      </c>
    </row>
    <row r="696" spans="1:3" ht="12.9" customHeight="1">
      <c r="A696" s="381"/>
      <c r="B696" s="381" t="s">
        <v>2061</v>
      </c>
      <c r="C696" s="381" t="s">
        <v>6672</v>
      </c>
    </row>
    <row r="697" spans="1:3" ht="12.9" customHeight="1">
      <c r="A697" s="381"/>
      <c r="B697" s="381"/>
      <c r="C697" s="381" t="s">
        <v>6673</v>
      </c>
    </row>
    <row r="698" spans="1:3" ht="12.9" customHeight="1">
      <c r="A698" s="381"/>
      <c r="B698" s="381"/>
      <c r="C698" s="381" t="s">
        <v>6674</v>
      </c>
    </row>
    <row r="699" spans="1:3" ht="12.9" customHeight="1">
      <c r="A699" s="381"/>
      <c r="B699" s="381"/>
      <c r="C699" s="381" t="s">
        <v>6675</v>
      </c>
    </row>
    <row r="700" spans="1:3" ht="12.9" customHeight="1">
      <c r="A700" s="381"/>
      <c r="B700" s="381"/>
      <c r="C700" s="381" t="s">
        <v>6676</v>
      </c>
    </row>
    <row r="701" spans="1:3" ht="12.9" customHeight="1">
      <c r="A701" s="381"/>
      <c r="B701" s="381"/>
      <c r="C701" s="381" t="s">
        <v>6677</v>
      </c>
    </row>
    <row r="702" spans="1:3" ht="12.9" customHeight="1">
      <c r="A702" s="381"/>
      <c r="B702" s="381"/>
      <c r="C702" s="381" t="s">
        <v>6678</v>
      </c>
    </row>
    <row r="703" spans="1:3" ht="12.9" customHeight="1">
      <c r="A703" s="381"/>
      <c r="B703" s="381"/>
      <c r="C703" s="381" t="s">
        <v>6679</v>
      </c>
    </row>
    <row r="704" spans="1:3" ht="12.9" customHeight="1">
      <c r="A704" s="381"/>
      <c r="B704" s="381"/>
      <c r="C704" s="381" t="s">
        <v>6680</v>
      </c>
    </row>
    <row r="705" spans="1:3" ht="12.9" customHeight="1">
      <c r="A705" s="381"/>
      <c r="B705" s="381"/>
      <c r="C705" s="381" t="s">
        <v>6681</v>
      </c>
    </row>
    <row r="706" spans="1:3" ht="12.9" customHeight="1">
      <c r="A706" s="381"/>
      <c r="B706" s="381" t="s">
        <v>2206</v>
      </c>
      <c r="C706" s="381" t="s">
        <v>6682</v>
      </c>
    </row>
    <row r="707" spans="1:3" ht="12.9" customHeight="1">
      <c r="A707" s="381"/>
      <c r="B707" s="381" t="s">
        <v>2678</v>
      </c>
      <c r="C707" s="381" t="s">
        <v>6683</v>
      </c>
    </row>
    <row r="708" spans="1:3" ht="12.9" customHeight="1">
      <c r="A708" s="381"/>
      <c r="B708" s="381"/>
      <c r="C708" s="381" t="s">
        <v>6684</v>
      </c>
    </row>
    <row r="709" spans="1:3" ht="12.9" customHeight="1">
      <c r="A709" s="381"/>
      <c r="B709" s="381"/>
      <c r="C709" s="381" t="s">
        <v>6685</v>
      </c>
    </row>
    <row r="710" spans="1:3" ht="12.9" customHeight="1">
      <c r="A710" s="381" t="s">
        <v>2341</v>
      </c>
      <c r="B710" s="381"/>
      <c r="C710" s="381" t="s">
        <v>6686</v>
      </c>
    </row>
    <row r="711" spans="1:3" ht="12.9" customHeight="1">
      <c r="A711" s="381"/>
      <c r="B711" s="381"/>
      <c r="C711" s="381" t="s">
        <v>6687</v>
      </c>
    </row>
    <row r="712" spans="1:3" ht="12.9" customHeight="1">
      <c r="A712" s="381"/>
      <c r="B712" s="381"/>
      <c r="C712" s="381" t="s">
        <v>1285</v>
      </c>
    </row>
    <row r="713" spans="1:3" ht="12.9" customHeight="1">
      <c r="A713" s="381"/>
      <c r="B713" s="381"/>
      <c r="C713" s="381" t="s">
        <v>6688</v>
      </c>
    </row>
    <row r="714" spans="1:3" ht="12.9" customHeight="1">
      <c r="A714" s="381"/>
      <c r="B714" s="381"/>
      <c r="C714" s="381" t="s">
        <v>3069</v>
      </c>
    </row>
    <row r="715" spans="1:3" ht="12.9" customHeight="1">
      <c r="A715" s="381"/>
      <c r="B715" s="381"/>
      <c r="C715" s="381" t="s">
        <v>6689</v>
      </c>
    </row>
    <row r="716" spans="1:3" ht="12.9" customHeight="1">
      <c r="A716" s="381"/>
      <c r="B716" s="381"/>
      <c r="C716" s="381" t="s">
        <v>6690</v>
      </c>
    </row>
    <row r="717" spans="1:3" ht="12.9" customHeight="1">
      <c r="A717" s="381"/>
      <c r="B717" s="381"/>
      <c r="C717" s="381" t="s">
        <v>6691</v>
      </c>
    </row>
    <row r="718" spans="1:3" ht="12.9" customHeight="1">
      <c r="A718" s="381"/>
      <c r="B718" s="381"/>
      <c r="C718" s="381" t="s">
        <v>1286</v>
      </c>
    </row>
    <row r="719" spans="1:3" ht="12.9" customHeight="1">
      <c r="A719" s="381"/>
      <c r="B719" s="381"/>
      <c r="C719" s="381" t="s">
        <v>6648</v>
      </c>
    </row>
    <row r="720" spans="1:3" ht="12.9" customHeight="1">
      <c r="A720" s="381"/>
      <c r="B720" s="381"/>
      <c r="C720" s="381" t="s">
        <v>8</v>
      </c>
    </row>
    <row r="721" spans="1:3" ht="12.9" customHeight="1">
      <c r="A721" s="381"/>
      <c r="B721" s="381"/>
      <c r="C721" s="381" t="s">
        <v>1287</v>
      </c>
    </row>
    <row r="722" spans="1:3" ht="12.9" customHeight="1">
      <c r="A722" s="381"/>
      <c r="B722" s="381"/>
      <c r="C722" s="381" t="s">
        <v>6649</v>
      </c>
    </row>
    <row r="723" spans="1:3" ht="12.9" customHeight="1">
      <c r="A723" s="381" t="s">
        <v>2511</v>
      </c>
      <c r="B723" s="381" t="s">
        <v>1439</v>
      </c>
      <c r="C723" s="381" t="s">
        <v>6650</v>
      </c>
    </row>
    <row r="724" spans="1:3" ht="12.9" customHeight="1">
      <c r="A724" s="381"/>
      <c r="B724" s="381" t="s">
        <v>1440</v>
      </c>
      <c r="C724" s="381" t="s">
        <v>6692</v>
      </c>
    </row>
    <row r="725" spans="1:3" ht="12.9" customHeight="1">
      <c r="A725" s="381"/>
      <c r="B725" s="381"/>
      <c r="C725" s="381" t="s">
        <v>6693</v>
      </c>
    </row>
    <row r="726" spans="1:3" ht="12.9" customHeight="1">
      <c r="A726" s="381"/>
      <c r="B726" s="381"/>
      <c r="C726" s="381" t="s">
        <v>6694</v>
      </c>
    </row>
    <row r="727" spans="1:3" ht="12.9" customHeight="1">
      <c r="A727" s="381"/>
      <c r="B727" s="381"/>
      <c r="C727" s="381" t="s">
        <v>6695</v>
      </c>
    </row>
    <row r="728" spans="1:3" ht="12.9" customHeight="1">
      <c r="A728" s="381" t="s">
        <v>2094</v>
      </c>
      <c r="B728" s="381"/>
      <c r="C728" s="381" t="s">
        <v>6696</v>
      </c>
    </row>
    <row r="729" spans="1:3" ht="12.9" customHeight="1">
      <c r="A729" s="381" t="s">
        <v>4524</v>
      </c>
      <c r="B729" s="381"/>
      <c r="C729" s="381" t="s">
        <v>6697</v>
      </c>
    </row>
    <row r="730" spans="1:3" ht="12.9" customHeight="1">
      <c r="A730" s="381"/>
      <c r="B730" s="381"/>
      <c r="C730" s="381" t="s">
        <v>6698</v>
      </c>
    </row>
    <row r="731" spans="1:3" ht="12.9" customHeight="1">
      <c r="A731" s="381"/>
      <c r="B731" s="381"/>
      <c r="C731" s="381" t="s">
        <v>6699</v>
      </c>
    </row>
    <row r="732" spans="1:3" ht="12.9" customHeight="1">
      <c r="A732" s="381"/>
      <c r="B732" s="381"/>
      <c r="C732" s="381" t="s">
        <v>6700</v>
      </c>
    </row>
    <row r="733" spans="1:3" ht="12.9" customHeight="1">
      <c r="A733" s="381"/>
      <c r="B733" s="381"/>
      <c r="C733" s="381" t="s">
        <v>6701</v>
      </c>
    </row>
    <row r="734" spans="1:3" ht="12.9" customHeight="1">
      <c r="A734" s="381"/>
      <c r="B734" s="381"/>
      <c r="C734" s="381" t="s">
        <v>6702</v>
      </c>
    </row>
    <row r="735" spans="1:3" ht="12.9" customHeight="1">
      <c r="A735" s="381"/>
      <c r="B735" s="381"/>
      <c r="C735" s="442" t="s">
        <v>6703</v>
      </c>
    </row>
    <row r="736" spans="1:3" ht="12.9" customHeight="1">
      <c r="A736" s="381"/>
      <c r="B736" s="381"/>
      <c r="C736" s="381" t="s">
        <v>6704</v>
      </c>
    </row>
    <row r="737" spans="1:3" ht="12.9" customHeight="1">
      <c r="A737" s="381"/>
      <c r="B737" s="381"/>
      <c r="C737" s="381" t="s">
        <v>6714</v>
      </c>
    </row>
    <row r="738" spans="1:3" ht="12.9" customHeight="1">
      <c r="A738" s="381"/>
      <c r="B738" s="381"/>
      <c r="C738" s="442" t="s">
        <v>6715</v>
      </c>
    </row>
    <row r="739" spans="1:3" ht="12.9" customHeight="1">
      <c r="A739" s="381"/>
      <c r="B739" s="381"/>
      <c r="C739" s="381" t="s">
        <v>6716</v>
      </c>
    </row>
    <row r="740" spans="1:3" ht="12.9" customHeight="1">
      <c r="A740" s="381"/>
      <c r="B740" s="381"/>
      <c r="C740" s="381" t="s">
        <v>6717</v>
      </c>
    </row>
    <row r="741" spans="1:3" ht="12.9" customHeight="1">
      <c r="A741" s="381"/>
      <c r="B741" s="381" t="s">
        <v>1472</v>
      </c>
      <c r="C741" s="381" t="s">
        <v>6718</v>
      </c>
    </row>
    <row r="742" spans="1:3" ht="12.9" customHeight="1">
      <c r="A742" s="381"/>
      <c r="B742" s="381"/>
      <c r="C742" s="381" t="s">
        <v>6719</v>
      </c>
    </row>
    <row r="743" spans="1:3" ht="12.9" customHeight="1">
      <c r="A743" s="381"/>
      <c r="B743" s="381"/>
      <c r="C743" s="381" t="s">
        <v>6720</v>
      </c>
    </row>
    <row r="744" spans="1:3" ht="12.9" customHeight="1">
      <c r="A744" s="381"/>
      <c r="B744" s="381"/>
      <c r="C744" s="381" t="s">
        <v>6721</v>
      </c>
    </row>
    <row r="745" spans="1:3" ht="12.9" customHeight="1">
      <c r="A745" s="381"/>
      <c r="B745" s="381"/>
      <c r="C745" s="381" t="s">
        <v>6722</v>
      </c>
    </row>
    <row r="746" spans="1:3" ht="12.9" customHeight="1">
      <c r="A746" s="381"/>
      <c r="B746" s="381"/>
      <c r="C746" s="381" t="s">
        <v>6723</v>
      </c>
    </row>
    <row r="747" spans="1:3" ht="12.9" customHeight="1">
      <c r="A747" s="381"/>
      <c r="B747" s="381"/>
      <c r="C747" s="381" t="s">
        <v>6724</v>
      </c>
    </row>
    <row r="748" spans="1:3" ht="12.9" customHeight="1">
      <c r="A748" s="381"/>
      <c r="B748" s="381"/>
      <c r="C748" s="442" t="s">
        <v>6725</v>
      </c>
    </row>
    <row r="749" spans="1:3" ht="12.9" customHeight="1">
      <c r="A749" s="381"/>
      <c r="B749" s="381"/>
      <c r="C749" s="381" t="s">
        <v>6726</v>
      </c>
    </row>
    <row r="750" spans="1:3" ht="12.9" customHeight="1">
      <c r="A750" s="381" t="s">
        <v>2590</v>
      </c>
      <c r="B750" s="381"/>
      <c r="C750" s="381" t="s">
        <v>6727</v>
      </c>
    </row>
    <row r="751" spans="1:3" ht="12.9" customHeight="1">
      <c r="A751" s="381"/>
      <c r="B751" s="381"/>
      <c r="C751" s="381" t="s">
        <v>6728</v>
      </c>
    </row>
    <row r="752" spans="1:3" ht="12.9" customHeight="1">
      <c r="A752" s="381"/>
      <c r="B752" s="381"/>
      <c r="C752" s="381" t="s">
        <v>6729</v>
      </c>
    </row>
    <row r="753" spans="1:3" ht="12.9" customHeight="1">
      <c r="A753" s="381"/>
      <c r="B753" s="381"/>
      <c r="C753" s="381" t="s">
        <v>6730</v>
      </c>
    </row>
    <row r="754" spans="1:3" ht="12.9" customHeight="1">
      <c r="A754" s="381"/>
      <c r="B754" s="381"/>
      <c r="C754" s="381" t="s">
        <v>6731</v>
      </c>
    </row>
    <row r="755" spans="1:3" ht="12.9" customHeight="1">
      <c r="A755" s="381"/>
      <c r="B755" s="381"/>
      <c r="C755" s="381" t="s">
        <v>6732</v>
      </c>
    </row>
    <row r="756" spans="1:3" ht="12.9" customHeight="1">
      <c r="A756" s="381"/>
      <c r="B756" s="381"/>
      <c r="C756" s="381" t="s">
        <v>6733</v>
      </c>
    </row>
    <row r="757" spans="1:3" ht="12.9" customHeight="1">
      <c r="A757" s="381"/>
      <c r="B757" s="381"/>
      <c r="C757" s="381" t="s">
        <v>6734</v>
      </c>
    </row>
    <row r="758" spans="1:3" ht="12.9" customHeight="1">
      <c r="A758" s="381"/>
      <c r="B758" s="381"/>
      <c r="C758" s="381" t="s">
        <v>6735</v>
      </c>
    </row>
    <row r="759" spans="1:3" ht="12.9" customHeight="1">
      <c r="A759" s="381" t="s">
        <v>4239</v>
      </c>
      <c r="B759" s="381"/>
      <c r="C759" s="381" t="s">
        <v>6736</v>
      </c>
    </row>
    <row r="760" spans="1:3" ht="12.9" customHeight="1">
      <c r="A760" s="381"/>
      <c r="B760" s="381"/>
      <c r="C760" s="381" t="s">
        <v>6737</v>
      </c>
    </row>
    <row r="761" spans="1:3" ht="12.9" customHeight="1">
      <c r="A761" s="381"/>
      <c r="B761" s="381"/>
      <c r="C761" s="381" t="s">
        <v>6738</v>
      </c>
    </row>
    <row r="762" spans="1:3" ht="12.9" customHeight="1">
      <c r="A762" s="381"/>
      <c r="B762" s="381"/>
      <c r="C762" s="381" t="s">
        <v>6739</v>
      </c>
    </row>
    <row r="763" spans="1:3" ht="12.9" customHeight="1">
      <c r="A763" s="381"/>
      <c r="B763" s="381"/>
      <c r="C763" s="381" t="s">
        <v>6740</v>
      </c>
    </row>
    <row r="764" spans="1:3" ht="12.9" customHeight="1">
      <c r="A764" s="381"/>
      <c r="B764" s="381"/>
      <c r="C764" s="381" t="s">
        <v>6741</v>
      </c>
    </row>
    <row r="765" spans="1:3" ht="12.9" customHeight="1">
      <c r="A765" s="381"/>
      <c r="B765" s="381"/>
      <c r="C765" s="381" t="s">
        <v>6742</v>
      </c>
    </row>
    <row r="766" spans="1:3" ht="12.9" customHeight="1">
      <c r="A766" s="381"/>
      <c r="B766" s="381" t="s">
        <v>2912</v>
      </c>
      <c r="C766" s="381" t="s">
        <v>6743</v>
      </c>
    </row>
    <row r="767" spans="1:3" ht="12.9" customHeight="1">
      <c r="A767" s="381" t="s">
        <v>4844</v>
      </c>
      <c r="B767" s="381"/>
      <c r="C767" s="381" t="s">
        <v>6744</v>
      </c>
    </row>
    <row r="768" spans="1:3" ht="12.9" customHeight="1">
      <c r="A768" s="381"/>
      <c r="B768" s="381"/>
      <c r="C768" s="381" t="s">
        <v>6745</v>
      </c>
    </row>
    <row r="769" spans="1:3" ht="12.9" customHeight="1">
      <c r="A769" s="381"/>
      <c r="B769" s="381"/>
      <c r="C769" s="381" t="s">
        <v>6746</v>
      </c>
    </row>
    <row r="770" spans="1:3" ht="12.9" customHeight="1">
      <c r="A770" s="381"/>
      <c r="B770" s="381"/>
      <c r="C770" s="381" t="s">
        <v>6747</v>
      </c>
    </row>
    <row r="771" spans="1:3" ht="12.9" customHeight="1">
      <c r="A771" s="381"/>
      <c r="B771" s="381"/>
      <c r="C771" s="381" t="s">
        <v>6748</v>
      </c>
    </row>
    <row r="772" spans="1:3" ht="12.9" customHeight="1">
      <c r="A772" s="381"/>
      <c r="B772" s="381"/>
      <c r="C772" s="442" t="s">
        <v>6705</v>
      </c>
    </row>
    <row r="773" spans="1:3" ht="12.9" customHeight="1">
      <c r="A773" s="381"/>
      <c r="B773" s="381"/>
      <c r="C773" s="381" t="s">
        <v>6706</v>
      </c>
    </row>
    <row r="774" spans="1:3" ht="12.9" customHeight="1">
      <c r="A774" s="381"/>
      <c r="B774" s="381"/>
      <c r="C774" s="381" t="s">
        <v>6707</v>
      </c>
    </row>
    <row r="775" spans="1:3" ht="12.9" customHeight="1">
      <c r="A775" s="381"/>
      <c r="B775" s="381"/>
      <c r="C775" s="381" t="s">
        <v>6749</v>
      </c>
    </row>
    <row r="776" spans="1:3" ht="12.9" customHeight="1">
      <c r="A776" s="381"/>
      <c r="B776" s="381"/>
      <c r="C776" s="381" t="s">
        <v>6750</v>
      </c>
    </row>
    <row r="777" spans="1:3" ht="12.9" customHeight="1">
      <c r="A777" s="381"/>
      <c r="B777" s="381"/>
      <c r="C777" s="381" t="s">
        <v>6751</v>
      </c>
    </row>
    <row r="778" spans="1:3" ht="12.9" customHeight="1">
      <c r="A778" s="381"/>
      <c r="B778" s="381"/>
      <c r="C778" s="381" t="s">
        <v>6752</v>
      </c>
    </row>
    <row r="779" spans="1:3" ht="12.9" customHeight="1">
      <c r="A779" s="381"/>
      <c r="B779" s="381"/>
      <c r="C779" s="381" t="s">
        <v>6753</v>
      </c>
    </row>
    <row r="780" spans="1:3" ht="12.9" customHeight="1">
      <c r="A780" s="381"/>
      <c r="B780" s="381"/>
      <c r="C780" s="381" t="s">
        <v>6754</v>
      </c>
    </row>
    <row r="781" spans="1:3" ht="12.9" customHeight="1">
      <c r="A781" s="381"/>
      <c r="B781" s="381"/>
      <c r="C781" s="381" t="s">
        <v>6755</v>
      </c>
    </row>
    <row r="782" spans="1:3" ht="12.9" customHeight="1">
      <c r="A782" s="381"/>
      <c r="B782" s="381"/>
      <c r="C782" s="381" t="s">
        <v>6756</v>
      </c>
    </row>
    <row r="783" spans="1:3" ht="12.9" customHeight="1">
      <c r="A783" s="381"/>
      <c r="B783" s="381"/>
      <c r="C783" s="381" t="s">
        <v>6757</v>
      </c>
    </row>
    <row r="784" spans="1:3" ht="12.9" customHeight="1">
      <c r="A784" s="381"/>
      <c r="B784" s="381"/>
      <c r="C784" s="381" t="s">
        <v>6758</v>
      </c>
    </row>
    <row r="785" spans="1:3" ht="12.9" customHeight="1">
      <c r="A785" s="381"/>
      <c r="B785" s="381"/>
      <c r="C785" s="381" t="s">
        <v>6759</v>
      </c>
    </row>
    <row r="786" spans="1:3" ht="12.9" customHeight="1">
      <c r="A786" s="381"/>
      <c r="B786" s="381"/>
      <c r="C786" s="381" t="s">
        <v>6760</v>
      </c>
    </row>
    <row r="787" spans="1:3" ht="12.9" customHeight="1">
      <c r="A787" s="381"/>
      <c r="B787" s="381"/>
      <c r="C787" s="381" t="s">
        <v>6761</v>
      </c>
    </row>
    <row r="788" spans="1:3" ht="12.9" customHeight="1">
      <c r="A788" s="381"/>
      <c r="B788" s="381"/>
      <c r="C788" s="381" t="s">
        <v>6762</v>
      </c>
    </row>
    <row r="789" spans="1:3" ht="12.9" customHeight="1">
      <c r="A789" s="381"/>
      <c r="B789" s="381"/>
      <c r="C789" s="381" t="s">
        <v>6763</v>
      </c>
    </row>
    <row r="790" spans="1:3" ht="12.9" customHeight="1">
      <c r="A790" s="381"/>
      <c r="B790" s="381"/>
      <c r="C790" s="381" t="s">
        <v>6764</v>
      </c>
    </row>
    <row r="791" spans="1:3" ht="12.9" customHeight="1">
      <c r="A791" s="381"/>
      <c r="B791" s="381"/>
      <c r="C791" s="381" t="s">
        <v>6765</v>
      </c>
    </row>
    <row r="792" spans="1:3" ht="12.9" customHeight="1">
      <c r="A792" s="381"/>
      <c r="B792" s="381" t="s">
        <v>644</v>
      </c>
      <c r="C792" s="381" t="s">
        <v>6037</v>
      </c>
    </row>
    <row r="793" spans="1:3" ht="12.9" customHeight="1">
      <c r="A793" s="381"/>
      <c r="B793" s="381"/>
      <c r="C793" s="381" t="s">
        <v>6766</v>
      </c>
    </row>
    <row r="794" spans="1:3" ht="12.9" customHeight="1">
      <c r="A794" s="381"/>
      <c r="B794" s="381"/>
      <c r="C794" s="381" t="s">
        <v>6767</v>
      </c>
    </row>
    <row r="795" spans="1:3" ht="12.9" customHeight="1">
      <c r="A795" s="381"/>
      <c r="B795" s="381"/>
      <c r="C795" s="381" t="s">
        <v>6768</v>
      </c>
    </row>
    <row r="796" spans="1:3" ht="12.9" customHeight="1">
      <c r="A796" s="381"/>
      <c r="B796" s="381"/>
      <c r="C796" s="381" t="s">
        <v>6769</v>
      </c>
    </row>
    <row r="797" spans="1:3" ht="12.9" customHeight="1">
      <c r="A797" s="381"/>
      <c r="B797" s="381"/>
      <c r="C797" s="381" t="s">
        <v>6770</v>
      </c>
    </row>
    <row r="798" spans="1:3" ht="12.9" customHeight="1">
      <c r="A798" s="381"/>
      <c r="B798" s="381"/>
      <c r="C798" s="381" t="s">
        <v>6771</v>
      </c>
    </row>
    <row r="799" spans="1:3" ht="12.9" customHeight="1">
      <c r="A799" s="381"/>
      <c r="B799" s="381"/>
      <c r="C799" s="381" t="s">
        <v>6772</v>
      </c>
    </row>
    <row r="800" spans="1:3" ht="12.9" customHeight="1">
      <c r="A800" s="381"/>
      <c r="B800" s="381"/>
      <c r="C800" s="381" t="s">
        <v>6773</v>
      </c>
    </row>
    <row r="801" spans="1:3" ht="12.9" customHeight="1">
      <c r="A801" s="381" t="s">
        <v>1010</v>
      </c>
      <c r="B801" s="381"/>
      <c r="C801" s="381"/>
    </row>
    <row r="802" spans="1:3" ht="12.9" customHeight="1">
      <c r="A802" s="381"/>
      <c r="B802" s="381"/>
      <c r="C802" s="442" t="s">
        <v>6774</v>
      </c>
    </row>
    <row r="803" spans="1:3" ht="12.9" customHeight="1">
      <c r="A803" s="381" t="s">
        <v>3468</v>
      </c>
      <c r="B803" s="381"/>
      <c r="C803" s="381"/>
    </row>
    <row r="804" spans="1:3" ht="12.9" customHeight="1">
      <c r="A804" s="381" t="s">
        <v>3109</v>
      </c>
      <c r="B804" s="381"/>
      <c r="C804" s="381"/>
    </row>
    <row r="805" spans="1:3" ht="12.9" customHeight="1">
      <c r="A805" s="381"/>
      <c r="B805" s="381"/>
      <c r="C805" s="381" t="s">
        <v>6775</v>
      </c>
    </row>
    <row r="806" spans="1:3" ht="12.9" customHeight="1">
      <c r="A806" s="381"/>
      <c r="B806" s="381" t="s">
        <v>5891</v>
      </c>
      <c r="C806" s="381" t="s">
        <v>6776</v>
      </c>
    </row>
    <row r="807" spans="1:3" ht="12.9" customHeight="1">
      <c r="A807" s="381"/>
      <c r="B807" s="381" t="s">
        <v>715</v>
      </c>
      <c r="C807" s="381" t="s">
        <v>6777</v>
      </c>
    </row>
    <row r="808" spans="1:3" ht="12.9" customHeight="1">
      <c r="A808" s="381"/>
      <c r="B808" s="381"/>
      <c r="C808" s="381" t="s">
        <v>6778</v>
      </c>
    </row>
    <row r="809" spans="1:3" ht="12.9" customHeight="1">
      <c r="A809" s="381"/>
      <c r="B809" s="381" t="s">
        <v>1229</v>
      </c>
      <c r="C809" s="381" t="s">
        <v>6779</v>
      </c>
    </row>
    <row r="810" spans="1:3" ht="12.9" customHeight="1">
      <c r="A810" s="381"/>
      <c r="B810" s="381" t="s">
        <v>2632</v>
      </c>
      <c r="C810" s="381" t="s">
        <v>3535</v>
      </c>
    </row>
    <row r="811" spans="1:3" ht="12.9" customHeight="1">
      <c r="A811" s="381"/>
      <c r="B811" s="381"/>
      <c r="C811" s="442" t="s">
        <v>6780</v>
      </c>
    </row>
    <row r="812" spans="1:3" ht="12.9" customHeight="1">
      <c r="A812" s="381"/>
      <c r="B812" s="381"/>
      <c r="C812" s="381" t="s">
        <v>6781</v>
      </c>
    </row>
    <row r="813" spans="1:3" ht="12.9" customHeight="1">
      <c r="A813" s="381"/>
      <c r="B813" s="381"/>
      <c r="C813" s="381" t="s">
        <v>6782</v>
      </c>
    </row>
    <row r="814" spans="1:3" ht="12.9" customHeight="1">
      <c r="A814" s="381" t="s">
        <v>1579</v>
      </c>
      <c r="B814" s="381" t="s">
        <v>5135</v>
      </c>
      <c r="C814" s="381" t="s">
        <v>6783</v>
      </c>
    </row>
    <row r="815" spans="1:3" ht="12.9" customHeight="1">
      <c r="A815" s="381" t="s">
        <v>4510</v>
      </c>
      <c r="B815" s="381"/>
      <c r="C815" s="381"/>
    </row>
    <row r="816" spans="1:3" ht="12.9" customHeight="1">
      <c r="A816" s="381"/>
      <c r="B816" s="381" t="s">
        <v>5667</v>
      </c>
      <c r="C816" s="381" t="s">
        <v>6784</v>
      </c>
    </row>
    <row r="817" spans="1:3" ht="12.9" customHeight="1">
      <c r="A817" s="381"/>
      <c r="B817" s="381" t="s">
        <v>5668</v>
      </c>
      <c r="C817" s="381" t="s">
        <v>6785</v>
      </c>
    </row>
    <row r="818" spans="1:3" ht="12.9" customHeight="1">
      <c r="A818" s="381"/>
      <c r="B818" s="381"/>
      <c r="C818" s="442" t="s">
        <v>6786</v>
      </c>
    </row>
    <row r="819" spans="1:3" ht="12.9" customHeight="1">
      <c r="A819" s="381"/>
      <c r="B819" s="381"/>
      <c r="C819" s="442" t="s">
        <v>6787</v>
      </c>
    </row>
    <row r="820" spans="1:3" ht="12.9" customHeight="1">
      <c r="A820" s="381"/>
      <c r="B820" s="381"/>
      <c r="C820" s="442" t="s">
        <v>6788</v>
      </c>
    </row>
    <row r="821" spans="1:3" ht="12.9" customHeight="1">
      <c r="A821" s="381"/>
      <c r="B821" s="381"/>
      <c r="C821" s="381" t="s">
        <v>6789</v>
      </c>
    </row>
    <row r="822" spans="1:3" ht="12.9" customHeight="1">
      <c r="A822" s="381"/>
      <c r="B822" s="381"/>
      <c r="C822" s="381" t="s">
        <v>6790</v>
      </c>
    </row>
    <row r="823" spans="1:3" ht="12.9" customHeight="1">
      <c r="A823" s="381"/>
      <c r="B823" s="381"/>
      <c r="C823" s="381" t="s">
        <v>6791</v>
      </c>
    </row>
    <row r="824" spans="1:3" ht="12.9" customHeight="1">
      <c r="A824" s="381"/>
      <c r="B824" s="381"/>
      <c r="C824" s="381" t="s">
        <v>6792</v>
      </c>
    </row>
    <row r="825" spans="1:3" ht="12.9" customHeight="1">
      <c r="A825" s="381"/>
      <c r="B825" s="381"/>
      <c r="C825" s="381" t="s">
        <v>6793</v>
      </c>
    </row>
    <row r="826" spans="1:3" ht="12.9" customHeight="1">
      <c r="A826" s="381"/>
      <c r="B826" s="381"/>
      <c r="C826" s="381" t="s">
        <v>6794</v>
      </c>
    </row>
    <row r="827" spans="1:3" ht="12.9" customHeight="1">
      <c r="A827" s="381"/>
      <c r="B827" s="381"/>
      <c r="C827" s="381" t="s">
        <v>6795</v>
      </c>
    </row>
    <row r="828" spans="1:3" ht="12.9" customHeight="1">
      <c r="A828" s="381"/>
      <c r="B828" s="381"/>
      <c r="C828" s="381" t="s">
        <v>6796</v>
      </c>
    </row>
    <row r="829" spans="1:3" ht="12.9" customHeight="1">
      <c r="A829" s="381"/>
      <c r="B829" s="381"/>
      <c r="C829" s="381" t="s">
        <v>6797</v>
      </c>
    </row>
    <row r="830" spans="1:3" ht="12.9" customHeight="1">
      <c r="A830" s="381" t="s">
        <v>2815</v>
      </c>
      <c r="B830" s="381"/>
      <c r="C830" s="381"/>
    </row>
    <row r="831" spans="1:3" ht="12.9" customHeight="1">
      <c r="A831" s="381"/>
      <c r="B831" s="381"/>
      <c r="C831" s="381" t="s">
        <v>6798</v>
      </c>
    </row>
    <row r="832" spans="1:3" ht="12.9" customHeight="1">
      <c r="A832" s="381"/>
      <c r="B832" s="381"/>
      <c r="C832" s="381" t="s">
        <v>6799</v>
      </c>
    </row>
    <row r="833" spans="1:3" ht="12.9" customHeight="1">
      <c r="A833" s="381"/>
      <c r="B833" s="381"/>
      <c r="C833" s="381" t="s">
        <v>6800</v>
      </c>
    </row>
    <row r="834" spans="1:3" ht="12.9" customHeight="1">
      <c r="A834" s="381" t="s">
        <v>5136</v>
      </c>
      <c r="B834" s="381"/>
      <c r="C834" s="381"/>
    </row>
    <row r="835" spans="1:3" ht="12.9" customHeight="1">
      <c r="A835" s="381"/>
      <c r="B835" s="381" t="s">
        <v>5141</v>
      </c>
      <c r="C835" s="381" t="s">
        <v>6801</v>
      </c>
    </row>
    <row r="836" spans="1:3" ht="12.9" customHeight="1">
      <c r="A836" s="381"/>
      <c r="B836" s="381"/>
      <c r="C836" s="381" t="s">
        <v>6802</v>
      </c>
    </row>
    <row r="837" spans="1:3" ht="12.9" customHeight="1">
      <c r="A837" s="381"/>
      <c r="B837" s="381"/>
      <c r="C837" s="381" t="s">
        <v>6803</v>
      </c>
    </row>
    <row r="838" spans="1:3" ht="12.9" customHeight="1">
      <c r="A838" s="381" t="s">
        <v>2516</v>
      </c>
      <c r="B838" s="381"/>
      <c r="C838" s="381"/>
    </row>
    <row r="839" spans="1:3" ht="12.9" customHeight="1">
      <c r="A839" s="381"/>
      <c r="B839" s="381"/>
      <c r="C839" s="381" t="s">
        <v>6804</v>
      </c>
    </row>
    <row r="840" spans="1:3" ht="12.9" customHeight="1">
      <c r="A840" s="381"/>
      <c r="B840" s="381"/>
      <c r="C840" s="381" t="s">
        <v>6805</v>
      </c>
    </row>
    <row r="841" spans="1:3" ht="12.9" customHeight="1">
      <c r="A841" s="381"/>
      <c r="B841" s="381"/>
      <c r="C841" s="381" t="s">
        <v>6806</v>
      </c>
    </row>
    <row r="842" spans="1:3" ht="12.9" customHeight="1">
      <c r="A842" s="381"/>
      <c r="B842" s="381"/>
      <c r="C842" s="381" t="s">
        <v>6807</v>
      </c>
    </row>
    <row r="843" spans="1:3" ht="12.9" customHeight="1">
      <c r="A843" s="381"/>
      <c r="B843" s="381"/>
      <c r="C843" s="381" t="s">
        <v>6808</v>
      </c>
    </row>
    <row r="844" spans="1:3" ht="12.9" customHeight="1">
      <c r="A844" s="381"/>
      <c r="B844" s="381"/>
      <c r="C844" s="381" t="s">
        <v>6809</v>
      </c>
    </row>
    <row r="845" spans="1:3" ht="12.9" customHeight="1">
      <c r="A845" s="381"/>
      <c r="B845" s="381"/>
      <c r="C845" s="381" t="s">
        <v>6810</v>
      </c>
    </row>
    <row r="846" spans="1:3" ht="12.9" customHeight="1">
      <c r="A846" s="381"/>
      <c r="B846" s="381"/>
      <c r="C846" s="381" t="s">
        <v>6811</v>
      </c>
    </row>
    <row r="847" spans="1:3" ht="12.9" customHeight="1">
      <c r="A847" s="381"/>
      <c r="B847" s="381" t="s">
        <v>5610</v>
      </c>
      <c r="C847" s="381" t="s">
        <v>6812</v>
      </c>
    </row>
    <row r="848" spans="1:3" ht="12.9" customHeight="1">
      <c r="A848" s="381" t="s">
        <v>1006</v>
      </c>
      <c r="B848" s="381"/>
      <c r="C848" s="381" t="s">
        <v>6813</v>
      </c>
    </row>
    <row r="849" spans="1:3" ht="12.9" customHeight="1">
      <c r="A849" s="381"/>
      <c r="B849" s="381"/>
      <c r="C849" s="381" t="s">
        <v>6814</v>
      </c>
    </row>
    <row r="850" spans="1:3" ht="12.9" customHeight="1">
      <c r="A850" s="381"/>
      <c r="B850" s="381"/>
      <c r="C850" s="381" t="s">
        <v>6815</v>
      </c>
    </row>
    <row r="851" spans="1:3" ht="12.9" customHeight="1">
      <c r="A851" s="381"/>
      <c r="B851" s="381"/>
      <c r="C851" s="381" t="s">
        <v>6816</v>
      </c>
    </row>
    <row r="852" spans="1:3" ht="12.9" customHeight="1">
      <c r="A852" s="381"/>
      <c r="B852" s="381"/>
      <c r="C852" s="381" t="s">
        <v>6817</v>
      </c>
    </row>
    <row r="853" spans="1:3" ht="12.9" customHeight="1">
      <c r="A853" s="381"/>
      <c r="B853" s="381"/>
      <c r="C853" s="381" t="s">
        <v>6818</v>
      </c>
    </row>
    <row r="854" spans="1:3" ht="12.9" customHeight="1">
      <c r="A854" s="381"/>
      <c r="B854" s="381"/>
      <c r="C854" s="381" t="s">
        <v>6819</v>
      </c>
    </row>
    <row r="855" spans="1:3" ht="12.9" customHeight="1">
      <c r="A855" s="381"/>
      <c r="B855" s="381"/>
      <c r="C855" s="381" t="s">
        <v>6820</v>
      </c>
    </row>
    <row r="856" spans="1:3" ht="12.9" customHeight="1">
      <c r="A856" s="381"/>
      <c r="B856" s="381"/>
      <c r="C856" s="381" t="s">
        <v>6821</v>
      </c>
    </row>
    <row r="857" spans="1:3" ht="12.9" customHeight="1">
      <c r="A857" s="381"/>
      <c r="B857" s="381"/>
      <c r="C857" s="381" t="s">
        <v>6822</v>
      </c>
    </row>
    <row r="858" spans="1:3" ht="12.9" customHeight="1">
      <c r="A858" s="381"/>
      <c r="B858" s="381"/>
      <c r="C858" s="381" t="s">
        <v>6823</v>
      </c>
    </row>
    <row r="859" spans="1:3" ht="12.9" customHeight="1">
      <c r="A859" s="381"/>
      <c r="B859" s="381"/>
      <c r="C859" s="381" t="s">
        <v>6824</v>
      </c>
    </row>
    <row r="860" spans="1:3" ht="12.9" customHeight="1">
      <c r="A860" s="381"/>
      <c r="B860" s="381"/>
      <c r="C860" s="381" t="s">
        <v>6825</v>
      </c>
    </row>
    <row r="861" spans="1:3" ht="12.9" customHeight="1">
      <c r="A861" s="381"/>
      <c r="B861" s="381"/>
      <c r="C861" s="381" t="s">
        <v>6826</v>
      </c>
    </row>
    <row r="862" spans="1:3" ht="12.9" customHeight="1">
      <c r="A862" s="381"/>
      <c r="B862" s="381"/>
      <c r="C862" s="381" t="s">
        <v>6827</v>
      </c>
    </row>
    <row r="863" spans="1:3" ht="12.9" customHeight="1">
      <c r="A863" s="381"/>
      <c r="B863" s="381"/>
      <c r="C863" s="381" t="s">
        <v>6828</v>
      </c>
    </row>
    <row r="864" spans="1:3" ht="12.9" customHeight="1">
      <c r="A864" s="381"/>
      <c r="B864" s="381"/>
      <c r="C864" s="442" t="s">
        <v>6829</v>
      </c>
    </row>
    <row r="865" spans="1:3" ht="12.9" customHeight="1">
      <c r="A865" s="381"/>
      <c r="B865" s="381"/>
      <c r="C865" s="381" t="s">
        <v>6830</v>
      </c>
    </row>
    <row r="866" spans="1:3" ht="12.9" customHeight="1">
      <c r="A866" s="381" t="s">
        <v>5075</v>
      </c>
      <c r="B866" s="381"/>
      <c r="C866" s="381" t="s">
        <v>6831</v>
      </c>
    </row>
    <row r="867" spans="1:3" ht="12.9" customHeight="1">
      <c r="A867" s="381"/>
      <c r="B867" s="381"/>
      <c r="C867" s="381" t="s">
        <v>6832</v>
      </c>
    </row>
    <row r="868" spans="1:3" ht="12.9" customHeight="1">
      <c r="A868" s="381"/>
      <c r="B868" s="381"/>
      <c r="C868" s="381" t="s">
        <v>6833</v>
      </c>
    </row>
    <row r="869" spans="1:3" ht="12.9" customHeight="1">
      <c r="A869" s="381"/>
      <c r="B869" s="381"/>
      <c r="C869" s="381" t="s">
        <v>6834</v>
      </c>
    </row>
    <row r="870" spans="1:3" ht="12.9" customHeight="1">
      <c r="A870" s="381"/>
      <c r="B870" s="381"/>
      <c r="C870" s="381" t="s">
        <v>6835</v>
      </c>
    </row>
    <row r="871" spans="1:3" ht="12.9" customHeight="1">
      <c r="A871" s="381"/>
      <c r="B871" s="381"/>
      <c r="C871" s="381" t="s">
        <v>6836</v>
      </c>
    </row>
    <row r="872" spans="1:3" ht="12.9" customHeight="1">
      <c r="A872" s="381"/>
      <c r="B872" s="381"/>
      <c r="C872" s="381" t="s">
        <v>6837</v>
      </c>
    </row>
    <row r="873" spans="1:3" ht="12.9" customHeight="1">
      <c r="A873" s="381"/>
      <c r="B873" s="381"/>
      <c r="C873" s="381" t="s">
        <v>6838</v>
      </c>
    </row>
    <row r="874" spans="1:3" ht="12.9" customHeight="1">
      <c r="A874" s="381" t="s">
        <v>4790</v>
      </c>
      <c r="B874" s="381" t="s">
        <v>4009</v>
      </c>
      <c r="C874" s="381" t="s">
        <v>709</v>
      </c>
    </row>
    <row r="875" spans="1:3" ht="12.9" customHeight="1">
      <c r="A875" s="381"/>
      <c r="B875" s="381" t="s">
        <v>5809</v>
      </c>
      <c r="C875" s="381" t="s">
        <v>5809</v>
      </c>
    </row>
    <row r="876" spans="1:3" ht="12.9" customHeight="1">
      <c r="A876" s="381"/>
      <c r="B876" s="381" t="s">
        <v>4112</v>
      </c>
      <c r="C876" s="381" t="s">
        <v>4447</v>
      </c>
    </row>
    <row r="877" spans="1:3" ht="12.9" customHeight="1">
      <c r="A877" s="381"/>
      <c r="B877" s="381" t="s">
        <v>4113</v>
      </c>
      <c r="C877" s="381" t="s">
        <v>1014</v>
      </c>
    </row>
    <row r="878" spans="1:3" ht="12.9" customHeight="1">
      <c r="A878" s="381"/>
      <c r="B878" s="381" t="s">
        <v>4114</v>
      </c>
      <c r="C878" s="381" t="s">
        <v>2730</v>
      </c>
    </row>
    <row r="879" spans="1:3" ht="12.9" customHeight="1">
      <c r="A879" s="381"/>
      <c r="B879" s="381" t="s">
        <v>3293</v>
      </c>
      <c r="C879" s="381" t="s">
        <v>2731</v>
      </c>
    </row>
    <row r="880" spans="1:3" ht="12.9" customHeight="1">
      <c r="A880" s="381"/>
      <c r="B880" s="381" t="s">
        <v>3294</v>
      </c>
      <c r="C880" s="381" t="s">
        <v>6839</v>
      </c>
    </row>
    <row r="881" spans="1:3" ht="12.9" customHeight="1">
      <c r="A881" s="381"/>
      <c r="B881" s="381" t="s">
        <v>3295</v>
      </c>
      <c r="C881" s="381" t="s">
        <v>6840</v>
      </c>
    </row>
    <row r="882" spans="1:3" ht="12.9" customHeight="1">
      <c r="A882" s="381"/>
      <c r="B882" s="381" t="s">
        <v>3501</v>
      </c>
      <c r="C882" s="381" t="s">
        <v>6841</v>
      </c>
    </row>
    <row r="883" spans="1:3" ht="12.9" customHeight="1">
      <c r="A883" s="381"/>
      <c r="B883" s="381" t="s">
        <v>1580</v>
      </c>
      <c r="C883" s="381" t="s">
        <v>10</v>
      </c>
    </row>
    <row r="884" spans="1:3" ht="12.9" customHeight="1">
      <c r="A884" s="381"/>
      <c r="B884" s="381" t="s">
        <v>1581</v>
      </c>
      <c r="C884" s="381" t="s">
        <v>6842</v>
      </c>
    </row>
    <row r="885" spans="1:3" ht="12.9" customHeight="1">
      <c r="A885" s="381"/>
      <c r="B885" s="381" t="s">
        <v>3884</v>
      </c>
      <c r="C885" s="381" t="s">
        <v>6843</v>
      </c>
    </row>
    <row r="886" spans="1:3" ht="12.9" customHeight="1">
      <c r="A886" s="381"/>
      <c r="B886" s="381" t="s">
        <v>3885</v>
      </c>
      <c r="C886" s="381" t="s">
        <v>11</v>
      </c>
    </row>
    <row r="887" spans="1:3" ht="12.9" customHeight="1">
      <c r="A887" s="381"/>
      <c r="B887" s="381" t="s">
        <v>3886</v>
      </c>
      <c r="C887" s="381" t="s">
        <v>2968</v>
      </c>
    </row>
    <row r="888" spans="1:3" ht="12.9" customHeight="1">
      <c r="A888" s="381"/>
      <c r="B888" s="381" t="s">
        <v>4604</v>
      </c>
      <c r="C888" s="381" t="s">
        <v>6844</v>
      </c>
    </row>
    <row r="889" spans="1:3" ht="12.9" customHeight="1">
      <c r="A889" s="381"/>
      <c r="B889" s="381" t="s">
        <v>5939</v>
      </c>
      <c r="C889" s="381" t="s">
        <v>6845</v>
      </c>
    </row>
    <row r="890" spans="1:3" ht="12.9" customHeight="1">
      <c r="A890" s="381"/>
      <c r="B890" s="381" t="s">
        <v>5940</v>
      </c>
      <c r="C890" s="381" t="s">
        <v>12</v>
      </c>
    </row>
    <row r="891" spans="1:3" ht="12.9" customHeight="1">
      <c r="A891" s="381"/>
      <c r="B891" s="381" t="s">
        <v>4696</v>
      </c>
      <c r="C891" s="381" t="s">
        <v>13</v>
      </c>
    </row>
    <row r="892" spans="1:3" ht="12.9" customHeight="1">
      <c r="A892" s="381"/>
      <c r="B892" s="381" t="s">
        <v>1796</v>
      </c>
      <c r="C892" s="381" t="s">
        <v>3819</v>
      </c>
    </row>
    <row r="893" spans="1:3" ht="12.9" customHeight="1">
      <c r="A893" s="381"/>
      <c r="B893" s="381" t="s">
        <v>5265</v>
      </c>
      <c r="C893" s="381" t="s">
        <v>6846</v>
      </c>
    </row>
    <row r="894" spans="1:3" ht="12.9" customHeight="1">
      <c r="A894" s="381"/>
      <c r="B894" s="381" t="s">
        <v>5266</v>
      </c>
      <c r="C894" s="381" t="s">
        <v>6847</v>
      </c>
    </row>
    <row r="895" spans="1:3" ht="12.9" customHeight="1">
      <c r="A895" s="381"/>
      <c r="B895" s="381" t="s">
        <v>1738</v>
      </c>
      <c r="C895" s="381" t="s">
        <v>6848</v>
      </c>
    </row>
    <row r="896" spans="1:3" ht="12.9" customHeight="1">
      <c r="A896" s="381"/>
      <c r="B896" s="381" t="s">
        <v>1739</v>
      </c>
      <c r="C896" s="381" t="s">
        <v>5139</v>
      </c>
    </row>
    <row r="897" spans="1:3" ht="12.9" customHeight="1">
      <c r="A897" s="381"/>
      <c r="B897" s="381" t="s">
        <v>1392</v>
      </c>
      <c r="C897" s="381" t="s">
        <v>14</v>
      </c>
    </row>
    <row r="898" spans="1:3" ht="12.9" customHeight="1">
      <c r="A898" s="381"/>
      <c r="B898" s="381" t="s">
        <v>1504</v>
      </c>
      <c r="C898" s="381" t="s">
        <v>672</v>
      </c>
    </row>
    <row r="899" spans="1:3" ht="12.9" customHeight="1">
      <c r="A899" s="381"/>
      <c r="B899" s="381" t="s">
        <v>367</v>
      </c>
      <c r="C899" s="381" t="s">
        <v>15</v>
      </c>
    </row>
    <row r="900" spans="1:3" ht="12.9" customHeight="1">
      <c r="A900" s="381"/>
      <c r="B900" s="381" t="s">
        <v>368</v>
      </c>
      <c r="C900" s="381" t="s">
        <v>6849</v>
      </c>
    </row>
    <row r="901" spans="1:3" ht="12.9" customHeight="1">
      <c r="A901" s="381"/>
      <c r="B901" s="381" t="s">
        <v>369</v>
      </c>
      <c r="C901" s="381" t="s">
        <v>6850</v>
      </c>
    </row>
    <row r="902" spans="1:3" ht="12.9" customHeight="1">
      <c r="A902" s="381"/>
      <c r="B902" s="381" t="s">
        <v>383</v>
      </c>
      <c r="C902" s="381" t="s">
        <v>3401</v>
      </c>
    </row>
    <row r="903" spans="1:3" ht="12.9" customHeight="1">
      <c r="A903" s="381"/>
      <c r="B903" s="381" t="s">
        <v>3978</v>
      </c>
      <c r="C903" s="381" t="s">
        <v>16</v>
      </c>
    </row>
    <row r="904" spans="1:3" ht="12.9" customHeight="1">
      <c r="A904" s="381"/>
      <c r="B904" s="381" t="s">
        <v>3979</v>
      </c>
      <c r="C904" s="381" t="s">
        <v>17</v>
      </c>
    </row>
    <row r="905" spans="1:3" ht="12.9" customHeight="1">
      <c r="A905" s="381"/>
      <c r="B905" s="381" t="s">
        <v>3980</v>
      </c>
      <c r="C905" s="381" t="s">
        <v>6851</v>
      </c>
    </row>
    <row r="906" spans="1:3" ht="12.9" customHeight="1">
      <c r="A906" s="381"/>
      <c r="B906" s="381" t="s">
        <v>2219</v>
      </c>
      <c r="C906" s="381" t="s">
        <v>6852</v>
      </c>
    </row>
    <row r="907" spans="1:3" ht="12.9" customHeight="1">
      <c r="A907" s="381"/>
      <c r="B907" s="381" t="s">
        <v>4841</v>
      </c>
      <c r="C907" s="381" t="s">
        <v>18</v>
      </c>
    </row>
    <row r="908" spans="1:3" ht="12.9" customHeight="1">
      <c r="A908" s="381"/>
      <c r="B908" s="381" t="s">
        <v>3260</v>
      </c>
      <c r="C908" s="381" t="s">
        <v>673</v>
      </c>
    </row>
    <row r="909" spans="1:3" ht="12.9" customHeight="1">
      <c r="A909" s="381"/>
      <c r="B909" s="381" t="s">
        <v>4605</v>
      </c>
      <c r="C909" s="381" t="s">
        <v>6853</v>
      </c>
    </row>
    <row r="910" spans="1:3" ht="12.9" customHeight="1">
      <c r="A910" s="381"/>
      <c r="B910" s="381" t="s">
        <v>3261</v>
      </c>
      <c r="C910" s="381" t="s">
        <v>6854</v>
      </c>
    </row>
    <row r="911" spans="1:3" ht="12.9" customHeight="1">
      <c r="A911" s="381"/>
      <c r="B911" s="381" t="s">
        <v>1343</v>
      </c>
      <c r="C911" s="381" t="s">
        <v>6855</v>
      </c>
    </row>
    <row r="912" spans="1:3" ht="12.9" customHeight="1">
      <c r="A912" s="381"/>
      <c r="B912" s="381" t="s">
        <v>1344</v>
      </c>
      <c r="C912" s="381" t="s">
        <v>6856</v>
      </c>
    </row>
    <row r="913" spans="1:3" ht="12.9" customHeight="1">
      <c r="A913" s="381"/>
      <c r="B913" s="381" t="s">
        <v>3262</v>
      </c>
      <c r="C913" s="381" t="s">
        <v>19</v>
      </c>
    </row>
    <row r="914" spans="1:3" ht="12.9" customHeight="1">
      <c r="A914" s="381"/>
      <c r="B914" s="381" t="s">
        <v>3263</v>
      </c>
      <c r="C914" s="381" t="s">
        <v>6857</v>
      </c>
    </row>
    <row r="915" spans="1:3" ht="12.9" customHeight="1">
      <c r="A915" s="381"/>
      <c r="B915" s="381" t="s">
        <v>4040</v>
      </c>
      <c r="C915" s="381" t="s">
        <v>5655</v>
      </c>
    </row>
    <row r="916" spans="1:3" ht="12.9" customHeight="1">
      <c r="A916" s="381"/>
      <c r="B916" s="381" t="s">
        <v>4041</v>
      </c>
      <c r="C916" s="381" t="s">
        <v>2721</v>
      </c>
    </row>
    <row r="917" spans="1:3" ht="12.9" customHeight="1">
      <c r="A917" s="381"/>
      <c r="B917" s="381" t="s">
        <v>3756</v>
      </c>
      <c r="C917" s="381" t="s">
        <v>6858</v>
      </c>
    </row>
    <row r="918" spans="1:3" ht="12.9" customHeight="1">
      <c r="A918" s="381"/>
      <c r="B918" s="381" t="s">
        <v>3757</v>
      </c>
      <c r="C918" s="381" t="s">
        <v>6859</v>
      </c>
    </row>
    <row r="919" spans="1:3" ht="12.9" customHeight="1">
      <c r="A919" s="381"/>
      <c r="B919" s="381" t="s">
        <v>6000</v>
      </c>
      <c r="C919" s="381" t="s">
        <v>5312</v>
      </c>
    </row>
    <row r="920" spans="1:3" ht="12.9" customHeight="1">
      <c r="A920" s="381"/>
      <c r="B920" s="381" t="s">
        <v>945</v>
      </c>
      <c r="C920" s="381" t="s">
        <v>6860</v>
      </c>
    </row>
    <row r="921" spans="1:3" ht="12.9" customHeight="1">
      <c r="A921" s="381"/>
      <c r="B921" s="381" t="s">
        <v>946</v>
      </c>
      <c r="C921" s="381" t="s">
        <v>6861</v>
      </c>
    </row>
    <row r="922" spans="1:3" ht="12.9" customHeight="1">
      <c r="A922" s="381"/>
      <c r="B922" s="381" t="s">
        <v>947</v>
      </c>
      <c r="C922" s="381" t="s">
        <v>6862</v>
      </c>
    </row>
    <row r="923" spans="1:3" ht="12.9" customHeight="1">
      <c r="A923" s="381"/>
      <c r="B923" s="381" t="s">
        <v>948</v>
      </c>
      <c r="C923" s="381" t="s">
        <v>6863</v>
      </c>
    </row>
    <row r="924" spans="1:3" ht="12.9" customHeight="1">
      <c r="A924" s="381"/>
      <c r="B924" s="381" t="s">
        <v>3232</v>
      </c>
      <c r="C924" s="381" t="s">
        <v>20</v>
      </c>
    </row>
    <row r="925" spans="1:3" ht="12.9" customHeight="1">
      <c r="A925" s="381"/>
      <c r="B925" s="381" t="s">
        <v>3233</v>
      </c>
      <c r="C925" s="381" t="s">
        <v>21</v>
      </c>
    </row>
    <row r="926" spans="1:3" ht="12.9" customHeight="1">
      <c r="A926" s="381"/>
      <c r="B926" s="381" t="s">
        <v>5632</v>
      </c>
      <c r="C926" s="381" t="s">
        <v>6864</v>
      </c>
    </row>
    <row r="927" spans="1:3" ht="12.9" customHeight="1">
      <c r="A927" s="381"/>
      <c r="B927" s="381" t="s">
        <v>2934</v>
      </c>
      <c r="C927" s="381" t="s">
        <v>6865</v>
      </c>
    </row>
    <row r="928" spans="1:3" ht="12.9" customHeight="1">
      <c r="A928" s="381"/>
      <c r="B928" s="381" t="s">
        <v>491</v>
      </c>
      <c r="C928" s="381" t="s">
        <v>22</v>
      </c>
    </row>
    <row r="929" spans="1:3" ht="12.9" customHeight="1">
      <c r="A929" s="381"/>
      <c r="B929" s="381" t="s">
        <v>1938</v>
      </c>
      <c r="C929" s="381" t="s">
        <v>6866</v>
      </c>
    </row>
    <row r="930" spans="1:3" ht="12.9" customHeight="1">
      <c r="A930" s="381"/>
      <c r="B930" s="381" t="s">
        <v>3563</v>
      </c>
      <c r="C930" s="381" t="s">
        <v>6867</v>
      </c>
    </row>
    <row r="931" spans="1:3" ht="12.9" customHeight="1">
      <c r="A931" s="381"/>
      <c r="B931" s="381" t="s">
        <v>3564</v>
      </c>
      <c r="C931" s="381" t="s">
        <v>6868</v>
      </c>
    </row>
    <row r="932" spans="1:3" ht="12.9" customHeight="1">
      <c r="A932" s="381"/>
      <c r="B932" s="381" t="s">
        <v>1707</v>
      </c>
      <c r="C932" s="381" t="s">
        <v>4086</v>
      </c>
    </row>
    <row r="933" spans="1:3" ht="12.9" customHeight="1">
      <c r="A933" s="381"/>
      <c r="B933" s="381" t="s">
        <v>2220</v>
      </c>
      <c r="C933" s="381" t="s">
        <v>6869</v>
      </c>
    </row>
    <row r="934" spans="1:3" ht="12.9" customHeight="1">
      <c r="A934" s="381"/>
      <c r="B934" s="381" t="s">
        <v>2138</v>
      </c>
      <c r="C934" s="381" t="s">
        <v>6870</v>
      </c>
    </row>
    <row r="935" spans="1:3" ht="12.9" customHeight="1">
      <c r="A935" s="381"/>
      <c r="B935" s="381" t="s">
        <v>5069</v>
      </c>
      <c r="C935" s="381" t="s">
        <v>3070</v>
      </c>
    </row>
    <row r="936" spans="1:3" ht="12.9" customHeight="1">
      <c r="A936" s="381"/>
      <c r="B936" s="381" t="s">
        <v>5600</v>
      </c>
      <c r="C936" s="381" t="s">
        <v>6871</v>
      </c>
    </row>
    <row r="937" spans="1:3" ht="12.9" customHeight="1">
      <c r="A937" s="381"/>
      <c r="B937" s="381" t="s">
        <v>164</v>
      </c>
      <c r="C937" s="381" t="s">
        <v>6872</v>
      </c>
    </row>
    <row r="938" spans="1:3" ht="12.9" customHeight="1">
      <c r="A938" s="381"/>
      <c r="B938" s="381" t="s">
        <v>180</v>
      </c>
      <c r="C938" s="381" t="s">
        <v>6873</v>
      </c>
    </row>
    <row r="939" spans="1:3" ht="12.9" customHeight="1">
      <c r="A939" s="381"/>
      <c r="B939" s="381" t="s">
        <v>3452</v>
      </c>
      <c r="C939" s="381" t="s">
        <v>6708</v>
      </c>
    </row>
    <row r="940" spans="1:3" ht="12.9" customHeight="1">
      <c r="A940" s="381"/>
      <c r="B940" s="381" t="s">
        <v>1863</v>
      </c>
      <c r="C940" s="381" t="s">
        <v>6709</v>
      </c>
    </row>
    <row r="941" spans="1:3" ht="12.9" customHeight="1">
      <c r="A941" s="381"/>
      <c r="B941" s="381" t="s">
        <v>1864</v>
      </c>
      <c r="C941" s="381" t="s">
        <v>6710</v>
      </c>
    </row>
    <row r="942" spans="1:3" ht="12.9" customHeight="1">
      <c r="A942" s="381"/>
      <c r="B942" s="381" t="s">
        <v>4037</v>
      </c>
      <c r="C942" s="381" t="s">
        <v>9</v>
      </c>
    </row>
    <row r="943" spans="1:3" ht="12.9" customHeight="1">
      <c r="A943" s="381"/>
      <c r="B943" s="381" t="s">
        <v>5411</v>
      </c>
      <c r="C943" s="381" t="s">
        <v>6711</v>
      </c>
    </row>
    <row r="944" spans="1:3" ht="12.9" customHeight="1">
      <c r="A944" s="381"/>
      <c r="B944" s="381" t="s">
        <v>4228</v>
      </c>
      <c r="C944" s="381" t="s">
        <v>6712</v>
      </c>
    </row>
    <row r="945" spans="1:3" ht="12.9" customHeight="1">
      <c r="A945" s="381"/>
      <c r="B945" s="381" t="s">
        <v>2126</v>
      </c>
      <c r="C945" s="381" t="s">
        <v>6713</v>
      </c>
    </row>
    <row r="946" spans="1:3" ht="12.9" customHeight="1">
      <c r="A946" s="381"/>
      <c r="B946" s="381" t="s">
        <v>2127</v>
      </c>
      <c r="C946" s="381" t="s">
        <v>3821</v>
      </c>
    </row>
    <row r="947" spans="1:3" ht="12.9" customHeight="1">
      <c r="A947" s="381"/>
      <c r="B947" s="381" t="s">
        <v>5338</v>
      </c>
      <c r="C947" s="381" t="s">
        <v>6874</v>
      </c>
    </row>
    <row r="948" spans="1:3" ht="12.9" customHeight="1">
      <c r="A948" s="381"/>
      <c r="B948" s="381" t="s">
        <v>2844</v>
      </c>
      <c r="C948" s="381" t="s">
        <v>6875</v>
      </c>
    </row>
    <row r="949" spans="1:3" ht="12.9" customHeight="1">
      <c r="A949" s="381"/>
      <c r="B949" s="381" t="s">
        <v>4862</v>
      </c>
      <c r="C949" s="381" t="s">
        <v>6876</v>
      </c>
    </row>
    <row r="950" spans="1:3" ht="12.9" customHeight="1">
      <c r="A950" s="381"/>
      <c r="B950" s="381" t="s">
        <v>4863</v>
      </c>
      <c r="C950" s="381" t="s">
        <v>6877</v>
      </c>
    </row>
    <row r="951" spans="1:3" ht="12.9" customHeight="1">
      <c r="A951" s="381"/>
      <c r="B951" s="381" t="s">
        <v>4258</v>
      </c>
      <c r="C951" s="381" t="s">
        <v>6878</v>
      </c>
    </row>
    <row r="952" spans="1:3" ht="12.9" customHeight="1">
      <c r="A952" s="381"/>
      <c r="B952" s="381" t="s">
        <v>4259</v>
      </c>
      <c r="C952" s="381" t="s">
        <v>6879</v>
      </c>
    </row>
    <row r="953" spans="1:3" ht="12.9" customHeight="1">
      <c r="A953" s="381"/>
      <c r="B953" s="381" t="s">
        <v>103</v>
      </c>
      <c r="C953" s="381" t="s">
        <v>23</v>
      </c>
    </row>
    <row r="954" spans="1:3" ht="12.9" customHeight="1">
      <c r="A954" s="381"/>
      <c r="B954" s="381" t="s">
        <v>104</v>
      </c>
      <c r="C954" s="381" t="s">
        <v>6880</v>
      </c>
    </row>
    <row r="955" spans="1:3" ht="12.9" customHeight="1">
      <c r="A955" s="381"/>
      <c r="B955" s="381" t="s">
        <v>303</v>
      </c>
      <c r="C955" s="381" t="s">
        <v>6881</v>
      </c>
    </row>
    <row r="956" spans="1:3" ht="12.9" customHeight="1">
      <c r="A956" s="381"/>
      <c r="B956" s="381" t="s">
        <v>5215</v>
      </c>
      <c r="C956" s="381" t="s">
        <v>6882</v>
      </c>
    </row>
    <row r="957" spans="1:3" ht="12.9" customHeight="1">
      <c r="A957" s="381"/>
      <c r="B957" s="381" t="s">
        <v>5044</v>
      </c>
      <c r="C957" s="381" t="s">
        <v>6883</v>
      </c>
    </row>
    <row r="958" spans="1:3" ht="12.9" customHeight="1">
      <c r="A958" s="381"/>
      <c r="B958" s="381" t="s">
        <v>2935</v>
      </c>
      <c r="C958" s="381" t="s">
        <v>6884</v>
      </c>
    </row>
    <row r="959" spans="1:3" ht="12.9" customHeight="1">
      <c r="A959" s="381"/>
      <c r="B959" s="381" t="s">
        <v>5045</v>
      </c>
      <c r="C959" s="381" t="s">
        <v>6885</v>
      </c>
    </row>
    <row r="960" spans="1:3" ht="12.9" customHeight="1">
      <c r="A960" s="381"/>
      <c r="B960" s="381" t="s">
        <v>5464</v>
      </c>
      <c r="C960" s="381" t="s">
        <v>6886</v>
      </c>
    </row>
    <row r="961" spans="1:3" ht="12.9" customHeight="1">
      <c r="A961" s="381"/>
      <c r="B961" s="381" t="s">
        <v>5465</v>
      </c>
      <c r="C961" s="381" t="s">
        <v>3803</v>
      </c>
    </row>
    <row r="962" spans="1:3" ht="12.9" customHeight="1">
      <c r="A962" s="381"/>
      <c r="B962" s="381" t="s">
        <v>687</v>
      </c>
      <c r="C962" s="381" t="s">
        <v>6887</v>
      </c>
    </row>
    <row r="963" spans="1:3" ht="12.9" customHeight="1">
      <c r="A963" s="381"/>
      <c r="B963" s="381" t="s">
        <v>688</v>
      </c>
      <c r="C963" s="381" t="s">
        <v>6888</v>
      </c>
    </row>
    <row r="964" spans="1:3" ht="12.9" customHeight="1">
      <c r="A964" s="381"/>
      <c r="B964" s="381" t="s">
        <v>171</v>
      </c>
      <c r="C964" s="381" t="s">
        <v>5126</v>
      </c>
    </row>
    <row r="965" spans="1:3" ht="12.9" customHeight="1">
      <c r="A965" s="381"/>
      <c r="B965" s="381" t="s">
        <v>172</v>
      </c>
      <c r="C965" s="381" t="s">
        <v>6889</v>
      </c>
    </row>
    <row r="966" spans="1:3" ht="12.9" customHeight="1">
      <c r="A966" s="381"/>
      <c r="B966" s="381" t="s">
        <v>5163</v>
      </c>
      <c r="C966" s="381" t="s">
        <v>6890</v>
      </c>
    </row>
    <row r="967" spans="1:3" ht="12.9" customHeight="1">
      <c r="A967" s="381"/>
      <c r="B967" s="381" t="s">
        <v>4496</v>
      </c>
      <c r="C967" s="381" t="s">
        <v>24</v>
      </c>
    </row>
    <row r="968" spans="1:3" ht="12.9" customHeight="1">
      <c r="A968" s="381"/>
      <c r="B968" s="381" t="s">
        <v>4279</v>
      </c>
      <c r="C968" s="381" t="s">
        <v>6891</v>
      </c>
    </row>
    <row r="969" spans="1:3" ht="12.9" customHeight="1">
      <c r="A969" s="381"/>
      <c r="B969" s="381" t="s">
        <v>4280</v>
      </c>
      <c r="C969" s="381" t="s">
        <v>4609</v>
      </c>
    </row>
    <row r="970" spans="1:3" ht="12.9" customHeight="1">
      <c r="A970" s="381"/>
      <c r="B970" s="381" t="s">
        <v>4281</v>
      </c>
      <c r="C970" s="381" t="s">
        <v>4494</v>
      </c>
    </row>
    <row r="971" spans="1:3" ht="12.9" customHeight="1">
      <c r="A971" s="381"/>
      <c r="B971" s="381" t="s">
        <v>4282</v>
      </c>
      <c r="C971" s="381" t="s">
        <v>6892</v>
      </c>
    </row>
    <row r="972" spans="1:3" ht="12.9" customHeight="1">
      <c r="A972" s="381"/>
      <c r="B972" s="381" t="s">
        <v>315</v>
      </c>
      <c r="C972" s="381" t="s">
        <v>6893</v>
      </c>
    </row>
    <row r="973" spans="1:3" ht="12.9" customHeight="1">
      <c r="A973" s="381"/>
      <c r="B973" s="381" t="s">
        <v>4026</v>
      </c>
      <c r="C973" s="381" t="s">
        <v>6894</v>
      </c>
    </row>
    <row r="974" spans="1:3" ht="12.9" customHeight="1">
      <c r="A974" s="381"/>
      <c r="B974" s="381" t="s">
        <v>304</v>
      </c>
      <c r="C974" s="381" t="s">
        <v>25</v>
      </c>
    </row>
    <row r="975" spans="1:3" ht="12.9" customHeight="1">
      <c r="A975" s="381"/>
      <c r="B975" s="381" t="s">
        <v>5497</v>
      </c>
      <c r="C975" s="381" t="s">
        <v>6895</v>
      </c>
    </row>
    <row r="976" spans="1:3" ht="12.9" customHeight="1">
      <c r="A976" s="381"/>
      <c r="B976" s="381" t="s">
        <v>3839</v>
      </c>
      <c r="C976" s="381" t="s">
        <v>6896</v>
      </c>
    </row>
    <row r="977" spans="1:3" ht="12.9" customHeight="1">
      <c r="A977" s="381"/>
      <c r="B977" s="381" t="s">
        <v>563</v>
      </c>
      <c r="C977" s="381" t="s">
        <v>749</v>
      </c>
    </row>
    <row r="978" spans="1:3" ht="12.9" customHeight="1">
      <c r="A978" s="381"/>
      <c r="B978" s="381" t="s">
        <v>3840</v>
      </c>
      <c r="C978" s="381" t="s">
        <v>750</v>
      </c>
    </row>
    <row r="979" spans="1:3" ht="12.9" customHeight="1">
      <c r="A979" s="381"/>
      <c r="B979" s="381" t="s">
        <v>601</v>
      </c>
      <c r="C979" s="381" t="s">
        <v>6897</v>
      </c>
    </row>
    <row r="980" spans="1:3" ht="12.9" customHeight="1">
      <c r="A980" s="381"/>
      <c r="B980" s="381" t="s">
        <v>617</v>
      </c>
      <c r="C980" s="381" t="s">
        <v>6898</v>
      </c>
    </row>
    <row r="981" spans="1:3" ht="12.9" customHeight="1">
      <c r="A981" s="381"/>
      <c r="B981" s="381" t="s">
        <v>618</v>
      </c>
      <c r="C981" s="381" t="s">
        <v>26</v>
      </c>
    </row>
    <row r="982" spans="1:3" ht="12.9" customHeight="1">
      <c r="A982" s="381"/>
      <c r="B982" s="381" t="s">
        <v>5052</v>
      </c>
      <c r="C982" s="381" t="s">
        <v>6899</v>
      </c>
    </row>
    <row r="983" spans="1:3" ht="12.9" customHeight="1">
      <c r="A983" s="381"/>
      <c r="B983" s="381" t="s">
        <v>197</v>
      </c>
      <c r="C983" s="381" t="s">
        <v>6900</v>
      </c>
    </row>
    <row r="984" spans="1:3" ht="12.9" customHeight="1">
      <c r="A984" s="381"/>
      <c r="B984" s="381" t="s">
        <v>198</v>
      </c>
      <c r="C984" s="381" t="s">
        <v>6901</v>
      </c>
    </row>
    <row r="985" spans="1:3" ht="12.9" customHeight="1">
      <c r="A985" s="381"/>
      <c r="B985" s="381" t="s">
        <v>3088</v>
      </c>
      <c r="C985" s="381" t="s">
        <v>6902</v>
      </c>
    </row>
    <row r="986" spans="1:3" ht="12.9" customHeight="1">
      <c r="A986" s="381"/>
      <c r="B986" s="381" t="s">
        <v>3525</v>
      </c>
      <c r="C986" s="381" t="s">
        <v>27</v>
      </c>
    </row>
    <row r="987" spans="1:3" ht="12.9" customHeight="1">
      <c r="A987" s="381"/>
      <c r="B987" s="381" t="s">
        <v>3526</v>
      </c>
      <c r="C987" s="381" t="s">
        <v>6903</v>
      </c>
    </row>
    <row r="988" spans="1:3" ht="12.9" customHeight="1">
      <c r="A988" s="381"/>
      <c r="B988" s="381" t="s">
        <v>3527</v>
      </c>
      <c r="C988" s="381" t="s">
        <v>28</v>
      </c>
    </row>
    <row r="989" spans="1:3" ht="12.9" customHeight="1">
      <c r="A989" s="381"/>
      <c r="B989" s="381" t="s">
        <v>3528</v>
      </c>
      <c r="C989" s="381" t="s">
        <v>6904</v>
      </c>
    </row>
    <row r="990" spans="1:3" ht="12.9" customHeight="1">
      <c r="A990" s="381"/>
      <c r="B990" s="381" t="s">
        <v>5453</v>
      </c>
      <c r="C990" s="381" t="s">
        <v>6905</v>
      </c>
    </row>
    <row r="991" spans="1:3" ht="12.9" customHeight="1">
      <c r="A991" s="381"/>
      <c r="B991" s="381" t="s">
        <v>295</v>
      </c>
      <c r="C991" s="381" t="s">
        <v>6906</v>
      </c>
    </row>
    <row r="992" spans="1:3" ht="12.9" customHeight="1">
      <c r="A992" s="381"/>
      <c r="B992" s="381" t="s">
        <v>296</v>
      </c>
      <c r="C992" s="381" t="s">
        <v>6907</v>
      </c>
    </row>
    <row r="993" spans="1:3" ht="12.9" customHeight="1">
      <c r="A993" s="381"/>
      <c r="B993" s="381" t="s">
        <v>4230</v>
      </c>
      <c r="C993" s="381" t="s">
        <v>2596</v>
      </c>
    </row>
    <row r="994" spans="1:3" ht="12.9" customHeight="1">
      <c r="A994" s="381"/>
      <c r="B994" s="381" t="s">
        <v>4954</v>
      </c>
      <c r="C994" s="381" t="s">
        <v>29</v>
      </c>
    </row>
    <row r="995" spans="1:3" ht="12.9" customHeight="1">
      <c r="A995" s="381"/>
      <c r="B995" s="381" t="s">
        <v>2838</v>
      </c>
      <c r="C995" s="381" t="s">
        <v>6908</v>
      </c>
    </row>
    <row r="996" spans="1:3" ht="12.9" customHeight="1">
      <c r="A996" s="381"/>
      <c r="B996" s="381" t="s">
        <v>4147</v>
      </c>
      <c r="C996" s="381" t="s">
        <v>3824</v>
      </c>
    </row>
    <row r="997" spans="1:3" ht="12.9" customHeight="1">
      <c r="A997" s="381"/>
      <c r="B997" s="381" t="s">
        <v>2062</v>
      </c>
      <c r="C997" s="381" t="s">
        <v>6909</v>
      </c>
    </row>
    <row r="998" spans="1:3" ht="12.9" customHeight="1">
      <c r="A998" s="381"/>
      <c r="B998" s="381" t="s">
        <v>3097</v>
      </c>
      <c r="C998" s="381" t="s">
        <v>6910</v>
      </c>
    </row>
    <row r="999" spans="1:3" ht="12.9" customHeight="1">
      <c r="A999" s="381"/>
      <c r="B999" s="381" t="s">
        <v>3098</v>
      </c>
      <c r="C999" s="381" t="s">
        <v>3825</v>
      </c>
    </row>
    <row r="1000" spans="1:3" ht="12.9" customHeight="1">
      <c r="A1000" s="381"/>
      <c r="B1000" s="381" t="s">
        <v>3099</v>
      </c>
      <c r="C1000" s="381" t="s">
        <v>6911</v>
      </c>
    </row>
    <row r="1001" spans="1:3" ht="12.9" customHeight="1">
      <c r="A1001" s="381"/>
      <c r="B1001" s="381" t="s">
        <v>3100</v>
      </c>
      <c r="C1001" s="381" t="s">
        <v>6912</v>
      </c>
    </row>
    <row r="1002" spans="1:3" ht="12.9" customHeight="1">
      <c r="A1002" s="381"/>
      <c r="B1002" s="381" t="s">
        <v>3029</v>
      </c>
      <c r="C1002" s="381" t="s">
        <v>3826</v>
      </c>
    </row>
    <row r="1003" spans="1:3" ht="12.9" customHeight="1">
      <c r="A1003" s="381"/>
      <c r="B1003" s="381" t="s">
        <v>126</v>
      </c>
      <c r="C1003" s="381" t="s">
        <v>6913</v>
      </c>
    </row>
    <row r="1004" spans="1:3" ht="12.9" customHeight="1">
      <c r="A1004" s="381"/>
      <c r="B1004" s="381" t="s">
        <v>127</v>
      </c>
      <c r="C1004" s="381" t="s">
        <v>6914</v>
      </c>
    </row>
    <row r="1005" spans="1:3" ht="12.9" customHeight="1">
      <c r="A1005" s="381"/>
      <c r="B1005" s="381" t="s">
        <v>128</v>
      </c>
      <c r="C1005" s="381" t="s">
        <v>6915</v>
      </c>
    </row>
    <row r="1006" spans="1:3" ht="12.9" customHeight="1">
      <c r="A1006" s="381"/>
      <c r="B1006" s="381" t="s">
        <v>3379</v>
      </c>
      <c r="C1006" s="381" t="s">
        <v>6916</v>
      </c>
    </row>
    <row r="1007" spans="1:3" ht="12.9" customHeight="1">
      <c r="A1007" s="381"/>
      <c r="B1007" s="381" t="s">
        <v>1622</v>
      </c>
      <c r="C1007" s="381" t="s">
        <v>1970</v>
      </c>
    </row>
    <row r="1008" spans="1:3" ht="12.9" customHeight="1">
      <c r="A1008" s="381"/>
      <c r="B1008" s="381" t="s">
        <v>69</v>
      </c>
      <c r="C1008" s="381" t="s">
        <v>6917</v>
      </c>
    </row>
    <row r="1009" spans="1:3" ht="12.9" customHeight="1">
      <c r="A1009" s="381"/>
      <c r="B1009" s="381" t="s">
        <v>4010</v>
      </c>
      <c r="C1009" s="381" t="s">
        <v>6918</v>
      </c>
    </row>
    <row r="1010" spans="1:3" ht="12.9" customHeight="1">
      <c r="A1010" s="381"/>
      <c r="B1010" s="381" t="s">
        <v>4011</v>
      </c>
      <c r="C1010" s="381" t="s">
        <v>6919</v>
      </c>
    </row>
    <row r="1011" spans="1:3" ht="12.9" customHeight="1">
      <c r="A1011" s="381"/>
      <c r="B1011" s="381" t="s">
        <v>1786</v>
      </c>
      <c r="C1011" s="381" t="s">
        <v>3281</v>
      </c>
    </row>
    <row r="1012" spans="1:3" ht="12.9" customHeight="1">
      <c r="A1012" s="381"/>
      <c r="B1012" s="381" t="s">
        <v>1787</v>
      </c>
      <c r="C1012" s="381" t="s">
        <v>30</v>
      </c>
    </row>
    <row r="1013" spans="1:3" ht="12.9" customHeight="1">
      <c r="A1013" s="381"/>
      <c r="B1013" s="381" t="s">
        <v>2130</v>
      </c>
      <c r="C1013" s="381" t="s">
        <v>6920</v>
      </c>
    </row>
    <row r="1014" spans="1:3" ht="12.9" customHeight="1">
      <c r="A1014" s="381"/>
      <c r="B1014" s="381" t="s">
        <v>2131</v>
      </c>
      <c r="C1014" s="381" t="s">
        <v>6921</v>
      </c>
    </row>
    <row r="1015" spans="1:3" ht="12.9" customHeight="1">
      <c r="A1015" s="381"/>
      <c r="B1015" s="381" t="s">
        <v>1998</v>
      </c>
      <c r="C1015" s="381" t="s">
        <v>6922</v>
      </c>
    </row>
    <row r="1016" spans="1:3" ht="12.9" customHeight="1">
      <c r="A1016" s="381"/>
      <c r="B1016" s="381" t="s">
        <v>5549</v>
      </c>
      <c r="C1016" s="381" t="s">
        <v>6923</v>
      </c>
    </row>
    <row r="1017" spans="1:3" ht="12.9" customHeight="1">
      <c r="A1017" s="381"/>
      <c r="B1017" s="381" t="s">
        <v>1560</v>
      </c>
      <c r="C1017" s="381" t="s">
        <v>748</v>
      </c>
    </row>
    <row r="1018" spans="1:3" ht="12.9" customHeight="1">
      <c r="A1018" s="381"/>
      <c r="B1018" s="381" t="s">
        <v>1561</v>
      </c>
      <c r="C1018" s="381" t="s">
        <v>6924</v>
      </c>
    </row>
    <row r="1019" spans="1:3" ht="12.9" customHeight="1">
      <c r="A1019" s="381"/>
      <c r="B1019" s="381" t="s">
        <v>1562</v>
      </c>
      <c r="C1019" s="381" t="s">
        <v>6925</v>
      </c>
    </row>
    <row r="1020" spans="1:3" ht="12.9" customHeight="1">
      <c r="A1020" s="381"/>
      <c r="B1020" s="381" t="s">
        <v>3274</v>
      </c>
      <c r="C1020" s="381" t="s">
        <v>6926</v>
      </c>
    </row>
    <row r="1021" spans="1:3" ht="12.9" customHeight="1">
      <c r="A1021" s="381"/>
      <c r="B1021" s="381" t="s">
        <v>1563</v>
      </c>
      <c r="C1021" s="381" t="s">
        <v>6927</v>
      </c>
    </row>
    <row r="1022" spans="1:3" ht="12.9" customHeight="1">
      <c r="A1022" s="381"/>
      <c r="B1022" s="381" t="s">
        <v>3917</v>
      </c>
      <c r="C1022" s="381" t="s">
        <v>3314</v>
      </c>
    </row>
    <row r="1023" spans="1:3" ht="12.9" customHeight="1">
      <c r="A1023" s="381"/>
      <c r="B1023" s="381" t="s">
        <v>5550</v>
      </c>
      <c r="C1023" s="381" t="s">
        <v>6928</v>
      </c>
    </row>
    <row r="1024" spans="1:3" ht="12.9" customHeight="1">
      <c r="A1024" s="381"/>
      <c r="B1024" s="381" t="s">
        <v>497</v>
      </c>
      <c r="C1024" s="381" t="s">
        <v>6929</v>
      </c>
    </row>
    <row r="1025" spans="1:3" ht="12.9" customHeight="1">
      <c r="A1025" s="381"/>
      <c r="B1025" s="381" t="s">
        <v>3712</v>
      </c>
      <c r="C1025" s="381" t="s">
        <v>6930</v>
      </c>
    </row>
    <row r="1026" spans="1:3" ht="12.9" customHeight="1">
      <c r="A1026" s="381"/>
      <c r="B1026" s="381" t="s">
        <v>3713</v>
      </c>
      <c r="C1026" s="381" t="s">
        <v>6931</v>
      </c>
    </row>
    <row r="1027" spans="1:3" ht="12.9" customHeight="1">
      <c r="A1027" s="381"/>
      <c r="B1027" s="381" t="s">
        <v>3714</v>
      </c>
      <c r="C1027" s="381" t="s">
        <v>6932</v>
      </c>
    </row>
    <row r="1028" spans="1:3" ht="12.9" customHeight="1">
      <c r="A1028" s="381"/>
      <c r="B1028" s="381" t="s">
        <v>3715</v>
      </c>
      <c r="C1028" s="381" t="s">
        <v>2133</v>
      </c>
    </row>
    <row r="1029" spans="1:3" ht="12.9" customHeight="1">
      <c r="A1029" s="381"/>
      <c r="B1029" s="381" t="s">
        <v>4438</v>
      </c>
      <c r="C1029" s="381" t="s">
        <v>31</v>
      </c>
    </row>
    <row r="1030" spans="1:3" ht="12.9" customHeight="1">
      <c r="A1030" s="381"/>
      <c r="B1030" s="381" t="s">
        <v>5404</v>
      </c>
      <c r="C1030" s="381" t="s">
        <v>6933</v>
      </c>
    </row>
    <row r="1031" spans="1:3" ht="12.9" customHeight="1">
      <c r="A1031" s="381"/>
      <c r="B1031" s="381" t="s">
        <v>2465</v>
      </c>
      <c r="C1031" s="381" t="s">
        <v>6934</v>
      </c>
    </row>
    <row r="1032" spans="1:3" ht="12.9" customHeight="1">
      <c r="A1032" s="381"/>
      <c r="B1032" s="381" t="s">
        <v>2466</v>
      </c>
      <c r="C1032" s="381" t="s">
        <v>6935</v>
      </c>
    </row>
    <row r="1033" spans="1:3" ht="12.9" customHeight="1">
      <c r="A1033" s="381"/>
      <c r="B1033" s="381" t="s">
        <v>2467</v>
      </c>
      <c r="C1033" s="381" t="s">
        <v>6936</v>
      </c>
    </row>
    <row r="1034" spans="1:3" ht="12.9" customHeight="1">
      <c r="A1034" s="381"/>
      <c r="B1034" s="381" t="s">
        <v>316</v>
      </c>
      <c r="C1034" s="381" t="s">
        <v>6937</v>
      </c>
    </row>
    <row r="1035" spans="1:3" ht="12.9" customHeight="1">
      <c r="A1035" s="381"/>
      <c r="B1035" s="381" t="s">
        <v>2900</v>
      </c>
      <c r="C1035" s="381" t="s">
        <v>6938</v>
      </c>
    </row>
    <row r="1036" spans="1:3" ht="12.9" customHeight="1">
      <c r="A1036" s="381"/>
      <c r="B1036" s="381" t="s">
        <v>2901</v>
      </c>
      <c r="C1036" s="381" t="s">
        <v>6939</v>
      </c>
    </row>
    <row r="1037" spans="1:3" ht="12.9" customHeight="1">
      <c r="A1037" s="381"/>
      <c r="B1037" s="381" t="s">
        <v>1909</v>
      </c>
      <c r="C1037" s="381" t="s">
        <v>32</v>
      </c>
    </row>
    <row r="1038" spans="1:3" ht="12.9" customHeight="1">
      <c r="A1038" s="381"/>
      <c r="B1038" s="381" t="s">
        <v>2625</v>
      </c>
      <c r="C1038" s="381" t="s">
        <v>6940</v>
      </c>
    </row>
    <row r="1039" spans="1:3" ht="12.9" customHeight="1">
      <c r="A1039" s="381"/>
      <c r="B1039" s="381" t="s">
        <v>2626</v>
      </c>
      <c r="C1039" s="381" t="s">
        <v>6941</v>
      </c>
    </row>
    <row r="1040" spans="1:3" ht="12.9" customHeight="1">
      <c r="A1040" s="381"/>
      <c r="B1040" s="381" t="s">
        <v>2627</v>
      </c>
      <c r="C1040" s="381" t="s">
        <v>6942</v>
      </c>
    </row>
    <row r="1041" spans="1:3" ht="12.9" customHeight="1">
      <c r="A1041" s="381"/>
      <c r="B1041" s="381" t="s">
        <v>223</v>
      </c>
      <c r="C1041" s="381" t="s">
        <v>6943</v>
      </c>
    </row>
    <row r="1042" spans="1:3" ht="12.9" customHeight="1">
      <c r="A1042" s="381"/>
      <c r="B1042" s="381" t="s">
        <v>1849</v>
      </c>
      <c r="C1042" s="381" t="s">
        <v>33</v>
      </c>
    </row>
    <row r="1043" spans="1:3" ht="12.9" customHeight="1">
      <c r="A1043" s="381"/>
      <c r="B1043" s="381" t="s">
        <v>1850</v>
      </c>
      <c r="C1043" s="381" t="s">
        <v>6944</v>
      </c>
    </row>
    <row r="1044" spans="1:3" ht="12.9" customHeight="1">
      <c r="A1044" s="381"/>
      <c r="B1044" s="381" t="s">
        <v>370</v>
      </c>
      <c r="C1044" s="381" t="s">
        <v>6945</v>
      </c>
    </row>
    <row r="1045" spans="1:3" ht="12.9" customHeight="1">
      <c r="A1045" s="381"/>
      <c r="B1045" s="381" t="s">
        <v>371</v>
      </c>
      <c r="C1045" s="381" t="s">
        <v>6946</v>
      </c>
    </row>
    <row r="1046" spans="1:3" ht="12.9" customHeight="1">
      <c r="A1046" s="381"/>
      <c r="B1046" s="381" t="s">
        <v>372</v>
      </c>
      <c r="C1046" s="381" t="s">
        <v>34</v>
      </c>
    </row>
    <row r="1047" spans="1:3" ht="12.9" customHeight="1">
      <c r="A1047" s="381"/>
      <c r="B1047" s="381" t="s">
        <v>373</v>
      </c>
      <c r="C1047" s="381" t="s">
        <v>6947</v>
      </c>
    </row>
    <row r="1048" spans="1:3" ht="12.9" customHeight="1">
      <c r="A1048" s="381"/>
      <c r="B1048" s="381" t="s">
        <v>5941</v>
      </c>
      <c r="C1048" s="381" t="s">
        <v>2182</v>
      </c>
    </row>
    <row r="1049" spans="1:3" ht="12.9" customHeight="1">
      <c r="A1049" s="381"/>
      <c r="B1049" s="381" t="s">
        <v>5478</v>
      </c>
      <c r="C1049" s="381" t="s">
        <v>6948</v>
      </c>
    </row>
    <row r="1050" spans="1:3" ht="12.9" customHeight="1">
      <c r="A1050" s="381"/>
      <c r="B1050" s="381" t="s">
        <v>1325</v>
      </c>
      <c r="C1050" s="381" t="s">
        <v>3023</v>
      </c>
    </row>
    <row r="1051" spans="1:3" ht="12.9" customHeight="1">
      <c r="A1051" s="381"/>
      <c r="B1051" s="381" t="s">
        <v>520</v>
      </c>
      <c r="C1051" s="381" t="s">
        <v>6949</v>
      </c>
    </row>
    <row r="1052" spans="1:3" ht="12.9" customHeight="1">
      <c r="A1052" s="381"/>
      <c r="B1052" s="381" t="s">
        <v>521</v>
      </c>
      <c r="C1052" s="381" t="s">
        <v>6950</v>
      </c>
    </row>
    <row r="1053" spans="1:3" ht="12.9" customHeight="1">
      <c r="A1053" s="381"/>
      <c r="B1053" s="381" t="s">
        <v>522</v>
      </c>
      <c r="C1053" s="381" t="s">
        <v>6951</v>
      </c>
    </row>
    <row r="1054" spans="1:3" ht="12.9" customHeight="1">
      <c r="A1054" s="381"/>
      <c r="B1054" s="381" t="s">
        <v>523</v>
      </c>
      <c r="C1054" s="381" t="s">
        <v>6952</v>
      </c>
    </row>
    <row r="1055" spans="1:3" ht="12.9" customHeight="1">
      <c r="A1055" s="381"/>
      <c r="B1055" s="381" t="s">
        <v>524</v>
      </c>
      <c r="C1055" s="381" t="s">
        <v>6953</v>
      </c>
    </row>
    <row r="1056" spans="1:3" ht="12.9" customHeight="1">
      <c r="A1056" s="381"/>
      <c r="B1056" s="381" t="s">
        <v>525</v>
      </c>
      <c r="C1056" s="381" t="s">
        <v>6954</v>
      </c>
    </row>
    <row r="1057" spans="1:3" ht="12.9" customHeight="1">
      <c r="A1057" s="381"/>
      <c r="B1057" s="381" t="s">
        <v>2698</v>
      </c>
      <c r="C1057" s="381" t="s">
        <v>6955</v>
      </c>
    </row>
    <row r="1058" spans="1:3" ht="12.9" customHeight="1">
      <c r="A1058" s="381"/>
      <c r="B1058" s="381" t="s">
        <v>2699</v>
      </c>
      <c r="C1058" s="381" t="s">
        <v>6956</v>
      </c>
    </row>
    <row r="1059" spans="1:3" ht="12.9" customHeight="1">
      <c r="A1059" s="381"/>
      <c r="B1059" s="381" t="s">
        <v>2700</v>
      </c>
      <c r="C1059" s="381" t="s">
        <v>6957</v>
      </c>
    </row>
    <row r="1060" spans="1:3" ht="12.9" customHeight="1">
      <c r="A1060" s="381"/>
      <c r="B1060" s="381" t="s">
        <v>1142</v>
      </c>
      <c r="C1060" s="381" t="s">
        <v>6958</v>
      </c>
    </row>
    <row r="1061" spans="1:3" ht="12.9" customHeight="1">
      <c r="A1061" s="381"/>
      <c r="B1061" s="381" t="s">
        <v>2323</v>
      </c>
      <c r="C1061" s="381" t="s">
        <v>6959</v>
      </c>
    </row>
    <row r="1062" spans="1:3" ht="12.9" customHeight="1">
      <c r="A1062" s="381"/>
      <c r="B1062" s="381" t="s">
        <v>619</v>
      </c>
      <c r="C1062" s="381" t="s">
        <v>2722</v>
      </c>
    </row>
    <row r="1063" spans="1:3" ht="12.9" customHeight="1">
      <c r="A1063" s="381"/>
      <c r="B1063" s="381" t="s">
        <v>985</v>
      </c>
      <c r="C1063" s="381" t="s">
        <v>35</v>
      </c>
    </row>
    <row r="1064" spans="1:3" ht="12.9" customHeight="1">
      <c r="A1064" s="381"/>
      <c r="B1064" s="381" t="s">
        <v>2994</v>
      </c>
      <c r="C1064" s="381" t="s">
        <v>6960</v>
      </c>
    </row>
    <row r="1065" spans="1:3" ht="12.9" customHeight="1">
      <c r="A1065" s="381"/>
      <c r="B1065" s="381" t="s">
        <v>581</v>
      </c>
      <c r="C1065" s="381" t="s">
        <v>6961</v>
      </c>
    </row>
    <row r="1066" spans="1:3" ht="12.9" customHeight="1">
      <c r="A1066" s="381"/>
      <c r="B1066" s="381" t="s">
        <v>4512</v>
      </c>
      <c r="C1066" s="381" t="s">
        <v>36</v>
      </c>
    </row>
    <row r="1067" spans="1:3" ht="12.9" customHeight="1">
      <c r="A1067" s="381"/>
      <c r="B1067" s="381" t="s">
        <v>5922</v>
      </c>
      <c r="C1067" s="381" t="s">
        <v>6962</v>
      </c>
    </row>
    <row r="1068" spans="1:3" ht="12.9" customHeight="1">
      <c r="A1068" s="381"/>
      <c r="B1068" s="381" t="s">
        <v>3246</v>
      </c>
      <c r="C1068" s="381" t="s">
        <v>1288</v>
      </c>
    </row>
    <row r="1069" spans="1:3" ht="12.9" customHeight="1">
      <c r="A1069" s="381"/>
      <c r="B1069" s="381" t="s">
        <v>1762</v>
      </c>
      <c r="C1069" s="381" t="s">
        <v>6963</v>
      </c>
    </row>
    <row r="1070" spans="1:3" ht="12.9" customHeight="1">
      <c r="A1070" s="381"/>
      <c r="B1070" s="381" t="s">
        <v>1763</v>
      </c>
      <c r="C1070" s="381" t="s">
        <v>6964</v>
      </c>
    </row>
    <row r="1071" spans="1:3" ht="12.9" customHeight="1">
      <c r="A1071" s="381"/>
      <c r="B1071" s="381" t="s">
        <v>4692</v>
      </c>
      <c r="C1071" s="381" t="s">
        <v>6965</v>
      </c>
    </row>
    <row r="1072" spans="1:3" ht="12.9" customHeight="1">
      <c r="A1072" s="381"/>
      <c r="B1072" s="381" t="s">
        <v>4766</v>
      </c>
      <c r="C1072" s="381" t="s">
        <v>6966</v>
      </c>
    </row>
    <row r="1073" spans="1:3" ht="12.9" customHeight="1">
      <c r="A1073" s="381"/>
      <c r="B1073" s="381" t="s">
        <v>5384</v>
      </c>
      <c r="C1073" s="381" t="s">
        <v>6967</v>
      </c>
    </row>
    <row r="1074" spans="1:3" ht="12.9" customHeight="1">
      <c r="A1074" s="381"/>
      <c r="B1074" s="381" t="s">
        <v>701</v>
      </c>
      <c r="C1074" s="381" t="s">
        <v>6968</v>
      </c>
    </row>
    <row r="1075" spans="1:3" ht="12.9" customHeight="1">
      <c r="A1075" s="381"/>
      <c r="B1075" s="381" t="s">
        <v>2582</v>
      </c>
      <c r="C1075" s="381" t="s">
        <v>6969</v>
      </c>
    </row>
    <row r="1076" spans="1:3" ht="12.9" customHeight="1">
      <c r="A1076" s="381"/>
      <c r="B1076" s="381" t="s">
        <v>2583</v>
      </c>
      <c r="C1076" s="381" t="s">
        <v>6970</v>
      </c>
    </row>
    <row r="1077" spans="1:3" ht="12.9" customHeight="1">
      <c r="A1077" s="381"/>
      <c r="B1077" s="381" t="s">
        <v>3435</v>
      </c>
      <c r="C1077" s="381" t="s">
        <v>2184</v>
      </c>
    </row>
    <row r="1078" spans="1:3" ht="12.9" customHeight="1">
      <c r="A1078" s="381"/>
      <c r="B1078" s="381" t="s">
        <v>3436</v>
      </c>
      <c r="C1078" s="381" t="s">
        <v>6971</v>
      </c>
    </row>
    <row r="1079" spans="1:3" ht="12.9" customHeight="1">
      <c r="A1079" s="381"/>
      <c r="B1079" s="381" t="s">
        <v>689</v>
      </c>
      <c r="C1079" s="381" t="s">
        <v>6972</v>
      </c>
    </row>
    <row r="1080" spans="1:3" ht="12.9" customHeight="1">
      <c r="A1080" s="381"/>
      <c r="B1080" s="381" t="s">
        <v>2986</v>
      </c>
      <c r="C1080" s="381" t="s">
        <v>6973</v>
      </c>
    </row>
    <row r="1081" spans="1:3" ht="12.9" customHeight="1">
      <c r="A1081" s="381"/>
      <c r="B1081" s="381" t="s">
        <v>5463</v>
      </c>
      <c r="C1081" s="381" t="s">
        <v>3378</v>
      </c>
    </row>
    <row r="1082" spans="1:3" ht="12.9" customHeight="1">
      <c r="A1082" s="381"/>
      <c r="B1082" s="381" t="s">
        <v>986</v>
      </c>
      <c r="C1082" s="381" t="s">
        <v>6974</v>
      </c>
    </row>
    <row r="1083" spans="1:3" ht="12.9" customHeight="1">
      <c r="A1083" s="381"/>
      <c r="B1083" s="381" t="s">
        <v>2993</v>
      </c>
      <c r="C1083" s="381" t="s">
        <v>6975</v>
      </c>
    </row>
    <row r="1084" spans="1:3" ht="12.9" customHeight="1">
      <c r="A1084" s="381"/>
      <c r="B1084" s="381" t="s">
        <v>5468</v>
      </c>
      <c r="C1084" s="381" t="s">
        <v>6976</v>
      </c>
    </row>
    <row r="1085" spans="1:3" ht="12.9" customHeight="1">
      <c r="A1085" s="381"/>
      <c r="B1085" s="381" t="s">
        <v>1979</v>
      </c>
      <c r="C1085" s="381" t="s">
        <v>6977</v>
      </c>
    </row>
    <row r="1086" spans="1:3" ht="12.9" customHeight="1">
      <c r="A1086" s="381"/>
      <c r="B1086" s="381" t="s">
        <v>1965</v>
      </c>
      <c r="C1086" s="381" t="s">
        <v>6978</v>
      </c>
    </row>
    <row r="1087" spans="1:3" ht="12.9" customHeight="1">
      <c r="A1087" s="381"/>
      <c r="B1087" s="381" t="s">
        <v>5433</v>
      </c>
      <c r="C1087" s="381" t="s">
        <v>37</v>
      </c>
    </row>
    <row r="1088" spans="1:3" ht="12.9" customHeight="1">
      <c r="A1088" s="381"/>
      <c r="B1088" s="381" t="s">
        <v>1966</v>
      </c>
      <c r="C1088" s="381" t="s">
        <v>6979</v>
      </c>
    </row>
    <row r="1089" spans="1:3" ht="12.9" customHeight="1">
      <c r="A1089" s="381"/>
      <c r="B1089" s="381" t="s">
        <v>555</v>
      </c>
      <c r="C1089" s="381" t="s">
        <v>6980</v>
      </c>
    </row>
    <row r="1090" spans="1:3" ht="12.9" customHeight="1">
      <c r="A1090" s="381"/>
      <c r="B1090" s="381" t="s">
        <v>556</v>
      </c>
      <c r="C1090" s="381" t="s">
        <v>6981</v>
      </c>
    </row>
    <row r="1091" spans="1:3" ht="12.9" customHeight="1">
      <c r="A1091" s="381"/>
      <c r="B1091" s="381" t="s">
        <v>557</v>
      </c>
      <c r="C1091" s="381" t="s">
        <v>2280</v>
      </c>
    </row>
    <row r="1092" spans="1:3" ht="12.9" customHeight="1">
      <c r="A1092" s="381"/>
      <c r="B1092" s="381" t="s">
        <v>3058</v>
      </c>
      <c r="C1092" s="381" t="s">
        <v>38</v>
      </c>
    </row>
    <row r="1093" spans="1:3" ht="12.9" customHeight="1">
      <c r="A1093" s="381"/>
      <c r="B1093" s="381" t="s">
        <v>3059</v>
      </c>
      <c r="C1093" s="381" t="s">
        <v>3820</v>
      </c>
    </row>
    <row r="1094" spans="1:3" ht="12.9" customHeight="1">
      <c r="A1094" s="381"/>
      <c r="B1094" s="381" t="s">
        <v>2308</v>
      </c>
      <c r="C1094" s="381" t="s">
        <v>6982</v>
      </c>
    </row>
    <row r="1095" spans="1:3" ht="12.9" customHeight="1">
      <c r="A1095" s="381"/>
      <c r="B1095" s="381" t="s">
        <v>2309</v>
      </c>
      <c r="C1095" s="381" t="s">
        <v>6983</v>
      </c>
    </row>
    <row r="1096" spans="1:3" ht="12.9" customHeight="1">
      <c r="A1096" s="381"/>
      <c r="B1096" s="381" t="s">
        <v>2310</v>
      </c>
      <c r="C1096" s="381" t="s">
        <v>6984</v>
      </c>
    </row>
    <row r="1097" spans="1:3" ht="12.9" customHeight="1">
      <c r="A1097" s="381"/>
      <c r="B1097" s="381" t="s">
        <v>2311</v>
      </c>
      <c r="C1097" s="381" t="s">
        <v>6985</v>
      </c>
    </row>
    <row r="1098" spans="1:3" ht="12.9" customHeight="1">
      <c r="A1098" s="381"/>
      <c r="B1098" s="381" t="s">
        <v>188</v>
      </c>
      <c r="C1098" s="381" t="s">
        <v>6986</v>
      </c>
    </row>
    <row r="1099" spans="1:3" ht="12.9" customHeight="1">
      <c r="A1099" s="381"/>
      <c r="B1099" s="381" t="s">
        <v>446</v>
      </c>
      <c r="C1099" s="381" t="s">
        <v>4495</v>
      </c>
    </row>
    <row r="1100" spans="1:3" ht="12.9" customHeight="1">
      <c r="A1100" s="381"/>
      <c r="B1100" s="381" t="s">
        <v>1614</v>
      </c>
      <c r="C1100" s="381" t="s">
        <v>6987</v>
      </c>
    </row>
    <row r="1101" spans="1:3" ht="12.9" customHeight="1">
      <c r="A1101" s="381"/>
      <c r="B1101" s="381" t="s">
        <v>1267</v>
      </c>
      <c r="C1101" s="381" t="s">
        <v>6988</v>
      </c>
    </row>
    <row r="1102" spans="1:3" ht="12.9" customHeight="1">
      <c r="A1102" s="381"/>
      <c r="B1102" s="381" t="s">
        <v>3060</v>
      </c>
      <c r="C1102" s="381" t="s">
        <v>39</v>
      </c>
    </row>
    <row r="1103" spans="1:3" ht="12.9" customHeight="1">
      <c r="A1103" s="381"/>
      <c r="B1103" s="381" t="s">
        <v>3061</v>
      </c>
      <c r="C1103" s="381" t="s">
        <v>6989</v>
      </c>
    </row>
    <row r="1104" spans="1:3" ht="12.9" customHeight="1">
      <c r="A1104" s="381"/>
      <c r="B1104" s="381" t="s">
        <v>3062</v>
      </c>
      <c r="C1104" s="381" t="s">
        <v>6990</v>
      </c>
    </row>
    <row r="1105" spans="1:3" ht="12.9" customHeight="1">
      <c r="A1105" s="381"/>
      <c r="B1105" s="381" t="s">
        <v>3063</v>
      </c>
      <c r="C1105" s="381" t="s">
        <v>6991</v>
      </c>
    </row>
    <row r="1106" spans="1:3" ht="12.9" customHeight="1">
      <c r="A1106" s="381"/>
      <c r="B1106" s="381" t="s">
        <v>3064</v>
      </c>
      <c r="C1106" s="381" t="s">
        <v>6992</v>
      </c>
    </row>
    <row r="1107" spans="1:3" ht="12.9" customHeight="1">
      <c r="A1107" s="381"/>
      <c r="B1107" s="381" t="s">
        <v>3065</v>
      </c>
      <c r="C1107" s="381" t="s">
        <v>6993</v>
      </c>
    </row>
    <row r="1108" spans="1:3" ht="12.9" customHeight="1">
      <c r="A1108" s="381"/>
      <c r="B1108" s="381" t="s">
        <v>3066</v>
      </c>
      <c r="C1108" s="381" t="s">
        <v>6994</v>
      </c>
    </row>
    <row r="1109" spans="1:3" ht="12.9" customHeight="1">
      <c r="A1109" s="381"/>
      <c r="B1109" s="381" t="s">
        <v>3334</v>
      </c>
      <c r="C1109" s="381" t="s">
        <v>3822</v>
      </c>
    </row>
    <row r="1110" spans="1:3" ht="12.9" customHeight="1">
      <c r="A1110" s="381"/>
      <c r="B1110" s="381" t="s">
        <v>3335</v>
      </c>
      <c r="C1110" s="381" t="s">
        <v>3823</v>
      </c>
    </row>
    <row r="1111" spans="1:3" ht="12.9" customHeight="1">
      <c r="A1111" s="381"/>
      <c r="B1111" s="381" t="s">
        <v>4289</v>
      </c>
      <c r="C1111" s="381" t="s">
        <v>6995</v>
      </c>
    </row>
    <row r="1112" spans="1:3" ht="12.9" customHeight="1">
      <c r="A1112" s="381"/>
      <c r="B1112" s="381" t="s">
        <v>1916</v>
      </c>
      <c r="C1112" s="381" t="s">
        <v>6996</v>
      </c>
    </row>
    <row r="1113" spans="1:3" ht="12.9" customHeight="1">
      <c r="A1113" s="381"/>
      <c r="B1113" s="381" t="s">
        <v>1917</v>
      </c>
      <c r="C1113" s="381" t="s">
        <v>6997</v>
      </c>
    </row>
    <row r="1114" spans="1:3" ht="12.9" customHeight="1">
      <c r="A1114" s="381"/>
      <c r="B1114" s="381" t="s">
        <v>1918</v>
      </c>
      <c r="C1114" s="381" t="s">
        <v>6998</v>
      </c>
    </row>
    <row r="1115" spans="1:3" ht="12.9" customHeight="1">
      <c r="A1115" s="381"/>
      <c r="B1115" s="381" t="s">
        <v>1919</v>
      </c>
      <c r="C1115" s="381" t="s">
        <v>40</v>
      </c>
    </row>
    <row r="1116" spans="1:3" ht="12.9" customHeight="1">
      <c r="A1116" s="381"/>
      <c r="B1116" s="381" t="s">
        <v>4423</v>
      </c>
      <c r="C1116" s="381" t="s">
        <v>6999</v>
      </c>
    </row>
    <row r="1117" spans="1:3" ht="12.9" customHeight="1">
      <c r="A1117" s="381"/>
      <c r="B1117" s="381" t="s">
        <v>3764</v>
      </c>
      <c r="C1117" s="381" t="s">
        <v>7000</v>
      </c>
    </row>
    <row r="1118" spans="1:3" ht="12.9" customHeight="1">
      <c r="A1118" s="381" t="s">
        <v>4818</v>
      </c>
      <c r="B1118" s="381" t="s">
        <v>864</v>
      </c>
      <c r="C1118" s="381" t="s">
        <v>3022</v>
      </c>
    </row>
    <row r="1119" spans="1:3" ht="12.9" customHeight="1">
      <c r="A1119" s="381"/>
      <c r="B1119" s="381" t="s">
        <v>2022</v>
      </c>
      <c r="C1119" s="381" t="s">
        <v>7001</v>
      </c>
    </row>
    <row r="1120" spans="1:3" ht="12.9" customHeight="1">
      <c r="A1120" s="381"/>
      <c r="B1120" s="381" t="s">
        <v>380</v>
      </c>
      <c r="C1120" s="381" t="s">
        <v>7002</v>
      </c>
    </row>
    <row r="1121" spans="1:3" ht="12.9" customHeight="1">
      <c r="A1121" s="381"/>
      <c r="B1121" s="381" t="s">
        <v>381</v>
      </c>
      <c r="C1121" s="381" t="s">
        <v>7003</v>
      </c>
    </row>
    <row r="1122" spans="1:3" ht="12.9" customHeight="1">
      <c r="A1122" s="381"/>
      <c r="B1122" s="381" t="s">
        <v>4518</v>
      </c>
      <c r="C1122" s="381" t="s">
        <v>7004</v>
      </c>
    </row>
    <row r="1123" spans="1:3" ht="12.9" customHeight="1">
      <c r="A1123" s="381"/>
      <c r="B1123" s="381" t="s">
        <v>4519</v>
      </c>
      <c r="C1123" s="381" t="s">
        <v>7005</v>
      </c>
    </row>
    <row r="1124" spans="1:3" ht="12.9" customHeight="1">
      <c r="A1124" s="381" t="s">
        <v>3841</v>
      </c>
      <c r="B1124" s="381" t="s">
        <v>156</v>
      </c>
      <c r="C1124" s="381" t="s">
        <v>7006</v>
      </c>
    </row>
    <row r="1125" spans="1:3" ht="12.9" customHeight="1">
      <c r="A1125" s="381"/>
      <c r="B1125" s="381" t="s">
        <v>486</v>
      </c>
      <c r="C1125" s="381" t="s">
        <v>7007</v>
      </c>
    </row>
    <row r="1126" spans="1:3" ht="12.9" customHeight="1">
      <c r="A1126" s="381"/>
      <c r="B1126" s="381" t="s">
        <v>460</v>
      </c>
      <c r="C1126" s="381" t="s">
        <v>7008</v>
      </c>
    </row>
    <row r="1127" spans="1:3" ht="12.9" customHeight="1">
      <c r="A1127" s="381"/>
      <c r="B1127" s="381" t="s">
        <v>461</v>
      </c>
      <c r="C1127" s="381" t="s">
        <v>7009</v>
      </c>
    </row>
    <row r="1128" spans="1:3" ht="12.9" customHeight="1">
      <c r="A1128" s="381"/>
      <c r="B1128" s="381" t="s">
        <v>1555</v>
      </c>
      <c r="C1128" s="381" t="s">
        <v>7010</v>
      </c>
    </row>
    <row r="1129" spans="1:3" ht="12.9" customHeight="1">
      <c r="A1129" s="381"/>
      <c r="B1129" s="381"/>
      <c r="C1129" s="381"/>
    </row>
    <row r="1130" spans="1:3" ht="12.9" customHeight="1">
      <c r="A1130" s="381"/>
      <c r="B1130" s="381" t="s">
        <v>1976</v>
      </c>
      <c r="C1130" s="381" t="s">
        <v>7011</v>
      </c>
    </row>
    <row r="1131" spans="1:3" ht="12.9" customHeight="1">
      <c r="A1131" s="381"/>
      <c r="B1131" s="381"/>
      <c r="C1131" s="381"/>
    </row>
    <row r="1132" spans="1:3" ht="12.9" customHeight="1">
      <c r="A1132" s="381"/>
      <c r="B1132" s="381" t="s">
        <v>1977</v>
      </c>
      <c r="C1132" s="381" t="s">
        <v>7012</v>
      </c>
    </row>
    <row r="1133" spans="1:3" ht="12.9" customHeight="1">
      <c r="A1133" s="381"/>
      <c r="B1133" s="381" t="s">
        <v>210</v>
      </c>
      <c r="C1133" s="381" t="s">
        <v>5124</v>
      </c>
    </row>
    <row r="1134" spans="1:3" ht="12.9" customHeight="1">
      <c r="A1134" s="381"/>
      <c r="B1134" s="381" t="s">
        <v>211</v>
      </c>
      <c r="C1134" s="381" t="s">
        <v>5125</v>
      </c>
    </row>
    <row r="1135" spans="1:3" ht="12.9" customHeight="1">
      <c r="A1135" s="381"/>
      <c r="B1135" s="381"/>
      <c r="C1135" s="442"/>
    </row>
    <row r="1136" spans="1:3" ht="12.9" customHeight="1">
      <c r="A1136" s="381"/>
      <c r="B1136" s="381" t="s">
        <v>3588</v>
      </c>
      <c r="C1136" s="442" t="s">
        <v>7013</v>
      </c>
    </row>
    <row r="1137" spans="1:3" ht="12.9" customHeight="1">
      <c r="A1137" s="381"/>
      <c r="B1137" s="381" t="s">
        <v>3324</v>
      </c>
      <c r="C1137" s="442" t="s">
        <v>7014</v>
      </c>
    </row>
    <row r="1138" spans="1:3" ht="12.9" customHeight="1">
      <c r="A1138" s="381"/>
      <c r="B1138" s="381" t="s">
        <v>157</v>
      </c>
      <c r="C1138" s="381" t="s">
        <v>7015</v>
      </c>
    </row>
    <row r="1139" spans="1:3" ht="12.9" customHeight="1">
      <c r="A1139" s="381"/>
      <c r="B1139" s="381" t="s">
        <v>158</v>
      </c>
      <c r="C1139" s="381" t="s">
        <v>7016</v>
      </c>
    </row>
    <row r="1140" spans="1:3" ht="12.9" customHeight="1">
      <c r="A1140" s="381"/>
      <c r="B1140" s="381" t="s">
        <v>159</v>
      </c>
      <c r="C1140" s="381" t="s">
        <v>7017</v>
      </c>
    </row>
    <row r="1141" spans="1:3" ht="12.9" customHeight="1">
      <c r="A1141" s="381"/>
      <c r="B1141" s="381" t="s">
        <v>160</v>
      </c>
      <c r="C1141" s="381" t="s">
        <v>7018</v>
      </c>
    </row>
    <row r="1142" spans="1:3" ht="12.9" customHeight="1">
      <c r="A1142" s="381"/>
      <c r="B1142" s="381" t="s">
        <v>2835</v>
      </c>
      <c r="C1142" s="381" t="s">
        <v>7019</v>
      </c>
    </row>
    <row r="1143" spans="1:3" ht="12.9" customHeight="1">
      <c r="A1143" s="381"/>
      <c r="B1143" s="381" t="s">
        <v>4301</v>
      </c>
      <c r="C1143" s="381" t="s">
        <v>2917</v>
      </c>
    </row>
    <row r="1144" spans="1:3" ht="12.9" customHeight="1">
      <c r="A1144" s="381"/>
      <c r="B1144" s="381" t="s">
        <v>528</v>
      </c>
      <c r="C1144" s="442" t="s">
        <v>7020</v>
      </c>
    </row>
    <row r="1145" spans="1:3" ht="12.9" customHeight="1">
      <c r="A1145" s="381"/>
      <c r="B1145" s="381" t="s">
        <v>1528</v>
      </c>
      <c r="C1145" s="381" t="s">
        <v>7021</v>
      </c>
    </row>
    <row r="1146" spans="1:3" ht="12.9" customHeight="1">
      <c r="A1146" s="381"/>
      <c r="B1146" s="381" t="s">
        <v>1529</v>
      </c>
      <c r="C1146" s="442" t="s">
        <v>7022</v>
      </c>
    </row>
    <row r="1147" spans="1:3" ht="12.9" customHeight="1">
      <c r="A1147" s="381"/>
      <c r="B1147" s="381" t="s">
        <v>3014</v>
      </c>
      <c r="C1147" s="381" t="s">
        <v>7023</v>
      </c>
    </row>
    <row r="1148" spans="1:3" ht="12.9" customHeight="1">
      <c r="A1148" s="381"/>
      <c r="B1148" s="381" t="s">
        <v>2836</v>
      </c>
      <c r="C1148" s="381" t="s">
        <v>7024</v>
      </c>
    </row>
    <row r="1149" spans="1:3" ht="12.9" customHeight="1">
      <c r="A1149" s="381"/>
      <c r="B1149" s="381" t="s">
        <v>2165</v>
      </c>
      <c r="C1149" s="442" t="s">
        <v>7025</v>
      </c>
    </row>
    <row r="1150" spans="1:3" ht="12.9" customHeight="1">
      <c r="A1150" s="381"/>
      <c r="B1150" s="381" t="s">
        <v>5973</v>
      </c>
      <c r="C1150" s="381" t="s">
        <v>7026</v>
      </c>
    </row>
    <row r="1151" spans="1:3" ht="12.9" customHeight="1">
      <c r="A1151" s="381"/>
      <c r="B1151" s="381" t="s">
        <v>2023</v>
      </c>
      <c r="C1151" s="381" t="s">
        <v>7027</v>
      </c>
    </row>
    <row r="1152" spans="1:3" ht="12.9" customHeight="1">
      <c r="A1152" s="381"/>
      <c r="B1152" s="381" t="s">
        <v>5455</v>
      </c>
      <c r="C1152" s="381" t="s">
        <v>7028</v>
      </c>
    </row>
    <row r="1153" spans="1:3" ht="12.9" customHeight="1">
      <c r="A1153" s="381"/>
      <c r="B1153" s="381" t="s">
        <v>5456</v>
      </c>
      <c r="C1153" s="381" t="s">
        <v>7029</v>
      </c>
    </row>
    <row r="1154" spans="1:3" ht="12.9" customHeight="1">
      <c r="A1154" s="381"/>
      <c r="B1154" t="s">
        <v>146</v>
      </c>
      <c r="C1154" s="381" t="s">
        <v>7030</v>
      </c>
    </row>
    <row r="1155" spans="1:3" ht="12.9" customHeight="1">
      <c r="A1155" s="381" t="s">
        <v>5720</v>
      </c>
      <c r="B1155" s="381" t="s">
        <v>1748</v>
      </c>
      <c r="C1155" s="381" t="s">
        <v>7031</v>
      </c>
    </row>
    <row r="1156" spans="1:3" ht="12.9" customHeight="1">
      <c r="A1156" s="381" t="s">
        <v>4426</v>
      </c>
      <c r="B1156" s="381" t="s">
        <v>4706</v>
      </c>
      <c r="C1156" s="381" t="s">
        <v>7032</v>
      </c>
    </row>
    <row r="1157" spans="1:3" ht="12.9" customHeight="1">
      <c r="A1157" s="381"/>
      <c r="B1157" s="381" t="s">
        <v>962</v>
      </c>
      <c r="C1157" s="381" t="s">
        <v>7033</v>
      </c>
    </row>
    <row r="1158" spans="1:3" ht="12.9" customHeight="1">
      <c r="A1158" s="381"/>
      <c r="B1158" s="381" t="s">
        <v>4020</v>
      </c>
      <c r="C1158" s="381" t="s">
        <v>7034</v>
      </c>
    </row>
    <row r="1159" spans="1:3" ht="12.9" customHeight="1">
      <c r="A1159" s="381"/>
      <c r="B1159" s="381" t="s">
        <v>1148</v>
      </c>
      <c r="C1159" s="381" t="s">
        <v>7035</v>
      </c>
    </row>
    <row r="1160" spans="1:3" ht="12.9" customHeight="1">
      <c r="A1160" s="381"/>
      <c r="B1160" s="381" t="s">
        <v>3236</v>
      </c>
      <c r="C1160" s="381" t="s">
        <v>7036</v>
      </c>
    </row>
    <row r="1161" spans="1:3" ht="12.9" customHeight="1">
      <c r="A1161" s="381"/>
      <c r="B1161" s="381" t="s">
        <v>1541</v>
      </c>
      <c r="C1161" s="381" t="s">
        <v>7037</v>
      </c>
    </row>
    <row r="1162" spans="1:3" ht="12.9" customHeight="1">
      <c r="A1162" s="381"/>
      <c r="B1162" s="381" t="s">
        <v>1537</v>
      </c>
      <c r="C1162" s="381" t="s">
        <v>7038</v>
      </c>
    </row>
    <row r="1163" spans="1:3" ht="12.9" customHeight="1">
      <c r="A1163" s="381"/>
      <c r="B1163" s="381" t="s">
        <v>1538</v>
      </c>
      <c r="C1163" s="381" t="s">
        <v>7039</v>
      </c>
    </row>
    <row r="1164" spans="1:3" ht="12.9" customHeight="1">
      <c r="A1164" s="381"/>
      <c r="B1164" s="381" t="s">
        <v>752</v>
      </c>
      <c r="C1164" s="381" t="s">
        <v>7040</v>
      </c>
    </row>
    <row r="1165" spans="1:3" ht="12.9" customHeight="1">
      <c r="A1165" s="381"/>
      <c r="B1165" s="381" t="s">
        <v>4480</v>
      </c>
      <c r="C1165" s="381" t="s">
        <v>7041</v>
      </c>
    </row>
    <row r="1166" spans="1:3" ht="12.9" customHeight="1">
      <c r="A1166" s="381"/>
      <c r="B1166" s="381" t="s">
        <v>4004</v>
      </c>
      <c r="C1166" s="381" t="s">
        <v>7042</v>
      </c>
    </row>
    <row r="1167" spans="1:3" ht="12.9" customHeight="1">
      <c r="A1167" s="381"/>
      <c r="B1167" s="381" t="s">
        <v>4005</v>
      </c>
      <c r="C1167" s="381" t="s">
        <v>7043</v>
      </c>
    </row>
    <row r="1168" spans="1:3" ht="12.9" customHeight="1">
      <c r="A1168" s="381"/>
      <c r="B1168" s="381" t="s">
        <v>3206</v>
      </c>
      <c r="C1168" s="381" t="s">
        <v>7044</v>
      </c>
    </row>
    <row r="1169" spans="1:3" ht="12.9" customHeight="1">
      <c r="A1169" s="381" t="s">
        <v>5720</v>
      </c>
      <c r="B1169" s="381" t="s">
        <v>1749</v>
      </c>
      <c r="C1169" s="381" t="s">
        <v>7045</v>
      </c>
    </row>
    <row r="1170" spans="1:3" ht="12.9" customHeight="1">
      <c r="A1170" s="381" t="s">
        <v>2884</v>
      </c>
      <c r="B1170" s="381"/>
      <c r="C1170" s="381" t="s">
        <v>7046</v>
      </c>
    </row>
    <row r="1171" spans="1:3" ht="12.9" customHeight="1">
      <c r="A1171" s="381"/>
      <c r="B1171" s="381"/>
      <c r="C1171" s="381" t="s">
        <v>7047</v>
      </c>
    </row>
    <row r="1172" spans="1:3" ht="12.9" customHeight="1">
      <c r="A1172" s="381"/>
      <c r="B1172" s="381"/>
      <c r="C1172" s="381" t="s">
        <v>7048</v>
      </c>
    </row>
    <row r="1173" spans="1:3" ht="12.9" customHeight="1">
      <c r="A1173" s="381"/>
      <c r="B1173" s="381"/>
      <c r="C1173" s="381" t="s">
        <v>7049</v>
      </c>
    </row>
    <row r="1174" spans="1:3" ht="12.9" customHeight="1">
      <c r="A1174" s="381"/>
      <c r="B1174" s="381"/>
      <c r="C1174" s="381" t="s">
        <v>7050</v>
      </c>
    </row>
    <row r="1175" spans="1:3" ht="12.9" customHeight="1">
      <c r="A1175" s="381"/>
      <c r="B1175" s="381"/>
      <c r="C1175" s="381" t="s">
        <v>7051</v>
      </c>
    </row>
    <row r="1176" spans="1:3" ht="12.9" customHeight="1">
      <c r="A1176" s="381"/>
      <c r="B1176" s="381"/>
      <c r="C1176" s="381" t="s">
        <v>7052</v>
      </c>
    </row>
    <row r="1177" spans="1:3" ht="12.9" customHeight="1">
      <c r="A1177" s="381"/>
      <c r="B1177" s="381"/>
      <c r="C1177" s="381" t="s">
        <v>7053</v>
      </c>
    </row>
    <row r="1178" spans="1:3" ht="12.9" customHeight="1">
      <c r="A1178" s="381"/>
      <c r="B1178" s="381"/>
      <c r="C1178" s="381" t="s">
        <v>7054</v>
      </c>
    </row>
    <row r="1179" spans="1:3" ht="12.9" customHeight="1">
      <c r="A1179" s="381"/>
      <c r="B1179" s="381"/>
      <c r="C1179" s="381" t="s">
        <v>7055</v>
      </c>
    </row>
    <row r="1180" spans="1:3" ht="12.9" customHeight="1">
      <c r="A1180" s="381"/>
      <c r="B1180" s="381"/>
      <c r="C1180" s="381" t="s">
        <v>7056</v>
      </c>
    </row>
    <row r="1181" spans="1:3" ht="12.9" customHeight="1">
      <c r="A1181" s="381"/>
      <c r="B1181" s="381"/>
      <c r="C1181" s="381" t="s">
        <v>7057</v>
      </c>
    </row>
    <row r="1182" spans="1:3" ht="12.9" customHeight="1">
      <c r="A1182" s="381"/>
      <c r="B1182" s="381"/>
      <c r="C1182" s="381" t="s">
        <v>7058</v>
      </c>
    </row>
    <row r="1183" spans="1:3" ht="12.9" customHeight="1">
      <c r="A1183" s="381"/>
      <c r="B1183" s="381"/>
      <c r="C1183" s="381" t="s">
        <v>7059</v>
      </c>
    </row>
    <row r="1184" spans="1:3" ht="12.9" customHeight="1">
      <c r="A1184" s="381"/>
      <c r="B1184" s="381"/>
      <c r="C1184" s="381" t="s">
        <v>7060</v>
      </c>
    </row>
    <row r="1185" spans="1:3" ht="12.9" customHeight="1">
      <c r="A1185" s="381"/>
      <c r="B1185" s="381"/>
      <c r="C1185" s="381" t="s">
        <v>7061</v>
      </c>
    </row>
    <row r="1186" spans="1:3" ht="12.9" customHeight="1">
      <c r="A1186" s="381"/>
      <c r="B1186" s="381"/>
      <c r="C1186" s="381"/>
    </row>
    <row r="1187" spans="1:3" ht="12.9" customHeight="1">
      <c r="A1187" s="381"/>
      <c r="B1187" s="381"/>
      <c r="C1187" s="381"/>
    </row>
    <row r="1188" spans="1:3" ht="12.9" customHeight="1">
      <c r="A1188" s="381"/>
      <c r="B1188" s="381"/>
      <c r="C1188" s="381"/>
    </row>
    <row r="1189" spans="1:3" ht="12.9" customHeight="1">
      <c r="A1189" s="381"/>
      <c r="B1189" s="381"/>
      <c r="C1189" s="381" t="s">
        <v>7062</v>
      </c>
    </row>
    <row r="1190" spans="1:3" ht="12.9" customHeight="1">
      <c r="A1190" s="381"/>
      <c r="B1190" s="381"/>
      <c r="C1190" s="381" t="s">
        <v>7063</v>
      </c>
    </row>
    <row r="1191" spans="1:3" ht="12.9" customHeight="1">
      <c r="A1191" s="381"/>
      <c r="B1191" s="381"/>
      <c r="C1191" s="381" t="s">
        <v>7064</v>
      </c>
    </row>
    <row r="1192" spans="1:3" ht="12.9" customHeight="1">
      <c r="A1192" s="381"/>
      <c r="B1192" s="381"/>
      <c r="C1192" s="442" t="s">
        <v>7065</v>
      </c>
    </row>
    <row r="1193" spans="1:3" ht="12.9" customHeight="1">
      <c r="A1193" s="381"/>
      <c r="B1193" s="381"/>
      <c r="C1193" s="381" t="s">
        <v>7066</v>
      </c>
    </row>
    <row r="1194" spans="1:3" ht="12.9" customHeight="1">
      <c r="A1194" s="381"/>
      <c r="B1194" s="381"/>
      <c r="C1194" s="381" t="s">
        <v>7067</v>
      </c>
    </row>
    <row r="1195" spans="1:3" ht="12.9" customHeight="1">
      <c r="A1195" s="381"/>
      <c r="B1195" s="381"/>
      <c r="C1195" s="381" t="s">
        <v>41</v>
      </c>
    </row>
    <row r="1196" spans="1:3" ht="12.9" customHeight="1">
      <c r="A1196" s="381"/>
      <c r="B1196" s="381" t="s">
        <v>2810</v>
      </c>
      <c r="C1196" s="381" t="s">
        <v>7068</v>
      </c>
    </row>
    <row r="1197" spans="1:3" ht="12.9" customHeight="1">
      <c r="A1197" s="381"/>
      <c r="B1197" s="381"/>
      <c r="C1197" s="381" t="s">
        <v>7069</v>
      </c>
    </row>
    <row r="1198" spans="1:3" ht="12.9" customHeight="1">
      <c r="A1198" s="381"/>
      <c r="B1198" s="381"/>
      <c r="C1198" s="381" t="s">
        <v>7070</v>
      </c>
    </row>
    <row r="1199" spans="1:3" ht="12.9" customHeight="1">
      <c r="A1199" s="381"/>
      <c r="B1199" s="381"/>
      <c r="C1199" s="381" t="s">
        <v>7071</v>
      </c>
    </row>
    <row r="1200" spans="1:3" ht="12.9" customHeight="1">
      <c r="A1200" s="381"/>
      <c r="B1200" s="381"/>
      <c r="C1200" s="381" t="s">
        <v>7082</v>
      </c>
    </row>
    <row r="1201" spans="1:3" ht="12.9" customHeight="1">
      <c r="A1201" s="381"/>
      <c r="B1201" s="381"/>
      <c r="C1201" s="381" t="s">
        <v>7083</v>
      </c>
    </row>
    <row r="1202" spans="1:3" ht="12.9" customHeight="1">
      <c r="A1202" s="381"/>
      <c r="B1202" s="381"/>
      <c r="C1202" s="381" t="s">
        <v>7084</v>
      </c>
    </row>
    <row r="1203" spans="1:3" ht="12.9" customHeight="1">
      <c r="A1203" s="381"/>
      <c r="B1203" s="381"/>
      <c r="C1203" s="381" t="s">
        <v>7085</v>
      </c>
    </row>
    <row r="1204" spans="1:3" ht="12.9" customHeight="1">
      <c r="A1204" s="381"/>
      <c r="B1204" s="381"/>
      <c r="C1204" s="381" t="s">
        <v>7086</v>
      </c>
    </row>
    <row r="1205" spans="1:3" ht="12.9" customHeight="1">
      <c r="A1205" s="381"/>
      <c r="B1205" s="381"/>
      <c r="C1205" s="381" t="s">
        <v>7087</v>
      </c>
    </row>
    <row r="1206" spans="1:3" ht="12.9" customHeight="1">
      <c r="A1206" s="381"/>
      <c r="B1206" s="381"/>
      <c r="C1206" s="381" t="s">
        <v>7088</v>
      </c>
    </row>
    <row r="1207" spans="1:3" ht="12.9" customHeight="1">
      <c r="A1207" s="381"/>
      <c r="B1207" s="381"/>
      <c r="C1207" s="381" t="s">
        <v>7089</v>
      </c>
    </row>
    <row r="1208" spans="1:3" ht="12.9" customHeight="1">
      <c r="A1208" s="381"/>
      <c r="B1208" s="381"/>
      <c r="C1208" s="381" t="s">
        <v>7090</v>
      </c>
    </row>
    <row r="1209" spans="1:3" ht="12.9" customHeight="1">
      <c r="A1209" s="381"/>
      <c r="B1209" s="381"/>
      <c r="C1209" s="381" t="s">
        <v>7091</v>
      </c>
    </row>
    <row r="1210" spans="1:3" ht="12.9" customHeight="1">
      <c r="A1210" s="381"/>
      <c r="B1210" s="381"/>
      <c r="C1210" s="381" t="s">
        <v>7092</v>
      </c>
    </row>
    <row r="1211" spans="1:3" ht="12.9" customHeight="1">
      <c r="A1211" s="381"/>
      <c r="B1211" s="381"/>
      <c r="C1211" s="381" t="s">
        <v>7093</v>
      </c>
    </row>
    <row r="1212" spans="1:3" ht="12.9" customHeight="1">
      <c r="A1212" s="381"/>
      <c r="B1212" s="381"/>
      <c r="C1212" s="381" t="s">
        <v>7094</v>
      </c>
    </row>
    <row r="1213" spans="1:3" ht="12.9" customHeight="1">
      <c r="A1213" s="381"/>
      <c r="B1213" s="381"/>
      <c r="C1213" s="381" t="s">
        <v>7095</v>
      </c>
    </row>
    <row r="1214" spans="1:3" ht="12.9" customHeight="1">
      <c r="A1214" s="381"/>
      <c r="B1214" s="381"/>
      <c r="C1214" s="381" t="s">
        <v>7096</v>
      </c>
    </row>
    <row r="1215" spans="1:3" ht="12.9" customHeight="1">
      <c r="A1215" s="381"/>
      <c r="B1215" s="381"/>
      <c r="C1215" s="381" t="s">
        <v>7097</v>
      </c>
    </row>
    <row r="1216" spans="1:3" ht="12.9" customHeight="1">
      <c r="A1216" s="381"/>
      <c r="B1216" s="381"/>
      <c r="C1216" s="381" t="s">
        <v>7098</v>
      </c>
    </row>
    <row r="1217" spans="1:3" ht="12.9" customHeight="1">
      <c r="A1217" s="381"/>
      <c r="B1217" s="381"/>
      <c r="C1217" s="381" t="s">
        <v>7099</v>
      </c>
    </row>
    <row r="1218" spans="1:3" ht="12.9" customHeight="1">
      <c r="A1218" s="381"/>
      <c r="B1218" s="381" t="s">
        <v>4135</v>
      </c>
      <c r="C1218" s="381" t="s">
        <v>7100</v>
      </c>
    </row>
    <row r="1219" spans="1:3" ht="12.9" customHeight="1">
      <c r="A1219" s="381"/>
      <c r="B1219" s="381"/>
      <c r="C1219" s="381" t="s">
        <v>7101</v>
      </c>
    </row>
    <row r="1220" spans="1:3" ht="12.9" customHeight="1">
      <c r="A1220" s="381"/>
      <c r="B1220" s="381"/>
      <c r="C1220" s="381" t="s">
        <v>7102</v>
      </c>
    </row>
    <row r="1221" spans="1:3" ht="12.9" customHeight="1">
      <c r="A1221" s="381"/>
      <c r="B1221" s="381"/>
      <c r="C1221" s="381" t="s">
        <v>7103</v>
      </c>
    </row>
    <row r="1222" spans="1:3" ht="12.9" customHeight="1">
      <c r="A1222" s="381"/>
      <c r="B1222" s="381"/>
      <c r="C1222" s="381" t="s">
        <v>7104</v>
      </c>
    </row>
    <row r="1223" spans="1:3" ht="12.9" customHeight="1">
      <c r="A1223" s="381"/>
      <c r="B1223" s="381"/>
      <c r="C1223" s="381" t="s">
        <v>7105</v>
      </c>
    </row>
    <row r="1224" spans="1:3" ht="12.9" customHeight="1">
      <c r="A1224" s="381"/>
      <c r="B1224" s="381"/>
      <c r="C1224" s="381" t="s">
        <v>7106</v>
      </c>
    </row>
    <row r="1225" spans="1:3" ht="12.9" customHeight="1">
      <c r="A1225" s="381"/>
      <c r="B1225" s="381"/>
      <c r="C1225" s="381" t="s">
        <v>7107</v>
      </c>
    </row>
    <row r="1226" spans="1:3" ht="12.9" customHeight="1">
      <c r="A1226" s="381"/>
      <c r="B1226" s="381"/>
      <c r="C1226" s="381" t="s">
        <v>7108</v>
      </c>
    </row>
    <row r="1227" spans="1:3" ht="12.9" customHeight="1">
      <c r="A1227" s="381"/>
      <c r="B1227" s="381"/>
      <c r="C1227" s="381" t="s">
        <v>7109</v>
      </c>
    </row>
    <row r="1228" spans="1:3" ht="12.9" customHeight="1">
      <c r="A1228" s="381"/>
      <c r="B1228" s="381"/>
      <c r="C1228" s="381" t="s">
        <v>7110</v>
      </c>
    </row>
    <row r="1229" spans="1:3" ht="12.9" customHeight="1">
      <c r="A1229" s="381"/>
      <c r="B1229" s="381"/>
      <c r="C1229" s="381" t="s">
        <v>7111</v>
      </c>
    </row>
    <row r="1230" spans="1:3" ht="12.9" customHeight="1">
      <c r="A1230" s="381"/>
      <c r="B1230" s="381"/>
      <c r="C1230" s="381" t="s">
        <v>7112</v>
      </c>
    </row>
    <row r="1231" spans="1:3" ht="12.9" customHeight="1">
      <c r="A1231" s="381"/>
      <c r="B1231" s="381"/>
      <c r="C1231" s="381" t="s">
        <v>7113</v>
      </c>
    </row>
    <row r="1232" spans="1:3" ht="12.9" customHeight="1">
      <c r="A1232" s="381"/>
      <c r="B1232" s="381"/>
      <c r="C1232" s="381" t="s">
        <v>7114</v>
      </c>
    </row>
    <row r="1233" spans="1:3" ht="12.9" customHeight="1">
      <c r="A1233" s="381"/>
      <c r="B1233" s="381"/>
      <c r="C1233" s="381" t="s">
        <v>7115</v>
      </c>
    </row>
    <row r="1234" spans="1:3" ht="12.9" customHeight="1">
      <c r="A1234" s="381"/>
      <c r="B1234" s="381"/>
      <c r="C1234" s="381" t="s">
        <v>7116</v>
      </c>
    </row>
    <row r="1235" spans="1:3" ht="12.9" customHeight="1">
      <c r="A1235" s="381"/>
      <c r="B1235" s="381"/>
      <c r="C1235" s="381" t="s">
        <v>7117</v>
      </c>
    </row>
    <row r="1236" spans="1:3" ht="12.9" customHeight="1">
      <c r="A1236" s="381"/>
      <c r="B1236" s="381"/>
      <c r="C1236" s="381" t="s">
        <v>7118</v>
      </c>
    </row>
    <row r="1237" spans="1:3" ht="12.9" customHeight="1">
      <c r="A1237" s="381"/>
      <c r="B1237" s="381"/>
      <c r="C1237" s="381" t="s">
        <v>7119</v>
      </c>
    </row>
    <row r="1238" spans="1:3" ht="12.9" customHeight="1">
      <c r="A1238" s="381"/>
      <c r="B1238" s="381"/>
      <c r="C1238" s="381" t="s">
        <v>7120</v>
      </c>
    </row>
    <row r="1239" spans="1:3" ht="12.9" customHeight="1">
      <c r="A1239" s="381"/>
      <c r="B1239" s="381"/>
      <c r="C1239" s="381" t="s">
        <v>7121</v>
      </c>
    </row>
    <row r="1240" spans="1:3" ht="12.9" customHeight="1">
      <c r="A1240" s="381"/>
      <c r="B1240" s="381"/>
      <c r="C1240" s="381" t="s">
        <v>7122</v>
      </c>
    </row>
    <row r="1241" spans="1:3" ht="12.9" customHeight="1">
      <c r="A1241" s="381"/>
      <c r="B1241" s="381"/>
      <c r="C1241" s="381" t="s">
        <v>7123</v>
      </c>
    </row>
    <row r="1242" spans="1:3" ht="12.9" customHeight="1">
      <c r="A1242" s="381"/>
      <c r="B1242" s="381"/>
      <c r="C1242" s="381" t="s">
        <v>7124</v>
      </c>
    </row>
    <row r="1243" spans="1:3" ht="12.9" customHeight="1">
      <c r="A1243" s="381"/>
      <c r="B1243" s="381"/>
      <c r="C1243" s="381" t="s">
        <v>7125</v>
      </c>
    </row>
    <row r="1244" spans="1:3" ht="12.9" customHeight="1">
      <c r="A1244" s="381"/>
      <c r="B1244" s="381"/>
      <c r="C1244" s="381" t="s">
        <v>7126</v>
      </c>
    </row>
    <row r="1245" spans="1:3" ht="12.9" customHeight="1">
      <c r="A1245" s="381"/>
      <c r="B1245" s="381"/>
      <c r="C1245" s="381" t="s">
        <v>7127</v>
      </c>
    </row>
    <row r="1246" spans="1:3" ht="12.9" customHeight="1">
      <c r="A1246" s="381"/>
      <c r="B1246" s="381"/>
      <c r="C1246" s="381" t="s">
        <v>7128</v>
      </c>
    </row>
    <row r="1247" spans="1:3" ht="12.9" customHeight="1">
      <c r="A1247" s="381"/>
      <c r="B1247" s="381"/>
      <c r="C1247" s="381" t="s">
        <v>7129</v>
      </c>
    </row>
    <row r="1248" spans="1:3" ht="12.9" customHeight="1">
      <c r="A1248" s="381"/>
      <c r="B1248" s="381"/>
      <c r="C1248" s="381" t="s">
        <v>7130</v>
      </c>
    </row>
    <row r="1249" spans="1:3" ht="12.9" customHeight="1">
      <c r="A1249" s="381"/>
      <c r="B1249" s="381" t="s">
        <v>957</v>
      </c>
      <c r="C1249" s="381" t="s">
        <v>7131</v>
      </c>
    </row>
    <row r="1250" spans="1:3" ht="12.9" customHeight="1">
      <c r="A1250" s="381"/>
      <c r="B1250" s="381"/>
      <c r="C1250" s="381" t="s">
        <v>42</v>
      </c>
    </row>
    <row r="1251" spans="1:3" ht="12.9" customHeight="1">
      <c r="A1251" s="381"/>
      <c r="B1251" s="381"/>
      <c r="C1251" s="381" t="s">
        <v>7132</v>
      </c>
    </row>
    <row r="1252" spans="1:3" ht="12.9" customHeight="1">
      <c r="A1252" s="381"/>
      <c r="B1252" s="381"/>
      <c r="C1252" s="381" t="s">
        <v>7133</v>
      </c>
    </row>
    <row r="1253" spans="1:3" ht="12.9" customHeight="1">
      <c r="A1253" s="381"/>
      <c r="B1253" s="381"/>
      <c r="C1253" s="381" t="s">
        <v>7134</v>
      </c>
    </row>
    <row r="1254" spans="1:3" ht="12.9" customHeight="1">
      <c r="A1254" s="381"/>
      <c r="B1254" s="381"/>
      <c r="C1254" s="381" t="s">
        <v>7135</v>
      </c>
    </row>
    <row r="1255" spans="1:3" ht="12.9" customHeight="1">
      <c r="A1255" s="381"/>
      <c r="B1255" s="381"/>
      <c r="C1255" s="381" t="s">
        <v>7136</v>
      </c>
    </row>
    <row r="1256" spans="1:3" ht="12.9" customHeight="1">
      <c r="A1256" s="381"/>
      <c r="B1256" s="381"/>
      <c r="C1256" s="381" t="s">
        <v>7137</v>
      </c>
    </row>
    <row r="1257" spans="1:3" ht="12.9" customHeight="1">
      <c r="A1257" s="381"/>
      <c r="B1257" s="381"/>
      <c r="C1257" s="381" t="s">
        <v>7072</v>
      </c>
    </row>
    <row r="1258" spans="1:3" ht="12.9" customHeight="1">
      <c r="A1258" s="381"/>
      <c r="B1258" s="381"/>
      <c r="C1258" s="381" t="s">
        <v>7073</v>
      </c>
    </row>
    <row r="1259" spans="1:3" ht="12.9" customHeight="1">
      <c r="A1259" s="381"/>
      <c r="B1259" s="381"/>
      <c r="C1259" s="381" t="s">
        <v>7074</v>
      </c>
    </row>
    <row r="1260" spans="1:3" ht="12.9" customHeight="1">
      <c r="A1260" s="381"/>
      <c r="B1260" s="381"/>
      <c r="C1260" s="381" t="s">
        <v>7075</v>
      </c>
    </row>
    <row r="1261" spans="1:3" ht="12.9" customHeight="1">
      <c r="A1261" s="381"/>
      <c r="B1261" s="381"/>
      <c r="C1261" s="381" t="s">
        <v>7076</v>
      </c>
    </row>
    <row r="1262" spans="1:3" ht="12.9" customHeight="1">
      <c r="A1262" s="381"/>
      <c r="B1262" s="381"/>
      <c r="C1262" s="381" t="s">
        <v>7077</v>
      </c>
    </row>
    <row r="1263" spans="1:3" ht="12.9" customHeight="1">
      <c r="A1263" s="381"/>
      <c r="B1263" s="381"/>
      <c r="C1263" s="381" t="s">
        <v>7078</v>
      </c>
    </row>
    <row r="1264" spans="1:3" ht="12.9" customHeight="1">
      <c r="A1264" s="381"/>
      <c r="B1264" s="381"/>
      <c r="C1264" s="381" t="s">
        <v>7079</v>
      </c>
    </row>
    <row r="1265" spans="1:3" ht="12.9" customHeight="1">
      <c r="A1265" s="381"/>
      <c r="B1265" s="381"/>
      <c r="C1265" s="381" t="s">
        <v>7080</v>
      </c>
    </row>
    <row r="1266" spans="1:3" ht="12.9" customHeight="1">
      <c r="A1266" s="381"/>
      <c r="B1266" s="381"/>
      <c r="C1266" s="381" t="s">
        <v>7081</v>
      </c>
    </row>
    <row r="1267" spans="1:3" ht="12.9" customHeight="1">
      <c r="A1267" s="381"/>
      <c r="B1267" s="381"/>
      <c r="C1267" s="381" t="s">
        <v>7138</v>
      </c>
    </row>
    <row r="1268" spans="1:3" ht="12.9" customHeight="1">
      <c r="A1268" s="381"/>
      <c r="B1268" s="381"/>
      <c r="C1268" s="381" t="s">
        <v>7139</v>
      </c>
    </row>
    <row r="1269" spans="1:3" ht="12.9" customHeight="1">
      <c r="A1269" s="381"/>
      <c r="B1269" s="381"/>
      <c r="C1269" s="381" t="s">
        <v>7140</v>
      </c>
    </row>
    <row r="1270" spans="1:3" ht="12.9" customHeight="1">
      <c r="A1270" s="381"/>
      <c r="B1270" s="381"/>
      <c r="C1270" s="381" t="s">
        <v>7141</v>
      </c>
    </row>
    <row r="1271" spans="1:3" ht="12.9" customHeight="1">
      <c r="A1271" s="381"/>
      <c r="B1271" s="381"/>
      <c r="C1271" s="381" t="s">
        <v>7142</v>
      </c>
    </row>
    <row r="1272" spans="1:3" ht="12.9" customHeight="1">
      <c r="A1272" s="381"/>
      <c r="B1272" s="381"/>
      <c r="C1272" s="381" t="s">
        <v>7143</v>
      </c>
    </row>
    <row r="1273" spans="1:3" ht="12.9" customHeight="1">
      <c r="A1273" s="381"/>
      <c r="B1273" s="381"/>
      <c r="C1273" s="381" t="s">
        <v>7145</v>
      </c>
    </row>
    <row r="1274" spans="1:3" ht="12.9" customHeight="1">
      <c r="A1274" s="381"/>
      <c r="B1274" s="381"/>
      <c r="C1274" s="381" t="s">
        <v>7146</v>
      </c>
    </row>
    <row r="1275" spans="1:3" ht="12.9" customHeight="1">
      <c r="A1275" s="381"/>
      <c r="B1275" s="381"/>
      <c r="C1275" s="381" t="s">
        <v>7147</v>
      </c>
    </row>
    <row r="1276" spans="1:3" ht="12.9" customHeight="1">
      <c r="A1276" s="381"/>
      <c r="B1276" s="381"/>
      <c r="C1276" s="381" t="s">
        <v>7148</v>
      </c>
    </row>
    <row r="1277" spans="1:3" ht="12.9" customHeight="1">
      <c r="A1277" s="381"/>
      <c r="B1277" s="381"/>
      <c r="C1277" s="381" t="s">
        <v>7149</v>
      </c>
    </row>
    <row r="1278" spans="1:3" ht="12.9" customHeight="1">
      <c r="A1278" s="381"/>
      <c r="B1278" s="381"/>
      <c r="C1278" s="381" t="s">
        <v>7150</v>
      </c>
    </row>
    <row r="1279" spans="1:3" ht="12.9" customHeight="1">
      <c r="A1279" s="381"/>
      <c r="B1279" s="381" t="s">
        <v>4894</v>
      </c>
      <c r="C1279" s="381" t="s">
        <v>7151</v>
      </c>
    </row>
    <row r="1280" spans="1:3" ht="12.9" customHeight="1">
      <c r="A1280" s="381"/>
      <c r="B1280" s="381" t="s">
        <v>382</v>
      </c>
      <c r="C1280" s="381" t="s">
        <v>7152</v>
      </c>
    </row>
    <row r="1281" spans="1:3" ht="12.9" customHeight="1">
      <c r="A1281" s="381"/>
      <c r="B1281" s="381" t="s">
        <v>123</v>
      </c>
      <c r="C1281" s="381" t="s">
        <v>7153</v>
      </c>
    </row>
    <row r="1282" spans="1:3" ht="12.9" customHeight="1">
      <c r="A1282" s="381"/>
      <c r="B1282" s="381"/>
      <c r="C1282" s="381" t="s">
        <v>7154</v>
      </c>
    </row>
    <row r="1283" spans="1:3" ht="12.9" customHeight="1">
      <c r="A1283" s="381"/>
      <c r="B1283" s="381" t="s">
        <v>1583</v>
      </c>
      <c r="C1283" s="381" t="s">
        <v>7155</v>
      </c>
    </row>
    <row r="1284" spans="1:3" ht="12.9" customHeight="1">
      <c r="A1284" s="381"/>
      <c r="B1284" s="381"/>
      <c r="C1284" s="381" t="s">
        <v>7156</v>
      </c>
    </row>
    <row r="1285" spans="1:3" ht="12.9" customHeight="1">
      <c r="A1285" s="381"/>
      <c r="B1285" s="381" t="s">
        <v>4136</v>
      </c>
      <c r="C1285" s="381" t="s">
        <v>7157</v>
      </c>
    </row>
    <row r="1286" spans="1:3" ht="12.9" customHeight="1">
      <c r="A1286" s="381"/>
      <c r="B1286" s="381" t="s">
        <v>4137</v>
      </c>
      <c r="C1286" s="381" t="s">
        <v>7158</v>
      </c>
    </row>
    <row r="1287" spans="1:3" ht="12.9" customHeight="1">
      <c r="A1287" s="381"/>
      <c r="B1287" s="381"/>
      <c r="C1287" s="381" t="s">
        <v>7159</v>
      </c>
    </row>
    <row r="1288" spans="1:3" ht="12.9" customHeight="1">
      <c r="A1288" s="381"/>
      <c r="B1288" s="381"/>
      <c r="C1288" s="381" t="s">
        <v>7160</v>
      </c>
    </row>
    <row r="1289" spans="1:3" ht="12.9" customHeight="1">
      <c r="A1289" s="381"/>
      <c r="B1289" s="381" t="s">
        <v>1103</v>
      </c>
      <c r="C1289" s="381" t="s">
        <v>7161</v>
      </c>
    </row>
    <row r="1290" spans="1:3" ht="12.9" customHeight="1">
      <c r="A1290" s="381"/>
      <c r="B1290" s="381" t="s">
        <v>1104</v>
      </c>
      <c r="C1290" s="381" t="s">
        <v>7162</v>
      </c>
    </row>
    <row r="1291" spans="1:3" ht="12.9" customHeight="1">
      <c r="A1291" s="381" t="s">
        <v>5421</v>
      </c>
      <c r="B1291" s="381"/>
      <c r="C1291" s="381" t="s">
        <v>7163</v>
      </c>
    </row>
    <row r="1292" spans="1:3" ht="12.9" customHeight="1">
      <c r="A1292" s="381"/>
      <c r="B1292" s="381"/>
      <c r="C1292" s="381" t="s">
        <v>2880</v>
      </c>
    </row>
    <row r="1293" spans="1:3" ht="12.9" customHeight="1">
      <c r="A1293" s="381"/>
      <c r="B1293" s="381"/>
      <c r="C1293" s="381" t="s">
        <v>7164</v>
      </c>
    </row>
    <row r="1294" spans="1:3" ht="12.9" customHeight="1">
      <c r="A1294" s="381"/>
      <c r="B1294" s="381"/>
      <c r="C1294" s="381" t="s">
        <v>43</v>
      </c>
    </row>
    <row r="1295" spans="1:3" ht="12.9" customHeight="1">
      <c r="A1295" s="381"/>
      <c r="B1295" s="381"/>
      <c r="C1295" s="381" t="s">
        <v>1298</v>
      </c>
    </row>
    <row r="1296" spans="1:3" ht="12.9" customHeight="1">
      <c r="A1296" s="381"/>
      <c r="B1296" s="381"/>
      <c r="C1296" s="381" t="s">
        <v>1299</v>
      </c>
    </row>
    <row r="1297" spans="1:3" ht="12.9" customHeight="1">
      <c r="A1297" s="381"/>
      <c r="B1297" s="381"/>
      <c r="C1297" s="381" t="s">
        <v>1300</v>
      </c>
    </row>
    <row r="1298" spans="1:3" ht="12.9" customHeight="1">
      <c r="A1298" s="381"/>
      <c r="B1298" s="381"/>
      <c r="C1298" s="381" t="s">
        <v>2905</v>
      </c>
    </row>
    <row r="1299" spans="1:3" ht="12.9" customHeight="1">
      <c r="A1299" s="381"/>
      <c r="B1299" s="381"/>
      <c r="C1299" s="381" t="s">
        <v>309</v>
      </c>
    </row>
    <row r="1300" spans="1:3" ht="12.9" customHeight="1">
      <c r="A1300" s="381"/>
      <c r="B1300" s="381"/>
      <c r="C1300" s="381" t="s">
        <v>2191</v>
      </c>
    </row>
    <row r="1301" spans="1:3" ht="12.9" customHeight="1">
      <c r="A1301" s="381"/>
      <c r="B1301" s="381"/>
      <c r="C1301" s="381" t="s">
        <v>1050</v>
      </c>
    </row>
    <row r="1302" spans="1:3" ht="12.9" customHeight="1">
      <c r="A1302" s="381"/>
      <c r="B1302" s="381" t="s">
        <v>3454</v>
      </c>
      <c r="C1302" s="381" t="s">
        <v>1051</v>
      </c>
    </row>
    <row r="1303" spans="1:3" ht="12.9" customHeight="1">
      <c r="A1303" s="381"/>
      <c r="B1303" s="381"/>
      <c r="C1303" s="381" t="s">
        <v>1052</v>
      </c>
    </row>
    <row r="1304" spans="1:3" ht="12.9" customHeight="1">
      <c r="A1304" s="381"/>
      <c r="B1304" s="381"/>
      <c r="C1304" s="381" t="s">
        <v>308</v>
      </c>
    </row>
    <row r="1305" spans="1:3" ht="12.9" customHeight="1">
      <c r="A1305" s="381"/>
      <c r="B1305" s="381"/>
      <c r="C1305" s="381" t="s">
        <v>7165</v>
      </c>
    </row>
    <row r="1306" spans="1:3" ht="12.9" customHeight="1">
      <c r="A1306" s="381"/>
      <c r="B1306" s="381" t="s">
        <v>3455</v>
      </c>
      <c r="C1306" s="381" t="s">
        <v>739</v>
      </c>
    </row>
    <row r="1307" spans="1:3" ht="12.9" customHeight="1">
      <c r="A1307" s="381"/>
      <c r="B1307" s="381"/>
      <c r="C1307" s="381" t="s">
        <v>7166</v>
      </c>
    </row>
    <row r="1308" spans="1:3" ht="12.9" customHeight="1">
      <c r="A1308" s="381"/>
      <c r="B1308" s="381"/>
      <c r="C1308" s="381" t="s">
        <v>7167</v>
      </c>
    </row>
    <row r="1309" spans="1:3" ht="12.9" customHeight="1">
      <c r="A1309" s="381"/>
      <c r="B1309" s="381" t="s">
        <v>2379</v>
      </c>
      <c r="C1309" s="381" t="s">
        <v>7168</v>
      </c>
    </row>
    <row r="1310" spans="1:3" ht="12.9" customHeight="1">
      <c r="A1310" s="381"/>
      <c r="B1310" s="381" t="s">
        <v>5252</v>
      </c>
      <c r="C1310" s="381" t="s">
        <v>5568</v>
      </c>
    </row>
    <row r="1311" spans="1:3" ht="12.9" customHeight="1">
      <c r="A1311" s="381"/>
      <c r="B1311" s="381" t="s">
        <v>5253</v>
      </c>
      <c r="C1311" s="381" t="s">
        <v>742</v>
      </c>
    </row>
    <row r="1312" spans="1:3" ht="12.9" customHeight="1">
      <c r="A1312" s="381"/>
      <c r="B1312" s="381" t="s">
        <v>1447</v>
      </c>
      <c r="C1312" s="381" t="s">
        <v>44</v>
      </c>
    </row>
    <row r="1313" spans="1:3" ht="12.9" customHeight="1">
      <c r="A1313" s="381"/>
      <c r="B1313" s="381" t="s">
        <v>3456</v>
      </c>
      <c r="C1313" s="381" t="s">
        <v>4588</v>
      </c>
    </row>
    <row r="1314" spans="1:3" ht="12.9" customHeight="1">
      <c r="A1314" s="381"/>
      <c r="B1314" s="381" t="s">
        <v>3457</v>
      </c>
      <c r="C1314" s="381" t="s">
        <v>45</v>
      </c>
    </row>
    <row r="1315" spans="1:3" ht="12.9" customHeight="1">
      <c r="A1315" s="381"/>
      <c r="B1315" s="381" t="s">
        <v>1448</v>
      </c>
      <c r="C1315" s="381" t="s">
        <v>143</v>
      </c>
    </row>
    <row r="1316" spans="1:3" ht="12.9" customHeight="1">
      <c r="A1316" s="381"/>
      <c r="B1316" s="381" t="s">
        <v>1449</v>
      </c>
      <c r="C1316" s="381" t="s">
        <v>7169</v>
      </c>
    </row>
    <row r="1317" spans="1:3" ht="12.9" customHeight="1">
      <c r="A1317" s="381"/>
      <c r="B1317" s="381" t="s">
        <v>1450</v>
      </c>
      <c r="C1317" s="381" t="s">
        <v>2723</v>
      </c>
    </row>
    <row r="1318" spans="1:3" ht="12.9" customHeight="1">
      <c r="A1318" s="381"/>
      <c r="B1318" s="381" t="s">
        <v>5697</v>
      </c>
      <c r="C1318" s="381" t="s">
        <v>5697</v>
      </c>
    </row>
    <row r="1319" spans="1:3" ht="12.9" customHeight="1">
      <c r="A1319" s="381"/>
      <c r="B1319" s="381" t="s">
        <v>1818</v>
      </c>
      <c r="C1319" s="381" t="s">
        <v>2791</v>
      </c>
    </row>
    <row r="1320" spans="1:3" ht="12.9" customHeight="1">
      <c r="A1320" s="381"/>
      <c r="B1320" s="381" t="s">
        <v>2380</v>
      </c>
      <c r="C1320" s="381" t="s">
        <v>7170</v>
      </c>
    </row>
    <row r="1321" spans="1:3" ht="12.9" customHeight="1">
      <c r="A1321" s="381"/>
      <c r="B1321" s="381" t="s">
        <v>1454</v>
      </c>
      <c r="C1321" s="381" t="s">
        <v>5035</v>
      </c>
    </row>
    <row r="1322" spans="1:3" ht="12.9" customHeight="1">
      <c r="A1322" s="381"/>
      <c r="B1322" s="381" t="s">
        <v>971</v>
      </c>
      <c r="C1322" s="381" t="s">
        <v>7171</v>
      </c>
    </row>
    <row r="1323" spans="1:3" ht="12.9" customHeight="1">
      <c r="A1323" s="381"/>
      <c r="B1323" s="381" t="s">
        <v>1451</v>
      </c>
      <c r="C1323" s="442" t="s">
        <v>4416</v>
      </c>
    </row>
    <row r="1324" spans="1:3" ht="12.9" customHeight="1">
      <c r="A1324" s="381"/>
      <c r="B1324" s="381" t="s">
        <v>1452</v>
      </c>
      <c r="C1324" s="442" t="s">
        <v>5721</v>
      </c>
    </row>
    <row r="1325" spans="1:3" ht="12.9" customHeight="1">
      <c r="A1325" s="381"/>
      <c r="B1325" s="381" t="s">
        <v>3487</v>
      </c>
      <c r="C1325" s="442" t="s">
        <v>5859</v>
      </c>
    </row>
    <row r="1326" spans="1:3" ht="12.9" customHeight="1">
      <c r="A1326" s="381"/>
      <c r="B1326" s="381" t="s">
        <v>3488</v>
      </c>
      <c r="C1326" s="381" t="s">
        <v>3106</v>
      </c>
    </row>
    <row r="1327" spans="1:3" ht="12.9" customHeight="1">
      <c r="A1327" s="381"/>
      <c r="B1327" s="381" t="s">
        <v>3458</v>
      </c>
      <c r="C1327" s="381" t="s">
        <v>7172</v>
      </c>
    </row>
    <row r="1328" spans="1:3" ht="12.9" customHeight="1">
      <c r="A1328" s="381"/>
      <c r="B1328" s="381" t="s">
        <v>1912</v>
      </c>
      <c r="C1328" s="381" t="s">
        <v>7173</v>
      </c>
    </row>
    <row r="1329" spans="1:3" ht="12.9" customHeight="1">
      <c r="A1329" s="381"/>
      <c r="B1329" s="381" t="s">
        <v>1196</v>
      </c>
      <c r="C1329" s="381" t="s">
        <v>7174</v>
      </c>
    </row>
    <row r="1330" spans="1:3" ht="12.9" customHeight="1">
      <c r="A1330" s="381"/>
      <c r="B1330" s="381" t="s">
        <v>3489</v>
      </c>
      <c r="C1330" s="381" t="s">
        <v>7175</v>
      </c>
    </row>
    <row r="1331" spans="1:3" ht="12.9" customHeight="1">
      <c r="A1331" s="381"/>
      <c r="B1331" s="381" t="s">
        <v>2631</v>
      </c>
      <c r="C1331" s="381" t="s">
        <v>7176</v>
      </c>
    </row>
    <row r="1332" spans="1:3" ht="12.9" customHeight="1">
      <c r="A1332" s="381"/>
      <c r="B1332" s="381" t="s">
        <v>3490</v>
      </c>
      <c r="C1332" s="381" t="s">
        <v>7177</v>
      </c>
    </row>
    <row r="1333" spans="1:3" ht="12.9" customHeight="1">
      <c r="A1333" s="381"/>
      <c r="B1333" s="381" t="s">
        <v>3491</v>
      </c>
      <c r="C1333" s="442" t="s">
        <v>7178</v>
      </c>
    </row>
    <row r="1334" spans="1:3" ht="12.9" customHeight="1">
      <c r="A1334" s="381"/>
      <c r="B1334" s="381" t="s">
        <v>1160</v>
      </c>
      <c r="C1334" s="381" t="s">
        <v>46</v>
      </c>
    </row>
    <row r="1335" spans="1:3" ht="12.9" customHeight="1">
      <c r="A1335" s="381"/>
      <c r="B1335" s="381" t="s">
        <v>1161</v>
      </c>
      <c r="C1335" s="381" t="s">
        <v>5865</v>
      </c>
    </row>
    <row r="1336" spans="1:3" ht="12.9" customHeight="1">
      <c r="A1336" s="381"/>
      <c r="B1336" s="381" t="s">
        <v>3492</v>
      </c>
      <c r="C1336" s="381" t="s">
        <v>5250</v>
      </c>
    </row>
    <row r="1337" spans="1:3" ht="12.9" customHeight="1">
      <c r="A1337" s="381"/>
      <c r="B1337" s="381" t="s">
        <v>3493</v>
      </c>
      <c r="C1337" s="381" t="s">
        <v>4456</v>
      </c>
    </row>
    <row r="1338" spans="1:3" ht="12.9" customHeight="1">
      <c r="A1338" s="381"/>
      <c r="B1338" s="381" t="s">
        <v>3494</v>
      </c>
      <c r="C1338" s="381" t="s">
        <v>1364</v>
      </c>
    </row>
    <row r="1339" spans="1:3" ht="12.9" customHeight="1">
      <c r="A1339" s="381"/>
      <c r="B1339" s="381" t="s">
        <v>1162</v>
      </c>
      <c r="C1339" s="381" t="s">
        <v>2744</v>
      </c>
    </row>
    <row r="1340" spans="1:3" ht="12.9" customHeight="1">
      <c r="A1340" s="381"/>
      <c r="B1340" s="381" t="s">
        <v>3495</v>
      </c>
      <c r="C1340" s="381" t="s">
        <v>3650</v>
      </c>
    </row>
    <row r="1341" spans="1:3" ht="12.9" customHeight="1">
      <c r="A1341" s="381"/>
      <c r="B1341" s="381" t="s">
        <v>4967</v>
      </c>
      <c r="C1341" s="381" t="s">
        <v>7179</v>
      </c>
    </row>
    <row r="1342" spans="1:3" ht="12.9" customHeight="1">
      <c r="A1342" s="381"/>
      <c r="B1342" s="381" t="s">
        <v>4968</v>
      </c>
      <c r="C1342" s="381" t="s">
        <v>7180</v>
      </c>
    </row>
    <row r="1343" spans="1:3" ht="12.9" customHeight="1">
      <c r="A1343" s="381"/>
      <c r="B1343" s="381" t="s">
        <v>972</v>
      </c>
      <c r="C1343" s="381" t="s">
        <v>7181</v>
      </c>
    </row>
    <row r="1344" spans="1:3" ht="12.9" customHeight="1">
      <c r="A1344" s="381"/>
      <c r="B1344" s="381" t="s">
        <v>2078</v>
      </c>
      <c r="C1344" s="381" t="s">
        <v>7182</v>
      </c>
    </row>
    <row r="1345" spans="1:3" ht="12.9" customHeight="1">
      <c r="A1345" s="381"/>
      <c r="B1345" s="381" t="s">
        <v>1123</v>
      </c>
      <c r="C1345" s="381" t="s">
        <v>7183</v>
      </c>
    </row>
    <row r="1346" spans="1:3" ht="12.9" customHeight="1">
      <c r="A1346" s="381"/>
      <c r="B1346" s="381" t="s">
        <v>2079</v>
      </c>
      <c r="C1346" s="381" t="s">
        <v>7184</v>
      </c>
    </row>
    <row r="1347" spans="1:3" ht="12.9" customHeight="1">
      <c r="A1347" s="381"/>
      <c r="B1347" s="381" t="s">
        <v>2225</v>
      </c>
      <c r="C1347" s="381" t="s">
        <v>7185</v>
      </c>
    </row>
    <row r="1348" spans="1:3" ht="12.9" customHeight="1">
      <c r="A1348" s="381"/>
      <c r="B1348" s="381" t="s">
        <v>2080</v>
      </c>
      <c r="C1348" s="381" t="s">
        <v>7186</v>
      </c>
    </row>
    <row r="1349" spans="1:3" ht="12.9" customHeight="1">
      <c r="A1349" s="381"/>
      <c r="B1349" s="381" t="s">
        <v>3459</v>
      </c>
      <c r="C1349" s="381" t="s">
        <v>7187</v>
      </c>
    </row>
    <row r="1350" spans="1:3" ht="12.9" customHeight="1">
      <c r="A1350" s="381"/>
      <c r="B1350" s="381" t="s">
        <v>2793</v>
      </c>
      <c r="C1350" s="381" t="s">
        <v>4295</v>
      </c>
    </row>
    <row r="1351" spans="1:3" ht="12.9" customHeight="1">
      <c r="A1351" s="381"/>
      <c r="B1351" s="381" t="s">
        <v>2794</v>
      </c>
      <c r="C1351" s="381" t="s">
        <v>3583</v>
      </c>
    </row>
    <row r="1352" spans="1:3" ht="12.9" customHeight="1">
      <c r="A1352" s="381"/>
      <c r="B1352" s="381" t="s">
        <v>2795</v>
      </c>
      <c r="C1352" s="381" t="s">
        <v>987</v>
      </c>
    </row>
    <row r="1353" spans="1:3" ht="12.9" customHeight="1">
      <c r="A1353" s="381"/>
      <c r="B1353" s="381" t="s">
        <v>5968</v>
      </c>
      <c r="C1353" s="381" t="s">
        <v>4284</v>
      </c>
    </row>
    <row r="1354" spans="1:3" ht="12.9" customHeight="1">
      <c r="A1354" s="381"/>
      <c r="B1354" s="381" t="s">
        <v>5969</v>
      </c>
      <c r="C1354" s="381" t="s">
        <v>4598</v>
      </c>
    </row>
    <row r="1355" spans="1:3" ht="12.9" customHeight="1">
      <c r="A1355" s="381"/>
      <c r="B1355" s="381" t="s">
        <v>5235</v>
      </c>
      <c r="C1355" s="381" t="s">
        <v>4448</v>
      </c>
    </row>
    <row r="1356" spans="1:3" ht="12.9" customHeight="1">
      <c r="A1356" s="381"/>
      <c r="B1356" s="381" t="s">
        <v>1744</v>
      </c>
      <c r="C1356" s="381" t="s">
        <v>5185</v>
      </c>
    </row>
    <row r="1357" spans="1:3" ht="12.9" customHeight="1">
      <c r="A1357" s="381"/>
      <c r="B1357" s="381" t="s">
        <v>5677</v>
      </c>
      <c r="C1357" s="381" t="s">
        <v>3202</v>
      </c>
    </row>
    <row r="1358" spans="1:3" ht="12.9" customHeight="1">
      <c r="A1358" s="381"/>
      <c r="B1358" s="381"/>
      <c r="C1358" s="381" t="s">
        <v>2890</v>
      </c>
    </row>
    <row r="1359" spans="1:3" ht="12.9" customHeight="1">
      <c r="A1359" s="381"/>
      <c r="B1359" s="381"/>
      <c r="C1359" s="381" t="s">
        <v>2922</v>
      </c>
    </row>
    <row r="1360" spans="1:3" ht="12.9" customHeight="1">
      <c r="A1360" s="381"/>
      <c r="B1360" s="381"/>
      <c r="C1360" s="381" t="s">
        <v>3107</v>
      </c>
    </row>
    <row r="1361" spans="1:3" ht="12.9" customHeight="1">
      <c r="A1361" s="381"/>
      <c r="B1361" s="381" t="s">
        <v>5149</v>
      </c>
      <c r="C1361" s="381" t="s">
        <v>4213</v>
      </c>
    </row>
    <row r="1362" spans="1:3" ht="12.9" customHeight="1">
      <c r="A1362" s="381"/>
      <c r="B1362" s="381" t="s">
        <v>4782</v>
      </c>
      <c r="C1362" s="381" t="s">
        <v>1182</v>
      </c>
    </row>
    <row r="1363" spans="1:3" ht="12.9" customHeight="1">
      <c r="A1363" s="381"/>
      <c r="B1363" s="381" t="s">
        <v>3340</v>
      </c>
      <c r="C1363" s="381" t="s">
        <v>741</v>
      </c>
    </row>
    <row r="1364" spans="1:3" ht="12.9" customHeight="1">
      <c r="A1364" s="381"/>
      <c r="B1364" s="381" t="s">
        <v>1911</v>
      </c>
      <c r="C1364" s="381" t="s">
        <v>5700</v>
      </c>
    </row>
    <row r="1365" spans="1:3" ht="12.9" customHeight="1">
      <c r="A1365" s="381"/>
      <c r="B1365" s="381" t="s">
        <v>3341</v>
      </c>
      <c r="C1365" s="381" t="s">
        <v>3844</v>
      </c>
    </row>
    <row r="1366" spans="1:3" ht="12.9" customHeight="1">
      <c r="A1366" s="381"/>
      <c r="B1366" s="381" t="s">
        <v>3602</v>
      </c>
      <c r="C1366" s="381" t="s">
        <v>114</v>
      </c>
    </row>
    <row r="1367" spans="1:3" ht="12.9" customHeight="1">
      <c r="A1367" s="381"/>
      <c r="B1367" s="381" t="s">
        <v>3603</v>
      </c>
      <c r="C1367" s="381" t="s">
        <v>2790</v>
      </c>
    </row>
    <row r="1368" spans="1:3" ht="12.9" customHeight="1">
      <c r="A1368" s="381"/>
      <c r="B1368" s="381" t="s">
        <v>2159</v>
      </c>
      <c r="C1368" s="381" t="s">
        <v>2334</v>
      </c>
    </row>
    <row r="1369" spans="1:3" ht="12.9" customHeight="1">
      <c r="A1369" s="381"/>
      <c r="B1369" s="381"/>
      <c r="C1369" s="381" t="s">
        <v>5706</v>
      </c>
    </row>
    <row r="1370" spans="1:3" ht="12.9" customHeight="1">
      <c r="A1370" s="381"/>
      <c r="B1370" s="381"/>
      <c r="C1370" s="381" t="s">
        <v>7144</v>
      </c>
    </row>
    <row r="1371" spans="1:3" ht="12.9" customHeight="1">
      <c r="A1371" s="381"/>
      <c r="B1371" s="381"/>
      <c r="C1371" s="381" t="s">
        <v>3646</v>
      </c>
    </row>
    <row r="1372" spans="1:3" ht="12.9" customHeight="1">
      <c r="A1372" s="381"/>
      <c r="B1372" s="381" t="s">
        <v>4900</v>
      </c>
      <c r="C1372" s="381" t="s">
        <v>5569</v>
      </c>
    </row>
    <row r="1373" spans="1:3" ht="12.9" customHeight="1">
      <c r="A1373" s="381"/>
      <c r="B1373" s="381"/>
      <c r="C1373" s="381" t="s">
        <v>3767</v>
      </c>
    </row>
    <row r="1374" spans="1:3" ht="12.9" customHeight="1">
      <c r="A1374" s="381"/>
      <c r="B1374" s="381" t="s">
        <v>374</v>
      </c>
      <c r="C1374" s="381" t="s">
        <v>5430</v>
      </c>
    </row>
    <row r="1375" spans="1:3" ht="12.9" customHeight="1">
      <c r="A1375" s="381"/>
      <c r="B1375" s="381" t="s">
        <v>3271</v>
      </c>
      <c r="C1375" s="381" t="s">
        <v>5811</v>
      </c>
    </row>
    <row r="1376" spans="1:3" ht="12.9" customHeight="1">
      <c r="A1376" s="381"/>
      <c r="B1376" s="381" t="s">
        <v>1819</v>
      </c>
      <c r="C1376" s="381" t="s">
        <v>99</v>
      </c>
    </row>
    <row r="1377" spans="1:3" ht="12.9" customHeight="1">
      <c r="A1377" s="381"/>
      <c r="B1377" s="381" t="s">
        <v>1453</v>
      </c>
      <c r="C1377" s="381" t="s">
        <v>5388</v>
      </c>
    </row>
    <row r="1378" spans="1:3" ht="12.9" customHeight="1">
      <c r="A1378" s="381"/>
      <c r="B1378" s="381" t="s">
        <v>4783</v>
      </c>
      <c r="C1378" s="381" t="s">
        <v>3390</v>
      </c>
    </row>
    <row r="1379" spans="1:3" ht="12.9" customHeight="1">
      <c r="A1379" s="381"/>
      <c r="B1379" s="381" t="s">
        <v>1742</v>
      </c>
      <c r="C1379" s="381" t="s">
        <v>2378</v>
      </c>
    </row>
    <row r="1380" spans="1:3" ht="12.9" customHeight="1">
      <c r="A1380" s="381"/>
      <c r="B1380" s="381" t="s">
        <v>195</v>
      </c>
      <c r="C1380" s="381" t="s">
        <v>7188</v>
      </c>
    </row>
    <row r="1381" spans="1:3" ht="12.9" customHeight="1">
      <c r="A1381" s="381"/>
      <c r="B1381" s="381" t="s">
        <v>3476</v>
      </c>
      <c r="C1381" s="381" t="s">
        <v>2134</v>
      </c>
    </row>
    <row r="1382" spans="1:3" ht="12.9" customHeight="1">
      <c r="A1382" s="381"/>
      <c r="B1382" s="381" t="s">
        <v>3329</v>
      </c>
      <c r="C1382" s="381" t="s">
        <v>7189</v>
      </c>
    </row>
    <row r="1383" spans="1:3" ht="12.9" customHeight="1">
      <c r="A1383" s="381"/>
      <c r="B1383" s="381" t="s">
        <v>3330</v>
      </c>
      <c r="C1383" s="381" t="s">
        <v>7190</v>
      </c>
    </row>
    <row r="1384" spans="1:3" ht="12.9" customHeight="1">
      <c r="A1384" s="381"/>
      <c r="B1384" s="381" t="s">
        <v>3482</v>
      </c>
      <c r="C1384" s="381" t="s">
        <v>7191</v>
      </c>
    </row>
    <row r="1385" spans="1:3" ht="12.9" customHeight="1">
      <c r="A1385" s="381"/>
      <c r="B1385" s="381" t="s">
        <v>169</v>
      </c>
      <c r="C1385" s="381" t="s">
        <v>3615</v>
      </c>
    </row>
    <row r="1386" spans="1:3" ht="12.9" customHeight="1">
      <c r="A1386" s="381"/>
      <c r="B1386" s="381" t="s">
        <v>3483</v>
      </c>
      <c r="C1386" s="381" t="s">
        <v>47</v>
      </c>
    </row>
    <row r="1387" spans="1:3" ht="12.9" customHeight="1">
      <c r="A1387" s="381"/>
      <c r="B1387" s="381" t="s">
        <v>3484</v>
      </c>
      <c r="C1387" s="381" t="s">
        <v>5090</v>
      </c>
    </row>
    <row r="1388" spans="1:3" ht="12.9" customHeight="1">
      <c r="A1388" s="381"/>
      <c r="B1388" s="381" t="s">
        <v>3485</v>
      </c>
      <c r="C1388" s="381" t="s">
        <v>5376</v>
      </c>
    </row>
    <row r="1389" spans="1:3" ht="12.9" customHeight="1">
      <c r="A1389" s="381"/>
      <c r="B1389" s="381" t="s">
        <v>3477</v>
      </c>
      <c r="C1389" s="381" t="s">
        <v>3315</v>
      </c>
    </row>
    <row r="1390" spans="1:3" ht="12.9" customHeight="1">
      <c r="A1390" s="381"/>
      <c r="B1390" s="381" t="s">
        <v>3478</v>
      </c>
      <c r="C1390" s="381" t="s">
        <v>5230</v>
      </c>
    </row>
    <row r="1391" spans="1:3" ht="12.9" customHeight="1">
      <c r="A1391" s="381"/>
      <c r="B1391" s="381" t="s">
        <v>3479</v>
      </c>
      <c r="C1391" s="381" t="s">
        <v>638</v>
      </c>
    </row>
    <row r="1392" spans="1:3" ht="12.9" customHeight="1">
      <c r="A1392" s="381"/>
      <c r="B1392" s="381" t="s">
        <v>1122</v>
      </c>
      <c r="C1392" s="381" t="s">
        <v>5370</v>
      </c>
    </row>
    <row r="1393" spans="1:3" ht="12.9" customHeight="1">
      <c r="A1393" s="381"/>
      <c r="B1393" s="381" t="s">
        <v>3480</v>
      </c>
      <c r="C1393" s="381" t="s">
        <v>714</v>
      </c>
    </row>
    <row r="1394" spans="1:3" ht="12.9" customHeight="1">
      <c r="A1394" s="381"/>
      <c r="B1394" s="381" t="s">
        <v>3481</v>
      </c>
      <c r="C1394" s="381" t="s">
        <v>4160</v>
      </c>
    </row>
    <row r="1395" spans="1:3" ht="12.9" customHeight="1">
      <c r="A1395" s="381"/>
      <c r="B1395" s="381" t="s">
        <v>5131</v>
      </c>
      <c r="C1395" s="381" t="s">
        <v>1363</v>
      </c>
    </row>
    <row r="1396" spans="1:3" ht="12.9" customHeight="1">
      <c r="A1396" s="381"/>
      <c r="B1396" s="381" t="s">
        <v>5787</v>
      </c>
      <c r="C1396" s="381" t="s">
        <v>2745</v>
      </c>
    </row>
    <row r="1397" spans="1:3" ht="12.9" customHeight="1">
      <c r="A1397" s="381"/>
      <c r="B1397" s="381" t="s">
        <v>2081</v>
      </c>
      <c r="C1397" s="381" t="s">
        <v>7192</v>
      </c>
    </row>
    <row r="1398" spans="1:3" ht="12.9" customHeight="1">
      <c r="A1398" s="381"/>
      <c r="B1398" s="381" t="s">
        <v>3996</v>
      </c>
      <c r="C1398" s="381" t="s">
        <v>7193</v>
      </c>
    </row>
    <row r="1399" spans="1:3" ht="12.9" customHeight="1">
      <c r="A1399" s="381"/>
      <c r="B1399" s="381" t="s">
        <v>5328</v>
      </c>
      <c r="C1399" s="381" t="s">
        <v>7194</v>
      </c>
    </row>
    <row r="1400" spans="1:3" ht="12.9" customHeight="1">
      <c r="A1400" s="381"/>
      <c r="B1400" s="381" t="s">
        <v>4210</v>
      </c>
      <c r="C1400" s="381" t="s">
        <v>4210</v>
      </c>
    </row>
    <row r="1401" spans="1:3" ht="12.9" customHeight="1">
      <c r="A1401" s="381"/>
      <c r="B1401" s="381" t="s">
        <v>4211</v>
      </c>
      <c r="C1401" s="381" t="s">
        <v>4211</v>
      </c>
    </row>
    <row r="1402" spans="1:3" ht="12.9" customHeight="1">
      <c r="A1402" s="381"/>
      <c r="B1402" s="381" t="s">
        <v>1056</v>
      </c>
      <c r="C1402" s="381" t="s">
        <v>7195</v>
      </c>
    </row>
    <row r="1403" spans="1:3" ht="12.9" customHeight="1">
      <c r="A1403" s="381"/>
      <c r="B1403" s="381" t="s">
        <v>1057</v>
      </c>
      <c r="C1403" s="381" t="s">
        <v>7196</v>
      </c>
    </row>
    <row r="1404" spans="1:3" ht="12.9" customHeight="1">
      <c r="A1404" s="381"/>
      <c r="B1404" s="381" t="s">
        <v>1058</v>
      </c>
      <c r="C1404" s="381" t="s">
        <v>7197</v>
      </c>
    </row>
    <row r="1405" spans="1:3" ht="12.9" customHeight="1">
      <c r="A1405" s="381"/>
      <c r="B1405" s="381" t="s">
        <v>3350</v>
      </c>
      <c r="C1405" s="381" t="s">
        <v>7198</v>
      </c>
    </row>
    <row r="1406" spans="1:3" ht="12.9" customHeight="1">
      <c r="A1406" s="381"/>
      <c r="B1406" s="381" t="s">
        <v>5128</v>
      </c>
      <c r="C1406" s="381" t="s">
        <v>674</v>
      </c>
    </row>
    <row r="1407" spans="1:3" ht="12.9" customHeight="1">
      <c r="A1407" s="381"/>
      <c r="B1407" s="381" t="s">
        <v>2082</v>
      </c>
      <c r="C1407" s="381" t="s">
        <v>675</v>
      </c>
    </row>
    <row r="1408" spans="1:3" ht="12.9" customHeight="1">
      <c r="A1408" s="381"/>
      <c r="B1408" s="381" t="s">
        <v>2083</v>
      </c>
      <c r="C1408" s="381" t="s">
        <v>74</v>
      </c>
    </row>
    <row r="1409" spans="1:3" ht="12.9" customHeight="1">
      <c r="A1409" s="381"/>
      <c r="B1409" s="381" t="s">
        <v>2084</v>
      </c>
      <c r="C1409" s="381" t="s">
        <v>4252</v>
      </c>
    </row>
    <row r="1410" spans="1:3" ht="12.9" customHeight="1">
      <c r="A1410" s="381"/>
      <c r="B1410" s="381" t="s">
        <v>2085</v>
      </c>
      <c r="C1410" s="381" t="s">
        <v>4285</v>
      </c>
    </row>
    <row r="1411" spans="1:3" ht="12.9" customHeight="1">
      <c r="A1411" s="381"/>
      <c r="B1411" s="381" t="s">
        <v>2086</v>
      </c>
      <c r="C1411" s="381" t="s">
        <v>7199</v>
      </c>
    </row>
    <row r="1412" spans="1:3" ht="12.9" customHeight="1">
      <c r="A1412" s="381"/>
      <c r="B1412" s="381"/>
      <c r="C1412" s="381" t="s">
        <v>1968</v>
      </c>
    </row>
    <row r="1413" spans="1:3" ht="12.9" customHeight="1">
      <c r="A1413" s="381"/>
      <c r="B1413" s="381"/>
      <c r="C1413" s="381" t="s">
        <v>7200</v>
      </c>
    </row>
    <row r="1414" spans="1:3" ht="12.9" customHeight="1">
      <c r="A1414" s="381"/>
      <c r="B1414" s="381" t="s">
        <v>2937</v>
      </c>
      <c r="C1414" s="381" t="s">
        <v>4455</v>
      </c>
    </row>
    <row r="1415" spans="1:3" ht="12.9" customHeight="1">
      <c r="A1415" s="381"/>
      <c r="B1415" s="381" t="s">
        <v>4303</v>
      </c>
      <c r="C1415" s="381" t="s">
        <v>4457</v>
      </c>
    </row>
    <row r="1416" spans="1:3" ht="12.9" customHeight="1">
      <c r="A1416" s="381"/>
      <c r="B1416" s="381" t="s">
        <v>503</v>
      </c>
      <c r="C1416" s="381" t="s">
        <v>2335</v>
      </c>
    </row>
    <row r="1417" spans="1:3" ht="12.9" customHeight="1">
      <c r="A1417" s="381"/>
      <c r="B1417" s="381" t="s">
        <v>730</v>
      </c>
      <c r="C1417" s="381" t="s">
        <v>7218</v>
      </c>
    </row>
    <row r="1418" spans="1:3" ht="12.9" customHeight="1">
      <c r="A1418" s="381"/>
      <c r="B1418" s="381"/>
      <c r="C1418" s="381" t="s">
        <v>7219</v>
      </c>
    </row>
    <row r="1419" spans="1:3" ht="12.9" customHeight="1">
      <c r="A1419" s="381"/>
      <c r="B1419" s="381" t="s">
        <v>4471</v>
      </c>
      <c r="C1419" s="381" t="s">
        <v>7220</v>
      </c>
    </row>
    <row r="1420" spans="1:3" ht="12.9" customHeight="1">
      <c r="A1420" s="381"/>
      <c r="B1420" s="381" t="s">
        <v>653</v>
      </c>
      <c r="C1420" s="381" t="s">
        <v>7221</v>
      </c>
    </row>
    <row r="1421" spans="1:3" ht="12.9" customHeight="1">
      <c r="A1421" s="381"/>
      <c r="B1421" s="381"/>
      <c r="C1421" s="381" t="s">
        <v>7222</v>
      </c>
    </row>
    <row r="1422" spans="1:3" ht="12.9" customHeight="1">
      <c r="A1422" s="381" t="s">
        <v>3663</v>
      </c>
      <c r="B1422" s="381"/>
      <c r="C1422" s="381" t="s">
        <v>7223</v>
      </c>
    </row>
    <row r="1423" spans="1:3" ht="12.9" customHeight="1">
      <c r="A1423" s="381"/>
      <c r="B1423" s="381" t="s">
        <v>170</v>
      </c>
      <c r="C1423" s="381" t="s">
        <v>7000</v>
      </c>
    </row>
    <row r="1424" spans="1:3" ht="12.9" customHeight="1">
      <c r="A1424" s="381"/>
      <c r="B1424" s="381"/>
      <c r="C1424" s="381" t="s">
        <v>7224</v>
      </c>
    </row>
    <row r="1425" spans="1:3" ht="12.9" customHeight="1">
      <c r="A1425" s="381"/>
      <c r="B1425" s="381"/>
      <c r="C1425" s="381" t="s">
        <v>7225</v>
      </c>
    </row>
    <row r="1426" spans="1:3" ht="12.9" customHeight="1">
      <c r="A1426" s="381"/>
      <c r="B1426" s="381"/>
      <c r="C1426" s="381" t="s">
        <v>7226</v>
      </c>
    </row>
    <row r="1427" spans="1:3" ht="12.9" customHeight="1">
      <c r="A1427" s="381"/>
      <c r="B1427" s="381"/>
      <c r="C1427" s="381" t="s">
        <v>7227</v>
      </c>
    </row>
    <row r="1428" spans="1:3" ht="12.9" customHeight="1">
      <c r="A1428" s="381"/>
      <c r="B1428" s="381"/>
      <c r="C1428" s="381" t="s">
        <v>5</v>
      </c>
    </row>
    <row r="1429" spans="1:3" ht="12.9" customHeight="1">
      <c r="A1429" s="381"/>
      <c r="B1429" s="381"/>
      <c r="C1429" s="381" t="s">
        <v>7228</v>
      </c>
    </row>
    <row r="1430" spans="1:3" ht="12.9" customHeight="1">
      <c r="A1430" s="381"/>
      <c r="B1430" s="381" t="s">
        <v>952</v>
      </c>
      <c r="C1430" s="381" t="s">
        <v>7229</v>
      </c>
    </row>
    <row r="1431" spans="1:3" ht="12.9" customHeight="1">
      <c r="A1431" s="381"/>
      <c r="B1431" s="381" t="s">
        <v>953</v>
      </c>
      <c r="C1431" s="381" t="s">
        <v>7230</v>
      </c>
    </row>
    <row r="1432" spans="1:3" ht="12.9" customHeight="1">
      <c r="A1432" s="381"/>
      <c r="B1432" s="381" t="s">
        <v>575</v>
      </c>
      <c r="C1432" s="381" t="s">
        <v>7231</v>
      </c>
    </row>
    <row r="1433" spans="1:3" ht="12.9" customHeight="1">
      <c r="A1433" s="381"/>
      <c r="B1433" s="381"/>
      <c r="C1433" s="381"/>
    </row>
    <row r="1434" spans="1:3" ht="12.9" customHeight="1">
      <c r="A1434" s="381"/>
      <c r="B1434" s="381" t="s">
        <v>2916</v>
      </c>
      <c r="C1434" s="381" t="s">
        <v>7232</v>
      </c>
    </row>
    <row r="1435" spans="1:3" ht="12.9" customHeight="1">
      <c r="A1435" s="381"/>
      <c r="B1435" s="381" t="s">
        <v>5608</v>
      </c>
      <c r="C1435" s="381" t="s">
        <v>6034</v>
      </c>
    </row>
    <row r="1436" spans="1:3" ht="12.9" customHeight="1">
      <c r="A1436" s="381"/>
      <c r="B1436" s="381" t="s">
        <v>354</v>
      </c>
      <c r="C1436" s="381" t="s">
        <v>7233</v>
      </c>
    </row>
    <row r="1437" spans="1:3" ht="12.9" customHeight="1">
      <c r="A1437" s="381"/>
      <c r="B1437" s="381"/>
      <c r="C1437" s="381" t="s">
        <v>7234</v>
      </c>
    </row>
    <row r="1438" spans="1:3" ht="12.9" customHeight="1">
      <c r="A1438" s="381"/>
      <c r="B1438" s="381"/>
      <c r="C1438" s="381"/>
    </row>
    <row r="1439" spans="1:3" ht="12.9" customHeight="1">
      <c r="A1439" s="381"/>
      <c r="B1439" s="381"/>
      <c r="C1439" s="381"/>
    </row>
    <row r="1440" spans="1:3" ht="12.9" customHeight="1">
      <c r="A1440" s="381"/>
      <c r="B1440" s="381"/>
      <c r="C1440" s="381"/>
    </row>
    <row r="1441" spans="1:3" ht="12.9" customHeight="1">
      <c r="A1441" s="381"/>
      <c r="B1441" s="381"/>
      <c r="C1441" s="321"/>
    </row>
    <row r="1442" spans="1:3" ht="12.9" customHeight="1">
      <c r="A1442" s="381"/>
      <c r="B1442" s="381" t="s">
        <v>3168</v>
      </c>
      <c r="C1442" s="381" t="s">
        <v>7235</v>
      </c>
    </row>
    <row r="1443" spans="1:3" ht="12.9" customHeight="1">
      <c r="A1443" s="381"/>
      <c r="B1443" s="381" t="s">
        <v>1550</v>
      </c>
      <c r="C1443" s="381" t="s">
        <v>7236</v>
      </c>
    </row>
    <row r="1444" spans="1:3" ht="12.9" customHeight="1">
      <c r="A1444" s="381"/>
      <c r="B1444" s="381" t="s">
        <v>1549</v>
      </c>
      <c r="C1444" s="381" t="s">
        <v>7237</v>
      </c>
    </row>
    <row r="1445" spans="1:3" ht="12.9" customHeight="1">
      <c r="A1445" s="381"/>
      <c r="B1445" s="381"/>
      <c r="C1445" s="381" t="s">
        <v>7238</v>
      </c>
    </row>
    <row r="1446" spans="1:3" ht="12.9" customHeight="1">
      <c r="A1446" s="381"/>
      <c r="B1446" s="381" t="s">
        <v>914</v>
      </c>
      <c r="C1446" s="381" t="s">
        <v>7239</v>
      </c>
    </row>
    <row r="1447" spans="1:3" ht="12.9" customHeight="1">
      <c r="A1447" s="381"/>
      <c r="B1447" s="381"/>
      <c r="C1447" s="381"/>
    </row>
    <row r="1448" spans="1:3" ht="12.9" customHeight="1">
      <c r="A1448" s="381"/>
      <c r="B1448" s="381" t="s">
        <v>3559</v>
      </c>
      <c r="C1448" s="381" t="s">
        <v>7240</v>
      </c>
    </row>
    <row r="1449" spans="1:3" ht="12.9" customHeight="1">
      <c r="A1449" s="381"/>
      <c r="B1449" s="381" t="s">
        <v>3652</v>
      </c>
      <c r="C1449" s="381" t="s">
        <v>7241</v>
      </c>
    </row>
    <row r="1450" spans="1:3" ht="12.9" customHeight="1">
      <c r="A1450" s="381"/>
      <c r="B1450" s="381" t="s">
        <v>5868</v>
      </c>
      <c r="C1450" s="381" t="s">
        <v>7201</v>
      </c>
    </row>
    <row r="1451" spans="1:3" ht="12.9" customHeight="1">
      <c r="A1451" s="381"/>
      <c r="B1451" s="381" t="s">
        <v>5516</v>
      </c>
      <c r="C1451" s="381" t="s">
        <v>7202</v>
      </c>
    </row>
    <row r="1452" spans="1:3" ht="12.9" customHeight="1">
      <c r="A1452" s="381"/>
      <c r="B1452" s="381" t="s">
        <v>5036</v>
      </c>
      <c r="C1452" s="381" t="s">
        <v>7203</v>
      </c>
    </row>
    <row r="1453" spans="1:3" ht="12.9" customHeight="1">
      <c r="A1453" s="381"/>
      <c r="B1453" s="381"/>
      <c r="C1453" s="381"/>
    </row>
    <row r="1454" spans="1:3" ht="12.9" customHeight="1">
      <c r="A1454" s="381"/>
      <c r="B1454" s="381"/>
      <c r="C1454" s="381"/>
    </row>
    <row r="1455" spans="1:3" ht="12.9" customHeight="1">
      <c r="A1455" s="381"/>
      <c r="B1455" s="381"/>
      <c r="C1455" s="381"/>
    </row>
    <row r="1456" spans="1:3" ht="12.9" customHeight="1">
      <c r="A1456" s="381"/>
      <c r="B1456" s="381"/>
      <c r="C1456" s="381"/>
    </row>
    <row r="1457" spans="1:3" ht="12.9" customHeight="1">
      <c r="A1457" s="381"/>
      <c r="B1457" s="381" t="s">
        <v>2667</v>
      </c>
      <c r="C1457" s="381" t="s">
        <v>3316</v>
      </c>
    </row>
    <row r="1458" spans="1:3" ht="12.9" customHeight="1">
      <c r="A1458" s="381"/>
      <c r="B1458" s="381"/>
      <c r="C1458" s="381" t="s">
        <v>317</v>
      </c>
    </row>
    <row r="1459" spans="1:3" ht="12.9" customHeight="1">
      <c r="A1459" s="381"/>
      <c r="B1459" s="381"/>
      <c r="C1459" s="381" t="s">
        <v>7204</v>
      </c>
    </row>
    <row r="1460" spans="1:3" ht="12.9" customHeight="1">
      <c r="A1460" s="381"/>
      <c r="B1460" s="381"/>
      <c r="C1460" s="381" t="s">
        <v>7205</v>
      </c>
    </row>
    <row r="1461" spans="1:3" ht="12.9" customHeight="1">
      <c r="A1461" s="381"/>
      <c r="B1461" s="381"/>
      <c r="C1461" s="381" t="s">
        <v>7206</v>
      </c>
    </row>
    <row r="1462" spans="1:3" ht="12.9" customHeight="1">
      <c r="A1462" s="381"/>
      <c r="B1462" s="381"/>
      <c r="C1462" s="381" t="s">
        <v>7207</v>
      </c>
    </row>
    <row r="1463" spans="1:3" ht="12.9" customHeight="1">
      <c r="A1463" s="381"/>
      <c r="B1463" s="381"/>
      <c r="C1463" s="381" t="s">
        <v>7208</v>
      </c>
    </row>
    <row r="1464" spans="1:3" ht="12.9" customHeight="1">
      <c r="A1464" s="381"/>
      <c r="B1464" s="381" t="s">
        <v>1175</v>
      </c>
      <c r="C1464" s="381" t="s">
        <v>7209</v>
      </c>
    </row>
    <row r="1465" spans="1:3" ht="12.9" customHeight="1">
      <c r="A1465" s="381"/>
      <c r="B1465" s="381" t="s">
        <v>3038</v>
      </c>
      <c r="C1465" s="381" t="s">
        <v>7210</v>
      </c>
    </row>
    <row r="1466" spans="1:3" ht="12.9" customHeight="1">
      <c r="A1466" s="381"/>
      <c r="B1466" s="381"/>
      <c r="C1466" s="381" t="s">
        <v>7242</v>
      </c>
    </row>
    <row r="1467" spans="1:3" ht="12.9" customHeight="1">
      <c r="A1467" s="381"/>
      <c r="B1467" s="381"/>
      <c r="C1467" s="381" t="s">
        <v>7243</v>
      </c>
    </row>
    <row r="1468" spans="1:3" ht="12.9" customHeight="1">
      <c r="A1468" s="381"/>
      <c r="B1468" s="381"/>
      <c r="C1468" s="381" t="s">
        <v>7244</v>
      </c>
    </row>
    <row r="1469" spans="1:3" ht="12.9" customHeight="1">
      <c r="A1469" s="381"/>
      <c r="B1469" s="381"/>
      <c r="C1469" s="381" t="s">
        <v>7245</v>
      </c>
    </row>
    <row r="1470" spans="1:3" ht="12.9" customHeight="1">
      <c r="A1470" s="381"/>
      <c r="B1470" s="381"/>
      <c r="C1470" s="381" t="s">
        <v>7246</v>
      </c>
    </row>
    <row r="1471" spans="1:3" ht="12.9" customHeight="1">
      <c r="A1471" s="381"/>
      <c r="B1471" s="381"/>
      <c r="C1471" s="381" t="s">
        <v>7247</v>
      </c>
    </row>
    <row r="1472" spans="1:3" ht="12.9" customHeight="1">
      <c r="A1472" s="381"/>
      <c r="B1472" s="381"/>
      <c r="C1472" s="381" t="s">
        <v>7248</v>
      </c>
    </row>
    <row r="1473" spans="1:3" ht="12.9" customHeight="1">
      <c r="A1473" s="381"/>
      <c r="B1473" s="381"/>
      <c r="C1473" s="381" t="s">
        <v>7249</v>
      </c>
    </row>
    <row r="1474" spans="1:3" ht="12.9" customHeight="1">
      <c r="A1474" s="381"/>
      <c r="B1474" s="381" t="s">
        <v>4089</v>
      </c>
      <c r="C1474" s="381" t="s">
        <v>7250</v>
      </c>
    </row>
    <row r="1475" spans="1:3" ht="12.9" customHeight="1">
      <c r="A1475" s="381"/>
      <c r="B1475" s="381"/>
      <c r="C1475" s="381" t="s">
        <v>7251</v>
      </c>
    </row>
    <row r="1476" spans="1:3" ht="12.9" customHeight="1">
      <c r="A1476" s="381"/>
      <c r="B1476" s="381"/>
      <c r="C1476" s="381" t="s">
        <v>7252</v>
      </c>
    </row>
    <row r="1477" spans="1:3" ht="12.9" customHeight="1">
      <c r="A1477" s="381"/>
      <c r="B1477" s="381" t="s">
        <v>4685</v>
      </c>
      <c r="C1477" s="381" t="s">
        <v>7253</v>
      </c>
    </row>
    <row r="1478" spans="1:3" ht="12.9" customHeight="1">
      <c r="A1478" s="381"/>
      <c r="B1478" s="381"/>
      <c r="C1478" s="381" t="s">
        <v>7254</v>
      </c>
    </row>
    <row r="1479" spans="1:3" ht="12.9" customHeight="1">
      <c r="A1479" s="381"/>
      <c r="B1479" s="381"/>
      <c r="C1479" s="381" t="s">
        <v>7255</v>
      </c>
    </row>
    <row r="1480" spans="1:3" ht="12.9" customHeight="1">
      <c r="A1480" s="381"/>
      <c r="B1480" s="381"/>
      <c r="C1480" s="381" t="s">
        <v>7256</v>
      </c>
    </row>
    <row r="1481" spans="1:3" ht="12.9" customHeight="1">
      <c r="A1481" s="381"/>
      <c r="B1481" s="381" t="s">
        <v>1164</v>
      </c>
      <c r="C1481" s="381" t="s">
        <v>7257</v>
      </c>
    </row>
    <row r="1482" spans="1:3" ht="12.9" customHeight="1">
      <c r="A1482" s="381"/>
      <c r="B1482" s="381" t="s">
        <v>3928</v>
      </c>
      <c r="C1482" s="381" t="s">
        <v>7258</v>
      </c>
    </row>
    <row r="1483" spans="1:3" ht="12.9" customHeight="1">
      <c r="A1483" s="381"/>
      <c r="B1483" s="381"/>
      <c r="C1483" s="381" t="s">
        <v>7259</v>
      </c>
    </row>
    <row r="1484" spans="1:3" ht="12.9" customHeight="1">
      <c r="A1484" s="381"/>
      <c r="B1484" s="381"/>
      <c r="C1484" s="381" t="s">
        <v>7260</v>
      </c>
    </row>
    <row r="1485" spans="1:3" ht="12.9" customHeight="1">
      <c r="A1485" s="381"/>
      <c r="B1485" s="381" t="s">
        <v>606</v>
      </c>
      <c r="C1485" s="381" t="s">
        <v>7261</v>
      </c>
    </row>
    <row r="1486" spans="1:3" ht="12.9" customHeight="1">
      <c r="A1486" s="381"/>
      <c r="B1486" s="381"/>
      <c r="C1486" s="381" t="s">
        <v>7262</v>
      </c>
    </row>
    <row r="1487" spans="1:3" ht="12.9" customHeight="1">
      <c r="A1487" s="381"/>
      <c r="B1487" s="381" t="s">
        <v>1337</v>
      </c>
      <c r="C1487" s="381" t="s">
        <v>7263</v>
      </c>
    </row>
    <row r="1488" spans="1:3" ht="12.9" customHeight="1">
      <c r="A1488" s="381"/>
      <c r="B1488" s="381"/>
      <c r="C1488" s="381" t="s">
        <v>7264</v>
      </c>
    </row>
    <row r="1489" spans="1:3" ht="12.9" customHeight="1">
      <c r="A1489" s="381"/>
      <c r="B1489" s="381"/>
      <c r="C1489" s="381" t="s">
        <v>7265</v>
      </c>
    </row>
    <row r="1490" spans="1:3" ht="12.9" customHeight="1">
      <c r="A1490" s="381"/>
      <c r="B1490" s="381"/>
      <c r="C1490" s="381" t="s">
        <v>7266</v>
      </c>
    </row>
    <row r="1491" spans="1:3" ht="12.9" customHeight="1">
      <c r="A1491" s="381"/>
      <c r="B1491" s="381"/>
      <c r="C1491" s="381" t="s">
        <v>7267</v>
      </c>
    </row>
    <row r="1492" spans="1:3" ht="12.9" customHeight="1">
      <c r="A1492" s="381"/>
      <c r="B1492" s="381"/>
      <c r="C1492" s="381" t="s">
        <v>7268</v>
      </c>
    </row>
    <row r="1493" spans="1:3" ht="12.9" customHeight="1">
      <c r="A1493" s="381"/>
      <c r="B1493" s="381"/>
      <c r="C1493" s="381" t="s">
        <v>7269</v>
      </c>
    </row>
    <row r="1494" spans="1:3" ht="12.9" customHeight="1">
      <c r="A1494" s="381"/>
      <c r="B1494" s="381"/>
      <c r="C1494" s="381" t="s">
        <v>7270</v>
      </c>
    </row>
    <row r="1495" spans="1:3" ht="12.9" customHeight="1">
      <c r="A1495" s="381"/>
      <c r="B1495" s="381"/>
      <c r="C1495" s="381" t="s">
        <v>7271</v>
      </c>
    </row>
    <row r="1496" spans="1:3" ht="12.9" customHeight="1">
      <c r="A1496" s="381"/>
      <c r="B1496" s="381"/>
      <c r="C1496" s="381" t="s">
        <v>7272</v>
      </c>
    </row>
    <row r="1497" spans="1:3" ht="12.9" customHeight="1">
      <c r="A1497" s="381"/>
      <c r="B1497" s="381"/>
      <c r="C1497" s="381" t="s">
        <v>7273</v>
      </c>
    </row>
    <row r="1498" spans="1:3" ht="12.9" customHeight="1">
      <c r="A1498" s="381"/>
      <c r="B1498" s="381" t="s">
        <v>5489</v>
      </c>
      <c r="C1498" s="381" t="s">
        <v>7274</v>
      </c>
    </row>
    <row r="1499" spans="1:3" ht="12.9" customHeight="1">
      <c r="A1499" s="381"/>
      <c r="B1499" s="381"/>
      <c r="C1499" s="381" t="s">
        <v>7275</v>
      </c>
    </row>
    <row r="1500" spans="1:3" ht="12.9" customHeight="1">
      <c r="A1500" s="381"/>
      <c r="B1500" s="381"/>
      <c r="C1500" s="442" t="s">
        <v>7276</v>
      </c>
    </row>
    <row r="1501" spans="1:3" ht="12.9" customHeight="1">
      <c r="A1501" s="381"/>
      <c r="B1501" s="381"/>
      <c r="C1501" s="381" t="s">
        <v>7277</v>
      </c>
    </row>
    <row r="1502" spans="1:3" ht="12.9" customHeight="1">
      <c r="A1502" s="381"/>
      <c r="B1502" s="381"/>
      <c r="C1502" s="381" t="s">
        <v>7278</v>
      </c>
    </row>
    <row r="1503" spans="1:3" ht="12.9" customHeight="1">
      <c r="A1503" s="381"/>
      <c r="B1503" s="381" t="s">
        <v>5985</v>
      </c>
      <c r="C1503" s="381" t="s">
        <v>7279</v>
      </c>
    </row>
    <row r="1504" spans="1:3" ht="12.9" customHeight="1">
      <c r="A1504" s="381"/>
      <c r="B1504" s="381"/>
      <c r="C1504" s="381" t="s">
        <v>7280</v>
      </c>
    </row>
    <row r="1505" spans="1:3" ht="12.9" customHeight="1">
      <c r="A1505" s="381"/>
      <c r="B1505" s="381"/>
      <c r="C1505" s="381" t="s">
        <v>7281</v>
      </c>
    </row>
    <row r="1506" spans="1:3" ht="12.9" customHeight="1">
      <c r="A1506" s="381"/>
      <c r="B1506" s="381"/>
      <c r="C1506" s="381" t="s">
        <v>7282</v>
      </c>
    </row>
    <row r="1507" spans="1:3" ht="12.9" customHeight="1">
      <c r="A1507" s="381"/>
      <c r="B1507" s="381"/>
      <c r="C1507" s="381" t="s">
        <v>7283</v>
      </c>
    </row>
    <row r="1508" spans="1:3" ht="12.9" customHeight="1">
      <c r="A1508" s="381"/>
      <c r="B1508" s="381"/>
      <c r="C1508" s="381" t="s">
        <v>7284</v>
      </c>
    </row>
    <row r="1509" spans="1:3" ht="12.9" customHeight="1">
      <c r="A1509" s="381"/>
      <c r="B1509" s="381"/>
      <c r="C1509" s="381" t="s">
        <v>7285</v>
      </c>
    </row>
    <row r="1510" spans="1:3" ht="12.9" customHeight="1">
      <c r="A1510" s="381"/>
      <c r="B1510" s="381"/>
      <c r="C1510" s="381" t="s">
        <v>7286</v>
      </c>
    </row>
    <row r="1511" spans="1:3" ht="12.9" customHeight="1">
      <c r="A1511" s="381"/>
      <c r="B1511" s="381"/>
      <c r="C1511" s="442" t="s">
        <v>7287</v>
      </c>
    </row>
    <row r="1512" spans="1:3" ht="12.9" customHeight="1">
      <c r="A1512" s="381"/>
      <c r="B1512" s="381"/>
      <c r="C1512" s="381" t="s">
        <v>7288</v>
      </c>
    </row>
    <row r="1513" spans="1:3" ht="12.9" customHeight="1">
      <c r="A1513" s="381"/>
      <c r="B1513" s="381" t="s">
        <v>2204</v>
      </c>
      <c r="C1513" s="381" t="s">
        <v>7289</v>
      </c>
    </row>
    <row r="1514" spans="1:3" ht="12.9" customHeight="1">
      <c r="A1514" s="381"/>
      <c r="B1514" s="381"/>
      <c r="C1514" s="381" t="s">
        <v>1573</v>
      </c>
    </row>
    <row r="1515" spans="1:3" ht="12.9" customHeight="1">
      <c r="A1515" s="381"/>
      <c r="B1515" s="381" t="s">
        <v>4686</v>
      </c>
      <c r="C1515" s="381" t="s">
        <v>7290</v>
      </c>
    </row>
    <row r="1516" spans="1:3" ht="12.9" customHeight="1">
      <c r="A1516" s="381"/>
      <c r="B1516" s="381" t="s">
        <v>535</v>
      </c>
      <c r="C1516" s="381" t="s">
        <v>7291</v>
      </c>
    </row>
    <row r="1517" spans="1:3" ht="12.9" customHeight="1">
      <c r="A1517" s="381"/>
      <c r="B1517" s="381" t="s">
        <v>4353</v>
      </c>
      <c r="C1517" s="381" t="s">
        <v>5784</v>
      </c>
    </row>
    <row r="1518" spans="1:3" ht="12.9" customHeight="1">
      <c r="A1518" s="381"/>
      <c r="B1518" s="381"/>
      <c r="C1518" s="381" t="s">
        <v>7292</v>
      </c>
    </row>
    <row r="1519" spans="1:3" ht="12.9" customHeight="1">
      <c r="A1519" s="381"/>
      <c r="B1519" s="381"/>
      <c r="C1519" s="442" t="s">
        <v>7293</v>
      </c>
    </row>
    <row r="1520" spans="1:3" ht="12.9" customHeight="1">
      <c r="A1520" s="381"/>
      <c r="B1520" s="381"/>
      <c r="C1520" s="381" t="s">
        <v>7294</v>
      </c>
    </row>
    <row r="1521" spans="1:3" ht="12.9" customHeight="1">
      <c r="A1521" s="381"/>
      <c r="B1521" s="381"/>
      <c r="C1521" s="381" t="s">
        <v>7211</v>
      </c>
    </row>
    <row r="1522" spans="1:3" ht="12.9" customHeight="1">
      <c r="A1522" s="381"/>
      <c r="B1522" s="381"/>
      <c r="C1522" s="381" t="s">
        <v>7212</v>
      </c>
    </row>
    <row r="1523" spans="1:3" ht="12.9" customHeight="1">
      <c r="A1523" s="381"/>
      <c r="B1523" s="381"/>
      <c r="C1523" s="381" t="s">
        <v>7213</v>
      </c>
    </row>
    <row r="1524" spans="1:3" ht="12.9" customHeight="1">
      <c r="A1524" s="381"/>
      <c r="B1524" s="381"/>
      <c r="C1524" s="381" t="s">
        <v>7214</v>
      </c>
    </row>
    <row r="1525" spans="1:3" ht="12.9" customHeight="1">
      <c r="A1525" s="381"/>
      <c r="B1525" s="381"/>
      <c r="C1525" s="381" t="s">
        <v>7215</v>
      </c>
    </row>
    <row r="1526" spans="1:3" ht="12.9" customHeight="1">
      <c r="A1526" s="381"/>
      <c r="B1526" s="381"/>
      <c r="C1526" s="381" t="s">
        <v>7216</v>
      </c>
    </row>
    <row r="1527" spans="1:3" ht="12.9" customHeight="1">
      <c r="A1527" s="381"/>
      <c r="B1527" s="381"/>
      <c r="C1527" s="381" t="s">
        <v>7217</v>
      </c>
    </row>
    <row r="1528" spans="1:3" ht="12.9" customHeight="1">
      <c r="A1528" s="381"/>
      <c r="B1528" s="381"/>
      <c r="C1528" s="381" t="s">
        <v>7295</v>
      </c>
    </row>
    <row r="1529" spans="1:3" ht="12.9" customHeight="1">
      <c r="A1529" s="381"/>
      <c r="B1529" s="381"/>
      <c r="C1529" s="381" t="s">
        <v>7296</v>
      </c>
    </row>
    <row r="1530" spans="1:3" ht="12.9" customHeight="1">
      <c r="A1530" s="381"/>
      <c r="B1530" s="381" t="s">
        <v>4354</v>
      </c>
      <c r="C1530" s="381" t="s">
        <v>1559</v>
      </c>
    </row>
    <row r="1531" spans="1:3" ht="12.9" customHeight="1">
      <c r="A1531" s="381"/>
      <c r="B1531" s="381" t="s">
        <v>4732</v>
      </c>
      <c r="C1531" s="381" t="s">
        <v>7297</v>
      </c>
    </row>
    <row r="1532" spans="1:3" ht="12.9" customHeight="1">
      <c r="A1532" s="381"/>
      <c r="B1532" s="381"/>
      <c r="C1532" s="381" t="s">
        <v>7298</v>
      </c>
    </row>
    <row r="1533" spans="1:3" ht="12.9" customHeight="1">
      <c r="A1533" s="381"/>
      <c r="B1533" s="381"/>
      <c r="C1533" s="381" t="s">
        <v>7299</v>
      </c>
    </row>
    <row r="1534" spans="1:3" ht="12.9" customHeight="1">
      <c r="A1534" s="381"/>
      <c r="B1534" s="381"/>
      <c r="C1534" s="381" t="s">
        <v>7300</v>
      </c>
    </row>
    <row r="1535" spans="1:3" ht="12.9" customHeight="1">
      <c r="A1535" s="381"/>
      <c r="B1535" s="381"/>
      <c r="C1535" s="381" t="s">
        <v>7301</v>
      </c>
    </row>
    <row r="1536" spans="1:3" ht="12.9" customHeight="1">
      <c r="A1536" s="381"/>
      <c r="B1536" s="381" t="s">
        <v>4733</v>
      </c>
      <c r="C1536" s="381" t="s">
        <v>7302</v>
      </c>
    </row>
    <row r="1537" spans="1:3" ht="12.9" customHeight="1">
      <c r="A1537" s="381"/>
      <c r="B1537" s="381" t="s">
        <v>4914</v>
      </c>
      <c r="C1537" s="381" t="s">
        <v>7303</v>
      </c>
    </row>
    <row r="1538" spans="1:3" ht="12.9" customHeight="1">
      <c r="A1538" s="381"/>
      <c r="B1538" s="381" t="s">
        <v>4934</v>
      </c>
      <c r="C1538" s="381" t="s">
        <v>7304</v>
      </c>
    </row>
    <row r="1539" spans="1:3" ht="12.9" customHeight="1">
      <c r="A1539" s="381"/>
      <c r="B1539" s="381"/>
      <c r="C1539" s="381" t="s">
        <v>7305</v>
      </c>
    </row>
    <row r="1540" spans="1:3" ht="12.9" customHeight="1">
      <c r="A1540" s="381"/>
      <c r="B1540" s="381"/>
      <c r="C1540" s="381" t="s">
        <v>7306</v>
      </c>
    </row>
    <row r="1541" spans="1:3" ht="12.9" customHeight="1">
      <c r="A1541" s="381"/>
      <c r="B1541" s="381"/>
      <c r="C1541" s="381" t="s">
        <v>7307</v>
      </c>
    </row>
    <row r="1542" spans="1:3" ht="12.9" customHeight="1">
      <c r="A1542" s="381"/>
      <c r="B1542" s="381"/>
      <c r="C1542" s="381" t="s">
        <v>7308</v>
      </c>
    </row>
    <row r="1543" spans="1:3" ht="12.9" customHeight="1">
      <c r="A1543" s="381"/>
      <c r="B1543" s="381" t="s">
        <v>4935</v>
      </c>
      <c r="C1543" s="381" t="s">
        <v>7309</v>
      </c>
    </row>
    <row r="1544" spans="1:3" ht="12.9" customHeight="1">
      <c r="A1544" s="381"/>
      <c r="B1544" s="381" t="s">
        <v>2913</v>
      </c>
      <c r="C1544" s="381" t="s">
        <v>7310</v>
      </c>
    </row>
    <row r="1545" spans="1:3" ht="12.9" customHeight="1">
      <c r="A1545" s="381"/>
      <c r="B1545" s="381"/>
      <c r="C1545" s="381" t="s">
        <v>7311</v>
      </c>
    </row>
    <row r="1546" spans="1:3" ht="12.9" customHeight="1">
      <c r="A1546" s="381"/>
      <c r="B1546" s="381"/>
      <c r="C1546" s="381" t="s">
        <v>7312</v>
      </c>
    </row>
    <row r="1547" spans="1:3" ht="12.9" customHeight="1">
      <c r="A1547" s="381"/>
      <c r="B1547" s="381"/>
      <c r="C1547" s="381" t="s">
        <v>7313</v>
      </c>
    </row>
    <row r="1548" spans="1:3" ht="12.9" customHeight="1">
      <c r="A1548" s="381"/>
      <c r="B1548" s="381"/>
      <c r="C1548" s="381" t="s">
        <v>7314</v>
      </c>
    </row>
    <row r="1549" spans="1:3" ht="12.9" customHeight="1">
      <c r="A1549" s="381"/>
      <c r="B1549" s="381"/>
      <c r="C1549" s="381" t="s">
        <v>7315</v>
      </c>
    </row>
    <row r="1550" spans="1:3" ht="12.9" customHeight="1">
      <c r="A1550" s="381"/>
      <c r="B1550" s="381"/>
      <c r="C1550" s="381" t="s">
        <v>7316</v>
      </c>
    </row>
    <row r="1551" spans="1:3" ht="12.9" customHeight="1">
      <c r="A1551" s="381"/>
      <c r="B1551" s="381" t="s">
        <v>1174</v>
      </c>
      <c r="C1551" s="381" t="s">
        <v>7317</v>
      </c>
    </row>
    <row r="1552" spans="1:3" ht="12.9" customHeight="1">
      <c r="A1552" s="381"/>
      <c r="B1552" s="381"/>
      <c r="C1552" s="381" t="s">
        <v>7318</v>
      </c>
    </row>
    <row r="1553" spans="1:3" ht="12.9" customHeight="1">
      <c r="A1553" s="381"/>
      <c r="B1553" s="381"/>
      <c r="C1553" s="381" t="s">
        <v>7319</v>
      </c>
    </row>
    <row r="1554" spans="1:3" ht="12.9" customHeight="1">
      <c r="A1554" s="381"/>
      <c r="B1554" s="381"/>
      <c r="C1554" s="381" t="s">
        <v>7320</v>
      </c>
    </row>
    <row r="1555" spans="1:3" ht="12.9" customHeight="1">
      <c r="A1555" s="381"/>
      <c r="B1555" s="381"/>
      <c r="C1555" s="381" t="s">
        <v>7321</v>
      </c>
    </row>
    <row r="1556" spans="1:3" ht="12.9" customHeight="1">
      <c r="A1556" s="381"/>
      <c r="B1556" s="381"/>
      <c r="C1556" s="381" t="s">
        <v>7322</v>
      </c>
    </row>
    <row r="1557" spans="1:3" ht="12.9" customHeight="1">
      <c r="A1557" s="381"/>
      <c r="B1557" s="381"/>
      <c r="C1557" s="381" t="s">
        <v>7323</v>
      </c>
    </row>
    <row r="1558" spans="1:3" ht="12.9" customHeight="1">
      <c r="A1558" s="381"/>
      <c r="B1558" s="381"/>
      <c r="C1558" s="381" t="s">
        <v>7324</v>
      </c>
    </row>
    <row r="1559" spans="1:3" ht="12.9" customHeight="1">
      <c r="A1559" s="381"/>
      <c r="B1559" s="381" t="s">
        <v>2162</v>
      </c>
      <c r="C1559" s="381" t="s">
        <v>7325</v>
      </c>
    </row>
    <row r="1560" spans="1:3" ht="12.9" customHeight="1">
      <c r="A1560" s="381"/>
      <c r="B1560" s="381"/>
      <c r="C1560" s="381" t="s">
        <v>7326</v>
      </c>
    </row>
    <row r="1561" spans="1:3" ht="12.9" customHeight="1">
      <c r="A1561" s="381"/>
      <c r="B1561" s="381"/>
      <c r="C1561" s="381" t="s">
        <v>7327</v>
      </c>
    </row>
    <row r="1562" spans="1:3" ht="12.9" customHeight="1">
      <c r="A1562" s="381"/>
      <c r="B1562" s="381"/>
      <c r="C1562" s="381" t="s">
        <v>7328</v>
      </c>
    </row>
    <row r="1563" spans="1:3" ht="12.9" customHeight="1">
      <c r="A1563" s="381"/>
      <c r="B1563" s="381" t="s">
        <v>3587</v>
      </c>
      <c r="C1563" s="442" t="s">
        <v>7329</v>
      </c>
    </row>
    <row r="1564" spans="1:3" ht="12.9" customHeight="1">
      <c r="A1564" s="381"/>
      <c r="B1564" s="381" t="s">
        <v>1785</v>
      </c>
      <c r="C1564" s="381" t="s">
        <v>7330</v>
      </c>
    </row>
    <row r="1565" spans="1:3" ht="12.9" customHeight="1">
      <c r="A1565" s="381"/>
      <c r="B1565" s="381"/>
      <c r="C1565" s="381" t="s">
        <v>7331</v>
      </c>
    </row>
    <row r="1566" spans="1:3" ht="12.9" customHeight="1">
      <c r="A1566" s="381"/>
      <c r="B1566" s="381"/>
      <c r="C1566" s="381" t="s">
        <v>7332</v>
      </c>
    </row>
    <row r="1567" spans="1:3" ht="12.9" customHeight="1">
      <c r="A1567" s="381"/>
      <c r="B1567" s="381"/>
      <c r="C1567" s="381" t="s">
        <v>7333</v>
      </c>
    </row>
    <row r="1568" spans="1:3" ht="12.9" customHeight="1">
      <c r="A1568" s="381"/>
      <c r="B1568" s="381"/>
      <c r="C1568" s="381" t="s">
        <v>7334</v>
      </c>
    </row>
    <row r="1569" spans="1:3" ht="12.9" customHeight="1">
      <c r="A1569" s="381"/>
      <c r="B1569" s="381"/>
      <c r="C1569" s="381" t="s">
        <v>7335</v>
      </c>
    </row>
    <row r="1570" spans="1:3" ht="12.9" customHeight="1">
      <c r="A1570" s="381"/>
      <c r="B1570" s="381"/>
      <c r="C1570" s="381" t="s">
        <v>48</v>
      </c>
    </row>
    <row r="1571" spans="1:3" ht="12.9" customHeight="1">
      <c r="A1571" s="381"/>
      <c r="B1571" s="381"/>
      <c r="C1571" s="381" t="s">
        <v>7336</v>
      </c>
    </row>
    <row r="1572" spans="1:3" ht="12.9" customHeight="1">
      <c r="A1572" s="381"/>
      <c r="B1572" s="381"/>
      <c r="C1572" s="381" t="s">
        <v>7337</v>
      </c>
    </row>
    <row r="1573" spans="1:3" ht="12.9" customHeight="1">
      <c r="A1573" s="381"/>
      <c r="B1573" s="381" t="s">
        <v>122</v>
      </c>
      <c r="C1573" s="381" t="s">
        <v>7338</v>
      </c>
    </row>
    <row r="1574" spans="1:3" ht="12.9" customHeight="1">
      <c r="A1574" s="381"/>
      <c r="B1574" s="381"/>
      <c r="C1574" s="381" t="s">
        <v>7339</v>
      </c>
    </row>
    <row r="1575" spans="1:3" ht="12.9" customHeight="1">
      <c r="A1575" s="381"/>
      <c r="B1575" s="381"/>
      <c r="C1575" s="381" t="s">
        <v>7340</v>
      </c>
    </row>
    <row r="1576" spans="1:3" ht="12.9" customHeight="1">
      <c r="A1576" s="381"/>
      <c r="B1576" s="381"/>
      <c r="C1576" s="381" t="s">
        <v>7341</v>
      </c>
    </row>
    <row r="1577" spans="1:3" ht="12.9" customHeight="1">
      <c r="A1577" s="381"/>
      <c r="B1577" s="381" t="s">
        <v>5892</v>
      </c>
      <c r="C1577" s="381" t="s">
        <v>7342</v>
      </c>
    </row>
    <row r="1578" spans="1:3" ht="12.9" customHeight="1">
      <c r="A1578" s="381"/>
      <c r="B1578" s="381"/>
      <c r="C1578" s="381" t="s">
        <v>7362</v>
      </c>
    </row>
    <row r="1579" spans="1:3" ht="12.9" customHeight="1">
      <c r="A1579" s="381"/>
      <c r="B1579" s="381"/>
      <c r="C1579" s="381" t="s">
        <v>7363</v>
      </c>
    </row>
    <row r="1580" spans="1:3" ht="12.9" customHeight="1">
      <c r="A1580" s="381"/>
      <c r="B1580" s="381"/>
      <c r="C1580" s="381" t="s">
        <v>7364</v>
      </c>
    </row>
    <row r="1581" spans="1:3" ht="12.9" customHeight="1">
      <c r="A1581" s="381"/>
      <c r="B1581" s="381"/>
      <c r="C1581" s="381" t="s">
        <v>7365</v>
      </c>
    </row>
    <row r="1582" spans="1:3" ht="12.9" customHeight="1">
      <c r="A1582" s="381"/>
      <c r="B1582" s="381"/>
      <c r="C1582" s="381" t="s">
        <v>7366</v>
      </c>
    </row>
    <row r="1583" spans="1:3" ht="12.9" customHeight="1">
      <c r="A1583" s="381"/>
      <c r="B1583" s="381"/>
      <c r="C1583" s="381" t="s">
        <v>7367</v>
      </c>
    </row>
    <row r="1584" spans="1:3" ht="12.9" customHeight="1">
      <c r="A1584" s="381"/>
      <c r="B1584" s="381" t="s">
        <v>1047</v>
      </c>
      <c r="C1584" s="381" t="s">
        <v>7368</v>
      </c>
    </row>
    <row r="1585" spans="1:3" ht="12.9" customHeight="1">
      <c r="A1585" s="381"/>
      <c r="B1585" s="381" t="s">
        <v>2179</v>
      </c>
      <c r="C1585" s="381" t="s">
        <v>7369</v>
      </c>
    </row>
    <row r="1586" spans="1:3" ht="12.9" customHeight="1">
      <c r="A1586" s="381"/>
      <c r="B1586" s="381" t="s">
        <v>2180</v>
      </c>
      <c r="C1586" s="381" t="s">
        <v>7370</v>
      </c>
    </row>
    <row r="1587" spans="1:3" ht="12.9" customHeight="1">
      <c r="A1587" s="381"/>
      <c r="B1587" s="381" t="s">
        <v>5187</v>
      </c>
      <c r="C1587" s="381" t="s">
        <v>7371</v>
      </c>
    </row>
    <row r="1588" spans="1:3" ht="12.9" customHeight="1">
      <c r="A1588" s="381"/>
      <c r="B1588" s="381" t="s">
        <v>4765</v>
      </c>
      <c r="C1588" s="381" t="s">
        <v>7372</v>
      </c>
    </row>
    <row r="1589" spans="1:3" ht="12.9" customHeight="1">
      <c r="A1589" s="381"/>
      <c r="B1589" s="381"/>
      <c r="C1589" s="381" t="s">
        <v>7343</v>
      </c>
    </row>
    <row r="1590" spans="1:3" ht="12.9" customHeight="1">
      <c r="A1590" s="381"/>
      <c r="B1590" s="381"/>
      <c r="C1590" s="381" t="s">
        <v>7344</v>
      </c>
    </row>
    <row r="1591" spans="1:3" ht="12.9" customHeight="1">
      <c r="A1591" s="381"/>
      <c r="B1591" s="381"/>
      <c r="C1591" s="381" t="s">
        <v>7345</v>
      </c>
    </row>
    <row r="1592" spans="1:3" ht="12.9" customHeight="1">
      <c r="A1592" s="381"/>
      <c r="B1592" s="381"/>
      <c r="C1592" s="381" t="s">
        <v>7346</v>
      </c>
    </row>
    <row r="1593" spans="1:3" ht="12.9" customHeight="1">
      <c r="A1593" s="381"/>
      <c r="B1593" s="381"/>
      <c r="C1593" s="381" t="s">
        <v>7347</v>
      </c>
    </row>
    <row r="1594" spans="1:3" ht="12.9" customHeight="1">
      <c r="A1594" s="381"/>
      <c r="B1594" s="381"/>
      <c r="C1594" s="381" t="s">
        <v>7348</v>
      </c>
    </row>
    <row r="1595" spans="1:3" ht="12.9" customHeight="1">
      <c r="A1595" s="381"/>
      <c r="B1595" s="381"/>
      <c r="C1595" s="442" t="s">
        <v>7349</v>
      </c>
    </row>
    <row r="1596" spans="1:3" ht="12.9" customHeight="1">
      <c r="A1596" s="381"/>
      <c r="B1596" s="381"/>
      <c r="C1596" s="381" t="s">
        <v>7350</v>
      </c>
    </row>
    <row r="1597" spans="1:3" ht="12.9" customHeight="1">
      <c r="A1597" s="381"/>
      <c r="B1597" s="381"/>
      <c r="C1597" s="381" t="s">
        <v>7351</v>
      </c>
    </row>
    <row r="1598" spans="1:3" ht="12.9" customHeight="1">
      <c r="A1598" s="381"/>
      <c r="B1598" s="381"/>
      <c r="C1598" s="381" t="s">
        <v>7352</v>
      </c>
    </row>
    <row r="1599" spans="1:3" ht="12.9" customHeight="1">
      <c r="A1599" s="381"/>
      <c r="B1599" s="381"/>
      <c r="C1599" s="381" t="s">
        <v>7353</v>
      </c>
    </row>
    <row r="1600" spans="1:3" ht="12.9" customHeight="1">
      <c r="A1600" s="381"/>
      <c r="B1600" s="381" t="s">
        <v>1700</v>
      </c>
      <c r="C1600" s="381" t="s">
        <v>7354</v>
      </c>
    </row>
    <row r="1601" spans="1:3" ht="12.9" customHeight="1">
      <c r="A1601" s="381"/>
      <c r="B1601" s="381" t="s">
        <v>4463</v>
      </c>
      <c r="C1601" s="381" t="s">
        <v>7355</v>
      </c>
    </row>
    <row r="1602" spans="1:3" ht="12.9" customHeight="1">
      <c r="A1602" s="381"/>
      <c r="B1602" s="381"/>
      <c r="C1602" s="381" t="s">
        <v>7373</v>
      </c>
    </row>
    <row r="1603" spans="1:3" ht="12.9" customHeight="1">
      <c r="A1603" s="381"/>
      <c r="B1603" s="381"/>
      <c r="C1603" s="381" t="s">
        <v>7374</v>
      </c>
    </row>
    <row r="1604" spans="1:3" ht="12.9" customHeight="1">
      <c r="A1604" s="381"/>
      <c r="B1604" s="381"/>
      <c r="C1604" s="381" t="s">
        <v>7375</v>
      </c>
    </row>
    <row r="1605" spans="1:3" ht="12.9" customHeight="1">
      <c r="A1605" s="381"/>
      <c r="B1605" s="381"/>
      <c r="C1605" s="381" t="s">
        <v>7376</v>
      </c>
    </row>
    <row r="1606" spans="1:3" ht="12.9" customHeight="1">
      <c r="A1606" s="381"/>
      <c r="B1606" s="381"/>
      <c r="C1606" s="381" t="s">
        <v>7377</v>
      </c>
    </row>
    <row r="1607" spans="1:3" ht="12.9" customHeight="1">
      <c r="A1607" s="381"/>
      <c r="B1607" s="381" t="s">
        <v>2608</v>
      </c>
      <c r="C1607" s="381" t="s">
        <v>7378</v>
      </c>
    </row>
    <row r="1608" spans="1:3" ht="12.9" customHeight="1">
      <c r="A1608" s="381"/>
      <c r="B1608" s="381" t="s">
        <v>1552</v>
      </c>
      <c r="C1608" s="381" t="s">
        <v>7379</v>
      </c>
    </row>
    <row r="1609" spans="1:3" ht="12.9" customHeight="1">
      <c r="A1609" s="381"/>
      <c r="B1609" s="381"/>
      <c r="C1609" s="381" t="s">
        <v>7380</v>
      </c>
    </row>
    <row r="1610" spans="1:3" ht="12.9" customHeight="1">
      <c r="A1610" s="381"/>
      <c r="B1610" s="381"/>
      <c r="C1610" s="381" t="s">
        <v>7381</v>
      </c>
    </row>
    <row r="1611" spans="1:3" ht="12.9" customHeight="1">
      <c r="A1611" s="381"/>
      <c r="B1611" s="381"/>
      <c r="C1611" s="381" t="s">
        <v>7382</v>
      </c>
    </row>
    <row r="1612" spans="1:3" ht="12.9" customHeight="1">
      <c r="A1612" s="381"/>
      <c r="B1612" s="381"/>
      <c r="C1612" s="381" t="s">
        <v>7383</v>
      </c>
    </row>
    <row r="1613" spans="1:3" ht="12.9" customHeight="1">
      <c r="A1613" s="381"/>
      <c r="B1613" s="381" t="s">
        <v>4687</v>
      </c>
      <c r="C1613" s="381" t="s">
        <v>7384</v>
      </c>
    </row>
    <row r="1614" spans="1:3" ht="12.9" customHeight="1">
      <c r="A1614" s="381"/>
      <c r="B1614" s="381"/>
      <c r="C1614" s="381" t="s">
        <v>7385</v>
      </c>
    </row>
    <row r="1615" spans="1:3" ht="12.9" customHeight="1">
      <c r="A1615" s="381"/>
      <c r="B1615" s="381"/>
      <c r="C1615" s="381" t="s">
        <v>7386</v>
      </c>
    </row>
    <row r="1616" spans="1:3" ht="12.9" customHeight="1">
      <c r="A1616" s="381"/>
      <c r="B1616" s="381"/>
      <c r="C1616" s="381" t="s">
        <v>7387</v>
      </c>
    </row>
    <row r="1617" spans="1:3" ht="12.9" customHeight="1">
      <c r="A1617" s="381"/>
      <c r="B1617" s="381" t="s">
        <v>1230</v>
      </c>
      <c r="C1617" s="381" t="s">
        <v>7388</v>
      </c>
    </row>
    <row r="1618" spans="1:3" ht="12.9" customHeight="1">
      <c r="A1618" s="381"/>
      <c r="B1618" s="381"/>
      <c r="C1618" s="381" t="s">
        <v>7389</v>
      </c>
    </row>
    <row r="1619" spans="1:3" ht="12.9" customHeight="1">
      <c r="A1619" s="381"/>
      <c r="B1619" s="381"/>
      <c r="C1619" s="381" t="s">
        <v>7390</v>
      </c>
    </row>
    <row r="1620" spans="1:3" ht="12.9" customHeight="1">
      <c r="A1620" s="381"/>
      <c r="B1620" s="381"/>
      <c r="C1620" s="381" t="s">
        <v>7391</v>
      </c>
    </row>
    <row r="1621" spans="1:3" ht="12.9" customHeight="1">
      <c r="A1621" s="381"/>
      <c r="B1621" s="381" t="s">
        <v>4273</v>
      </c>
      <c r="C1621" s="381" t="s">
        <v>7392</v>
      </c>
    </row>
    <row r="1622" spans="1:3" ht="12.9" customHeight="1">
      <c r="A1622" s="381"/>
      <c r="B1622" s="381"/>
      <c r="C1622" s="381" t="s">
        <v>7393</v>
      </c>
    </row>
    <row r="1623" spans="1:3" ht="12.9" customHeight="1">
      <c r="A1623" s="381"/>
      <c r="B1623" s="381"/>
      <c r="C1623" t="s">
        <v>7394</v>
      </c>
    </row>
    <row r="1624" spans="1:3" ht="12.9" customHeight="1">
      <c r="A1624" s="381"/>
      <c r="B1624" s="381"/>
      <c r="C1624" s="381" t="s">
        <v>7395</v>
      </c>
    </row>
    <row r="1625" spans="1:3" ht="12.9" customHeight="1">
      <c r="A1625" s="381"/>
      <c r="B1625" s="381"/>
      <c r="C1625" s="381" t="s">
        <v>7396</v>
      </c>
    </row>
    <row r="1626" spans="1:3" ht="12.9" customHeight="1">
      <c r="A1626" s="381"/>
      <c r="B1626" s="381"/>
      <c r="C1626" s="381" t="s">
        <v>7397</v>
      </c>
    </row>
    <row r="1627" spans="1:3" ht="12.9" customHeight="1">
      <c r="A1627" s="381"/>
      <c r="B1627" s="381"/>
      <c r="C1627" s="381" t="s">
        <v>7398</v>
      </c>
    </row>
    <row r="1628" spans="1:3" ht="12.9" customHeight="1">
      <c r="A1628" s="381"/>
      <c r="B1628" s="381"/>
      <c r="C1628" s="381" t="s">
        <v>7399</v>
      </c>
    </row>
    <row r="1629" spans="1:3" ht="12.9" customHeight="1">
      <c r="A1629" s="381"/>
      <c r="B1629" s="381"/>
      <c r="C1629" s="381" t="s">
        <v>7400</v>
      </c>
    </row>
    <row r="1630" spans="1:3" ht="12.9" customHeight="1">
      <c r="A1630" s="381"/>
      <c r="B1630" s="381"/>
      <c r="C1630" s="381" t="s">
        <v>7401</v>
      </c>
    </row>
    <row r="1631" spans="1:3" ht="12.9" customHeight="1">
      <c r="A1631" s="381"/>
      <c r="B1631" s="381"/>
      <c r="C1631" s="381" t="s">
        <v>7402</v>
      </c>
    </row>
    <row r="1632" spans="1:3" ht="12.9" customHeight="1">
      <c r="A1632" s="381"/>
      <c r="B1632" s="381" t="s">
        <v>5181</v>
      </c>
      <c r="C1632" s="381" t="s">
        <v>7403</v>
      </c>
    </row>
    <row r="1633" spans="1:3" ht="12.9" customHeight="1">
      <c r="A1633" s="381"/>
      <c r="B1633" s="381"/>
      <c r="C1633" s="381" t="s">
        <v>7404</v>
      </c>
    </row>
    <row r="1634" spans="1:3" ht="12.9" customHeight="1">
      <c r="A1634" s="381"/>
      <c r="B1634" s="381"/>
      <c r="C1634" s="442" t="s">
        <v>7405</v>
      </c>
    </row>
    <row r="1635" spans="1:3" ht="12.9" customHeight="1">
      <c r="A1635" s="381"/>
      <c r="B1635" s="381" t="s">
        <v>2873</v>
      </c>
      <c r="C1635" s="381" t="s">
        <v>7406</v>
      </c>
    </row>
    <row r="1636" spans="1:3" ht="12.9" customHeight="1">
      <c r="A1636" s="381"/>
      <c r="B1636" s="381"/>
      <c r="C1636" s="381" t="s">
        <v>918</v>
      </c>
    </row>
    <row r="1637" spans="1:3" ht="12.9" customHeight="1">
      <c r="A1637" s="381"/>
      <c r="B1637" s="381"/>
      <c r="C1637" s="381" t="s">
        <v>7407</v>
      </c>
    </row>
    <row r="1638" spans="1:3" ht="12.9" customHeight="1">
      <c r="A1638" s="381"/>
      <c r="B1638" s="381"/>
      <c r="C1638" s="381" t="s">
        <v>7408</v>
      </c>
    </row>
    <row r="1639" spans="1:3" ht="12.9" customHeight="1">
      <c r="A1639" s="381"/>
      <c r="B1639" s="381" t="s">
        <v>346</v>
      </c>
      <c r="C1639" s="381" t="s">
        <v>7409</v>
      </c>
    </row>
    <row r="1640" spans="1:3" ht="12.9" customHeight="1">
      <c r="A1640" s="381"/>
      <c r="B1640" s="381"/>
      <c r="C1640" s="381" t="s">
        <v>7410</v>
      </c>
    </row>
    <row r="1641" spans="1:3" ht="12.9" customHeight="1">
      <c r="A1641" s="381"/>
      <c r="B1641" s="381" t="s">
        <v>5315</v>
      </c>
      <c r="C1641" s="381" t="s">
        <v>6034</v>
      </c>
    </row>
    <row r="1642" spans="1:3" ht="12.9" customHeight="1">
      <c r="A1642" s="381"/>
      <c r="B1642" s="381" t="s">
        <v>5335</v>
      </c>
      <c r="C1642" s="381" t="s">
        <v>7411</v>
      </c>
    </row>
    <row r="1643" spans="1:3" ht="12.9" customHeight="1">
      <c r="A1643" s="381"/>
      <c r="B1643" s="381"/>
      <c r="C1643" s="381" t="s">
        <v>7412</v>
      </c>
    </row>
    <row r="1644" spans="1:3" ht="12.9" customHeight="1">
      <c r="A1644" s="381"/>
      <c r="B1644" s="381"/>
      <c r="C1644" s="381" t="s">
        <v>7413</v>
      </c>
    </row>
    <row r="1645" spans="1:3" ht="12.9" customHeight="1">
      <c r="A1645" s="381"/>
      <c r="B1645" s="381"/>
      <c r="C1645" s="381" t="s">
        <v>7414</v>
      </c>
    </row>
    <row r="1646" spans="1:3" ht="12.9" customHeight="1">
      <c r="A1646" s="381"/>
      <c r="B1646" s="381"/>
      <c r="C1646" s="381" t="s">
        <v>7415</v>
      </c>
    </row>
    <row r="1647" spans="1:3" ht="12.9" customHeight="1">
      <c r="A1647" s="381"/>
      <c r="B1647" s="381"/>
      <c r="C1647" s="381" t="s">
        <v>7416</v>
      </c>
    </row>
    <row r="1648" spans="1:3" ht="12.9" customHeight="1">
      <c r="A1648" s="381"/>
      <c r="B1648" s="381"/>
      <c r="C1648" s="442" t="s">
        <v>7417</v>
      </c>
    </row>
    <row r="1649" spans="1:3" ht="12.9" customHeight="1">
      <c r="A1649" s="381"/>
      <c r="B1649" s="381"/>
      <c r="C1649" s="381" t="s">
        <v>7418</v>
      </c>
    </row>
    <row r="1650" spans="1:3" ht="12.9" customHeight="1">
      <c r="A1650" s="381"/>
      <c r="B1650" s="381"/>
      <c r="C1650" s="381" t="s">
        <v>7419</v>
      </c>
    </row>
    <row r="1651" spans="1:3" ht="12.9" customHeight="1">
      <c r="A1651" s="381"/>
      <c r="B1651" s="381"/>
      <c r="C1651" s="381" t="s">
        <v>7420</v>
      </c>
    </row>
    <row r="1652" spans="1:3" ht="12.9" customHeight="1">
      <c r="A1652" s="381"/>
      <c r="B1652" s="381" t="s">
        <v>5454</v>
      </c>
      <c r="C1652" s="381" t="s">
        <v>7421</v>
      </c>
    </row>
    <row r="1653" spans="1:3" ht="12.9" customHeight="1">
      <c r="A1653" s="381"/>
      <c r="B1653" s="381" t="s">
        <v>1595</v>
      </c>
      <c r="C1653" s="381" t="s">
        <v>7422</v>
      </c>
    </row>
    <row r="1654" spans="1:3" ht="12.9" customHeight="1">
      <c r="A1654" s="381"/>
      <c r="B1654" s="381" t="s">
        <v>427</v>
      </c>
      <c r="C1654" s="381" t="s">
        <v>7423</v>
      </c>
    </row>
    <row r="1655" spans="1:3" ht="12.9" customHeight="1">
      <c r="A1655" s="381"/>
      <c r="B1655" s="381" t="s">
        <v>1105</v>
      </c>
      <c r="C1655" s="381" t="s">
        <v>7424</v>
      </c>
    </row>
    <row r="1656" spans="1:3" ht="12.9" customHeight="1">
      <c r="A1656" s="381"/>
      <c r="B1656" s="381"/>
      <c r="C1656" s="381" t="s">
        <v>7425</v>
      </c>
    </row>
    <row r="1657" spans="1:3" ht="12.9" customHeight="1">
      <c r="A1657" s="381"/>
      <c r="B1657" s="381"/>
      <c r="C1657" s="381" t="s">
        <v>7426</v>
      </c>
    </row>
    <row r="1658" spans="1:3" ht="12.9" customHeight="1">
      <c r="A1658" s="381"/>
      <c r="B1658" s="381"/>
      <c r="C1658" s="381" t="s">
        <v>7356</v>
      </c>
    </row>
    <row r="1659" spans="1:3" ht="12.9" customHeight="1">
      <c r="A1659" s="381"/>
      <c r="B1659" s="381"/>
      <c r="C1659" s="381" t="s">
        <v>7357</v>
      </c>
    </row>
    <row r="1660" spans="1:3" ht="12.9" customHeight="1">
      <c r="A1660" s="381"/>
      <c r="B1660" s="381"/>
      <c r="C1660" s="381" t="s">
        <v>7358</v>
      </c>
    </row>
    <row r="1661" spans="1:3" ht="12.9" customHeight="1">
      <c r="A1661" s="381"/>
      <c r="B1661" s="381"/>
      <c r="C1661" s="381" t="s">
        <v>7359</v>
      </c>
    </row>
    <row r="1662" spans="1:3" ht="12.9" customHeight="1">
      <c r="A1662" s="381"/>
      <c r="B1662" s="381"/>
      <c r="C1662" s="381" t="s">
        <v>7360</v>
      </c>
    </row>
    <row r="1663" spans="1:3" ht="12.9" customHeight="1">
      <c r="A1663" s="381"/>
      <c r="B1663" s="381" t="s">
        <v>336</v>
      </c>
      <c r="C1663" s="381" t="s">
        <v>7361</v>
      </c>
    </row>
    <row r="1664" spans="1:3" ht="12.9" customHeight="1">
      <c r="A1664" s="381"/>
      <c r="B1664" s="381" t="s">
        <v>3372</v>
      </c>
      <c r="C1664" s="381" t="s">
        <v>7427</v>
      </c>
    </row>
    <row r="1665" spans="1:3" ht="12.9" customHeight="1">
      <c r="A1665" s="381"/>
      <c r="B1665" s="381" t="s">
        <v>1647</v>
      </c>
      <c r="C1665" t="s">
        <v>7428</v>
      </c>
    </row>
    <row r="1666" spans="1:3" ht="12.9" customHeight="1">
      <c r="A1666" s="381"/>
      <c r="B1666" s="381"/>
      <c r="C1666" s="381" t="s">
        <v>7429</v>
      </c>
    </row>
    <row r="1667" spans="1:3" ht="12.9" customHeight="1">
      <c r="A1667" s="381"/>
      <c r="B1667" s="381"/>
      <c r="C1667" s="381" t="s">
        <v>7430</v>
      </c>
    </row>
    <row r="1668" spans="1:3" ht="12.9" customHeight="1">
      <c r="A1668" s="381"/>
      <c r="B1668" s="381"/>
      <c r="C1668" s="381" t="s">
        <v>7431</v>
      </c>
    </row>
    <row r="1669" spans="1:3" ht="12.9" customHeight="1">
      <c r="A1669" s="381"/>
      <c r="B1669" s="381"/>
      <c r="C1669" s="381" t="s">
        <v>7432</v>
      </c>
    </row>
    <row r="1670" spans="1:3" ht="12.9" customHeight="1">
      <c r="A1670" s="381"/>
      <c r="B1670" s="381"/>
      <c r="C1670" s="381" t="s">
        <v>7433</v>
      </c>
    </row>
    <row r="1671" spans="1:3" ht="12.9" customHeight="1">
      <c r="A1671" s="381"/>
      <c r="B1671" s="381" t="s">
        <v>3694</v>
      </c>
      <c r="C1671" s="381" t="s">
        <v>7434</v>
      </c>
    </row>
    <row r="1672" spans="1:3" ht="12.9" customHeight="1">
      <c r="A1672" s="381"/>
      <c r="B1672" s="381"/>
      <c r="C1672" s="381" t="s">
        <v>7435</v>
      </c>
    </row>
    <row r="1673" spans="1:3" ht="12.9" customHeight="1">
      <c r="A1673" s="381"/>
      <c r="B1673" s="381"/>
      <c r="C1673" s="381" t="s">
        <v>7447</v>
      </c>
    </row>
    <row r="1674" spans="1:3" ht="12.9" customHeight="1">
      <c r="A1674" s="381"/>
      <c r="B1674" s="381" t="s">
        <v>3927</v>
      </c>
      <c r="C1674" s="381" t="s">
        <v>7448</v>
      </c>
    </row>
    <row r="1675" spans="1:3" ht="12.9" customHeight="1">
      <c r="A1675" s="381"/>
      <c r="B1675" s="381" t="s">
        <v>375</v>
      </c>
      <c r="C1675" s="381" t="s">
        <v>7449</v>
      </c>
    </row>
    <row r="1676" spans="1:3" ht="12.9" customHeight="1">
      <c r="A1676" s="381"/>
      <c r="B1676" s="381" t="s">
        <v>2789</v>
      </c>
      <c r="C1676" s="381" t="s">
        <v>7450</v>
      </c>
    </row>
    <row r="1677" spans="1:3" ht="12.9" customHeight="1">
      <c r="A1677" s="381"/>
      <c r="B1677" s="381" t="s">
        <v>4336</v>
      </c>
      <c r="C1677" s="381" t="s">
        <v>7451</v>
      </c>
    </row>
    <row r="1678" spans="1:3" ht="12.9" customHeight="1">
      <c r="A1678" s="381"/>
      <c r="B1678" s="381" t="s">
        <v>4337</v>
      </c>
      <c r="C1678" s="381" t="s">
        <v>2183</v>
      </c>
    </row>
    <row r="1679" spans="1:3" ht="12.9" customHeight="1">
      <c r="A1679" s="381"/>
      <c r="B1679" s="381"/>
      <c r="C1679" s="381" t="s">
        <v>7452</v>
      </c>
    </row>
    <row r="1680" spans="1:3" ht="12.9" customHeight="1">
      <c r="A1680" s="381"/>
      <c r="B1680" s="381"/>
      <c r="C1680" s="381" t="s">
        <v>7453</v>
      </c>
    </row>
    <row r="1681" spans="1:3" ht="12.9" customHeight="1">
      <c r="A1681" s="381"/>
      <c r="B1681" s="381"/>
      <c r="C1681" s="381" t="s">
        <v>7454</v>
      </c>
    </row>
    <row r="1682" spans="1:3" ht="12.9" customHeight="1">
      <c r="A1682" s="381"/>
      <c r="B1682" s="381"/>
      <c r="C1682" s="381" t="s">
        <v>7455</v>
      </c>
    </row>
    <row r="1683" spans="1:3" ht="12.9" customHeight="1">
      <c r="A1683" s="381"/>
      <c r="B1683" s="381"/>
      <c r="C1683" s="381" t="s">
        <v>7456</v>
      </c>
    </row>
    <row r="1684" spans="1:3" ht="12.9" customHeight="1">
      <c r="A1684" s="381"/>
      <c r="B1684" s="381"/>
      <c r="C1684" s="381" t="s">
        <v>7457</v>
      </c>
    </row>
    <row r="1685" spans="1:3" ht="12.9" customHeight="1">
      <c r="A1685" s="381"/>
      <c r="B1685" s="381"/>
      <c r="C1685" s="381" t="s">
        <v>7458</v>
      </c>
    </row>
    <row r="1686" spans="1:3" ht="12.9" customHeight="1">
      <c r="A1686" s="381"/>
      <c r="B1686" s="381"/>
      <c r="C1686" s="381" t="s">
        <v>7459</v>
      </c>
    </row>
    <row r="1687" spans="1:3" ht="12.9" customHeight="1">
      <c r="A1687" s="381"/>
      <c r="B1687" s="381"/>
      <c r="C1687" s="381" t="s">
        <v>7460</v>
      </c>
    </row>
    <row r="1688" spans="1:3" ht="12.9" customHeight="1">
      <c r="A1688" s="381"/>
      <c r="B1688" s="381"/>
      <c r="C1688" s="381" t="s">
        <v>7461</v>
      </c>
    </row>
    <row r="1689" spans="1:3" ht="12.9" customHeight="1">
      <c r="A1689" s="381"/>
      <c r="B1689" s="381"/>
      <c r="C1689" s="381" t="s">
        <v>7462</v>
      </c>
    </row>
    <row r="1690" spans="1:3" ht="12.9" customHeight="1">
      <c r="A1690" s="381"/>
      <c r="B1690" s="381"/>
      <c r="C1690" s="381" t="s">
        <v>7463</v>
      </c>
    </row>
    <row r="1691" spans="1:3" ht="12.9" customHeight="1">
      <c r="A1691" s="381"/>
      <c r="B1691" s="381"/>
      <c r="C1691" s="381" t="s">
        <v>7464</v>
      </c>
    </row>
    <row r="1692" spans="1:3" ht="12.9" customHeight="1">
      <c r="A1692" s="381"/>
      <c r="B1692" s="381"/>
      <c r="C1692" s="381" t="s">
        <v>7465</v>
      </c>
    </row>
    <row r="1693" spans="1:3" ht="12.9" customHeight="1">
      <c r="A1693" s="381"/>
      <c r="B1693" s="381"/>
      <c r="C1693" s="381" t="s">
        <v>7466</v>
      </c>
    </row>
    <row r="1694" spans="1:3" ht="12.9" customHeight="1">
      <c r="A1694" s="381"/>
      <c r="B1694" s="381"/>
      <c r="C1694" s="381" t="s">
        <v>7467</v>
      </c>
    </row>
    <row r="1695" spans="1:3" ht="12.9" customHeight="1">
      <c r="A1695" s="381"/>
      <c r="B1695" s="381"/>
      <c r="C1695" s="381" t="s">
        <v>7468</v>
      </c>
    </row>
    <row r="1696" spans="1:3" ht="12.9" customHeight="1">
      <c r="A1696" s="381"/>
      <c r="B1696" s="381"/>
      <c r="C1696" s="381" t="s">
        <v>7469</v>
      </c>
    </row>
    <row r="1697" spans="1:3" ht="12.9" customHeight="1">
      <c r="A1697" s="381"/>
      <c r="B1697" s="381" t="s">
        <v>335</v>
      </c>
      <c r="C1697" s="381" t="s">
        <v>7470</v>
      </c>
    </row>
    <row r="1698" spans="1:3" ht="12.9" customHeight="1">
      <c r="A1698" s="381"/>
      <c r="B1698" s="381" t="s">
        <v>1776</v>
      </c>
      <c r="C1698" s="381" t="s">
        <v>7471</v>
      </c>
    </row>
    <row r="1699" spans="1:3" ht="12.9" customHeight="1">
      <c r="A1699" s="381"/>
      <c r="B1699" s="381" t="s">
        <v>3788</v>
      </c>
      <c r="C1699" s="381" t="s">
        <v>7472</v>
      </c>
    </row>
    <row r="1700" spans="1:3" ht="12.9" customHeight="1">
      <c r="A1700" s="381"/>
      <c r="B1700" s="381"/>
      <c r="C1700" s="381" t="s">
        <v>7473</v>
      </c>
    </row>
    <row r="1701" spans="1:3" ht="12.9" customHeight="1">
      <c r="A1701" s="381"/>
      <c r="B1701" s="381"/>
      <c r="C1701" s="381" t="s">
        <v>7474</v>
      </c>
    </row>
    <row r="1702" spans="1:3" ht="12.9" customHeight="1">
      <c r="A1702" s="381"/>
      <c r="B1702" s="381"/>
      <c r="C1702" s="381" t="s">
        <v>7475</v>
      </c>
    </row>
    <row r="1703" spans="1:3" ht="12.9" customHeight="1">
      <c r="A1703" s="381"/>
      <c r="B1703" s="381"/>
      <c r="C1703" s="381" t="s">
        <v>7476</v>
      </c>
    </row>
    <row r="1704" spans="1:3" ht="12.9" customHeight="1">
      <c r="A1704" s="381"/>
      <c r="B1704" s="381"/>
      <c r="C1704" s="381" t="s">
        <v>7477</v>
      </c>
    </row>
    <row r="1705" spans="1:3" ht="12.9" customHeight="1">
      <c r="A1705" s="381"/>
      <c r="B1705" s="381" t="s">
        <v>379</v>
      </c>
      <c r="C1705" s="381" t="s">
        <v>7478</v>
      </c>
    </row>
    <row r="1706" spans="1:3" ht="12.9" customHeight="1">
      <c r="A1706" s="381"/>
      <c r="B1706" s="381"/>
      <c r="C1706" s="381" t="s">
        <v>7479</v>
      </c>
    </row>
    <row r="1707" spans="1:3" ht="12.9" customHeight="1">
      <c r="A1707" s="381"/>
      <c r="B1707" s="381"/>
      <c r="C1707" s="381" t="s">
        <v>7480</v>
      </c>
    </row>
    <row r="1708" spans="1:3" ht="12.9" customHeight="1">
      <c r="A1708" s="381"/>
      <c r="B1708" s="381"/>
      <c r="C1708" s="381" t="s">
        <v>7481</v>
      </c>
    </row>
    <row r="1709" spans="1:3" ht="12.9" customHeight="1">
      <c r="A1709" s="381"/>
      <c r="B1709" s="381"/>
      <c r="C1709" s="381" t="s">
        <v>7482</v>
      </c>
    </row>
    <row r="1710" spans="1:3" ht="12.9" customHeight="1">
      <c r="A1710" s="381"/>
      <c r="B1710" s="381" t="s">
        <v>4556</v>
      </c>
      <c r="C1710" s="381" t="s">
        <v>7483</v>
      </c>
    </row>
    <row r="1711" spans="1:3" ht="12.9" customHeight="1">
      <c r="A1711" s="381"/>
      <c r="B1711" s="381"/>
      <c r="C1711" s="381" t="s">
        <v>7484</v>
      </c>
    </row>
    <row r="1712" spans="1:3" ht="12.9" customHeight="1">
      <c r="A1712" s="381"/>
      <c r="B1712" s="381"/>
      <c r="C1712" s="381" t="s">
        <v>7485</v>
      </c>
    </row>
    <row r="1713" spans="1:3" ht="12.9" customHeight="1">
      <c r="A1713" s="381"/>
      <c r="B1713" s="381"/>
      <c r="C1713" s="381" t="s">
        <v>7486</v>
      </c>
    </row>
    <row r="1714" spans="1:3" ht="12.9" customHeight="1">
      <c r="A1714" s="381"/>
      <c r="B1714" s="381"/>
      <c r="C1714" s="381" t="s">
        <v>7436</v>
      </c>
    </row>
    <row r="1715" spans="1:3" ht="12.9" customHeight="1">
      <c r="A1715" s="381"/>
      <c r="B1715" s="381"/>
      <c r="C1715" s="381" t="s">
        <v>7437</v>
      </c>
    </row>
    <row r="1716" spans="1:3" ht="12.9" customHeight="1">
      <c r="A1716" s="381"/>
      <c r="B1716" s="381"/>
      <c r="C1716" s="381" t="s">
        <v>7438</v>
      </c>
    </row>
    <row r="1717" spans="1:3" ht="12.9" customHeight="1">
      <c r="A1717" s="381"/>
      <c r="B1717" s="381"/>
      <c r="C1717" s="381" t="s">
        <v>7439</v>
      </c>
    </row>
    <row r="1718" spans="1:3" ht="12.9" customHeight="1">
      <c r="A1718" s="381"/>
      <c r="B1718" s="381"/>
      <c r="C1718" s="381" t="s">
        <v>7440</v>
      </c>
    </row>
    <row r="1719" spans="1:3" ht="12.9" customHeight="1">
      <c r="A1719" s="381"/>
      <c r="B1719" s="381" t="s">
        <v>3118</v>
      </c>
      <c r="C1719" s="381" t="s">
        <v>7441</v>
      </c>
    </row>
    <row r="1720" spans="1:3" ht="12.9" customHeight="1">
      <c r="A1720" s="381"/>
      <c r="B1720" s="381" t="s">
        <v>5897</v>
      </c>
      <c r="C1720" s="381" t="s">
        <v>7442</v>
      </c>
    </row>
    <row r="1721" spans="1:3" ht="12.9" customHeight="1">
      <c r="A1721" s="381"/>
      <c r="B1721" s="381" t="s">
        <v>5740</v>
      </c>
      <c r="C1721" s="381" t="s">
        <v>7443</v>
      </c>
    </row>
    <row r="1722" spans="1:3" ht="12.9" customHeight="1">
      <c r="A1722" s="381"/>
      <c r="B1722" s="381"/>
      <c r="C1722" s="442" t="s">
        <v>7444</v>
      </c>
    </row>
    <row r="1723" spans="1:3" ht="12.9" customHeight="1">
      <c r="A1723" s="381"/>
      <c r="B1723" s="381" t="s">
        <v>2003</v>
      </c>
      <c r="C1723" s="381" t="s">
        <v>7445</v>
      </c>
    </row>
    <row r="1724" spans="1:3" ht="12.9" customHeight="1">
      <c r="A1724" s="381"/>
      <c r="B1724" s="381"/>
      <c r="C1724" s="381" t="s">
        <v>7446</v>
      </c>
    </row>
    <row r="1725" spans="1:3" ht="12.9" customHeight="1">
      <c r="A1725" s="381"/>
      <c r="B1725" s="381"/>
      <c r="C1725" s="381" t="s">
        <v>7487</v>
      </c>
    </row>
    <row r="1726" spans="1:3" ht="12.9" customHeight="1">
      <c r="A1726" s="381"/>
      <c r="B1726" s="381"/>
      <c r="C1726" s="381" t="s">
        <v>7488</v>
      </c>
    </row>
    <row r="1727" spans="1:3" ht="12.9" customHeight="1">
      <c r="A1727" s="381"/>
      <c r="B1727" s="381" t="s">
        <v>1246</v>
      </c>
      <c r="C1727" s="381" t="s">
        <v>7489</v>
      </c>
    </row>
    <row r="1728" spans="1:3" ht="12.9" customHeight="1">
      <c r="A1728" s="381"/>
      <c r="B1728" s="381"/>
      <c r="C1728" s="381" t="s">
        <v>7490</v>
      </c>
    </row>
    <row r="1729" spans="1:3" ht="12.9" customHeight="1">
      <c r="A1729" s="381"/>
      <c r="B1729" s="381" t="s">
        <v>1075</v>
      </c>
      <c r="C1729" s="381" t="s">
        <v>7491</v>
      </c>
    </row>
    <row r="1730" spans="1:3" ht="12.9" customHeight="1">
      <c r="A1730" s="381"/>
      <c r="B1730" s="381"/>
      <c r="C1730" s="381" t="s">
        <v>7492</v>
      </c>
    </row>
    <row r="1731" spans="1:3" ht="12.9" customHeight="1">
      <c r="A1731" s="381"/>
      <c r="B1731" s="381"/>
      <c r="C1731" s="381" t="s">
        <v>7493</v>
      </c>
    </row>
    <row r="1732" spans="1:3" ht="12.9" customHeight="1">
      <c r="A1732" s="381"/>
      <c r="B1732" s="381"/>
      <c r="C1732" s="381" t="s">
        <v>7494</v>
      </c>
    </row>
    <row r="1733" spans="1:3" ht="12.9" customHeight="1">
      <c r="A1733" s="381"/>
      <c r="B1733" s="381"/>
      <c r="C1733" s="381" t="s">
        <v>7495</v>
      </c>
    </row>
    <row r="1734" spans="1:3" ht="12.9" customHeight="1">
      <c r="A1734" s="381"/>
      <c r="B1734" s="381" t="s">
        <v>1076</v>
      </c>
      <c r="C1734" s="381" t="s">
        <v>1769</v>
      </c>
    </row>
    <row r="1735" spans="1:3" ht="12.9" customHeight="1">
      <c r="A1735" s="381"/>
      <c r="B1735" s="381" t="s">
        <v>1077</v>
      </c>
      <c r="C1735" s="381" t="s">
        <v>1770</v>
      </c>
    </row>
    <row r="1736" spans="1:3" ht="12.9" customHeight="1">
      <c r="A1736" s="381"/>
      <c r="B1736" s="381"/>
      <c r="C1736" s="381" t="s">
        <v>7496</v>
      </c>
    </row>
    <row r="1737" spans="1:3" ht="12.9" customHeight="1">
      <c r="A1737" s="381"/>
      <c r="B1737" s="381" t="s">
        <v>3373</v>
      </c>
      <c r="C1737" s="381" t="s">
        <v>7497</v>
      </c>
    </row>
    <row r="1738" spans="1:3" ht="12.9" customHeight="1">
      <c r="A1738" s="381"/>
      <c r="B1738" s="381" t="s">
        <v>4776</v>
      </c>
      <c r="C1738" s="381" t="s">
        <v>7498</v>
      </c>
    </row>
    <row r="1739" spans="1:3" ht="12.9" customHeight="1">
      <c r="A1739" s="381"/>
      <c r="B1739" s="381"/>
      <c r="C1739" s="381" t="s">
        <v>7499</v>
      </c>
    </row>
    <row r="1740" spans="1:3" ht="12.9" customHeight="1">
      <c r="A1740" s="381"/>
      <c r="B1740" s="381"/>
      <c r="C1740" s="381" t="s">
        <v>7500</v>
      </c>
    </row>
    <row r="1741" spans="1:3" ht="12.9" customHeight="1">
      <c r="A1741" s="381"/>
      <c r="B1741" s="381"/>
      <c r="C1741" s="381" t="s">
        <v>7501</v>
      </c>
    </row>
    <row r="1742" spans="1:3" ht="12.9" customHeight="1">
      <c r="A1742" s="381"/>
      <c r="B1742" s="381" t="s">
        <v>2303</v>
      </c>
      <c r="C1742" s="381" t="s">
        <v>7502</v>
      </c>
    </row>
    <row r="1743" spans="1:3" ht="12.9" customHeight="1">
      <c r="A1743" s="381"/>
      <c r="B1743" s="381"/>
      <c r="C1743" s="381" t="s">
        <v>7503</v>
      </c>
    </row>
    <row r="1744" spans="1:3" ht="12.9" customHeight="1">
      <c r="A1744" s="381"/>
      <c r="B1744" s="381"/>
      <c r="C1744" s="381" t="s">
        <v>7504</v>
      </c>
    </row>
    <row r="1745" spans="1:3" ht="12.9" customHeight="1">
      <c r="A1745" s="381"/>
      <c r="B1745" s="381"/>
      <c r="C1745" s="381" t="s">
        <v>7505</v>
      </c>
    </row>
    <row r="1746" spans="1:3" ht="12.9" customHeight="1">
      <c r="A1746" s="381"/>
      <c r="B1746" s="381" t="s">
        <v>1729</v>
      </c>
      <c r="C1746" s="381" t="s">
        <v>7506</v>
      </c>
    </row>
    <row r="1747" spans="1:3" ht="12.9" customHeight="1">
      <c r="A1747" s="381"/>
      <c r="B1747" s="381"/>
      <c r="C1747" s="381" t="s">
        <v>7507</v>
      </c>
    </row>
    <row r="1748" spans="1:3" ht="12.9" customHeight="1">
      <c r="A1748" s="381"/>
      <c r="B1748" s="381"/>
      <c r="C1748" s="381" t="s">
        <v>7529</v>
      </c>
    </row>
    <row r="1749" spans="1:3" ht="12.9" customHeight="1">
      <c r="A1749" s="381"/>
      <c r="B1749" s="381" t="s">
        <v>861</v>
      </c>
      <c r="C1749" s="381" t="s">
        <v>7530</v>
      </c>
    </row>
    <row r="1750" spans="1:3" ht="12.9" customHeight="1">
      <c r="A1750" s="381"/>
      <c r="B1750" s="381"/>
      <c r="C1750" s="381" t="s">
        <v>7531</v>
      </c>
    </row>
    <row r="1751" spans="1:3" ht="12.9" customHeight="1">
      <c r="A1751" s="381"/>
      <c r="B1751" s="381"/>
      <c r="C1751" s="381" t="s">
        <v>7532</v>
      </c>
    </row>
    <row r="1752" spans="1:3" ht="12.9" customHeight="1">
      <c r="A1752" s="381"/>
      <c r="B1752" s="381" t="s">
        <v>1338</v>
      </c>
      <c r="C1752" s="381" t="s">
        <v>1771</v>
      </c>
    </row>
    <row r="1753" spans="1:3" ht="12.9" customHeight="1">
      <c r="A1753" s="381"/>
      <c r="B1753" s="381"/>
      <c r="C1753" s="381" t="s">
        <v>7533</v>
      </c>
    </row>
    <row r="1754" spans="1:3" ht="12.9" customHeight="1">
      <c r="A1754" s="381"/>
      <c r="B1754" s="381"/>
      <c r="C1754" s="381" t="s">
        <v>7534</v>
      </c>
    </row>
    <row r="1755" spans="1:3" ht="12.9" customHeight="1">
      <c r="A1755" s="381"/>
      <c r="B1755" s="381"/>
      <c r="C1755" s="381" t="s">
        <v>7535</v>
      </c>
    </row>
    <row r="1756" spans="1:3" ht="12.9" customHeight="1">
      <c r="A1756" s="381"/>
      <c r="B1756" s="381"/>
      <c r="C1756" s="381" t="s">
        <v>7536</v>
      </c>
    </row>
    <row r="1757" spans="1:3" ht="12.9" customHeight="1">
      <c r="A1757" s="381"/>
      <c r="B1757" s="381"/>
      <c r="C1757" s="381" t="s">
        <v>7537</v>
      </c>
    </row>
    <row r="1758" spans="1:3" ht="12.9" customHeight="1">
      <c r="A1758" s="381"/>
      <c r="B1758" s="381" t="s">
        <v>4088</v>
      </c>
      <c r="C1758" s="381" t="s">
        <v>7538</v>
      </c>
    </row>
    <row r="1759" spans="1:3" ht="12.9" customHeight="1">
      <c r="A1759" s="381"/>
      <c r="B1759" s="381"/>
      <c r="C1759" s="381" t="s">
        <v>7539</v>
      </c>
    </row>
    <row r="1760" spans="1:3" ht="12.9" customHeight="1">
      <c r="A1760" s="381"/>
      <c r="B1760" s="381"/>
      <c r="C1760" s="381" t="s">
        <v>7540</v>
      </c>
    </row>
    <row r="1761" spans="1:3" ht="12.9" customHeight="1">
      <c r="A1761" s="381"/>
      <c r="B1761" s="381"/>
      <c r="C1761" s="381" t="s">
        <v>7541</v>
      </c>
    </row>
    <row r="1762" spans="1:3" ht="12.9" customHeight="1">
      <c r="A1762" s="381"/>
      <c r="B1762" s="381"/>
      <c r="C1762" s="381" t="s">
        <v>7542</v>
      </c>
    </row>
    <row r="1763" spans="1:3" ht="12.9" customHeight="1">
      <c r="A1763" s="381"/>
      <c r="B1763" s="381"/>
      <c r="C1763" s="381" t="s">
        <v>7543</v>
      </c>
    </row>
    <row r="1764" spans="1:3" ht="12.9" customHeight="1">
      <c r="A1764" s="381"/>
      <c r="B1764" s="381"/>
      <c r="C1764" s="381" t="s">
        <v>7544</v>
      </c>
    </row>
    <row r="1765" spans="1:3" ht="12.9" customHeight="1">
      <c r="A1765" s="381"/>
      <c r="B1765" s="381"/>
      <c r="C1765" s="381" t="s">
        <v>7545</v>
      </c>
    </row>
    <row r="1766" spans="1:3" ht="12.9" customHeight="1">
      <c r="A1766" s="381"/>
      <c r="B1766" s="381" t="s">
        <v>5337</v>
      </c>
      <c r="C1766" s="381" t="s">
        <v>5654</v>
      </c>
    </row>
    <row r="1767" spans="1:3" ht="12.9" customHeight="1">
      <c r="A1767" s="381"/>
      <c r="B1767" s="381"/>
      <c r="C1767" s="381" t="s">
        <v>7546</v>
      </c>
    </row>
    <row r="1768" spans="1:3" ht="12.9" customHeight="1">
      <c r="A1768" s="381"/>
      <c r="B1768" s="381"/>
      <c r="C1768" s="381" t="s">
        <v>7547</v>
      </c>
    </row>
    <row r="1769" spans="1:3" ht="12.9" customHeight="1">
      <c r="A1769" s="381"/>
      <c r="B1769" s="381"/>
      <c r="C1769" s="381" t="s">
        <v>7548</v>
      </c>
    </row>
    <row r="1770" spans="1:3" ht="12.9" customHeight="1">
      <c r="A1770" s="381"/>
      <c r="B1770" s="381"/>
      <c r="C1770" s="381" t="s">
        <v>7549</v>
      </c>
    </row>
    <row r="1771" spans="1:3" ht="12.9" customHeight="1">
      <c r="A1771" s="381"/>
      <c r="B1771" s="381"/>
      <c r="C1771" s="381" t="s">
        <v>7550</v>
      </c>
    </row>
    <row r="1772" spans="1:3" ht="12.9" customHeight="1">
      <c r="A1772" s="381"/>
      <c r="B1772" s="381" t="s">
        <v>1604</v>
      </c>
      <c r="C1772" s="381" t="s">
        <v>7551</v>
      </c>
    </row>
    <row r="1773" spans="1:3" ht="12.9" customHeight="1">
      <c r="A1773" s="381"/>
      <c r="B1773" s="381"/>
      <c r="C1773" s="381" t="s">
        <v>7552</v>
      </c>
    </row>
    <row r="1774" spans="1:3" ht="12.9" customHeight="1">
      <c r="A1774" s="381"/>
      <c r="B1774" s="381"/>
      <c r="C1774" s="381" t="s">
        <v>7553</v>
      </c>
    </row>
    <row r="1775" spans="1:3" ht="12.9" customHeight="1">
      <c r="A1775" s="381"/>
      <c r="B1775" s="381"/>
      <c r="C1775" s="381" t="s">
        <v>7554</v>
      </c>
    </row>
    <row r="1776" spans="1:3" ht="12.9" customHeight="1">
      <c r="A1776" s="381"/>
      <c r="B1776" s="381"/>
      <c r="C1776" s="381" t="s">
        <v>7555</v>
      </c>
    </row>
    <row r="1777" spans="1:3" ht="12.9" customHeight="1">
      <c r="A1777" s="381"/>
      <c r="B1777" s="381"/>
      <c r="C1777" s="381" t="s">
        <v>7556</v>
      </c>
    </row>
    <row r="1778" spans="1:3" ht="12.9" customHeight="1">
      <c r="A1778" s="381"/>
      <c r="B1778" s="381"/>
      <c r="C1778" s="381" t="s">
        <v>7557</v>
      </c>
    </row>
    <row r="1779" spans="1:3" ht="12.9" customHeight="1">
      <c r="A1779" s="381"/>
      <c r="B1779" s="381"/>
      <c r="C1779" s="381" t="s">
        <v>7558</v>
      </c>
    </row>
    <row r="1780" spans="1:3" ht="12.9" customHeight="1">
      <c r="A1780" s="381"/>
      <c r="B1780" s="381"/>
      <c r="C1780" s="381" t="s">
        <v>7559</v>
      </c>
    </row>
    <row r="1781" spans="1:3" ht="12.9" customHeight="1">
      <c r="A1781" s="381"/>
      <c r="B1781" s="381"/>
      <c r="C1781" s="381" t="s">
        <v>7560</v>
      </c>
    </row>
    <row r="1782" spans="1:3" ht="12.9" customHeight="1">
      <c r="A1782" s="381"/>
      <c r="B1782" s="381"/>
      <c r="C1782" s="381" t="s">
        <v>7508</v>
      </c>
    </row>
    <row r="1783" spans="1:3" ht="12.9" customHeight="1">
      <c r="A1783" s="381"/>
      <c r="B1783" s="381"/>
      <c r="C1783" s="381" t="s">
        <v>7509</v>
      </c>
    </row>
    <row r="1784" spans="1:3" ht="12.9" customHeight="1">
      <c r="A1784" s="381"/>
      <c r="B1784" s="381"/>
      <c r="C1784" s="381" t="s">
        <v>7510</v>
      </c>
    </row>
    <row r="1785" spans="1:3" ht="12.9" customHeight="1">
      <c r="A1785" s="381"/>
      <c r="B1785" s="381"/>
      <c r="C1785" s="381" t="s">
        <v>7511</v>
      </c>
    </row>
    <row r="1786" spans="1:3" ht="12.9" customHeight="1">
      <c r="A1786" s="381"/>
      <c r="B1786" s="381" t="s">
        <v>342</v>
      </c>
      <c r="C1786" s="381" t="s">
        <v>7512</v>
      </c>
    </row>
    <row r="1787" spans="1:3" ht="12.9" customHeight="1">
      <c r="A1787" s="381"/>
      <c r="B1787" s="381"/>
      <c r="C1787" s="381" t="s">
        <v>7513</v>
      </c>
    </row>
    <row r="1788" spans="1:3" ht="12.9" customHeight="1">
      <c r="A1788" s="381"/>
      <c r="B1788" s="381"/>
      <c r="C1788" s="381" t="s">
        <v>7514</v>
      </c>
    </row>
    <row r="1789" spans="1:3" ht="12.9" customHeight="1">
      <c r="A1789" s="381"/>
      <c r="B1789" s="381"/>
      <c r="C1789" s="381" t="s">
        <v>7561</v>
      </c>
    </row>
    <row r="1790" spans="1:3" ht="12.9" customHeight="1">
      <c r="A1790" s="381"/>
      <c r="B1790" s="381"/>
      <c r="C1790" s="381" t="s">
        <v>7562</v>
      </c>
    </row>
    <row r="1791" spans="1:3" ht="12.9" customHeight="1">
      <c r="A1791" s="381"/>
      <c r="B1791" s="381"/>
      <c r="C1791" s="381" t="s">
        <v>7563</v>
      </c>
    </row>
    <row r="1792" spans="1:3" ht="12.9" customHeight="1">
      <c r="A1792" s="381"/>
      <c r="B1792" s="381"/>
      <c r="C1792" s="381" t="s">
        <v>7564</v>
      </c>
    </row>
    <row r="1793" spans="1:3" ht="12.9" customHeight="1">
      <c r="A1793" s="381"/>
      <c r="B1793" s="381"/>
      <c r="C1793" s="381" t="s">
        <v>7565</v>
      </c>
    </row>
    <row r="1794" spans="1:3" ht="12.9" customHeight="1">
      <c r="A1794" s="381"/>
      <c r="B1794" s="381" t="s">
        <v>4151</v>
      </c>
      <c r="C1794" s="381" t="s">
        <v>7566</v>
      </c>
    </row>
    <row r="1795" spans="1:3" ht="12.9" customHeight="1">
      <c r="A1795" s="381"/>
      <c r="B1795" s="381" t="s">
        <v>2825</v>
      </c>
      <c r="C1795" s="381" t="s">
        <v>7567</v>
      </c>
    </row>
    <row r="1796" spans="1:3" ht="12.9" customHeight="1">
      <c r="A1796" s="381"/>
      <c r="B1796" s="381"/>
      <c r="C1796" s="381" t="s">
        <v>7568</v>
      </c>
    </row>
    <row r="1797" spans="1:3" ht="12.9" customHeight="1">
      <c r="A1797" s="381"/>
      <c r="B1797" s="381"/>
      <c r="C1797" s="381" t="s">
        <v>7569</v>
      </c>
    </row>
    <row r="1798" spans="1:3" ht="12.9" customHeight="1">
      <c r="A1798" s="381"/>
      <c r="B1798" s="381"/>
      <c r="C1798" s="381" t="s">
        <v>7570</v>
      </c>
    </row>
    <row r="1799" spans="1:3" ht="12.9" customHeight="1">
      <c r="A1799" s="381"/>
      <c r="B1799" s="381"/>
      <c r="C1799" s="381" t="s">
        <v>7571</v>
      </c>
    </row>
    <row r="1800" spans="1:3" ht="12.9" customHeight="1">
      <c r="A1800" s="381"/>
      <c r="B1800" s="381"/>
      <c r="C1800" s="381" t="s">
        <v>7572</v>
      </c>
    </row>
    <row r="1801" spans="1:3" ht="12.9" customHeight="1">
      <c r="A1801" s="381"/>
      <c r="B1801" s="381"/>
      <c r="C1801" s="381" t="s">
        <v>7573</v>
      </c>
    </row>
    <row r="1802" spans="1:3" ht="12.9" customHeight="1">
      <c r="A1802" s="381"/>
      <c r="B1802" s="381" t="s">
        <v>6013</v>
      </c>
      <c r="C1802" s="381" t="s">
        <v>7574</v>
      </c>
    </row>
    <row r="1803" spans="1:3" ht="12.9" customHeight="1">
      <c r="A1803" s="381"/>
      <c r="B1803" s="381"/>
      <c r="C1803" s="381" t="s">
        <v>7575</v>
      </c>
    </row>
    <row r="1804" spans="1:3" ht="12.9" customHeight="1">
      <c r="A1804" s="381"/>
      <c r="B1804" s="381" t="s">
        <v>5339</v>
      </c>
      <c r="C1804" s="381" t="s">
        <v>7576</v>
      </c>
    </row>
    <row r="1805" spans="1:3" ht="12.9" customHeight="1">
      <c r="A1805" s="381"/>
      <c r="B1805" s="381"/>
      <c r="C1805" s="381" t="s">
        <v>7577</v>
      </c>
    </row>
    <row r="1806" spans="1:3" ht="12.9" customHeight="1">
      <c r="A1806" s="381"/>
      <c r="B1806" s="381"/>
      <c r="C1806" s="381" t="s">
        <v>7578</v>
      </c>
    </row>
    <row r="1807" spans="1:3" ht="12.9" customHeight="1">
      <c r="A1807" s="381"/>
      <c r="B1807" s="381"/>
      <c r="C1807" s="381" t="s">
        <v>7579</v>
      </c>
    </row>
    <row r="1808" spans="1:3" ht="12.9" customHeight="1">
      <c r="A1808" s="381"/>
      <c r="B1808" s="381"/>
      <c r="C1808" s="381" t="s">
        <v>7580</v>
      </c>
    </row>
    <row r="1809" spans="1:3" ht="12.9" customHeight="1">
      <c r="A1809" s="381"/>
      <c r="B1809" s="381" t="s">
        <v>2520</v>
      </c>
      <c r="C1809" s="381" t="s">
        <v>7581</v>
      </c>
    </row>
    <row r="1810" spans="1:3" ht="12.9" customHeight="1">
      <c r="A1810" s="381"/>
      <c r="B1810" s="381"/>
      <c r="C1810" s="381" t="s">
        <v>7582</v>
      </c>
    </row>
    <row r="1811" spans="1:3" ht="12.9" customHeight="1">
      <c r="A1811" s="381"/>
      <c r="B1811" s="381"/>
      <c r="C1811" s="381" t="s">
        <v>7583</v>
      </c>
    </row>
    <row r="1812" spans="1:3" ht="12.9" customHeight="1">
      <c r="A1812" s="381"/>
      <c r="B1812" s="381"/>
      <c r="C1812" s="381" t="s">
        <v>7584</v>
      </c>
    </row>
    <row r="1813" spans="1:3" ht="12.9" customHeight="1">
      <c r="A1813" s="381"/>
      <c r="B1813" s="381"/>
      <c r="C1813" s="381" t="s">
        <v>7585</v>
      </c>
    </row>
    <row r="1814" spans="1:3" ht="12.9" customHeight="1">
      <c r="A1814" s="381"/>
      <c r="B1814" s="381"/>
      <c r="C1814" s="381" t="s">
        <v>7586</v>
      </c>
    </row>
    <row r="1815" spans="1:3" ht="12.9" customHeight="1">
      <c r="A1815" s="381"/>
      <c r="B1815" s="381"/>
      <c r="C1815" s="381" t="s">
        <v>7587</v>
      </c>
    </row>
    <row r="1816" spans="1:3" ht="12.9" customHeight="1">
      <c r="A1816" s="381"/>
      <c r="B1816" s="381"/>
      <c r="C1816" s="381" t="s">
        <v>436</v>
      </c>
    </row>
    <row r="1817" spans="1:3" ht="12.9" customHeight="1">
      <c r="A1817" s="381"/>
      <c r="B1817" s="381" t="s">
        <v>5942</v>
      </c>
      <c r="C1817" s="381" t="s">
        <v>4916</v>
      </c>
    </row>
    <row r="1818" spans="1:3" ht="12.9" customHeight="1">
      <c r="A1818" s="381"/>
      <c r="B1818" s="381"/>
      <c r="C1818" s="381" t="s">
        <v>7588</v>
      </c>
    </row>
    <row r="1819" spans="1:3" ht="12.9" customHeight="1">
      <c r="A1819" s="381"/>
      <c r="B1819" s="381"/>
      <c r="C1819" s="381" t="s">
        <v>5728</v>
      </c>
    </row>
    <row r="1820" spans="1:3" ht="12.9" customHeight="1">
      <c r="A1820" s="381"/>
      <c r="B1820" s="381"/>
      <c r="C1820" s="381" t="s">
        <v>7589</v>
      </c>
    </row>
    <row r="1821" spans="1:3" ht="12.9" customHeight="1">
      <c r="A1821" s="381"/>
      <c r="B1821" s="381" t="s">
        <v>3465</v>
      </c>
      <c r="C1821" s="381" t="s">
        <v>7590</v>
      </c>
    </row>
    <row r="1822" spans="1:3" ht="12.9" customHeight="1">
      <c r="A1822" s="381"/>
      <c r="B1822" s="381"/>
      <c r="C1822" s="381" t="s">
        <v>7591</v>
      </c>
    </row>
    <row r="1823" spans="1:3" ht="12.9" customHeight="1">
      <c r="A1823" s="381"/>
      <c r="B1823" s="381" t="s">
        <v>1797</v>
      </c>
      <c r="C1823" s="381" t="s">
        <v>3280</v>
      </c>
    </row>
    <row r="1824" spans="1:3" ht="12.9" customHeight="1">
      <c r="A1824" s="381"/>
      <c r="B1824" s="381" t="s">
        <v>1605</v>
      </c>
      <c r="C1824" s="381" t="s">
        <v>7592</v>
      </c>
    </row>
    <row r="1825" spans="1:3" ht="12.9" customHeight="1">
      <c r="A1825" s="381"/>
      <c r="B1825" s="381"/>
      <c r="C1825" s="381" t="s">
        <v>7593</v>
      </c>
    </row>
    <row r="1826" spans="1:3" ht="12.9" customHeight="1">
      <c r="A1826" s="381"/>
      <c r="B1826" s="381"/>
      <c r="C1826" s="381" t="s">
        <v>7594</v>
      </c>
    </row>
    <row r="1827" spans="1:3" ht="12.9" customHeight="1">
      <c r="A1827" s="381"/>
      <c r="B1827" s="381"/>
      <c r="C1827" s="381" t="s">
        <v>7595</v>
      </c>
    </row>
    <row r="1828" spans="1:3" ht="12.9" customHeight="1">
      <c r="A1828" s="381"/>
      <c r="B1828" s="381" t="s">
        <v>3889</v>
      </c>
      <c r="C1828" s="381" t="s">
        <v>7596</v>
      </c>
    </row>
    <row r="1829" spans="1:3" ht="12.9" customHeight="1">
      <c r="A1829" s="381"/>
      <c r="B1829" s="381"/>
      <c r="C1829" s="381" t="s">
        <v>7597</v>
      </c>
    </row>
    <row r="1830" spans="1:3" ht="12.9" customHeight="1">
      <c r="A1830" s="381"/>
      <c r="B1830" s="381"/>
      <c r="C1830" s="381" t="s">
        <v>7598</v>
      </c>
    </row>
    <row r="1831" spans="1:3" ht="12.9" customHeight="1">
      <c r="A1831" s="381"/>
      <c r="B1831" s="381"/>
      <c r="C1831" s="381" t="s">
        <v>7599</v>
      </c>
    </row>
    <row r="1832" spans="1:3" ht="12.9" customHeight="1">
      <c r="A1832" s="381"/>
      <c r="B1832" s="381" t="s">
        <v>2932</v>
      </c>
      <c r="C1832" s="381" t="s">
        <v>7600</v>
      </c>
    </row>
    <row r="1833" spans="1:3" ht="12.9" customHeight="1">
      <c r="A1833" s="381"/>
      <c r="B1833" s="381"/>
      <c r="C1833" s="381" t="s">
        <v>7601</v>
      </c>
    </row>
    <row r="1834" spans="1:3" ht="12.9" customHeight="1">
      <c r="A1834" s="381"/>
      <c r="B1834" s="381" t="s">
        <v>3268</v>
      </c>
      <c r="C1834" s="442" t="s">
        <v>7602</v>
      </c>
    </row>
    <row r="1835" spans="1:3" ht="12.9" customHeight="1">
      <c r="A1835" s="381"/>
      <c r="C1835" s="381" t="s">
        <v>7603</v>
      </c>
    </row>
    <row r="1836" spans="1:3" ht="12.9" customHeight="1">
      <c r="A1836" s="381"/>
      <c r="B1836" s="381" t="s">
        <v>3421</v>
      </c>
      <c r="C1836" s="381" t="s">
        <v>7604</v>
      </c>
    </row>
    <row r="1837" spans="1:3" ht="12.9" customHeight="1">
      <c r="A1837" s="381"/>
      <c r="B1837" s="381"/>
      <c r="C1837" s="381" t="s">
        <v>7605</v>
      </c>
    </row>
    <row r="1838" spans="1:3" ht="12.9" customHeight="1">
      <c r="A1838" s="381"/>
      <c r="B1838" s="381"/>
      <c r="C1838" s="381" t="s">
        <v>7606</v>
      </c>
    </row>
    <row r="1839" spans="1:3" ht="12.9" customHeight="1">
      <c r="A1839" s="381"/>
      <c r="B1839" s="381"/>
      <c r="C1839" s="381" t="s">
        <v>7607</v>
      </c>
    </row>
    <row r="1840" spans="1:3" ht="12.9" customHeight="1">
      <c r="A1840" s="381"/>
      <c r="B1840" s="381"/>
      <c r="C1840" s="381" t="s">
        <v>7608</v>
      </c>
    </row>
    <row r="1841" spans="1:3" ht="12.9" customHeight="1">
      <c r="A1841" s="381"/>
      <c r="B1841" s="381"/>
      <c r="C1841" s="381" t="s">
        <v>7609</v>
      </c>
    </row>
    <row r="1842" spans="1:3" ht="12.9" customHeight="1">
      <c r="A1842" s="381"/>
      <c r="B1842" s="381"/>
      <c r="C1842" s="442" t="s">
        <v>7610</v>
      </c>
    </row>
    <row r="1843" spans="1:3" ht="12.9" customHeight="1">
      <c r="A1843" s="381"/>
      <c r="B1843" s="381"/>
      <c r="C1843" s="381" t="s">
        <v>7611</v>
      </c>
    </row>
    <row r="1844" spans="1:3" ht="12.9" customHeight="1">
      <c r="A1844" s="381"/>
      <c r="B1844" s="381" t="s">
        <v>1799</v>
      </c>
      <c r="C1844" s="381" t="s">
        <v>7612</v>
      </c>
    </row>
    <row r="1845" spans="1:3" ht="12.9" customHeight="1">
      <c r="A1845" s="381"/>
      <c r="B1845" s="381" t="s">
        <v>2235</v>
      </c>
      <c r="C1845" s="381" t="s">
        <v>7613</v>
      </c>
    </row>
    <row r="1846" spans="1:3" ht="12.9" customHeight="1">
      <c r="A1846" s="381"/>
      <c r="B1846" s="381" t="s">
        <v>5984</v>
      </c>
      <c r="C1846" s="381" t="s">
        <v>7614</v>
      </c>
    </row>
    <row r="1847" spans="1:3" ht="12.9" customHeight="1">
      <c r="A1847" s="381"/>
      <c r="B1847" s="381"/>
      <c r="C1847" s="381" t="s">
        <v>7615</v>
      </c>
    </row>
    <row r="1848" spans="1:3" ht="12.9" customHeight="1">
      <c r="A1848" s="381"/>
      <c r="B1848" s="381" t="s">
        <v>5719</v>
      </c>
      <c r="C1848" s="381" t="s">
        <v>7616</v>
      </c>
    </row>
    <row r="1849" spans="1:3" ht="12.9" customHeight="1">
      <c r="A1849" s="381"/>
      <c r="B1849" s="381"/>
      <c r="C1849" s="381" t="s">
        <v>7617</v>
      </c>
    </row>
    <row r="1850" spans="1:3" ht="12.9" customHeight="1">
      <c r="A1850" s="381"/>
      <c r="B1850" s="381" t="s">
        <v>5557</v>
      </c>
      <c r="C1850" s="381" t="s">
        <v>7618</v>
      </c>
    </row>
    <row r="1851" spans="1:3" ht="12.9" customHeight="1">
      <c r="A1851" s="381"/>
      <c r="B1851" s="381"/>
      <c r="C1851" s="381" t="s">
        <v>7619</v>
      </c>
    </row>
    <row r="1852" spans="1:3" ht="12.9" customHeight="1">
      <c r="A1852" s="381"/>
      <c r="B1852" s="381"/>
      <c r="C1852" s="381" t="s">
        <v>7620</v>
      </c>
    </row>
    <row r="1853" spans="1:3" ht="12.9" customHeight="1">
      <c r="A1853" s="381"/>
      <c r="B1853" s="381" t="s">
        <v>5130</v>
      </c>
      <c r="C1853" s="381" t="s">
        <v>7621</v>
      </c>
    </row>
    <row r="1854" spans="1:3" ht="12.9" customHeight="1">
      <c r="A1854" s="381"/>
      <c r="B1854" s="381" t="s">
        <v>5216</v>
      </c>
      <c r="C1854" s="381" t="s">
        <v>7622</v>
      </c>
    </row>
    <row r="1855" spans="1:3" ht="12.9" customHeight="1">
      <c r="A1855" s="381"/>
      <c r="B1855" s="381"/>
      <c r="C1855" s="381" t="s">
        <v>7623</v>
      </c>
    </row>
    <row r="1856" spans="1:3" ht="12.9" customHeight="1">
      <c r="A1856" s="381"/>
      <c r="B1856" s="381"/>
      <c r="C1856" s="381" t="s">
        <v>7624</v>
      </c>
    </row>
    <row r="1857" spans="1:3" ht="12.9" customHeight="1">
      <c r="A1857" s="381"/>
      <c r="B1857" s="381"/>
      <c r="C1857" s="381" t="s">
        <v>7625</v>
      </c>
    </row>
    <row r="1858" spans="1:3" ht="12.9" customHeight="1">
      <c r="A1858" s="381"/>
      <c r="B1858" s="381" t="s">
        <v>1231</v>
      </c>
      <c r="C1858" s="381" t="s">
        <v>7626</v>
      </c>
    </row>
    <row r="1859" spans="1:3" ht="12.9" customHeight="1">
      <c r="A1859" s="381"/>
      <c r="B1859" s="381"/>
      <c r="C1859" s="381" t="s">
        <v>7627</v>
      </c>
    </row>
    <row r="1860" spans="1:3" ht="12.9" customHeight="1">
      <c r="A1860" s="381"/>
      <c r="B1860" s="381"/>
      <c r="C1860" s="381" t="s">
        <v>7628</v>
      </c>
    </row>
    <row r="1861" spans="1:3" ht="12.9" customHeight="1">
      <c r="A1861" s="381"/>
      <c r="B1861" s="381"/>
      <c r="C1861" s="381" t="s">
        <v>7629</v>
      </c>
    </row>
    <row r="1862" spans="1:3" ht="12.9" customHeight="1">
      <c r="A1862" s="381"/>
      <c r="B1862" s="381"/>
      <c r="C1862" s="381" t="s">
        <v>7630</v>
      </c>
    </row>
    <row r="1863" spans="1:3" ht="12.9" customHeight="1">
      <c r="A1863" s="381"/>
      <c r="B1863" s="381" t="s">
        <v>3371</v>
      </c>
      <c r="C1863" s="381" t="s">
        <v>7631</v>
      </c>
    </row>
    <row r="1864" spans="1:3" ht="12.9" customHeight="1">
      <c r="A1864" s="381"/>
      <c r="B1864" s="381"/>
      <c r="C1864" s="381" t="s">
        <v>7632</v>
      </c>
    </row>
    <row r="1865" spans="1:3" ht="12.9" customHeight="1">
      <c r="A1865" s="381"/>
      <c r="B1865" s="381"/>
      <c r="C1865" s="381" t="s">
        <v>7633</v>
      </c>
    </row>
    <row r="1866" spans="1:3" ht="12.9" customHeight="1">
      <c r="A1866" s="381"/>
      <c r="B1866" s="381"/>
      <c r="C1866" s="381" t="s">
        <v>7634</v>
      </c>
    </row>
    <row r="1867" spans="1:3" ht="12.9" customHeight="1">
      <c r="A1867" s="381"/>
      <c r="B1867" s="381" t="s">
        <v>2226</v>
      </c>
      <c r="C1867" s="381" t="s">
        <v>7635</v>
      </c>
    </row>
    <row r="1868" spans="1:3" ht="12.9" customHeight="1">
      <c r="A1868" s="381"/>
      <c r="B1868" s="381"/>
      <c r="C1868" s="381" t="s">
        <v>7636</v>
      </c>
    </row>
    <row r="1869" spans="1:3" ht="12.9" customHeight="1">
      <c r="A1869" s="381"/>
      <c r="B1869" s="381"/>
      <c r="C1869" s="381" t="s">
        <v>7637</v>
      </c>
    </row>
    <row r="1870" spans="1:3" ht="12.9" customHeight="1">
      <c r="A1870" s="381"/>
      <c r="B1870" s="381"/>
      <c r="C1870" s="442" t="s">
        <v>7638</v>
      </c>
    </row>
    <row r="1871" spans="1:3" ht="12.9" customHeight="1">
      <c r="A1871" s="381"/>
      <c r="B1871" s="381" t="s">
        <v>4012</v>
      </c>
      <c r="C1871" s="381" t="s">
        <v>3638</v>
      </c>
    </row>
    <row r="1872" spans="1:3" ht="12.9" customHeight="1">
      <c r="A1872" s="381"/>
      <c r="B1872" s="381" t="s">
        <v>124</v>
      </c>
      <c r="C1872" s="381" t="s">
        <v>7639</v>
      </c>
    </row>
    <row r="1873" spans="1:3" ht="12.9" customHeight="1">
      <c r="A1873" s="381"/>
      <c r="B1873" s="381" t="s">
        <v>1959</v>
      </c>
      <c r="C1873" s="381" t="s">
        <v>7640</v>
      </c>
    </row>
    <row r="1874" spans="1:3" ht="12.9" customHeight="1">
      <c r="A1874" s="381"/>
      <c r="B1874" s="381"/>
      <c r="C1874" s="381" t="s">
        <v>7641</v>
      </c>
    </row>
    <row r="1875" spans="1:3" ht="12.9" customHeight="1">
      <c r="A1875" s="381"/>
      <c r="B1875" s="381"/>
      <c r="C1875" s="381" t="s">
        <v>7642</v>
      </c>
    </row>
    <row r="1876" spans="1:3" ht="12.9" customHeight="1">
      <c r="A1876" s="381"/>
      <c r="B1876" s="381"/>
      <c r="C1876" s="381" t="s">
        <v>7643</v>
      </c>
    </row>
    <row r="1877" spans="1:3" ht="12.9" customHeight="1">
      <c r="A1877" s="381"/>
      <c r="B1877" s="381"/>
      <c r="C1877" s="381" t="s">
        <v>7644</v>
      </c>
    </row>
    <row r="1878" spans="1:3" ht="12.9" customHeight="1">
      <c r="A1878" s="381"/>
      <c r="B1878" s="381"/>
      <c r="C1878" s="381" t="s">
        <v>7645</v>
      </c>
    </row>
    <row r="1879" spans="1:3" ht="12.9" customHeight="1">
      <c r="A1879" s="381"/>
      <c r="B1879" s="381"/>
      <c r="C1879" s="381" t="s">
        <v>7646</v>
      </c>
    </row>
    <row r="1880" spans="1:3" ht="12.9" customHeight="1">
      <c r="A1880" s="381"/>
      <c r="B1880" s="381"/>
      <c r="C1880" s="381" t="s">
        <v>7647</v>
      </c>
    </row>
    <row r="1881" spans="1:3" ht="12.9" customHeight="1">
      <c r="A1881" s="381"/>
      <c r="B1881" s="381"/>
      <c r="C1881" s="381" t="s">
        <v>7648</v>
      </c>
    </row>
    <row r="1882" spans="1:3" ht="12.9" customHeight="1">
      <c r="A1882" s="381"/>
      <c r="B1882" s="381" t="s">
        <v>255</v>
      </c>
      <c r="C1882" s="381" t="s">
        <v>7649</v>
      </c>
    </row>
    <row r="1883" spans="1:3" ht="12.9" customHeight="1">
      <c r="A1883" s="381"/>
      <c r="B1883" s="381"/>
      <c r="C1883" s="381" t="s">
        <v>7650</v>
      </c>
    </row>
    <row r="1884" spans="1:3" ht="12.9" customHeight="1">
      <c r="A1884" s="381"/>
      <c r="B1884" s="381"/>
      <c r="C1884" s="381" t="s">
        <v>7651</v>
      </c>
    </row>
    <row r="1885" spans="1:3" ht="12.9" customHeight="1">
      <c r="A1885" s="381"/>
      <c r="B1885" s="381"/>
      <c r="C1885" s="381" t="s">
        <v>7652</v>
      </c>
    </row>
    <row r="1886" spans="1:3" ht="12.9" customHeight="1">
      <c r="A1886" s="381"/>
      <c r="B1886" s="381"/>
      <c r="C1886" s="381" t="s">
        <v>7653</v>
      </c>
    </row>
    <row r="1887" spans="1:3" ht="12.9" customHeight="1">
      <c r="A1887" s="381"/>
      <c r="B1887" s="381"/>
      <c r="C1887" s="381" t="s">
        <v>7654</v>
      </c>
    </row>
    <row r="1888" spans="1:3" ht="12.9" customHeight="1">
      <c r="A1888" s="381"/>
      <c r="B1888" s="381"/>
      <c r="C1888" s="381" t="s">
        <v>7655</v>
      </c>
    </row>
    <row r="1889" spans="1:3" ht="12.9" customHeight="1">
      <c r="A1889" s="381"/>
      <c r="B1889" s="381"/>
      <c r="C1889" s="381" t="s">
        <v>7656</v>
      </c>
    </row>
    <row r="1890" spans="1:3" ht="12.9" customHeight="1">
      <c r="A1890" s="381"/>
      <c r="B1890" s="381" t="s">
        <v>1800</v>
      </c>
      <c r="C1890" s="381" t="s">
        <v>5729</v>
      </c>
    </row>
    <row r="1891" spans="1:3" ht="12.9" customHeight="1">
      <c r="A1891" s="381"/>
      <c r="B1891" s="381"/>
      <c r="C1891" s="381" t="s">
        <v>7657</v>
      </c>
    </row>
    <row r="1892" spans="1:3" ht="12.9" customHeight="1">
      <c r="A1892" s="381"/>
      <c r="B1892" s="381"/>
      <c r="C1892" s="381" t="s">
        <v>7658</v>
      </c>
    </row>
    <row r="1893" spans="1:3" ht="12.9" customHeight="1">
      <c r="A1893" s="381"/>
      <c r="B1893" s="381"/>
      <c r="C1893" s="381" t="s">
        <v>7659</v>
      </c>
    </row>
    <row r="1894" spans="1:3" ht="12.9" customHeight="1">
      <c r="A1894" s="381"/>
      <c r="B1894" s="381"/>
      <c r="C1894" s="381" t="s">
        <v>7660</v>
      </c>
    </row>
    <row r="1895" spans="1:3" ht="12.9" customHeight="1">
      <c r="A1895" s="381"/>
      <c r="B1895" s="381" t="s">
        <v>3618</v>
      </c>
      <c r="C1895" s="381" t="s">
        <v>7661</v>
      </c>
    </row>
    <row r="1896" spans="1:3" ht="12.9" customHeight="1">
      <c r="A1896" s="381"/>
      <c r="B1896" s="381" t="s">
        <v>5990</v>
      </c>
      <c r="C1896" s="381" t="s">
        <v>7662</v>
      </c>
    </row>
    <row r="1897" spans="1:3" ht="12.9" customHeight="1">
      <c r="A1897" s="381"/>
      <c r="B1897" s="381"/>
      <c r="C1897" s="381" t="s">
        <v>7663</v>
      </c>
    </row>
    <row r="1898" spans="1:3" ht="12.9" customHeight="1">
      <c r="A1898" s="381"/>
      <c r="B1898" s="381"/>
      <c r="C1898" s="381" t="s">
        <v>7664</v>
      </c>
    </row>
    <row r="1899" spans="1:3" ht="12.9" customHeight="1">
      <c r="A1899" s="381"/>
      <c r="B1899" s="381" t="s">
        <v>5760</v>
      </c>
      <c r="C1899" s="381" t="s">
        <v>7665</v>
      </c>
    </row>
    <row r="1900" spans="1:3" ht="12.9" customHeight="1">
      <c r="A1900" s="381"/>
      <c r="B1900" s="381" t="s">
        <v>1801</v>
      </c>
      <c r="C1900" s="381" t="s">
        <v>7666</v>
      </c>
    </row>
    <row r="1901" spans="1:3" ht="12.9" customHeight="1">
      <c r="A1901" s="381"/>
      <c r="B1901" s="381"/>
      <c r="C1901" s="381" t="s">
        <v>7667</v>
      </c>
    </row>
    <row r="1902" spans="1:3" ht="12.9" customHeight="1">
      <c r="A1902" s="381"/>
      <c r="B1902" s="381"/>
      <c r="C1902" s="381" t="s">
        <v>5701</v>
      </c>
    </row>
    <row r="1903" spans="1:3" ht="12.9" customHeight="1">
      <c r="A1903" s="381"/>
      <c r="B1903" s="381" t="s">
        <v>2811</v>
      </c>
      <c r="C1903" s="381" t="s">
        <v>7668</v>
      </c>
    </row>
    <row r="1904" spans="1:3" ht="12.9" customHeight="1">
      <c r="A1904" s="381"/>
      <c r="B1904" s="381" t="s">
        <v>5066</v>
      </c>
      <c r="C1904" s="381" t="s">
        <v>7669</v>
      </c>
    </row>
    <row r="1905" spans="1:3" ht="12.9" customHeight="1">
      <c r="A1905" s="381"/>
      <c r="B1905" s="381"/>
      <c r="C1905" s="381" t="s">
        <v>7670</v>
      </c>
    </row>
    <row r="1906" spans="1:3" ht="12.9" customHeight="1">
      <c r="A1906" s="381"/>
      <c r="B1906" s="381"/>
      <c r="C1906" s="381" t="s">
        <v>7671</v>
      </c>
    </row>
    <row r="1907" spans="1:3" ht="12.9" customHeight="1">
      <c r="A1907" s="381"/>
      <c r="B1907" s="381"/>
      <c r="C1907" s="381" t="s">
        <v>7672</v>
      </c>
    </row>
    <row r="1908" spans="1:3" ht="12.9" customHeight="1">
      <c r="A1908" s="381"/>
      <c r="B1908" s="381"/>
      <c r="C1908" s="381" t="s">
        <v>7673</v>
      </c>
    </row>
    <row r="1909" spans="1:3" ht="12.9" customHeight="1">
      <c r="A1909" s="381"/>
      <c r="B1909" s="381" t="s">
        <v>5817</v>
      </c>
      <c r="C1909" s="381" t="s">
        <v>7674</v>
      </c>
    </row>
    <row r="1910" spans="1:3" ht="12.9" customHeight="1">
      <c r="A1910" s="381"/>
      <c r="B1910" s="381" t="s">
        <v>3772</v>
      </c>
      <c r="C1910" s="381" t="s">
        <v>7675</v>
      </c>
    </row>
    <row r="1911" spans="1:3" ht="12.9" customHeight="1">
      <c r="A1911" s="381"/>
      <c r="B1911" s="381" t="s">
        <v>2812</v>
      </c>
      <c r="C1911" s="381" t="s">
        <v>7676</v>
      </c>
    </row>
    <row r="1912" spans="1:3" ht="12.9" customHeight="1">
      <c r="A1912" s="381"/>
      <c r="B1912" s="381" t="s">
        <v>5975</v>
      </c>
      <c r="C1912" s="381" t="s">
        <v>7677</v>
      </c>
    </row>
    <row r="1913" spans="1:3" ht="12.9" customHeight="1">
      <c r="A1913" s="381"/>
      <c r="B1913" s="381"/>
      <c r="C1913" s="381" t="s">
        <v>7678</v>
      </c>
    </row>
    <row r="1914" spans="1:3" ht="12.9" customHeight="1">
      <c r="A1914" s="381"/>
      <c r="B1914" s="381"/>
      <c r="C1914" s="381" t="s">
        <v>7515</v>
      </c>
    </row>
    <row r="1915" spans="1:3" ht="12.9" customHeight="1">
      <c r="A1915" s="381"/>
      <c r="B1915" s="381" t="s">
        <v>5336</v>
      </c>
      <c r="C1915" s="381" t="s">
        <v>7516</v>
      </c>
    </row>
    <row r="1916" spans="1:3" ht="12.9" customHeight="1">
      <c r="A1916" s="381"/>
      <c r="B1916" s="381" t="s">
        <v>3119</v>
      </c>
      <c r="C1916" s="381" t="s">
        <v>7517</v>
      </c>
    </row>
    <row r="1917" spans="1:3" ht="12.9" customHeight="1">
      <c r="A1917" s="381"/>
      <c r="B1917" s="381"/>
      <c r="C1917" s="381" t="s">
        <v>7679</v>
      </c>
    </row>
    <row r="1918" spans="1:3" ht="12.9" customHeight="1">
      <c r="A1918" s="381"/>
      <c r="B1918" s="381"/>
      <c r="C1918" s="381" t="s">
        <v>7680</v>
      </c>
    </row>
    <row r="1919" spans="1:3" ht="12.9" customHeight="1">
      <c r="A1919" s="381"/>
      <c r="B1919" s="381" t="s">
        <v>3024</v>
      </c>
      <c r="C1919" s="381" t="s">
        <v>7681</v>
      </c>
    </row>
    <row r="1920" spans="1:3" ht="12.9" customHeight="1">
      <c r="A1920" s="381"/>
      <c r="B1920" s="381"/>
      <c r="C1920" s="381" t="s">
        <v>7682</v>
      </c>
    </row>
    <row r="1921" spans="1:3" ht="12.9" customHeight="1">
      <c r="A1921" s="381"/>
      <c r="B1921" s="381" t="s">
        <v>1944</v>
      </c>
      <c r="C1921" s="381" t="s">
        <v>7683</v>
      </c>
    </row>
    <row r="1922" spans="1:3" ht="12.9" customHeight="1">
      <c r="A1922" s="381"/>
      <c r="B1922" s="381" t="s">
        <v>1946</v>
      </c>
      <c r="C1922" s="381" t="s">
        <v>7684</v>
      </c>
    </row>
    <row r="1923" spans="1:3" ht="12.9" customHeight="1">
      <c r="A1923" s="381"/>
      <c r="B1923" s="381" t="s">
        <v>1388</v>
      </c>
      <c r="C1923" s="381" t="s">
        <v>7685</v>
      </c>
    </row>
    <row r="1924" spans="1:3" ht="12.9" customHeight="1">
      <c r="A1924" s="381"/>
      <c r="B1924" s="381" t="s">
        <v>1389</v>
      </c>
      <c r="C1924" s="381" t="s">
        <v>7686</v>
      </c>
    </row>
    <row r="1925" spans="1:3" ht="12.9" customHeight="1">
      <c r="A1925" s="381"/>
      <c r="B1925" s="381" t="s">
        <v>1390</v>
      </c>
      <c r="C1925" s="381" t="s">
        <v>7687</v>
      </c>
    </row>
    <row r="1926" spans="1:3" ht="12.9" customHeight="1">
      <c r="A1926" s="381"/>
      <c r="B1926" s="381" t="s">
        <v>4926</v>
      </c>
      <c r="C1926" s="381" t="s">
        <v>7688</v>
      </c>
    </row>
    <row r="1927" spans="1:3" ht="12.9" customHeight="1">
      <c r="A1927" s="381"/>
      <c r="B1927" s="381" t="s">
        <v>4927</v>
      </c>
      <c r="C1927" s="381" t="s">
        <v>7689</v>
      </c>
    </row>
    <row r="1928" spans="1:3" ht="12.9" customHeight="1">
      <c r="A1928" s="381"/>
      <c r="B1928" s="381" t="s">
        <v>4928</v>
      </c>
      <c r="C1928" s="381" t="s">
        <v>7690</v>
      </c>
    </row>
    <row r="1929" spans="1:3" ht="12.9" customHeight="1">
      <c r="A1929" s="381"/>
      <c r="B1929" s="381" t="s">
        <v>4929</v>
      </c>
      <c r="C1929" s="381" t="s">
        <v>7691</v>
      </c>
    </row>
    <row r="1930" spans="1:3" ht="12.9" customHeight="1">
      <c r="A1930" s="381"/>
      <c r="B1930" s="381" t="s">
        <v>4930</v>
      </c>
      <c r="C1930" s="381" t="s">
        <v>7692</v>
      </c>
    </row>
    <row r="1931" spans="1:3" ht="12.9" customHeight="1">
      <c r="A1931" s="381"/>
      <c r="B1931" s="381" t="s">
        <v>3735</v>
      </c>
      <c r="C1931" s="381" t="s">
        <v>7693</v>
      </c>
    </row>
    <row r="1932" spans="1:3" ht="12.9" customHeight="1">
      <c r="A1932" s="381"/>
      <c r="B1932" s="381" t="s">
        <v>3736</v>
      </c>
      <c r="C1932" s="381" t="s">
        <v>7694</v>
      </c>
    </row>
    <row r="1933" spans="1:3" ht="12.9" customHeight="1">
      <c r="A1933" s="381"/>
      <c r="B1933" s="381" t="s">
        <v>3737</v>
      </c>
      <c r="C1933" s="381" t="s">
        <v>7695</v>
      </c>
    </row>
    <row r="1934" spans="1:3" ht="12.9" customHeight="1">
      <c r="A1934" s="381"/>
      <c r="B1934" s="381" t="s">
        <v>3738</v>
      </c>
      <c r="C1934" s="381" t="s">
        <v>7696</v>
      </c>
    </row>
    <row r="1935" spans="1:3" ht="12.9" customHeight="1">
      <c r="A1935" s="381"/>
      <c r="B1935" s="381" t="s">
        <v>3739</v>
      </c>
      <c r="C1935" s="381" t="s">
        <v>7697</v>
      </c>
    </row>
    <row r="1936" spans="1:3" ht="12.9" customHeight="1">
      <c r="A1936" s="381"/>
      <c r="B1936" s="381" t="s">
        <v>3740</v>
      </c>
      <c r="C1936" s="381" t="s">
        <v>7698</v>
      </c>
    </row>
    <row r="1937" spans="1:3" ht="12.9" customHeight="1">
      <c r="A1937" s="381"/>
      <c r="B1937" s="381" t="s">
        <v>5263</v>
      </c>
      <c r="C1937" s="381" t="s">
        <v>7699</v>
      </c>
    </row>
    <row r="1938" spans="1:3" ht="12.9" customHeight="1">
      <c r="A1938" s="381"/>
      <c r="B1938" s="381" t="s">
        <v>5264</v>
      </c>
      <c r="C1938" s="381" t="s">
        <v>7700</v>
      </c>
    </row>
    <row r="1939" spans="1:3" ht="12.9" customHeight="1">
      <c r="A1939" s="381"/>
      <c r="B1939" s="381" t="s">
        <v>2540</v>
      </c>
      <c r="C1939" s="381" t="s">
        <v>7701</v>
      </c>
    </row>
    <row r="1940" spans="1:3" ht="12.9" customHeight="1">
      <c r="A1940" s="381"/>
      <c r="B1940" s="381" t="s">
        <v>2541</v>
      </c>
      <c r="C1940" s="381" t="s">
        <v>7702</v>
      </c>
    </row>
    <row r="1941" spans="1:3" ht="12.9" customHeight="1">
      <c r="A1941" s="381"/>
      <c r="B1941" s="381" t="s">
        <v>2542</v>
      </c>
      <c r="C1941" s="381" t="s">
        <v>7703</v>
      </c>
    </row>
    <row r="1942" spans="1:3" ht="12.9" customHeight="1">
      <c r="A1942" s="381"/>
      <c r="B1942" s="381" t="s">
        <v>1695</v>
      </c>
      <c r="C1942" s="381" t="s">
        <v>7704</v>
      </c>
    </row>
    <row r="1943" spans="1:3" ht="12.9" customHeight="1">
      <c r="A1943" s="381"/>
      <c r="B1943" s="381" t="s">
        <v>1206</v>
      </c>
      <c r="C1943" s="381" t="s">
        <v>7705</v>
      </c>
    </row>
    <row r="1944" spans="1:3" ht="12.9" customHeight="1">
      <c r="A1944" s="381"/>
      <c r="B1944" s="381" t="s">
        <v>1696</v>
      </c>
      <c r="C1944" s="381" t="s">
        <v>7706</v>
      </c>
    </row>
    <row r="1945" spans="1:3" ht="12.9" customHeight="1">
      <c r="A1945" s="381"/>
      <c r="B1945" s="381" t="s">
        <v>1945</v>
      </c>
      <c r="C1945" s="381" t="s">
        <v>5522</v>
      </c>
    </row>
    <row r="1946" spans="1:3" ht="12.9" customHeight="1">
      <c r="A1946" s="381"/>
      <c r="B1946" s="381" t="s">
        <v>4842</v>
      </c>
      <c r="C1946" s="381" t="s">
        <v>7707</v>
      </c>
    </row>
    <row r="1947" spans="1:3" ht="12.9" customHeight="1">
      <c r="A1947" s="381"/>
      <c r="B1947" s="381" t="s">
        <v>3443</v>
      </c>
      <c r="C1947" s="381" t="s">
        <v>7708</v>
      </c>
    </row>
    <row r="1948" spans="1:3" ht="12.9" customHeight="1">
      <c r="A1948" s="381"/>
      <c r="B1948" s="381" t="s">
        <v>3444</v>
      </c>
      <c r="C1948" s="381" t="s">
        <v>7709</v>
      </c>
    </row>
    <row r="1949" spans="1:3" ht="12.9" customHeight="1">
      <c r="A1949" s="381"/>
      <c r="B1949" s="381" t="s">
        <v>4207</v>
      </c>
      <c r="C1949" s="381" t="s">
        <v>7710</v>
      </c>
    </row>
    <row r="1950" spans="1:3" ht="12.9" customHeight="1">
      <c r="A1950" s="381"/>
      <c r="B1950" s="381" t="s">
        <v>1404</v>
      </c>
      <c r="C1950" s="381" t="s">
        <v>7711</v>
      </c>
    </row>
    <row r="1951" spans="1:3" ht="12.9" customHeight="1">
      <c r="A1951" s="381"/>
      <c r="B1951" s="381" t="s">
        <v>1405</v>
      </c>
      <c r="C1951" s="381" t="s">
        <v>7712</v>
      </c>
    </row>
    <row r="1952" spans="1:3" ht="12.9" customHeight="1">
      <c r="A1952" s="381"/>
      <c r="B1952" s="381" t="s">
        <v>1947</v>
      </c>
      <c r="C1952" s="381" t="s">
        <v>7713</v>
      </c>
    </row>
    <row r="1953" spans="1:3" ht="12.9" customHeight="1">
      <c r="A1953" s="381"/>
      <c r="B1953" s="381" t="s">
        <v>1948</v>
      </c>
      <c r="C1953" s="381" t="s">
        <v>7714</v>
      </c>
    </row>
    <row r="1954" spans="1:3" ht="12.9" customHeight="1">
      <c r="A1954" s="381"/>
      <c r="B1954" s="381" t="s">
        <v>1677</v>
      </c>
      <c r="C1954" s="381" t="s">
        <v>7715</v>
      </c>
    </row>
    <row r="1955" spans="1:3" ht="12.9" customHeight="1">
      <c r="A1955" s="381"/>
      <c r="B1955" s="381" t="s">
        <v>5649</v>
      </c>
      <c r="C1955" s="381" t="s">
        <v>7716</v>
      </c>
    </row>
    <row r="1956" spans="1:3" ht="12.9" customHeight="1">
      <c r="A1956" s="381"/>
      <c r="B1956" s="381" t="s">
        <v>5650</v>
      </c>
      <c r="C1956" s="381" t="s">
        <v>7717</v>
      </c>
    </row>
    <row r="1957" spans="1:3" ht="12.9" customHeight="1">
      <c r="A1957" s="381"/>
      <c r="B1957" s="381" t="s">
        <v>5651</v>
      </c>
      <c r="C1957" s="381" t="s">
        <v>7718</v>
      </c>
    </row>
    <row r="1958" spans="1:3" ht="12.9" customHeight="1">
      <c r="A1958" s="381"/>
      <c r="B1958" s="381" t="s">
        <v>1958</v>
      </c>
      <c r="C1958" s="381" t="s">
        <v>7719</v>
      </c>
    </row>
    <row r="1959" spans="1:3" ht="12.9" customHeight="1">
      <c r="A1959" s="381"/>
      <c r="B1959" s="381" t="s">
        <v>1397</v>
      </c>
      <c r="C1959" s="381" t="s">
        <v>7720</v>
      </c>
    </row>
    <row r="1960" spans="1:3" ht="12.9" customHeight="1">
      <c r="A1960" s="381"/>
      <c r="B1960" s="381" t="s">
        <v>3445</v>
      </c>
      <c r="C1960" s="381" t="s">
        <v>7721</v>
      </c>
    </row>
    <row r="1961" spans="1:3" ht="12.9" customHeight="1">
      <c r="A1961" s="381"/>
      <c r="B1961" s="381" t="s">
        <v>731</v>
      </c>
      <c r="C1961" s="381" t="s">
        <v>7722</v>
      </c>
    </row>
    <row r="1962" spans="1:3" ht="12.9" customHeight="1">
      <c r="A1962" s="381"/>
      <c r="B1962" s="381" t="s">
        <v>2538</v>
      </c>
      <c r="C1962" s="381" t="s">
        <v>7723</v>
      </c>
    </row>
    <row r="1963" spans="1:3" ht="12.9" customHeight="1">
      <c r="A1963" s="381"/>
      <c r="B1963" s="381" t="s">
        <v>5678</v>
      </c>
      <c r="C1963" s="381" t="s">
        <v>7724</v>
      </c>
    </row>
    <row r="1964" spans="1:3" ht="12.9" customHeight="1">
      <c r="A1964" s="381"/>
      <c r="B1964" s="381" t="s">
        <v>3166</v>
      </c>
      <c r="C1964" s="381" t="s">
        <v>7725</v>
      </c>
    </row>
    <row r="1965" spans="1:3" ht="12.9" customHeight="1">
      <c r="A1965" s="381"/>
      <c r="B1965" s="381" t="s">
        <v>3167</v>
      </c>
      <c r="C1965" s="381" t="s">
        <v>7726</v>
      </c>
    </row>
    <row r="1966" spans="1:3" ht="12.9" customHeight="1">
      <c r="A1966" s="381"/>
      <c r="B1966" s="381" t="s">
        <v>3971</v>
      </c>
      <c r="C1966" s="381" t="s">
        <v>7727</v>
      </c>
    </row>
    <row r="1967" spans="1:3" ht="12.9" customHeight="1">
      <c r="A1967" s="381"/>
      <c r="B1967" s="381" t="s">
        <v>3972</v>
      </c>
      <c r="C1967" s="381" t="s">
        <v>7728</v>
      </c>
    </row>
    <row r="1968" spans="1:3" ht="12.9" customHeight="1">
      <c r="A1968" s="381"/>
      <c r="B1968" s="381" t="s">
        <v>307</v>
      </c>
      <c r="C1968" s="381" t="s">
        <v>7729</v>
      </c>
    </row>
    <row r="1969" spans="1:3" ht="12.9" customHeight="1">
      <c r="A1969" s="381"/>
      <c r="B1969" s="381" t="s">
        <v>5150</v>
      </c>
      <c r="C1969" s="381" t="s">
        <v>7730</v>
      </c>
    </row>
    <row r="1970" spans="1:3" ht="12.9" customHeight="1">
      <c r="A1970" s="381"/>
      <c r="B1970" s="381" t="s">
        <v>5151</v>
      </c>
      <c r="C1970" s="381" t="s">
        <v>7731</v>
      </c>
    </row>
    <row r="1971" spans="1:3" ht="12.9" customHeight="1">
      <c r="A1971" s="381"/>
      <c r="B1971" s="381" t="s">
        <v>5152</v>
      </c>
      <c r="C1971" s="381" t="s">
        <v>7732</v>
      </c>
    </row>
    <row r="1972" spans="1:3" ht="12.9" customHeight="1">
      <c r="A1972" s="381"/>
      <c r="B1972" s="381" t="s">
        <v>4208</v>
      </c>
      <c r="C1972" s="381" t="s">
        <v>7733</v>
      </c>
    </row>
    <row r="1973" spans="1:3" ht="12.9" customHeight="1">
      <c r="A1973" s="381"/>
      <c r="B1973" s="381" t="s">
        <v>4209</v>
      </c>
      <c r="C1973" s="381" t="s">
        <v>7734</v>
      </c>
    </row>
    <row r="1974" spans="1:3" ht="12.9" customHeight="1">
      <c r="A1974" s="381"/>
      <c r="B1974" s="381" t="s">
        <v>4158</v>
      </c>
      <c r="C1974" s="381" t="s">
        <v>7735</v>
      </c>
    </row>
    <row r="1975" spans="1:3" ht="12.9" customHeight="1">
      <c r="A1975" s="381"/>
      <c r="B1975" s="381" t="s">
        <v>4695</v>
      </c>
      <c r="C1975" s="381" t="s">
        <v>7736</v>
      </c>
    </row>
    <row r="1976" spans="1:3" ht="12.9" customHeight="1">
      <c r="A1976" s="381"/>
      <c r="B1976" s="381" t="s">
        <v>3994</v>
      </c>
      <c r="C1976" s="381" t="s">
        <v>7737</v>
      </c>
    </row>
    <row r="1977" spans="1:3" ht="12.9" customHeight="1">
      <c r="A1977" s="381"/>
      <c r="B1977" s="381" t="s">
        <v>3995</v>
      </c>
      <c r="C1977" s="381" t="s">
        <v>7738</v>
      </c>
    </row>
    <row r="1978" spans="1:3" ht="12.9" customHeight="1">
      <c r="A1978" s="381"/>
      <c r="B1978" s="381" t="s">
        <v>120</v>
      </c>
      <c r="C1978" s="381" t="s">
        <v>7739</v>
      </c>
    </row>
    <row r="1979" spans="1:3" ht="12.9" customHeight="1">
      <c r="A1979" s="381"/>
      <c r="B1979" s="381" t="s">
        <v>4937</v>
      </c>
      <c r="C1979" s="381" t="s">
        <v>7740</v>
      </c>
    </row>
    <row r="1980" spans="1:3" ht="12.9" customHeight="1">
      <c r="A1980" s="381"/>
      <c r="B1980" s="381" t="s">
        <v>3926</v>
      </c>
      <c r="C1980" s="381" t="s">
        <v>7741</v>
      </c>
    </row>
    <row r="1981" spans="1:3" ht="12.9" customHeight="1">
      <c r="A1981" s="381"/>
      <c r="B1981" s="381" t="s">
        <v>5033</v>
      </c>
      <c r="C1981" s="381" t="s">
        <v>7742</v>
      </c>
    </row>
    <row r="1982" spans="1:3" ht="12.9" customHeight="1">
      <c r="A1982" s="381"/>
      <c r="B1982" s="381" t="s">
        <v>4326</v>
      </c>
      <c r="C1982" s="381" t="s">
        <v>7743</v>
      </c>
    </row>
    <row r="1983" spans="1:3" ht="12.9" customHeight="1">
      <c r="A1983" s="381"/>
      <c r="B1983" s="381" t="s">
        <v>652</v>
      </c>
      <c r="C1983" s="381" t="s">
        <v>7744</v>
      </c>
    </row>
    <row r="1984" spans="1:3" ht="12.9" customHeight="1">
      <c r="A1984" s="381"/>
      <c r="B1984" s="381" t="s">
        <v>4754</v>
      </c>
      <c r="C1984" s="381" t="s">
        <v>7745</v>
      </c>
    </row>
    <row r="1985" spans="1:3" ht="12.9" customHeight="1">
      <c r="A1985" s="381"/>
      <c r="B1985" s="381" t="s">
        <v>2665</v>
      </c>
      <c r="C1985" s="381" t="s">
        <v>7746</v>
      </c>
    </row>
    <row r="1986" spans="1:3" ht="12.9" customHeight="1">
      <c r="A1986" s="381"/>
      <c r="B1986" s="381" t="s">
        <v>3569</v>
      </c>
      <c r="C1986" s="381" t="s">
        <v>7747</v>
      </c>
    </row>
    <row r="1987" spans="1:3" ht="12.9" customHeight="1">
      <c r="A1987" s="381"/>
      <c r="B1987" s="381" t="s">
        <v>3570</v>
      </c>
      <c r="C1987" s="381" t="s">
        <v>7748</v>
      </c>
    </row>
    <row r="1988" spans="1:3" ht="12.9" customHeight="1">
      <c r="A1988" s="381"/>
      <c r="B1988" s="381" t="s">
        <v>4767</v>
      </c>
      <c r="C1988" s="381" t="s">
        <v>7749</v>
      </c>
    </row>
    <row r="1989" spans="1:3" ht="12.9" customHeight="1">
      <c r="A1989" s="381"/>
      <c r="B1989" s="381" t="s">
        <v>3701</v>
      </c>
      <c r="C1989" s="381" t="s">
        <v>7750</v>
      </c>
    </row>
    <row r="1990" spans="1:3" ht="12.9" customHeight="1">
      <c r="A1990" s="381"/>
      <c r="B1990" s="381" t="s">
        <v>1592</v>
      </c>
      <c r="C1990" s="381" t="s">
        <v>7751</v>
      </c>
    </row>
    <row r="1991" spans="1:3" ht="12.9" customHeight="1">
      <c r="A1991" s="381"/>
      <c r="B1991" s="381" t="s">
        <v>4440</v>
      </c>
      <c r="C1991" s="381" t="s">
        <v>7752</v>
      </c>
    </row>
    <row r="1992" spans="1:3" ht="12.9" customHeight="1">
      <c r="A1992" s="381"/>
      <c r="B1992" s="381" t="s">
        <v>562</v>
      </c>
      <c r="C1992" s="381" t="s">
        <v>7753</v>
      </c>
    </row>
    <row r="1993" spans="1:3" ht="12.9" customHeight="1">
      <c r="A1993" s="381"/>
      <c r="B1993" s="381" t="s">
        <v>426</v>
      </c>
      <c r="C1993" s="381" t="s">
        <v>7754</v>
      </c>
    </row>
    <row r="1994" spans="1:3" ht="12.9" customHeight="1">
      <c r="A1994" s="381"/>
      <c r="B1994" s="381" t="s">
        <v>5217</v>
      </c>
      <c r="C1994" s="381" t="s">
        <v>7755</v>
      </c>
    </row>
    <row r="1995" spans="1:3" ht="12.9" customHeight="1">
      <c r="A1995" s="381"/>
      <c r="B1995" s="381" t="s">
        <v>3517</v>
      </c>
      <c r="C1995" s="381" t="s">
        <v>7756</v>
      </c>
    </row>
    <row r="1996" spans="1:3" ht="12.9" customHeight="1">
      <c r="A1996" s="381"/>
      <c r="B1996" s="381" t="s">
        <v>1798</v>
      </c>
      <c r="C1996" s="381" t="s">
        <v>7757</v>
      </c>
    </row>
    <row r="1997" spans="1:3" ht="12.9" customHeight="1">
      <c r="A1997" s="381"/>
      <c r="B1997" s="381"/>
      <c r="C1997" s="381" t="s">
        <v>7758</v>
      </c>
    </row>
    <row r="1998" spans="1:3" ht="12.9" customHeight="1">
      <c r="A1998" s="381"/>
      <c r="B1998" s="381"/>
      <c r="C1998" s="381" t="s">
        <v>7759</v>
      </c>
    </row>
    <row r="1999" spans="1:3" ht="12.9" customHeight="1">
      <c r="A1999" s="381"/>
      <c r="B1999" s="381"/>
      <c r="C1999" s="381" t="s">
        <v>7760</v>
      </c>
    </row>
    <row r="2000" spans="1:3" ht="12.9" customHeight="1">
      <c r="A2000" s="381"/>
      <c r="B2000" s="381"/>
      <c r="C2000" s="381" t="s">
        <v>7761</v>
      </c>
    </row>
    <row r="2001" spans="1:3" ht="12.9" customHeight="1">
      <c r="A2001" s="381"/>
      <c r="B2001" s="381"/>
      <c r="C2001" s="381" t="s">
        <v>7762</v>
      </c>
    </row>
    <row r="2002" spans="1:3" ht="12.9" customHeight="1">
      <c r="A2002" s="381"/>
      <c r="B2002" s="381"/>
      <c r="C2002" s="442" t="s">
        <v>7763</v>
      </c>
    </row>
    <row r="2003" spans="1:3" ht="12.9" customHeight="1">
      <c r="A2003" s="381"/>
      <c r="B2003" s="381"/>
      <c r="C2003" s="381" t="s">
        <v>7764</v>
      </c>
    </row>
    <row r="2004" spans="1:3" ht="12.9" customHeight="1">
      <c r="A2004" s="381"/>
      <c r="B2004" s="381"/>
      <c r="C2004" s="381" t="s">
        <v>7765</v>
      </c>
    </row>
    <row r="2005" spans="1:3" ht="12.9" customHeight="1">
      <c r="A2005" s="381"/>
      <c r="B2005" s="381" t="s">
        <v>5987</v>
      </c>
      <c r="C2005" s="381" t="s">
        <v>7766</v>
      </c>
    </row>
    <row r="2006" spans="1:3" ht="12.9" customHeight="1">
      <c r="A2006" s="381"/>
      <c r="B2006" s="381"/>
      <c r="C2006" s="381" t="s">
        <v>7767</v>
      </c>
    </row>
    <row r="2007" spans="1:3" ht="12.9" customHeight="1">
      <c r="A2007" s="381"/>
      <c r="B2007" s="381"/>
      <c r="C2007" s="381" t="s">
        <v>7768</v>
      </c>
    </row>
    <row r="2008" spans="1:3" ht="12.9" customHeight="1">
      <c r="A2008" s="381"/>
      <c r="B2008" s="381"/>
      <c r="C2008" s="381" t="s">
        <v>7769</v>
      </c>
    </row>
    <row r="2009" spans="1:3" ht="12.9" customHeight="1">
      <c r="A2009" s="381"/>
      <c r="B2009" s="381"/>
      <c r="C2009" s="381" t="s">
        <v>7770</v>
      </c>
    </row>
    <row r="2010" spans="1:3" ht="12.9" customHeight="1">
      <c r="A2010" s="381"/>
      <c r="B2010" s="381" t="s">
        <v>3292</v>
      </c>
      <c r="C2010" s="381" t="s">
        <v>7771</v>
      </c>
    </row>
    <row r="2011" spans="1:3" ht="12.9" customHeight="1">
      <c r="A2011" s="381"/>
      <c r="B2011" s="381" t="s">
        <v>1247</v>
      </c>
      <c r="C2011" s="381" t="s">
        <v>7772</v>
      </c>
    </row>
    <row r="2012" spans="1:3" ht="12.9" customHeight="1">
      <c r="A2012" s="381"/>
      <c r="B2012" s="381" t="s">
        <v>5893</v>
      </c>
      <c r="C2012" s="381" t="s">
        <v>7773</v>
      </c>
    </row>
    <row r="2013" spans="1:3" ht="12.9" customHeight="1">
      <c r="A2013" s="381"/>
      <c r="B2013" s="381"/>
      <c r="C2013" s="381" t="s">
        <v>7774</v>
      </c>
    </row>
    <row r="2014" spans="1:3" ht="12.9" customHeight="1">
      <c r="A2014" s="381"/>
      <c r="B2014" s="381"/>
      <c r="C2014" s="381" t="s">
        <v>7775</v>
      </c>
    </row>
    <row r="2015" spans="1:3" ht="12.9" customHeight="1">
      <c r="A2015" s="381"/>
      <c r="B2015" s="381" t="s">
        <v>2539</v>
      </c>
      <c r="C2015" s="381" t="s">
        <v>7776</v>
      </c>
    </row>
    <row r="2016" spans="1:3" ht="12.9" customHeight="1">
      <c r="A2016" s="381"/>
      <c r="B2016" s="381"/>
      <c r="C2016" s="381" t="s">
        <v>7777</v>
      </c>
    </row>
    <row r="2017" spans="1:3" ht="12.9" customHeight="1">
      <c r="A2017" s="381"/>
      <c r="B2017" s="381" t="s">
        <v>3973</v>
      </c>
      <c r="C2017" s="381" t="s">
        <v>7778</v>
      </c>
    </row>
    <row r="2018" spans="1:3" ht="12.9" customHeight="1">
      <c r="A2018" s="381"/>
      <c r="B2018" s="381"/>
      <c r="C2018" s="381" t="s">
        <v>7779</v>
      </c>
    </row>
    <row r="2019" spans="1:3" ht="12.9" customHeight="1">
      <c r="A2019" s="381"/>
      <c r="B2019" s="381"/>
      <c r="C2019" s="381" t="s">
        <v>7780</v>
      </c>
    </row>
    <row r="2020" spans="1:3" ht="12.9" customHeight="1">
      <c r="A2020" s="381"/>
      <c r="B2020" s="381"/>
      <c r="C2020" s="381" t="s">
        <v>7781</v>
      </c>
    </row>
    <row r="2021" spans="1:3" ht="12.9" customHeight="1">
      <c r="A2021" s="381"/>
      <c r="B2021" s="381"/>
      <c r="C2021" s="381" t="s">
        <v>7782</v>
      </c>
    </row>
    <row r="2022" spans="1:3" ht="12.9" customHeight="1">
      <c r="A2022" s="381"/>
      <c r="B2022" s="381"/>
      <c r="C2022" t="s">
        <v>7783</v>
      </c>
    </row>
    <row r="2023" spans="1:3" ht="12.9" customHeight="1">
      <c r="A2023" s="381"/>
      <c r="B2023" s="381" t="s">
        <v>3775</v>
      </c>
      <c r="C2023" s="381" t="s">
        <v>7784</v>
      </c>
    </row>
    <row r="2024" spans="1:3" ht="12.9" customHeight="1">
      <c r="A2024" s="381"/>
      <c r="B2024" s="381" t="s">
        <v>4441</v>
      </c>
      <c r="C2024" s="381" t="s">
        <v>7785</v>
      </c>
    </row>
    <row r="2025" spans="1:3" ht="12.9" customHeight="1">
      <c r="A2025" s="381"/>
      <c r="B2025" s="381"/>
      <c r="C2025" s="381" t="s">
        <v>7786</v>
      </c>
    </row>
    <row r="2026" spans="1:3" ht="12.9" customHeight="1">
      <c r="A2026" s="381"/>
      <c r="B2026" s="381" t="s">
        <v>6012</v>
      </c>
      <c r="C2026" s="381" t="s">
        <v>7787</v>
      </c>
    </row>
    <row r="2027" spans="1:3" ht="12.9" customHeight="1">
      <c r="A2027" s="381"/>
      <c r="B2027" s="381"/>
      <c r="C2027" s="381" t="s">
        <v>7788</v>
      </c>
    </row>
    <row r="2028" spans="1:3" ht="12.9" customHeight="1">
      <c r="A2028" s="381"/>
      <c r="B2028" s="381"/>
      <c r="C2028" s="381" t="s">
        <v>7789</v>
      </c>
    </row>
    <row r="2029" spans="1:3" ht="12.9" customHeight="1">
      <c r="A2029" s="381"/>
      <c r="B2029" s="381"/>
      <c r="C2029" s="381" t="s">
        <v>7790</v>
      </c>
    </row>
    <row r="2030" spans="1:3" ht="12.9" customHeight="1">
      <c r="A2030" s="381"/>
      <c r="B2030" s="381"/>
      <c r="C2030" s="381" t="s">
        <v>7791</v>
      </c>
    </row>
    <row r="2031" spans="1:3" ht="12.9" customHeight="1">
      <c r="A2031" s="381"/>
      <c r="B2031" s="381"/>
      <c r="C2031" s="381" t="s">
        <v>7792</v>
      </c>
    </row>
    <row r="2032" spans="1:3" ht="12.9" customHeight="1">
      <c r="A2032" s="381"/>
      <c r="B2032" s="381"/>
      <c r="C2032" s="381" t="s">
        <v>7793</v>
      </c>
    </row>
    <row r="2033" spans="1:3" ht="12.9" customHeight="1">
      <c r="A2033" s="381"/>
      <c r="B2033" s="381"/>
      <c r="C2033" s="381" t="s">
        <v>7794</v>
      </c>
    </row>
    <row r="2034" spans="1:3" ht="12.9" customHeight="1">
      <c r="A2034" s="381"/>
      <c r="B2034" s="381"/>
      <c r="C2034" s="381" t="s">
        <v>7795</v>
      </c>
    </row>
    <row r="2035" spans="1:3" ht="12.9" customHeight="1">
      <c r="A2035" s="381"/>
      <c r="B2035" s="381"/>
      <c r="C2035" s="381" t="s">
        <v>7796</v>
      </c>
    </row>
    <row r="2036" spans="1:3" ht="12.9" customHeight="1">
      <c r="A2036" s="381"/>
      <c r="B2036" s="381"/>
      <c r="C2036" s="381" t="s">
        <v>7797</v>
      </c>
    </row>
    <row r="2037" spans="1:3" ht="12.9" customHeight="1">
      <c r="A2037" s="381"/>
      <c r="B2037" s="381"/>
      <c r="C2037" s="381" t="s">
        <v>7798</v>
      </c>
    </row>
    <row r="2038" spans="1:3" ht="12.9" customHeight="1">
      <c r="A2038" s="381"/>
      <c r="B2038" s="381" t="s">
        <v>1042</v>
      </c>
      <c r="C2038" s="381" t="s">
        <v>7799</v>
      </c>
    </row>
    <row r="2039" spans="1:3" ht="12.9" customHeight="1">
      <c r="A2039" s="381"/>
      <c r="B2039" s="381"/>
      <c r="C2039" s="381" t="s">
        <v>7800</v>
      </c>
    </row>
    <row r="2040" spans="1:3" ht="12.9" customHeight="1">
      <c r="A2040" s="381"/>
      <c r="B2040" s="381"/>
      <c r="C2040" s="381" t="s">
        <v>7801</v>
      </c>
    </row>
    <row r="2041" spans="1:3" ht="12.9" customHeight="1">
      <c r="A2041" s="381"/>
      <c r="B2041" s="381" t="s">
        <v>1336</v>
      </c>
      <c r="C2041" s="381" t="s">
        <v>7802</v>
      </c>
    </row>
    <row r="2042" spans="1:3" ht="12.9" customHeight="1">
      <c r="A2042" s="381"/>
      <c r="B2042" s="381"/>
      <c r="C2042" s="381" t="s">
        <v>7803</v>
      </c>
    </row>
    <row r="2043" spans="1:3" ht="12.9" customHeight="1">
      <c r="A2043" s="381"/>
      <c r="B2043" s="381"/>
      <c r="C2043" s="381" t="s">
        <v>7804</v>
      </c>
    </row>
    <row r="2044" spans="1:3" ht="12.9" customHeight="1">
      <c r="A2044" s="381"/>
      <c r="B2044" s="381"/>
      <c r="C2044" s="442" t="s">
        <v>7805</v>
      </c>
    </row>
    <row r="2045" spans="1:3" ht="12.9" customHeight="1">
      <c r="A2045" s="381"/>
      <c r="B2045" s="381"/>
      <c r="C2045" s="381" t="s">
        <v>7806</v>
      </c>
    </row>
    <row r="2046" spans="1:3" ht="12.9" customHeight="1">
      <c r="A2046" s="381"/>
      <c r="B2046" s="381"/>
      <c r="C2046" s="381" t="s">
        <v>7807</v>
      </c>
    </row>
    <row r="2047" spans="1:3" ht="12.9" customHeight="1">
      <c r="A2047" s="381"/>
      <c r="B2047" s="381"/>
      <c r="C2047" s="381" t="s">
        <v>7808</v>
      </c>
    </row>
    <row r="2048" spans="1:3" ht="12.9" customHeight="1">
      <c r="A2048" s="381"/>
      <c r="B2048" s="381"/>
      <c r="C2048" s="381" t="s">
        <v>7809</v>
      </c>
    </row>
    <row r="2049" spans="1:3" ht="12.9" customHeight="1">
      <c r="A2049" s="381"/>
      <c r="B2049" s="381"/>
      <c r="C2049" s="442" t="s">
        <v>7810</v>
      </c>
    </row>
    <row r="2050" spans="1:3" ht="12.9" customHeight="1">
      <c r="A2050" s="381"/>
      <c r="B2050" s="381" t="s">
        <v>4464</v>
      </c>
      <c r="C2050" s="381" t="s">
        <v>3639</v>
      </c>
    </row>
    <row r="2051" spans="1:3" ht="12.9" customHeight="1">
      <c r="A2051" s="381"/>
      <c r="B2051" s="381"/>
      <c r="C2051" s="381" t="s">
        <v>7811</v>
      </c>
    </row>
    <row r="2052" spans="1:3" ht="12.9" customHeight="1">
      <c r="A2052" s="381"/>
      <c r="B2052" s="381"/>
      <c r="C2052" s="381" t="s">
        <v>1772</v>
      </c>
    </row>
    <row r="2053" spans="1:3" ht="12.9" customHeight="1">
      <c r="A2053" s="381"/>
      <c r="B2053" s="381"/>
      <c r="C2053" s="381" t="s">
        <v>7812</v>
      </c>
    </row>
    <row r="2054" spans="1:3" ht="12.9" customHeight="1">
      <c r="A2054" s="381"/>
      <c r="B2054" s="381"/>
      <c r="C2054" s="381" t="s">
        <v>7813</v>
      </c>
    </row>
    <row r="2055" spans="1:3" ht="12.9" customHeight="1">
      <c r="A2055" s="381"/>
      <c r="B2055" s="381" t="s">
        <v>4350</v>
      </c>
      <c r="C2055" s="381" t="s">
        <v>7814</v>
      </c>
    </row>
    <row r="2056" spans="1:3" ht="12.9" customHeight="1">
      <c r="A2056" s="381"/>
      <c r="B2056" s="381" t="s">
        <v>4356</v>
      </c>
      <c r="C2056" s="381" t="s">
        <v>7815</v>
      </c>
    </row>
    <row r="2057" spans="1:3" ht="12.9" customHeight="1">
      <c r="A2057" s="381"/>
      <c r="B2057" s="381"/>
      <c r="C2057" s="381" t="s">
        <v>7816</v>
      </c>
    </row>
    <row r="2058" spans="1:3" ht="12.9" customHeight="1">
      <c r="A2058" s="381"/>
      <c r="B2058" s="381" t="s">
        <v>4752</v>
      </c>
      <c r="C2058" s="381" t="s">
        <v>7817</v>
      </c>
    </row>
    <row r="2059" spans="1:3" ht="12.9" customHeight="1">
      <c r="A2059" s="381"/>
      <c r="B2059" s="381"/>
      <c r="C2059" s="381" t="s">
        <v>7818</v>
      </c>
    </row>
    <row r="2060" spans="1:3" ht="12.9" customHeight="1">
      <c r="A2060" s="381"/>
      <c r="B2060" s="381"/>
      <c r="C2060" s="381" t="s">
        <v>7819</v>
      </c>
    </row>
    <row r="2061" spans="1:3" ht="12.9" customHeight="1">
      <c r="A2061" s="381"/>
      <c r="B2061" s="381"/>
      <c r="C2061" s="381" t="s">
        <v>7820</v>
      </c>
    </row>
    <row r="2062" spans="1:3" ht="12.9" customHeight="1">
      <c r="A2062" s="381"/>
      <c r="B2062" s="381" t="s">
        <v>1124</v>
      </c>
      <c r="C2062" s="381" t="s">
        <v>7821</v>
      </c>
    </row>
    <row r="2063" spans="1:3" ht="12.9" customHeight="1">
      <c r="A2063" s="381"/>
      <c r="B2063" s="381"/>
      <c r="C2063" s="381" t="s">
        <v>7518</v>
      </c>
    </row>
    <row r="2064" spans="1:3" ht="12.9" customHeight="1">
      <c r="A2064" s="381"/>
      <c r="B2064" s="381"/>
      <c r="C2064" s="381" t="s">
        <v>7519</v>
      </c>
    </row>
    <row r="2065" spans="1:3" ht="12.9" customHeight="1">
      <c r="A2065" s="381"/>
      <c r="B2065" s="381" t="s">
        <v>3640</v>
      </c>
      <c r="C2065" s="381" t="s">
        <v>7520</v>
      </c>
    </row>
    <row r="2066" spans="1:3" ht="12.9" customHeight="1">
      <c r="A2066" s="381"/>
      <c r="B2066" s="381" t="s">
        <v>254</v>
      </c>
      <c r="C2066" s="381" t="s">
        <v>7521</v>
      </c>
    </row>
    <row r="2067" spans="1:3" ht="12.9" customHeight="1">
      <c r="A2067" s="381"/>
      <c r="B2067" s="381"/>
      <c r="C2067" s="381" t="s">
        <v>7522</v>
      </c>
    </row>
    <row r="2068" spans="1:3" ht="12.9" customHeight="1">
      <c r="A2068" s="381"/>
      <c r="B2068" s="381"/>
      <c r="C2068" s="381" t="s">
        <v>7523</v>
      </c>
    </row>
    <row r="2069" spans="1:3" ht="12.9" customHeight="1">
      <c r="A2069" s="381"/>
      <c r="B2069" s="381"/>
      <c r="C2069" s="381" t="s">
        <v>7524</v>
      </c>
    </row>
    <row r="2070" spans="1:3" ht="12.9" customHeight="1">
      <c r="A2070" s="381"/>
      <c r="B2070" s="381"/>
      <c r="C2070" s="381" t="s">
        <v>7525</v>
      </c>
    </row>
    <row r="2071" spans="1:3" ht="12.9" customHeight="1">
      <c r="A2071" s="381"/>
      <c r="B2071" s="381"/>
      <c r="C2071" s="381" t="s">
        <v>7526</v>
      </c>
    </row>
    <row r="2072" spans="1:3" ht="12.9" customHeight="1">
      <c r="A2072" s="381"/>
      <c r="B2072" s="381" t="s">
        <v>2868</v>
      </c>
      <c r="C2072" s="381" t="s">
        <v>7527</v>
      </c>
    </row>
    <row r="2073" spans="1:3" ht="12.9" customHeight="1">
      <c r="A2073" s="381"/>
      <c r="B2073" s="381" t="s">
        <v>1820</v>
      </c>
      <c r="C2073" s="381" t="s">
        <v>7528</v>
      </c>
    </row>
    <row r="2074" spans="1:3" ht="12.9" customHeight="1">
      <c r="A2074" s="381"/>
      <c r="B2074" s="381"/>
      <c r="C2074" s="442" t="s">
        <v>7822</v>
      </c>
    </row>
    <row r="2075" spans="1:3" ht="12.9" customHeight="1">
      <c r="A2075" s="381"/>
      <c r="B2075" s="381" t="s">
        <v>1821</v>
      </c>
      <c r="C2075" s="381" t="s">
        <v>7823</v>
      </c>
    </row>
    <row r="2076" spans="1:3" ht="12.9" customHeight="1">
      <c r="A2076" s="381"/>
      <c r="B2076" s="381" t="s">
        <v>4442</v>
      </c>
      <c r="C2076" s="381" t="s">
        <v>7824</v>
      </c>
    </row>
    <row r="2077" spans="1:3" ht="12.9" customHeight="1">
      <c r="A2077" s="381"/>
      <c r="B2077" s="381"/>
      <c r="C2077" s="381" t="s">
        <v>7825</v>
      </c>
    </row>
    <row r="2078" spans="1:3" ht="12.9" customHeight="1">
      <c r="A2078" s="381"/>
      <c r="B2078" s="381"/>
      <c r="C2078" s="381" t="s">
        <v>7826</v>
      </c>
    </row>
    <row r="2079" spans="1:3" ht="12.9" customHeight="1">
      <c r="A2079" s="381"/>
      <c r="B2079" s="381" t="s">
        <v>4730</v>
      </c>
      <c r="C2079" s="381" t="s">
        <v>7827</v>
      </c>
    </row>
    <row r="2080" spans="1:3" ht="12.9" customHeight="1">
      <c r="A2080" s="381"/>
      <c r="B2080" s="381" t="s">
        <v>1248</v>
      </c>
      <c r="C2080" s="381" t="s">
        <v>7828</v>
      </c>
    </row>
    <row r="2081" spans="1:3" ht="12.9" customHeight="1">
      <c r="A2081" s="381"/>
      <c r="B2081" s="381" t="s">
        <v>4348</v>
      </c>
      <c r="C2081" s="381" t="s">
        <v>7829</v>
      </c>
    </row>
    <row r="2082" spans="1:3" ht="12.9" customHeight="1">
      <c r="A2082" s="381"/>
      <c r="B2082" s="381" t="s">
        <v>4349</v>
      </c>
      <c r="C2082" s="381" t="s">
        <v>7830</v>
      </c>
    </row>
    <row r="2083" spans="1:3" ht="12.9" customHeight="1">
      <c r="A2083" s="381"/>
      <c r="B2083" s="381"/>
      <c r="C2083" s="381" t="s">
        <v>7831</v>
      </c>
    </row>
    <row r="2084" spans="1:3" ht="12.9" customHeight="1">
      <c r="A2084" s="381"/>
      <c r="B2084" s="381"/>
      <c r="C2084" s="381" t="s">
        <v>7832</v>
      </c>
    </row>
    <row r="2085" spans="1:3" ht="12.9" customHeight="1">
      <c r="A2085" s="381"/>
      <c r="B2085" s="381"/>
      <c r="C2085" s="381" t="s">
        <v>7833</v>
      </c>
    </row>
    <row r="2086" spans="1:3" ht="12.9" customHeight="1">
      <c r="A2086" s="381"/>
      <c r="B2086" s="381"/>
      <c r="C2086" s="381" t="s">
        <v>7834</v>
      </c>
    </row>
    <row r="2087" spans="1:3" ht="12.9" customHeight="1">
      <c r="A2087" s="381"/>
      <c r="B2087" s="381"/>
      <c r="C2087" s="381" t="s">
        <v>7835</v>
      </c>
    </row>
    <row r="2088" spans="1:3" ht="12.9" customHeight="1">
      <c r="A2088" s="381"/>
      <c r="B2088" s="381"/>
      <c r="C2088" s="381" t="s">
        <v>7836</v>
      </c>
    </row>
    <row r="2089" spans="1:3" ht="12.9" customHeight="1">
      <c r="A2089" s="381"/>
      <c r="B2089" s="381"/>
      <c r="C2089" s="381" t="s">
        <v>7837</v>
      </c>
    </row>
    <row r="2090" spans="1:3" ht="12.9" customHeight="1">
      <c r="A2090" s="381"/>
      <c r="B2090" s="381"/>
      <c r="C2090" s="381" t="s">
        <v>7838</v>
      </c>
    </row>
    <row r="2091" spans="1:3" ht="12.9" customHeight="1">
      <c r="A2091" s="381"/>
      <c r="B2091" s="381" t="s">
        <v>5962</v>
      </c>
      <c r="C2091" s="381" t="s">
        <v>7839</v>
      </c>
    </row>
    <row r="2092" spans="1:3" ht="12.9" customHeight="1">
      <c r="A2092" s="381"/>
      <c r="B2092" s="381"/>
      <c r="C2092" s="381" t="s">
        <v>7840</v>
      </c>
    </row>
    <row r="2093" spans="1:3" ht="12.9" customHeight="1">
      <c r="A2093" s="381"/>
      <c r="B2093" s="381"/>
      <c r="C2093" s="381" t="s">
        <v>7841</v>
      </c>
    </row>
    <row r="2094" spans="1:3" ht="12.9" customHeight="1">
      <c r="A2094" s="381"/>
      <c r="B2094" s="381"/>
      <c r="C2094" s="381" t="s">
        <v>7842</v>
      </c>
    </row>
    <row r="2095" spans="1:3" ht="12.9" customHeight="1">
      <c r="A2095" s="381"/>
      <c r="B2095" s="381"/>
      <c r="C2095" s="381" t="s">
        <v>7843</v>
      </c>
    </row>
    <row r="2096" spans="1:3" ht="12.9" customHeight="1">
      <c r="A2096" s="381"/>
      <c r="B2096" s="381" t="s">
        <v>3869</v>
      </c>
      <c r="C2096" s="381" t="s">
        <v>7844</v>
      </c>
    </row>
    <row r="2097" spans="1:3" ht="12.9" customHeight="1">
      <c r="A2097" s="381"/>
      <c r="B2097" s="381" t="s">
        <v>3870</v>
      </c>
      <c r="C2097" s="381" t="s">
        <v>7845</v>
      </c>
    </row>
    <row r="2098" spans="1:3" ht="12.9" customHeight="1">
      <c r="A2098" s="381"/>
      <c r="B2098" s="381"/>
      <c r="C2098" s="381" t="s">
        <v>1773</v>
      </c>
    </row>
    <row r="2099" spans="1:3" ht="12.9" customHeight="1">
      <c r="A2099" s="381"/>
      <c r="B2099" s="381"/>
      <c r="C2099" s="381" t="s">
        <v>7846</v>
      </c>
    </row>
    <row r="2100" spans="1:3" ht="12.9" customHeight="1">
      <c r="A2100" s="381"/>
      <c r="B2100" s="381"/>
      <c r="C2100" s="381" t="s">
        <v>7847</v>
      </c>
    </row>
    <row r="2101" spans="1:3" ht="12.9" customHeight="1">
      <c r="A2101" s="381"/>
      <c r="B2101" s="381"/>
      <c r="C2101" s="381" t="s">
        <v>7848</v>
      </c>
    </row>
    <row r="2102" spans="1:3" ht="12.9" customHeight="1">
      <c r="A2102" s="381"/>
      <c r="B2102" s="381"/>
      <c r="C2102" s="381" t="s">
        <v>7849</v>
      </c>
    </row>
    <row r="2103" spans="1:3" ht="12.9" customHeight="1">
      <c r="A2103" s="381"/>
      <c r="B2103" s="381"/>
      <c r="C2103" s="381" t="s">
        <v>7850</v>
      </c>
    </row>
    <row r="2104" spans="1:3" ht="12.9" customHeight="1">
      <c r="A2104" s="381"/>
      <c r="B2104" s="381"/>
      <c r="C2104" s="381" t="s">
        <v>7851</v>
      </c>
    </row>
    <row r="2105" spans="1:3" ht="12.9" customHeight="1">
      <c r="A2105" s="381"/>
      <c r="B2105" s="381"/>
      <c r="C2105" s="381" t="s">
        <v>7852</v>
      </c>
    </row>
    <row r="2106" spans="1:3" ht="12.9" customHeight="1">
      <c r="A2106" s="381"/>
      <c r="B2106" s="381" t="s">
        <v>3025</v>
      </c>
      <c r="C2106" s="381" t="s">
        <v>7857</v>
      </c>
    </row>
    <row r="2107" spans="1:3" ht="12.9" customHeight="1">
      <c r="A2107" s="381"/>
      <c r="B2107" s="381"/>
      <c r="C2107" s="381" t="s">
        <v>7858</v>
      </c>
    </row>
    <row r="2108" spans="1:3" ht="12.9" customHeight="1">
      <c r="A2108" s="381"/>
      <c r="B2108" s="381"/>
      <c r="C2108" s="381" t="s">
        <v>7859</v>
      </c>
    </row>
    <row r="2109" spans="1:3" ht="12.9" customHeight="1">
      <c r="A2109" s="381"/>
      <c r="B2109" s="381"/>
      <c r="C2109" s="381" t="s">
        <v>7860</v>
      </c>
    </row>
    <row r="2110" spans="1:3" ht="12.9" customHeight="1">
      <c r="A2110" s="381"/>
      <c r="B2110" s="381"/>
      <c r="C2110" s="381" t="s">
        <v>7861</v>
      </c>
    </row>
    <row r="2111" spans="1:3" ht="12.9" customHeight="1">
      <c r="A2111" s="381"/>
      <c r="B2111" s="381"/>
      <c r="C2111" s="381" t="s">
        <v>7862</v>
      </c>
    </row>
    <row r="2112" spans="1:3" ht="12.9" customHeight="1">
      <c r="A2112" s="381"/>
      <c r="B2112" s="381"/>
      <c r="C2112" s="381" t="s">
        <v>7863</v>
      </c>
    </row>
    <row r="2113" spans="1:3" ht="12.9" customHeight="1">
      <c r="A2113" s="381"/>
      <c r="B2113" s="381" t="s">
        <v>5961</v>
      </c>
      <c r="C2113" s="381" t="s">
        <v>7864</v>
      </c>
    </row>
    <row r="2114" spans="1:3" ht="12.9" customHeight="1">
      <c r="A2114" s="381"/>
      <c r="B2114" s="381"/>
      <c r="C2114" s="381" t="s">
        <v>7865</v>
      </c>
    </row>
    <row r="2115" spans="1:3" ht="12.9" customHeight="1">
      <c r="A2115" s="381"/>
      <c r="B2115" s="381"/>
      <c r="C2115" s="381" t="s">
        <v>7866</v>
      </c>
    </row>
    <row r="2116" spans="1:3" ht="12.9" customHeight="1">
      <c r="A2116" s="381"/>
      <c r="B2116" s="381"/>
      <c r="C2116" s="381" t="s">
        <v>7867</v>
      </c>
    </row>
    <row r="2117" spans="1:3" ht="12.9" customHeight="1">
      <c r="A2117" s="381"/>
      <c r="B2117" s="381"/>
      <c r="C2117" s="381" t="s">
        <v>7868</v>
      </c>
    </row>
    <row r="2118" spans="1:3" ht="12.9" customHeight="1">
      <c r="A2118" s="381"/>
      <c r="B2118" s="381"/>
      <c r="C2118" s="381" t="s">
        <v>7869</v>
      </c>
    </row>
    <row r="2119" spans="1:3" ht="12.9" customHeight="1">
      <c r="A2119" s="381"/>
      <c r="B2119" s="381"/>
      <c r="C2119" s="381" t="s">
        <v>7870</v>
      </c>
    </row>
    <row r="2120" spans="1:3" ht="12.9" customHeight="1">
      <c r="A2120" s="381"/>
      <c r="B2120" s="381"/>
      <c r="C2120" s="381" t="s">
        <v>7871</v>
      </c>
    </row>
    <row r="2121" spans="1:3" ht="12.9" customHeight="1">
      <c r="A2121" s="381"/>
      <c r="B2121" s="381"/>
      <c r="C2121" s="381" t="s">
        <v>7872</v>
      </c>
    </row>
    <row r="2122" spans="1:3" ht="12.9" customHeight="1">
      <c r="A2122" s="381"/>
      <c r="B2122" s="381"/>
      <c r="C2122" s="381" t="s">
        <v>7873</v>
      </c>
    </row>
    <row r="2123" spans="1:3" ht="12.9" customHeight="1">
      <c r="A2123" s="381"/>
      <c r="B2123" s="381"/>
      <c r="C2123" s="381" t="s">
        <v>7874</v>
      </c>
    </row>
    <row r="2124" spans="1:3" ht="12.9" customHeight="1">
      <c r="A2124" s="381"/>
      <c r="B2124" s="381" t="s">
        <v>3918</v>
      </c>
      <c r="C2124" s="381" t="s">
        <v>7875</v>
      </c>
    </row>
    <row r="2125" spans="1:3" ht="12.9" customHeight="1">
      <c r="A2125" s="381"/>
      <c r="B2125" s="381" t="s">
        <v>2227</v>
      </c>
      <c r="C2125" s="381" t="s">
        <v>7876</v>
      </c>
    </row>
    <row r="2126" spans="1:3" ht="12.9" customHeight="1">
      <c r="A2126" s="381"/>
      <c r="B2126" s="381" t="s">
        <v>2346</v>
      </c>
      <c r="C2126" s="381" t="s">
        <v>7877</v>
      </c>
    </row>
    <row r="2127" spans="1:3" ht="12.9" customHeight="1">
      <c r="A2127" s="381"/>
      <c r="B2127" s="381" t="s">
        <v>2347</v>
      </c>
      <c r="C2127" s="381" t="s">
        <v>7878</v>
      </c>
    </row>
    <row r="2128" spans="1:3" ht="12.9" customHeight="1">
      <c r="A2128" s="381"/>
      <c r="B2128" s="381" t="s">
        <v>5244</v>
      </c>
      <c r="C2128" s="381" t="s">
        <v>7879</v>
      </c>
    </row>
    <row r="2129" spans="1:3" ht="12.9" customHeight="1">
      <c r="A2129" s="381"/>
      <c r="B2129" s="381" t="s">
        <v>2504</v>
      </c>
      <c r="C2129" s="381" t="s">
        <v>7880</v>
      </c>
    </row>
    <row r="2130" spans="1:3" ht="12.9" customHeight="1">
      <c r="A2130" s="381"/>
      <c r="B2130" s="381" t="s">
        <v>4042</v>
      </c>
      <c r="C2130" s="381" t="s">
        <v>7881</v>
      </c>
    </row>
    <row r="2131" spans="1:3" ht="12.9" customHeight="1">
      <c r="A2131" s="381"/>
      <c r="B2131" s="381" t="s">
        <v>4043</v>
      </c>
      <c r="C2131" s="381" t="s">
        <v>7882</v>
      </c>
    </row>
    <row r="2132" spans="1:3" ht="12.9" customHeight="1">
      <c r="A2132" s="381"/>
      <c r="B2132" s="381" t="s">
        <v>4044</v>
      </c>
      <c r="C2132" s="381" t="s">
        <v>7883</v>
      </c>
    </row>
    <row r="2133" spans="1:3" ht="12.9" customHeight="1">
      <c r="A2133" s="381"/>
      <c r="B2133" s="381" t="s">
        <v>1180</v>
      </c>
      <c r="C2133" s="381" t="s">
        <v>7884</v>
      </c>
    </row>
    <row r="2134" spans="1:3" ht="12.9" customHeight="1">
      <c r="A2134" s="381"/>
      <c r="B2134" s="381" t="s">
        <v>5469</v>
      </c>
      <c r="C2134" s="381" t="s">
        <v>7885</v>
      </c>
    </row>
    <row r="2135" spans="1:3" ht="12.9" customHeight="1">
      <c r="A2135" s="381"/>
      <c r="B2135" s="381" t="s">
        <v>5092</v>
      </c>
      <c r="C2135" s="381" t="s">
        <v>7886</v>
      </c>
    </row>
    <row r="2136" spans="1:3" ht="12.9" customHeight="1">
      <c r="A2136" s="381"/>
      <c r="B2136" s="381" t="s">
        <v>5093</v>
      </c>
      <c r="C2136" s="381" t="s">
        <v>7887</v>
      </c>
    </row>
    <row r="2137" spans="1:3" ht="12.9" customHeight="1">
      <c r="A2137" s="381"/>
      <c r="B2137" s="381" t="s">
        <v>4272</v>
      </c>
      <c r="C2137" s="381" t="s">
        <v>7888</v>
      </c>
    </row>
    <row r="2138" spans="1:3" ht="12.9" customHeight="1">
      <c r="A2138" s="381"/>
      <c r="B2138" s="381" t="s">
        <v>2741</v>
      </c>
      <c r="C2138" s="381" t="s">
        <v>7889</v>
      </c>
    </row>
    <row r="2139" spans="1:3" ht="12.9" customHeight="1">
      <c r="A2139" s="381"/>
      <c r="B2139" s="381" t="s">
        <v>161</v>
      </c>
      <c r="C2139" s="381" t="s">
        <v>7890</v>
      </c>
    </row>
    <row r="2140" spans="1:3" ht="12.9" customHeight="1">
      <c r="A2140" s="381"/>
      <c r="B2140" s="381" t="s">
        <v>162</v>
      </c>
      <c r="C2140" s="381" t="s">
        <v>7891</v>
      </c>
    </row>
    <row r="2141" spans="1:3" ht="12.9" customHeight="1">
      <c r="A2141" s="381"/>
      <c r="B2141" s="381" t="s">
        <v>345</v>
      </c>
      <c r="C2141" s="381" t="s">
        <v>7892</v>
      </c>
    </row>
    <row r="2142" spans="1:3" ht="12.9" customHeight="1">
      <c r="A2142" s="381"/>
      <c r="B2142" s="381" t="s">
        <v>1378</v>
      </c>
      <c r="C2142" s="381" t="s">
        <v>7893</v>
      </c>
    </row>
    <row r="2143" spans="1:3" ht="12.9" customHeight="1">
      <c r="A2143" s="381"/>
      <c r="B2143" s="381" t="s">
        <v>1379</v>
      </c>
      <c r="C2143" s="381" t="s">
        <v>7894</v>
      </c>
    </row>
    <row r="2144" spans="1:3" ht="12.9" customHeight="1">
      <c r="A2144" s="381"/>
      <c r="B2144" s="381" t="s">
        <v>3323</v>
      </c>
      <c r="C2144" s="381" t="s">
        <v>7895</v>
      </c>
    </row>
    <row r="2145" spans="1:3" ht="12.9" customHeight="1">
      <c r="A2145" s="381"/>
      <c r="B2145" s="381" t="s">
        <v>5587</v>
      </c>
      <c r="C2145" s="381" t="s">
        <v>7896</v>
      </c>
    </row>
    <row r="2146" spans="1:3" ht="12.9" customHeight="1">
      <c r="A2146" s="381"/>
      <c r="B2146" s="381" t="s">
        <v>5588</v>
      </c>
      <c r="C2146" s="381" t="s">
        <v>7897</v>
      </c>
    </row>
    <row r="2147" spans="1:3" ht="12.9" customHeight="1">
      <c r="A2147" s="381"/>
      <c r="B2147" s="381" t="s">
        <v>5589</v>
      </c>
      <c r="C2147" s="381" t="s">
        <v>7898</v>
      </c>
    </row>
    <row r="2148" spans="1:3" ht="12.9" customHeight="1">
      <c r="A2148" s="381"/>
      <c r="B2148" s="381" t="s">
        <v>3270</v>
      </c>
      <c r="C2148" s="381" t="s">
        <v>7899</v>
      </c>
    </row>
    <row r="2149" spans="1:3" ht="12.9" customHeight="1">
      <c r="A2149" s="381"/>
      <c r="B2149" s="381" t="s">
        <v>4749</v>
      </c>
      <c r="C2149" s="381" t="s">
        <v>7900</v>
      </c>
    </row>
    <row r="2150" spans="1:3" ht="12.9" customHeight="1">
      <c r="A2150" s="381"/>
      <c r="B2150" s="381" t="s">
        <v>5304</v>
      </c>
      <c r="C2150" s="381" t="s">
        <v>7901</v>
      </c>
    </row>
    <row r="2151" spans="1:3" ht="12.9" customHeight="1">
      <c r="A2151" s="381"/>
      <c r="B2151" s="381" t="s">
        <v>5305</v>
      </c>
      <c r="C2151" s="381" t="s">
        <v>7902</v>
      </c>
    </row>
    <row r="2152" spans="1:3" ht="12.9" customHeight="1">
      <c r="A2152" s="381"/>
      <c r="B2152" s="381" t="s">
        <v>449</v>
      </c>
      <c r="C2152" s="381" t="s">
        <v>7903</v>
      </c>
    </row>
    <row r="2153" spans="1:3" ht="12.9" customHeight="1">
      <c r="A2153" s="381"/>
      <c r="B2153" s="381" t="s">
        <v>450</v>
      </c>
      <c r="C2153" s="381" t="s">
        <v>7904</v>
      </c>
    </row>
    <row r="2154" spans="1:3" ht="12.9" customHeight="1">
      <c r="A2154" s="381"/>
      <c r="B2154" s="381" t="s">
        <v>536</v>
      </c>
      <c r="C2154" s="381" t="s">
        <v>7905</v>
      </c>
    </row>
    <row r="2155" spans="1:3" ht="12.9" customHeight="1">
      <c r="A2155" s="381"/>
      <c r="B2155" s="381" t="s">
        <v>176</v>
      </c>
      <c r="C2155" s="381" t="s">
        <v>7906</v>
      </c>
    </row>
    <row r="2156" spans="1:3" ht="12.9" customHeight="1">
      <c r="A2156" s="381"/>
      <c r="B2156" s="381" t="s">
        <v>177</v>
      </c>
      <c r="C2156" s="381" t="s">
        <v>7907</v>
      </c>
    </row>
    <row r="2157" spans="1:3" ht="12.9" customHeight="1">
      <c r="A2157" s="381"/>
      <c r="B2157" s="381" t="s">
        <v>178</v>
      </c>
      <c r="C2157" s="381" t="s">
        <v>7908</v>
      </c>
    </row>
    <row r="2158" spans="1:3" ht="12.9" customHeight="1">
      <c r="A2158" s="381"/>
      <c r="B2158" s="381" t="s">
        <v>2939</v>
      </c>
      <c r="C2158" s="381" t="s">
        <v>7909</v>
      </c>
    </row>
    <row r="2159" spans="1:3" ht="12.9" customHeight="1">
      <c r="A2159" s="381"/>
      <c r="B2159" s="381" t="s">
        <v>451</v>
      </c>
      <c r="C2159" s="381" t="s">
        <v>7910</v>
      </c>
    </row>
    <row r="2160" spans="1:3" ht="12.9" customHeight="1">
      <c r="A2160" s="381"/>
      <c r="B2160" s="381" t="s">
        <v>5241</v>
      </c>
      <c r="C2160" s="381" t="s">
        <v>7911</v>
      </c>
    </row>
    <row r="2161" spans="1:3" ht="12.9" customHeight="1">
      <c r="A2161" s="381"/>
      <c r="B2161" s="381" t="s">
        <v>5242</v>
      </c>
      <c r="C2161" s="381" t="s">
        <v>7912</v>
      </c>
    </row>
    <row r="2162" spans="1:3" ht="12.9" customHeight="1">
      <c r="A2162" s="381"/>
      <c r="B2162" s="381" t="s">
        <v>5243</v>
      </c>
      <c r="C2162" s="381" t="s">
        <v>7913</v>
      </c>
    </row>
    <row r="2163" spans="1:3" ht="12.9" customHeight="1">
      <c r="A2163" s="381"/>
      <c r="B2163" s="381" t="s">
        <v>3847</v>
      </c>
      <c r="C2163" s="381" t="s">
        <v>7914</v>
      </c>
    </row>
    <row r="2164" spans="1:3" ht="12.9" customHeight="1">
      <c r="A2164" s="381"/>
      <c r="B2164" s="381" t="s">
        <v>463</v>
      </c>
      <c r="C2164" s="381" t="s">
        <v>7915</v>
      </c>
    </row>
    <row r="2165" spans="1:3" ht="12.9" customHeight="1">
      <c r="A2165" s="381"/>
      <c r="B2165" s="381" t="s">
        <v>1862</v>
      </c>
      <c r="C2165" s="381" t="s">
        <v>7916</v>
      </c>
    </row>
    <row r="2166" spans="1:3" ht="12.9" customHeight="1">
      <c r="A2166" s="381"/>
      <c r="B2166" s="381" t="s">
        <v>2972</v>
      </c>
      <c r="C2166" s="381" t="s">
        <v>7917</v>
      </c>
    </row>
    <row r="2167" spans="1:3" ht="12.9" customHeight="1">
      <c r="A2167" s="381"/>
      <c r="B2167" s="381" t="s">
        <v>2973</v>
      </c>
      <c r="C2167" s="381" t="s">
        <v>7918</v>
      </c>
    </row>
    <row r="2168" spans="1:3" ht="12.9" customHeight="1">
      <c r="A2168" s="381"/>
      <c r="B2168" s="381" t="s">
        <v>4876</v>
      </c>
      <c r="C2168" s="381" t="s">
        <v>7919</v>
      </c>
    </row>
    <row r="2169" spans="1:3" ht="12.9" customHeight="1">
      <c r="A2169" s="381"/>
      <c r="B2169" s="381" t="s">
        <v>4877</v>
      </c>
      <c r="C2169" s="381" t="s">
        <v>7920</v>
      </c>
    </row>
    <row r="2170" spans="1:3" ht="12.9" customHeight="1">
      <c r="A2170" s="381"/>
      <c r="B2170" s="381" t="s">
        <v>4557</v>
      </c>
      <c r="C2170" s="381" t="s">
        <v>7921</v>
      </c>
    </row>
    <row r="2171" spans="1:3" ht="12.9" customHeight="1">
      <c r="A2171" s="381"/>
      <c r="B2171" s="381" t="s">
        <v>5174</v>
      </c>
      <c r="C2171" s="381" t="s">
        <v>5770</v>
      </c>
    </row>
    <row r="2172" spans="1:3" ht="12.9" customHeight="1">
      <c r="A2172" s="381"/>
      <c r="B2172" s="381" t="s">
        <v>5881</v>
      </c>
      <c r="C2172" s="381" t="s">
        <v>5180</v>
      </c>
    </row>
    <row r="2173" spans="1:3" ht="12.9" customHeight="1">
      <c r="A2173" s="381"/>
      <c r="B2173" s="381" t="s">
        <v>5882</v>
      </c>
      <c r="C2173" s="381" t="s">
        <v>2030</v>
      </c>
    </row>
    <row r="2174" spans="1:3" ht="12.9" customHeight="1">
      <c r="A2174" s="381"/>
      <c r="B2174" s="381"/>
      <c r="C2174" s="381" t="s">
        <v>4936</v>
      </c>
    </row>
    <row r="2175" spans="1:3" ht="12.9" customHeight="1">
      <c r="A2175" s="381"/>
      <c r="B2175" s="381"/>
      <c r="C2175" s="381" t="s">
        <v>5727</v>
      </c>
    </row>
    <row r="2176" spans="1:3" ht="12.9" customHeight="1">
      <c r="A2176" s="381"/>
      <c r="B2176" s="381"/>
      <c r="C2176" s="381" t="s">
        <v>3473</v>
      </c>
    </row>
    <row r="2177" spans="1:3" ht="12.9" customHeight="1">
      <c r="A2177" s="381"/>
      <c r="B2177" s="381"/>
      <c r="C2177" s="381" t="s">
        <v>550</v>
      </c>
    </row>
    <row r="2178" spans="1:3" ht="12.9" customHeight="1">
      <c r="A2178" s="381"/>
      <c r="B2178" s="381" t="s">
        <v>5157</v>
      </c>
      <c r="C2178" s="381" t="s">
        <v>2556</v>
      </c>
    </row>
    <row r="2179" spans="1:3" ht="12.9" customHeight="1">
      <c r="A2179" s="381"/>
      <c r="B2179" s="381"/>
      <c r="C2179" s="381" t="s">
        <v>7922</v>
      </c>
    </row>
    <row r="2180" spans="1:3" ht="12.9" customHeight="1">
      <c r="A2180" s="381"/>
      <c r="B2180" s="381"/>
      <c r="C2180" s="381" t="s">
        <v>3348</v>
      </c>
    </row>
    <row r="2181" spans="1:3" ht="12.9" customHeight="1">
      <c r="A2181" s="381"/>
      <c r="B2181" s="381"/>
      <c r="C2181" s="381" t="s">
        <v>2557</v>
      </c>
    </row>
    <row r="2182" spans="1:3" ht="12.9" customHeight="1">
      <c r="A2182" s="381"/>
      <c r="B2182" s="381"/>
      <c r="C2182" s="381" t="s">
        <v>7923</v>
      </c>
    </row>
    <row r="2183" spans="1:3" ht="12.9" customHeight="1">
      <c r="A2183" s="381"/>
      <c r="B2183" s="381"/>
      <c r="C2183" s="381" t="s">
        <v>3101</v>
      </c>
    </row>
    <row r="2184" spans="1:3" ht="12.9" customHeight="1">
      <c r="A2184" s="381"/>
      <c r="B2184" s="381" t="s">
        <v>1743</v>
      </c>
      <c r="C2184" s="381" t="s">
        <v>7924</v>
      </c>
    </row>
    <row r="2185" spans="1:3" ht="12.9" customHeight="1">
      <c r="A2185" s="381"/>
      <c r="B2185" s="381" t="s">
        <v>4331</v>
      </c>
      <c r="C2185" s="442" t="s">
        <v>7925</v>
      </c>
    </row>
    <row r="2186" spans="1:3" ht="12.9" customHeight="1">
      <c r="A2186" s="381"/>
      <c r="B2186" s="381" t="s">
        <v>4724</v>
      </c>
      <c r="C2186" s="442" t="s">
        <v>7926</v>
      </c>
    </row>
    <row r="2187" spans="1:3" ht="12.9" customHeight="1">
      <c r="A2187" s="381"/>
      <c r="B2187" s="381"/>
      <c r="C2187" s="381" t="s">
        <v>3733</v>
      </c>
    </row>
    <row r="2188" spans="1:3" ht="12.9" customHeight="1">
      <c r="A2188" s="381"/>
      <c r="B2188" s="381" t="s">
        <v>3231</v>
      </c>
      <c r="C2188" s="381" t="s">
        <v>4802</v>
      </c>
    </row>
    <row r="2189" spans="1:3" ht="12.9" customHeight="1">
      <c r="A2189" s="381"/>
      <c r="B2189" s="381" t="s">
        <v>2224</v>
      </c>
      <c r="C2189" s="442" t="s">
        <v>4938</v>
      </c>
    </row>
    <row r="2190" spans="1:3" ht="12.9" customHeight="1">
      <c r="A2190" s="381"/>
      <c r="B2190" s="381" t="s">
        <v>3974</v>
      </c>
      <c r="C2190" s="381" t="s">
        <v>2410</v>
      </c>
    </row>
    <row r="2191" spans="1:3" ht="12.9" customHeight="1">
      <c r="A2191" s="381"/>
      <c r="B2191" s="381" t="s">
        <v>4332</v>
      </c>
      <c r="C2191" s="381" t="s">
        <v>7927</v>
      </c>
    </row>
    <row r="2192" spans="1:3" ht="12.9" customHeight="1">
      <c r="A2192" s="381"/>
      <c r="B2192" s="381"/>
      <c r="C2192" s="381" t="s">
        <v>4925</v>
      </c>
    </row>
    <row r="2193" spans="1:3" ht="12.9" customHeight="1">
      <c r="A2193" s="381"/>
      <c r="B2193" s="381"/>
      <c r="C2193" s="381" t="s">
        <v>7928</v>
      </c>
    </row>
    <row r="2194" spans="1:3" ht="12.9" customHeight="1">
      <c r="A2194" s="381"/>
      <c r="B2194" s="381" t="s">
        <v>1163</v>
      </c>
      <c r="C2194" s="381" t="s">
        <v>7929</v>
      </c>
    </row>
    <row r="2195" spans="1:3" ht="12.9" customHeight="1">
      <c r="A2195" s="381"/>
      <c r="B2195" s="381" t="s">
        <v>327</v>
      </c>
      <c r="C2195" s="381" t="s">
        <v>7930</v>
      </c>
    </row>
    <row r="2196" spans="1:3" ht="12.9" customHeight="1">
      <c r="A2196" s="381"/>
      <c r="B2196" s="381"/>
      <c r="C2196" s="381"/>
    </row>
    <row r="2197" spans="1:3" ht="12.9" customHeight="1">
      <c r="A2197" s="381"/>
      <c r="B2197" s="381"/>
      <c r="C2197" s="381" t="s">
        <v>566</v>
      </c>
    </row>
    <row r="2198" spans="1:3" ht="12.9" customHeight="1">
      <c r="A2198" s="381"/>
      <c r="B2198" s="381"/>
      <c r="C2198" s="381" t="s">
        <v>7931</v>
      </c>
    </row>
    <row r="2199" spans="1:3" ht="12.9" customHeight="1">
      <c r="A2199" s="381"/>
      <c r="B2199" s="381"/>
      <c r="C2199" s="381" t="s">
        <v>7932</v>
      </c>
    </row>
    <row r="2200" spans="1:3" ht="12.9" customHeight="1">
      <c r="A2200" s="381"/>
      <c r="B2200" s="381"/>
      <c r="C2200" s="381" t="s">
        <v>7933</v>
      </c>
    </row>
    <row r="2201" spans="1:3" ht="12.9" customHeight="1">
      <c r="A2201" s="381"/>
      <c r="B2201" s="381" t="s">
        <v>4561</v>
      </c>
      <c r="C2201" s="442" t="s">
        <v>7934</v>
      </c>
    </row>
    <row r="2202" spans="1:3" ht="12.9" customHeight="1">
      <c r="A2202" s="381"/>
      <c r="B2202" s="381"/>
      <c r="C2202" s="381" t="s">
        <v>7935</v>
      </c>
    </row>
    <row r="2203" spans="1:3" ht="12.9" customHeight="1">
      <c r="A2203" s="381"/>
      <c r="B2203" s="381"/>
      <c r="C2203" s="381" t="s">
        <v>7936</v>
      </c>
    </row>
    <row r="2204" spans="1:3" ht="12.9" customHeight="1">
      <c r="A2204" s="381"/>
      <c r="B2204" s="381" t="s">
        <v>4726</v>
      </c>
      <c r="C2204" s="381" t="s">
        <v>7937</v>
      </c>
    </row>
    <row r="2205" spans="1:3" ht="12.9" customHeight="1">
      <c r="A2205" s="381"/>
      <c r="B2205" s="381" t="s">
        <v>4727</v>
      </c>
      <c r="C2205" s="381" t="s">
        <v>7938</v>
      </c>
    </row>
    <row r="2206" spans="1:3" ht="12.9" customHeight="1">
      <c r="A2206" s="381"/>
      <c r="B2206" s="381"/>
      <c r="C2206" s="381" t="s">
        <v>7939</v>
      </c>
    </row>
    <row r="2207" spans="1:3" ht="12.9" customHeight="1">
      <c r="A2207" s="381"/>
      <c r="B2207" s="381"/>
      <c r="C2207" s="381" t="s">
        <v>1649</v>
      </c>
    </row>
    <row r="2208" spans="1:3" ht="12.9" customHeight="1">
      <c r="A2208" s="381"/>
      <c r="B2208" s="381" t="s">
        <v>5490</v>
      </c>
      <c r="C2208" s="381" t="s">
        <v>84</v>
      </c>
    </row>
    <row r="2209" spans="1:3" ht="12.9" customHeight="1">
      <c r="A2209" s="381"/>
      <c r="B2209" s="381" t="s">
        <v>5491</v>
      </c>
      <c r="C2209" s="381" t="s">
        <v>85</v>
      </c>
    </row>
    <row r="2210" spans="1:3" ht="12.9" customHeight="1">
      <c r="A2210" s="381"/>
      <c r="B2210" s="381" t="s">
        <v>2942</v>
      </c>
      <c r="C2210" s="381" t="s">
        <v>7940</v>
      </c>
    </row>
    <row r="2211" spans="1:3" ht="12.9" customHeight="1">
      <c r="A2211" s="381"/>
      <c r="B2211" s="381" t="s">
        <v>2943</v>
      </c>
      <c r="C2211" s="381" t="s">
        <v>7941</v>
      </c>
    </row>
    <row r="2212" spans="1:3" ht="12.9" customHeight="1">
      <c r="A2212" s="381"/>
      <c r="B2212" s="381" t="s">
        <v>745</v>
      </c>
      <c r="C2212" s="381" t="s">
        <v>745</v>
      </c>
    </row>
    <row r="2213" spans="1:3" ht="12.9" customHeight="1">
      <c r="A2213" s="381"/>
      <c r="B2213" s="381"/>
      <c r="C2213" s="381" t="s">
        <v>1868</v>
      </c>
    </row>
    <row r="2214" spans="1:3" ht="12.9" customHeight="1">
      <c r="A2214" s="381"/>
      <c r="B2214" s="381" t="s">
        <v>366</v>
      </c>
      <c r="C2214" s="381" t="s">
        <v>102</v>
      </c>
    </row>
    <row r="2215" spans="1:3" ht="12.9" customHeight="1">
      <c r="A2215" s="381"/>
      <c r="B2215" s="381" t="s">
        <v>6011</v>
      </c>
      <c r="C2215" s="381" t="s">
        <v>2177</v>
      </c>
    </row>
    <row r="2216" spans="1:3" ht="12.9" customHeight="1">
      <c r="A2216" s="381"/>
      <c r="B2216" s="381"/>
      <c r="C2216" s="381" t="s">
        <v>5571</v>
      </c>
    </row>
    <row r="2217" spans="1:3" ht="12.9" customHeight="1">
      <c r="A2217" s="381"/>
      <c r="B2217" s="381"/>
      <c r="C2217" s="381" t="s">
        <v>7942</v>
      </c>
    </row>
    <row r="2218" spans="1:3" ht="12.9" customHeight="1">
      <c r="A2218" s="381"/>
      <c r="B2218" s="381"/>
      <c r="C2218" s="381" t="s">
        <v>2363</v>
      </c>
    </row>
    <row r="2219" spans="1:3" ht="12.9" customHeight="1">
      <c r="A2219" s="381"/>
      <c r="B2219" s="381"/>
      <c r="C2219" s="381" t="s">
        <v>3304</v>
      </c>
    </row>
    <row r="2220" spans="1:3" ht="12.9" customHeight="1">
      <c r="A2220" s="381"/>
      <c r="B2220" s="381" t="s">
        <v>4784</v>
      </c>
      <c r="C2220" s="381" t="s">
        <v>7943</v>
      </c>
    </row>
    <row r="2221" spans="1:3" ht="12.9" customHeight="1">
      <c r="A2221" s="381"/>
      <c r="B2221" s="381" t="s">
        <v>4304</v>
      </c>
      <c r="C2221" s="381" t="s">
        <v>740</v>
      </c>
    </row>
    <row r="2222" spans="1:3" ht="12.9" customHeight="1">
      <c r="A2222" s="381"/>
      <c r="B2222" s="381"/>
      <c r="C2222" s="381" t="s">
        <v>7944</v>
      </c>
    </row>
    <row r="2223" spans="1:3" ht="12.9" customHeight="1">
      <c r="A2223" s="381"/>
      <c r="B2223" s="381" t="s">
        <v>934</v>
      </c>
      <c r="C2223" s="381" t="s">
        <v>86</v>
      </c>
    </row>
    <row r="2224" spans="1:3" ht="12.9" customHeight="1">
      <c r="A2224" s="381"/>
      <c r="B2224" s="381"/>
      <c r="C2224" s="381" t="s">
        <v>7945</v>
      </c>
    </row>
    <row r="2225" spans="1:3" ht="12.9" customHeight="1">
      <c r="A2225" s="381"/>
      <c r="B2225" s="381"/>
      <c r="C2225" s="381" t="s">
        <v>7946</v>
      </c>
    </row>
    <row r="2226" spans="1:3" ht="12.9" customHeight="1">
      <c r="A2226" s="381"/>
      <c r="B2226" s="381"/>
      <c r="C2226" s="381" t="s">
        <v>4215</v>
      </c>
    </row>
    <row r="2227" spans="1:3" ht="12.9" customHeight="1">
      <c r="A2227" s="381"/>
      <c r="B2227" s="381" t="s">
        <v>935</v>
      </c>
      <c r="C2227" s="381" t="s">
        <v>5575</v>
      </c>
    </row>
    <row r="2228" spans="1:3" ht="12.9" customHeight="1">
      <c r="A2228" s="381"/>
      <c r="B2228" s="381" t="s">
        <v>4542</v>
      </c>
      <c r="C2228" s="381" t="s">
        <v>314</v>
      </c>
    </row>
    <row r="2229" spans="1:3" ht="12.9" customHeight="1">
      <c r="A2229" s="381"/>
      <c r="B2229" s="381" t="s">
        <v>4543</v>
      </c>
      <c r="C2229" s="381" t="s">
        <v>3924</v>
      </c>
    </row>
    <row r="2230" spans="1:3" ht="12.9" customHeight="1">
      <c r="A2230" s="381"/>
      <c r="B2230" s="381" t="s">
        <v>936</v>
      </c>
      <c r="C2230" s="381" t="s">
        <v>699</v>
      </c>
    </row>
    <row r="2231" spans="1:3" ht="12.9" customHeight="1">
      <c r="A2231" s="381"/>
      <c r="B2231" s="381"/>
      <c r="C2231" s="381" t="s">
        <v>7947</v>
      </c>
    </row>
    <row r="2232" spans="1:3" ht="12.9" customHeight="1">
      <c r="A2232" s="381"/>
      <c r="B2232" s="381" t="s">
        <v>4305</v>
      </c>
      <c r="C2232" s="381" t="s">
        <v>743</v>
      </c>
    </row>
    <row r="2233" spans="1:3" ht="12.9" customHeight="1">
      <c r="A2233" s="381"/>
      <c r="B2233" s="381" t="s">
        <v>4563</v>
      </c>
      <c r="C2233" s="381" t="s">
        <v>4592</v>
      </c>
    </row>
    <row r="2234" spans="1:3" ht="12.9" customHeight="1">
      <c r="A2234" s="381"/>
      <c r="B2234" s="381"/>
      <c r="C2234" s="381" t="s">
        <v>87</v>
      </c>
    </row>
    <row r="2235" spans="1:3" ht="12.9" customHeight="1">
      <c r="A2235" s="381"/>
      <c r="B2235" s="381"/>
      <c r="C2235" s="381" t="s">
        <v>7948</v>
      </c>
    </row>
    <row r="2236" spans="1:3" ht="12.9" customHeight="1">
      <c r="A2236" s="381"/>
      <c r="B2236" s="381"/>
      <c r="C2236" s="381" t="s">
        <v>1096</v>
      </c>
    </row>
    <row r="2237" spans="1:3" ht="12.9" customHeight="1">
      <c r="A2237" s="381"/>
      <c r="B2237" s="381" t="s">
        <v>3515</v>
      </c>
      <c r="C2237" s="381" t="s">
        <v>3830</v>
      </c>
    </row>
    <row r="2238" spans="1:3" ht="12.9" customHeight="1">
      <c r="A2238" s="381"/>
      <c r="B2238" s="381" t="s">
        <v>3516</v>
      </c>
      <c r="C2238" s="381" t="s">
        <v>142</v>
      </c>
    </row>
    <row r="2239" spans="1:3" ht="12.9" customHeight="1">
      <c r="A2239" s="381"/>
      <c r="B2239" s="381" t="s">
        <v>1348</v>
      </c>
      <c r="C2239" s="381" t="s">
        <v>3558</v>
      </c>
    </row>
    <row r="2240" spans="1:3" ht="12.9" customHeight="1">
      <c r="A2240" s="381"/>
      <c r="B2240" s="381" t="s">
        <v>4306</v>
      </c>
      <c r="C2240" s="381" t="s">
        <v>3925</v>
      </c>
    </row>
    <row r="2241" spans="1:3" ht="12.9" customHeight="1">
      <c r="A2241" s="381"/>
      <c r="B2241" s="381" t="s">
        <v>5986</v>
      </c>
      <c r="C2241" s="381" t="s">
        <v>7949</v>
      </c>
    </row>
    <row r="2242" spans="1:3" ht="12.9" customHeight="1">
      <c r="A2242" s="381"/>
      <c r="B2242" s="381" t="s">
        <v>3789</v>
      </c>
      <c r="C2242" s="381" t="s">
        <v>5576</v>
      </c>
    </row>
    <row r="2243" spans="1:3" ht="12.9" customHeight="1">
      <c r="A2243" s="381"/>
      <c r="B2243" s="381" t="s">
        <v>3030</v>
      </c>
      <c r="C2243" s="381" t="s">
        <v>88</v>
      </c>
    </row>
    <row r="2244" spans="1:3" ht="12.9" customHeight="1">
      <c r="A2244" s="381"/>
      <c r="B2244" s="381" t="s">
        <v>5104</v>
      </c>
      <c r="C2244" s="381" t="s">
        <v>89</v>
      </c>
    </row>
    <row r="2245" spans="1:3" ht="12.9" customHeight="1">
      <c r="A2245" s="381"/>
      <c r="B2245" s="381"/>
      <c r="C2245" s="381" t="s">
        <v>4578</v>
      </c>
    </row>
    <row r="2246" spans="1:3" ht="12.9" customHeight="1">
      <c r="A2246" s="381"/>
      <c r="B2246" s="381"/>
      <c r="C2246" s="381" t="s">
        <v>7950</v>
      </c>
    </row>
    <row r="2247" spans="1:3" ht="12.9" customHeight="1">
      <c r="A2247" s="381"/>
      <c r="B2247" s="381"/>
      <c r="C2247" s="381" t="s">
        <v>7951</v>
      </c>
    </row>
    <row r="2248" spans="1:3" ht="12.9" customHeight="1">
      <c r="A2248" s="381"/>
      <c r="B2248" s="381" t="s">
        <v>3518</v>
      </c>
      <c r="C2248" s="381" t="s">
        <v>7952</v>
      </c>
    </row>
    <row r="2249" spans="1:3" ht="12.9" customHeight="1">
      <c r="A2249" s="381"/>
      <c r="B2249" s="381" t="s">
        <v>3328</v>
      </c>
      <c r="C2249" s="381" t="s">
        <v>5796</v>
      </c>
    </row>
    <row r="2250" spans="1:3" ht="12.9" customHeight="1">
      <c r="A2250" s="381"/>
      <c r="B2250" s="381" t="s">
        <v>4725</v>
      </c>
      <c r="C2250" s="381" t="s">
        <v>7953</v>
      </c>
    </row>
    <row r="2251" spans="1:3" ht="12.9" customHeight="1">
      <c r="A2251" s="381"/>
      <c r="B2251" s="381" t="s">
        <v>1375</v>
      </c>
      <c r="C2251" s="381" t="s">
        <v>531</v>
      </c>
    </row>
    <row r="2252" spans="1:3" ht="12.9" customHeight="1">
      <c r="A2252" s="381"/>
      <c r="B2252" s="381"/>
      <c r="C2252" s="381" t="s">
        <v>7954</v>
      </c>
    </row>
    <row r="2253" spans="1:3" ht="12.9" customHeight="1">
      <c r="A2253" s="381"/>
      <c r="B2253" s="381"/>
      <c r="C2253" s="381" t="s">
        <v>7955</v>
      </c>
    </row>
    <row r="2254" spans="1:3" ht="12.9" customHeight="1">
      <c r="A2254" s="381"/>
      <c r="B2254" s="381"/>
      <c r="C2254" s="381" t="s">
        <v>7853</v>
      </c>
    </row>
    <row r="2255" spans="1:3" ht="12.9" customHeight="1">
      <c r="A2255" s="381"/>
      <c r="B2255" s="381"/>
      <c r="C2255" s="381" t="s">
        <v>7854</v>
      </c>
    </row>
    <row r="2256" spans="1:3" ht="12.9" customHeight="1">
      <c r="A2256" s="381"/>
      <c r="B2256" s="381"/>
      <c r="C2256" s="381" t="s">
        <v>7855</v>
      </c>
    </row>
    <row r="2257" spans="1:3" ht="12.9" customHeight="1">
      <c r="A2257" s="381"/>
      <c r="B2257" s="381"/>
      <c r="C2257" s="381" t="s">
        <v>2613</v>
      </c>
    </row>
    <row r="2258" spans="1:3" ht="12.9" customHeight="1">
      <c r="A2258" s="381"/>
      <c r="B2258" s="381" t="s">
        <v>5988</v>
      </c>
      <c r="C2258" s="381" t="s">
        <v>7856</v>
      </c>
    </row>
    <row r="2259" spans="1:3" ht="12.9" customHeight="1">
      <c r="A2259" s="381"/>
      <c r="B2259" s="381"/>
      <c r="C2259" s="381" t="s">
        <v>2205</v>
      </c>
    </row>
    <row r="2260" spans="1:3" ht="12.9" customHeight="1">
      <c r="A2260" s="381"/>
      <c r="B2260" s="381" t="s">
        <v>3776</v>
      </c>
      <c r="C2260" s="381" t="s">
        <v>2860</v>
      </c>
    </row>
    <row r="2261" spans="1:3" ht="12.9" customHeight="1">
      <c r="A2261" s="381"/>
      <c r="B2261" s="381" t="s">
        <v>488</v>
      </c>
      <c r="C2261" s="381" t="s">
        <v>2861</v>
      </c>
    </row>
    <row r="2262" spans="1:3" ht="12.9" customHeight="1">
      <c r="A2262" s="381"/>
      <c r="B2262" s="381" t="s">
        <v>489</v>
      </c>
      <c r="C2262" s="381" t="s">
        <v>2862</v>
      </c>
    </row>
    <row r="2263" spans="1:3" ht="12.9" customHeight="1">
      <c r="A2263" s="381"/>
      <c r="B2263" s="381" t="s">
        <v>490</v>
      </c>
      <c r="C2263" s="381" t="s">
        <v>2703</v>
      </c>
    </row>
    <row r="2264" spans="1:3" ht="12.9" customHeight="1">
      <c r="A2264" s="381"/>
      <c r="B2264" s="381" t="s">
        <v>492</v>
      </c>
      <c r="C2264" s="381" t="s">
        <v>2704</v>
      </c>
    </row>
    <row r="2265" spans="1:3" ht="12.9" customHeight="1">
      <c r="A2265" s="381"/>
      <c r="B2265" s="381" t="s">
        <v>493</v>
      </c>
      <c r="C2265" s="381" t="s">
        <v>2705</v>
      </c>
    </row>
    <row r="2266" spans="1:3" ht="12.9" customHeight="1">
      <c r="A2266" s="381"/>
      <c r="B2266" s="381" t="s">
        <v>5930</v>
      </c>
      <c r="C2266" s="381" t="s">
        <v>2087</v>
      </c>
    </row>
    <row r="2267" spans="1:3" ht="12.9" customHeight="1">
      <c r="A2267" s="381"/>
      <c r="B2267" s="381" t="s">
        <v>5931</v>
      </c>
      <c r="C2267" s="381" t="s">
        <v>2088</v>
      </c>
    </row>
    <row r="2268" spans="1:3" ht="12.9" customHeight="1">
      <c r="A2268" s="381"/>
      <c r="B2268" s="381" t="s">
        <v>5932</v>
      </c>
      <c r="C2268" s="381" t="s">
        <v>2089</v>
      </c>
    </row>
    <row r="2269" spans="1:3" ht="12.9" customHeight="1">
      <c r="A2269" s="381"/>
      <c r="B2269" s="381" t="s">
        <v>5933</v>
      </c>
      <c r="C2269" s="381" t="s">
        <v>2090</v>
      </c>
    </row>
    <row r="2270" spans="1:3" ht="12.9" customHeight="1">
      <c r="A2270" s="381"/>
      <c r="B2270" s="381" t="s">
        <v>3225</v>
      </c>
      <c r="C2270" s="381" t="s">
        <v>2091</v>
      </c>
    </row>
    <row r="2271" spans="1:3" ht="12.9" customHeight="1">
      <c r="A2271" s="381"/>
      <c r="B2271" s="381" t="s">
        <v>3226</v>
      </c>
      <c r="C2271" s="381" t="s">
        <v>1659</v>
      </c>
    </row>
    <row r="2272" spans="1:3" ht="12.9" customHeight="1">
      <c r="A2272" s="381"/>
      <c r="B2272" s="381" t="s">
        <v>1222</v>
      </c>
      <c r="C2272" s="381" t="s">
        <v>1660</v>
      </c>
    </row>
    <row r="2273" spans="1:3" ht="12.9" customHeight="1">
      <c r="A2273" s="381"/>
      <c r="B2273" s="381" t="s">
        <v>940</v>
      </c>
      <c r="C2273" s="381" t="s">
        <v>1661</v>
      </c>
    </row>
    <row r="2274" spans="1:3" ht="12.9" customHeight="1">
      <c r="A2274" s="381"/>
      <c r="B2274" s="381" t="s">
        <v>941</v>
      </c>
      <c r="C2274" s="381" t="s">
        <v>1662</v>
      </c>
    </row>
    <row r="2275" spans="1:3" ht="12.9" customHeight="1">
      <c r="A2275" s="381"/>
      <c r="B2275" s="381" t="s">
        <v>1403</v>
      </c>
      <c r="C2275" s="381" t="s">
        <v>1663</v>
      </c>
    </row>
    <row r="2276" spans="1:3" ht="12.9" customHeight="1">
      <c r="A2276" s="381"/>
      <c r="B2276" s="381" t="s">
        <v>4357</v>
      </c>
      <c r="C2276" s="381" t="s">
        <v>5356</v>
      </c>
    </row>
    <row r="2277" spans="1:3" ht="12.9" customHeight="1">
      <c r="A2277" s="381"/>
      <c r="B2277" s="381" t="s">
        <v>462</v>
      </c>
      <c r="C2277" s="381" t="s">
        <v>5357</v>
      </c>
    </row>
    <row r="2278" spans="1:3" ht="12.9" customHeight="1">
      <c r="A2278" s="381"/>
      <c r="B2278" s="381" t="s">
        <v>1714</v>
      </c>
      <c r="C2278" s="381" t="s">
        <v>5358</v>
      </c>
    </row>
    <row r="2279" spans="1:3" ht="12.9" customHeight="1">
      <c r="A2279" s="381"/>
      <c r="B2279" s="381" t="s">
        <v>1715</v>
      </c>
      <c r="C2279" s="381" t="s">
        <v>5359</v>
      </c>
    </row>
    <row r="2280" spans="1:3" ht="12.9" customHeight="1">
      <c r="A2280" s="381"/>
      <c r="B2280" s="381" t="s">
        <v>3806</v>
      </c>
      <c r="C2280" s="381" t="s">
        <v>5360</v>
      </c>
    </row>
    <row r="2281" spans="1:3" ht="12.9" customHeight="1">
      <c r="A2281" s="381"/>
      <c r="B2281" s="381" t="s">
        <v>3807</v>
      </c>
      <c r="C2281" s="381" t="s">
        <v>5361</v>
      </c>
    </row>
    <row r="2282" spans="1:3" ht="12.9" customHeight="1">
      <c r="A2282" s="381"/>
      <c r="B2282" s="381" t="s">
        <v>3808</v>
      </c>
      <c r="C2282" s="381" t="s">
        <v>5362</v>
      </c>
    </row>
    <row r="2283" spans="1:3" ht="12.9" customHeight="1">
      <c r="A2283" s="381"/>
      <c r="B2283" s="381" t="s">
        <v>5833</v>
      </c>
      <c r="C2283" s="381" t="s">
        <v>7158</v>
      </c>
    </row>
    <row r="2284" spans="1:3" ht="12.9" customHeight="1">
      <c r="A2284" s="381"/>
      <c r="B2284" s="381" t="s">
        <v>4260</v>
      </c>
      <c r="C2284" s="381" t="s">
        <v>5363</v>
      </c>
    </row>
    <row r="2285" spans="1:3" ht="12.9" customHeight="1">
      <c r="A2285" s="381"/>
      <c r="B2285" s="381" t="s">
        <v>5317</v>
      </c>
      <c r="C2285" s="381" t="s">
        <v>5364</v>
      </c>
    </row>
    <row r="2286" spans="1:3" ht="12.9" customHeight="1">
      <c r="A2286" s="381"/>
      <c r="B2286" s="381" t="s">
        <v>2228</v>
      </c>
      <c r="C2286" s="381" t="s">
        <v>5365</v>
      </c>
    </row>
    <row r="2287" spans="1:3" ht="12.9" customHeight="1">
      <c r="A2287" s="381"/>
      <c r="B2287" s="381" t="s">
        <v>5999</v>
      </c>
      <c r="C2287" s="381" t="s">
        <v>5366</v>
      </c>
    </row>
    <row r="2288" spans="1:3" ht="12.9" customHeight="1">
      <c r="A2288" s="381"/>
      <c r="B2288" s="381" t="s">
        <v>911</v>
      </c>
      <c r="C2288" s="381" t="s">
        <v>3144</v>
      </c>
    </row>
    <row r="2289" spans="1:3" ht="12.9" customHeight="1">
      <c r="A2289" s="381"/>
      <c r="B2289" s="381" t="s">
        <v>912</v>
      </c>
      <c r="C2289" s="381" t="s">
        <v>3145</v>
      </c>
    </row>
    <row r="2290" spans="1:3" ht="12.9" customHeight="1">
      <c r="A2290" s="381"/>
      <c r="B2290" s="381" t="s">
        <v>6014</v>
      </c>
      <c r="C2290" s="381" t="s">
        <v>3146</v>
      </c>
    </row>
    <row r="2291" spans="1:3" ht="12.9" customHeight="1">
      <c r="A2291" s="381"/>
      <c r="B2291" s="381" t="s">
        <v>1992</v>
      </c>
      <c r="C2291" s="381" t="s">
        <v>3147</v>
      </c>
    </row>
    <row r="2292" spans="1:3" ht="12.9" customHeight="1">
      <c r="A2292" s="381"/>
      <c r="B2292" s="381" t="s">
        <v>1993</v>
      </c>
      <c r="C2292" s="381" t="s">
        <v>3148</v>
      </c>
    </row>
    <row r="2293" spans="1:3" ht="12.9" customHeight="1">
      <c r="A2293" s="381"/>
      <c r="B2293" s="381" t="s">
        <v>100</v>
      </c>
      <c r="C2293" s="381" t="s">
        <v>3149</v>
      </c>
    </row>
    <row r="2294" spans="1:3" ht="12.9" customHeight="1">
      <c r="A2294" s="381"/>
      <c r="B2294" s="381" t="s">
        <v>3439</v>
      </c>
      <c r="C2294" s="381" t="s">
        <v>3150</v>
      </c>
    </row>
    <row r="2295" spans="1:3" ht="12.9" customHeight="1">
      <c r="A2295" s="381"/>
      <c r="B2295" s="381" t="s">
        <v>3440</v>
      </c>
      <c r="C2295" s="381" t="s">
        <v>3151</v>
      </c>
    </row>
    <row r="2296" spans="1:3" ht="12.9" customHeight="1">
      <c r="A2296" s="381"/>
      <c r="B2296" s="381" t="s">
        <v>3441</v>
      </c>
      <c r="C2296" s="381" t="s">
        <v>3152</v>
      </c>
    </row>
    <row r="2297" spans="1:3" ht="12.9" customHeight="1">
      <c r="A2297" s="381"/>
      <c r="B2297" s="381" t="s">
        <v>5410</v>
      </c>
      <c r="C2297" s="381" t="s">
        <v>3153</v>
      </c>
    </row>
    <row r="2298" spans="1:3" ht="12.9" customHeight="1">
      <c r="A2298" s="381"/>
      <c r="B2298" s="381" t="s">
        <v>4365</v>
      </c>
      <c r="C2298" s="381" t="s">
        <v>3154</v>
      </c>
    </row>
    <row r="2299" spans="1:3" ht="12.9" customHeight="1">
      <c r="A2299" s="381"/>
      <c r="B2299" s="381" t="s">
        <v>494</v>
      </c>
      <c r="C2299" s="381" t="s">
        <v>2706</v>
      </c>
    </row>
    <row r="2300" spans="1:3" ht="12.9" customHeight="1">
      <c r="A2300" s="381"/>
      <c r="B2300" s="381" t="s">
        <v>495</v>
      </c>
      <c r="C2300" s="381" t="s">
        <v>2707</v>
      </c>
    </row>
    <row r="2301" spans="1:3" ht="12.9" customHeight="1">
      <c r="A2301" s="381"/>
      <c r="B2301" s="381" t="s">
        <v>4689</v>
      </c>
      <c r="C2301" s="381" t="s">
        <v>2708</v>
      </c>
    </row>
    <row r="2302" spans="1:3" ht="12.9" customHeight="1">
      <c r="A2302" s="381"/>
      <c r="B2302" s="381" t="s">
        <v>4690</v>
      </c>
      <c r="C2302" s="381" t="s">
        <v>2709</v>
      </c>
    </row>
    <row r="2303" spans="1:3" ht="12.9" customHeight="1">
      <c r="A2303" s="381"/>
      <c r="B2303" s="381" t="s">
        <v>4691</v>
      </c>
      <c r="C2303" s="381" t="s">
        <v>2710</v>
      </c>
    </row>
    <row r="2304" spans="1:3" ht="12.9" customHeight="1">
      <c r="A2304" s="381"/>
      <c r="B2304" s="381" t="s">
        <v>2105</v>
      </c>
      <c r="C2304" s="381" t="s">
        <v>2711</v>
      </c>
    </row>
    <row r="2305" spans="1:3" ht="12.9" customHeight="1">
      <c r="A2305" s="381"/>
      <c r="B2305" s="381" t="s">
        <v>2106</v>
      </c>
      <c r="C2305" s="381" t="s">
        <v>2712</v>
      </c>
    </row>
    <row r="2306" spans="1:3" ht="12.9" customHeight="1">
      <c r="A2306" s="381"/>
      <c r="B2306" s="381" t="s">
        <v>5437</v>
      </c>
      <c r="C2306" s="381" t="s">
        <v>2713</v>
      </c>
    </row>
    <row r="2307" spans="1:3" ht="12.9" customHeight="1">
      <c r="A2307" s="381"/>
      <c r="B2307" s="381" t="s">
        <v>5166</v>
      </c>
      <c r="C2307" s="381" t="s">
        <v>2714</v>
      </c>
    </row>
    <row r="2308" spans="1:3" ht="12.9" customHeight="1">
      <c r="A2308" s="381"/>
      <c r="B2308" s="381" t="s">
        <v>3523</v>
      </c>
      <c r="C2308" s="381" t="s">
        <v>2715</v>
      </c>
    </row>
    <row r="2309" spans="1:3" ht="12.9" customHeight="1">
      <c r="A2309" s="381"/>
      <c r="B2309" s="381" t="s">
        <v>5409</v>
      </c>
      <c r="C2309" s="381" t="s">
        <v>2716</v>
      </c>
    </row>
    <row r="2310" spans="1:3" ht="12.9" customHeight="1">
      <c r="A2310" s="381"/>
      <c r="B2310" s="381" t="s">
        <v>4366</v>
      </c>
      <c r="C2310" s="381" t="s">
        <v>999</v>
      </c>
    </row>
    <row r="2311" spans="1:3" ht="12.9" customHeight="1">
      <c r="A2311" s="381"/>
      <c r="B2311" s="381" t="s">
        <v>4367</v>
      </c>
      <c r="C2311" s="381" t="s">
        <v>1000</v>
      </c>
    </row>
    <row r="2312" spans="1:3" ht="12.9" customHeight="1">
      <c r="A2312" s="381"/>
      <c r="B2312" s="381" t="s">
        <v>4368</v>
      </c>
      <c r="C2312" s="381" t="s">
        <v>5189</v>
      </c>
    </row>
    <row r="2313" spans="1:3" ht="12.9" customHeight="1">
      <c r="A2313" s="381"/>
      <c r="B2313" s="381" t="s">
        <v>1053</v>
      </c>
      <c r="C2313" s="381" t="s">
        <v>7956</v>
      </c>
    </row>
    <row r="2314" spans="1:3" ht="12.9" customHeight="1">
      <c r="A2314" s="381"/>
      <c r="B2314" s="381" t="s">
        <v>1054</v>
      </c>
      <c r="C2314" s="381" t="s">
        <v>7957</v>
      </c>
    </row>
    <row r="2315" spans="1:3" ht="12.9" customHeight="1">
      <c r="A2315" s="381"/>
      <c r="B2315" s="381" t="s">
        <v>1055</v>
      </c>
      <c r="C2315" s="381" t="s">
        <v>7958</v>
      </c>
    </row>
    <row r="2316" spans="1:3" ht="12.9" customHeight="1">
      <c r="A2316" s="381"/>
      <c r="B2316" s="381"/>
      <c r="C2316" s="381" t="s">
        <v>1270</v>
      </c>
    </row>
    <row r="2317" spans="1:3" ht="12.9" customHeight="1">
      <c r="A2317" s="381"/>
      <c r="B2317" s="381" t="s">
        <v>1699</v>
      </c>
      <c r="C2317" s="381" t="s">
        <v>7959</v>
      </c>
    </row>
    <row r="2318" spans="1:3" ht="12.9" customHeight="1">
      <c r="A2318" s="381"/>
      <c r="B2318" s="381" t="s">
        <v>1835</v>
      </c>
      <c r="C2318" s="381" t="s">
        <v>7960</v>
      </c>
    </row>
    <row r="2319" spans="1:3" ht="12.9" customHeight="1">
      <c r="A2319" s="381"/>
      <c r="B2319" s="381" t="s">
        <v>1836</v>
      </c>
      <c r="C2319" s="381" t="s">
        <v>7961</v>
      </c>
    </row>
    <row r="2320" spans="1:3" ht="12.9" customHeight="1">
      <c r="A2320" s="381"/>
      <c r="B2320" s="381" t="s">
        <v>1837</v>
      </c>
      <c r="C2320" s="381" t="s">
        <v>7962</v>
      </c>
    </row>
    <row r="2321" spans="1:3" ht="12.9" customHeight="1">
      <c r="A2321" s="381"/>
      <c r="B2321" s="381"/>
      <c r="C2321" s="381" t="s">
        <v>7963</v>
      </c>
    </row>
    <row r="2322" spans="1:3" ht="12.9" customHeight="1">
      <c r="A2322" s="381"/>
      <c r="B2322" s="381"/>
      <c r="C2322" s="381" t="s">
        <v>7964</v>
      </c>
    </row>
    <row r="2323" spans="1:3" ht="12.9" customHeight="1">
      <c r="A2323" s="381"/>
      <c r="B2323" s="381"/>
      <c r="C2323" s="381" t="s">
        <v>7965</v>
      </c>
    </row>
    <row r="2324" spans="1:3" ht="12.9" customHeight="1">
      <c r="A2324" s="381"/>
      <c r="B2324" s="381" t="s">
        <v>2160</v>
      </c>
      <c r="C2324" s="381" t="s">
        <v>7966</v>
      </c>
    </row>
    <row r="2325" spans="1:3" ht="12.9" customHeight="1">
      <c r="A2325" s="381"/>
      <c r="B2325" s="381" t="s">
        <v>2161</v>
      </c>
      <c r="C2325" s="381" t="s">
        <v>7967</v>
      </c>
    </row>
    <row r="2326" spans="1:3" ht="12.9" customHeight="1">
      <c r="A2326" s="381"/>
      <c r="B2326" s="381" t="s">
        <v>3794</v>
      </c>
      <c r="C2326" s="381" t="s">
        <v>7968</v>
      </c>
    </row>
    <row r="2327" spans="1:3" ht="12.9" customHeight="1">
      <c r="A2327" s="381"/>
      <c r="B2327" s="381" t="s">
        <v>4562</v>
      </c>
      <c r="C2327" s="381" t="s">
        <v>7969</v>
      </c>
    </row>
    <row r="2328" spans="1:3" ht="12.9" customHeight="1">
      <c r="A2328" s="381"/>
      <c r="B2328" s="381" t="s">
        <v>1227</v>
      </c>
      <c r="C2328" s="381" t="s">
        <v>7970</v>
      </c>
    </row>
    <row r="2329" spans="1:3" ht="12.9" customHeight="1">
      <c r="A2329" s="381"/>
      <c r="B2329" s="381" t="s">
        <v>2519</v>
      </c>
      <c r="C2329" s="381" t="s">
        <v>7971</v>
      </c>
    </row>
    <row r="2330" spans="1:3" ht="12.9" customHeight="1">
      <c r="A2330" s="381"/>
      <c r="B2330" s="381" t="s">
        <v>1232</v>
      </c>
      <c r="C2330" s="381" t="s">
        <v>7972</v>
      </c>
    </row>
    <row r="2331" spans="1:3" ht="12.9" customHeight="1">
      <c r="A2331" s="381"/>
      <c r="B2331" s="381" t="s">
        <v>4093</v>
      </c>
      <c r="C2331" s="381" t="s">
        <v>7973</v>
      </c>
    </row>
    <row r="2332" spans="1:3" ht="12.9" customHeight="1">
      <c r="A2332" s="381"/>
      <c r="B2332" s="381" t="s">
        <v>3790</v>
      </c>
      <c r="C2332" s="381" t="s">
        <v>7974</v>
      </c>
    </row>
    <row r="2333" spans="1:3" ht="12.9" customHeight="1">
      <c r="A2333" s="381"/>
      <c r="B2333" s="381" t="s">
        <v>3433</v>
      </c>
      <c r="C2333" s="381" t="s">
        <v>7975</v>
      </c>
    </row>
    <row r="2334" spans="1:3" ht="12.9" customHeight="1">
      <c r="A2334" s="381"/>
      <c r="B2334" s="381" t="s">
        <v>2869</v>
      </c>
      <c r="C2334" s="381" t="s">
        <v>7976</v>
      </c>
    </row>
    <row r="2335" spans="1:3" ht="12.9" customHeight="1">
      <c r="A2335" s="381"/>
      <c r="B2335" s="381" t="s">
        <v>2870</v>
      </c>
      <c r="C2335" s="381" t="s">
        <v>7977</v>
      </c>
    </row>
    <row r="2336" spans="1:3" ht="12.9" customHeight="1">
      <c r="A2336" s="381"/>
      <c r="B2336" s="381" t="s">
        <v>2871</v>
      </c>
      <c r="C2336" s="381" t="s">
        <v>7978</v>
      </c>
    </row>
    <row r="2337" spans="1:3" ht="12.9" customHeight="1">
      <c r="A2337" s="381"/>
      <c r="B2337" s="381" t="s">
        <v>2872</v>
      </c>
      <c r="C2337" s="381" t="s">
        <v>7979</v>
      </c>
    </row>
    <row r="2338" spans="1:3" ht="12.9" customHeight="1">
      <c r="A2338" s="381"/>
      <c r="B2338" s="381"/>
      <c r="C2338" s="381" t="s">
        <v>7980</v>
      </c>
    </row>
    <row r="2339" spans="1:3" ht="12.9" customHeight="1">
      <c r="A2339" s="381"/>
      <c r="B2339" s="381" t="s">
        <v>4352</v>
      </c>
      <c r="C2339" s="381" t="s">
        <v>7981</v>
      </c>
    </row>
    <row r="2340" spans="1:3" ht="12.9" customHeight="1">
      <c r="A2340" s="381"/>
      <c r="B2340" s="381" t="s">
        <v>1596</v>
      </c>
      <c r="C2340" s="381" t="s">
        <v>7982</v>
      </c>
    </row>
    <row r="2341" spans="1:3" ht="12.9" customHeight="1">
      <c r="A2341" s="381"/>
      <c r="B2341" s="381" t="s">
        <v>1026</v>
      </c>
      <c r="C2341" s="381" t="s">
        <v>7983</v>
      </c>
    </row>
    <row r="2342" spans="1:3" ht="12.9" customHeight="1">
      <c r="A2342" s="381"/>
      <c r="B2342" s="381"/>
      <c r="C2342" s="381" t="s">
        <v>7984</v>
      </c>
    </row>
    <row r="2343" spans="1:3" ht="12.9" customHeight="1">
      <c r="A2343" s="381"/>
      <c r="B2343" s="381" t="s">
        <v>5742</v>
      </c>
      <c r="C2343" s="381" t="s">
        <v>7985</v>
      </c>
    </row>
    <row r="2344" spans="1:3" ht="12.9" customHeight="1">
      <c r="A2344" s="381"/>
      <c r="B2344" s="381" t="s">
        <v>3272</v>
      </c>
      <c r="C2344" s="381" t="s">
        <v>7986</v>
      </c>
    </row>
    <row r="2345" spans="1:3" ht="12.9" customHeight="1">
      <c r="A2345" s="381"/>
      <c r="B2345" s="381" t="s">
        <v>3273</v>
      </c>
      <c r="C2345" s="381" t="s">
        <v>7987</v>
      </c>
    </row>
    <row r="2346" spans="1:3" ht="12.9" customHeight="1">
      <c r="A2346" s="381"/>
      <c r="B2346" s="381" t="s">
        <v>4167</v>
      </c>
      <c r="C2346" s="381" t="s">
        <v>7988</v>
      </c>
    </row>
    <row r="2347" spans="1:3" ht="12.9" customHeight="1">
      <c r="A2347" s="381"/>
      <c r="B2347" s="381" t="s">
        <v>5262</v>
      </c>
      <c r="C2347" s="381" t="s">
        <v>7989</v>
      </c>
    </row>
    <row r="2348" spans="1:3" ht="12.9" customHeight="1">
      <c r="A2348" s="381"/>
      <c r="B2348" s="381" t="s">
        <v>1194</v>
      </c>
      <c r="C2348" s="381" t="s">
        <v>7990</v>
      </c>
    </row>
    <row r="2349" spans="1:3" ht="12.9" customHeight="1">
      <c r="A2349" s="381"/>
      <c r="B2349" s="381" t="s">
        <v>1195</v>
      </c>
      <c r="C2349" s="381" t="s">
        <v>7991</v>
      </c>
    </row>
    <row r="2350" spans="1:3" ht="12.9" customHeight="1">
      <c r="A2350" s="381"/>
      <c r="B2350" s="381" t="s">
        <v>4413</v>
      </c>
      <c r="C2350" s="381" t="s">
        <v>7992</v>
      </c>
    </row>
    <row r="2351" spans="1:3" ht="12.9" customHeight="1">
      <c r="A2351" s="381"/>
      <c r="B2351" s="381"/>
      <c r="C2351" s="381" t="s">
        <v>7993</v>
      </c>
    </row>
    <row r="2352" spans="1:3" ht="12.9" customHeight="1">
      <c r="A2352" s="381"/>
      <c r="B2352" s="381" t="s">
        <v>1228</v>
      </c>
      <c r="C2352" s="381" t="s">
        <v>7994</v>
      </c>
    </row>
    <row r="2353" spans="1:3" ht="12.9" customHeight="1">
      <c r="A2353" s="381"/>
      <c r="B2353" s="381" t="s">
        <v>4915</v>
      </c>
      <c r="C2353" s="381" t="s">
        <v>7995</v>
      </c>
    </row>
    <row r="2354" spans="1:3" ht="12.9" customHeight="1">
      <c r="A2354" s="381"/>
      <c r="B2354" s="381" t="s">
        <v>3653</v>
      </c>
      <c r="C2354" s="381" t="s">
        <v>7996</v>
      </c>
    </row>
    <row r="2355" spans="1:3" ht="12.9" customHeight="1">
      <c r="A2355" s="381"/>
      <c r="B2355" s="381" t="s">
        <v>3654</v>
      </c>
      <c r="C2355" s="381" t="s">
        <v>7997</v>
      </c>
    </row>
    <row r="2356" spans="1:3" ht="12.9" customHeight="1">
      <c r="A2356" s="381"/>
      <c r="B2356" s="381"/>
      <c r="C2356" s="381"/>
    </row>
    <row r="2357" spans="1:3" ht="12.9" customHeight="1">
      <c r="A2357" s="381"/>
      <c r="B2357" s="381"/>
      <c r="C2357" s="381" t="s">
        <v>7998</v>
      </c>
    </row>
    <row r="2358" spans="1:3" ht="12.9" customHeight="1">
      <c r="A2358" s="381"/>
      <c r="B2358" s="381"/>
      <c r="C2358" s="381" t="s">
        <v>6787</v>
      </c>
    </row>
    <row r="2359" spans="1:3" ht="12.9" customHeight="1">
      <c r="A2359" s="381"/>
      <c r="B2359" s="381"/>
      <c r="C2359" s="381" t="s">
        <v>7999</v>
      </c>
    </row>
    <row r="2360" spans="1:3" ht="12.9" customHeight="1">
      <c r="A2360" s="381"/>
      <c r="B2360" s="381" t="s">
        <v>1276</v>
      </c>
      <c r="C2360" s="381" t="s">
        <v>8000</v>
      </c>
    </row>
    <row r="2361" spans="1:3" ht="12.9" customHeight="1">
      <c r="A2361" s="381"/>
      <c r="B2361" s="381"/>
      <c r="C2361" s="381" t="s">
        <v>8001</v>
      </c>
    </row>
    <row r="2362" spans="1:3" ht="12.9" customHeight="1">
      <c r="A2362" s="381"/>
      <c r="B2362" s="381" t="s">
        <v>4684</v>
      </c>
      <c r="C2362" s="381" t="s">
        <v>8002</v>
      </c>
    </row>
    <row r="2363" spans="1:3" ht="12.9" customHeight="1">
      <c r="A2363" s="381"/>
      <c r="B2363" s="381" t="s">
        <v>3284</v>
      </c>
      <c r="C2363" s="381" t="s">
        <v>8003</v>
      </c>
    </row>
    <row r="2364" spans="1:3" ht="12.9" customHeight="1">
      <c r="A2364" s="381"/>
      <c r="B2364" s="381" t="s">
        <v>3051</v>
      </c>
      <c r="C2364" s="381" t="s">
        <v>8004</v>
      </c>
    </row>
    <row r="2365" spans="1:3" ht="12.9" customHeight="1">
      <c r="A2365" s="381"/>
      <c r="B2365" s="381"/>
      <c r="C2365" s="381" t="s">
        <v>8005</v>
      </c>
    </row>
    <row r="2366" spans="1:3" ht="12.9" customHeight="1">
      <c r="A2366" s="381"/>
      <c r="B2366" s="381" t="s">
        <v>1461</v>
      </c>
      <c r="C2366" s="381" t="s">
        <v>8006</v>
      </c>
    </row>
    <row r="2367" spans="1:3" ht="12.9" customHeight="1">
      <c r="A2367" s="381"/>
      <c r="B2367" s="381" t="s">
        <v>3285</v>
      </c>
      <c r="C2367" s="381" t="s">
        <v>8007</v>
      </c>
    </row>
    <row r="2368" spans="1:3" ht="12.9" customHeight="1">
      <c r="A2368" s="381"/>
      <c r="B2368" s="381" t="s">
        <v>4677</v>
      </c>
      <c r="C2368" s="381" t="s">
        <v>8008</v>
      </c>
    </row>
    <row r="2369" spans="1:3" ht="12.9" customHeight="1">
      <c r="A2369" s="381"/>
      <c r="B2369" s="381" t="s">
        <v>5558</v>
      </c>
      <c r="C2369" s="381" t="s">
        <v>8009</v>
      </c>
    </row>
    <row r="2370" spans="1:3" ht="12.9" customHeight="1">
      <c r="A2370" s="381"/>
      <c r="B2370" s="381"/>
      <c r="C2370" s="381" t="s">
        <v>8010</v>
      </c>
    </row>
    <row r="2371" spans="1:3" ht="12.9" customHeight="1">
      <c r="A2371" s="381"/>
      <c r="B2371" s="381" t="s">
        <v>3217</v>
      </c>
      <c r="C2371" s="381" t="s">
        <v>8011</v>
      </c>
    </row>
    <row r="2372" spans="1:3" ht="12.9" customHeight="1">
      <c r="A2372" s="381"/>
      <c r="B2372" s="381" t="s">
        <v>378</v>
      </c>
      <c r="C2372" s="381" t="s">
        <v>8012</v>
      </c>
    </row>
    <row r="2373" spans="1:3" ht="12.9" customHeight="1">
      <c r="A2373" s="381"/>
      <c r="B2373" s="381" t="s">
        <v>2104</v>
      </c>
      <c r="C2373" s="381" t="s">
        <v>8013</v>
      </c>
    </row>
    <row r="2374" spans="1:3" ht="12.9" customHeight="1">
      <c r="A2374" s="381"/>
      <c r="B2374" s="381"/>
      <c r="C2374" s="381" t="s">
        <v>8014</v>
      </c>
    </row>
    <row r="2375" spans="1:3" ht="12.9" customHeight="1">
      <c r="A2375" s="381"/>
      <c r="B2375" s="381" t="s">
        <v>2773</v>
      </c>
      <c r="C2375" s="381" t="s">
        <v>8015</v>
      </c>
    </row>
    <row r="2376" spans="1:3" ht="12.9" customHeight="1">
      <c r="A2376" s="381"/>
      <c r="B2376" s="381" t="s">
        <v>2774</v>
      </c>
      <c r="C2376" s="381" t="s">
        <v>8016</v>
      </c>
    </row>
    <row r="2377" spans="1:3" ht="12.9" customHeight="1">
      <c r="A2377" s="381"/>
      <c r="B2377" s="381" t="s">
        <v>1349</v>
      </c>
      <c r="C2377" s="381" t="s">
        <v>8017</v>
      </c>
    </row>
    <row r="2378" spans="1:3" ht="12.9" customHeight="1">
      <c r="A2378" s="381"/>
      <c r="B2378" s="381" t="s">
        <v>1126</v>
      </c>
      <c r="C2378" s="381" t="s">
        <v>8018</v>
      </c>
    </row>
    <row r="2379" spans="1:3" ht="12.9" customHeight="1">
      <c r="A2379" s="381"/>
      <c r="B2379" s="381"/>
      <c r="C2379" s="381" t="s">
        <v>8019</v>
      </c>
    </row>
    <row r="2380" spans="1:3" ht="12.9" customHeight="1">
      <c r="A2380" s="381"/>
      <c r="B2380" s="381"/>
      <c r="C2380" s="381" t="s">
        <v>8020</v>
      </c>
    </row>
    <row r="2381" spans="1:3" ht="12.9" customHeight="1">
      <c r="A2381" s="381"/>
      <c r="B2381" s="381" t="s">
        <v>1802</v>
      </c>
      <c r="C2381" s="381" t="s">
        <v>8021</v>
      </c>
    </row>
    <row r="2382" spans="1:3" ht="12.9" customHeight="1">
      <c r="A2382" s="381"/>
      <c r="B2382" s="381"/>
      <c r="C2382" s="381" t="s">
        <v>8022</v>
      </c>
    </row>
    <row r="2383" spans="1:3" ht="12.9" customHeight="1">
      <c r="A2383" s="381"/>
      <c r="B2383" s="381" t="s">
        <v>3795</v>
      </c>
      <c r="C2383" s="381" t="s">
        <v>90</v>
      </c>
    </row>
    <row r="2384" spans="1:3" ht="12.9" customHeight="1">
      <c r="A2384" s="381"/>
      <c r="B2384" s="381"/>
      <c r="C2384" s="381" t="s">
        <v>1725</v>
      </c>
    </row>
    <row r="2385" spans="1:3" ht="12.9" customHeight="1">
      <c r="A2385" s="381"/>
      <c r="B2385" s="381" t="s">
        <v>3796</v>
      </c>
      <c r="C2385" s="381" t="s">
        <v>8023</v>
      </c>
    </row>
    <row r="2386" spans="1:3" ht="12.9" customHeight="1">
      <c r="A2386" s="381"/>
      <c r="B2386" s="381" t="s">
        <v>747</v>
      </c>
      <c r="C2386" s="381" t="s">
        <v>6422</v>
      </c>
    </row>
    <row r="2387" spans="1:3" ht="12.9" customHeight="1">
      <c r="A2387" s="381"/>
      <c r="B2387" s="381" t="s">
        <v>347</v>
      </c>
      <c r="C2387" s="381" t="s">
        <v>7154</v>
      </c>
    </row>
    <row r="2388" spans="1:3" ht="12.9" customHeight="1">
      <c r="A2388" s="381"/>
      <c r="B2388" s="381" t="s">
        <v>5658</v>
      </c>
      <c r="C2388" s="381" t="s">
        <v>8024</v>
      </c>
    </row>
    <row r="2389" spans="1:3" ht="12.9" customHeight="1">
      <c r="A2389" s="381"/>
      <c r="B2389" s="381" t="s">
        <v>4141</v>
      </c>
      <c r="C2389" s="381" t="s">
        <v>8025</v>
      </c>
    </row>
    <row r="2390" spans="1:3" ht="12.9" customHeight="1">
      <c r="A2390" s="381"/>
      <c r="B2390" s="381" t="s">
        <v>2548</v>
      </c>
      <c r="C2390" s="381" t="s">
        <v>8026</v>
      </c>
    </row>
    <row r="2391" spans="1:3" ht="12.9" customHeight="1">
      <c r="A2391" s="381"/>
      <c r="B2391" s="381" t="s">
        <v>4237</v>
      </c>
      <c r="C2391" s="381" t="s">
        <v>8027</v>
      </c>
    </row>
    <row r="2392" spans="1:3" ht="12.9" customHeight="1">
      <c r="A2392" s="381"/>
      <c r="B2392" s="381" t="s">
        <v>4516</v>
      </c>
      <c r="C2392" s="381" t="s">
        <v>8028</v>
      </c>
    </row>
    <row r="2393" spans="1:3" ht="12.9" customHeight="1">
      <c r="A2393" s="381"/>
      <c r="B2393" s="381" t="s">
        <v>4517</v>
      </c>
      <c r="C2393" s="381" t="s">
        <v>8029</v>
      </c>
    </row>
    <row r="2394" spans="1:3" ht="12.9" customHeight="1">
      <c r="A2394" s="381"/>
      <c r="B2394" s="381" t="s">
        <v>2129</v>
      </c>
      <c r="C2394" s="381" t="s">
        <v>8030</v>
      </c>
    </row>
    <row r="2395" spans="1:3" ht="12.9" customHeight="1">
      <c r="A2395" s="381"/>
      <c r="B2395" s="381" t="s">
        <v>603</v>
      </c>
      <c r="C2395" s="381" t="s">
        <v>8031</v>
      </c>
    </row>
    <row r="2396" spans="1:3" ht="12.9" customHeight="1">
      <c r="A2396" s="381"/>
      <c r="B2396" s="381" t="s">
        <v>2326</v>
      </c>
      <c r="C2396" s="381" t="s">
        <v>8032</v>
      </c>
    </row>
    <row r="2397" spans="1:3" ht="12.9" customHeight="1">
      <c r="A2397" s="381"/>
      <c r="B2397" s="381" t="s">
        <v>2597</v>
      </c>
      <c r="C2397" s="381" t="s">
        <v>8033</v>
      </c>
    </row>
    <row r="2398" spans="1:3" ht="12.9" customHeight="1">
      <c r="A2398" s="381"/>
      <c r="B2398" s="381" t="s">
        <v>348</v>
      </c>
      <c r="C2398" s="381" t="s">
        <v>8034</v>
      </c>
    </row>
    <row r="2399" spans="1:3" ht="12.9" customHeight="1">
      <c r="A2399" s="381"/>
      <c r="B2399" s="381" t="s">
        <v>349</v>
      </c>
      <c r="C2399" s="381" t="s">
        <v>8035</v>
      </c>
    </row>
    <row r="2400" spans="1:3" ht="12.9" customHeight="1">
      <c r="A2400" s="381"/>
      <c r="B2400" s="381" t="s">
        <v>5842</v>
      </c>
      <c r="C2400" s="381" t="s">
        <v>8036</v>
      </c>
    </row>
    <row r="2401" spans="1:3" ht="12.9" customHeight="1">
      <c r="A2401" s="381"/>
      <c r="B2401" s="381" t="s">
        <v>2327</v>
      </c>
      <c r="C2401" s="381" t="s">
        <v>8037</v>
      </c>
    </row>
    <row r="2402" spans="1:3" ht="12.9" customHeight="1">
      <c r="A2402" s="381"/>
      <c r="B2402" s="381" t="s">
        <v>1240</v>
      </c>
      <c r="C2402" s="381" t="s">
        <v>8038</v>
      </c>
    </row>
    <row r="2403" spans="1:3" ht="12.9" customHeight="1">
      <c r="A2403" s="381"/>
      <c r="B2403" s="381" t="s">
        <v>1329</v>
      </c>
      <c r="C2403" s="381" t="s">
        <v>8039</v>
      </c>
    </row>
    <row r="2404" spans="1:3" ht="12.9" customHeight="1">
      <c r="A2404" s="381"/>
      <c r="B2404" s="381" t="s">
        <v>1330</v>
      </c>
      <c r="C2404" s="381" t="s">
        <v>8040</v>
      </c>
    </row>
    <row r="2405" spans="1:3" ht="12.9" customHeight="1">
      <c r="A2405" s="381"/>
      <c r="B2405" s="381" t="s">
        <v>3911</v>
      </c>
      <c r="C2405" s="381" t="s">
        <v>8041</v>
      </c>
    </row>
    <row r="2406" spans="1:3" ht="12.9" customHeight="1">
      <c r="A2406" s="381"/>
      <c r="B2406" s="381" t="s">
        <v>2200</v>
      </c>
      <c r="C2406" s="381" t="s">
        <v>8042</v>
      </c>
    </row>
    <row r="2407" spans="1:3" ht="12.9" customHeight="1">
      <c r="A2407" s="381"/>
      <c r="B2407" s="381" t="s">
        <v>2201</v>
      </c>
      <c r="C2407" s="381" t="s">
        <v>8043</v>
      </c>
    </row>
    <row r="2408" spans="1:3" ht="12.9" customHeight="1">
      <c r="A2408" s="381"/>
      <c r="B2408" s="381" t="s">
        <v>5173</v>
      </c>
      <c r="C2408" s="381" t="s">
        <v>8044</v>
      </c>
    </row>
    <row r="2409" spans="1:3" ht="12.9" customHeight="1">
      <c r="A2409" s="381"/>
      <c r="B2409" s="381" t="s">
        <v>5173</v>
      </c>
      <c r="C2409" s="381" t="s">
        <v>8045</v>
      </c>
    </row>
    <row r="2410" spans="1:3" ht="12.9" customHeight="1">
      <c r="A2410" s="381"/>
      <c r="B2410" s="381" t="s">
        <v>139</v>
      </c>
      <c r="C2410" s="381" t="s">
        <v>8046</v>
      </c>
    </row>
    <row r="2411" spans="1:3" ht="12.9" customHeight="1">
      <c r="A2411" s="381"/>
      <c r="B2411" s="381" t="s">
        <v>4678</v>
      </c>
      <c r="C2411" s="381" t="s">
        <v>8047</v>
      </c>
    </row>
    <row r="2412" spans="1:3" ht="12.9" customHeight="1">
      <c r="A2412" s="381"/>
      <c r="B2412" s="381"/>
      <c r="C2412" s="381" t="s">
        <v>8048</v>
      </c>
    </row>
    <row r="2413" spans="1:3" ht="12.9" customHeight="1">
      <c r="A2413" s="381"/>
      <c r="B2413" s="381" t="s">
        <v>1840</v>
      </c>
      <c r="C2413" s="381" t="s">
        <v>8049</v>
      </c>
    </row>
    <row r="2414" spans="1:3" ht="12.9" customHeight="1">
      <c r="A2414" s="381"/>
      <c r="B2414" s="381" t="s">
        <v>1838</v>
      </c>
      <c r="C2414" s="381" t="s">
        <v>8050</v>
      </c>
    </row>
    <row r="2415" spans="1:3" ht="12.9" customHeight="1">
      <c r="A2415" s="381"/>
      <c r="B2415" s="381"/>
      <c r="C2415" s="381" t="s">
        <v>8051</v>
      </c>
    </row>
    <row r="2416" spans="1:3" ht="12.9" customHeight="1">
      <c r="A2416" s="381"/>
      <c r="B2416" s="381" t="s">
        <v>5656</v>
      </c>
      <c r="C2416" s="381" t="s">
        <v>8052</v>
      </c>
    </row>
    <row r="2417" spans="1:3" ht="12.9" customHeight="1">
      <c r="A2417" s="381"/>
      <c r="B2417" s="381" t="s">
        <v>5657</v>
      </c>
      <c r="C2417" s="381" t="s">
        <v>8052</v>
      </c>
    </row>
    <row r="2418" spans="1:3" ht="12.9" customHeight="1">
      <c r="A2418" s="381"/>
      <c r="B2418" s="381" t="s">
        <v>5843</v>
      </c>
      <c r="C2418" s="381" t="s">
        <v>8053</v>
      </c>
    </row>
    <row r="2419" spans="1:3" ht="12.9" customHeight="1">
      <c r="A2419" s="381"/>
      <c r="B2419" s="381" t="s">
        <v>5624</v>
      </c>
      <c r="C2419" s="381" t="s">
        <v>8054</v>
      </c>
    </row>
    <row r="2420" spans="1:3" ht="12.9" customHeight="1">
      <c r="A2420" s="381"/>
      <c r="B2420" s="381" t="s">
        <v>2064</v>
      </c>
      <c r="C2420" s="381" t="s">
        <v>8055</v>
      </c>
    </row>
    <row r="2421" spans="1:3" ht="12.9" customHeight="1">
      <c r="A2421" s="381"/>
      <c r="B2421" s="381" t="s">
        <v>2065</v>
      </c>
      <c r="C2421" s="381" t="s">
        <v>8056</v>
      </c>
    </row>
    <row r="2422" spans="1:3" ht="12.9" customHeight="1">
      <c r="A2422" s="381"/>
      <c r="B2422" s="381" t="s">
        <v>2066</v>
      </c>
      <c r="C2422" s="381" t="s">
        <v>8057</v>
      </c>
    </row>
    <row r="2423" spans="1:3" ht="12.9" customHeight="1">
      <c r="A2423" s="381"/>
      <c r="B2423" s="381" t="s">
        <v>1841</v>
      </c>
      <c r="C2423" s="381" t="s">
        <v>8058</v>
      </c>
    </row>
    <row r="2424" spans="1:3" ht="12.9" customHeight="1">
      <c r="A2424" s="381"/>
      <c r="B2424" s="381"/>
      <c r="C2424" s="381" t="s">
        <v>8059</v>
      </c>
    </row>
    <row r="2425" spans="1:3" ht="12.9" customHeight="1">
      <c r="A2425" s="381"/>
      <c r="B2425" s="381" t="s">
        <v>2068</v>
      </c>
      <c r="C2425" s="381" t="s">
        <v>8060</v>
      </c>
    </row>
    <row r="2426" spans="1:3" ht="12.9" customHeight="1">
      <c r="A2426" s="381"/>
      <c r="B2426" s="381" t="s">
        <v>2012</v>
      </c>
      <c r="C2426" s="381" t="s">
        <v>8061</v>
      </c>
    </row>
    <row r="2427" spans="1:3" ht="12.9" customHeight="1">
      <c r="A2427" s="381"/>
      <c r="B2427" s="381"/>
      <c r="C2427" s="381" t="s">
        <v>8062</v>
      </c>
    </row>
    <row r="2428" spans="1:3" ht="12.9" customHeight="1">
      <c r="A2428" s="381"/>
      <c r="B2428" s="381"/>
      <c r="C2428" s="381" t="s">
        <v>8063</v>
      </c>
    </row>
    <row r="2429" spans="1:3" ht="12.9" customHeight="1">
      <c r="A2429" s="381"/>
      <c r="B2429" s="381"/>
      <c r="C2429" s="381" t="s">
        <v>8064</v>
      </c>
    </row>
    <row r="2430" spans="1:3" ht="12.9" customHeight="1">
      <c r="A2430" s="381"/>
      <c r="B2430" s="381" t="s">
        <v>2013</v>
      </c>
      <c r="C2430" s="381" t="s">
        <v>91</v>
      </c>
    </row>
    <row r="2431" spans="1:3" ht="12.9" customHeight="1">
      <c r="A2431" s="381"/>
      <c r="B2431" s="381" t="s">
        <v>3984</v>
      </c>
      <c r="C2431" s="381" t="s">
        <v>8065</v>
      </c>
    </row>
    <row r="2432" spans="1:3" ht="12.9" customHeight="1">
      <c r="A2432" s="381"/>
      <c r="B2432" s="381" t="s">
        <v>3705</v>
      </c>
      <c r="C2432" s="381" t="s">
        <v>8066</v>
      </c>
    </row>
    <row r="2433" spans="1:3" ht="12.9" customHeight="1">
      <c r="A2433" s="381"/>
      <c r="B2433" s="381"/>
      <c r="C2433" s="381" t="s">
        <v>8067</v>
      </c>
    </row>
    <row r="2434" spans="1:3" ht="12.9" customHeight="1">
      <c r="A2434" s="381"/>
      <c r="B2434" s="381"/>
      <c r="C2434" s="381" t="s">
        <v>8068</v>
      </c>
    </row>
    <row r="2435" spans="1:3" ht="12.9" customHeight="1">
      <c r="A2435" s="381"/>
      <c r="B2435" s="381" t="s">
        <v>1730</v>
      </c>
      <c r="C2435" s="381" t="s">
        <v>8072</v>
      </c>
    </row>
    <row r="2436" spans="1:3" ht="12.9" customHeight="1">
      <c r="A2436" s="381"/>
      <c r="B2436" s="381" t="s">
        <v>4148</v>
      </c>
      <c r="C2436" s="381" t="s">
        <v>8073</v>
      </c>
    </row>
    <row r="2437" spans="1:3" ht="12.9" customHeight="1">
      <c r="A2437" s="381"/>
      <c r="B2437" s="381" t="s">
        <v>4149</v>
      </c>
      <c r="C2437" s="381" t="s">
        <v>8074</v>
      </c>
    </row>
    <row r="2438" spans="1:3" ht="12.9" customHeight="1">
      <c r="A2438" s="381"/>
      <c r="B2438" s="381" t="s">
        <v>4150</v>
      </c>
      <c r="C2438" s="381" t="s">
        <v>8075</v>
      </c>
    </row>
    <row r="2439" spans="1:3" ht="12.9" customHeight="1">
      <c r="A2439" s="381"/>
      <c r="B2439" s="381" t="s">
        <v>3797</v>
      </c>
      <c r="C2439" s="381" t="s">
        <v>8076</v>
      </c>
    </row>
    <row r="2440" spans="1:3" ht="12.9" customHeight="1">
      <c r="A2440" s="381"/>
      <c r="B2440" s="381" t="s">
        <v>5623</v>
      </c>
      <c r="C2440" s="381" t="s">
        <v>8077</v>
      </c>
    </row>
    <row r="2441" spans="1:3" ht="12.9" customHeight="1">
      <c r="A2441" s="381"/>
      <c r="B2441" s="381" t="s">
        <v>3798</v>
      </c>
      <c r="C2441" s="381" t="s">
        <v>8078</v>
      </c>
    </row>
    <row r="2442" spans="1:3" ht="12.9" customHeight="1">
      <c r="A2442" s="381"/>
      <c r="B2442" s="381" t="s">
        <v>4680</v>
      </c>
      <c r="C2442" s="381" t="s">
        <v>8079</v>
      </c>
    </row>
    <row r="2443" spans="1:3" ht="12.9" customHeight="1">
      <c r="A2443" s="381"/>
      <c r="B2443" s="381"/>
      <c r="C2443" s="442" t="s">
        <v>8080</v>
      </c>
    </row>
    <row r="2444" spans="1:3" ht="12.9" customHeight="1">
      <c r="A2444" s="381"/>
      <c r="B2444" s="381"/>
      <c r="C2444" s="442" t="s">
        <v>8081</v>
      </c>
    </row>
    <row r="2445" spans="1:3" ht="12.9" customHeight="1">
      <c r="A2445" s="381"/>
      <c r="B2445" s="381" t="s">
        <v>4414</v>
      </c>
      <c r="C2445" s="381" t="s">
        <v>8082</v>
      </c>
    </row>
    <row r="2446" spans="1:3" ht="12.9" customHeight="1">
      <c r="A2446" s="381"/>
      <c r="B2446" s="381" t="s">
        <v>4415</v>
      </c>
      <c r="C2446" s="381" t="s">
        <v>8083</v>
      </c>
    </row>
    <row r="2447" spans="1:3" ht="12.9" customHeight="1">
      <c r="A2447" s="381"/>
      <c r="B2447" s="381" t="s">
        <v>3929</v>
      </c>
      <c r="C2447" s="381" t="s">
        <v>8084</v>
      </c>
    </row>
    <row r="2448" spans="1:3" ht="12.9" customHeight="1">
      <c r="A2448" s="381"/>
      <c r="B2448" s="381" t="s">
        <v>3930</v>
      </c>
      <c r="C2448" s="381" t="s">
        <v>8085</v>
      </c>
    </row>
    <row r="2449" spans="1:3" ht="12.9" customHeight="1">
      <c r="A2449" s="381"/>
      <c r="B2449" s="381" t="s">
        <v>3931</v>
      </c>
      <c r="C2449" s="381" t="s">
        <v>8086</v>
      </c>
    </row>
    <row r="2450" spans="1:3" ht="12.9" customHeight="1">
      <c r="A2450" s="381"/>
      <c r="B2450" s="381" t="s">
        <v>3932</v>
      </c>
      <c r="C2450" s="381" t="s">
        <v>8087</v>
      </c>
    </row>
    <row r="2451" spans="1:3" ht="12.9" customHeight="1">
      <c r="A2451" s="381"/>
      <c r="B2451" s="381" t="s">
        <v>1005</v>
      </c>
      <c r="C2451" s="381" t="s">
        <v>8088</v>
      </c>
    </row>
    <row r="2452" spans="1:3" ht="12.9" customHeight="1">
      <c r="A2452" s="381"/>
      <c r="B2452" s="381"/>
      <c r="C2452" s="381" t="s">
        <v>8089</v>
      </c>
    </row>
    <row r="2453" spans="1:3" ht="12.9" customHeight="1">
      <c r="A2453" s="381"/>
      <c r="B2453" s="381" t="s">
        <v>4087</v>
      </c>
      <c r="C2453" s="381" t="s">
        <v>8090</v>
      </c>
    </row>
    <row r="2454" spans="1:3" ht="12.9" customHeight="1">
      <c r="A2454" s="381"/>
      <c r="B2454" s="381" t="s">
        <v>1391</v>
      </c>
      <c r="C2454" s="381" t="s">
        <v>8091</v>
      </c>
    </row>
    <row r="2455" spans="1:3" ht="12.9" customHeight="1">
      <c r="A2455" s="381"/>
      <c r="B2455" s="381" t="s">
        <v>2164</v>
      </c>
      <c r="C2455" s="381" t="s">
        <v>8092</v>
      </c>
    </row>
    <row r="2456" spans="1:3" ht="12.9" customHeight="1">
      <c r="A2456" s="381"/>
      <c r="B2456" s="381" t="s">
        <v>1722</v>
      </c>
      <c r="C2456" s="381" t="s">
        <v>8093</v>
      </c>
    </row>
    <row r="2457" spans="1:3" ht="12.9" customHeight="1">
      <c r="A2457" s="381"/>
      <c r="B2457" s="381" t="s">
        <v>538</v>
      </c>
      <c r="C2457" s="381" t="s">
        <v>8094</v>
      </c>
    </row>
    <row r="2458" spans="1:3" ht="12.9" customHeight="1">
      <c r="A2458" s="381"/>
      <c r="B2458" s="381" t="s">
        <v>5030</v>
      </c>
      <c r="C2458" s="381" t="s">
        <v>8095</v>
      </c>
    </row>
    <row r="2459" spans="1:3" ht="12.9" customHeight="1">
      <c r="A2459" s="381"/>
      <c r="B2459" s="381" t="s">
        <v>754</v>
      </c>
      <c r="C2459" s="381" t="s">
        <v>8096</v>
      </c>
    </row>
    <row r="2460" spans="1:3" ht="12.9" customHeight="1">
      <c r="A2460" s="381"/>
      <c r="B2460" s="381" t="s">
        <v>4753</v>
      </c>
      <c r="C2460" s="381" t="s">
        <v>8097</v>
      </c>
    </row>
    <row r="2461" spans="1:3" ht="12.9" customHeight="1">
      <c r="A2461" s="381"/>
      <c r="B2461" s="381" t="s">
        <v>3910</v>
      </c>
      <c r="C2461" s="381" t="s">
        <v>8098</v>
      </c>
    </row>
    <row r="2462" spans="1:3" ht="12.9" customHeight="1">
      <c r="A2462" s="381"/>
      <c r="B2462" s="381" t="s">
        <v>1281</v>
      </c>
      <c r="C2462" s="381" t="s">
        <v>8099</v>
      </c>
    </row>
    <row r="2463" spans="1:3" ht="12.9" customHeight="1">
      <c r="A2463" s="381"/>
      <c r="B2463" s="381" t="s">
        <v>1723</v>
      </c>
      <c r="C2463" s="381" t="s">
        <v>8100</v>
      </c>
    </row>
    <row r="2464" spans="1:3" ht="12.9" customHeight="1">
      <c r="A2464" s="381"/>
      <c r="B2464" s="381" t="s">
        <v>496</v>
      </c>
      <c r="C2464" s="381" t="s">
        <v>8101</v>
      </c>
    </row>
    <row r="2465" spans="1:3" ht="12.9" customHeight="1">
      <c r="A2465" s="381"/>
      <c r="B2465" s="381" t="s">
        <v>1335</v>
      </c>
      <c r="C2465" s="381" t="s">
        <v>8102</v>
      </c>
    </row>
    <row r="2466" spans="1:3" ht="12.9" customHeight="1">
      <c r="A2466" s="381"/>
      <c r="B2466" s="381"/>
      <c r="C2466" s="381" t="s">
        <v>8103</v>
      </c>
    </row>
    <row r="2467" spans="1:3" ht="12.9" customHeight="1">
      <c r="A2467" s="381"/>
      <c r="B2467" s="381" t="s">
        <v>1074</v>
      </c>
      <c r="C2467" s="381" t="s">
        <v>8104</v>
      </c>
    </row>
    <row r="2468" spans="1:3" ht="12.9" customHeight="1">
      <c r="A2468" s="381"/>
      <c r="B2468" s="381"/>
      <c r="C2468" s="381" t="s">
        <v>8105</v>
      </c>
    </row>
    <row r="2469" spans="1:3" ht="12.9" customHeight="1">
      <c r="A2469" s="381"/>
      <c r="B2469" s="381" t="s">
        <v>3774</v>
      </c>
      <c r="C2469" s="381" t="s">
        <v>8106</v>
      </c>
    </row>
    <row r="2470" spans="1:3" ht="12.9" customHeight="1">
      <c r="A2470" s="381"/>
      <c r="B2470" s="381"/>
      <c r="C2470" s="381" t="s">
        <v>8107</v>
      </c>
    </row>
    <row r="2471" spans="1:3" ht="12.9" customHeight="1">
      <c r="A2471" s="381"/>
      <c r="B2471" s="381"/>
      <c r="C2471" s="381" t="s">
        <v>8108</v>
      </c>
    </row>
    <row r="2472" spans="1:3" ht="12.9" customHeight="1">
      <c r="A2472" s="381"/>
      <c r="B2472" s="381"/>
      <c r="C2472" s="381" t="s">
        <v>8109</v>
      </c>
    </row>
    <row r="2473" spans="1:3" ht="12.9" customHeight="1">
      <c r="A2473" s="381"/>
      <c r="B2473" s="381"/>
      <c r="C2473" s="381" t="s">
        <v>8110</v>
      </c>
    </row>
    <row r="2474" spans="1:3" ht="12.9" customHeight="1">
      <c r="A2474" s="381"/>
      <c r="B2474" s="381"/>
      <c r="C2474" s="442" t="s">
        <v>8111</v>
      </c>
    </row>
    <row r="2475" spans="1:3" ht="12.9" customHeight="1">
      <c r="A2475" s="381"/>
      <c r="B2475" s="381"/>
      <c r="C2475" s="381" t="s">
        <v>8112</v>
      </c>
    </row>
    <row r="2476" spans="1:3" ht="12.9" customHeight="1">
      <c r="A2476" s="381"/>
      <c r="B2476" s="381" t="s">
        <v>4681</v>
      </c>
      <c r="C2476" s="381" t="s">
        <v>8113</v>
      </c>
    </row>
    <row r="2477" spans="1:3" ht="12.9" customHeight="1">
      <c r="A2477" s="381"/>
      <c r="B2477" s="381" t="s">
        <v>1731</v>
      </c>
      <c r="C2477" s="381" t="s">
        <v>8114</v>
      </c>
    </row>
    <row r="2478" spans="1:3" ht="12.9" customHeight="1">
      <c r="A2478" s="381"/>
      <c r="B2478" s="381" t="s">
        <v>3337</v>
      </c>
      <c r="C2478" s="381" t="s">
        <v>8115</v>
      </c>
    </row>
    <row r="2479" spans="1:3" ht="12.9" customHeight="1">
      <c r="A2479" s="381"/>
      <c r="B2479" s="381" t="s">
        <v>3215</v>
      </c>
      <c r="C2479" s="381" t="s">
        <v>8116</v>
      </c>
    </row>
    <row r="2480" spans="1:3" ht="12.9" customHeight="1">
      <c r="A2480" s="381"/>
      <c r="B2480" s="381" t="s">
        <v>3216</v>
      </c>
      <c r="C2480" s="381" t="s">
        <v>8117</v>
      </c>
    </row>
    <row r="2481" spans="1:3" ht="12.9" customHeight="1">
      <c r="A2481" s="381"/>
      <c r="B2481" s="381" t="s">
        <v>3218</v>
      </c>
      <c r="C2481" s="381" t="s">
        <v>8118</v>
      </c>
    </row>
    <row r="2482" spans="1:3" ht="12.9" customHeight="1">
      <c r="A2482" s="381"/>
      <c r="B2482" s="381" t="s">
        <v>2236</v>
      </c>
      <c r="C2482" s="381" t="s">
        <v>8119</v>
      </c>
    </row>
    <row r="2483" spans="1:3" ht="12.9" customHeight="1">
      <c r="A2483" s="381"/>
      <c r="B2483" s="381" t="s">
        <v>2237</v>
      </c>
      <c r="C2483" s="381" t="s">
        <v>8120</v>
      </c>
    </row>
    <row r="2484" spans="1:3" ht="12.9" customHeight="1">
      <c r="A2484" s="381"/>
      <c r="B2484" s="381" t="s">
        <v>5425</v>
      </c>
      <c r="C2484" s="381" t="s">
        <v>8069</v>
      </c>
    </row>
    <row r="2485" spans="1:3" ht="12.9" customHeight="1">
      <c r="A2485" s="381"/>
      <c r="B2485" s="381"/>
      <c r="C2485" s="381" t="s">
        <v>8070</v>
      </c>
    </row>
    <row r="2486" spans="1:3" ht="12.9" customHeight="1">
      <c r="A2486" s="381"/>
      <c r="B2486" s="381" t="s">
        <v>5426</v>
      </c>
      <c r="C2486" s="381" t="s">
        <v>8071</v>
      </c>
    </row>
    <row r="2487" spans="1:3" ht="12.9" customHeight="1">
      <c r="A2487" s="381"/>
      <c r="B2487" s="381" t="s">
        <v>4679</v>
      </c>
      <c r="C2487" s="381" t="s">
        <v>8121</v>
      </c>
    </row>
    <row r="2488" spans="1:3" ht="12.9" customHeight="1">
      <c r="A2488" s="381"/>
      <c r="B2488" s="381" t="s">
        <v>1606</v>
      </c>
      <c r="C2488" s="381" t="s">
        <v>8122</v>
      </c>
    </row>
    <row r="2489" spans="1:3" ht="12.9" customHeight="1">
      <c r="A2489" s="381"/>
      <c r="B2489" s="381" t="s">
        <v>1607</v>
      </c>
      <c r="C2489" s="381" t="s">
        <v>8123</v>
      </c>
    </row>
    <row r="2490" spans="1:3" ht="12.9" customHeight="1">
      <c r="A2490" s="381"/>
      <c r="B2490" s="381" t="s">
        <v>1608</v>
      </c>
      <c r="C2490" s="381" t="s">
        <v>8124</v>
      </c>
    </row>
    <row r="2491" spans="1:3" ht="12.9" customHeight="1">
      <c r="A2491" s="381"/>
      <c r="B2491" s="381" t="s">
        <v>1609</v>
      </c>
      <c r="C2491" s="381" t="s">
        <v>8125</v>
      </c>
    </row>
    <row r="2492" spans="1:3" ht="12.9" customHeight="1">
      <c r="A2492" s="381"/>
      <c r="B2492" s="381"/>
      <c r="C2492" s="381" t="s">
        <v>8126</v>
      </c>
    </row>
    <row r="2493" spans="1:3" ht="12.9" customHeight="1">
      <c r="A2493" s="381"/>
      <c r="B2493" s="381"/>
      <c r="C2493" s="381" t="s">
        <v>8127</v>
      </c>
    </row>
    <row r="2494" spans="1:3" ht="12.9" customHeight="1">
      <c r="A2494" s="381"/>
      <c r="B2494" s="381" t="s">
        <v>1610</v>
      </c>
      <c r="C2494" s="381" t="s">
        <v>8128</v>
      </c>
    </row>
    <row r="2495" spans="1:3" ht="12.9" customHeight="1">
      <c r="A2495" s="381"/>
      <c r="B2495" s="381"/>
      <c r="C2495" s="381" t="s">
        <v>8129</v>
      </c>
    </row>
    <row r="2496" spans="1:3" ht="12.9" customHeight="1">
      <c r="A2496" s="381"/>
      <c r="B2496" s="381" t="s">
        <v>3912</v>
      </c>
      <c r="C2496" s="381" t="s">
        <v>8130</v>
      </c>
    </row>
    <row r="2497" spans="1:3" ht="12.9" customHeight="1">
      <c r="A2497" s="381"/>
      <c r="B2497" s="381" t="s">
        <v>2565</v>
      </c>
      <c r="C2497" s="381" t="s">
        <v>8131</v>
      </c>
    </row>
    <row r="2498" spans="1:3" ht="12.9" customHeight="1">
      <c r="A2498" s="381"/>
      <c r="B2498" s="381" t="s">
        <v>2566</v>
      </c>
      <c r="C2498" s="381" t="s">
        <v>8132</v>
      </c>
    </row>
    <row r="2499" spans="1:3" ht="12.9" customHeight="1">
      <c r="A2499" s="381"/>
      <c r="B2499" s="381" t="s">
        <v>5627</v>
      </c>
      <c r="C2499" s="381" t="s">
        <v>8133</v>
      </c>
    </row>
    <row r="2500" spans="1:3" ht="12.9" customHeight="1">
      <c r="A2500" s="381"/>
      <c r="B2500" s="381"/>
      <c r="C2500" s="381" t="s">
        <v>8134</v>
      </c>
    </row>
    <row r="2501" spans="1:3" ht="12.9" customHeight="1">
      <c r="A2501" s="381"/>
      <c r="B2501" s="381" t="s">
        <v>5176</v>
      </c>
      <c r="C2501" s="381" t="s">
        <v>8144</v>
      </c>
    </row>
    <row r="2502" spans="1:3" ht="12.9" customHeight="1">
      <c r="A2502" s="381"/>
      <c r="B2502" s="381"/>
      <c r="C2502" s="381" t="s">
        <v>8145</v>
      </c>
    </row>
    <row r="2503" spans="1:3" ht="12.9" customHeight="1">
      <c r="A2503" s="381"/>
      <c r="B2503" s="381" t="s">
        <v>2567</v>
      </c>
      <c r="C2503" s="381" t="s">
        <v>8146</v>
      </c>
    </row>
    <row r="2504" spans="1:3" ht="12.9" customHeight="1">
      <c r="A2504" s="381"/>
      <c r="B2504" s="381" t="s">
        <v>537</v>
      </c>
      <c r="C2504" s="381" t="s">
        <v>8147</v>
      </c>
    </row>
    <row r="2505" spans="1:3" ht="12.9" customHeight="1">
      <c r="A2505" s="381"/>
      <c r="B2505" s="381" t="s">
        <v>2202</v>
      </c>
      <c r="C2505" s="381" t="s">
        <v>8148</v>
      </c>
    </row>
    <row r="2506" spans="1:3" ht="12.9" customHeight="1">
      <c r="A2506" s="381"/>
      <c r="B2506" s="381" t="s">
        <v>2203</v>
      </c>
      <c r="C2506" s="381" t="s">
        <v>8149</v>
      </c>
    </row>
    <row r="2507" spans="1:3" ht="12.9" customHeight="1">
      <c r="A2507" s="381"/>
      <c r="B2507" s="381"/>
      <c r="C2507" s="381" t="s">
        <v>8150</v>
      </c>
    </row>
    <row r="2508" spans="1:3" ht="12.9" customHeight="1">
      <c r="A2508" s="381"/>
      <c r="B2508" s="381"/>
      <c r="C2508" s="381" t="s">
        <v>8151</v>
      </c>
    </row>
    <row r="2509" spans="1:3" ht="12.9" customHeight="1">
      <c r="A2509" s="381"/>
      <c r="B2509" s="381"/>
      <c r="C2509" s="381" t="s">
        <v>8152</v>
      </c>
    </row>
    <row r="2510" spans="1:3" ht="12.9" customHeight="1">
      <c r="A2510" s="381"/>
      <c r="B2510" s="381"/>
      <c r="C2510" s="381" t="s">
        <v>8153</v>
      </c>
    </row>
    <row r="2511" spans="1:3" ht="12.9" customHeight="1">
      <c r="A2511" s="381"/>
      <c r="B2511" s="381" t="s">
        <v>433</v>
      </c>
      <c r="C2511" s="381" t="s">
        <v>8154</v>
      </c>
    </row>
    <row r="2512" spans="1:3" ht="12.9" customHeight="1">
      <c r="A2512" s="381"/>
      <c r="B2512" s="381" t="s">
        <v>434</v>
      </c>
      <c r="C2512" s="381" t="s">
        <v>8155</v>
      </c>
    </row>
    <row r="2513" spans="1:3" ht="12.9" customHeight="1">
      <c r="A2513" s="381"/>
      <c r="B2513" s="381" t="s">
        <v>2151</v>
      </c>
      <c r="C2513" s="381" t="s">
        <v>8156</v>
      </c>
    </row>
    <row r="2514" spans="1:3" ht="12.9" customHeight="1">
      <c r="A2514" s="381"/>
      <c r="B2514" s="381" t="s">
        <v>5718</v>
      </c>
      <c r="C2514" s="381" t="s">
        <v>8157</v>
      </c>
    </row>
    <row r="2515" spans="1:3" ht="12.9" customHeight="1">
      <c r="A2515" s="381"/>
      <c r="B2515" s="381" t="s">
        <v>2659</v>
      </c>
      <c r="C2515" s="381" t="s">
        <v>8158</v>
      </c>
    </row>
    <row r="2516" spans="1:3" ht="12.9" customHeight="1">
      <c r="A2516" s="381"/>
      <c r="B2516" s="381" t="s">
        <v>4620</v>
      </c>
      <c r="C2516" s="381" t="s">
        <v>8159</v>
      </c>
    </row>
    <row r="2517" spans="1:3" ht="12.9" customHeight="1">
      <c r="A2517" s="381"/>
      <c r="B2517" s="381"/>
      <c r="C2517" s="381" t="s">
        <v>8160</v>
      </c>
    </row>
    <row r="2518" spans="1:3" ht="12.9" customHeight="1">
      <c r="A2518" s="381"/>
      <c r="B2518" s="381" t="s">
        <v>435</v>
      </c>
      <c r="C2518" s="381" t="s">
        <v>8161</v>
      </c>
    </row>
    <row r="2519" spans="1:3" ht="12.9" customHeight="1">
      <c r="A2519" s="381"/>
      <c r="B2519" s="381"/>
      <c r="C2519" s="381" t="s">
        <v>8162</v>
      </c>
    </row>
    <row r="2520" spans="1:3" ht="12.9" customHeight="1">
      <c r="A2520" s="381"/>
      <c r="B2520" s="381" t="s">
        <v>2945</v>
      </c>
      <c r="C2520" s="381" t="s">
        <v>8163</v>
      </c>
    </row>
    <row r="2521" spans="1:3" ht="12.9" customHeight="1">
      <c r="A2521" s="381"/>
      <c r="B2521" s="381" t="s">
        <v>5894</v>
      </c>
      <c r="C2521" s="381" t="s">
        <v>8164</v>
      </c>
    </row>
    <row r="2522" spans="1:3" ht="12.9" customHeight="1">
      <c r="A2522" s="381"/>
      <c r="B2522" s="381" t="s">
        <v>2063</v>
      </c>
      <c r="C2522" s="381" t="s">
        <v>8165</v>
      </c>
    </row>
    <row r="2523" spans="1:3" ht="12.9" customHeight="1">
      <c r="A2523" s="381"/>
      <c r="B2523" s="381" t="s">
        <v>1350</v>
      </c>
      <c r="C2523" s="381" t="s">
        <v>8166</v>
      </c>
    </row>
    <row r="2524" spans="1:3" ht="12.9" customHeight="1">
      <c r="A2524" s="381"/>
      <c r="B2524" s="381" t="s">
        <v>1351</v>
      </c>
      <c r="C2524" s="381" t="s">
        <v>8167</v>
      </c>
    </row>
    <row r="2525" spans="1:3" ht="12.9" customHeight="1">
      <c r="A2525" s="381"/>
      <c r="B2525" s="381" t="s">
        <v>1352</v>
      </c>
      <c r="C2525" s="381" t="s">
        <v>8168</v>
      </c>
    </row>
    <row r="2526" spans="1:3" ht="12.9" customHeight="1">
      <c r="A2526" s="381"/>
      <c r="B2526" s="381" t="s">
        <v>1353</v>
      </c>
      <c r="C2526" s="381" t="s">
        <v>8169</v>
      </c>
    </row>
    <row r="2527" spans="1:3" ht="12.9" customHeight="1">
      <c r="A2527" s="381"/>
      <c r="B2527" s="381" t="s">
        <v>4437</v>
      </c>
      <c r="C2527" s="381" t="s">
        <v>8170</v>
      </c>
    </row>
    <row r="2528" spans="1:3" ht="12.9" customHeight="1">
      <c r="A2528" s="381"/>
      <c r="B2528" s="381" t="s">
        <v>678</v>
      </c>
      <c r="C2528" s="381" t="s">
        <v>8171</v>
      </c>
    </row>
    <row r="2529" spans="1:3" ht="12.9" customHeight="1">
      <c r="A2529" s="381"/>
      <c r="B2529" s="381" t="s">
        <v>679</v>
      </c>
      <c r="C2529" s="381" t="s">
        <v>8172</v>
      </c>
    </row>
    <row r="2530" spans="1:3" ht="12.9" customHeight="1">
      <c r="A2530" s="381"/>
      <c r="B2530" s="381" t="s">
        <v>3049</v>
      </c>
      <c r="C2530" s="381" t="s">
        <v>8173</v>
      </c>
    </row>
    <row r="2531" spans="1:3" ht="12.9" customHeight="1">
      <c r="A2531" s="381"/>
      <c r="B2531" s="381" t="s">
        <v>2067</v>
      </c>
      <c r="C2531" s="381" t="s">
        <v>8174</v>
      </c>
    </row>
    <row r="2532" spans="1:3" ht="12.9" customHeight="1">
      <c r="A2532" s="381"/>
      <c r="B2532" s="381" t="s">
        <v>121</v>
      </c>
      <c r="C2532" s="381" t="s">
        <v>8175</v>
      </c>
    </row>
    <row r="2533" spans="1:3" ht="12.9" customHeight="1">
      <c r="A2533" s="381"/>
      <c r="B2533" s="381" t="s">
        <v>1277</v>
      </c>
      <c r="C2533" s="381" t="s">
        <v>8176</v>
      </c>
    </row>
    <row r="2534" spans="1:3" ht="12.9" customHeight="1">
      <c r="A2534" s="381"/>
      <c r="B2534" s="381" t="s">
        <v>1278</v>
      </c>
      <c r="C2534" s="381" t="s">
        <v>8177</v>
      </c>
    </row>
    <row r="2535" spans="1:3" ht="12.9" customHeight="1">
      <c r="A2535" s="381"/>
      <c r="B2535" s="381" t="s">
        <v>1279</v>
      </c>
      <c r="C2535" s="381" t="s">
        <v>8178</v>
      </c>
    </row>
    <row r="2536" spans="1:3" ht="12.9" customHeight="1">
      <c r="A2536" s="381"/>
      <c r="B2536" s="381" t="s">
        <v>1280</v>
      </c>
      <c r="C2536" s="381" t="s">
        <v>8179</v>
      </c>
    </row>
    <row r="2537" spans="1:3" ht="12.9" customHeight="1">
      <c r="A2537" s="381"/>
      <c r="B2537" s="381" t="s">
        <v>2234</v>
      </c>
      <c r="C2537" s="442" t="s">
        <v>8180</v>
      </c>
    </row>
    <row r="2538" spans="1:3" ht="12.9" customHeight="1">
      <c r="A2538" s="381"/>
      <c r="B2538" s="381" t="s">
        <v>2014</v>
      </c>
      <c r="C2538" s="442" t="s">
        <v>8181</v>
      </c>
    </row>
    <row r="2539" spans="1:3" ht="12.9" customHeight="1">
      <c r="A2539" s="381"/>
      <c r="B2539" s="381" t="s">
        <v>2015</v>
      </c>
      <c r="C2539" s="381" t="s">
        <v>8182</v>
      </c>
    </row>
    <row r="2540" spans="1:3" ht="12.9" customHeight="1">
      <c r="A2540" s="381"/>
      <c r="B2540" s="381" t="s">
        <v>2016</v>
      </c>
      <c r="C2540" s="381" t="s">
        <v>8183</v>
      </c>
    </row>
    <row r="2541" spans="1:3" ht="12.9" customHeight="1">
      <c r="A2541" s="381"/>
      <c r="B2541" s="381" t="s">
        <v>2017</v>
      </c>
      <c r="C2541" s="381" t="s">
        <v>8184</v>
      </c>
    </row>
    <row r="2542" spans="1:3" ht="12.9" customHeight="1">
      <c r="A2542" s="381"/>
      <c r="B2542" s="381" t="s">
        <v>2018</v>
      </c>
      <c r="C2542" s="381" t="s">
        <v>8185</v>
      </c>
    </row>
    <row r="2543" spans="1:3" ht="12.9" customHeight="1">
      <c r="A2543" s="381"/>
      <c r="B2543" s="381" t="s">
        <v>2019</v>
      </c>
      <c r="C2543" s="381" t="s">
        <v>8186</v>
      </c>
    </row>
    <row r="2544" spans="1:3" ht="12.9" customHeight="1">
      <c r="A2544" s="381"/>
      <c r="B2544" s="381" t="s">
        <v>2020</v>
      </c>
      <c r="C2544" s="381" t="s">
        <v>8187</v>
      </c>
    </row>
    <row r="2545" spans="1:3" ht="12.9" customHeight="1">
      <c r="A2545" s="381"/>
      <c r="B2545" s="381" t="s">
        <v>2021</v>
      </c>
      <c r="C2545" s="381" t="s">
        <v>8188</v>
      </c>
    </row>
    <row r="2546" spans="1:3" ht="12.9" customHeight="1">
      <c r="A2546" s="381"/>
      <c r="B2546" s="381" t="s">
        <v>4860</v>
      </c>
      <c r="C2546" s="381" t="s">
        <v>8189</v>
      </c>
    </row>
    <row r="2547" spans="1:3" ht="12.9" customHeight="1">
      <c r="A2547" s="381"/>
      <c r="B2547" s="381" t="s">
        <v>5329</v>
      </c>
      <c r="C2547" s="381" t="s">
        <v>8190</v>
      </c>
    </row>
    <row r="2548" spans="1:3" ht="12.9" customHeight="1">
      <c r="A2548" s="381"/>
      <c r="B2548" s="381" t="s">
        <v>1602</v>
      </c>
      <c r="C2548" s="381" t="s">
        <v>8191</v>
      </c>
    </row>
    <row r="2549" spans="1:3" ht="12.9" customHeight="1">
      <c r="A2549" s="381"/>
      <c r="B2549" s="381" t="s">
        <v>1603</v>
      </c>
      <c r="C2549" s="381" t="s">
        <v>8192</v>
      </c>
    </row>
    <row r="2550" spans="1:3" ht="12.9" customHeight="1">
      <c r="A2550" s="381"/>
      <c r="B2550" s="381" t="s">
        <v>3050</v>
      </c>
      <c r="C2550" s="381" t="s">
        <v>8193</v>
      </c>
    </row>
    <row r="2551" spans="1:3" ht="12.9" customHeight="1">
      <c r="A2551" s="381"/>
      <c r="B2551" s="381"/>
      <c r="C2551" s="381" t="s">
        <v>8194</v>
      </c>
    </row>
    <row r="2552" spans="1:3" ht="12.9" customHeight="1">
      <c r="A2552" s="381"/>
      <c r="B2552" s="381"/>
      <c r="C2552" s="381" t="s">
        <v>8195</v>
      </c>
    </row>
    <row r="2553" spans="1:3" ht="12.9" customHeight="1">
      <c r="A2553" s="381"/>
      <c r="B2553" s="381"/>
      <c r="C2553" s="381" t="s">
        <v>8135</v>
      </c>
    </row>
    <row r="2554" spans="1:3" ht="12.9" customHeight="1">
      <c r="A2554" s="381"/>
      <c r="B2554" s="381"/>
      <c r="C2554" s="381" t="s">
        <v>8136</v>
      </c>
    </row>
    <row r="2555" spans="1:3" ht="12.9" customHeight="1">
      <c r="A2555" s="381"/>
      <c r="B2555" s="381"/>
      <c r="C2555" s="381" t="s">
        <v>8137</v>
      </c>
    </row>
    <row r="2556" spans="1:3" ht="12.9" customHeight="1">
      <c r="A2556" s="381"/>
      <c r="B2556" s="381"/>
      <c r="C2556" s="381" t="s">
        <v>8138</v>
      </c>
    </row>
    <row r="2557" spans="1:3" ht="12.9" customHeight="1">
      <c r="A2557" s="381"/>
      <c r="B2557" s="381"/>
      <c r="C2557" s="381" t="s">
        <v>8139</v>
      </c>
    </row>
    <row r="2558" spans="1:3" ht="12.9" customHeight="1">
      <c r="A2558" s="381"/>
      <c r="B2558" s="381"/>
      <c r="C2558" s="381" t="s">
        <v>8140</v>
      </c>
    </row>
    <row r="2559" spans="1:3" ht="12.9" customHeight="1">
      <c r="A2559" s="381"/>
      <c r="B2559" s="381"/>
      <c r="C2559" s="381" t="s">
        <v>8141</v>
      </c>
    </row>
    <row r="2560" spans="1:3" ht="12.9" customHeight="1">
      <c r="A2560" s="381"/>
      <c r="B2560" s="381"/>
      <c r="C2560" s="381" t="s">
        <v>8142</v>
      </c>
    </row>
    <row r="2561" spans="1:3" ht="12.9" customHeight="1">
      <c r="A2561" s="381"/>
      <c r="B2561" s="381"/>
      <c r="C2561" s="381" t="s">
        <v>8143</v>
      </c>
    </row>
    <row r="2562" spans="1:3" ht="12.9" customHeight="1">
      <c r="A2562" s="381"/>
      <c r="B2562" s="381"/>
      <c r="C2562" s="381" t="s">
        <v>8196</v>
      </c>
    </row>
    <row r="2563" spans="1:3" ht="12.9" customHeight="1">
      <c r="A2563" s="381"/>
      <c r="B2563" s="381"/>
      <c r="C2563" s="381" t="s">
        <v>8197</v>
      </c>
    </row>
    <row r="2564" spans="1:3" ht="12.9" customHeight="1">
      <c r="A2564" s="381"/>
      <c r="B2564" s="381"/>
      <c r="C2564" s="381" t="s">
        <v>8198</v>
      </c>
    </row>
    <row r="2565" spans="1:3" ht="12.9" customHeight="1">
      <c r="A2565" s="381"/>
      <c r="B2565" s="381"/>
      <c r="C2565" s="381" t="s">
        <v>8199</v>
      </c>
    </row>
    <row r="2566" spans="1:3" ht="12.9" customHeight="1">
      <c r="A2566" s="381"/>
      <c r="B2566" s="381"/>
      <c r="C2566" s="381" t="s">
        <v>8200</v>
      </c>
    </row>
    <row r="2567" spans="1:3" ht="12.9" customHeight="1">
      <c r="A2567" s="381"/>
      <c r="B2567" s="381"/>
      <c r="C2567" s="381" t="s">
        <v>8201</v>
      </c>
    </row>
    <row r="2568" spans="1:3" ht="12.9" customHeight="1">
      <c r="A2568" s="381"/>
      <c r="B2568" s="381"/>
      <c r="C2568" s="381" t="s">
        <v>8202</v>
      </c>
    </row>
    <row r="2569" spans="1:3" ht="12.9" customHeight="1">
      <c r="A2569" s="381"/>
      <c r="B2569" s="381"/>
      <c r="C2569" s="381" t="s">
        <v>8203</v>
      </c>
    </row>
    <row r="2570" spans="1:3" ht="12.9" customHeight="1">
      <c r="A2570" s="381"/>
      <c r="B2570" s="381"/>
      <c r="C2570" s="381" t="s">
        <v>8204</v>
      </c>
    </row>
    <row r="2571" spans="1:3" ht="12.9" customHeight="1">
      <c r="A2571" s="381"/>
      <c r="B2571" s="381"/>
      <c r="C2571" s="381" t="s">
        <v>8205</v>
      </c>
    </row>
    <row r="2572" spans="1:3" ht="12.9" customHeight="1">
      <c r="A2572" s="381"/>
      <c r="B2572" s="381"/>
      <c r="C2572" s="381" t="s">
        <v>8206</v>
      </c>
    </row>
    <row r="2573" spans="1:3" ht="12.9" customHeight="1">
      <c r="A2573" s="381"/>
      <c r="B2573" s="381"/>
      <c r="C2573" s="381" t="s">
        <v>8207</v>
      </c>
    </row>
    <row r="2574" spans="1:3" ht="12.9" customHeight="1">
      <c r="A2574" s="381"/>
      <c r="B2574" s="381"/>
      <c r="C2574" s="381" t="s">
        <v>8208</v>
      </c>
    </row>
    <row r="2575" spans="1:3" ht="12.9" customHeight="1">
      <c r="A2575" s="381"/>
      <c r="B2575" s="381"/>
      <c r="C2575" s="381" t="s">
        <v>8209</v>
      </c>
    </row>
    <row r="2576" spans="1:3" ht="12.9" customHeight="1">
      <c r="A2576" s="381"/>
      <c r="B2576" s="381"/>
      <c r="C2576" s="381" t="s">
        <v>8210</v>
      </c>
    </row>
    <row r="2577" spans="1:3" ht="12.9" customHeight="1">
      <c r="A2577" s="381"/>
      <c r="B2577" s="381"/>
      <c r="C2577" s="381" t="s">
        <v>8211</v>
      </c>
    </row>
    <row r="2578" spans="1:3" ht="12.9" customHeight="1">
      <c r="A2578" s="381"/>
      <c r="B2578" s="381"/>
      <c r="C2578" s="381" t="s">
        <v>8212</v>
      </c>
    </row>
    <row r="2579" spans="1:3" ht="12.9" customHeight="1">
      <c r="A2579" s="381"/>
      <c r="B2579" s="381"/>
      <c r="C2579" s="381" t="s">
        <v>8213</v>
      </c>
    </row>
    <row r="2580" spans="1:3" ht="12.9" customHeight="1">
      <c r="A2580" s="381"/>
      <c r="B2580" s="381" t="s">
        <v>1839</v>
      </c>
      <c r="C2580" s="381" t="s">
        <v>8214</v>
      </c>
    </row>
    <row r="2581" spans="1:3" ht="12.9" customHeight="1">
      <c r="A2581" s="381"/>
      <c r="B2581" s="381" t="s">
        <v>3077</v>
      </c>
      <c r="C2581" s="381" t="s">
        <v>8215</v>
      </c>
    </row>
    <row r="2582" spans="1:3" ht="12.9" customHeight="1">
      <c r="A2582" s="381"/>
      <c r="B2582" s="381" t="s">
        <v>3422</v>
      </c>
      <c r="C2582" s="381" t="s">
        <v>8216</v>
      </c>
    </row>
    <row r="2583" spans="1:3" ht="12.9" customHeight="1">
      <c r="A2583" s="381"/>
      <c r="B2583" s="381"/>
      <c r="C2583" s="381" t="s">
        <v>8217</v>
      </c>
    </row>
    <row r="2584" spans="1:3" ht="12.9" customHeight="1">
      <c r="A2584" s="381"/>
      <c r="B2584" s="381"/>
      <c r="C2584" s="381" t="s">
        <v>8218</v>
      </c>
    </row>
    <row r="2585" spans="1:3" ht="12.9" customHeight="1">
      <c r="A2585" s="381"/>
      <c r="B2585" s="381"/>
      <c r="C2585" s="381" t="s">
        <v>8219</v>
      </c>
    </row>
    <row r="2586" spans="1:3" ht="12.9" customHeight="1">
      <c r="A2586" s="381"/>
      <c r="B2586" s="381"/>
      <c r="C2586" s="381" t="s">
        <v>8220</v>
      </c>
    </row>
    <row r="2587" spans="1:3" ht="12.9" customHeight="1">
      <c r="A2587" s="381"/>
      <c r="B2587" s="381"/>
      <c r="C2587" s="381" t="s">
        <v>8221</v>
      </c>
    </row>
    <row r="2588" spans="1:3" ht="12.9" customHeight="1">
      <c r="A2588" s="381"/>
      <c r="B2588" s="381"/>
      <c r="C2588" s="381" t="s">
        <v>8222</v>
      </c>
    </row>
    <row r="2589" spans="1:3" ht="12.9" customHeight="1">
      <c r="A2589" s="381"/>
      <c r="B2589" s="381"/>
      <c r="C2589" s="381" t="s">
        <v>8223</v>
      </c>
    </row>
    <row r="2590" spans="1:3" ht="12.9" customHeight="1">
      <c r="A2590" s="381"/>
      <c r="B2590" s="381" t="s">
        <v>5175</v>
      </c>
      <c r="C2590" s="381" t="s">
        <v>8224</v>
      </c>
    </row>
    <row r="2591" spans="1:3" ht="12.9" customHeight="1">
      <c r="A2591" s="381"/>
      <c r="B2591" s="381" t="s">
        <v>700</v>
      </c>
      <c r="C2591" s="381" t="s">
        <v>8225</v>
      </c>
    </row>
    <row r="2592" spans="1:3" ht="12.9" customHeight="1">
      <c r="A2592" s="381"/>
      <c r="B2592" s="381"/>
      <c r="C2592" s="381" t="s">
        <v>8226</v>
      </c>
    </row>
    <row r="2593" spans="1:3" ht="12.9" customHeight="1">
      <c r="A2593" s="381"/>
      <c r="B2593" s="381"/>
      <c r="C2593" s="381" t="s">
        <v>8227</v>
      </c>
    </row>
    <row r="2594" spans="1:3" ht="12.9" customHeight="1">
      <c r="A2594" s="381"/>
      <c r="B2594" s="381"/>
      <c r="C2594" s="381" t="s">
        <v>8228</v>
      </c>
    </row>
    <row r="2595" spans="1:3" ht="12.9" customHeight="1">
      <c r="A2595" s="381"/>
      <c r="B2595" s="381"/>
      <c r="C2595" s="381" t="s">
        <v>8229</v>
      </c>
    </row>
    <row r="2596" spans="1:3" ht="12.9" customHeight="1">
      <c r="A2596" s="381"/>
      <c r="B2596" s="381"/>
      <c r="C2596" s="381" t="s">
        <v>8230</v>
      </c>
    </row>
    <row r="2597" spans="1:3" ht="12.9" customHeight="1">
      <c r="A2597" s="381"/>
      <c r="B2597" s="381"/>
      <c r="C2597" s="381" t="s">
        <v>8231</v>
      </c>
    </row>
    <row r="2598" spans="1:3" ht="12.9" customHeight="1">
      <c r="A2598" s="381"/>
      <c r="B2598" s="381"/>
      <c r="C2598" s="381" t="s">
        <v>8232</v>
      </c>
    </row>
    <row r="2599" spans="1:3" ht="12.9" customHeight="1">
      <c r="A2599" s="381"/>
      <c r="B2599" s="381"/>
      <c r="C2599" s="381" t="s">
        <v>8233</v>
      </c>
    </row>
    <row r="2600" spans="1:3" ht="12.9" customHeight="1">
      <c r="A2600" s="381"/>
      <c r="B2600" s="381"/>
      <c r="C2600" s="381" t="s">
        <v>8234</v>
      </c>
    </row>
    <row r="2601" spans="1:3" ht="12.9" customHeight="1">
      <c r="A2601" s="381"/>
      <c r="B2601" s="381"/>
      <c r="C2601" s="381" t="s">
        <v>8235</v>
      </c>
    </row>
    <row r="2602" spans="1:3" ht="12.9" customHeight="1">
      <c r="A2602" s="381"/>
      <c r="B2602" s="381"/>
      <c r="C2602" s="381" t="s">
        <v>8236</v>
      </c>
    </row>
    <row r="2603" spans="1:3" ht="12.9" customHeight="1">
      <c r="A2603" s="381"/>
      <c r="B2603" s="381"/>
      <c r="C2603" s="381" t="s">
        <v>8237</v>
      </c>
    </row>
    <row r="2604" spans="1:3" ht="12.9" customHeight="1">
      <c r="A2604" s="381"/>
      <c r="B2604" s="381"/>
      <c r="C2604" s="381" t="s">
        <v>8238</v>
      </c>
    </row>
    <row r="2605" spans="1:3" ht="12.9" customHeight="1">
      <c r="A2605" s="381"/>
      <c r="B2605" s="381"/>
      <c r="C2605" s="381" t="s">
        <v>8239</v>
      </c>
    </row>
    <row r="2606" spans="1:3" ht="12.9" customHeight="1">
      <c r="A2606" s="381"/>
      <c r="B2606" s="381"/>
      <c r="C2606" s="381" t="s">
        <v>8240</v>
      </c>
    </row>
    <row r="2607" spans="1:3" ht="12.9" customHeight="1">
      <c r="A2607" s="381"/>
      <c r="B2607" s="381"/>
      <c r="C2607" s="381" t="s">
        <v>8241</v>
      </c>
    </row>
    <row r="2608" spans="1:3" ht="12.9" customHeight="1">
      <c r="A2608" s="381"/>
      <c r="B2608" s="381"/>
      <c r="C2608" s="381" t="s">
        <v>8242</v>
      </c>
    </row>
    <row r="2609" spans="1:3" ht="12.9" customHeight="1">
      <c r="A2609" s="381"/>
      <c r="B2609" s="381"/>
      <c r="C2609" s="381" t="s">
        <v>8243</v>
      </c>
    </row>
    <row r="2610" spans="1:3" ht="12.9" customHeight="1">
      <c r="A2610" s="381"/>
      <c r="B2610" s="381" t="s">
        <v>1548</v>
      </c>
      <c r="C2610" s="381" t="s">
        <v>763</v>
      </c>
    </row>
    <row r="2611" spans="1:3" ht="12.9" customHeight="1">
      <c r="A2611" s="381"/>
      <c r="B2611" s="381" t="s">
        <v>5156</v>
      </c>
      <c r="C2611" s="381" t="s">
        <v>8244</v>
      </c>
    </row>
    <row r="2612" spans="1:3" ht="12.9" customHeight="1">
      <c r="A2612" s="381"/>
      <c r="B2612" s="381"/>
      <c r="C2612" s="381" t="s">
        <v>8245</v>
      </c>
    </row>
    <row r="2613" spans="1:3" ht="12.9" customHeight="1">
      <c r="A2613" s="381"/>
      <c r="B2613" s="381"/>
      <c r="C2613" s="381" t="s">
        <v>8246</v>
      </c>
    </row>
    <row r="2614" spans="1:3" ht="12.9" customHeight="1">
      <c r="A2614" s="381"/>
      <c r="B2614" s="381"/>
      <c r="C2614" s="381" t="s">
        <v>8247</v>
      </c>
    </row>
    <row r="2615" spans="1:3" ht="12.9" customHeight="1">
      <c r="A2615" s="381"/>
      <c r="B2615" s="381"/>
      <c r="C2615" s="381" t="s">
        <v>8248</v>
      </c>
    </row>
    <row r="2616" spans="1:3" ht="12.9" customHeight="1">
      <c r="A2616" s="381"/>
      <c r="B2616" s="381"/>
      <c r="C2616" s="381" t="s">
        <v>8249</v>
      </c>
    </row>
    <row r="2617" spans="1:3" ht="12.9" customHeight="1">
      <c r="A2617" s="381"/>
      <c r="B2617" s="381" t="s">
        <v>1125</v>
      </c>
      <c r="C2617" s="381" t="s">
        <v>8250</v>
      </c>
    </row>
    <row r="2618" spans="1:3" ht="12.9" customHeight="1">
      <c r="A2618" s="381"/>
      <c r="B2618" s="381" t="s">
        <v>5991</v>
      </c>
      <c r="C2618" s="381" t="s">
        <v>8251</v>
      </c>
    </row>
    <row r="2619" spans="1:3" ht="12.9" customHeight="1">
      <c r="A2619" s="381"/>
      <c r="B2619" s="381" t="s">
        <v>5992</v>
      </c>
      <c r="C2619" s="381" t="s">
        <v>8252</v>
      </c>
    </row>
    <row r="2620" spans="1:3" ht="12.9" customHeight="1">
      <c r="A2620" s="381"/>
      <c r="B2620" s="381" t="s">
        <v>3235</v>
      </c>
      <c r="C2620" s="381" t="s">
        <v>8253</v>
      </c>
    </row>
    <row r="2621" spans="1:3" ht="12.9" customHeight="1">
      <c r="A2621" s="381"/>
      <c r="B2621" s="381" t="s">
        <v>5741</v>
      </c>
      <c r="C2621" s="381" t="s">
        <v>8254</v>
      </c>
    </row>
    <row r="2622" spans="1:3" ht="12.9" customHeight="1">
      <c r="A2622" s="381"/>
      <c r="B2622" s="381"/>
      <c r="C2622" s="381" t="s">
        <v>1858</v>
      </c>
    </row>
    <row r="2623" spans="1:3" ht="12.9" customHeight="1">
      <c r="A2623" s="381"/>
      <c r="B2623" s="381" t="s">
        <v>2805</v>
      </c>
      <c r="C2623" s="381" t="s">
        <v>472</v>
      </c>
    </row>
    <row r="2624" spans="1:3" ht="12.9" customHeight="1">
      <c r="A2624" s="381"/>
      <c r="B2624" s="381" t="s">
        <v>2806</v>
      </c>
      <c r="C2624" s="442" t="s">
        <v>8255</v>
      </c>
    </row>
    <row r="2625" spans="1:3" ht="12.9" customHeight="1">
      <c r="A2625" s="381"/>
      <c r="B2625" s="381" t="s">
        <v>2740</v>
      </c>
      <c r="C2625" s="381" t="s">
        <v>1859</v>
      </c>
    </row>
    <row r="2626" spans="1:3" ht="12.9" customHeight="1">
      <c r="A2626" s="381" t="s">
        <v>1882</v>
      </c>
      <c r="B2626" s="381" t="s">
        <v>1275</v>
      </c>
      <c r="C2626" s="381" t="s">
        <v>2132</v>
      </c>
    </row>
    <row r="2627" spans="1:3" ht="12.9" customHeight="1">
      <c r="A2627" s="381" t="s">
        <v>5967</v>
      </c>
      <c r="B2627" s="381" t="s">
        <v>3771</v>
      </c>
      <c r="C2627" s="381" t="s">
        <v>8256</v>
      </c>
    </row>
    <row r="2628" spans="1:3" ht="12.9" customHeight="1">
      <c r="A2628" s="381" t="s">
        <v>3907</v>
      </c>
      <c r="B2628" s="381" t="s">
        <v>4675</v>
      </c>
      <c r="C2628" s="381" t="s">
        <v>966</v>
      </c>
    </row>
    <row r="2629" spans="1:3" ht="12.75" customHeight="1">
      <c r="A2629" s="321"/>
      <c r="B2629" s="321" t="s">
        <v>3453</v>
      </c>
      <c r="C2629" s="321" t="s">
        <v>4942</v>
      </c>
    </row>
    <row r="2630" spans="1:3" ht="12.75" customHeight="1">
      <c r="A2630" s="321"/>
      <c r="B2630" s="321" t="s">
        <v>5848</v>
      </c>
      <c r="C2630" s="321" t="s">
        <v>8257</v>
      </c>
    </row>
    <row r="2631" spans="1:3" ht="12.75" customHeight="1">
      <c r="A2631" s="321"/>
      <c r="B2631" s="321" t="s">
        <v>1470</v>
      </c>
      <c r="C2631" s="321" t="s">
        <v>5867</v>
      </c>
    </row>
    <row r="2632" spans="1:3" ht="12.75" customHeight="1">
      <c r="A2632" s="321"/>
      <c r="B2632" s="321" t="s">
        <v>2218</v>
      </c>
      <c r="C2632" s="321" t="s">
        <v>8258</v>
      </c>
    </row>
    <row r="2633" spans="1:3" ht="12.75" customHeight="1">
      <c r="B2633" t="s">
        <v>3086</v>
      </c>
      <c r="C2633" t="s">
        <v>8259</v>
      </c>
    </row>
    <row r="2634" spans="1:3" ht="12.75" customHeight="1">
      <c r="B2634" t="s">
        <v>4091</v>
      </c>
      <c r="C2634" t="s">
        <v>1506</v>
      </c>
    </row>
    <row r="2635" spans="1:3" ht="12.75" customHeight="1">
      <c r="B2635" t="s">
        <v>2365</v>
      </c>
      <c r="C2635" t="s">
        <v>2487</v>
      </c>
    </row>
    <row r="2636" spans="1:3" ht="12.75" customHeight="1">
      <c r="C2636" t="s">
        <v>8260</v>
      </c>
    </row>
    <row r="2637" spans="1:3" ht="12.75" customHeight="1">
      <c r="B2637" t="s">
        <v>2843</v>
      </c>
      <c r="C2637" t="s">
        <v>8261</v>
      </c>
    </row>
    <row r="2638" spans="1:3" ht="12.75" customHeight="1">
      <c r="B2638" t="s">
        <v>5340</v>
      </c>
      <c r="C2638" t="s">
        <v>8262</v>
      </c>
    </row>
    <row r="2639" spans="1:3" ht="12.75" customHeight="1">
      <c r="B2639" t="s">
        <v>3524</v>
      </c>
      <c r="C2639" t="s">
        <v>8263</v>
      </c>
    </row>
    <row r="2640" spans="1:3" ht="12.75" customHeight="1">
      <c r="B2640" t="s">
        <v>4126</v>
      </c>
      <c r="C2640" t="s">
        <v>8264</v>
      </c>
    </row>
    <row r="2641" spans="2:3" ht="12.75" customHeight="1">
      <c r="B2641" t="s">
        <v>2150</v>
      </c>
      <c r="C2641" t="s">
        <v>8265</v>
      </c>
    </row>
    <row r="2642" spans="2:3" ht="12.75" customHeight="1">
      <c r="B2642" t="s">
        <v>4483</v>
      </c>
      <c r="C2642" t="s">
        <v>8266</v>
      </c>
    </row>
    <row r="2643" spans="2:3" ht="12.75" customHeight="1">
      <c r="B2643" t="s">
        <v>5929</v>
      </c>
      <c r="C2643" t="s">
        <v>8267</v>
      </c>
    </row>
    <row r="2644" spans="2:3" ht="12.75" customHeight="1">
      <c r="B2644" t="s">
        <v>1728</v>
      </c>
      <c r="C2644" t="s">
        <v>8268</v>
      </c>
    </row>
    <row r="2645" spans="2:3" ht="12.75" customHeight="1">
      <c r="B2645" t="s">
        <v>2588</v>
      </c>
      <c r="C2645" t="s">
        <v>8269</v>
      </c>
    </row>
    <row r="2646" spans="2:3" ht="12.75" customHeight="1">
      <c r="B2646" t="s">
        <v>3863</v>
      </c>
      <c r="C2646" t="s">
        <v>8270</v>
      </c>
    </row>
    <row r="2647" spans="2:3" ht="12.75" customHeight="1">
      <c r="B2647" t="s">
        <v>5883</v>
      </c>
      <c r="C2647" t="s">
        <v>8271</v>
      </c>
    </row>
    <row r="2648" spans="2:3" ht="12.75" customHeight="1">
      <c r="B2648" t="s">
        <v>5884</v>
      </c>
      <c r="C2648" t="s">
        <v>8272</v>
      </c>
    </row>
    <row r="2649" spans="2:3" ht="12.75" customHeight="1">
      <c r="B2649" t="s">
        <v>5885</v>
      </c>
      <c r="C2649" t="s">
        <v>8273</v>
      </c>
    </row>
    <row r="2650" spans="2:3" ht="12.75" customHeight="1">
      <c r="B2650" t="s">
        <v>3937</v>
      </c>
      <c r="C2650" t="s">
        <v>8256</v>
      </c>
    </row>
    <row r="2651" spans="2:3" ht="12.75" customHeight="1">
      <c r="B2651" t="s">
        <v>3938</v>
      </c>
      <c r="C2651" t="s">
        <v>8274</v>
      </c>
    </row>
    <row r="2652" spans="2:3" ht="12.75" customHeight="1">
      <c r="B2652" t="s">
        <v>3939</v>
      </c>
      <c r="C2652" t="s">
        <v>8275</v>
      </c>
    </row>
    <row r="2653" spans="2:3" ht="12.75" customHeight="1">
      <c r="B2653" t="s">
        <v>3940</v>
      </c>
      <c r="C2653" t="s">
        <v>8276</v>
      </c>
    </row>
    <row r="2654" spans="2:3" ht="12.75" customHeight="1">
      <c r="B2654" t="s">
        <v>3417</v>
      </c>
      <c r="C2654" t="s">
        <v>8277</v>
      </c>
    </row>
    <row r="2655" spans="2:3" ht="12.75" customHeight="1">
      <c r="B2655" t="s">
        <v>3418</v>
      </c>
      <c r="C2655" t="s">
        <v>8278</v>
      </c>
    </row>
    <row r="2656" spans="2:3" ht="12.75" customHeight="1">
      <c r="B2656" t="s">
        <v>3419</v>
      </c>
      <c r="C2656" t="s">
        <v>8279</v>
      </c>
    </row>
    <row r="2657" spans="2:3" ht="12.75" customHeight="1">
      <c r="B2657" t="s">
        <v>3420</v>
      </c>
      <c r="C2657" t="s">
        <v>8280</v>
      </c>
    </row>
    <row r="2658" spans="2:3" ht="12.75" customHeight="1">
      <c r="B2658" t="s">
        <v>4385</v>
      </c>
      <c r="C2658" t="s">
        <v>8281</v>
      </c>
    </row>
    <row r="2659" spans="2:3" ht="12.75" customHeight="1">
      <c r="B2659" t="s">
        <v>4386</v>
      </c>
      <c r="C2659" t="s">
        <v>8282</v>
      </c>
    </row>
    <row r="2660" spans="2:3" ht="12.75" customHeight="1">
      <c r="B2660" t="s">
        <v>2587</v>
      </c>
      <c r="C2660" t="s">
        <v>8283</v>
      </c>
    </row>
    <row r="2661" spans="2:3" ht="12.75" customHeight="1">
      <c r="B2661" t="s">
        <v>2886</v>
      </c>
      <c r="C2661" t="s">
        <v>8284</v>
      </c>
    </row>
    <row r="2662" spans="2:3" ht="12.75" customHeight="1">
      <c r="B2662" t="s">
        <v>2887</v>
      </c>
      <c r="C2662" t="s">
        <v>8285</v>
      </c>
    </row>
    <row r="2663" spans="2:3" ht="12.75" customHeight="1">
      <c r="B2663" t="s">
        <v>2888</v>
      </c>
      <c r="C2663" t="s">
        <v>8286</v>
      </c>
    </row>
    <row r="2664" spans="2:3" ht="12.75" customHeight="1">
      <c r="B2664" t="s">
        <v>978</v>
      </c>
      <c r="C2664" t="s">
        <v>8287</v>
      </c>
    </row>
    <row r="2665" spans="2:3" ht="12.75" customHeight="1">
      <c r="B2665" t="s">
        <v>979</v>
      </c>
      <c r="C2665" t="s">
        <v>8288</v>
      </c>
    </row>
    <row r="2666" spans="2:3" ht="12.75" customHeight="1">
      <c r="B2666" t="s">
        <v>980</v>
      </c>
      <c r="C2666" t="s">
        <v>8289</v>
      </c>
    </row>
    <row r="2667" spans="2:3" ht="12.75" customHeight="1">
      <c r="B2667" t="s">
        <v>4778</v>
      </c>
      <c r="C2667" t="s">
        <v>8290</v>
      </c>
    </row>
    <row r="2668" spans="2:3" ht="12.75" customHeight="1">
      <c r="B2668" t="s">
        <v>4779</v>
      </c>
      <c r="C2668" t="s">
        <v>764</v>
      </c>
    </row>
    <row r="2669" spans="2:3" ht="12.75" customHeight="1">
      <c r="B2669" t="s">
        <v>4780</v>
      </c>
      <c r="C2669" t="s">
        <v>8291</v>
      </c>
    </row>
    <row r="2670" spans="2:3" ht="12.75" customHeight="1">
      <c r="B2670" t="s">
        <v>4781</v>
      </c>
      <c r="C2670" t="s">
        <v>8292</v>
      </c>
    </row>
    <row r="2671" spans="2:3" ht="12.75" customHeight="1">
      <c r="B2671" t="s">
        <v>4417</v>
      </c>
      <c r="C2671" t="s">
        <v>8293</v>
      </c>
    </row>
    <row r="2672" spans="2:3" ht="12.75" customHeight="1">
      <c r="B2672" t="s">
        <v>3449</v>
      </c>
      <c r="C2672" t="s">
        <v>8294</v>
      </c>
    </row>
    <row r="2673" spans="2:3" ht="12.75" customHeight="1">
      <c r="B2673" t="s">
        <v>3450</v>
      </c>
      <c r="C2673" t="s">
        <v>8295</v>
      </c>
    </row>
    <row r="2674" spans="2:3" ht="12.75" customHeight="1">
      <c r="B2674" t="s">
        <v>3451</v>
      </c>
      <c r="C2674" t="s">
        <v>8296</v>
      </c>
    </row>
    <row r="2675" spans="2:3" ht="12.75" customHeight="1">
      <c r="B2675" t="s">
        <v>2027</v>
      </c>
      <c r="C2675" t="s">
        <v>5580</v>
      </c>
    </row>
    <row r="2676" spans="2:3" ht="12.75" customHeight="1">
      <c r="B2676" t="s">
        <v>2028</v>
      </c>
      <c r="C2676" t="s">
        <v>8297</v>
      </c>
    </row>
    <row r="2677" spans="2:3" ht="12.75" customHeight="1">
      <c r="B2677" t="s">
        <v>1914</v>
      </c>
      <c r="C2677" t="s">
        <v>8298</v>
      </c>
    </row>
    <row r="2678" spans="2:3" ht="12.75" customHeight="1">
      <c r="B2678" t="s">
        <v>954</v>
      </c>
      <c r="C2678" t="s">
        <v>8299</v>
      </c>
    </row>
    <row r="2679" spans="2:3" ht="12.75" customHeight="1">
      <c r="B2679" t="s">
        <v>3882</v>
      </c>
      <c r="C2679" t="s">
        <v>8300</v>
      </c>
    </row>
    <row r="2680" spans="2:3" ht="12.75" customHeight="1">
      <c r="B2680" t="s">
        <v>3883</v>
      </c>
      <c r="C2680" t="s">
        <v>8301</v>
      </c>
    </row>
    <row r="2681" spans="2:3" ht="12.75" customHeight="1">
      <c r="B2681" t="s">
        <v>5484</v>
      </c>
      <c r="C2681" s="246" t="s">
        <v>8302</v>
      </c>
    </row>
    <row r="2682" spans="2:3" ht="12.75" customHeight="1">
      <c r="B2682" t="s">
        <v>2181</v>
      </c>
      <c r="C2682" t="s">
        <v>765</v>
      </c>
    </row>
    <row r="2683" spans="2:3" ht="12.75" customHeight="1">
      <c r="B2683" t="s">
        <v>2826</v>
      </c>
      <c r="C2683" t="s">
        <v>766</v>
      </c>
    </row>
    <row r="2684" spans="2:3" ht="12.75" customHeight="1">
      <c r="B2684" t="s">
        <v>2827</v>
      </c>
      <c r="C2684" t="s">
        <v>767</v>
      </c>
    </row>
    <row r="2685" spans="2:3" ht="12.75" customHeight="1">
      <c r="B2685" t="s">
        <v>2828</v>
      </c>
      <c r="C2685" t="s">
        <v>768</v>
      </c>
    </row>
    <row r="2686" spans="2:3" ht="12.75" customHeight="1">
      <c r="B2686" t="s">
        <v>621</v>
      </c>
      <c r="C2686" t="s">
        <v>769</v>
      </c>
    </row>
    <row r="2687" spans="2:3" ht="12.75" customHeight="1">
      <c r="B2687" t="s">
        <v>1922</v>
      </c>
      <c r="C2687" t="s">
        <v>770</v>
      </c>
    </row>
    <row r="2688" spans="2:3" ht="12.75" customHeight="1">
      <c r="B2688" t="s">
        <v>1923</v>
      </c>
      <c r="C2688" t="s">
        <v>8303</v>
      </c>
    </row>
    <row r="2689" spans="2:3" ht="12.75" customHeight="1">
      <c r="B2689" t="s">
        <v>1924</v>
      </c>
      <c r="C2689" t="s">
        <v>771</v>
      </c>
    </row>
    <row r="2690" spans="2:3" ht="12.75" customHeight="1">
      <c r="B2690" t="s">
        <v>1925</v>
      </c>
      <c r="C2690" t="s">
        <v>772</v>
      </c>
    </row>
    <row r="2691" spans="2:3" ht="12.75" customHeight="1">
      <c r="B2691" t="s">
        <v>1926</v>
      </c>
      <c r="C2691" t="s">
        <v>773</v>
      </c>
    </row>
    <row r="2692" spans="2:3" ht="12.75" customHeight="1">
      <c r="B2692" t="s">
        <v>1927</v>
      </c>
      <c r="C2692" t="s">
        <v>4941</v>
      </c>
    </row>
    <row r="2693" spans="2:3" ht="12.75" customHeight="1">
      <c r="B2693" t="s">
        <v>1928</v>
      </c>
      <c r="C2693" t="s">
        <v>774</v>
      </c>
    </row>
    <row r="2694" spans="2:3" ht="12.75" customHeight="1">
      <c r="B2694" t="s">
        <v>1929</v>
      </c>
      <c r="C2694" t="s">
        <v>8304</v>
      </c>
    </row>
    <row r="2695" spans="2:3" ht="12.75" customHeight="1">
      <c r="B2695" t="s">
        <v>1930</v>
      </c>
      <c r="C2695" t="s">
        <v>775</v>
      </c>
    </row>
    <row r="2696" spans="2:3" ht="12.75" customHeight="1">
      <c r="B2696" t="s">
        <v>1931</v>
      </c>
      <c r="C2696" t="s">
        <v>776</v>
      </c>
    </row>
    <row r="2697" spans="2:3" ht="12.75" customHeight="1">
      <c r="B2697" t="s">
        <v>1009</v>
      </c>
      <c r="C2697" t="s">
        <v>8305</v>
      </c>
    </row>
    <row r="2698" spans="2:3" ht="12.75" customHeight="1">
      <c r="B2698" t="s">
        <v>5127</v>
      </c>
      <c r="C2698" t="s">
        <v>8306</v>
      </c>
    </row>
    <row r="2699" spans="2:3" ht="12.75" customHeight="1">
      <c r="B2699" t="s">
        <v>3067</v>
      </c>
      <c r="C2699" t="s">
        <v>8307</v>
      </c>
    </row>
    <row r="2700" spans="2:3" ht="12.75" customHeight="1">
      <c r="B2700" t="s">
        <v>3068</v>
      </c>
      <c r="C2700" t="s">
        <v>8308</v>
      </c>
    </row>
    <row r="2701" spans="2:3" ht="12.75" customHeight="1">
      <c r="B2701" t="s">
        <v>1237</v>
      </c>
      <c r="C2701" t="s">
        <v>8309</v>
      </c>
    </row>
    <row r="2703" spans="2:3" ht="12.75" customHeight="1">
      <c r="B2703" t="s">
        <v>3891</v>
      </c>
      <c r="C2703" t="s">
        <v>8310</v>
      </c>
    </row>
    <row r="2704" spans="2:3" ht="12.75" customHeight="1">
      <c r="B2704" t="s">
        <v>3892</v>
      </c>
      <c r="C2704" t="s">
        <v>8311</v>
      </c>
    </row>
    <row r="2705" spans="2:3" ht="12.75" customHeight="1">
      <c r="B2705" t="s">
        <v>3355</v>
      </c>
      <c r="C2705" t="s">
        <v>8312</v>
      </c>
    </row>
    <row r="2706" spans="2:3" ht="12.75" customHeight="1">
      <c r="B2706" t="s">
        <v>4342</v>
      </c>
      <c r="C2706" t="s">
        <v>8313</v>
      </c>
    </row>
    <row r="2707" spans="2:3" ht="12.75" customHeight="1">
      <c r="B2707" t="s">
        <v>4104</v>
      </c>
      <c r="C2707" s="246" t="s">
        <v>8314</v>
      </c>
    </row>
    <row r="2708" spans="2:3" ht="12.75" customHeight="1">
      <c r="B2708" t="s">
        <v>5108</v>
      </c>
      <c r="C2708" t="s">
        <v>8315</v>
      </c>
    </row>
    <row r="2709" spans="2:3" ht="12.75" customHeight="1">
      <c r="B2709" t="s">
        <v>4277</v>
      </c>
      <c r="C2709" t="s">
        <v>8316</v>
      </c>
    </row>
    <row r="2710" spans="2:3" ht="12.75" customHeight="1">
      <c r="B2710" t="s">
        <v>4278</v>
      </c>
      <c r="C2710" t="s">
        <v>8317</v>
      </c>
    </row>
    <row r="2711" spans="2:3" ht="12.75" customHeight="1">
      <c r="B2711" t="s">
        <v>1871</v>
      </c>
      <c r="C2711" t="s">
        <v>8318</v>
      </c>
    </row>
    <row r="2712" spans="2:3" ht="12.75" customHeight="1">
      <c r="B2712" t="s">
        <v>343</v>
      </c>
      <c r="C2712" t="s">
        <v>8319</v>
      </c>
    </row>
    <row r="2713" spans="2:3" ht="12.75" customHeight="1">
      <c r="B2713" t="s">
        <v>344</v>
      </c>
      <c r="C2713" t="s">
        <v>8320</v>
      </c>
    </row>
    <row r="2714" spans="2:3" ht="12.75" customHeight="1">
      <c r="B2714" t="s">
        <v>2534</v>
      </c>
      <c r="C2714" t="s">
        <v>8321</v>
      </c>
    </row>
    <row r="2715" spans="2:3" ht="12.75" customHeight="1">
      <c r="B2715" t="s">
        <v>2535</v>
      </c>
      <c r="C2715" t="s">
        <v>8322</v>
      </c>
    </row>
    <row r="2716" spans="2:3" ht="12.75" customHeight="1">
      <c r="B2716" t="s">
        <v>4758</v>
      </c>
      <c r="C2716" t="s">
        <v>8323</v>
      </c>
    </row>
    <row r="2717" spans="2:3" ht="12.75" customHeight="1">
      <c r="B2717" t="s">
        <v>4759</v>
      </c>
      <c r="C2717" t="s">
        <v>8324</v>
      </c>
    </row>
    <row r="2718" spans="2:3" ht="12.75" customHeight="1">
      <c r="B2718" t="s">
        <v>4760</v>
      </c>
      <c r="C2718" t="s">
        <v>8325</v>
      </c>
    </row>
    <row r="2719" spans="2:3" ht="12.75" customHeight="1">
      <c r="B2719" t="s">
        <v>1443</v>
      </c>
      <c r="C2719" t="s">
        <v>8326</v>
      </c>
    </row>
    <row r="2720" spans="2:3" ht="12.75" customHeight="1">
      <c r="B2720" t="s">
        <v>1433</v>
      </c>
      <c r="C2720" t="s">
        <v>8327</v>
      </c>
    </row>
    <row r="2721" spans="2:3" ht="12.75" customHeight="1">
      <c r="B2721" t="s">
        <v>1434</v>
      </c>
      <c r="C2721" t="s">
        <v>8328</v>
      </c>
    </row>
    <row r="2722" spans="2:3" ht="12.75" customHeight="1">
      <c r="B2722" t="s">
        <v>1435</v>
      </c>
      <c r="C2722" t="s">
        <v>8329</v>
      </c>
    </row>
    <row r="2723" spans="2:3" ht="12.75" customHeight="1">
      <c r="B2723" t="s">
        <v>1908</v>
      </c>
      <c r="C2723" t="s">
        <v>8330</v>
      </c>
    </row>
    <row r="2724" spans="2:3" ht="12.75" customHeight="1">
      <c r="B2724" s="777"/>
      <c r="C2724" s="778"/>
    </row>
    <row r="2725" spans="2:3" ht="12.75" customHeight="1">
      <c r="B2725" s="777"/>
      <c r="C2725" s="778"/>
    </row>
    <row r="2726" spans="2:3" ht="12.75" customHeight="1">
      <c r="B2726" s="777"/>
      <c r="C2726" s="778"/>
    </row>
    <row r="2727" spans="2:3" ht="12.75" customHeight="1">
      <c r="B2727" s="777"/>
      <c r="C2727" s="778"/>
    </row>
    <row r="2728" spans="2:3" ht="12.75" customHeight="1">
      <c r="B2728" s="777"/>
      <c r="C2728" s="778"/>
    </row>
    <row r="2729" spans="2:3" ht="12.75" customHeight="1">
      <c r="B2729" s="777"/>
      <c r="C2729" s="778"/>
    </row>
    <row r="2730" spans="2:3" ht="12.75" customHeight="1">
      <c r="B2730" s="777"/>
      <c r="C2730" s="778"/>
    </row>
    <row r="2731" spans="2:3" ht="12.75" customHeight="1">
      <c r="B2731" t="s">
        <v>2097</v>
      </c>
      <c r="C2731" t="s">
        <v>8331</v>
      </c>
    </row>
    <row r="2732" spans="2:3" ht="12.75" customHeight="1">
      <c r="B2732" t="s">
        <v>1950</v>
      </c>
      <c r="C2732" t="s">
        <v>8332</v>
      </c>
    </row>
    <row r="2733" spans="2:3" ht="12.75" customHeight="1">
      <c r="B2733" t="s">
        <v>1268</v>
      </c>
      <c r="C2733" t="s">
        <v>8333</v>
      </c>
    </row>
    <row r="2734" spans="2:3" ht="12.75" customHeight="1">
      <c r="B2734" t="s">
        <v>1269</v>
      </c>
      <c r="C2734" t="s">
        <v>8334</v>
      </c>
    </row>
    <row r="2735" spans="2:3" ht="12.75" customHeight="1">
      <c r="B2735" t="s">
        <v>151</v>
      </c>
      <c r="C2735" s="246" t="s">
        <v>8335</v>
      </c>
    </row>
    <row r="2736" spans="2:3" ht="12.75" customHeight="1">
      <c r="B2736" t="s">
        <v>4340</v>
      </c>
      <c r="C2736" s="246" t="s">
        <v>8336</v>
      </c>
    </row>
    <row r="2737" spans="2:3" ht="12.75" customHeight="1">
      <c r="B2737" t="s">
        <v>4341</v>
      </c>
      <c r="C2737" t="s">
        <v>8337</v>
      </c>
    </row>
    <row r="2738" spans="2:3" ht="12.75" customHeight="1">
      <c r="B2738" t="s">
        <v>2393</v>
      </c>
      <c r="C2738" t="s">
        <v>8338</v>
      </c>
    </row>
    <row r="2739" spans="2:3" ht="12.75" customHeight="1">
      <c r="B2739" t="s">
        <v>5408</v>
      </c>
      <c r="C2739" t="s">
        <v>8339</v>
      </c>
    </row>
    <row r="2740" spans="2:3" ht="12.75" customHeight="1">
      <c r="C2740" t="s">
        <v>8340</v>
      </c>
    </row>
    <row r="2741" spans="2:3" ht="12.75" customHeight="1">
      <c r="C2741" t="s">
        <v>8341</v>
      </c>
    </row>
    <row r="2742" spans="2:3" ht="12.75" customHeight="1">
      <c r="C2742" t="s">
        <v>8342</v>
      </c>
    </row>
    <row r="2743" spans="2:3" ht="12.75" customHeight="1">
      <c r="C2743" t="s">
        <v>8343</v>
      </c>
    </row>
    <row r="2744" spans="2:3" ht="12.75" customHeight="1">
      <c r="C2744" t="s">
        <v>778</v>
      </c>
    </row>
    <row r="2745" spans="2:3" ht="12.75" customHeight="1">
      <c r="C2745" s="246" t="s">
        <v>779</v>
      </c>
    </row>
    <row r="2746" spans="2:3" ht="12.75" customHeight="1">
      <c r="C2746" t="s">
        <v>780</v>
      </c>
    </row>
    <row r="2747" spans="2:3" ht="12.75" customHeight="1">
      <c r="C2747" t="s">
        <v>781</v>
      </c>
    </row>
    <row r="2748" spans="2:3" ht="12.75" customHeight="1">
      <c r="C2748" t="s">
        <v>782</v>
      </c>
    </row>
    <row r="2749" spans="2:3" ht="12.75" customHeight="1">
      <c r="C2749" t="s">
        <v>783</v>
      </c>
    </row>
    <row r="2750" spans="2:3" ht="12.75" customHeight="1">
      <c r="C2750" t="s">
        <v>784</v>
      </c>
    </row>
    <row r="2751" spans="2:3" ht="12.75" customHeight="1">
      <c r="C2751" t="s">
        <v>785</v>
      </c>
    </row>
    <row r="2752" spans="2:3" ht="12.75" customHeight="1">
      <c r="C2752" t="s">
        <v>786</v>
      </c>
    </row>
    <row r="2753" spans="3:3" ht="12.75" customHeight="1">
      <c r="C2753" t="s">
        <v>1327</v>
      </c>
    </row>
    <row r="2754" spans="3:3" ht="12.75" customHeight="1">
      <c r="C2754" t="s">
        <v>8344</v>
      </c>
    </row>
    <row r="2755" spans="3:3" ht="12.75" customHeight="1">
      <c r="C2755" t="s">
        <v>787</v>
      </c>
    </row>
    <row r="2756" spans="3:3" ht="12.75" customHeight="1">
      <c r="C2756" t="s">
        <v>788</v>
      </c>
    </row>
    <row r="2757" spans="3:3" ht="12.75" customHeight="1">
      <c r="C2757" t="s">
        <v>8345</v>
      </c>
    </row>
    <row r="2758" spans="3:3" ht="12.75" customHeight="1">
      <c r="C2758" t="s">
        <v>789</v>
      </c>
    </row>
    <row r="2759" spans="3:3" ht="12.75" customHeight="1">
      <c r="C2759" t="s">
        <v>790</v>
      </c>
    </row>
    <row r="2760" spans="3:3" ht="12.75" customHeight="1">
      <c r="C2760" t="s">
        <v>8346</v>
      </c>
    </row>
    <row r="2761" spans="3:3" ht="12.75" customHeight="1">
      <c r="C2761" t="s">
        <v>8347</v>
      </c>
    </row>
    <row r="2762" spans="3:3" ht="12.75" customHeight="1">
      <c r="C2762" t="s">
        <v>8348</v>
      </c>
    </row>
    <row r="2763" spans="3:3" ht="12.75" customHeight="1">
      <c r="C2763" t="s">
        <v>791</v>
      </c>
    </row>
    <row r="2764" spans="3:3" ht="12.75" customHeight="1">
      <c r="C2764" t="s">
        <v>8349</v>
      </c>
    </row>
    <row r="2765" spans="3:3" ht="12.75" customHeight="1">
      <c r="C2765" t="s">
        <v>8350</v>
      </c>
    </row>
    <row r="2766" spans="3:3" ht="12.75" customHeight="1">
      <c r="C2766" t="s">
        <v>8351</v>
      </c>
    </row>
    <row r="2767" spans="3:3" ht="12.75" customHeight="1">
      <c r="C2767" t="s">
        <v>792</v>
      </c>
    </row>
    <row r="2768" spans="3:3" ht="12.75" customHeight="1">
      <c r="C2768" t="s">
        <v>8352</v>
      </c>
    </row>
    <row r="2769" spans="3:3" ht="12.75" customHeight="1">
      <c r="C2769" t="s">
        <v>8353</v>
      </c>
    </row>
    <row r="2770" spans="3:3" ht="12.75" customHeight="1">
      <c r="C2770" t="s">
        <v>793</v>
      </c>
    </row>
    <row r="2771" spans="3:3" ht="12.75" customHeight="1">
      <c r="C2771" t="s">
        <v>794</v>
      </c>
    </row>
    <row r="2772" spans="3:3" ht="12.75" customHeight="1">
      <c r="C2772" t="s">
        <v>795</v>
      </c>
    </row>
    <row r="2773" spans="3:3" ht="12.75" customHeight="1">
      <c r="C2773" t="s">
        <v>796</v>
      </c>
    </row>
    <row r="2774" spans="3:3" ht="12.75" customHeight="1">
      <c r="C2774" t="s">
        <v>797</v>
      </c>
    </row>
    <row r="2775" spans="3:3" ht="12.75" customHeight="1">
      <c r="C2775" t="s">
        <v>798</v>
      </c>
    </row>
    <row r="2776" spans="3:3" ht="12.75" customHeight="1">
      <c r="C2776" t="s">
        <v>799</v>
      </c>
    </row>
    <row r="2777" spans="3:3" ht="12.75" customHeight="1">
      <c r="C2777" t="s">
        <v>800</v>
      </c>
    </row>
    <row r="2778" spans="3:3" ht="12.75" customHeight="1">
      <c r="C2778" t="s">
        <v>8354</v>
      </c>
    </row>
    <row r="2779" spans="3:3" ht="12.75" customHeight="1">
      <c r="C2779" t="s">
        <v>8355</v>
      </c>
    </row>
    <row r="2780" spans="3:3" ht="12.75" customHeight="1">
      <c r="C2780" t="s">
        <v>8356</v>
      </c>
    </row>
    <row r="2781" spans="3:3" ht="12.75" customHeight="1">
      <c r="C2781" t="s">
        <v>8357</v>
      </c>
    </row>
    <row r="2782" spans="3:3" ht="12.75" customHeight="1">
      <c r="C2782" t="s">
        <v>801</v>
      </c>
    </row>
    <row r="2783" spans="3:3" ht="12.75" customHeight="1">
      <c r="C2783" t="s">
        <v>802</v>
      </c>
    </row>
    <row r="2784" spans="3:3" ht="12.75" customHeight="1">
      <c r="C2784" t="s">
        <v>803</v>
      </c>
    </row>
    <row r="2785" spans="3:3" ht="12.75" customHeight="1">
      <c r="C2785" t="s">
        <v>804</v>
      </c>
    </row>
    <row r="2786" spans="3:3" ht="12.75" customHeight="1">
      <c r="C2786" t="s">
        <v>8358</v>
      </c>
    </row>
    <row r="2787" spans="3:3" ht="12.75" customHeight="1">
      <c r="C2787" t="s">
        <v>8359</v>
      </c>
    </row>
    <row r="2788" spans="3:3" ht="12.75" customHeight="1">
      <c r="C2788" t="s">
        <v>8360</v>
      </c>
    </row>
    <row r="2789" spans="3:3" ht="12.75" customHeight="1">
      <c r="C2789" s="246" t="s">
        <v>8361</v>
      </c>
    </row>
    <row r="2790" spans="3:3" ht="12.75" customHeight="1">
      <c r="C2790" t="s">
        <v>805</v>
      </c>
    </row>
    <row r="2791" spans="3:3" ht="12.75" customHeight="1">
      <c r="C2791" t="s">
        <v>806</v>
      </c>
    </row>
    <row r="2792" spans="3:3" ht="12.75" customHeight="1">
      <c r="C2792" t="s">
        <v>1239</v>
      </c>
    </row>
    <row r="2793" spans="3:3" ht="12.75" customHeight="1">
      <c r="C2793" t="s">
        <v>8362</v>
      </c>
    </row>
    <row r="2794" spans="3:3" ht="12.75" customHeight="1">
      <c r="C2794" t="s">
        <v>807</v>
      </c>
    </row>
    <row r="2795" spans="3:3" ht="12.75" customHeight="1">
      <c r="C2795" t="s">
        <v>808</v>
      </c>
    </row>
    <row r="2796" spans="3:3" ht="12.75" customHeight="1">
      <c r="C2796" t="s">
        <v>809</v>
      </c>
    </row>
    <row r="2797" spans="3:3" ht="12.75" customHeight="1">
      <c r="C2797" t="s">
        <v>810</v>
      </c>
    </row>
    <row r="2798" spans="3:3" ht="12.75" customHeight="1">
      <c r="C2798" t="s">
        <v>8370</v>
      </c>
    </row>
    <row r="2799" spans="3:3" ht="12.75" customHeight="1">
      <c r="C2799" t="s">
        <v>811</v>
      </c>
    </row>
    <row r="2800" spans="3:3" ht="12.75" customHeight="1">
      <c r="C2800" t="s">
        <v>8371</v>
      </c>
    </row>
    <row r="2801" spans="3:3" ht="12.75" customHeight="1">
      <c r="C2801" t="s">
        <v>8372</v>
      </c>
    </row>
    <row r="2802" spans="3:3" ht="12.75" customHeight="1">
      <c r="C2802" t="s">
        <v>8373</v>
      </c>
    </row>
    <row r="2803" spans="3:3" ht="12.75" customHeight="1">
      <c r="C2803" t="s">
        <v>8374</v>
      </c>
    </row>
    <row r="2804" spans="3:3" ht="12.75" customHeight="1">
      <c r="C2804" t="s">
        <v>812</v>
      </c>
    </row>
    <row r="2805" spans="3:3" ht="12.75" customHeight="1">
      <c r="C2805" s="246" t="s">
        <v>8375</v>
      </c>
    </row>
    <row r="2806" spans="3:3" ht="12.75" customHeight="1">
      <c r="C2806" t="s">
        <v>8376</v>
      </c>
    </row>
    <row r="2807" spans="3:3" ht="12.75" customHeight="1">
      <c r="C2807" t="s">
        <v>8377</v>
      </c>
    </row>
    <row r="2808" spans="3:3" ht="12.75" customHeight="1">
      <c r="C2808" t="s">
        <v>813</v>
      </c>
    </row>
    <row r="2809" spans="3:3" ht="12.75" customHeight="1">
      <c r="C2809" t="s">
        <v>8378</v>
      </c>
    </row>
    <row r="2810" spans="3:3" ht="12.75" customHeight="1">
      <c r="C2810" t="s">
        <v>814</v>
      </c>
    </row>
    <row r="2811" spans="3:3" ht="12.75" customHeight="1">
      <c r="C2811" t="s">
        <v>8379</v>
      </c>
    </row>
    <row r="2812" spans="3:3" ht="12.75" customHeight="1">
      <c r="C2812" t="s">
        <v>8380</v>
      </c>
    </row>
    <row r="2813" spans="3:3" ht="12.75" customHeight="1">
      <c r="C2813" t="s">
        <v>8381</v>
      </c>
    </row>
    <row r="2814" spans="3:3" ht="12.75" customHeight="1">
      <c r="C2814" t="s">
        <v>815</v>
      </c>
    </row>
    <row r="2815" spans="3:3" ht="12.75" customHeight="1">
      <c r="C2815" t="s">
        <v>816</v>
      </c>
    </row>
    <row r="2816" spans="3:3" ht="12.75" customHeight="1">
      <c r="C2816" t="s">
        <v>817</v>
      </c>
    </row>
    <row r="2817" spans="2:3" ht="12.75" customHeight="1">
      <c r="C2817" t="s">
        <v>8382</v>
      </c>
    </row>
    <row r="2818" spans="2:3" ht="12.75" customHeight="1">
      <c r="C2818" t="s">
        <v>818</v>
      </c>
    </row>
    <row r="2819" spans="2:3" ht="12.75" customHeight="1">
      <c r="C2819" t="s">
        <v>8383</v>
      </c>
    </row>
    <row r="2820" spans="2:3" ht="12.75" customHeight="1">
      <c r="C2820" t="s">
        <v>8384</v>
      </c>
    </row>
    <row r="2821" spans="2:3" ht="12.75" customHeight="1">
      <c r="C2821" t="s">
        <v>8385</v>
      </c>
    </row>
    <row r="2822" spans="2:3" ht="12.75" customHeight="1">
      <c r="C2822" t="s">
        <v>8386</v>
      </c>
    </row>
    <row r="2823" spans="2:3" ht="12.75" customHeight="1">
      <c r="C2823" t="s">
        <v>819</v>
      </c>
    </row>
    <row r="2824" spans="2:3" ht="12.75" customHeight="1">
      <c r="C2824" t="s">
        <v>820</v>
      </c>
    </row>
    <row r="2825" spans="2:3" ht="12.75" customHeight="1">
      <c r="C2825" t="s">
        <v>821</v>
      </c>
    </row>
    <row r="2826" spans="2:3" ht="12.75" customHeight="1">
      <c r="C2826" t="s">
        <v>8387</v>
      </c>
    </row>
    <row r="2827" spans="2:3" ht="12.75" customHeight="1">
      <c r="C2827" t="s">
        <v>8388</v>
      </c>
    </row>
    <row r="2828" spans="2:3" ht="12.75" customHeight="1">
      <c r="C2828" t="s">
        <v>8389</v>
      </c>
    </row>
    <row r="2829" spans="2:3" ht="12.75" customHeight="1">
      <c r="B2829" t="s">
        <v>4229</v>
      </c>
      <c r="C2829" t="s">
        <v>8390</v>
      </c>
    </row>
    <row r="2830" spans="2:3" ht="12.75" customHeight="1">
      <c r="B2830" t="s">
        <v>3040</v>
      </c>
      <c r="C2830" t="s">
        <v>8391</v>
      </c>
    </row>
    <row r="2831" spans="2:3" ht="12.75" customHeight="1">
      <c r="C2831" t="s">
        <v>822</v>
      </c>
    </row>
    <row r="2832" spans="2:3" ht="12.75" customHeight="1">
      <c r="C2832" t="s">
        <v>5259</v>
      </c>
    </row>
    <row r="2833" spans="2:3" ht="12.75" customHeight="1">
      <c r="C2833" t="s">
        <v>823</v>
      </c>
    </row>
    <row r="2834" spans="2:3" ht="12.75" customHeight="1">
      <c r="C2834" t="s">
        <v>1328</v>
      </c>
    </row>
    <row r="2835" spans="2:3" ht="12.75" customHeight="1">
      <c r="C2835" t="s">
        <v>824</v>
      </c>
    </row>
    <row r="2836" spans="2:3" ht="12.75" customHeight="1">
      <c r="C2836" t="s">
        <v>186</v>
      </c>
    </row>
    <row r="2837" spans="2:3" ht="12.75" customHeight="1">
      <c r="C2837" t="s">
        <v>825</v>
      </c>
    </row>
    <row r="2838" spans="2:3" ht="12.75" customHeight="1">
      <c r="C2838" t="s">
        <v>826</v>
      </c>
    </row>
    <row r="2839" spans="2:3" ht="12.75" customHeight="1">
      <c r="C2839" t="s">
        <v>827</v>
      </c>
    </row>
    <row r="2840" spans="2:3" ht="12.75" customHeight="1">
      <c r="B2840" t="s">
        <v>481</v>
      </c>
      <c r="C2840" t="s">
        <v>8392</v>
      </c>
    </row>
    <row r="2841" spans="2:3" ht="12.75" customHeight="1">
      <c r="B2841" t="s">
        <v>3013</v>
      </c>
      <c r="C2841" t="s">
        <v>8393</v>
      </c>
    </row>
    <row r="2842" spans="2:3" ht="12.75" customHeight="1">
      <c r="C2842" t="s">
        <v>8394</v>
      </c>
    </row>
    <row r="2843" spans="2:3" ht="12.75" customHeight="1">
      <c r="C2843" t="s">
        <v>8395</v>
      </c>
    </row>
    <row r="2844" spans="2:3" ht="12.75" customHeight="1">
      <c r="C2844" t="s">
        <v>8396</v>
      </c>
    </row>
    <row r="2845" spans="2:3" ht="12.75" customHeight="1">
      <c r="C2845" t="s">
        <v>8397</v>
      </c>
    </row>
    <row r="2846" spans="2:3" ht="12.75" customHeight="1">
      <c r="C2846" t="s">
        <v>8398</v>
      </c>
    </row>
    <row r="2847" spans="2:3" ht="12.75" customHeight="1">
      <c r="C2847" t="s">
        <v>8399</v>
      </c>
    </row>
    <row r="2848" spans="2:3" ht="12.75" customHeight="1">
      <c r="C2848" t="s">
        <v>8400</v>
      </c>
    </row>
    <row r="2849" spans="2:3" ht="12.75" customHeight="1">
      <c r="B2849" t="s">
        <v>5101</v>
      </c>
      <c r="C2849" t="s">
        <v>8401</v>
      </c>
    </row>
    <row r="2850" spans="2:3" ht="12.75" customHeight="1">
      <c r="C2850" t="s">
        <v>8402</v>
      </c>
    </row>
    <row r="2851" spans="2:3" ht="12.75" customHeight="1">
      <c r="B2851" t="s">
        <v>1872</v>
      </c>
      <c r="C2851" t="s">
        <v>8403</v>
      </c>
    </row>
    <row r="2852" spans="2:3" ht="12.75" customHeight="1">
      <c r="C2852" t="s">
        <v>8404</v>
      </c>
    </row>
    <row r="2853" spans="2:3" ht="12.75" customHeight="1">
      <c r="C2853" t="s">
        <v>8405</v>
      </c>
    </row>
    <row r="2854" spans="2:3" ht="12.75" customHeight="1">
      <c r="C2854" t="s">
        <v>8406</v>
      </c>
    </row>
    <row r="2855" spans="2:3" ht="12.75" customHeight="1">
      <c r="C2855" t="s">
        <v>8407</v>
      </c>
    </row>
    <row r="2856" spans="2:3" ht="12.75" customHeight="1">
      <c r="C2856" t="s">
        <v>8408</v>
      </c>
    </row>
    <row r="2857" spans="2:3" ht="12.75" customHeight="1">
      <c r="C2857" t="s">
        <v>8409</v>
      </c>
    </row>
    <row r="2858" spans="2:3" ht="12.75" customHeight="1">
      <c r="C2858" t="s">
        <v>8410</v>
      </c>
    </row>
    <row r="2859" spans="2:3" ht="12.75" customHeight="1">
      <c r="C2859" t="s">
        <v>8007</v>
      </c>
    </row>
    <row r="2860" spans="2:3" ht="12.75" customHeight="1">
      <c r="C2860" t="s">
        <v>8411</v>
      </c>
    </row>
    <row r="2861" spans="2:3" ht="12.75" customHeight="1">
      <c r="C2861" t="s">
        <v>8412</v>
      </c>
    </row>
    <row r="2862" spans="2:3" ht="12.75" customHeight="1">
      <c r="C2862" t="s">
        <v>8363</v>
      </c>
    </row>
    <row r="2863" spans="2:3" ht="12.75" customHeight="1">
      <c r="C2863" t="s">
        <v>8364</v>
      </c>
    </row>
    <row r="2864" spans="2:3" ht="12.75" customHeight="1">
      <c r="C2864" t="s">
        <v>8365</v>
      </c>
    </row>
    <row r="2865" spans="3:3" ht="12.75" customHeight="1">
      <c r="C2865" t="s">
        <v>8366</v>
      </c>
    </row>
    <row r="2866" spans="3:3" ht="12.75" customHeight="1">
      <c r="C2866" t="s">
        <v>8367</v>
      </c>
    </row>
    <row r="2867" spans="3:3" ht="12.75" customHeight="1">
      <c r="C2867" t="s">
        <v>8368</v>
      </c>
    </row>
    <row r="2868" spans="3:3" ht="12.75" customHeight="1">
      <c r="C2868" t="s">
        <v>8369</v>
      </c>
    </row>
    <row r="2869" spans="3:3" ht="12.75" customHeight="1">
      <c r="C2869" t="s">
        <v>8413</v>
      </c>
    </row>
    <row r="2870" spans="3:3" ht="12.75" customHeight="1">
      <c r="C2870" t="s">
        <v>829</v>
      </c>
    </row>
    <row r="2871" spans="3:3" ht="12.75" customHeight="1">
      <c r="C2871" t="s">
        <v>8414</v>
      </c>
    </row>
    <row r="2872" spans="3:3" ht="12.75" customHeight="1">
      <c r="C2872" t="s">
        <v>8415</v>
      </c>
    </row>
    <row r="2873" spans="3:3" ht="12.75" customHeight="1">
      <c r="C2873" t="s">
        <v>8429</v>
      </c>
    </row>
    <row r="2874" spans="3:3" ht="12.75" customHeight="1">
      <c r="C2874" t="s">
        <v>8430</v>
      </c>
    </row>
    <row r="2875" spans="3:3" ht="12.75" customHeight="1">
      <c r="C2875" t="s">
        <v>7983</v>
      </c>
    </row>
    <row r="2876" spans="3:3" ht="12.75" customHeight="1">
      <c r="C2876" t="s">
        <v>8431</v>
      </c>
    </row>
    <row r="2877" spans="3:3" ht="12.75" customHeight="1">
      <c r="C2877" t="s">
        <v>8432</v>
      </c>
    </row>
    <row r="2878" spans="3:3" ht="12.75" customHeight="1">
      <c r="C2878" t="s">
        <v>8433</v>
      </c>
    </row>
    <row r="2879" spans="3:3" ht="12.75" customHeight="1">
      <c r="C2879" t="s">
        <v>830</v>
      </c>
    </row>
    <row r="2880" spans="3:3" ht="12.75" customHeight="1">
      <c r="C2880" t="s">
        <v>8434</v>
      </c>
    </row>
    <row r="2881" spans="2:3" ht="12.75" customHeight="1">
      <c r="C2881" t="s">
        <v>8435</v>
      </c>
    </row>
    <row r="2882" spans="2:3" ht="12.75" customHeight="1">
      <c r="C2882" t="s">
        <v>8436</v>
      </c>
    </row>
    <row r="2883" spans="2:3" ht="12.75" customHeight="1">
      <c r="C2883" t="s">
        <v>8437</v>
      </c>
    </row>
    <row r="2884" spans="2:3" ht="12.75" customHeight="1">
      <c r="C2884" t="s">
        <v>8438</v>
      </c>
    </row>
    <row r="2885" spans="2:3" ht="12.75" customHeight="1">
      <c r="C2885" t="s">
        <v>8439</v>
      </c>
    </row>
    <row r="2886" spans="2:3" ht="12.75" customHeight="1">
      <c r="C2886" t="s">
        <v>8440</v>
      </c>
    </row>
    <row r="2887" spans="2:3" ht="12.75" customHeight="1">
      <c r="B2887" t="s">
        <v>2171</v>
      </c>
      <c r="C2887" t="s">
        <v>8441</v>
      </c>
    </row>
    <row r="2888" spans="2:3" ht="12.75" customHeight="1">
      <c r="B2888" t="s">
        <v>2172</v>
      </c>
      <c r="C2888" t="s">
        <v>8442</v>
      </c>
    </row>
    <row r="2889" spans="2:3" ht="12.75" customHeight="1">
      <c r="B2889" t="s">
        <v>4564</v>
      </c>
      <c r="C2889" t="s">
        <v>831</v>
      </c>
    </row>
    <row r="9000" spans="2:3" ht="12.75" customHeight="1">
      <c r="B9000" t="s">
        <v>1004</v>
      </c>
      <c r="C9000" t="s">
        <v>832</v>
      </c>
    </row>
    <row r="9001" spans="2:3" ht="12.75" customHeight="1">
      <c r="B9001" t="s">
        <v>4179</v>
      </c>
      <c r="C9001" t="s">
        <v>8443</v>
      </c>
    </row>
    <row r="9002" spans="2:3" ht="12.75" customHeight="1">
      <c r="B9002" t="s">
        <v>4180</v>
      </c>
      <c r="C9002" t="s">
        <v>8444</v>
      </c>
    </row>
    <row r="9003" spans="2:3" ht="12.75" customHeight="1">
      <c r="B9003" t="s">
        <v>4182</v>
      </c>
      <c r="C9003" t="s">
        <v>4181</v>
      </c>
    </row>
    <row r="9004" spans="2:3" ht="12.75" customHeight="1">
      <c r="B9004" t="s">
        <v>4183</v>
      </c>
      <c r="C9004" t="s">
        <v>8445</v>
      </c>
    </row>
    <row r="9005" spans="2:3" ht="12.75" customHeight="1">
      <c r="B9005" t="s">
        <v>996</v>
      </c>
      <c r="C9005" t="s">
        <v>8446</v>
      </c>
    </row>
    <row r="9006" spans="2:3" ht="12.75" customHeight="1">
      <c r="B9006" t="s">
        <v>998</v>
      </c>
      <c r="C9006" t="s">
        <v>997</v>
      </c>
    </row>
    <row r="9007" spans="2:3" ht="12.75" customHeight="1">
      <c r="B9007" t="s">
        <v>1001</v>
      </c>
      <c r="C9007" t="s">
        <v>8447</v>
      </c>
    </row>
    <row r="9008" spans="2:3" ht="12.75" customHeight="1">
      <c r="B9008" t="s">
        <v>5008</v>
      </c>
      <c r="C9008" t="s">
        <v>5007</v>
      </c>
    </row>
    <row r="9009" spans="2:3" ht="12.75" customHeight="1">
      <c r="B9009" t="s">
        <v>1003</v>
      </c>
      <c r="C9009" t="s">
        <v>1002</v>
      </c>
    </row>
    <row r="9010" spans="2:3" ht="12.75" customHeight="1">
      <c r="B9010" t="s">
        <v>1665</v>
      </c>
      <c r="C9010" t="s">
        <v>1664</v>
      </c>
    </row>
    <row r="9011" spans="2:3" ht="12.75" customHeight="1">
      <c r="B9011" t="s">
        <v>1667</v>
      </c>
      <c r="C9011" t="s">
        <v>1666</v>
      </c>
    </row>
    <row r="9012" spans="2:3" ht="12.75" customHeight="1">
      <c r="B9012" t="s">
        <v>3408</v>
      </c>
      <c r="C9012" t="s">
        <v>1668</v>
      </c>
    </row>
    <row r="9013" spans="2:3" ht="12.75" customHeight="1">
      <c r="B9013" t="s">
        <v>3410</v>
      </c>
      <c r="C9013" t="s">
        <v>3409</v>
      </c>
    </row>
    <row r="9014" spans="2:3" ht="12.75" customHeight="1">
      <c r="B9014" t="s">
        <v>3411</v>
      </c>
      <c r="C9014" t="s">
        <v>8448</v>
      </c>
    </row>
    <row r="9015" spans="2:3" ht="12.75" customHeight="1">
      <c r="B9015" t="s">
        <v>3413</v>
      </c>
      <c r="C9015" t="s">
        <v>3412</v>
      </c>
    </row>
    <row r="9016" spans="2:3" ht="12.75" customHeight="1">
      <c r="B9016" t="s">
        <v>3415</v>
      </c>
      <c r="C9016" t="s">
        <v>3414</v>
      </c>
    </row>
    <row r="9017" spans="2:3" ht="12.75" customHeight="1">
      <c r="B9017" t="s">
        <v>3034</v>
      </c>
      <c r="C9017" t="s">
        <v>3033</v>
      </c>
    </row>
    <row r="9018" spans="2:3" ht="12.75" customHeight="1">
      <c r="B9018" t="s">
        <v>1407</v>
      </c>
      <c r="C9018" t="s">
        <v>3035</v>
      </c>
    </row>
    <row r="9019" spans="2:3" ht="12.75" customHeight="1">
      <c r="B9019" t="s">
        <v>1409</v>
      </c>
      <c r="C9019" t="s">
        <v>1408</v>
      </c>
    </row>
    <row r="9020" spans="2:3" ht="12.75" customHeight="1">
      <c r="B9020" t="s">
        <v>1411</v>
      </c>
      <c r="C9020" t="s">
        <v>1410</v>
      </c>
    </row>
    <row r="9021" spans="2:3" ht="12.75" customHeight="1">
      <c r="B9021" t="s">
        <v>1413</v>
      </c>
      <c r="C9021" t="s">
        <v>1412</v>
      </c>
    </row>
    <row r="9022" spans="2:3" ht="12.75" customHeight="1">
      <c r="B9022" t="s">
        <v>1415</v>
      </c>
      <c r="C9022" t="s">
        <v>1414</v>
      </c>
    </row>
    <row r="9023" spans="2:3" ht="12.75" customHeight="1">
      <c r="B9023" t="s">
        <v>1417</v>
      </c>
      <c r="C9023" t="s">
        <v>1416</v>
      </c>
    </row>
    <row r="9024" spans="2:3" ht="12.75" customHeight="1">
      <c r="B9024" t="s">
        <v>1419</v>
      </c>
      <c r="C9024" t="s">
        <v>1418</v>
      </c>
    </row>
    <row r="9025" spans="2:3" ht="12.75" customHeight="1">
      <c r="B9025" t="s">
        <v>1421</v>
      </c>
      <c r="C9025" t="s">
        <v>1420</v>
      </c>
    </row>
    <row r="9026" spans="2:3" ht="12.75" customHeight="1">
      <c r="B9026" t="s">
        <v>1423</v>
      </c>
      <c r="C9026" t="s">
        <v>1422</v>
      </c>
    </row>
    <row r="9027" spans="2:3" ht="12.75" customHeight="1">
      <c r="B9027" t="s">
        <v>1631</v>
      </c>
      <c r="C9027" t="s">
        <v>1630</v>
      </c>
    </row>
    <row r="9028" spans="2:3" ht="12.75" customHeight="1">
      <c r="B9028" t="s">
        <v>1633</v>
      </c>
      <c r="C9028" t="s">
        <v>1632</v>
      </c>
    </row>
    <row r="9029" spans="2:3" ht="12.75" customHeight="1">
      <c r="B9029" t="s">
        <v>1635</v>
      </c>
      <c r="C9029" t="s">
        <v>1634</v>
      </c>
    </row>
    <row r="9030" spans="2:3" ht="12.75" customHeight="1">
      <c r="B9030" t="s">
        <v>1637</v>
      </c>
      <c r="C9030" t="s">
        <v>1636</v>
      </c>
    </row>
    <row r="9031" spans="2:3" ht="12.75" customHeight="1">
      <c r="B9031" t="s">
        <v>1639</v>
      </c>
      <c r="C9031" t="s">
        <v>1638</v>
      </c>
    </row>
    <row r="9032" spans="2:3" ht="12.75" customHeight="1">
      <c r="B9032" t="s">
        <v>1641</v>
      </c>
      <c r="C9032" t="s">
        <v>1640</v>
      </c>
    </row>
    <row r="9033" spans="2:3" ht="12.75" customHeight="1">
      <c r="B9033" t="s">
        <v>1643</v>
      </c>
      <c r="C9033" t="s">
        <v>1642</v>
      </c>
    </row>
    <row r="9034" spans="2:3" ht="12.75" customHeight="1">
      <c r="B9034" t="s">
        <v>4389</v>
      </c>
      <c r="C9034" t="s">
        <v>4388</v>
      </c>
    </row>
    <row r="9035" spans="2:3" ht="12.75" customHeight="1">
      <c r="B9035" t="s">
        <v>4983</v>
      </c>
      <c r="C9035" t="s">
        <v>4982</v>
      </c>
    </row>
    <row r="9036" spans="2:3" ht="12.75" customHeight="1">
      <c r="B9036" t="s">
        <v>4985</v>
      </c>
      <c r="C9036" t="s">
        <v>4984</v>
      </c>
    </row>
    <row r="9037" spans="2:3" ht="12.75" customHeight="1">
      <c r="B9037" t="s">
        <v>4987</v>
      </c>
      <c r="C9037" t="s">
        <v>4986</v>
      </c>
    </row>
    <row r="9038" spans="2:3" ht="12.75" customHeight="1">
      <c r="B9038" t="s">
        <v>4989</v>
      </c>
      <c r="C9038" t="s">
        <v>4988</v>
      </c>
    </row>
    <row r="9039" spans="2:3" ht="12.75" customHeight="1">
      <c r="B9039" t="s">
        <v>4991</v>
      </c>
      <c r="C9039" t="s">
        <v>4990</v>
      </c>
    </row>
    <row r="9040" spans="2:3" ht="12.75" customHeight="1">
      <c r="B9040" t="s">
        <v>4993</v>
      </c>
      <c r="C9040" t="s">
        <v>4992</v>
      </c>
    </row>
    <row r="9041" spans="2:3" ht="12.75" customHeight="1">
      <c r="B9041" t="s">
        <v>262</v>
      </c>
      <c r="C9041" t="s">
        <v>1906</v>
      </c>
    </row>
    <row r="9042" spans="2:3" ht="12.75" customHeight="1">
      <c r="B9042" t="s">
        <v>2112</v>
      </c>
      <c r="C9042" t="s">
        <v>263</v>
      </c>
    </row>
    <row r="9043" spans="2:3" ht="12.75" customHeight="1">
      <c r="B9043" t="s">
        <v>2113</v>
      </c>
      <c r="C9043" t="s">
        <v>264</v>
      </c>
    </row>
    <row r="9044" spans="2:3" ht="12.75" customHeight="1">
      <c r="B9044" t="s">
        <v>2114</v>
      </c>
      <c r="C9044" t="s">
        <v>265</v>
      </c>
    </row>
    <row r="9045" spans="2:3" ht="12.75" customHeight="1">
      <c r="B9045" t="s">
        <v>2115</v>
      </c>
      <c r="C9045" t="s">
        <v>266</v>
      </c>
    </row>
    <row r="9046" spans="2:3" ht="12.75" customHeight="1">
      <c r="B9046" t="s">
        <v>2116</v>
      </c>
      <c r="C9046" t="s">
        <v>267</v>
      </c>
    </row>
    <row r="9047" spans="2:3" ht="12.75" customHeight="1">
      <c r="B9047" t="s">
        <v>2117</v>
      </c>
      <c r="C9047" t="s">
        <v>268</v>
      </c>
    </row>
    <row r="9048" spans="2:3" ht="12.75" customHeight="1">
      <c r="B9048" t="s">
        <v>2118</v>
      </c>
      <c r="C9048" t="s">
        <v>269</v>
      </c>
    </row>
    <row r="9049" spans="2:3" ht="12.75" customHeight="1">
      <c r="B9049" t="s">
        <v>2119</v>
      </c>
      <c r="C9049" t="s">
        <v>270</v>
      </c>
    </row>
    <row r="9050" spans="2:3" ht="12.75" customHeight="1">
      <c r="B9050" t="s">
        <v>2120</v>
      </c>
      <c r="C9050" t="s">
        <v>271</v>
      </c>
    </row>
    <row r="9051" spans="2:3" ht="12.75" customHeight="1">
      <c r="B9051" t="s">
        <v>2121</v>
      </c>
      <c r="C9051" t="s">
        <v>272</v>
      </c>
    </row>
    <row r="9052" spans="2:3" ht="12.75" customHeight="1">
      <c r="B9052" t="s">
        <v>4497</v>
      </c>
      <c r="C9052" t="s">
        <v>273</v>
      </c>
    </row>
    <row r="9053" spans="2:3" ht="12.75" customHeight="1">
      <c r="B9053" t="s">
        <v>4498</v>
      </c>
      <c r="C9053" t="s">
        <v>274</v>
      </c>
    </row>
    <row r="9054" spans="2:3" ht="12.75" customHeight="1">
      <c r="B9054" t="s">
        <v>4499</v>
      </c>
      <c r="C9054" t="s">
        <v>275</v>
      </c>
    </row>
    <row r="9055" spans="2:3" ht="12.75" customHeight="1">
      <c r="B9055" t="s">
        <v>4500</v>
      </c>
      <c r="C9055" t="s">
        <v>4994</v>
      </c>
    </row>
    <row r="9056" spans="2:3" ht="12.75" customHeight="1">
      <c r="B9056" t="s">
        <v>4501</v>
      </c>
      <c r="C9056" t="s">
        <v>4995</v>
      </c>
    </row>
    <row r="9057" spans="2:3" ht="12.75" customHeight="1">
      <c r="B9057" t="s">
        <v>4502</v>
      </c>
      <c r="C9057" t="s">
        <v>4996</v>
      </c>
    </row>
    <row r="9058" spans="2:3" ht="12.75" customHeight="1">
      <c r="B9058" t="s">
        <v>4503</v>
      </c>
      <c r="C9058" t="s">
        <v>4997</v>
      </c>
    </row>
    <row r="9059" spans="2:3" ht="12.75" customHeight="1">
      <c r="B9059" t="s">
        <v>4504</v>
      </c>
      <c r="C9059" t="s">
        <v>4998</v>
      </c>
    </row>
    <row r="9060" spans="2:3" ht="12.75" customHeight="1">
      <c r="B9060" t="s">
        <v>2111</v>
      </c>
      <c r="C9060" t="s">
        <v>1653</v>
      </c>
    </row>
    <row r="9061" spans="2:3" ht="12.75" customHeight="1">
      <c r="B9061" t="s">
        <v>2108</v>
      </c>
      <c r="C9061" t="s">
        <v>5354</v>
      </c>
    </row>
    <row r="9062" spans="2:3" ht="12.75" customHeight="1">
      <c r="B9062" t="s">
        <v>2109</v>
      </c>
      <c r="C9062" t="s">
        <v>5355</v>
      </c>
    </row>
    <row r="9063" spans="2:3" ht="12.75" customHeight="1">
      <c r="B9063" t="s">
        <v>2110</v>
      </c>
      <c r="C9063" t="s">
        <v>3155</v>
      </c>
    </row>
    <row r="9064" spans="2:3" ht="12.75" customHeight="1">
      <c r="B9064" t="s">
        <v>3157</v>
      </c>
      <c r="C9064" t="s">
        <v>3156</v>
      </c>
    </row>
    <row r="9065" spans="2:3" ht="12.75" customHeight="1">
      <c r="B9065" t="s">
        <v>1651</v>
      </c>
      <c r="C9065" t="s">
        <v>1650</v>
      </c>
    </row>
    <row r="9066" spans="2:3" ht="12.75" customHeight="1">
      <c r="B9066" t="s">
        <v>3540</v>
      </c>
      <c r="C9066" t="s">
        <v>3539</v>
      </c>
    </row>
    <row r="9067" spans="2:3" ht="12.75" customHeight="1">
      <c r="B9067" t="s">
        <v>3538</v>
      </c>
      <c r="C9067" t="s">
        <v>3537</v>
      </c>
    </row>
    <row r="9068" spans="2:3" ht="12.75" customHeight="1">
      <c r="B9068" t="s">
        <v>3536</v>
      </c>
      <c r="C9068" t="s">
        <v>1514</v>
      </c>
    </row>
    <row r="9069" spans="2:3" ht="12.75" customHeight="1">
      <c r="B9069" t="s">
        <v>1513</v>
      </c>
      <c r="C9069" t="s">
        <v>1512</v>
      </c>
    </row>
    <row r="9070" spans="2:3" ht="12.75" customHeight="1">
      <c r="B9070" t="s">
        <v>1511</v>
      </c>
      <c r="C9070" t="s">
        <v>1510</v>
      </c>
    </row>
    <row r="9071" spans="2:3" ht="12.75" customHeight="1">
      <c r="B9071" t="s">
        <v>1509</v>
      </c>
      <c r="C9071" t="s">
        <v>1508</v>
      </c>
    </row>
    <row r="9072" spans="2:3" ht="12.75" customHeight="1">
      <c r="B9072" t="s">
        <v>1507</v>
      </c>
      <c r="C9072" t="s">
        <v>3608</v>
      </c>
    </row>
    <row r="9073" spans="2:3" ht="12.75" customHeight="1">
      <c r="B9073" t="s">
        <v>3607</v>
      </c>
      <c r="C9073" t="s">
        <v>3606</v>
      </c>
    </row>
    <row r="9074" spans="2:3" ht="12.75" customHeight="1">
      <c r="B9074" t="s">
        <v>3605</v>
      </c>
      <c r="C9074" t="s">
        <v>3604</v>
      </c>
    </row>
    <row r="9075" spans="2:3" ht="12.75" customHeight="1">
      <c r="B9075" t="s">
        <v>5353</v>
      </c>
      <c r="C9075" t="s">
        <v>5352</v>
      </c>
    </row>
    <row r="9076" spans="2:3" ht="12.75" customHeight="1">
      <c r="B9076" t="s">
        <v>5351</v>
      </c>
      <c r="C9076" t="s">
        <v>5350</v>
      </c>
    </row>
    <row r="9077" spans="2:3" ht="12.75" customHeight="1">
      <c r="B9077" t="s">
        <v>5349</v>
      </c>
      <c r="C9077" t="s">
        <v>5348</v>
      </c>
    </row>
    <row r="9078" spans="2:3" ht="12.75" customHeight="1">
      <c r="B9078" t="s">
        <v>5291</v>
      </c>
      <c r="C9078" t="s">
        <v>5290</v>
      </c>
    </row>
    <row r="9079" spans="2:3" ht="12.75" customHeight="1">
      <c r="B9079" t="s">
        <v>3128</v>
      </c>
      <c r="C9079" t="s">
        <v>3127</v>
      </c>
    </row>
    <row r="9080" spans="2:3" ht="12.75" customHeight="1">
      <c r="B9080" t="s">
        <v>3126</v>
      </c>
      <c r="C9080" t="s">
        <v>3125</v>
      </c>
    </row>
    <row r="9081" spans="2:3" ht="12.75" customHeight="1">
      <c r="B9081" t="s">
        <v>3124</v>
      </c>
      <c r="C9081" t="s">
        <v>3123</v>
      </c>
    </row>
    <row r="9082" spans="2:3" ht="12.75" customHeight="1">
      <c r="B9082" t="s">
        <v>2385</v>
      </c>
      <c r="C9082" t="s">
        <v>2384</v>
      </c>
    </row>
    <row r="9083" spans="2:3" ht="12.75" customHeight="1">
      <c r="B9083" t="s">
        <v>5303</v>
      </c>
      <c r="C9083" t="s">
        <v>5302</v>
      </c>
    </row>
    <row r="9084" spans="2:3" ht="12.75" customHeight="1">
      <c r="B9084" t="s">
        <v>5301</v>
      </c>
      <c r="C9084" t="s">
        <v>5300</v>
      </c>
    </row>
    <row r="9085" spans="2:3" ht="12.75" customHeight="1">
      <c r="B9085" t="s">
        <v>5299</v>
      </c>
      <c r="C9085" t="s">
        <v>5298</v>
      </c>
    </row>
    <row r="9086" spans="2:3" ht="12.75" customHeight="1">
      <c r="B9086" t="s">
        <v>5297</v>
      </c>
      <c r="C9086" t="s">
        <v>5296</v>
      </c>
    </row>
    <row r="9087" spans="2:3" ht="12.75" customHeight="1">
      <c r="B9087" t="s">
        <v>5295</v>
      </c>
      <c r="C9087" t="s">
        <v>5294</v>
      </c>
    </row>
    <row r="9088" spans="2:3" ht="12.75" customHeight="1">
      <c r="B9088" t="s">
        <v>5293</v>
      </c>
      <c r="C9088" t="s">
        <v>5292</v>
      </c>
    </row>
    <row r="9089" spans="2:3" ht="12.75" customHeight="1">
      <c r="B9089" t="s">
        <v>5547</v>
      </c>
      <c r="C9089" t="s">
        <v>5546</v>
      </c>
    </row>
    <row r="9090" spans="2:3" ht="12.75" customHeight="1">
      <c r="B9090" t="s">
        <v>5545</v>
      </c>
      <c r="C9090" t="s">
        <v>5544</v>
      </c>
    </row>
    <row r="9091" spans="2:3" ht="12.75" customHeight="1">
      <c r="B9091" t="s">
        <v>5543</v>
      </c>
      <c r="C9091" t="s">
        <v>5542</v>
      </c>
    </row>
    <row r="9092" spans="2:3" ht="12.75" customHeight="1">
      <c r="B9092" t="s">
        <v>5541</v>
      </c>
      <c r="C9092" t="s">
        <v>5540</v>
      </c>
    </row>
    <row r="9093" spans="2:3" ht="12.75" customHeight="1">
      <c r="B9093" t="s">
        <v>5539</v>
      </c>
      <c r="C9093" t="s">
        <v>5538</v>
      </c>
    </row>
    <row r="9094" spans="2:3" ht="12.75" customHeight="1">
      <c r="B9094" t="s">
        <v>5537</v>
      </c>
      <c r="C9094" t="s">
        <v>5536</v>
      </c>
    </row>
    <row r="9095" spans="2:3" ht="12.75" customHeight="1">
      <c r="B9095" t="s">
        <v>5535</v>
      </c>
      <c r="C9095" t="s">
        <v>5534</v>
      </c>
    </row>
    <row r="9096" spans="2:3" ht="12.75" customHeight="1">
      <c r="B9096" t="s">
        <v>5533</v>
      </c>
      <c r="C9096" t="s">
        <v>5532</v>
      </c>
    </row>
    <row r="9097" spans="2:3" ht="12.75" customHeight="1">
      <c r="B9097" t="s">
        <v>5531</v>
      </c>
      <c r="C9097" t="s">
        <v>5530</v>
      </c>
    </row>
    <row r="9098" spans="2:3" ht="12.75" customHeight="1">
      <c r="B9098" t="s">
        <v>5529</v>
      </c>
      <c r="C9098" t="s">
        <v>5528</v>
      </c>
    </row>
    <row r="9099" spans="2:3" ht="12.75" customHeight="1">
      <c r="B9099" t="s">
        <v>5527</v>
      </c>
      <c r="C9099" t="s">
        <v>5526</v>
      </c>
    </row>
    <row r="9100" spans="2:3" ht="12.75" customHeight="1">
      <c r="B9100" t="s">
        <v>5525</v>
      </c>
      <c r="C9100" t="s">
        <v>5524</v>
      </c>
    </row>
    <row r="9101" spans="2:3" ht="12.75" customHeight="1">
      <c r="B9101" t="s">
        <v>5523</v>
      </c>
      <c r="C9101" t="s">
        <v>5209</v>
      </c>
    </row>
    <row r="9102" spans="2:3" ht="12.75" customHeight="1">
      <c r="B9102" t="s">
        <v>5208</v>
      </c>
      <c r="C9102" t="s">
        <v>2449</v>
      </c>
    </row>
    <row r="9103" spans="2:3" ht="12.75" customHeight="1">
      <c r="B9103" t="s">
        <v>2448</v>
      </c>
      <c r="C9103" t="s">
        <v>2447</v>
      </c>
    </row>
    <row r="9104" spans="2:3" ht="12.75" customHeight="1">
      <c r="B9104" t="s">
        <v>2446</v>
      </c>
      <c r="C9104" t="s">
        <v>2445</v>
      </c>
    </row>
    <row r="9105" spans="2:3" ht="12.75" customHeight="1">
      <c r="B9105" t="s">
        <v>2444</v>
      </c>
      <c r="C9105" t="s">
        <v>2443</v>
      </c>
    </row>
    <row r="9106" spans="2:3" ht="12.75" customHeight="1">
      <c r="B9106" t="s">
        <v>2442</v>
      </c>
      <c r="C9106" t="s">
        <v>2441</v>
      </c>
    </row>
    <row r="9107" spans="2:3" ht="12.75" customHeight="1">
      <c r="B9107" t="s">
        <v>2440</v>
      </c>
      <c r="C9107" t="s">
        <v>2439</v>
      </c>
    </row>
    <row r="9108" spans="2:3" ht="12.75" customHeight="1">
      <c r="B9108" t="s">
        <v>2438</v>
      </c>
      <c r="C9108" t="s">
        <v>2437</v>
      </c>
    </row>
    <row r="9109" spans="2:3" ht="12.75" customHeight="1">
      <c r="B9109" t="s">
        <v>2436</v>
      </c>
      <c r="C9109" t="s">
        <v>2435</v>
      </c>
    </row>
    <row r="9110" spans="2:3" ht="12.75" customHeight="1">
      <c r="B9110" t="s">
        <v>2434</v>
      </c>
      <c r="C9110" t="s">
        <v>2433</v>
      </c>
    </row>
    <row r="9111" spans="2:3" ht="12.75" customHeight="1">
      <c r="B9111" t="s">
        <v>2432</v>
      </c>
      <c r="C9111" t="s">
        <v>2431</v>
      </c>
    </row>
    <row r="9112" spans="2:3" ht="12.75" customHeight="1">
      <c r="B9112" t="s">
        <v>2430</v>
      </c>
      <c r="C9112" t="s">
        <v>2429</v>
      </c>
    </row>
    <row r="9113" spans="2:3" ht="12.75" customHeight="1">
      <c r="B9113" t="s">
        <v>2428</v>
      </c>
      <c r="C9113" t="s">
        <v>2427</v>
      </c>
    </row>
    <row r="9114" spans="2:3" ht="12.75" customHeight="1">
      <c r="B9114" t="s">
        <v>2426</v>
      </c>
      <c r="C9114" t="s">
        <v>2425</v>
      </c>
    </row>
    <row r="9115" spans="2:3" ht="12.75" customHeight="1">
      <c r="B9115" t="s">
        <v>2424</v>
      </c>
      <c r="C9115" t="s">
        <v>2423</v>
      </c>
    </row>
    <row r="9116" spans="2:3" ht="12.75" customHeight="1">
      <c r="B9116" t="s">
        <v>2422</v>
      </c>
      <c r="C9116" t="s">
        <v>2421</v>
      </c>
    </row>
    <row r="9117" spans="2:3" ht="12.75" customHeight="1">
      <c r="B9117" t="s">
        <v>2420</v>
      </c>
      <c r="C9117" t="s">
        <v>1432</v>
      </c>
    </row>
    <row r="9118" spans="2:3" ht="12.75" customHeight="1">
      <c r="B9118" t="s">
        <v>1431</v>
      </c>
      <c r="C9118" t="s">
        <v>1430</v>
      </c>
    </row>
    <row r="9119" spans="2:3" ht="12.75" customHeight="1">
      <c r="B9119" t="s">
        <v>1429</v>
      </c>
      <c r="C9119" t="s">
        <v>1428</v>
      </c>
    </row>
    <row r="9120" spans="2:3" ht="12.75" customHeight="1">
      <c r="B9120" t="s">
        <v>1427</v>
      </c>
      <c r="C9120" t="s">
        <v>1426</v>
      </c>
    </row>
    <row r="9121" spans="2:3" ht="12.75" customHeight="1">
      <c r="B9121" t="s">
        <v>1425</v>
      </c>
      <c r="C9121" t="s">
        <v>1424</v>
      </c>
    </row>
    <row r="9122" spans="2:3" ht="12.75" customHeight="1">
      <c r="B9122" t="s">
        <v>293</v>
      </c>
      <c r="C9122" t="s">
        <v>292</v>
      </c>
    </row>
    <row r="9123" spans="2:3" ht="12.75" customHeight="1">
      <c r="B9123" t="s">
        <v>291</v>
      </c>
      <c r="C9123" t="s">
        <v>290</v>
      </c>
    </row>
    <row r="9124" spans="2:3" ht="12.75" customHeight="1">
      <c r="B9124" t="s">
        <v>289</v>
      </c>
      <c r="C9124" t="s">
        <v>288</v>
      </c>
    </row>
    <row r="9125" spans="2:3" ht="12.75" customHeight="1">
      <c r="B9125" t="s">
        <v>287</v>
      </c>
      <c r="C9125" t="s">
        <v>286</v>
      </c>
    </row>
    <row r="9126" spans="2:3" ht="12.75" customHeight="1">
      <c r="B9126" t="s">
        <v>285</v>
      </c>
      <c r="C9126" t="s">
        <v>284</v>
      </c>
    </row>
    <row r="9127" spans="2:3" ht="12.75" customHeight="1">
      <c r="B9127" t="s">
        <v>1899</v>
      </c>
      <c r="C9127" t="s">
        <v>1898</v>
      </c>
    </row>
    <row r="9128" spans="2:3" ht="12.75" customHeight="1">
      <c r="B9128" t="s">
        <v>1897</v>
      </c>
      <c r="C9128" t="s">
        <v>1896</v>
      </c>
    </row>
    <row r="9129" spans="2:3" ht="12.75" customHeight="1">
      <c r="B9129" t="s">
        <v>1895</v>
      </c>
      <c r="C9129" t="s">
        <v>1894</v>
      </c>
    </row>
    <row r="9130" spans="2:3" ht="12.75" customHeight="1">
      <c r="B9130" t="s">
        <v>1893</v>
      </c>
      <c r="C9130" t="s">
        <v>1892</v>
      </c>
    </row>
    <row r="9131" spans="2:3" ht="12.75" customHeight="1">
      <c r="B9131" t="s">
        <v>1891</v>
      </c>
      <c r="C9131" t="s">
        <v>1890</v>
      </c>
    </row>
    <row r="9132" spans="2:3" ht="12.75" customHeight="1">
      <c r="B9132" t="s">
        <v>1657</v>
      </c>
      <c r="C9132" t="s">
        <v>1656</v>
      </c>
    </row>
    <row r="9133" spans="2:3" ht="12.75" customHeight="1">
      <c r="B9133" t="s">
        <v>1655</v>
      </c>
      <c r="C9133" t="s">
        <v>1654</v>
      </c>
    </row>
    <row r="9134" spans="2:3" ht="12.75" customHeight="1">
      <c r="B9134" t="s">
        <v>283</v>
      </c>
      <c r="C9134" t="s">
        <v>282</v>
      </c>
    </row>
    <row r="9135" spans="2:3" ht="12.75" customHeight="1">
      <c r="B9135" t="s">
        <v>281</v>
      </c>
      <c r="C9135" t="s">
        <v>280</v>
      </c>
    </row>
    <row r="9136" spans="2:3" ht="12.75" customHeight="1">
      <c r="B9136" t="s">
        <v>279</v>
      </c>
      <c r="C9136" t="s">
        <v>278</v>
      </c>
    </row>
    <row r="9137" spans="2:3" ht="12.75" customHeight="1">
      <c r="B9137" t="s">
        <v>277</v>
      </c>
      <c r="C9137" t="s">
        <v>276</v>
      </c>
    </row>
    <row r="9138" spans="2:3" ht="12.75" customHeight="1">
      <c r="B9138" t="s">
        <v>2859</v>
      </c>
      <c r="C9138" t="s">
        <v>2858</v>
      </c>
    </row>
    <row r="9139" spans="2:3" ht="12.75" customHeight="1">
      <c r="B9139" t="s">
        <v>2857</v>
      </c>
      <c r="C9139" t="s">
        <v>2856</v>
      </c>
    </row>
    <row r="9140" spans="2:3" ht="12.75" customHeight="1">
      <c r="B9140" t="s">
        <v>2855</v>
      </c>
      <c r="C9140" t="s">
        <v>2854</v>
      </c>
    </row>
    <row r="9141" spans="2:3" ht="12.75" customHeight="1">
      <c r="B9141" t="s">
        <v>2853</v>
      </c>
      <c r="C9141" t="s">
        <v>2852</v>
      </c>
    </row>
    <row r="9142" spans="2:3" ht="12.75" customHeight="1">
      <c r="B9142" t="s">
        <v>2851</v>
      </c>
      <c r="C9142" t="s">
        <v>2850</v>
      </c>
    </row>
    <row r="9143" spans="2:3" ht="12.75" customHeight="1">
      <c r="B9143" t="s">
        <v>2849</v>
      </c>
      <c r="C9143" t="s">
        <v>2848</v>
      </c>
    </row>
    <row r="9144" spans="2:3" ht="12.75" customHeight="1">
      <c r="B9144" t="s">
        <v>2847</v>
      </c>
      <c r="C9144" t="s">
        <v>2276</v>
      </c>
    </row>
    <row r="9145" spans="2:3" ht="12.75" customHeight="1">
      <c r="B9145" t="s">
        <v>2275</v>
      </c>
      <c r="C9145" t="s">
        <v>2274</v>
      </c>
    </row>
    <row r="9146" spans="2:3" ht="12.75" customHeight="1">
      <c r="B9146" t="s">
        <v>2273</v>
      </c>
      <c r="C9146" t="s">
        <v>2272</v>
      </c>
    </row>
    <row r="9147" spans="2:3" ht="12.75" customHeight="1">
      <c r="B9147" t="s">
        <v>2271</v>
      </c>
      <c r="C9147" t="s">
        <v>2270</v>
      </c>
    </row>
    <row r="9148" spans="2:3" ht="12.75" customHeight="1">
      <c r="B9148" t="s">
        <v>2269</v>
      </c>
      <c r="C9148" t="s">
        <v>2268</v>
      </c>
    </row>
    <row r="9149" spans="2:3" ht="12.75" customHeight="1">
      <c r="B9149" t="s">
        <v>2267</v>
      </c>
      <c r="C9149" t="s">
        <v>2266</v>
      </c>
    </row>
    <row r="9150" spans="2:3" ht="12.75" customHeight="1">
      <c r="B9150" t="s">
        <v>2265</v>
      </c>
      <c r="C9150" t="s">
        <v>2264</v>
      </c>
    </row>
    <row r="9151" spans="2:3" ht="12.75" customHeight="1">
      <c r="B9151" t="s">
        <v>2263</v>
      </c>
      <c r="C9151" t="s">
        <v>2262</v>
      </c>
    </row>
    <row r="9152" spans="2:3" ht="12.75" customHeight="1">
      <c r="B9152" t="s">
        <v>2261</v>
      </c>
      <c r="C9152" t="s">
        <v>2260</v>
      </c>
    </row>
    <row r="9153" spans="2:3" ht="12.75" customHeight="1">
      <c r="B9153" t="s">
        <v>2259</v>
      </c>
      <c r="C9153" t="s">
        <v>2258</v>
      </c>
    </row>
    <row r="9154" spans="2:3" ht="12.75" customHeight="1">
      <c r="B9154" t="s">
        <v>2257</v>
      </c>
      <c r="C9154" t="s">
        <v>2256</v>
      </c>
    </row>
    <row r="9155" spans="2:3" ht="12.75" customHeight="1">
      <c r="B9155" t="s">
        <v>2255</v>
      </c>
      <c r="C9155" t="s">
        <v>2254</v>
      </c>
    </row>
    <row r="9156" spans="2:3" ht="12.75" customHeight="1">
      <c r="B9156" t="s">
        <v>2253</v>
      </c>
      <c r="C9156" t="s">
        <v>2252</v>
      </c>
    </row>
    <row r="9157" spans="2:3" ht="12.75" customHeight="1">
      <c r="B9157" t="s">
        <v>2251</v>
      </c>
      <c r="C9157" t="s">
        <v>2250</v>
      </c>
    </row>
    <row r="9158" spans="2:3" ht="12.75" customHeight="1">
      <c r="B9158" t="s">
        <v>2249</v>
      </c>
      <c r="C9158" t="s">
        <v>2248</v>
      </c>
    </row>
    <row r="9159" spans="2:3" ht="12.75" customHeight="1">
      <c r="B9159" t="s">
        <v>2247</v>
      </c>
      <c r="C9159" t="s">
        <v>2246</v>
      </c>
    </row>
    <row r="9160" spans="2:3" ht="12.75" customHeight="1">
      <c r="B9160" t="s">
        <v>2245</v>
      </c>
      <c r="C9160" t="s">
        <v>2244</v>
      </c>
    </row>
    <row r="9161" spans="2:3" ht="12.75" customHeight="1">
      <c r="B9161" t="s">
        <v>2243</v>
      </c>
      <c r="C9161" t="s">
        <v>2242</v>
      </c>
    </row>
    <row r="9162" spans="2:3" ht="12.75" customHeight="1">
      <c r="B9162" t="s">
        <v>2241</v>
      </c>
      <c r="C9162" t="s">
        <v>2240</v>
      </c>
    </row>
    <row r="9163" spans="2:3" ht="12.75" customHeight="1">
      <c r="B9163" t="s">
        <v>910</v>
      </c>
      <c r="C9163" t="s">
        <v>909</v>
      </c>
    </row>
    <row r="9164" spans="2:3" ht="12.75" customHeight="1">
      <c r="B9164" t="s">
        <v>908</v>
      </c>
      <c r="C9164" t="s">
        <v>907</v>
      </c>
    </row>
    <row r="9165" spans="2:3" ht="12.75" customHeight="1">
      <c r="B9165" t="s">
        <v>906</v>
      </c>
      <c r="C9165" t="s">
        <v>905</v>
      </c>
    </row>
    <row r="9166" spans="2:3" ht="12.75" customHeight="1">
      <c r="B9166" t="s">
        <v>904</v>
      </c>
      <c r="C9166" t="s">
        <v>903</v>
      </c>
    </row>
    <row r="9167" spans="2:3" ht="12.75" customHeight="1">
      <c r="B9167" t="s">
        <v>902</v>
      </c>
      <c r="C9167" t="s">
        <v>901</v>
      </c>
    </row>
    <row r="9168" spans="2:3" ht="12.75" customHeight="1">
      <c r="B9168" t="s">
        <v>900</v>
      </c>
      <c r="C9168" t="s">
        <v>899</v>
      </c>
    </row>
    <row r="9169" spans="2:3" ht="12.75" customHeight="1">
      <c r="B9169" t="s">
        <v>898</v>
      </c>
      <c r="C9169" t="s">
        <v>897</v>
      </c>
    </row>
    <row r="9170" spans="2:3" ht="12.75" customHeight="1">
      <c r="B9170" t="s">
        <v>896</v>
      </c>
      <c r="C9170" t="s">
        <v>895</v>
      </c>
    </row>
    <row r="9171" spans="2:3" ht="12.75" customHeight="1">
      <c r="B9171" t="s">
        <v>894</v>
      </c>
      <c r="C9171" t="s">
        <v>893</v>
      </c>
    </row>
    <row r="9172" spans="2:3" ht="12.75" customHeight="1">
      <c r="B9172" t="s">
        <v>892</v>
      </c>
      <c r="C9172" t="s">
        <v>891</v>
      </c>
    </row>
    <row r="9173" spans="2:3" ht="12.75" customHeight="1">
      <c r="B9173" t="s">
        <v>890</v>
      </c>
      <c r="C9173" t="s">
        <v>889</v>
      </c>
    </row>
    <row r="9174" spans="2:3" ht="12.75" customHeight="1">
      <c r="B9174" t="s">
        <v>888</v>
      </c>
      <c r="C9174" t="s">
        <v>887</v>
      </c>
    </row>
    <row r="9175" spans="2:3" ht="12.75" customHeight="1">
      <c r="B9175" t="s">
        <v>886</v>
      </c>
      <c r="C9175" t="s">
        <v>885</v>
      </c>
    </row>
    <row r="9176" spans="2:3" ht="12.75" customHeight="1">
      <c r="B9176" t="s">
        <v>884</v>
      </c>
      <c r="C9176" t="s">
        <v>883</v>
      </c>
    </row>
    <row r="9177" spans="2:3" ht="12.75" customHeight="1">
      <c r="B9177" t="s">
        <v>882</v>
      </c>
      <c r="C9177" t="s">
        <v>881</v>
      </c>
    </row>
    <row r="9178" spans="2:3" ht="12.75" customHeight="1">
      <c r="B9178" t="s">
        <v>880</v>
      </c>
      <c r="C9178" t="s">
        <v>879</v>
      </c>
    </row>
    <row r="9179" spans="2:3" ht="12.75" customHeight="1">
      <c r="B9179" t="s">
        <v>878</v>
      </c>
      <c r="C9179" t="s">
        <v>877</v>
      </c>
    </row>
    <row r="9180" spans="2:3" ht="12.75" customHeight="1">
      <c r="B9180" t="s">
        <v>876</v>
      </c>
      <c r="C9180" t="s">
        <v>875</v>
      </c>
    </row>
    <row r="9181" spans="2:3" ht="12.75" customHeight="1">
      <c r="B9181" t="s">
        <v>874</v>
      </c>
      <c r="C9181" t="s">
        <v>873</v>
      </c>
    </row>
    <row r="9182" spans="2:3" ht="12.75" customHeight="1">
      <c r="B9182" t="s">
        <v>872</v>
      </c>
      <c r="C9182" t="s">
        <v>871</v>
      </c>
    </row>
    <row r="9183" spans="2:3" ht="12.75" customHeight="1">
      <c r="B9183" t="s">
        <v>870</v>
      </c>
      <c r="C9183" t="s">
        <v>869</v>
      </c>
    </row>
    <row r="9184" spans="2:3" ht="12.75" customHeight="1">
      <c r="B9184" t="s">
        <v>868</v>
      </c>
      <c r="C9184" t="s">
        <v>867</v>
      </c>
    </row>
    <row r="9185" spans="2:3" ht="12.75" customHeight="1">
      <c r="B9185" t="s">
        <v>5287</v>
      </c>
      <c r="C9185" t="s">
        <v>5286</v>
      </c>
    </row>
    <row r="9186" spans="2:3" ht="12.75" customHeight="1">
      <c r="B9186" t="s">
        <v>2685</v>
      </c>
      <c r="C9186" t="s">
        <v>2684</v>
      </c>
    </row>
    <row r="9187" spans="2:3" ht="12.75" customHeight="1">
      <c r="B9187" t="s">
        <v>5010</v>
      </c>
      <c r="C9187" t="s">
        <v>5009</v>
      </c>
    </row>
    <row r="9188" spans="2:3" ht="12.75" customHeight="1">
      <c r="B9188" t="s">
        <v>5006</v>
      </c>
      <c r="C9188" t="s">
        <v>8449</v>
      </c>
    </row>
    <row r="9189" spans="2:3" ht="12.75" customHeight="1">
      <c r="B9189" t="s">
        <v>5005</v>
      </c>
      <c r="C9189" t="s">
        <v>5004</v>
      </c>
    </row>
    <row r="9190" spans="2:3" ht="12.75" customHeight="1">
      <c r="B9190" t="s">
        <v>1652</v>
      </c>
      <c r="C9190" t="s">
        <v>8450</v>
      </c>
    </row>
    <row r="9191" spans="2:3" ht="12.75" customHeight="1">
      <c r="B9191" t="s">
        <v>5000</v>
      </c>
      <c r="C9191" t="s">
        <v>4999</v>
      </c>
    </row>
    <row r="9192" spans="2:3" ht="12.75" customHeight="1">
      <c r="B9192" t="s">
        <v>5002</v>
      </c>
      <c r="C9192" t="s">
        <v>5001</v>
      </c>
    </row>
    <row r="9193" spans="2:3" ht="12.75" customHeight="1">
      <c r="B9193" t="s">
        <v>5003</v>
      </c>
      <c r="C9193" t="s">
        <v>8451</v>
      </c>
    </row>
    <row r="10036" spans="3:3" ht="12.75" customHeight="1">
      <c r="C10036" t="s">
        <v>3191</v>
      </c>
    </row>
    <row r="10042" spans="3:3" ht="12.75" customHeight="1">
      <c r="C10042" t="s">
        <v>8452</v>
      </c>
    </row>
    <row r="10081" spans="3:3" ht="12.75" customHeight="1">
      <c r="C10081" t="s">
        <v>8453</v>
      </c>
    </row>
    <row r="15280" spans="3:3" ht="12.75" customHeight="1">
      <c r="C15280" t="s">
        <v>8454</v>
      </c>
    </row>
    <row r="15354" spans="2:3" ht="12.75" customHeight="1">
      <c r="B15354" t="s">
        <v>5191</v>
      </c>
      <c r="C15354" t="s">
        <v>5190</v>
      </c>
    </row>
    <row r="15358" spans="2:3" ht="12.75" customHeight="1">
      <c r="B15358" t="s">
        <v>3159</v>
      </c>
      <c r="C15358" t="s">
        <v>3158</v>
      </c>
    </row>
    <row r="15365" spans="2:3" ht="12.75" customHeight="1">
      <c r="B15365" t="s">
        <v>4391</v>
      </c>
      <c r="C15365" t="s">
        <v>4390</v>
      </c>
    </row>
    <row r="15366" spans="2:3" ht="12.75" customHeight="1">
      <c r="B15366" t="s">
        <v>5195</v>
      </c>
      <c r="C15366" t="s">
        <v>5194</v>
      </c>
    </row>
    <row r="15368" spans="2:3" ht="12.75" customHeight="1">
      <c r="B15368" t="s">
        <v>5193</v>
      </c>
      <c r="C15368" t="s">
        <v>5192</v>
      </c>
    </row>
    <row r="15378" spans="2:3" ht="12.75" customHeight="1">
      <c r="B15378" t="s">
        <v>4392</v>
      </c>
      <c r="C15378" t="s">
        <v>8455</v>
      </c>
    </row>
    <row r="15382" spans="2:3" ht="12.75" customHeight="1">
      <c r="B15382" t="s">
        <v>5196</v>
      </c>
      <c r="C15382" t="s">
        <v>8456</v>
      </c>
    </row>
    <row r="15386" spans="2:3" ht="12.75" customHeight="1">
      <c r="C15386" t="s">
        <v>8457</v>
      </c>
    </row>
    <row r="15390" spans="2:3" ht="12.75" customHeight="1">
      <c r="B15390" t="s">
        <v>5198</v>
      </c>
      <c r="C15390" t="s">
        <v>5197</v>
      </c>
    </row>
    <row r="15395" spans="2:3" ht="12.75" customHeight="1">
      <c r="B15395" t="s">
        <v>5200</v>
      </c>
      <c r="C15395" t="s">
        <v>5199</v>
      </c>
    </row>
    <row r="15412" spans="2:3" ht="12.75" customHeight="1">
      <c r="B15412" t="s">
        <v>992</v>
      </c>
      <c r="C15412" t="s">
        <v>992</v>
      </c>
    </row>
    <row r="15431" spans="2:3" ht="12.75" customHeight="1">
      <c r="B15431" t="s">
        <v>993</v>
      </c>
      <c r="C15431" t="s">
        <v>993</v>
      </c>
    </row>
    <row r="15448" spans="2:3" ht="12.75" customHeight="1">
      <c r="B15448" t="s">
        <v>866</v>
      </c>
      <c r="C15448" t="s">
        <v>865</v>
      </c>
    </row>
    <row r="15449" spans="2:3" ht="12.75" customHeight="1">
      <c r="B15449" t="s">
        <v>995</v>
      </c>
      <c r="C15449" t="s">
        <v>994</v>
      </c>
    </row>
    <row r="15452" spans="2:3" ht="12.75" customHeight="1">
      <c r="B15452" t="s">
        <v>2389</v>
      </c>
      <c r="C15452" t="s">
        <v>2388</v>
      </c>
    </row>
    <row r="15453" spans="2:3" ht="12.75" customHeight="1">
      <c r="B15453" t="s">
        <v>5279</v>
      </c>
      <c r="C15453" t="s">
        <v>5278</v>
      </c>
    </row>
    <row r="15460" spans="2:3" ht="12.75" customHeight="1">
      <c r="B15460" t="s">
        <v>2387</v>
      </c>
      <c r="C15460" t="s">
        <v>2386</v>
      </c>
    </row>
    <row r="15461" spans="2:3" ht="12.75" customHeight="1">
      <c r="B15461" t="s">
        <v>5281</v>
      </c>
      <c r="C15461" t="s">
        <v>5280</v>
      </c>
    </row>
    <row r="15462" spans="2:3" ht="12.75" customHeight="1">
      <c r="B15462" t="s">
        <v>5283</v>
      </c>
      <c r="C15462" t="s">
        <v>5282</v>
      </c>
    </row>
    <row r="15472" spans="2:3" ht="12.75" customHeight="1">
      <c r="B15472" t="s">
        <v>5285</v>
      </c>
      <c r="C15472" t="s">
        <v>5284</v>
      </c>
    </row>
    <row r="15474" spans="2:3" ht="12.75" customHeight="1">
      <c r="B15474" t="s">
        <v>2681</v>
      </c>
      <c r="C15474" t="s">
        <v>2680</v>
      </c>
    </row>
    <row r="15475" spans="2:3" ht="12.75" customHeight="1">
      <c r="B15475" t="s">
        <v>4402</v>
      </c>
      <c r="C15475" t="s">
        <v>4393</v>
      </c>
    </row>
    <row r="15478" spans="2:3" ht="12.75" customHeight="1">
      <c r="B15478" t="s">
        <v>5289</v>
      </c>
      <c r="C15478" t="s">
        <v>5288</v>
      </c>
    </row>
    <row r="15480" spans="2:3" ht="12.75" customHeight="1">
      <c r="B15480" t="s">
        <v>2683</v>
      </c>
      <c r="C15480" t="s">
        <v>2682</v>
      </c>
    </row>
    <row r="15482" spans="2:3" ht="12.75" customHeight="1">
      <c r="B15482" t="s">
        <v>2687</v>
      </c>
      <c r="C15482" t="s">
        <v>2686</v>
      </c>
    </row>
    <row r="15488" spans="2:3" ht="12.75" customHeight="1">
      <c r="B15488" t="s">
        <v>2691</v>
      </c>
      <c r="C15488" t="s">
        <v>2690</v>
      </c>
    </row>
    <row r="15489" spans="2:3" ht="12.75" customHeight="1">
      <c r="B15489" t="s">
        <v>2689</v>
      </c>
      <c r="C15489" t="s">
        <v>2688</v>
      </c>
    </row>
    <row r="15491" spans="2:3" ht="12.75" customHeight="1">
      <c r="B15491" t="s">
        <v>2693</v>
      </c>
      <c r="C15491" t="s">
        <v>2692</v>
      </c>
    </row>
    <row r="15493" spans="2:3" ht="12.75" customHeight="1">
      <c r="B15493" t="s">
        <v>1737</v>
      </c>
      <c r="C15493" t="s">
        <v>1736</v>
      </c>
    </row>
    <row r="15494" spans="2:3" ht="12.75" customHeight="1">
      <c r="B15494" t="s">
        <v>361</v>
      </c>
      <c r="C15494" t="s">
        <v>360</v>
      </c>
    </row>
    <row r="15495" spans="2:3" ht="12.75" customHeight="1">
      <c r="B15495" t="s">
        <v>4403</v>
      </c>
      <c r="C15495" t="s">
        <v>8458</v>
      </c>
    </row>
    <row r="15496" spans="2:3" ht="12.75" customHeight="1">
      <c r="B15496" t="s">
        <v>3597</v>
      </c>
      <c r="C15496" t="s">
        <v>3287</v>
      </c>
    </row>
    <row r="15497" spans="2:3" ht="12.75" customHeight="1">
      <c r="B15497" t="s">
        <v>3599</v>
      </c>
      <c r="C15497" t="s">
        <v>3598</v>
      </c>
    </row>
    <row r="15499" spans="2:3" ht="12.75" customHeight="1">
      <c r="B15499" t="s">
        <v>359</v>
      </c>
      <c r="C15499" t="s">
        <v>3600</v>
      </c>
    </row>
    <row r="15500" spans="2:3" ht="12.75" customHeight="1">
      <c r="B15500" t="s">
        <v>362</v>
      </c>
      <c r="C15500" t="s">
        <v>8416</v>
      </c>
    </row>
    <row r="15501" spans="2:3" ht="12.75" customHeight="1">
      <c r="B15501" t="s">
        <v>4404</v>
      </c>
      <c r="C15501" t="s">
        <v>8417</v>
      </c>
    </row>
    <row r="15506" spans="2:3" ht="12.75" customHeight="1">
      <c r="B15506" t="s">
        <v>2695</v>
      </c>
      <c r="C15506" t="s">
        <v>2694</v>
      </c>
    </row>
    <row r="15509" spans="2:3" ht="12.75" customHeight="1">
      <c r="B15509" t="s">
        <v>1735</v>
      </c>
      <c r="C15509" t="s">
        <v>1734</v>
      </c>
    </row>
    <row r="15510" spans="2:3" ht="12.75" customHeight="1">
      <c r="B15510" t="s">
        <v>5188</v>
      </c>
      <c r="C15510" t="s">
        <v>8418</v>
      </c>
    </row>
    <row r="15512" spans="2:3" ht="12.75" customHeight="1">
      <c r="B15512" t="s">
        <v>4405</v>
      </c>
      <c r="C15512" t="s">
        <v>8419</v>
      </c>
    </row>
    <row r="15513" spans="2:3" ht="12.75" customHeight="1">
      <c r="B15513" t="s">
        <v>4979</v>
      </c>
      <c r="C15513" t="s">
        <v>4978</v>
      </c>
    </row>
    <row r="15514" spans="2:3" ht="12.75" customHeight="1">
      <c r="B15514" t="s">
        <v>364</v>
      </c>
      <c r="C15514" t="s">
        <v>363</v>
      </c>
    </row>
    <row r="15515" spans="2:3" ht="12.75" customHeight="1">
      <c r="B15515" t="s">
        <v>4094</v>
      </c>
      <c r="C15515" t="s">
        <v>365</v>
      </c>
    </row>
    <row r="15517" spans="2:3" ht="12.75" customHeight="1">
      <c r="B15517" t="s">
        <v>1901</v>
      </c>
      <c r="C15517" t="s">
        <v>1900</v>
      </c>
    </row>
    <row r="15518" spans="2:3" ht="12.75" customHeight="1">
      <c r="B15518" t="s">
        <v>1483</v>
      </c>
      <c r="C15518" t="s">
        <v>1482</v>
      </c>
    </row>
    <row r="15522" spans="2:3" ht="12.75" customHeight="1">
      <c r="B15522" t="s">
        <v>1485</v>
      </c>
      <c r="C15522" t="s">
        <v>1484</v>
      </c>
    </row>
    <row r="15562" spans="2:3" ht="12.75" customHeight="1">
      <c r="B15562" t="s">
        <v>1902</v>
      </c>
      <c r="C15562" t="s">
        <v>8420</v>
      </c>
    </row>
    <row r="15564" spans="2:3" ht="12.75" customHeight="1">
      <c r="B15564" t="s">
        <v>1903</v>
      </c>
      <c r="C15564" t="s">
        <v>777</v>
      </c>
    </row>
    <row r="15580" spans="2:3" ht="12.75" customHeight="1">
      <c r="B15580" t="s">
        <v>1487</v>
      </c>
      <c r="C15580" t="s">
        <v>1486</v>
      </c>
    </row>
    <row r="15582" spans="2:3" ht="12.75" customHeight="1">
      <c r="B15582" t="s">
        <v>1905</v>
      </c>
      <c r="C15582" t="s">
        <v>1904</v>
      </c>
    </row>
    <row r="15585" spans="2:3" ht="12.75" customHeight="1">
      <c r="B15585" t="s">
        <v>1489</v>
      </c>
      <c r="C15585" t="s">
        <v>1488</v>
      </c>
    </row>
    <row r="15587" spans="2:3" ht="12.75" customHeight="1">
      <c r="B15587" t="s">
        <v>1491</v>
      </c>
      <c r="C15587" t="s">
        <v>1490</v>
      </c>
    </row>
    <row r="15590" spans="2:3" ht="12.75" customHeight="1">
      <c r="B15590" t="s">
        <v>1493</v>
      </c>
      <c r="C15590" t="s">
        <v>1492</v>
      </c>
    </row>
    <row r="15591" spans="2:3" ht="12.75" customHeight="1">
      <c r="B15591" t="s">
        <v>1495</v>
      </c>
      <c r="C15591" t="s">
        <v>1494</v>
      </c>
    </row>
    <row r="15597" spans="2:3" ht="12.75" customHeight="1">
      <c r="B15597" t="s">
        <v>1497</v>
      </c>
      <c r="C15597" t="s">
        <v>1496</v>
      </c>
    </row>
    <row r="15598" spans="2:3" ht="12.75" customHeight="1">
      <c r="B15598" t="s">
        <v>1501</v>
      </c>
      <c r="C15598" t="s">
        <v>1500</v>
      </c>
    </row>
    <row r="15600" spans="2:3" ht="12.75" customHeight="1">
      <c r="B15600" t="s">
        <v>1499</v>
      </c>
      <c r="C15600" t="s">
        <v>1498</v>
      </c>
    </row>
    <row r="15601" spans="2:3" ht="12.75" customHeight="1">
      <c r="B15601" t="s">
        <v>1503</v>
      </c>
      <c r="C15601" t="s">
        <v>1502</v>
      </c>
    </row>
    <row r="15602" spans="2:3" ht="12.75" customHeight="1">
      <c r="B15602" t="s">
        <v>3163</v>
      </c>
      <c r="C15602" t="s">
        <v>3162</v>
      </c>
    </row>
    <row r="15603" spans="2:3" ht="12.75" customHeight="1">
      <c r="B15603" t="s">
        <v>3161</v>
      </c>
      <c r="C15603" t="s">
        <v>3160</v>
      </c>
    </row>
    <row r="15604" spans="2:3" ht="12.75" customHeight="1">
      <c r="B15604" t="s">
        <v>3165</v>
      </c>
      <c r="C15604" t="s">
        <v>3164</v>
      </c>
    </row>
    <row r="15606" spans="2:3" ht="12.75" customHeight="1">
      <c r="B15606" t="s">
        <v>4981</v>
      </c>
      <c r="C15606" t="s">
        <v>4980</v>
      </c>
    </row>
    <row r="15667" spans="3:3" ht="12.75" customHeight="1">
      <c r="C15667" t="s">
        <v>8421</v>
      </c>
    </row>
    <row r="40002" spans="3:3" ht="12.75" customHeight="1">
      <c r="C40002" t="s">
        <v>8422</v>
      </c>
    </row>
    <row r="40021" spans="3:3" ht="12.75" customHeight="1">
      <c r="C40021" t="s">
        <v>8423</v>
      </c>
    </row>
    <row r="40067" spans="3:3" ht="12.75" customHeight="1">
      <c r="C40067" t="s">
        <v>8424</v>
      </c>
    </row>
    <row r="40071" spans="3:3" ht="12.75" customHeight="1">
      <c r="C40071" t="s">
        <v>8425</v>
      </c>
    </row>
    <row r="40083" spans="3:3" ht="12.75" customHeight="1">
      <c r="C40083" t="s">
        <v>8426</v>
      </c>
    </row>
    <row r="40086" spans="3:3" ht="12.75" customHeight="1">
      <c r="C40086" t="s">
        <v>4</v>
      </c>
    </row>
    <row r="40087" spans="3:3" ht="12.75" customHeight="1">
      <c r="C40087" t="s">
        <v>8427</v>
      </c>
    </row>
    <row r="40091" spans="3:3" ht="12.75" customHeight="1">
      <c r="C40091" t="s">
        <v>8428</v>
      </c>
    </row>
    <row r="40098" spans="2:3" ht="12.75" customHeight="1">
      <c r="C40098" t="s">
        <v>8459</v>
      </c>
    </row>
    <row r="40102" spans="2:3" ht="12.75" customHeight="1">
      <c r="B40102" t="s">
        <v>4829</v>
      </c>
      <c r="C40102" t="s">
        <v>5863</v>
      </c>
    </row>
    <row r="40104" spans="2:3" ht="12.75" customHeight="1">
      <c r="C40104" t="s">
        <v>4196</v>
      </c>
    </row>
    <row r="40108" spans="2:3" ht="12.75" customHeight="1">
      <c r="C40108" t="s">
        <v>8460</v>
      </c>
    </row>
    <row r="40114" spans="3:3" ht="12.75" customHeight="1">
      <c r="C40114" t="s">
        <v>8461</v>
      </c>
    </row>
    <row r="40123" spans="3:3" ht="12.75" customHeight="1">
      <c r="C40123" t="s">
        <v>8462</v>
      </c>
    </row>
    <row r="40124" spans="3:3" ht="12.75" customHeight="1">
      <c r="C40124" t="s">
        <v>8463</v>
      </c>
    </row>
    <row r="40131" spans="3:3" ht="12.75" customHeight="1">
      <c r="C40131" t="s">
        <v>8464</v>
      </c>
    </row>
    <row r="40145" spans="3:3" ht="12.75" customHeight="1">
      <c r="C40145" t="s">
        <v>8465</v>
      </c>
    </row>
    <row r="40146" spans="3:3" ht="12.75" customHeight="1">
      <c r="C40146" t="s">
        <v>8466</v>
      </c>
    </row>
    <row r="40147" spans="3:3" ht="12.75" customHeight="1">
      <c r="C40147" t="s">
        <v>8467</v>
      </c>
    </row>
    <row r="40158" spans="3:3" ht="12.75" customHeight="1">
      <c r="C40158" t="s">
        <v>8468</v>
      </c>
    </row>
    <row r="40171" spans="3:3" ht="12.75" customHeight="1">
      <c r="C40171" t="s">
        <v>8469</v>
      </c>
    </row>
    <row r="40180" spans="3:3" ht="12.75" customHeight="1">
      <c r="C40180" t="s">
        <v>8470</v>
      </c>
    </row>
    <row r="40186" spans="3:3" ht="12.75" customHeight="1">
      <c r="C40186" t="s">
        <v>8471</v>
      </c>
    </row>
    <row r="40230" spans="3:3" ht="12.75" customHeight="1">
      <c r="C40230" t="s">
        <v>8472</v>
      </c>
    </row>
    <row r="40255" spans="3:3" ht="12.75" customHeight="1">
      <c r="C40255" t="s">
        <v>8473</v>
      </c>
    </row>
    <row r="40257" spans="3:3" ht="12.75" customHeight="1">
      <c r="C40257" t="s">
        <v>8474</v>
      </c>
    </row>
    <row r="40273" spans="3:3" ht="12.75" customHeight="1">
      <c r="C40273" t="s">
        <v>8475</v>
      </c>
    </row>
    <row r="40277" spans="3:3" ht="12.75" customHeight="1">
      <c r="C40277" t="s">
        <v>8476</v>
      </c>
    </row>
    <row r="40282" spans="3:3" ht="12.75" customHeight="1">
      <c r="C40282" t="s">
        <v>8477</v>
      </c>
    </row>
    <row r="40293" spans="3:3" ht="12.75" customHeight="1">
      <c r="C40293" t="s">
        <v>8484</v>
      </c>
    </row>
    <row r="40309" spans="3:3" ht="12.75" customHeight="1">
      <c r="C40309" t="s">
        <v>8485</v>
      </c>
    </row>
    <row r="40328" spans="3:3" ht="12.75" customHeight="1">
      <c r="C40328" t="s">
        <v>8486</v>
      </c>
    </row>
    <row r="40333" spans="3:3" ht="12.75" customHeight="1">
      <c r="C40333" t="s">
        <v>8487</v>
      </c>
    </row>
    <row r="40346" spans="3:3" ht="12.75" customHeight="1">
      <c r="C40346" t="s">
        <v>8488</v>
      </c>
    </row>
    <row r="40347" spans="3:3" ht="12.75" customHeight="1">
      <c r="C40347" t="s">
        <v>8489</v>
      </c>
    </row>
    <row r="40351" spans="3:3" ht="12.75" customHeight="1">
      <c r="C40351" t="s">
        <v>8490</v>
      </c>
    </row>
    <row r="40361" spans="3:3" ht="12.75" customHeight="1">
      <c r="C40361" t="s">
        <v>8491</v>
      </c>
    </row>
    <row r="40362" spans="3:3" ht="12.75" customHeight="1">
      <c r="C40362" t="s">
        <v>8492</v>
      </c>
    </row>
    <row r="40381" spans="3:3" ht="12.75" customHeight="1">
      <c r="C40381" t="s">
        <v>8493</v>
      </c>
    </row>
    <row r="40389" spans="3:3" ht="12.75" customHeight="1">
      <c r="C40389" t="s">
        <v>8494</v>
      </c>
    </row>
    <row r="40414" spans="3:3" ht="12.75" customHeight="1">
      <c r="C40414" t="s">
        <v>8495</v>
      </c>
    </row>
    <row r="40417" spans="3:3" ht="12.75" customHeight="1">
      <c r="C40417" t="s">
        <v>8496</v>
      </c>
    </row>
    <row r="40432" spans="3:3" ht="12.75" customHeight="1">
      <c r="C40432" t="s">
        <v>8497</v>
      </c>
    </row>
    <row r="40435" spans="3:3" ht="12.75" customHeight="1">
      <c r="C40435" t="s">
        <v>8498</v>
      </c>
    </row>
    <row r="40449" spans="3:3" ht="12.75" customHeight="1">
      <c r="C40449" t="s">
        <v>8499</v>
      </c>
    </row>
    <row r="40454" spans="3:3" ht="12.75" customHeight="1">
      <c r="C40454" t="s">
        <v>8500</v>
      </c>
    </row>
    <row r="40499" spans="3:3" ht="12.75" customHeight="1">
      <c r="C40499" t="s">
        <v>8501</v>
      </c>
    </row>
    <row r="40534" spans="3:3" ht="12.75" customHeight="1">
      <c r="C40534" t="s">
        <v>8502</v>
      </c>
    </row>
    <row r="40535" spans="3:3" ht="12.75" customHeight="1">
      <c r="C40535" t="s">
        <v>8503</v>
      </c>
    </row>
    <row r="40558" spans="3:3" ht="12.75" customHeight="1">
      <c r="C40558" t="s">
        <v>8504</v>
      </c>
    </row>
    <row r="40562" spans="3:3" ht="12.75" customHeight="1">
      <c r="C40562" t="s">
        <v>8505</v>
      </c>
    </row>
    <row r="40577" spans="3:3" ht="12.75" customHeight="1">
      <c r="C40577" t="s">
        <v>8506</v>
      </c>
    </row>
    <row r="40587" spans="3:3" ht="12.75" customHeight="1">
      <c r="C40587" t="s">
        <v>8507</v>
      </c>
    </row>
    <row r="40609" spans="3:3" ht="12.75" customHeight="1">
      <c r="C40609" t="s">
        <v>8508</v>
      </c>
    </row>
    <row r="40621" spans="3:3" ht="12.75" customHeight="1">
      <c r="C40621" t="s">
        <v>8509</v>
      </c>
    </row>
    <row r="40626" spans="3:3" ht="12.75" customHeight="1">
      <c r="C40626" t="s">
        <v>8510</v>
      </c>
    </row>
    <row r="40634" spans="3:3" ht="12.75" customHeight="1">
      <c r="C40634" t="s">
        <v>8511</v>
      </c>
    </row>
    <row r="40640" spans="3:3" ht="12.75" customHeight="1">
      <c r="C40640" t="s">
        <v>8512</v>
      </c>
    </row>
    <row r="40659" spans="3:3" ht="12.75" customHeight="1">
      <c r="C40659" t="s">
        <v>7372</v>
      </c>
    </row>
    <row r="40685" spans="3:3" ht="12.75" customHeight="1">
      <c r="C40685" t="s">
        <v>8513</v>
      </c>
    </row>
    <row r="40698" spans="3:3" ht="12.75" customHeight="1">
      <c r="C40698" t="s">
        <v>8514</v>
      </c>
    </row>
    <row r="40737" spans="3:3" ht="12.75" customHeight="1">
      <c r="C40737" t="s">
        <v>8515</v>
      </c>
    </row>
    <row r="40739" spans="3:3" ht="12.75" customHeight="1">
      <c r="C40739" t="s">
        <v>8516</v>
      </c>
    </row>
    <row r="40750" spans="3:3" ht="12.75" customHeight="1">
      <c r="C40750" t="s">
        <v>8517</v>
      </c>
    </row>
    <row r="40763" spans="3:3" ht="12.75" customHeight="1">
      <c r="C40763" t="s">
        <v>8518</v>
      </c>
    </row>
    <row r="40777" spans="3:3" ht="12.75" customHeight="1">
      <c r="C40777" t="s">
        <v>8519</v>
      </c>
    </row>
    <row r="40786" spans="3:3" ht="12.75" customHeight="1">
      <c r="C40786" t="s">
        <v>8520</v>
      </c>
    </row>
    <row r="40787" spans="3:3" ht="12.75" customHeight="1">
      <c r="C40787" t="s">
        <v>8521</v>
      </c>
    </row>
    <row r="40798" spans="3:3" ht="12.75" customHeight="1">
      <c r="C40798" t="s">
        <v>8522</v>
      </c>
    </row>
    <row r="40799" spans="3:3" ht="12.75" customHeight="1">
      <c r="C40799" t="s">
        <v>8523</v>
      </c>
    </row>
    <row r="40800" spans="3:3" ht="12.75" customHeight="1">
      <c r="C40800" t="s">
        <v>8524</v>
      </c>
    </row>
    <row r="40807" spans="3:3" ht="12.75" customHeight="1">
      <c r="C40807" t="s">
        <v>8525</v>
      </c>
    </row>
    <row r="40830" spans="3:3" ht="12.75" customHeight="1">
      <c r="C40830" t="s">
        <v>8526</v>
      </c>
    </row>
    <row r="40864" spans="3:3" ht="12.75" customHeight="1">
      <c r="C40864" t="s">
        <v>8527</v>
      </c>
    </row>
    <row r="40872" spans="3:3" ht="12.75" customHeight="1">
      <c r="C40872" t="s">
        <v>8528</v>
      </c>
    </row>
    <row r="40875" spans="3:3" ht="12.75" customHeight="1">
      <c r="C40875" t="s">
        <v>8529</v>
      </c>
    </row>
    <row r="40896" spans="3:3" ht="12.75" customHeight="1">
      <c r="C40896" t="s">
        <v>8530</v>
      </c>
    </row>
    <row r="40943" spans="3:3" ht="12.75" customHeight="1">
      <c r="C40943" t="s">
        <v>8531</v>
      </c>
    </row>
    <row r="40960" spans="3:3" ht="12.75" customHeight="1">
      <c r="C40960" t="s">
        <v>8532</v>
      </c>
    </row>
    <row r="40970" spans="3:3" ht="12.75" customHeight="1">
      <c r="C40970" t="s">
        <v>8533</v>
      </c>
    </row>
    <row r="40977" spans="3:3" ht="12.75" customHeight="1">
      <c r="C40977" t="s">
        <v>8534</v>
      </c>
    </row>
    <row r="41025" spans="3:3" ht="12.75" customHeight="1">
      <c r="C41025" t="s">
        <v>5522</v>
      </c>
    </row>
    <row r="41081" spans="3:3" ht="12.75" customHeight="1">
      <c r="C41081" t="s">
        <v>833</v>
      </c>
    </row>
    <row r="41087" spans="3:3" ht="12.75" customHeight="1">
      <c r="C41087" t="s">
        <v>8535</v>
      </c>
    </row>
    <row r="41090" spans="3:3" ht="12.75" customHeight="1">
      <c r="C41090" t="s">
        <v>8536</v>
      </c>
    </row>
    <row r="41091" spans="3:3" ht="12.75" customHeight="1">
      <c r="C41091" t="s">
        <v>8537</v>
      </c>
    </row>
    <row r="41105" spans="3:3" ht="12.75" customHeight="1">
      <c r="C41105" t="s">
        <v>8538</v>
      </c>
    </row>
    <row r="41107" spans="3:3" ht="12.75" customHeight="1">
      <c r="C41107" t="s">
        <v>8539</v>
      </c>
    </row>
    <row r="41118" spans="3:3" ht="12.75" customHeight="1">
      <c r="C41118" t="s">
        <v>8540</v>
      </c>
    </row>
    <row r="41135" spans="3:3" ht="12.75" customHeight="1">
      <c r="C41135" t="s">
        <v>8541</v>
      </c>
    </row>
    <row r="41142" spans="3:3" ht="12.75" customHeight="1">
      <c r="C41142" t="s">
        <v>8542</v>
      </c>
    </row>
    <row r="41177" spans="3:3" ht="12.75" customHeight="1">
      <c r="C41177" t="s">
        <v>8543</v>
      </c>
    </row>
    <row r="41186" spans="3:3" ht="12.75" customHeight="1">
      <c r="C41186" t="s">
        <v>8544</v>
      </c>
    </row>
    <row r="41225" spans="3:3" ht="12.75" customHeight="1">
      <c r="C41225" t="s">
        <v>8545</v>
      </c>
    </row>
    <row r="41260" spans="3:3" ht="12.75" customHeight="1">
      <c r="C41260" t="s">
        <v>8546</v>
      </c>
    </row>
    <row r="41261" spans="3:3" ht="12.75" customHeight="1">
      <c r="C41261" t="s">
        <v>8547</v>
      </c>
    </row>
    <row r="41282" spans="3:3" ht="12.75" customHeight="1">
      <c r="C41282" t="s">
        <v>8548</v>
      </c>
    </row>
    <row r="41293" spans="3:3" ht="12.75" customHeight="1">
      <c r="C41293" t="s">
        <v>8549</v>
      </c>
    </row>
    <row r="41316" spans="3:3" ht="12.75" customHeight="1">
      <c r="C41316" t="s">
        <v>8478</v>
      </c>
    </row>
    <row r="41320" spans="3:3" ht="12.75" customHeight="1">
      <c r="C41320" t="s">
        <v>8479</v>
      </c>
    </row>
    <row r="41322" spans="3:3" ht="12.75" customHeight="1">
      <c r="C41322" t="s">
        <v>8480</v>
      </c>
    </row>
    <row r="41324" spans="3:3" ht="12.75" customHeight="1">
      <c r="C41324" t="s">
        <v>8481</v>
      </c>
    </row>
    <row r="41330" spans="3:3" ht="12.75" customHeight="1">
      <c r="C41330" t="s">
        <v>8482</v>
      </c>
    </row>
    <row r="41334" spans="3:3" ht="12.75" customHeight="1">
      <c r="C41334" t="s">
        <v>8483</v>
      </c>
    </row>
    <row r="41352" spans="3:3" ht="12.75" customHeight="1">
      <c r="C41352" t="s">
        <v>8550</v>
      </c>
    </row>
    <row r="41362" spans="3:3" ht="12.75" customHeight="1">
      <c r="C41362" t="s">
        <v>8551</v>
      </c>
    </row>
    <row r="41364" spans="3:3" ht="12.75" customHeight="1">
      <c r="C41364" t="s">
        <v>8552</v>
      </c>
    </row>
    <row r="41367" spans="3:3" ht="12.75" customHeight="1">
      <c r="C41367" t="s">
        <v>8553</v>
      </c>
    </row>
    <row r="41371" spans="3:3" ht="12.75" customHeight="1">
      <c r="C41371" t="s">
        <v>8554</v>
      </c>
    </row>
    <row r="41388" spans="3:3" ht="12.75" customHeight="1">
      <c r="C41388" t="s">
        <v>8555</v>
      </c>
    </row>
    <row r="41400" spans="3:3" ht="12.75" customHeight="1">
      <c r="C41400" t="s">
        <v>8556</v>
      </c>
    </row>
    <row r="41404" spans="3:3" ht="12.75" customHeight="1">
      <c r="C41404" t="s">
        <v>8557</v>
      </c>
    </row>
    <row r="41410" spans="3:3" ht="12.75" customHeight="1">
      <c r="C41410" t="s">
        <v>8558</v>
      </c>
    </row>
    <row r="41434" spans="3:3" ht="12.75" customHeight="1">
      <c r="C41434" t="s">
        <v>8559</v>
      </c>
    </row>
    <row r="41443" spans="3:3" ht="12.75" customHeight="1">
      <c r="C41443" t="s">
        <v>8560</v>
      </c>
    </row>
    <row r="41455" spans="3:3" ht="12.75" customHeight="1">
      <c r="C41455" t="s">
        <v>8568</v>
      </c>
    </row>
    <row r="41459" spans="3:3" ht="12.75" customHeight="1">
      <c r="C41459" t="s">
        <v>8569</v>
      </c>
    </row>
    <row r="41460" spans="3:3" ht="12.75" customHeight="1">
      <c r="C41460" t="s">
        <v>8570</v>
      </c>
    </row>
    <row r="41466" spans="3:3" ht="12.75" customHeight="1">
      <c r="C41466" t="s">
        <v>8571</v>
      </c>
    </row>
    <row r="41478" spans="3:3" ht="12.75" customHeight="1">
      <c r="C41478" t="s">
        <v>8572</v>
      </c>
    </row>
    <row r="41489" spans="3:3" ht="12.75" customHeight="1">
      <c r="C41489" t="s">
        <v>8573</v>
      </c>
    </row>
    <row r="41496" spans="3:3" ht="12.75" customHeight="1">
      <c r="C41496" t="s">
        <v>8574</v>
      </c>
    </row>
    <row r="41506" spans="3:3" ht="12.75" customHeight="1">
      <c r="C41506" t="s">
        <v>8575</v>
      </c>
    </row>
    <row r="41524" spans="2:3" ht="12.75" customHeight="1">
      <c r="B41524" t="s">
        <v>3036</v>
      </c>
      <c r="C41524" t="s">
        <v>8576</v>
      </c>
    </row>
    <row r="41526" spans="2:3" ht="12.75" customHeight="1">
      <c r="B41526" t="s">
        <v>3037</v>
      </c>
      <c r="C41526" t="s">
        <v>8577</v>
      </c>
    </row>
    <row r="41565" spans="3:3" ht="12.75" customHeight="1">
      <c r="C41565" t="s">
        <v>8578</v>
      </c>
    </row>
    <row r="41611" spans="3:3" ht="12.75" customHeight="1">
      <c r="C41611" t="s">
        <v>8579</v>
      </c>
    </row>
    <row r="41630" spans="3:3" ht="12.75" customHeight="1">
      <c r="C41630" t="s">
        <v>8580</v>
      </c>
    </row>
    <row r="41638" spans="3:3" ht="12.75" customHeight="1">
      <c r="C41638" t="s">
        <v>8581</v>
      </c>
    </row>
    <row r="41666" spans="3:3" ht="12.75" customHeight="1">
      <c r="C41666" t="s">
        <v>8582</v>
      </c>
    </row>
    <row r="41667" spans="3:3" ht="12.75" customHeight="1">
      <c r="C41667" t="s">
        <v>8583</v>
      </c>
    </row>
    <row r="41677" spans="3:3" ht="12.75" customHeight="1">
      <c r="C41677" t="s">
        <v>8584</v>
      </c>
    </row>
    <row r="41680" spans="3:3" ht="12.75" customHeight="1">
      <c r="C41680" t="s">
        <v>8585</v>
      </c>
    </row>
    <row r="41709" spans="3:3" ht="12.75" customHeight="1">
      <c r="C41709" t="s">
        <v>8586</v>
      </c>
    </row>
    <row r="41714" spans="3:3" ht="12.75" customHeight="1">
      <c r="C41714" t="s">
        <v>8587</v>
      </c>
    </row>
    <row r="41740" spans="3:3" ht="12.75" customHeight="1">
      <c r="C41740" t="s">
        <v>8588</v>
      </c>
    </row>
    <row r="41742" spans="3:3" ht="12.75" customHeight="1">
      <c r="C41742" t="s">
        <v>8589</v>
      </c>
    </row>
    <row r="41745" spans="3:3" ht="12.75" customHeight="1">
      <c r="C41745" t="s">
        <v>8590</v>
      </c>
    </row>
    <row r="41756" spans="3:3" ht="12.75" customHeight="1">
      <c r="C41756" t="s">
        <v>8591</v>
      </c>
    </row>
    <row r="41775" spans="3:3" ht="12.75" customHeight="1">
      <c r="C41775" t="s">
        <v>8592</v>
      </c>
    </row>
    <row r="41776" spans="3:3" ht="12.75" customHeight="1">
      <c r="C41776" t="s">
        <v>8593</v>
      </c>
    </row>
    <row r="41787" spans="3:3" ht="12.75" customHeight="1">
      <c r="C41787" t="s">
        <v>8594</v>
      </c>
    </row>
    <row r="41801" spans="3:3" ht="12.75" customHeight="1">
      <c r="C41801" t="s">
        <v>8595</v>
      </c>
    </row>
    <row r="41813" spans="3:3" ht="12.75" customHeight="1">
      <c r="C41813" t="s">
        <v>8596</v>
      </c>
    </row>
    <row r="41819" spans="3:3" ht="12.75" customHeight="1">
      <c r="C41819" t="s">
        <v>5011</v>
      </c>
    </row>
    <row r="41820" spans="3:3" ht="12.75" customHeight="1">
      <c r="C41820" t="s">
        <v>5012</v>
      </c>
    </row>
    <row r="41821" spans="3:3" ht="12.75" customHeight="1">
      <c r="C41821" t="s">
        <v>5013</v>
      </c>
    </row>
    <row r="41822" spans="3:3" ht="12.75" customHeight="1">
      <c r="C41822" t="s">
        <v>5014</v>
      </c>
    </row>
    <row r="41823" spans="3:3" ht="12.75" customHeight="1">
      <c r="C41823" t="s">
        <v>834</v>
      </c>
    </row>
    <row r="41824" spans="3:3" ht="12.75" customHeight="1">
      <c r="C41824" t="s">
        <v>835</v>
      </c>
    </row>
    <row r="41825" spans="3:3" ht="12.75" customHeight="1">
      <c r="C41825" t="s">
        <v>5015</v>
      </c>
    </row>
    <row r="41826" spans="3:3" ht="12.75" customHeight="1">
      <c r="C41826" t="s">
        <v>5016</v>
      </c>
    </row>
    <row r="41827" spans="3:3" ht="12.75" customHeight="1">
      <c r="C41827" t="s">
        <v>5017</v>
      </c>
    </row>
    <row r="41828" spans="3:3" ht="12.75" customHeight="1">
      <c r="C41828" t="s">
        <v>5018</v>
      </c>
    </row>
    <row r="41829" spans="3:3" ht="12.75" customHeight="1">
      <c r="C41829" t="s">
        <v>5019</v>
      </c>
    </row>
    <row r="41830" spans="3:3" ht="12.75" customHeight="1">
      <c r="C41830" t="s">
        <v>836</v>
      </c>
    </row>
    <row r="41831" spans="3:3" ht="12.75" customHeight="1">
      <c r="C41831" t="s">
        <v>837</v>
      </c>
    </row>
    <row r="41832" spans="3:3" ht="12.75" customHeight="1">
      <c r="C41832" t="s">
        <v>5020</v>
      </c>
    </row>
    <row r="41833" spans="3:3" ht="12.75" customHeight="1">
      <c r="C41833" t="s">
        <v>5021</v>
      </c>
    </row>
    <row r="41834" spans="3:3" ht="12.75" customHeight="1">
      <c r="C41834" t="s">
        <v>5022</v>
      </c>
    </row>
    <row r="41835" spans="3:3" ht="12.75" customHeight="1">
      <c r="C41835" t="s">
        <v>5023</v>
      </c>
    </row>
    <row r="41836" spans="3:3" ht="12.75" customHeight="1">
      <c r="C41836" t="s">
        <v>5024</v>
      </c>
    </row>
    <row r="41837" spans="3:3" ht="12.75" customHeight="1">
      <c r="C41837" t="s">
        <v>4095</v>
      </c>
    </row>
    <row r="41838" spans="3:3" ht="12.75" customHeight="1">
      <c r="C41838" t="s">
        <v>4096</v>
      </c>
    </row>
    <row r="41839" spans="3:3" ht="12.75" customHeight="1">
      <c r="C41839" t="s">
        <v>4097</v>
      </c>
    </row>
    <row r="41840" spans="3:3" ht="12.75" customHeight="1">
      <c r="C41840" t="s">
        <v>4098</v>
      </c>
    </row>
    <row r="41841" spans="3:3" ht="12.75" customHeight="1">
      <c r="C41841" t="s">
        <v>4099</v>
      </c>
    </row>
    <row r="41842" spans="3:3" ht="12.75" customHeight="1">
      <c r="C41842" t="s">
        <v>4100</v>
      </c>
    </row>
    <row r="41843" spans="3:3" ht="12.75" customHeight="1">
      <c r="C41843" t="s">
        <v>4101</v>
      </c>
    </row>
    <row r="41844" spans="3:3" ht="12.75" customHeight="1">
      <c r="C41844" t="s">
        <v>4102</v>
      </c>
    </row>
    <row r="41845" spans="3:3" ht="12.75" customHeight="1">
      <c r="C41845" t="s">
        <v>4103</v>
      </c>
    </row>
    <row r="41846" spans="3:3" ht="12.75" customHeight="1">
      <c r="C41846" t="s">
        <v>4634</v>
      </c>
    </row>
    <row r="41847" spans="3:3" ht="12.75" customHeight="1">
      <c r="C41847" t="s">
        <v>4635</v>
      </c>
    </row>
    <row r="41848" spans="3:3" ht="12.75" customHeight="1">
      <c r="C41848" t="s">
        <v>4636</v>
      </c>
    </row>
    <row r="41849" spans="3:3" ht="12.75" customHeight="1">
      <c r="C41849" t="s">
        <v>4637</v>
      </c>
    </row>
    <row r="41850" spans="3:3" ht="12.75" customHeight="1">
      <c r="C41850" t="s">
        <v>4638</v>
      </c>
    </row>
    <row r="41851" spans="3:3" ht="12.75" customHeight="1">
      <c r="C41851" t="s">
        <v>4639</v>
      </c>
    </row>
    <row r="41852" spans="3:3" ht="12.75" customHeight="1">
      <c r="C41852" t="s">
        <v>4640</v>
      </c>
    </row>
    <row r="41853" spans="3:3" ht="12.75" customHeight="1">
      <c r="C41853" t="s">
        <v>4641</v>
      </c>
    </row>
    <row r="41854" spans="3:3" ht="12.75" customHeight="1">
      <c r="C41854" t="s">
        <v>838</v>
      </c>
    </row>
    <row r="41855" spans="3:3" ht="12.75" customHeight="1">
      <c r="C41855" t="s">
        <v>4642</v>
      </c>
    </row>
    <row r="41856" spans="3:3" ht="12.75" customHeight="1">
      <c r="C41856" t="s">
        <v>4643</v>
      </c>
    </row>
    <row r="41857" spans="3:3" ht="12.75" customHeight="1">
      <c r="C41857" t="s">
        <v>4644</v>
      </c>
    </row>
    <row r="41858" spans="3:3" ht="12.75" customHeight="1">
      <c r="C41858" t="s">
        <v>191</v>
      </c>
    </row>
    <row r="41859" spans="3:3" ht="12.75" customHeight="1">
      <c r="C41859" t="s">
        <v>4645</v>
      </c>
    </row>
    <row r="41860" spans="3:3" ht="12.75" customHeight="1">
      <c r="C41860" t="s">
        <v>4646</v>
      </c>
    </row>
    <row r="41861" spans="3:3" ht="12.75" customHeight="1">
      <c r="C41861" t="s">
        <v>4647</v>
      </c>
    </row>
    <row r="41862" spans="3:3" ht="12.75" customHeight="1">
      <c r="C41862" t="s">
        <v>4648</v>
      </c>
    </row>
    <row r="41863" spans="3:3" ht="12.75" customHeight="1">
      <c r="C41863" t="s">
        <v>4649</v>
      </c>
    </row>
    <row r="41864" spans="3:3" ht="12.75" customHeight="1">
      <c r="C41864" t="s">
        <v>192</v>
      </c>
    </row>
    <row r="41865" spans="3:3" ht="12.75" customHeight="1">
      <c r="C41865" t="s">
        <v>4650</v>
      </c>
    </row>
    <row r="41866" spans="3:3" ht="12.75" customHeight="1">
      <c r="C41866" t="s">
        <v>193</v>
      </c>
    </row>
    <row r="41867" spans="3:3" ht="12.75" customHeight="1">
      <c r="C41867" t="s">
        <v>839</v>
      </c>
    </row>
    <row r="41868" spans="3:3" ht="12.75" customHeight="1">
      <c r="C41868" t="s">
        <v>4651</v>
      </c>
    </row>
    <row r="41869" spans="3:3" ht="12.75" customHeight="1">
      <c r="C41869" t="s">
        <v>4652</v>
      </c>
    </row>
    <row r="41870" spans="3:3" ht="12.75" customHeight="1">
      <c r="C41870" t="s">
        <v>4653</v>
      </c>
    </row>
    <row r="41871" spans="3:3" ht="12.75" customHeight="1">
      <c r="C41871" t="s">
        <v>4654</v>
      </c>
    </row>
    <row r="41872" spans="3:3" ht="12.75" customHeight="1">
      <c r="C41872" t="s">
        <v>1727</v>
      </c>
    </row>
    <row r="41873" spans="3:3" ht="12.75" customHeight="1">
      <c r="C41873" t="s">
        <v>1320</v>
      </c>
    </row>
    <row r="41874" spans="3:3" ht="12.75" customHeight="1">
      <c r="C41874" t="s">
        <v>4830</v>
      </c>
    </row>
    <row r="41875" spans="3:3" ht="12.75" customHeight="1">
      <c r="C41875" s="246" t="s">
        <v>8561</v>
      </c>
    </row>
    <row r="41876" spans="3:3" ht="12.75" customHeight="1">
      <c r="C41876" t="s">
        <v>4831</v>
      </c>
    </row>
    <row r="41878" spans="3:3" ht="12.75" customHeight="1">
      <c r="C41878" t="s">
        <v>8562</v>
      </c>
    </row>
    <row r="41879" spans="3:3" ht="12.75" customHeight="1">
      <c r="C41879" s="246" t="s">
        <v>4832</v>
      </c>
    </row>
    <row r="41880" spans="3:3" ht="12.75" customHeight="1">
      <c r="C41880" t="s">
        <v>840</v>
      </c>
    </row>
    <row r="41881" spans="3:3" ht="12.75" customHeight="1">
      <c r="C41881" t="s">
        <v>4833</v>
      </c>
    </row>
    <row r="41882" spans="3:3" ht="12.75" customHeight="1">
      <c r="C41882" t="s">
        <v>841</v>
      </c>
    </row>
    <row r="41883" spans="3:3" ht="12.75" customHeight="1">
      <c r="C41883" t="s">
        <v>4834</v>
      </c>
    </row>
    <row r="41884" spans="3:3" ht="12.75" customHeight="1">
      <c r="C41884" t="s">
        <v>8563</v>
      </c>
    </row>
    <row r="41886" spans="3:3" ht="12.75" customHeight="1">
      <c r="C41886" t="s">
        <v>4835</v>
      </c>
    </row>
    <row r="41887" spans="3:3" ht="12.75" customHeight="1">
      <c r="C41887" s="246" t="s">
        <v>4836</v>
      </c>
    </row>
    <row r="41888" spans="3:3" ht="12.75" customHeight="1">
      <c r="C41888" t="s">
        <v>4837</v>
      </c>
    </row>
    <row r="41889" spans="3:3" ht="12.75" customHeight="1">
      <c r="C41889" t="s">
        <v>4838</v>
      </c>
    </row>
    <row r="41890" spans="3:3" ht="12.75" customHeight="1">
      <c r="C41890" t="s">
        <v>4839</v>
      </c>
    </row>
    <row r="42199" spans="2:3" ht="12.75" customHeight="1">
      <c r="C42199" t="s">
        <v>4060</v>
      </c>
    </row>
    <row r="42200" spans="2:3" ht="12.75" customHeight="1">
      <c r="C42200" t="s">
        <v>8564</v>
      </c>
    </row>
    <row r="42201" spans="2:3" ht="12.75" customHeight="1">
      <c r="B42201" t="s">
        <v>4505</v>
      </c>
      <c r="C42201" t="s">
        <v>842</v>
      </c>
    </row>
    <row r="42202" spans="2:3" ht="12.75" customHeight="1">
      <c r="C42202" t="s">
        <v>8565</v>
      </c>
    </row>
    <row r="42203" spans="2:3" ht="12.75" customHeight="1">
      <c r="C42203" t="s">
        <v>4840</v>
      </c>
    </row>
    <row r="42204" spans="2:3" ht="12.75" customHeight="1">
      <c r="C42204" t="s">
        <v>8566</v>
      </c>
    </row>
    <row r="42205" spans="2:3" ht="12.75" customHeight="1">
      <c r="C42205" t="s">
        <v>8567</v>
      </c>
    </row>
    <row r="42206" spans="2:3" ht="12.75" customHeight="1">
      <c r="C42206" t="s">
        <v>8597</v>
      </c>
    </row>
    <row r="42207" spans="2:3" ht="12.75" customHeight="1">
      <c r="C42207" t="s">
        <v>8598</v>
      </c>
    </row>
    <row r="42208" spans="2:3" ht="12.75" customHeight="1">
      <c r="C42208" t="s">
        <v>8599</v>
      </c>
    </row>
    <row r="42209" spans="2:3" ht="12.75" customHeight="1">
      <c r="C42209" t="s">
        <v>8600</v>
      </c>
    </row>
    <row r="42210" spans="2:3" ht="12.75" customHeight="1">
      <c r="B42210" t="s">
        <v>4506</v>
      </c>
      <c r="C42210" t="s">
        <v>6692</v>
      </c>
    </row>
    <row r="42220" spans="2:3" ht="12.75" customHeight="1">
      <c r="C42220" t="s">
        <v>8601</v>
      </c>
    </row>
    <row r="42225" spans="3:3" ht="12.75" customHeight="1">
      <c r="C42225" t="s">
        <v>8602</v>
      </c>
    </row>
    <row r="42234" spans="3:3" ht="12.75" customHeight="1">
      <c r="C42234" t="s">
        <v>8603</v>
      </c>
    </row>
    <row r="42424" spans="3:3" ht="12.75" customHeight="1">
      <c r="C42424" t="s">
        <v>8604</v>
      </c>
    </row>
    <row r="42426" spans="3:3" ht="12.75" customHeight="1">
      <c r="C42426" t="s">
        <v>8605</v>
      </c>
    </row>
    <row r="42427" spans="3:3" ht="12.75" customHeight="1">
      <c r="C42427" t="s">
        <v>8606</v>
      </c>
    </row>
    <row r="42436" spans="3:3" ht="12.75" customHeight="1">
      <c r="C42436" t="s">
        <v>8607</v>
      </c>
    </row>
    <row r="42442" spans="3:3" ht="12.75" customHeight="1">
      <c r="C42442" t="s">
        <v>8608</v>
      </c>
    </row>
    <row r="42444" spans="3:3" ht="12.75" customHeight="1">
      <c r="C42444" t="s">
        <v>8609</v>
      </c>
    </row>
    <row r="42445" spans="3:3" ht="12.75" customHeight="1">
      <c r="C42445" t="s">
        <v>8610</v>
      </c>
    </row>
    <row r="42463" spans="3:3" ht="12.75" customHeight="1">
      <c r="C42463" t="s">
        <v>8611</v>
      </c>
    </row>
    <row r="42465" spans="3:3" ht="12.75" customHeight="1">
      <c r="C42465" t="s">
        <v>8612</v>
      </c>
    </row>
    <row r="42466" spans="3:3" ht="12.75" customHeight="1">
      <c r="C42466" t="s">
        <v>8613</v>
      </c>
    </row>
    <row r="42467" spans="3:3" ht="12.75" customHeight="1">
      <c r="C42467" t="s">
        <v>8614</v>
      </c>
    </row>
    <row r="42468" spans="3:3" ht="12.75" customHeight="1">
      <c r="C42468" t="s">
        <v>8615</v>
      </c>
    </row>
    <row r="42469" spans="3:3" ht="12.75" customHeight="1">
      <c r="C42469" t="s">
        <v>8616</v>
      </c>
    </row>
    <row r="42470" spans="3:3" ht="12.75" customHeight="1">
      <c r="C42470" t="s">
        <v>8617</v>
      </c>
    </row>
    <row r="42471" spans="3:3" ht="12.75" customHeight="1">
      <c r="C42471" t="s">
        <v>8618</v>
      </c>
    </row>
    <row r="42472" spans="3:3" ht="12.75" customHeight="1">
      <c r="C42472" t="s">
        <v>8619</v>
      </c>
    </row>
    <row r="42473" spans="3:3" ht="12.75" customHeight="1">
      <c r="C42473" t="s">
        <v>8620</v>
      </c>
    </row>
    <row r="42474" spans="3:3" ht="12.75" customHeight="1">
      <c r="C42474" t="s">
        <v>8621</v>
      </c>
    </row>
    <row r="42475" spans="3:3" ht="12.75" customHeight="1">
      <c r="C42475" t="s">
        <v>8622</v>
      </c>
    </row>
    <row r="42476" spans="3:3" ht="12.75" customHeight="1">
      <c r="C42476" t="s">
        <v>8623</v>
      </c>
    </row>
    <row r="42477" spans="3:3" ht="12.75" customHeight="1">
      <c r="C42477" t="s">
        <v>8624</v>
      </c>
    </row>
    <row r="42478" spans="3:3" ht="12.75" customHeight="1">
      <c r="C42478" t="s">
        <v>8625</v>
      </c>
    </row>
    <row r="42479" spans="3:3" ht="12.75" customHeight="1">
      <c r="C42479" t="s">
        <v>8626</v>
      </c>
    </row>
    <row r="42484" spans="2:3" ht="12.75" customHeight="1">
      <c r="C42484" t="s">
        <v>8627</v>
      </c>
    </row>
    <row r="42486" spans="2:3" ht="12.75" customHeight="1">
      <c r="C42486" t="s">
        <v>8628</v>
      </c>
    </row>
    <row r="42487" spans="2:3" ht="12.75" customHeight="1">
      <c r="C42487" t="s">
        <v>8629</v>
      </c>
    </row>
    <row r="42488" spans="2:3" ht="12.75" customHeight="1">
      <c r="B42488" t="s">
        <v>3970</v>
      </c>
      <c r="C42488" t="s">
        <v>8630</v>
      </c>
    </row>
    <row r="42523" spans="3:3" ht="12.75" customHeight="1">
      <c r="C42523" t="s">
        <v>8631</v>
      </c>
    </row>
    <row r="42524" spans="3:3" ht="12.75" customHeight="1">
      <c r="C42524" t="s">
        <v>8632</v>
      </c>
    </row>
    <row r="42525" spans="3:3" ht="12.75" customHeight="1">
      <c r="C42525" t="s">
        <v>8633</v>
      </c>
    </row>
    <row r="42526" spans="3:3" ht="12.75" customHeight="1">
      <c r="C42526" t="s">
        <v>5517</v>
      </c>
    </row>
    <row r="42527" spans="3:3" ht="12.75" customHeight="1">
      <c r="C42527" t="s">
        <v>8634</v>
      </c>
    </row>
    <row r="42528" spans="3:3" ht="12.75" customHeight="1">
      <c r="C42528" t="s">
        <v>8635</v>
      </c>
    </row>
    <row r="42529" spans="3:3" ht="12.75" customHeight="1">
      <c r="C42529" t="s">
        <v>8636</v>
      </c>
    </row>
    <row r="42530" spans="3:3" ht="12.75" customHeight="1">
      <c r="C42530" t="s">
        <v>8637</v>
      </c>
    </row>
    <row r="42531" spans="3:3" ht="12.75" customHeight="1">
      <c r="C42531" t="s">
        <v>8638</v>
      </c>
    </row>
    <row r="42532" spans="3:3" ht="12.75" customHeight="1">
      <c r="C42532" t="s">
        <v>8639</v>
      </c>
    </row>
    <row r="42533" spans="3:3" ht="12.75" customHeight="1">
      <c r="C42533" t="s">
        <v>5518</v>
      </c>
    </row>
    <row r="42534" spans="3:3" ht="12.75" customHeight="1">
      <c r="C42534" t="s">
        <v>5519</v>
      </c>
    </row>
    <row r="42535" spans="3:3" ht="12.75" customHeight="1">
      <c r="C42535" t="s">
        <v>5520</v>
      </c>
    </row>
    <row r="42536" spans="3:3" ht="12.75" customHeight="1">
      <c r="C42536" t="s">
        <v>5521</v>
      </c>
    </row>
    <row r="42537" spans="3:3" ht="12.75" customHeight="1">
      <c r="C42537" t="s">
        <v>8640</v>
      </c>
    </row>
    <row r="42538" spans="3:3" ht="12.75" customHeight="1">
      <c r="C42538" t="s">
        <v>8641</v>
      </c>
    </row>
    <row r="42539" spans="3:3" ht="12.75" customHeight="1">
      <c r="C42539" t="s">
        <v>843</v>
      </c>
    </row>
    <row r="42540" spans="3:3" ht="12.75" customHeight="1">
      <c r="C42540" t="s">
        <v>2297</v>
      </c>
    </row>
    <row r="42541" spans="3:3" ht="12.75" customHeight="1">
      <c r="C42541" t="s">
        <v>844</v>
      </c>
    </row>
    <row r="42542" spans="3:3" ht="12.75" customHeight="1">
      <c r="C42542" t="s">
        <v>8642</v>
      </c>
    </row>
    <row r="42543" spans="3:3" ht="12.75" customHeight="1">
      <c r="C42543" t="s">
        <v>8643</v>
      </c>
    </row>
    <row r="42544" spans="3:3" ht="12.75" customHeight="1">
      <c r="C42544" t="s">
        <v>8644</v>
      </c>
    </row>
    <row r="42545" spans="3:3" ht="12.75" customHeight="1">
      <c r="C42545" t="s">
        <v>8645</v>
      </c>
    </row>
    <row r="42546" spans="3:3" ht="12.75" customHeight="1">
      <c r="C42546" t="s">
        <v>8646</v>
      </c>
    </row>
    <row r="42547" spans="3:3" ht="12.75" customHeight="1">
      <c r="C42547" t="s">
        <v>8647</v>
      </c>
    </row>
    <row r="42551" spans="3:3" ht="12.75" customHeight="1">
      <c r="C42551" t="s">
        <v>8648</v>
      </c>
    </row>
    <row r="42552" spans="3:3" ht="12.75" customHeight="1">
      <c r="C42552" t="s">
        <v>845</v>
      </c>
    </row>
    <row r="42553" spans="3:3" ht="12.75" customHeight="1">
      <c r="C42553" t="s">
        <v>8649</v>
      </c>
    </row>
    <row r="42558" spans="3:3" ht="12.75" customHeight="1">
      <c r="C42558" t="s">
        <v>8650</v>
      </c>
    </row>
    <row r="42559" spans="3:3" ht="12.75" customHeight="1">
      <c r="C42559" t="s">
        <v>8651</v>
      </c>
    </row>
    <row r="42560" spans="3:3" ht="12.75" customHeight="1">
      <c r="C42560" t="s">
        <v>8652</v>
      </c>
    </row>
    <row r="42561" spans="3:3" ht="12.75" customHeight="1">
      <c r="C42561" t="s">
        <v>8653</v>
      </c>
    </row>
    <row r="42562" spans="3:3" ht="12.75" customHeight="1">
      <c r="C42562" t="s">
        <v>8654</v>
      </c>
    </row>
    <row r="42563" spans="3:3" ht="12.75" customHeight="1">
      <c r="C42563" t="s">
        <v>8655</v>
      </c>
    </row>
    <row r="42564" spans="3:3" ht="12.75" customHeight="1">
      <c r="C42564" t="s">
        <v>8656</v>
      </c>
    </row>
    <row r="42565" spans="3:3" ht="12.75" customHeight="1">
      <c r="C42565" t="s">
        <v>8657</v>
      </c>
    </row>
    <row r="42567" spans="3:3" ht="12.75" customHeight="1">
      <c r="C42567" t="s">
        <v>8658</v>
      </c>
    </row>
    <row r="42568" spans="3:3" ht="12.75" customHeight="1">
      <c r="C42568" t="s">
        <v>8659</v>
      </c>
    </row>
    <row r="42569" spans="3:3" ht="12.75" customHeight="1">
      <c r="C42569" t="s">
        <v>8673</v>
      </c>
    </row>
    <row r="42570" spans="3:3" ht="12.75" customHeight="1">
      <c r="C42570" t="s">
        <v>8674</v>
      </c>
    </row>
    <row r="42571" spans="3:3" ht="12.75" customHeight="1">
      <c r="C42571" t="s">
        <v>8675</v>
      </c>
    </row>
    <row r="42572" spans="3:3" ht="12.75" customHeight="1">
      <c r="C42572" t="s">
        <v>8676</v>
      </c>
    </row>
    <row r="42573" spans="3:3" ht="12.75" customHeight="1">
      <c r="C42573" t="s">
        <v>8677</v>
      </c>
    </row>
    <row r="42574" spans="3:3" ht="12.75" customHeight="1">
      <c r="C42574" t="s">
        <v>8678</v>
      </c>
    </row>
    <row r="42575" spans="3:3" ht="12.75" customHeight="1">
      <c r="C42575" t="s">
        <v>8679</v>
      </c>
    </row>
    <row r="42576" spans="3:3" ht="12.75" customHeight="1">
      <c r="C42576" t="s">
        <v>8680</v>
      </c>
    </row>
    <row r="42577" spans="3:3" ht="12.75" customHeight="1">
      <c r="C42577" t="s">
        <v>0</v>
      </c>
    </row>
    <row r="42578" spans="3:3" ht="12.75" customHeight="1">
      <c r="C42578" t="s">
        <v>8681</v>
      </c>
    </row>
    <row r="42579" spans="3:3" ht="12.75" customHeight="1">
      <c r="C42579" t="s">
        <v>8682</v>
      </c>
    </row>
    <row r="42580" spans="3:3" ht="12.75" customHeight="1">
      <c r="C42580" t="s">
        <v>5659</v>
      </c>
    </row>
    <row r="42610" spans="3:3" ht="12.75" customHeight="1">
      <c r="C42610" t="s">
        <v>8683</v>
      </c>
    </row>
    <row r="42612" spans="3:3" ht="12.75" customHeight="1">
      <c r="C42612" t="s">
        <v>8684</v>
      </c>
    </row>
    <row r="42615" spans="3:3" ht="12.75" customHeight="1">
      <c r="C42615" t="s">
        <v>8685</v>
      </c>
    </row>
    <row r="42616" spans="3:3" ht="12.75" customHeight="1">
      <c r="C42616" t="s">
        <v>8686</v>
      </c>
    </row>
    <row r="42617" spans="3:3" ht="12.75" customHeight="1">
      <c r="C42617" t="s">
        <v>8687</v>
      </c>
    </row>
    <row r="42618" spans="3:3" ht="12.75" customHeight="1">
      <c r="C42618" t="s">
        <v>8688</v>
      </c>
    </row>
    <row r="42619" spans="3:3" ht="12.75" customHeight="1">
      <c r="C42619" t="s">
        <v>8532</v>
      </c>
    </row>
    <row r="42620" spans="3:3" ht="12.75" customHeight="1">
      <c r="C42620" t="s">
        <v>8689</v>
      </c>
    </row>
    <row r="42621" spans="3:3" ht="12.75" customHeight="1">
      <c r="C42621" t="s">
        <v>8690</v>
      </c>
    </row>
    <row r="42622" spans="3:3" ht="12.75" customHeight="1">
      <c r="C42622" t="s">
        <v>8691</v>
      </c>
    </row>
    <row r="42625" spans="3:3" ht="12.75" customHeight="1">
      <c r="C42625" t="s">
        <v>8692</v>
      </c>
    </row>
    <row r="42652" spans="3:3" ht="12.75" customHeight="1">
      <c r="C42652" t="s">
        <v>8693</v>
      </c>
    </row>
    <row r="42653" spans="3:3" ht="12.75" customHeight="1">
      <c r="C42653" t="s">
        <v>8694</v>
      </c>
    </row>
    <row r="42654" spans="3:3" ht="12.75" customHeight="1">
      <c r="C42654" t="s">
        <v>8695</v>
      </c>
    </row>
    <row r="42655" spans="3:3" ht="12.75" customHeight="1">
      <c r="C42655" t="s">
        <v>8696</v>
      </c>
    </row>
    <row r="42661" spans="3:3" ht="12.75" customHeight="1">
      <c r="C42661" t="s">
        <v>8697</v>
      </c>
    </row>
    <row r="42662" spans="3:3" ht="12.75" customHeight="1">
      <c r="C42662" t="s">
        <v>8698</v>
      </c>
    </row>
    <row r="42663" spans="3:3" ht="12.75" customHeight="1">
      <c r="C42663" t="s">
        <v>8699</v>
      </c>
    </row>
    <row r="42666" spans="3:3" ht="12.75" customHeight="1">
      <c r="C42666" t="s">
        <v>1</v>
      </c>
    </row>
    <row r="42668" spans="3:3" ht="12.75" customHeight="1">
      <c r="C42668" t="s">
        <v>8700</v>
      </c>
    </row>
    <row r="42669" spans="3:3" ht="12.75" customHeight="1">
      <c r="C42669" t="s">
        <v>8701</v>
      </c>
    </row>
    <row r="42670" spans="3:3" ht="12.75" customHeight="1">
      <c r="C42670" t="s">
        <v>3905</v>
      </c>
    </row>
    <row r="42671" spans="3:3" ht="12.75" customHeight="1">
      <c r="C42671" t="s">
        <v>8702</v>
      </c>
    </row>
    <row r="42672" spans="3:3" ht="12.75" customHeight="1">
      <c r="C42672" t="s">
        <v>8703</v>
      </c>
    </row>
    <row r="42673" spans="3:3" ht="12.75" customHeight="1">
      <c r="C42673" t="s">
        <v>8704</v>
      </c>
    </row>
    <row r="42674" spans="3:3" ht="12.75" customHeight="1">
      <c r="C42674" t="s">
        <v>8705</v>
      </c>
    </row>
    <row r="42675" spans="3:3" ht="12.75" customHeight="1">
      <c r="C42675" t="s">
        <v>8706</v>
      </c>
    </row>
    <row r="42676" spans="3:3" ht="12.75" customHeight="1">
      <c r="C42676" t="s">
        <v>8707</v>
      </c>
    </row>
    <row r="42677" spans="3:3" ht="12.75" customHeight="1">
      <c r="C42677" t="s">
        <v>8708</v>
      </c>
    </row>
    <row r="42678" spans="3:3" ht="12.75" customHeight="1">
      <c r="C42678" t="s">
        <v>8709</v>
      </c>
    </row>
    <row r="42679" spans="3:3" ht="12.75" customHeight="1">
      <c r="C42679" t="s">
        <v>8710</v>
      </c>
    </row>
    <row r="42680" spans="3:3" ht="12.75" customHeight="1">
      <c r="C42680" t="s">
        <v>8711</v>
      </c>
    </row>
    <row r="42681" spans="3:3" ht="12.75" customHeight="1">
      <c r="C42681" t="s">
        <v>8712</v>
      </c>
    </row>
    <row r="42682" spans="3:3" ht="12.75" customHeight="1">
      <c r="C42682" t="s">
        <v>8713</v>
      </c>
    </row>
    <row r="42683" spans="3:3" ht="12.75" customHeight="1">
      <c r="C42683" t="s">
        <v>8714</v>
      </c>
    </row>
    <row r="42684" spans="3:3" ht="12.75" customHeight="1">
      <c r="C42684" t="s">
        <v>8715</v>
      </c>
    </row>
    <row r="42685" spans="3:3" ht="12.75" customHeight="1">
      <c r="C42685" t="s">
        <v>8716</v>
      </c>
    </row>
    <row r="42686" spans="3:3" ht="12.75" customHeight="1">
      <c r="C42686" t="s">
        <v>8717</v>
      </c>
    </row>
    <row r="42687" spans="3:3" ht="12.75" customHeight="1">
      <c r="C42687" t="s">
        <v>8718</v>
      </c>
    </row>
    <row r="42688" spans="3:3" ht="12.75" customHeight="1">
      <c r="C42688" t="s">
        <v>8719</v>
      </c>
    </row>
    <row r="42690" spans="3:3" ht="12.75" customHeight="1">
      <c r="C42690" t="s">
        <v>8720</v>
      </c>
    </row>
    <row r="42692" spans="3:3" ht="12.75" customHeight="1">
      <c r="C42692" t="s">
        <v>8721</v>
      </c>
    </row>
    <row r="42698" spans="3:3" ht="12.75" customHeight="1">
      <c r="C42698" t="s">
        <v>8722</v>
      </c>
    </row>
    <row r="42699" spans="3:3" ht="12.75" customHeight="1">
      <c r="C42699" t="s">
        <v>8723</v>
      </c>
    </row>
    <row r="42700" spans="3:3" ht="12.75" customHeight="1">
      <c r="C42700" t="s">
        <v>8724</v>
      </c>
    </row>
    <row r="42701" spans="3:3" ht="12.75" customHeight="1">
      <c r="C42701" t="s">
        <v>8725</v>
      </c>
    </row>
    <row r="42702" spans="3:3" ht="12.75" customHeight="1">
      <c r="C42702" t="s">
        <v>8660</v>
      </c>
    </row>
    <row r="42703" spans="3:3" ht="12.75" customHeight="1">
      <c r="C42703" t="s">
        <v>8661</v>
      </c>
    </row>
    <row r="42704" spans="3:3" ht="12.75" customHeight="1">
      <c r="C42704" t="s">
        <v>8662</v>
      </c>
    </row>
    <row r="42705" spans="3:3" ht="12.75" customHeight="1">
      <c r="C42705" t="s">
        <v>8663</v>
      </c>
    </row>
    <row r="42706" spans="3:3" ht="12.75" customHeight="1">
      <c r="C42706" t="s">
        <v>8664</v>
      </c>
    </row>
    <row r="42707" spans="3:3" ht="12.75" customHeight="1">
      <c r="C42707" t="s">
        <v>8665</v>
      </c>
    </row>
    <row r="42708" spans="3:3" ht="12.75" customHeight="1">
      <c r="C42708" t="s">
        <v>8666</v>
      </c>
    </row>
    <row r="42709" spans="3:3" ht="12.75" customHeight="1">
      <c r="C42709" t="s">
        <v>8667</v>
      </c>
    </row>
    <row r="42710" spans="3:3" ht="12.75" customHeight="1">
      <c r="C42710" t="s">
        <v>8668</v>
      </c>
    </row>
    <row r="42711" spans="3:3" ht="12.75" customHeight="1">
      <c r="C42711" t="s">
        <v>8669</v>
      </c>
    </row>
    <row r="42712" spans="3:3" ht="12.75" customHeight="1">
      <c r="C42712" t="s">
        <v>8670</v>
      </c>
    </row>
    <row r="42713" spans="3:3" ht="12.75" customHeight="1">
      <c r="C42713" t="s">
        <v>8671</v>
      </c>
    </row>
    <row r="42714" spans="3:3" ht="12.75" customHeight="1">
      <c r="C42714" t="s">
        <v>8672</v>
      </c>
    </row>
    <row r="42715" spans="3:3" ht="12.75" customHeight="1">
      <c r="C42715" t="s">
        <v>8726</v>
      </c>
    </row>
    <row r="42716" spans="3:3" ht="12.75" customHeight="1">
      <c r="C42716" t="s">
        <v>4</v>
      </c>
    </row>
    <row r="42717" spans="3:3" ht="12.75" customHeight="1">
      <c r="C42717" t="s">
        <v>8727</v>
      </c>
    </row>
    <row r="42720" spans="3:3" ht="12.75" customHeight="1">
      <c r="C42720" t="s">
        <v>6405</v>
      </c>
    </row>
    <row r="42721" spans="3:3" ht="12.75" customHeight="1">
      <c r="C42721" t="s">
        <v>8682</v>
      </c>
    </row>
    <row r="42722" spans="3:3" ht="12.75" customHeight="1">
      <c r="C42722" t="s">
        <v>8736</v>
      </c>
    </row>
    <row r="42723" spans="3:3" ht="12.75" customHeight="1">
      <c r="C42723" t="s">
        <v>8737</v>
      </c>
    </row>
    <row r="42724" spans="3:3" ht="12.75" customHeight="1">
      <c r="C42724" t="s">
        <v>8738</v>
      </c>
    </row>
    <row r="42725" spans="3:3" ht="12.75" customHeight="1">
      <c r="C42725" t="s">
        <v>8739</v>
      </c>
    </row>
    <row r="42726" spans="3:3" ht="12.75" customHeight="1">
      <c r="C42726" t="s">
        <v>8740</v>
      </c>
    </row>
    <row r="42727" spans="3:3" ht="12.75" customHeight="1">
      <c r="C42727" t="s">
        <v>8741</v>
      </c>
    </row>
    <row r="42728" spans="3:3" ht="12.75" customHeight="1">
      <c r="C42728" t="s">
        <v>8742</v>
      </c>
    </row>
    <row r="42729" spans="3:3" ht="12.75" customHeight="1">
      <c r="C42729" t="s">
        <v>8743</v>
      </c>
    </row>
    <row r="42730" spans="3:3" ht="12.75" customHeight="1">
      <c r="C42730" t="s">
        <v>8744</v>
      </c>
    </row>
    <row r="42753" spans="3:3" ht="12.75" customHeight="1">
      <c r="C42753" t="s">
        <v>8745</v>
      </c>
    </row>
    <row r="42754" spans="3:3" ht="12.75" customHeight="1">
      <c r="C42754" t="s">
        <v>8746</v>
      </c>
    </row>
    <row r="42755" spans="3:3" ht="12.75" customHeight="1">
      <c r="C42755" t="s">
        <v>2</v>
      </c>
    </row>
    <row r="42756" spans="3:3" ht="12.75" customHeight="1">
      <c r="C42756" t="s">
        <v>8747</v>
      </c>
    </row>
    <row r="42757" spans="3:3" ht="12.75" customHeight="1">
      <c r="C42757" t="s">
        <v>8748</v>
      </c>
    </row>
    <row r="42759" spans="3:3" ht="12.75" customHeight="1">
      <c r="C42759" t="s">
        <v>8749</v>
      </c>
    </row>
    <row r="42760" spans="3:3" ht="12.75" customHeight="1">
      <c r="C42760" t="s">
        <v>8750</v>
      </c>
    </row>
    <row r="42761" spans="3:3" ht="12.75" customHeight="1">
      <c r="C42761" t="s">
        <v>3</v>
      </c>
    </row>
    <row r="42762" spans="3:3" ht="12.75" customHeight="1">
      <c r="C42762" t="s">
        <v>8751</v>
      </c>
    </row>
    <row r="42763" spans="3:3" ht="12.75" customHeight="1">
      <c r="C42763" t="s">
        <v>8752</v>
      </c>
    </row>
    <row r="42764" spans="3:3" ht="12.75" customHeight="1">
      <c r="C42764" t="s">
        <v>8753</v>
      </c>
    </row>
    <row r="42765" spans="3:3" ht="12.75" customHeight="1">
      <c r="C42765" t="s">
        <v>8754</v>
      </c>
    </row>
    <row r="42766" spans="3:3" ht="12.75" customHeight="1">
      <c r="C42766" t="s">
        <v>8755</v>
      </c>
    </row>
    <row r="42767" spans="3:3" ht="12.75" customHeight="1">
      <c r="C42767" t="s">
        <v>8756</v>
      </c>
    </row>
    <row r="42768" spans="3:3" ht="12.75" customHeight="1">
      <c r="C42768" t="s">
        <v>8757</v>
      </c>
    </row>
    <row r="42769" spans="3:3" ht="12.75" customHeight="1">
      <c r="C42769" t="s">
        <v>8758</v>
      </c>
    </row>
    <row r="42770" spans="3:3" ht="12.75" customHeight="1">
      <c r="C42770" t="s">
        <v>8759</v>
      </c>
    </row>
    <row r="42771" spans="3:3" ht="12.75" customHeight="1">
      <c r="C42771" t="s">
        <v>8760</v>
      </c>
    </row>
    <row r="42772" spans="3:3" ht="12.75" customHeight="1">
      <c r="C42772" t="s">
        <v>8761</v>
      </c>
    </row>
    <row r="42773" spans="3:3" ht="12.75" customHeight="1">
      <c r="C42773" t="s">
        <v>8762</v>
      </c>
    </row>
    <row r="42774" spans="3:3" ht="12.75" customHeight="1">
      <c r="C42774" t="s">
        <v>8763</v>
      </c>
    </row>
    <row r="42775" spans="3:3" ht="12.75" customHeight="1">
      <c r="C42775" t="s">
        <v>8764</v>
      </c>
    </row>
    <row r="42776" spans="3:3" ht="12.75" customHeight="1">
      <c r="C42776" t="s">
        <v>8765</v>
      </c>
    </row>
    <row r="42777" spans="3:3" ht="12.75" customHeight="1">
      <c r="C42777" t="s">
        <v>8766</v>
      </c>
    </row>
    <row r="42778" spans="3:3" ht="12.75" customHeight="1">
      <c r="C42778" t="s">
        <v>8767</v>
      </c>
    </row>
    <row r="42779" spans="3:3" ht="12.75" customHeight="1">
      <c r="C42779" t="s">
        <v>8768</v>
      </c>
    </row>
    <row r="42780" spans="3:3" ht="12.75" customHeight="1">
      <c r="C42780" t="s">
        <v>8769</v>
      </c>
    </row>
    <row r="42781" spans="3:3" ht="12.75" customHeight="1">
      <c r="C42781" t="s">
        <v>8770</v>
      </c>
    </row>
    <row r="42782" spans="3:3" ht="12.75" customHeight="1">
      <c r="C42782" t="s">
        <v>8771</v>
      </c>
    </row>
    <row r="42783" spans="3:3" ht="12.75" customHeight="1">
      <c r="C42783" t="s">
        <v>8772</v>
      </c>
    </row>
    <row r="42784" spans="3:3" ht="12.75" customHeight="1">
      <c r="C42784" t="s">
        <v>8773</v>
      </c>
    </row>
    <row r="42785" spans="3:3" ht="12.75" customHeight="1">
      <c r="C42785" t="s">
        <v>8774</v>
      </c>
    </row>
    <row r="42786" spans="3:3" ht="12.75" customHeight="1">
      <c r="C42786" t="s">
        <v>8775</v>
      </c>
    </row>
    <row r="42787" spans="3:3" ht="12.75" customHeight="1">
      <c r="C42787" t="s">
        <v>8776</v>
      </c>
    </row>
    <row r="42788" spans="3:3" ht="12.75" customHeight="1">
      <c r="C42788" t="s">
        <v>8712</v>
      </c>
    </row>
    <row r="42789" spans="3:3" ht="12.75" customHeight="1">
      <c r="C42789" t="s">
        <v>8777</v>
      </c>
    </row>
    <row r="42790" spans="3:3" ht="12.75" customHeight="1">
      <c r="C42790" t="s">
        <v>8778</v>
      </c>
    </row>
    <row r="42791" spans="3:3" ht="12.75" customHeight="1">
      <c r="C42791" t="s">
        <v>8779</v>
      </c>
    </row>
    <row r="42792" spans="3:3" ht="12.75" customHeight="1">
      <c r="C42792" t="s">
        <v>8780</v>
      </c>
    </row>
    <row r="42794" spans="3:3" ht="12.75" customHeight="1">
      <c r="C42794" t="s">
        <v>8712</v>
      </c>
    </row>
    <row r="42795" spans="3:3" ht="12.75" customHeight="1">
      <c r="C42795" t="s">
        <v>8781</v>
      </c>
    </row>
    <row r="42796" spans="3:3" ht="12.75" customHeight="1">
      <c r="C42796" t="s">
        <v>8782</v>
      </c>
    </row>
    <row r="42797" spans="3:3" ht="12.75" customHeight="1">
      <c r="C42797" t="s">
        <v>8783</v>
      </c>
    </row>
    <row r="42798" spans="3:3" ht="12.75" customHeight="1">
      <c r="C42798" t="s">
        <v>8784</v>
      </c>
    </row>
    <row r="42801" spans="3:3" ht="12.75" customHeight="1">
      <c r="C42801" t="s">
        <v>8785</v>
      </c>
    </row>
    <row r="42802" spans="3:3" ht="12.75" customHeight="1">
      <c r="C42802" t="s">
        <v>8786</v>
      </c>
    </row>
    <row r="42803" spans="3:3" ht="12.75" customHeight="1">
      <c r="C42803" t="s">
        <v>8787</v>
      </c>
    </row>
    <row r="42804" spans="3:3" ht="12.75" customHeight="1">
      <c r="C42804" t="s">
        <v>8788</v>
      </c>
    </row>
    <row r="42805" spans="3:3" ht="12.75" customHeight="1">
      <c r="C42805" t="s">
        <v>8789</v>
      </c>
    </row>
    <row r="42806" spans="3:3" ht="12.75" customHeight="1">
      <c r="C42806" t="s">
        <v>8790</v>
      </c>
    </row>
    <row r="42807" spans="3:3" ht="12.75" customHeight="1">
      <c r="C42807" t="s">
        <v>8791</v>
      </c>
    </row>
    <row r="42808" spans="3:3" ht="12.75" customHeight="1">
      <c r="C42808" t="s">
        <v>8792</v>
      </c>
    </row>
    <row r="42809" spans="3:3" ht="12.75" customHeight="1">
      <c r="C42809" t="s">
        <v>8728</v>
      </c>
    </row>
    <row r="42810" spans="3:3" ht="12.75" customHeight="1">
      <c r="C42810" t="s">
        <v>8729</v>
      </c>
    </row>
    <row r="42811" spans="3:3" ht="12.75" customHeight="1">
      <c r="C42811" t="s">
        <v>8730</v>
      </c>
    </row>
    <row r="42812" spans="3:3" ht="12.75" customHeight="1">
      <c r="C42812" t="s">
        <v>8731</v>
      </c>
    </row>
    <row r="42813" spans="3:3" ht="12.75" customHeight="1">
      <c r="C42813" t="s">
        <v>8732</v>
      </c>
    </row>
    <row r="42814" spans="3:3" ht="12.75" customHeight="1">
      <c r="C42814" t="s">
        <v>8733</v>
      </c>
    </row>
    <row r="42815" spans="3:3" ht="12.75" customHeight="1">
      <c r="C42815" t="s">
        <v>8734</v>
      </c>
    </row>
    <row r="42816" spans="3:3" ht="12.75" customHeight="1">
      <c r="C42816" t="s">
        <v>8735</v>
      </c>
    </row>
    <row r="42817" spans="3:3" ht="12.75" customHeight="1">
      <c r="C42817" t="s">
        <v>8793</v>
      </c>
    </row>
    <row r="42818" spans="3:3" ht="12.75" customHeight="1">
      <c r="C42818" t="s">
        <v>8794</v>
      </c>
    </row>
    <row r="42819" spans="3:3" ht="12.75" customHeight="1">
      <c r="C42819" t="s">
        <v>8795</v>
      </c>
    </row>
    <row r="42820" spans="3:3" ht="12.75" customHeight="1">
      <c r="C42820" t="s">
        <v>8796</v>
      </c>
    </row>
    <row r="42821" spans="3:3" ht="12.75" customHeight="1">
      <c r="C42821" t="s">
        <v>8797</v>
      </c>
    </row>
    <row r="42822" spans="3:3" ht="12.75" customHeight="1">
      <c r="C42822" t="s">
        <v>8798</v>
      </c>
    </row>
    <row r="42823" spans="3:3" ht="12.75" customHeight="1">
      <c r="C42823" t="s">
        <v>8799</v>
      </c>
    </row>
    <row r="42824" spans="3:3" ht="12.75" customHeight="1">
      <c r="C42824" t="s">
        <v>8800</v>
      </c>
    </row>
    <row r="42825" spans="3:3" ht="12.75" customHeight="1">
      <c r="C42825" t="s">
        <v>8801</v>
      </c>
    </row>
    <row r="42826" spans="3:3" ht="12.75" customHeight="1">
      <c r="C42826" t="s">
        <v>8802</v>
      </c>
    </row>
    <row r="42827" spans="3:3" ht="12.75" customHeight="1">
      <c r="C42827" t="s">
        <v>8803</v>
      </c>
    </row>
    <row r="42828" spans="3:3" ht="12.75" customHeight="1">
      <c r="C42828" t="s">
        <v>8804</v>
      </c>
    </row>
    <row r="42829" spans="3:3" ht="12.75" customHeight="1">
      <c r="C42829" t="s">
        <v>8805</v>
      </c>
    </row>
    <row r="42830" spans="3:3" ht="12.75" customHeight="1">
      <c r="C42830" t="s">
        <v>8806</v>
      </c>
    </row>
    <row r="42831" spans="3:3" ht="12.75" customHeight="1">
      <c r="C42831" t="s">
        <v>8807</v>
      </c>
    </row>
    <row r="42832" spans="3:3" ht="12.75" customHeight="1">
      <c r="C42832" t="s">
        <v>8808</v>
      </c>
    </row>
    <row r="42833" spans="3:3" ht="12.75" customHeight="1">
      <c r="C42833" t="s">
        <v>8809</v>
      </c>
    </row>
    <row r="42834" spans="3:3" ht="12.75" customHeight="1">
      <c r="C42834" t="s">
        <v>8810</v>
      </c>
    </row>
    <row r="42835" spans="3:3" ht="12.75" customHeight="1">
      <c r="C42835" t="s">
        <v>8811</v>
      </c>
    </row>
    <row r="42836" spans="3:3" ht="12.75" customHeight="1">
      <c r="C42836" t="s">
        <v>8812</v>
      </c>
    </row>
    <row r="42837" spans="3:3" ht="12.75" customHeight="1">
      <c r="C42837" t="s">
        <v>8813</v>
      </c>
    </row>
    <row r="42838" spans="3:3" ht="12.75" customHeight="1">
      <c r="C42838" t="s">
        <v>8814</v>
      </c>
    </row>
    <row r="42839" spans="3:3" ht="12.75" customHeight="1">
      <c r="C42839" t="s">
        <v>8815</v>
      </c>
    </row>
    <row r="42840" spans="3:3" ht="12.75" customHeight="1">
      <c r="C42840" t="s">
        <v>8517</v>
      </c>
    </row>
    <row r="42841" spans="3:3" ht="12.75" customHeight="1">
      <c r="C42841" t="s">
        <v>8816</v>
      </c>
    </row>
    <row r="42842" spans="3:3" ht="12.75" customHeight="1">
      <c r="C42842" t="s">
        <v>8817</v>
      </c>
    </row>
    <row r="42843" spans="3:3" ht="12.75" customHeight="1">
      <c r="C42843" t="s">
        <v>8818</v>
      </c>
    </row>
    <row r="42844" spans="3:3" ht="12.75" customHeight="1">
      <c r="C42844" t="s">
        <v>8819</v>
      </c>
    </row>
    <row r="42845" spans="3:3" ht="12.75" customHeight="1">
      <c r="C42845" t="s">
        <v>8820</v>
      </c>
    </row>
    <row r="42846" spans="3:3" ht="12.75" customHeight="1">
      <c r="C42846" t="s">
        <v>8821</v>
      </c>
    </row>
    <row r="42847" spans="3:3" ht="12.75" customHeight="1">
      <c r="C42847" t="s">
        <v>8822</v>
      </c>
    </row>
    <row r="42848" spans="3:3" ht="12.75" customHeight="1">
      <c r="C42848" t="s">
        <v>8823</v>
      </c>
    </row>
    <row r="42849" spans="3:3" ht="12.75" customHeight="1">
      <c r="C42849" t="s">
        <v>8824</v>
      </c>
    </row>
    <row r="42850" spans="3:3" ht="12.75" customHeight="1">
      <c r="C42850" t="s">
        <v>8825</v>
      </c>
    </row>
    <row r="42856" spans="3:3" ht="12.75" customHeight="1">
      <c r="C42856" t="s">
        <v>8826</v>
      </c>
    </row>
    <row r="42857" spans="3:3" ht="12.75" customHeight="1">
      <c r="C42857" t="s">
        <v>8827</v>
      </c>
    </row>
    <row r="42858" spans="3:3" ht="12.75" customHeight="1">
      <c r="C42858" t="s">
        <v>8828</v>
      </c>
    </row>
    <row r="42859" spans="3:3" ht="12.75" customHeight="1">
      <c r="C42859" t="s">
        <v>8829</v>
      </c>
    </row>
    <row r="42860" spans="3:3" ht="12.75" customHeight="1">
      <c r="C42860" t="s">
        <v>8830</v>
      </c>
    </row>
    <row r="42861" spans="3:3" ht="12.75" customHeight="1">
      <c r="C42861" t="s">
        <v>8831</v>
      </c>
    </row>
    <row r="42862" spans="3:3" ht="12.75" customHeight="1">
      <c r="C42862" t="s">
        <v>8832</v>
      </c>
    </row>
    <row r="42863" spans="3:3" ht="12.75" customHeight="1">
      <c r="C42863" t="s">
        <v>8833</v>
      </c>
    </row>
    <row r="42864" spans="3:3" ht="12.75" customHeight="1">
      <c r="C42864" t="s">
        <v>8834</v>
      </c>
    </row>
    <row r="42865" spans="3:3" ht="12.75" customHeight="1">
      <c r="C42865" t="s">
        <v>8835</v>
      </c>
    </row>
    <row r="42866" spans="3:3" ht="12.75" customHeight="1">
      <c r="C42866" t="s">
        <v>8836</v>
      </c>
    </row>
    <row r="42867" spans="3:3" ht="12.75" customHeight="1">
      <c r="C42867" t="s">
        <v>8837</v>
      </c>
    </row>
    <row r="42868" spans="3:3" ht="12.75" customHeight="1">
      <c r="C42868" t="s">
        <v>8838</v>
      </c>
    </row>
    <row r="42869" spans="3:3" ht="12.75" customHeight="1">
      <c r="C42869" t="s">
        <v>8839</v>
      </c>
    </row>
    <row r="42870" spans="3:3" ht="12.75" customHeight="1">
      <c r="C42870" t="s">
        <v>8840</v>
      </c>
    </row>
    <row r="42880" spans="3:3" ht="12.75" customHeight="1">
      <c r="C42880" t="s">
        <v>8841</v>
      </c>
    </row>
    <row r="42883" spans="3:3" ht="12.75" customHeight="1">
      <c r="C42883" t="s">
        <v>3573</v>
      </c>
    </row>
    <row r="42884" spans="3:3" ht="12.75" customHeight="1">
      <c r="C42884" t="s">
        <v>3574</v>
      </c>
    </row>
    <row r="42885" spans="3:3" ht="12.75" customHeight="1">
      <c r="C42885" t="s">
        <v>6</v>
      </c>
    </row>
    <row r="42886" spans="3:3" ht="12.75" customHeight="1">
      <c r="C42886" t="s">
        <v>7</v>
      </c>
    </row>
    <row r="42887" spans="3:3" ht="12.75" customHeight="1">
      <c r="C42887" t="s">
        <v>8715</v>
      </c>
    </row>
    <row r="42888" spans="3:3" ht="12.75" customHeight="1">
      <c r="C42888" t="s">
        <v>8842</v>
      </c>
    </row>
    <row r="42889" spans="3:3" ht="12.75" customHeight="1">
      <c r="C42889" t="s">
        <v>8843</v>
      </c>
    </row>
    <row r="42890" spans="3:3" ht="12.75" customHeight="1">
      <c r="C42890" t="s">
        <v>8844</v>
      </c>
    </row>
    <row r="42891" spans="3:3" ht="12.75" customHeight="1">
      <c r="C42891" t="s">
        <v>8845</v>
      </c>
    </row>
    <row r="42894" spans="3:3" ht="12.75" customHeight="1">
      <c r="C42894" t="s">
        <v>8846</v>
      </c>
    </row>
    <row r="42895" spans="3:3" ht="12.75" customHeight="1">
      <c r="C42895" t="s">
        <v>8847</v>
      </c>
    </row>
    <row r="42930" spans="3:3" ht="12.75" customHeight="1">
      <c r="C42930" t="s">
        <v>8848</v>
      </c>
    </row>
    <row r="42947" spans="3:3" ht="12.75" customHeight="1">
      <c r="C42947" t="s">
        <v>8849</v>
      </c>
    </row>
  </sheetData>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9</vt:i4>
      </vt:variant>
      <vt:variant>
        <vt:lpstr>Intervalos com Nome</vt:lpstr>
      </vt:variant>
      <vt:variant>
        <vt:i4>1699</vt:i4>
      </vt:variant>
    </vt:vector>
  </HeadingPairs>
  <TitlesOfParts>
    <vt:vector size="1708" baseType="lpstr">
      <vt:lpstr>Iniciar</vt:lpstr>
      <vt:lpstr>Carga e Rede</vt:lpstr>
      <vt:lpstr>Modelo Energético </vt:lpstr>
      <vt:lpstr>Modelo Energético</vt:lpstr>
      <vt:lpstr>Análise de Custos</vt:lpstr>
      <vt:lpstr>Análise de Emissões</vt:lpstr>
      <vt:lpstr>Análise Financeira</vt:lpstr>
      <vt:lpstr>Análise de Risco</vt:lpstr>
      <vt:lpstr>Ferramentas</vt:lpstr>
      <vt:lpstr>Addr_Country</vt:lpstr>
      <vt:lpstr>Addr_Mail</vt:lpstr>
      <vt:lpstr>Addr_Manufacturer</vt:lpstr>
      <vt:lpstr>Addr_Model</vt:lpstr>
      <vt:lpstr>Addr_ProductType</vt:lpstr>
      <vt:lpstr>Addr_Province</vt:lpstr>
      <vt:lpstr>Addr_PVManufacturer</vt:lpstr>
      <vt:lpstr>Addr_PVModel</vt:lpstr>
      <vt:lpstr>Addr_PVType</vt:lpstr>
      <vt:lpstr>Addr_Region</vt:lpstr>
      <vt:lpstr>Addr_Station</vt:lpstr>
      <vt:lpstr>Addr_type</vt:lpstr>
      <vt:lpstr>Addr_Web</vt:lpstr>
      <vt:lpstr>AfterIRR</vt:lpstr>
      <vt:lpstr>AnalType</vt:lpstr>
      <vt:lpstr>'Análise Financeira'!Ann_costs</vt:lpstr>
      <vt:lpstr>Ann_heat_deg_days</vt:lpstr>
      <vt:lpstr>'Análise Financeira'!Ann_sav</vt:lpstr>
      <vt:lpstr>AnnEarthTempAmp</vt:lpstr>
      <vt:lpstr>AnnEarthTempAmpUnit</vt:lpstr>
      <vt:lpstr>'Análise de Custos'!Área_de_Impressão</vt:lpstr>
      <vt:lpstr>'Análise de Emissões'!Área_de_Impressão</vt:lpstr>
      <vt:lpstr>'Análise de Risco'!Área_de_Impressão</vt:lpstr>
      <vt:lpstr>'Análise Financeira'!Área_de_Impressão</vt:lpstr>
      <vt:lpstr>'Carga e Rede'!Área_de_Impressão</vt:lpstr>
      <vt:lpstr>Ferramentas!Área_de_Impressão</vt:lpstr>
      <vt:lpstr>Iniciar!Área_de_Impressão</vt:lpstr>
      <vt:lpstr>Janela!Área_de_Impressão</vt:lpstr>
      <vt:lpstr>'Modelo Energético'!Área_de_Impressão</vt:lpstr>
      <vt:lpstr>'Modelo Energético '!Área_de_Impressão</vt:lpstr>
      <vt:lpstr>AtmosPressure_Jan</vt:lpstr>
      <vt:lpstr>AvgAtmosPressUnit</vt:lpstr>
      <vt:lpstr>AvgDailyRadiation_Jan</vt:lpstr>
      <vt:lpstr>AvgDailyRadUnit</vt:lpstr>
      <vt:lpstr>AvgTemp_Jan</vt:lpstr>
      <vt:lpstr>avgTempUnit</vt:lpstr>
      <vt:lpstr>AvgWindSpeed_Jan</vt:lpstr>
      <vt:lpstr>AvgWindSpeedUnit</vt:lpstr>
      <vt:lpstr>BatMismatch</vt:lpstr>
      <vt:lpstr>BatTemp</vt:lpstr>
      <vt:lpstr>BatTempCtrl</vt:lpstr>
      <vt:lpstr>BatTempIndex</vt:lpstr>
      <vt:lpstr>Bench_area</vt:lpstr>
      <vt:lpstr>Bench_ref</vt:lpstr>
      <vt:lpstr>Bench_ref2</vt:lpstr>
      <vt:lpstr>CA_all</vt:lpstr>
      <vt:lpstr>CA_Balance</vt:lpstr>
      <vt:lpstr>CA_BPlist_sort</vt:lpstr>
      <vt:lpstr>CA_BPlist1</vt:lpstr>
      <vt:lpstr>CA_BPlist2</vt:lpstr>
      <vt:lpstr>CA_Canada</vt:lpstr>
      <vt:lpstr>CA_CapacityUnit</vt:lpstr>
      <vt:lpstr>CA_CoolingHelp</vt:lpstr>
      <vt:lpstr>CA_Costcells</vt:lpstr>
      <vt:lpstr>CA_Costcells2</vt:lpstr>
      <vt:lpstr>CA_Costcells3</vt:lpstr>
      <vt:lpstr>CA_Costcells31</vt:lpstr>
      <vt:lpstr>CA_country1</vt:lpstr>
      <vt:lpstr>CA_country2</vt:lpstr>
      <vt:lpstr>CA_country2sort</vt:lpstr>
      <vt:lpstr>CA_CS</vt:lpstr>
      <vt:lpstr>CA_fuelBC</vt:lpstr>
      <vt:lpstr>CA_fuelPC</vt:lpstr>
      <vt:lpstr>CA_Heatinghelp</vt:lpstr>
      <vt:lpstr>CA_HS</vt:lpstr>
      <vt:lpstr>CA_IC</vt:lpstr>
      <vt:lpstr>CA_link</vt:lpstr>
      <vt:lpstr>CA_Month</vt:lpstr>
      <vt:lpstr>CA_new1</vt:lpstr>
      <vt:lpstr>CA_OMS</vt:lpstr>
      <vt:lpstr>CA_Powerhelp</vt:lpstr>
      <vt:lpstr>CA_PS</vt:lpstr>
      <vt:lpstr>CA_SC</vt:lpstr>
      <vt:lpstr>Capa_Cooling1</vt:lpstr>
      <vt:lpstr>Capa_Cooling2</vt:lpstr>
      <vt:lpstr>Capa_Heat1</vt:lpstr>
      <vt:lpstr>Capa_Heat2</vt:lpstr>
      <vt:lpstr>Capa_Heat3</vt:lpstr>
      <vt:lpstr>Capa_Heat4</vt:lpstr>
      <vt:lpstr>Capa_Power1</vt:lpstr>
      <vt:lpstr>Capa_Power10</vt:lpstr>
      <vt:lpstr>Capa_Power11</vt:lpstr>
      <vt:lpstr>Capa_Power12</vt:lpstr>
      <vt:lpstr>Capa_Power13</vt:lpstr>
      <vt:lpstr>Capa_Power14</vt:lpstr>
      <vt:lpstr>Capa_Power15</vt:lpstr>
      <vt:lpstr>Capa_Power16</vt:lpstr>
      <vt:lpstr>Capa_Power17</vt:lpstr>
      <vt:lpstr>Capa_Power18</vt:lpstr>
      <vt:lpstr>Capa_Power19</vt:lpstr>
      <vt:lpstr>Capa_Power2</vt:lpstr>
      <vt:lpstr>Capa_Power21</vt:lpstr>
      <vt:lpstr>Capa_Power22</vt:lpstr>
      <vt:lpstr>Capa_Power23</vt:lpstr>
      <vt:lpstr>Capa_Power24</vt:lpstr>
      <vt:lpstr>Capa_Power25</vt:lpstr>
      <vt:lpstr>Capa_Power26</vt:lpstr>
      <vt:lpstr>Capa_Power27</vt:lpstr>
      <vt:lpstr>Capa_Power28</vt:lpstr>
      <vt:lpstr>Capa_Power3</vt:lpstr>
      <vt:lpstr>Capa_Power4</vt:lpstr>
      <vt:lpstr>Capa_Power5</vt:lpstr>
      <vt:lpstr>Capa_Power6</vt:lpstr>
      <vt:lpstr>Capa_Power7</vt:lpstr>
      <vt:lpstr>Capa_Power8</vt:lpstr>
      <vt:lpstr>Capa_Power9</vt:lpstr>
      <vt:lpstr>Capacity</vt:lpstr>
      <vt:lpstr>CapaPower1</vt:lpstr>
      <vt:lpstr>CapaUnit_Cooling1</vt:lpstr>
      <vt:lpstr>CapaUnit_Cooling2</vt:lpstr>
      <vt:lpstr>CapaUnit_Heat1</vt:lpstr>
      <vt:lpstr>CapaUnit_Heat2</vt:lpstr>
      <vt:lpstr>CapaUnit_Heat3</vt:lpstr>
      <vt:lpstr>CapaUnit_Heat4</vt:lpstr>
      <vt:lpstr>CapaUnit_Power1</vt:lpstr>
      <vt:lpstr>CapaUnit_Power10</vt:lpstr>
      <vt:lpstr>CapaUnit_Power12</vt:lpstr>
      <vt:lpstr>CapaUnit_Power13</vt:lpstr>
      <vt:lpstr>CapaUnit_Power14</vt:lpstr>
      <vt:lpstr>CapaUnit_Power15</vt:lpstr>
      <vt:lpstr>CapaUnit_Power16</vt:lpstr>
      <vt:lpstr>CapaUnit_Power17</vt:lpstr>
      <vt:lpstr>CapaUnit_Power18</vt:lpstr>
      <vt:lpstr>CapaUnit_Power19</vt:lpstr>
      <vt:lpstr>CapaUnit_Power2</vt:lpstr>
      <vt:lpstr>CapaUnit_Power21</vt:lpstr>
      <vt:lpstr>CapaUnit_Power22</vt:lpstr>
      <vt:lpstr>CapaUnit_Power23</vt:lpstr>
      <vt:lpstr>CapaUnit_Power24</vt:lpstr>
      <vt:lpstr>CapaUnit_Power25</vt:lpstr>
      <vt:lpstr>CapaUnit_Power26</vt:lpstr>
      <vt:lpstr>CapaUnit_Power27</vt:lpstr>
      <vt:lpstr>CapaUnit_Power28</vt:lpstr>
      <vt:lpstr>CapaUnit_Power3</vt:lpstr>
      <vt:lpstr>CapaUnit_Power6</vt:lpstr>
      <vt:lpstr>CapaUnit_Power7</vt:lpstr>
      <vt:lpstr>CapaUnit_Power8</vt:lpstr>
      <vt:lpstr>CapaUnit_Power9</vt:lpstr>
      <vt:lpstr>CDD_designTemp</vt:lpstr>
      <vt:lpstr>CDD_Jan</vt:lpstr>
      <vt:lpstr>CDD_NearestLocation</vt:lpstr>
      <vt:lpstr>Cdgh</vt:lpstr>
      <vt:lpstr>CHP_ScreenMsg</vt:lpstr>
      <vt:lpstr>CHPCAName</vt:lpstr>
      <vt:lpstr>CHPEMName</vt:lpstr>
      <vt:lpstr>CHPESName</vt:lpstr>
      <vt:lpstr>CHPFinName</vt:lpstr>
      <vt:lpstr>CHPGHGName</vt:lpstr>
      <vt:lpstr>CHPIntroName</vt:lpstr>
      <vt:lpstr>CHPLNName</vt:lpstr>
      <vt:lpstr>CHPModelName</vt:lpstr>
      <vt:lpstr>CHPSensName</vt:lpstr>
      <vt:lpstr>CHPToolsName</vt:lpstr>
      <vt:lpstr>ClimateUnits</vt:lpstr>
      <vt:lpstr>ClimateUnitsTemp</vt:lpstr>
      <vt:lpstr>ConversionRt</vt:lpstr>
      <vt:lpstr>ConversionValueBTU</vt:lpstr>
      <vt:lpstr>cool_list</vt:lpstr>
      <vt:lpstr>CoolDesTempUnit</vt:lpstr>
      <vt:lpstr>CostReference</vt:lpstr>
      <vt:lpstr>country</vt:lpstr>
      <vt:lpstr>'Modelo Energético '!CpAir</vt:lpstr>
      <vt:lpstr>'Análise de Emissões'!Criterios</vt:lpstr>
      <vt:lpstr>Cumul</vt:lpstr>
      <vt:lpstr>Currency</vt:lpstr>
      <vt:lpstr>Currency_index</vt:lpstr>
      <vt:lpstr>currency_list</vt:lpstr>
      <vt:lpstr>Currency_name</vt:lpstr>
      <vt:lpstr>Currency_range</vt:lpstr>
      <vt:lpstr>Currency_sort</vt:lpstr>
      <vt:lpstr>Currency_user</vt:lpstr>
      <vt:lpstr>Currency2</vt:lpstr>
      <vt:lpstr>Currency2_index</vt:lpstr>
      <vt:lpstr>Currency2_name</vt:lpstr>
      <vt:lpstr>Currency2_Range2</vt:lpstr>
      <vt:lpstr>Currency2_user</vt:lpstr>
      <vt:lpstr>CurrencyHide</vt:lpstr>
      <vt:lpstr>Day_of_Autonomy</vt:lpstr>
      <vt:lpstr>DD_Jan</vt:lpstr>
      <vt:lpstr>'Análise Financeira'!Debt_con</vt:lpstr>
      <vt:lpstr>'Análise Financeira'!Debt_IR</vt:lpstr>
      <vt:lpstr>'Análise Financeira'!Debt_pay</vt:lpstr>
      <vt:lpstr>'Análise Financeira'!Debt_ratio</vt:lpstr>
      <vt:lpstr>'Análise Financeira'!Debt_term</vt:lpstr>
      <vt:lpstr>Delta_temp</vt:lpstr>
      <vt:lpstr>Design_temp</vt:lpstr>
      <vt:lpstr>'Análise Financeira'!Disc_R</vt:lpstr>
      <vt:lpstr>Earthheight</vt:lpstr>
      <vt:lpstr>ecoEnergyBuildings</vt:lpstr>
      <vt:lpstr>EE_1</vt:lpstr>
      <vt:lpstr>EE_1_FCS</vt:lpstr>
      <vt:lpstr>EE_1_Method</vt:lpstr>
      <vt:lpstr>'Modelo Energético '!EE_10_M</vt:lpstr>
      <vt:lpstr>'Modelo Energético '!EE_11_M</vt:lpstr>
      <vt:lpstr>EE_12</vt:lpstr>
      <vt:lpstr>EE_13</vt:lpstr>
      <vt:lpstr>EE_13_DLC</vt:lpstr>
      <vt:lpstr>EE_13_DLC2</vt:lpstr>
      <vt:lpstr>EE_13_genset</vt:lpstr>
      <vt:lpstr>EE_13_Hydro</vt:lpstr>
      <vt:lpstr>'Modelo Energético '!EE_13_M</vt:lpstr>
      <vt:lpstr>EE_13_Mall</vt:lpstr>
      <vt:lpstr>EE_13_other</vt:lpstr>
      <vt:lpstr>EE_13_peak</vt:lpstr>
      <vt:lpstr>EE_13_PV</vt:lpstr>
      <vt:lpstr>EE_13_Recip</vt:lpstr>
      <vt:lpstr>EE_13_tech</vt:lpstr>
      <vt:lpstr>EE_13_type</vt:lpstr>
      <vt:lpstr>EE_13_water</vt:lpstr>
      <vt:lpstr>EE_13_Wind</vt:lpstr>
      <vt:lpstr>EE_13_WP1</vt:lpstr>
      <vt:lpstr>EE_13_WP2</vt:lpstr>
      <vt:lpstr>EE_13WP_AL</vt:lpstr>
      <vt:lpstr>EE_14</vt:lpstr>
      <vt:lpstr>EE_14_BV</vt:lpstr>
      <vt:lpstr>EE_14_BVFT</vt:lpstr>
      <vt:lpstr>EE_14_BVFT1</vt:lpstr>
      <vt:lpstr>EE_14_L</vt:lpstr>
      <vt:lpstr>EE_14_M1all</vt:lpstr>
      <vt:lpstr>EE_14_M2all</vt:lpstr>
      <vt:lpstr>EE_14_PA</vt:lpstr>
      <vt:lpstr>EE_15</vt:lpstr>
      <vt:lpstr>EE_15_HX</vt:lpstr>
      <vt:lpstr>EE_15_L</vt:lpstr>
      <vt:lpstr>EE_15_M1all</vt:lpstr>
      <vt:lpstr>EE_15_M2all</vt:lpstr>
      <vt:lpstr>EE_15_SP</vt:lpstr>
      <vt:lpstr>EE_15_SP_BP</vt:lpstr>
      <vt:lpstr>EE_15_SP_Type</vt:lpstr>
      <vt:lpstr>EE_15_SP_Type1</vt:lpstr>
      <vt:lpstr>EE_15_storage</vt:lpstr>
      <vt:lpstr>EE_15_storage1</vt:lpstr>
      <vt:lpstr>EE_15_SWHtype</vt:lpstr>
      <vt:lpstr>EE_15_WH</vt:lpstr>
      <vt:lpstr>EE_15_WH_type</vt:lpstr>
      <vt:lpstr>EE_15_WH_type1</vt:lpstr>
      <vt:lpstr>EE_15_WT</vt:lpstr>
      <vt:lpstr>EE_15_WT1</vt:lpstr>
      <vt:lpstr>EE_15_WT2</vt:lpstr>
      <vt:lpstr>EE_15_WTSP</vt:lpstr>
      <vt:lpstr>EE_15_WTSP1</vt:lpstr>
      <vt:lpstr>EE_15_WTSP2</vt:lpstr>
      <vt:lpstr>'Modelo Energético '!EE_8_M</vt:lpstr>
      <vt:lpstr>'Modelo Energético '!EE_9_M</vt:lpstr>
      <vt:lpstr>EE_all</vt:lpstr>
      <vt:lpstr>EE_battery</vt:lpstr>
      <vt:lpstr>EE_battery1</vt:lpstr>
      <vt:lpstr>EE_Bio</vt:lpstr>
      <vt:lpstr>EE_CB1</vt:lpstr>
      <vt:lpstr>EE_CB10</vt:lpstr>
      <vt:lpstr>EE_CB11</vt:lpstr>
      <vt:lpstr>EE_CB12</vt:lpstr>
      <vt:lpstr>EE_CB13</vt:lpstr>
      <vt:lpstr>EE_CB14</vt:lpstr>
      <vt:lpstr>'Modelo Energético '!EE_CB14_1</vt:lpstr>
      <vt:lpstr>EE_CB14_2</vt:lpstr>
      <vt:lpstr>EE_CB15</vt:lpstr>
      <vt:lpstr>'Modelo Energético '!EE_CB15_1</vt:lpstr>
      <vt:lpstr>EE_CB15_2</vt:lpstr>
      <vt:lpstr>EE_CB16</vt:lpstr>
      <vt:lpstr>EE_CB17</vt:lpstr>
      <vt:lpstr>EE_CB18</vt:lpstr>
      <vt:lpstr>EE_CB19</vt:lpstr>
      <vt:lpstr>EE_CB2</vt:lpstr>
      <vt:lpstr>EE_CB20</vt:lpstr>
      <vt:lpstr>EE_CB21</vt:lpstr>
      <vt:lpstr>EE_CB22</vt:lpstr>
      <vt:lpstr>EE_CB23</vt:lpstr>
      <vt:lpstr>EE_CB24</vt:lpstr>
      <vt:lpstr>EE_CB25</vt:lpstr>
      <vt:lpstr>EE_CB26</vt:lpstr>
      <vt:lpstr>EE_CB27</vt:lpstr>
      <vt:lpstr>EE_CB3</vt:lpstr>
      <vt:lpstr>EE_CB4</vt:lpstr>
      <vt:lpstr>EE_CB5</vt:lpstr>
      <vt:lpstr>EE_CB6</vt:lpstr>
      <vt:lpstr>EE_CB7</vt:lpstr>
      <vt:lpstr>EE_CB8</vt:lpstr>
      <vt:lpstr>EE_CB9</vt:lpstr>
      <vt:lpstr>EE_CHP</vt:lpstr>
      <vt:lpstr>EE_CS</vt:lpstr>
      <vt:lpstr>EE_CS_1</vt:lpstr>
      <vt:lpstr>'Modelo Energético '!EE_CS_CB</vt:lpstr>
      <vt:lpstr>EE_CS_CB1</vt:lpstr>
      <vt:lpstr>EE_Eff</vt:lpstr>
      <vt:lpstr>EE_EM</vt:lpstr>
      <vt:lpstr>EE_FA</vt:lpstr>
      <vt:lpstr>EE_GHG</vt:lpstr>
      <vt:lpstr>'Modelo Energético '!EE_GHG_CB</vt:lpstr>
      <vt:lpstr>EE_GHG_CR</vt:lpstr>
      <vt:lpstr>EE_GHG_CR1</vt:lpstr>
      <vt:lpstr>EE_GHG_grid</vt:lpstr>
      <vt:lpstr>EE_GHG_P</vt:lpstr>
      <vt:lpstr>EE_GHG_P_old</vt:lpstr>
      <vt:lpstr>EE_GHG_P1</vt:lpstr>
      <vt:lpstr>EE_GHG1</vt:lpstr>
      <vt:lpstr>EE_HS</vt:lpstr>
      <vt:lpstr>'Modelo Energético '!EE_HS_CB</vt:lpstr>
      <vt:lpstr>'Modelo Energético '!EE_HS_CB2</vt:lpstr>
      <vt:lpstr>EE_HS_SE1</vt:lpstr>
      <vt:lpstr>EE_HS2</vt:lpstr>
      <vt:lpstr>EE_HS3</vt:lpstr>
      <vt:lpstr>EE_Hydro</vt:lpstr>
      <vt:lpstr>EE_Hydro_FAF</vt:lpstr>
      <vt:lpstr>EE_Hydro_FAF1</vt:lpstr>
      <vt:lpstr>EE_Hydro_HT</vt:lpstr>
      <vt:lpstr>EE_Hydro_MFM</vt:lpstr>
      <vt:lpstr>EE_Hydro_MFM_all</vt:lpstr>
      <vt:lpstr>EE_Hydro_offgrid</vt:lpstr>
      <vt:lpstr>EE_Hydro_offgrid1</vt:lpstr>
      <vt:lpstr>EE_Hydro_offgrid2</vt:lpstr>
      <vt:lpstr>EE_Hydro_offgrid3</vt:lpstr>
      <vt:lpstr>EE_Hydro_offgrid4</vt:lpstr>
      <vt:lpstr>EE_Hydro_PL</vt:lpstr>
      <vt:lpstr>EE_Hydro_PL1</vt:lpstr>
      <vt:lpstr>EE_Hydro_PL2</vt:lpstr>
      <vt:lpstr>EE_inverter</vt:lpstr>
      <vt:lpstr>EE_inverter1</vt:lpstr>
      <vt:lpstr>EE_L3</vt:lpstr>
      <vt:lpstr>EE_L3_x</vt:lpstr>
      <vt:lpstr>EE_lastrows</vt:lpstr>
      <vt:lpstr>EE_Level</vt:lpstr>
      <vt:lpstr>EE_Level_old</vt:lpstr>
      <vt:lpstr>EE_PS</vt:lpstr>
      <vt:lpstr>EE_PS_1</vt:lpstr>
      <vt:lpstr>EE_PS_2</vt:lpstr>
      <vt:lpstr>'Modelo Energético '!EE_PS_CB</vt:lpstr>
      <vt:lpstr>'Modelo Energético '!EE_PS_CB2</vt:lpstr>
      <vt:lpstr>EE_PV</vt:lpstr>
      <vt:lpstr>EE_PV_show</vt:lpstr>
      <vt:lpstr>EE_PV_show1</vt:lpstr>
      <vt:lpstr>EE_PV_Track</vt:lpstr>
      <vt:lpstr>EE_PV_type</vt:lpstr>
      <vt:lpstr>EE_PV_type1</vt:lpstr>
      <vt:lpstr>EE_PV_type2</vt:lpstr>
      <vt:lpstr>EE_SAH_hide</vt:lpstr>
      <vt:lpstr>EE_SAH_show</vt:lpstr>
      <vt:lpstr>EE_SAH_show1</vt:lpstr>
      <vt:lpstr>EE_SAH_type</vt:lpstr>
      <vt:lpstr>EE_SAH1</vt:lpstr>
      <vt:lpstr>EE_SAH2</vt:lpstr>
      <vt:lpstr>EE_SAH3</vt:lpstr>
      <vt:lpstr>EE_SAH4</vt:lpstr>
      <vt:lpstr>EE_SAH5</vt:lpstr>
      <vt:lpstr>EE_SAH6</vt:lpstr>
      <vt:lpstr>EE_Settings</vt:lpstr>
      <vt:lpstr>EE_Settings1</vt:lpstr>
      <vt:lpstr>EE_Settings2</vt:lpstr>
      <vt:lpstr>EE_Settings3</vt:lpstr>
      <vt:lpstr>EE_SettingsOld</vt:lpstr>
      <vt:lpstr>EE_SWH</vt:lpstr>
      <vt:lpstr>EE_SWH1</vt:lpstr>
      <vt:lpstr>EE_Table</vt:lpstr>
      <vt:lpstr>'Modelo Energético '!EE_Type</vt:lpstr>
      <vt:lpstr>EE_Type_old</vt:lpstr>
      <vt:lpstr>EE_UD_list</vt:lpstr>
      <vt:lpstr>EE_UD_list1</vt:lpstr>
      <vt:lpstr>EE_UD_listSort</vt:lpstr>
      <vt:lpstr>EE_User</vt:lpstr>
      <vt:lpstr>EE_UserCode</vt:lpstr>
      <vt:lpstr>EE_UserDef</vt:lpstr>
      <vt:lpstr>EE_UserDef1</vt:lpstr>
      <vt:lpstr>EE_UserDef2</vt:lpstr>
      <vt:lpstr>EE_UserDef3</vt:lpstr>
      <vt:lpstr>EE_Wind</vt:lpstr>
      <vt:lpstr>EE_WindCurve</vt:lpstr>
      <vt:lpstr>EE_WindCurve1</vt:lpstr>
      <vt:lpstr>EE_windECD</vt:lpstr>
      <vt:lpstr>EE_WindSP</vt:lpstr>
      <vt:lpstr>EE1_Show1</vt:lpstr>
      <vt:lpstr>EE1_Show11</vt:lpstr>
      <vt:lpstr>EE1_Show2</vt:lpstr>
      <vt:lpstr>EE1_Show20</vt:lpstr>
      <vt:lpstr>EE1_Show21</vt:lpstr>
      <vt:lpstr>EE1_Show3</vt:lpstr>
      <vt:lpstr>EE1_Show30</vt:lpstr>
      <vt:lpstr>EE1_Show31</vt:lpstr>
      <vt:lpstr>EEM_Cap_Wind2</vt:lpstr>
      <vt:lpstr>EEM_Capa_PV</vt:lpstr>
      <vt:lpstr>EEM_Checkbox</vt:lpstr>
      <vt:lpstr>EEM_FD</vt:lpstr>
      <vt:lpstr>EEM_FD1</vt:lpstr>
      <vt:lpstr>EEM_FD2</vt:lpstr>
      <vt:lpstr>EEM_FD3</vt:lpstr>
      <vt:lpstr>EEM_GrossHead_Unit</vt:lpstr>
      <vt:lpstr>EEM_HydroGaugeID</vt:lpstr>
      <vt:lpstr>EEM_HydroNormFlow</vt:lpstr>
      <vt:lpstr>EEM_HydroType</vt:lpstr>
      <vt:lpstr>EEM_LC1</vt:lpstr>
      <vt:lpstr>EEM_LC2</vt:lpstr>
      <vt:lpstr>EEM_LC3</vt:lpstr>
      <vt:lpstr>EEM_Link</vt:lpstr>
      <vt:lpstr>EEM_Manu_Hydro2</vt:lpstr>
      <vt:lpstr>EEM_Manu_Other</vt:lpstr>
      <vt:lpstr>EEM_Manu_PV2</vt:lpstr>
      <vt:lpstr>EEM_Manu_ReciEngine</vt:lpstr>
      <vt:lpstr>EEM_Manu_Wind2</vt:lpstr>
      <vt:lpstr>EEM_ManuHeating1</vt:lpstr>
      <vt:lpstr>EEM_ManuHeating2</vt:lpstr>
      <vt:lpstr>EEM_ManuHydro</vt:lpstr>
      <vt:lpstr>EEM_NbUnits</vt:lpstr>
      <vt:lpstr>EEM_RadioButtons</vt:lpstr>
      <vt:lpstr>EEM_select</vt:lpstr>
      <vt:lpstr>EEM_T1</vt:lpstr>
      <vt:lpstr>EEM_T2</vt:lpstr>
      <vt:lpstr>EEM_T3</vt:lpstr>
      <vt:lpstr>EEM_T4</vt:lpstr>
      <vt:lpstr>EEM_T5</vt:lpstr>
      <vt:lpstr>EEM_T6</vt:lpstr>
      <vt:lpstr>EEM_T7</vt:lpstr>
      <vt:lpstr>EEM_T7_all</vt:lpstr>
      <vt:lpstr>EEM_Wind_Power_Capacity</vt:lpstr>
      <vt:lpstr>EET_save</vt:lpstr>
      <vt:lpstr>Elevation</vt:lpstr>
      <vt:lpstr>ElevationUnit</vt:lpstr>
      <vt:lpstr>EM_857</vt:lpstr>
      <vt:lpstr>EM_859</vt:lpstr>
      <vt:lpstr>EM_861</vt:lpstr>
      <vt:lpstr>EM_BI</vt:lpstr>
      <vt:lpstr>EM_CapaUnitHeat1</vt:lpstr>
      <vt:lpstr>EM_CapaUnitHeat2</vt:lpstr>
      <vt:lpstr>EM_CapaUnitPower1</vt:lpstr>
      <vt:lpstr>EM_CapaValueHeat1</vt:lpstr>
      <vt:lpstr>EM_CapaValueHeat2</vt:lpstr>
      <vt:lpstr>EM_CapaValuePower1</vt:lpstr>
      <vt:lpstr>EM_Charts</vt:lpstr>
      <vt:lpstr>EM_Cost1</vt:lpstr>
      <vt:lpstr>EM_Cost2</vt:lpstr>
      <vt:lpstr>EM_Cost3</vt:lpstr>
      <vt:lpstr>EM_Cost4</vt:lpstr>
      <vt:lpstr>EM_Cost5</vt:lpstr>
      <vt:lpstr>EM_Cost6</vt:lpstr>
      <vt:lpstr>EM_Cost7</vt:lpstr>
      <vt:lpstr>EM_Cost8</vt:lpstr>
      <vt:lpstr>EM_Curr2</vt:lpstr>
      <vt:lpstr>EM_Currency</vt:lpstr>
      <vt:lpstr>EM_FA</vt:lpstr>
      <vt:lpstr>EM_FuelH1</vt:lpstr>
      <vt:lpstr>EM_FuelH2</vt:lpstr>
      <vt:lpstr>EM_FuelH2_I</vt:lpstr>
      <vt:lpstr>EM_FuelP</vt:lpstr>
      <vt:lpstr>EM_FuelType</vt:lpstr>
      <vt:lpstr>EM_FuelTypeH</vt:lpstr>
      <vt:lpstr>EM_GHG</vt:lpstr>
      <vt:lpstr>EM_GHG_CB</vt:lpstr>
      <vt:lpstr>EM_GHG_CR</vt:lpstr>
      <vt:lpstr>EM_GHG_CR1</vt:lpstr>
      <vt:lpstr>EM_GHG_P</vt:lpstr>
      <vt:lpstr>EM_GHG_P1</vt:lpstr>
      <vt:lpstr>EM_GHG2</vt:lpstr>
      <vt:lpstr>EM_GHG3</vt:lpstr>
      <vt:lpstr>EM_gridtype</vt:lpstr>
      <vt:lpstr>EM_gridtype_power</vt:lpstr>
      <vt:lpstr>EM_Gridtype_power1</vt:lpstr>
      <vt:lpstr>EM_GrossHead_Unit</vt:lpstr>
      <vt:lpstr>EM_headers</vt:lpstr>
      <vt:lpstr>EM_Heatingvalue</vt:lpstr>
      <vt:lpstr>EM_Heatingvalue_I</vt:lpstr>
      <vt:lpstr>EM_Heatingvalue_V</vt:lpstr>
      <vt:lpstr>EM_HeatManufac1</vt:lpstr>
      <vt:lpstr>EM_HeatManufac2</vt:lpstr>
      <vt:lpstr>EM_HeatModel1</vt:lpstr>
      <vt:lpstr>EM_HeatModel2</vt:lpstr>
      <vt:lpstr>EM_HeatType1</vt:lpstr>
      <vt:lpstr>EM_HeatType2</vt:lpstr>
      <vt:lpstr>EM_HydrologyMethod</vt:lpstr>
      <vt:lpstr>EM_HydroTurbines</vt:lpstr>
      <vt:lpstr>EM_level</vt:lpstr>
      <vt:lpstr>EM_Link</vt:lpstr>
      <vt:lpstr>EM_Links</vt:lpstr>
      <vt:lpstr>EM_MeanFlowMethod</vt:lpstr>
      <vt:lpstr>EM_Method1</vt:lpstr>
      <vt:lpstr>EM_OCP1_L1</vt:lpstr>
      <vt:lpstr>EM_Opstrat</vt:lpstr>
      <vt:lpstr>EM_PDHeatLink1</vt:lpstr>
      <vt:lpstr>EM_PDHeatLink2</vt:lpstr>
      <vt:lpstr>EM_PDPowerLink1</vt:lpstr>
      <vt:lpstr>EM_PowerManufac1</vt:lpstr>
      <vt:lpstr>EM_PowerModel1</vt:lpstr>
      <vt:lpstr>EM_Powerpeak</vt:lpstr>
      <vt:lpstr>EM_Powerpeak1</vt:lpstr>
      <vt:lpstr>EM_Powerrate</vt:lpstr>
      <vt:lpstr>EM_ProjType</vt:lpstr>
      <vt:lpstr>EM_Projtype_I</vt:lpstr>
      <vt:lpstr>EM_Projtype_V</vt:lpstr>
      <vt:lpstr>EM_PV_track</vt:lpstr>
      <vt:lpstr>EM_saveC</vt:lpstr>
      <vt:lpstr>EM_saveH</vt:lpstr>
      <vt:lpstr>EM_saveP</vt:lpstr>
      <vt:lpstr>EM_Tidal1_L1</vt:lpstr>
      <vt:lpstr>EM_TurbineEfficiency</vt:lpstr>
      <vt:lpstr>EM_TypeHydro</vt:lpstr>
      <vt:lpstr>EM_TypeValuePower1</vt:lpstr>
      <vt:lpstr>EM_Unit_Demand</vt:lpstr>
      <vt:lpstr>EM_Unit_load</vt:lpstr>
      <vt:lpstr>EM_UnitHeat1</vt:lpstr>
      <vt:lpstr>EM_UnitHeat2</vt:lpstr>
      <vt:lpstr>EM_UnitPower1</vt:lpstr>
      <vt:lpstr>EM_Units</vt:lpstr>
      <vt:lpstr>EM_Units_I</vt:lpstr>
      <vt:lpstr>EM_Units_V</vt:lpstr>
      <vt:lpstr>EM_Val1</vt:lpstr>
      <vt:lpstr>EM_Val2</vt:lpstr>
      <vt:lpstr>EM_Wave1_L1</vt:lpstr>
      <vt:lpstr>EMHV</vt:lpstr>
      <vt:lpstr>Eq_full_load_hours</vt:lpstr>
      <vt:lpstr>EQ_SS</vt:lpstr>
      <vt:lpstr>EQ_SystemSelection</vt:lpstr>
      <vt:lpstr>'Análise Financeira'!Equi_inv</vt:lpstr>
      <vt:lpstr>Equip_Checkbox</vt:lpstr>
      <vt:lpstr>Equip_CoolType</vt:lpstr>
      <vt:lpstr>Equip_CoolType2</vt:lpstr>
      <vt:lpstr>Equip_HeatingType</vt:lpstr>
      <vt:lpstr>Equip_HydroNbTurb</vt:lpstr>
      <vt:lpstr>Equip_HydroNormFlow</vt:lpstr>
      <vt:lpstr>Equip_HydroType</vt:lpstr>
      <vt:lpstr>Equip_NbUnits</vt:lpstr>
      <vt:lpstr>Equip_PowerType</vt:lpstr>
      <vt:lpstr>Equip_PowerType2</vt:lpstr>
      <vt:lpstr>Equip_PowerTypeInter</vt:lpstr>
      <vt:lpstr>Equip_RadioButtons</vt:lpstr>
      <vt:lpstr>EquipHeatingType2</vt:lpstr>
      <vt:lpstr>ErrIRR</vt:lpstr>
      <vt:lpstr>ErrYear</vt:lpstr>
      <vt:lpstr>ES_BoilerT</vt:lpstr>
      <vt:lpstr>ES_CapacityUnit1</vt:lpstr>
      <vt:lpstr>ES_CapacityUnit2</vt:lpstr>
      <vt:lpstr>ES_CapacityUnitTab</vt:lpstr>
      <vt:lpstr>ES_CoolingCoHe1</vt:lpstr>
      <vt:lpstr>ES_CoolingCoHe2</vt:lpstr>
      <vt:lpstr>ES_CoolingTab</vt:lpstr>
      <vt:lpstr>ES_CoolingtypeB</vt:lpstr>
      <vt:lpstr>ES_CoolingtypeB_2</vt:lpstr>
      <vt:lpstr>ES_CoolingtypeP</vt:lpstr>
      <vt:lpstr>ES_CoolingtypeP_2</vt:lpstr>
      <vt:lpstr>ES_coolingtypesort_B</vt:lpstr>
      <vt:lpstr>ES_coolingtypesort_P</vt:lpstr>
      <vt:lpstr>ES_Costcells</vt:lpstr>
      <vt:lpstr>ES_Fuel</vt:lpstr>
      <vt:lpstr>ES_Fuel_All</vt:lpstr>
      <vt:lpstr>ES_Fuel_C1</vt:lpstr>
      <vt:lpstr>ES_Fuel_list</vt:lpstr>
      <vt:lpstr>ES_Fuel_list1</vt:lpstr>
      <vt:lpstr>ES_Fuel_list1sort</vt:lpstr>
      <vt:lpstr>ES_Fuel_list2</vt:lpstr>
      <vt:lpstr>ES_Fuel_list2Sort</vt:lpstr>
      <vt:lpstr>ES_Fuel2</vt:lpstr>
      <vt:lpstr>ES_fuel3</vt:lpstr>
      <vt:lpstr>ES_fuel31</vt:lpstr>
      <vt:lpstr>ES_fuel3sort</vt:lpstr>
      <vt:lpstr>ES_FuelC1</vt:lpstr>
      <vt:lpstr>ES_FuelC1_I</vt:lpstr>
      <vt:lpstr>ES_FuelC2</vt:lpstr>
      <vt:lpstr>ES_FuelMethod</vt:lpstr>
      <vt:lpstr>ES_Fuelselect</vt:lpstr>
      <vt:lpstr>ES_FueltypeN</vt:lpstr>
      <vt:lpstr>ES_HeatingHeatpump1</vt:lpstr>
      <vt:lpstr>ES_HeatingHeatpump2</vt:lpstr>
      <vt:lpstr>ES_HeatingHeatpump3</vt:lpstr>
      <vt:lpstr>ES_HeatingHeatpump4</vt:lpstr>
      <vt:lpstr>ES_HeatingTab</vt:lpstr>
      <vt:lpstr>ES_HeatingType</vt:lpstr>
      <vt:lpstr>ES_HeatingType2</vt:lpstr>
      <vt:lpstr>ES_HeatingTypeP</vt:lpstr>
      <vt:lpstr>ES_HeatingTypeP2</vt:lpstr>
      <vt:lpstr>ES_HeatingTypeSort</vt:lpstr>
      <vt:lpstr>ES_HeatingTypeSortP</vt:lpstr>
      <vt:lpstr>ES_Hyd_res</vt:lpstr>
      <vt:lpstr>ES_Hydro_HM</vt:lpstr>
      <vt:lpstr>ES_Hydro_HMUD</vt:lpstr>
      <vt:lpstr>ES_Hydro_HT1</vt:lpstr>
      <vt:lpstr>ES_Hydro_HT2</vt:lpstr>
      <vt:lpstr>ES_Hydro_HT3</vt:lpstr>
      <vt:lpstr>ES_Hydro_LC</vt:lpstr>
      <vt:lpstr>ES_Hydro_MFM</vt:lpstr>
      <vt:lpstr>ES_Hydro_MFMUD</vt:lpstr>
      <vt:lpstr>ES_Hydro_PT</vt:lpstr>
      <vt:lpstr>ES_Hydro_runr</vt:lpstr>
      <vt:lpstr>ES_Hydro_TECDS</vt:lpstr>
      <vt:lpstr>ES_Hydro_TECDS_S</vt:lpstr>
      <vt:lpstr>ES_Hydro_UD</vt:lpstr>
      <vt:lpstr>ES_Lang_click1</vt:lpstr>
      <vt:lpstr>ES_PowerTab</vt:lpstr>
      <vt:lpstr>ES_PowerType</vt:lpstr>
      <vt:lpstr>ES_PowerType_sort</vt:lpstr>
      <vt:lpstr>ES_PowerType_sortF</vt:lpstr>
      <vt:lpstr>ES_PowerTypeGasTurbine</vt:lpstr>
      <vt:lpstr>ES_PV_Type1</vt:lpstr>
      <vt:lpstr>ES_PV_Type2</vt:lpstr>
      <vt:lpstr>ES_SystemTab</vt:lpstr>
      <vt:lpstr>ES_TypeBI</vt:lpstr>
      <vt:lpstr>ES_value1</vt:lpstr>
      <vt:lpstr>ES_value2</vt:lpstr>
      <vt:lpstr>ES_valueSum1</vt:lpstr>
      <vt:lpstr>ES_valueSum2</vt:lpstr>
      <vt:lpstr>ES_Wind1</vt:lpstr>
      <vt:lpstr>ES_WindR1</vt:lpstr>
      <vt:lpstr>facility_type_list</vt:lpstr>
      <vt:lpstr>fBat</vt:lpstr>
      <vt:lpstr>Fin_Checkbox</vt:lpstr>
      <vt:lpstr>Fin_save</vt:lpstr>
      <vt:lpstr>Fin_save1</vt:lpstr>
      <vt:lpstr>Fin_save2</vt:lpstr>
      <vt:lpstr>Fin_save3</vt:lpstr>
      <vt:lpstr>Fin_save4</vt:lpstr>
      <vt:lpstr>Fin_save5</vt:lpstr>
      <vt:lpstr>fPV</vt:lpstr>
      <vt:lpstr>'Modelo Energético '!FrTA</vt:lpstr>
      <vt:lpstr>'Modelo Energético '!FrTA_wind</vt:lpstr>
      <vt:lpstr>'Modelo Energético '!FrUL</vt:lpstr>
      <vt:lpstr>'Modelo Energético '!FrUL_wind</vt:lpstr>
      <vt:lpstr>FS_all</vt:lpstr>
      <vt:lpstr>FS_GHGUnit</vt:lpstr>
      <vt:lpstr>FS_HeatingSalesRebate</vt:lpstr>
      <vt:lpstr>'Análise Financeira'!Fuel_ER</vt:lpstr>
      <vt:lpstr>FuelEC</vt:lpstr>
      <vt:lpstr>FuelLN</vt:lpstr>
      <vt:lpstr>FuelLN_1</vt:lpstr>
      <vt:lpstr>FuelLN_2</vt:lpstr>
      <vt:lpstr>FuelLN_Sort</vt:lpstr>
      <vt:lpstr>FuelLN_ST</vt:lpstr>
      <vt:lpstr>FuelLN_SV</vt:lpstr>
      <vt:lpstr>FuelLN_type</vt:lpstr>
      <vt:lpstr>FuelLN_value</vt:lpstr>
      <vt:lpstr>GHG</vt:lpstr>
      <vt:lpstr>GHG_BaseCaseElec</vt:lpstr>
      <vt:lpstr>GHG_Baseline</vt:lpstr>
      <vt:lpstr>GHG_Baseline2</vt:lpstr>
      <vt:lpstr>GHG_Baseline3</vt:lpstr>
      <vt:lpstr>GHG_BC</vt:lpstr>
      <vt:lpstr>GHG_BC_C</vt:lpstr>
      <vt:lpstr>GHG_BC_S</vt:lpstr>
      <vt:lpstr>GHG_BC_U</vt:lpstr>
      <vt:lpstr>GHG_BC1</vt:lpstr>
      <vt:lpstr>GHG_BCE</vt:lpstr>
      <vt:lpstr>GHG_BCE_mem</vt:lpstr>
      <vt:lpstr>GHG_CBC1</vt:lpstr>
      <vt:lpstr>GHG_CDMProject</vt:lpstr>
      <vt:lpstr>GHG_CH4</vt:lpstr>
      <vt:lpstr>GHG_change_BL</vt:lpstr>
      <vt:lpstr>GHG_Checkbox</vt:lpstr>
      <vt:lpstr>GHG_conv</vt:lpstr>
      <vt:lpstr>GHG_convT</vt:lpstr>
      <vt:lpstr>GHG_Countries</vt:lpstr>
      <vt:lpstr>GHG_Country</vt:lpstr>
      <vt:lpstr>GHG_CPC1</vt:lpstr>
      <vt:lpstr>GHG_Data</vt:lpstr>
      <vt:lpstr>GHG_EmisFactor</vt:lpstr>
      <vt:lpstr>GHG_EnergyModelUse</vt:lpstr>
      <vt:lpstr>GHG_Etype</vt:lpstr>
      <vt:lpstr>GHG_Fuel</vt:lpstr>
      <vt:lpstr>GHG_Fuel01</vt:lpstr>
      <vt:lpstr>GHG_Fuel01_paste</vt:lpstr>
      <vt:lpstr>GHG_Fuel02</vt:lpstr>
      <vt:lpstr>GHG_Fuel02_paste</vt:lpstr>
      <vt:lpstr>GHG_Fuel03</vt:lpstr>
      <vt:lpstr>GHG_Fuel03_paste</vt:lpstr>
      <vt:lpstr>GHG_Fuel04</vt:lpstr>
      <vt:lpstr>GHG_Fuel04_paste</vt:lpstr>
      <vt:lpstr>GHG_Fuel05</vt:lpstr>
      <vt:lpstr>GHG_Fuel05_paste</vt:lpstr>
      <vt:lpstr>GHG_Fuel06</vt:lpstr>
      <vt:lpstr>GHG_Fuel06_paste</vt:lpstr>
      <vt:lpstr>GHG_Fuel07</vt:lpstr>
      <vt:lpstr>GHG_Fuel07_paste</vt:lpstr>
      <vt:lpstr>GHG_Fuel08</vt:lpstr>
      <vt:lpstr>GHG_Fuel08_I</vt:lpstr>
      <vt:lpstr>GHG_Fuel08_paste</vt:lpstr>
      <vt:lpstr>GHG_Fuel09</vt:lpstr>
      <vt:lpstr>GHG_Fuel09_I</vt:lpstr>
      <vt:lpstr>GHG_Fuel09_paste</vt:lpstr>
      <vt:lpstr>GHG_Fuel1</vt:lpstr>
      <vt:lpstr>GHG_Fuel10</vt:lpstr>
      <vt:lpstr>GHG_Fuel10_I</vt:lpstr>
      <vt:lpstr>GHG_Fuel10_paste</vt:lpstr>
      <vt:lpstr>GHG_Fuel11</vt:lpstr>
      <vt:lpstr>GHG_Fuel11_I</vt:lpstr>
      <vt:lpstr>GHG_Fuel12</vt:lpstr>
      <vt:lpstr>GHG_Fuel12_I</vt:lpstr>
      <vt:lpstr>GHG_Fuel13</vt:lpstr>
      <vt:lpstr>GHG_Fuel14</vt:lpstr>
      <vt:lpstr>GHG_Fuel15</vt:lpstr>
      <vt:lpstr>GHG_Fuel16</vt:lpstr>
      <vt:lpstr>GHG_Fuel17</vt:lpstr>
      <vt:lpstr>GHG_Fuel18</vt:lpstr>
      <vt:lpstr>GHG_Fuel18_I</vt:lpstr>
      <vt:lpstr>GHG_Fuel19</vt:lpstr>
      <vt:lpstr>GHG_Fuel19_I</vt:lpstr>
      <vt:lpstr>GHG_Fuel2</vt:lpstr>
      <vt:lpstr>GHG_Fuel20</vt:lpstr>
      <vt:lpstr>GHG_Fuel20_I</vt:lpstr>
      <vt:lpstr>GHG_FuelA</vt:lpstr>
      <vt:lpstr>GHG_FuelS1</vt:lpstr>
      <vt:lpstr>GHG_FuelS10</vt:lpstr>
      <vt:lpstr>GHG_FuelS2</vt:lpstr>
      <vt:lpstr>GHG_FuelS3</vt:lpstr>
      <vt:lpstr>GHG_FuelS4</vt:lpstr>
      <vt:lpstr>GHG_FuelS5</vt:lpstr>
      <vt:lpstr>GHG_FuelS6</vt:lpstr>
      <vt:lpstr>GHG_FuelS7</vt:lpstr>
      <vt:lpstr>GHG_FuelS8</vt:lpstr>
      <vt:lpstr>GHG_FuelS9</vt:lpstr>
      <vt:lpstr>GHG_FuelSort</vt:lpstr>
      <vt:lpstr>GHG_FuelType</vt:lpstr>
      <vt:lpstr>GHG_FuelTypeIndex</vt:lpstr>
      <vt:lpstr>GHG_LFG</vt:lpstr>
      <vt:lpstr>GHG_LFG_All</vt:lpstr>
      <vt:lpstr>GHG_LFG_F</vt:lpstr>
      <vt:lpstr>GHG_LFG_FC</vt:lpstr>
      <vt:lpstr>GHG_LFG_FS</vt:lpstr>
      <vt:lpstr>GHG_LFG_FU</vt:lpstr>
      <vt:lpstr>GHG_LFG1</vt:lpstr>
      <vt:lpstr>GHG_LFGC</vt:lpstr>
      <vt:lpstr>GHG_LFGS</vt:lpstr>
      <vt:lpstr>GHG_LFGU</vt:lpstr>
      <vt:lpstr>GHG_Link</vt:lpstr>
      <vt:lpstr>GHG_N20</vt:lpstr>
      <vt:lpstr>GHG_offgrid</vt:lpstr>
      <vt:lpstr>GHG_PC</vt:lpstr>
      <vt:lpstr>GHG_PC_C</vt:lpstr>
      <vt:lpstr>GHG_PC_S</vt:lpstr>
      <vt:lpstr>GHG_PC_U</vt:lpstr>
      <vt:lpstr>GHG_PC1</vt:lpstr>
      <vt:lpstr>GHG_POT</vt:lpstr>
      <vt:lpstr>GHG_POT_mem</vt:lpstr>
      <vt:lpstr>GHG_RadioButtons</vt:lpstr>
      <vt:lpstr>GHG_Ref_BC</vt:lpstr>
      <vt:lpstr>GHG_Ref_BC1</vt:lpstr>
      <vt:lpstr>GHG_Ref_PC</vt:lpstr>
      <vt:lpstr>GHG_Ref_PC1</vt:lpstr>
      <vt:lpstr>GHG_save1</vt:lpstr>
      <vt:lpstr>GHG_save2</vt:lpstr>
      <vt:lpstr>GHG_save3</vt:lpstr>
      <vt:lpstr>GHG_save4</vt:lpstr>
      <vt:lpstr>GHG_SBC1</vt:lpstr>
      <vt:lpstr>GHG_SPC1</vt:lpstr>
      <vt:lpstr>GHG_Type</vt:lpstr>
      <vt:lpstr>GHG_Types</vt:lpstr>
      <vt:lpstr>GHG_UBC1</vt:lpstr>
      <vt:lpstr>GHG_UPC1</vt:lpstr>
      <vt:lpstr>GHG_Value1</vt:lpstr>
      <vt:lpstr>GHG_Value2</vt:lpstr>
      <vt:lpstr>GHGType</vt:lpstr>
      <vt:lpstr>Gridtype</vt:lpstr>
      <vt:lpstr>GSCC_test</vt:lpstr>
      <vt:lpstr>GSCC1</vt:lpstr>
      <vt:lpstr>GWPRefrigerants</vt:lpstr>
      <vt:lpstr>HCF</vt:lpstr>
      <vt:lpstr>heat_list</vt:lpstr>
      <vt:lpstr>HeatingDesTempUnit</vt:lpstr>
      <vt:lpstr>HeightWindMeasurementUnit</vt:lpstr>
      <vt:lpstr>Hide_Cool</vt:lpstr>
      <vt:lpstr>Hide_CoolC</vt:lpstr>
      <vt:lpstr>Hide_fuel</vt:lpstr>
      <vt:lpstr>Hide_Heat</vt:lpstr>
      <vt:lpstr>Hide_HeatC</vt:lpstr>
      <vt:lpstr>Hide_Power</vt:lpstr>
      <vt:lpstr>Hide_PowerC</vt:lpstr>
      <vt:lpstr>Hide_RiskButton</vt:lpstr>
      <vt:lpstr>Hide_Tool_10</vt:lpstr>
      <vt:lpstr>Hide_Tool_11</vt:lpstr>
      <vt:lpstr>Hide_Tool_12</vt:lpstr>
      <vt:lpstr>Hide_Tool_13</vt:lpstr>
      <vt:lpstr>Hide_Tool_6</vt:lpstr>
      <vt:lpstr>Hide_Tool_7</vt:lpstr>
      <vt:lpstr>Hide_Tool_8</vt:lpstr>
      <vt:lpstr>Hide_Tool_9</vt:lpstr>
      <vt:lpstr>HideCA_cool</vt:lpstr>
      <vt:lpstr>HideCA_Cool_Back</vt:lpstr>
      <vt:lpstr>HideCA_Cool_ETS</vt:lpstr>
      <vt:lpstr>HideCA_Cool_Peak</vt:lpstr>
      <vt:lpstr>HideCA_CR</vt:lpstr>
      <vt:lpstr>HideCA_Custom</vt:lpstr>
      <vt:lpstr>HideCA_Custom_FDE</vt:lpstr>
      <vt:lpstr>HideCA_heat</vt:lpstr>
      <vt:lpstr>HideCA_Heat_Back</vt:lpstr>
      <vt:lpstr>HideCA_Heat_ETS</vt:lpstr>
      <vt:lpstr>HideCA_Heat_Int2</vt:lpstr>
      <vt:lpstr>HideCA_Heat_Peak</vt:lpstr>
      <vt:lpstr>HideCA_level1</vt:lpstr>
      <vt:lpstr>HideCA_Level1_AC</vt:lpstr>
      <vt:lpstr>HideCA_Level23</vt:lpstr>
      <vt:lpstr>HideCA_power</vt:lpstr>
      <vt:lpstr>HideCA_Power_Back</vt:lpstr>
      <vt:lpstr>HideCA_Power_Misc</vt:lpstr>
      <vt:lpstr>HideCA_Power_Peak</vt:lpstr>
      <vt:lpstr>HideCA_Standard</vt:lpstr>
      <vt:lpstr>HideCode_baseHeat</vt:lpstr>
      <vt:lpstr>HideCode_processHeat</vt:lpstr>
      <vt:lpstr>HideCode_projectType</vt:lpstr>
      <vt:lpstr>HideCode_projectType2</vt:lpstr>
      <vt:lpstr>HideCode_projectType3</vt:lpstr>
      <vt:lpstr>HideCodeCA</vt:lpstr>
      <vt:lpstr>HideCodeCA_BP</vt:lpstr>
      <vt:lpstr>HideCodeCA_cool</vt:lpstr>
      <vt:lpstr>HideCodeCA_Cool_ETS</vt:lpstr>
      <vt:lpstr>HideCodeCA_heat</vt:lpstr>
      <vt:lpstr>HideCodeCA_Heat_ETS</vt:lpstr>
      <vt:lpstr>HideCodeCA_HeatInt</vt:lpstr>
      <vt:lpstr>HideCodeCA_mem</vt:lpstr>
      <vt:lpstr>HideCodeCA_power</vt:lpstr>
      <vt:lpstr>HideCodeCA_Power_Misc</vt:lpstr>
      <vt:lpstr>HideCodeCA_PowerInt</vt:lpstr>
      <vt:lpstr>HideCodeCA_ProjectT</vt:lpstr>
      <vt:lpstr>HideCodeCA_SWH</vt:lpstr>
      <vt:lpstr>HideCodeEE_1</vt:lpstr>
      <vt:lpstr>HideCodeEE_2</vt:lpstr>
      <vt:lpstr>HideCodeEM_1</vt:lpstr>
      <vt:lpstr>HideCodeEM_2</vt:lpstr>
      <vt:lpstr>HideCodeEM_Heat_Int2</vt:lpstr>
      <vt:lpstr>HideCodeEM_Heat_Int2H</vt:lpstr>
      <vt:lpstr>HideCodeEM_Heat_Peak</vt:lpstr>
      <vt:lpstr>HideCodeEM_Power_Back</vt:lpstr>
      <vt:lpstr>HideCodeEM_Power_Peak</vt:lpstr>
      <vt:lpstr>HideCodeEM_PSS</vt:lpstr>
      <vt:lpstr>HideCodeES</vt:lpstr>
      <vt:lpstr>HideCodeES_Boiler1</vt:lpstr>
      <vt:lpstr>HideCodeES_Boiler2</vt:lpstr>
      <vt:lpstr>HideCodeES_Cool_BL</vt:lpstr>
      <vt:lpstr>HideCodeES_Cool_Fuel1</vt:lpstr>
      <vt:lpstr>HideCodeES_Cool_Fuel2</vt:lpstr>
      <vt:lpstr>HideCodeES_Cool_Peak</vt:lpstr>
      <vt:lpstr>HideCodeES_Cool_PL</vt:lpstr>
      <vt:lpstr>HideCodeES_DuctF1</vt:lpstr>
      <vt:lpstr>HideCodeES_DuctF2</vt:lpstr>
      <vt:lpstr>HideCodeES_Extract_GTCC1</vt:lpstr>
      <vt:lpstr>HideCodeES_Extract_GTCC2</vt:lpstr>
      <vt:lpstr>HideCodeES_Extract_ST1</vt:lpstr>
      <vt:lpstr>HideCodeES_Extract_ST2</vt:lpstr>
      <vt:lpstr>HideCodeES_Fuel1</vt:lpstr>
      <vt:lpstr>HideCodeES_Fuel2</vt:lpstr>
      <vt:lpstr>HideCodeES_HeatST1</vt:lpstr>
      <vt:lpstr>HideCodeES_HeatST2</vt:lpstr>
      <vt:lpstr>HideCodeES_HSS</vt:lpstr>
      <vt:lpstr>HideCodeES_mem</vt:lpstr>
      <vt:lpstr>HideCodeES_OPS</vt:lpstr>
      <vt:lpstr>HideCodeES_OPS1</vt:lpstr>
      <vt:lpstr>HideCodeES_OPS2</vt:lpstr>
      <vt:lpstr>HideCodeES_OS_Heat</vt:lpstr>
      <vt:lpstr>HideCodeES_PowerST1</vt:lpstr>
      <vt:lpstr>HideCodeES_PowerST2</vt:lpstr>
      <vt:lpstr>HideCodeES_Proj1</vt:lpstr>
      <vt:lpstr>HideCodeES_PSS</vt:lpstr>
      <vt:lpstr>HideCodeGHG</vt:lpstr>
      <vt:lpstr>HideCodeGHG_elect</vt:lpstr>
      <vt:lpstr>HideCodeGHG_grid</vt:lpstr>
      <vt:lpstr>HideCodeGHG_mem</vt:lpstr>
      <vt:lpstr>HideCodeLN_Cool_CM</vt:lpstr>
      <vt:lpstr>HideCodeLN_Cool_Heat</vt:lpstr>
      <vt:lpstr>HideCodeLN_Cool_Power</vt:lpstr>
      <vt:lpstr>HideCodeLN_CPT</vt:lpstr>
      <vt:lpstr>HideCodeLN_Heat_CM</vt:lpstr>
      <vt:lpstr>HideCodeLN_HeatCT</vt:lpstr>
      <vt:lpstr>HideCodeLN_HPT</vt:lpstr>
      <vt:lpstr>HideCodeLN_MonthlyCP</vt:lpstr>
      <vt:lpstr>HideCodeLN_MonthlyHP</vt:lpstr>
      <vt:lpstr>HideCodeLN_Power</vt:lpstr>
      <vt:lpstr>HideCodeLN_Power_GT</vt:lpstr>
      <vt:lpstr>HideEM_AEP</vt:lpstr>
      <vt:lpstr>HideEM_AEP1</vt:lpstr>
      <vt:lpstr>HideEM_all</vt:lpstr>
      <vt:lpstr>HideEM_Cool_base</vt:lpstr>
      <vt:lpstr>HideEM_Cool_peak</vt:lpstr>
      <vt:lpstr>HideEM_graph_all</vt:lpstr>
      <vt:lpstr>HideEM_graph_CP</vt:lpstr>
      <vt:lpstr>HideEM_graph_HI</vt:lpstr>
      <vt:lpstr>HideEM_graph_HI2</vt:lpstr>
      <vt:lpstr>HideEM_graph_HP</vt:lpstr>
      <vt:lpstr>HideEM_graph_PI</vt:lpstr>
      <vt:lpstr>HideEM_graph_PP</vt:lpstr>
      <vt:lpstr>HideEM_Heat_Base</vt:lpstr>
      <vt:lpstr>HideEM_Heat_graph_Int2</vt:lpstr>
      <vt:lpstr>HideEM_Heat_Int</vt:lpstr>
      <vt:lpstr>HideEM_Heat_Int2</vt:lpstr>
      <vt:lpstr>HideEM_Heat_Int2H</vt:lpstr>
      <vt:lpstr>HideEM_Heat_Peak</vt:lpstr>
      <vt:lpstr>HideEM_Heat_PI2</vt:lpstr>
      <vt:lpstr>HideEM_OS_boarder</vt:lpstr>
      <vt:lpstr>HideEM_Power_base</vt:lpstr>
      <vt:lpstr>HideEM_Power_Int</vt:lpstr>
      <vt:lpstr>HideEM_Power_Peak</vt:lpstr>
      <vt:lpstr>HideEM_Power_Peak_grid</vt:lpstr>
      <vt:lpstr>HideEM_SysC</vt:lpstr>
      <vt:lpstr>HideES_all</vt:lpstr>
      <vt:lpstr>HideES_Boiler1</vt:lpstr>
      <vt:lpstr>HideES_Boiler2</vt:lpstr>
      <vt:lpstr>HideES_cool</vt:lpstr>
      <vt:lpstr>HIdeES_Cool_BL</vt:lpstr>
      <vt:lpstr>HideES_Cool_FreeBL</vt:lpstr>
      <vt:lpstr>HideES_Cool_FreePL</vt:lpstr>
      <vt:lpstr>HideES_Cool_Fuel1</vt:lpstr>
      <vt:lpstr>HideES_Cool_Fuel2</vt:lpstr>
      <vt:lpstr>HideES_Cool_only</vt:lpstr>
      <vt:lpstr>HideES_Cool_Peak</vt:lpstr>
      <vt:lpstr>HIdeES_Cool_PL</vt:lpstr>
      <vt:lpstr>HideES_DuctF1</vt:lpstr>
      <vt:lpstr>HideES_DuctF2</vt:lpstr>
      <vt:lpstr>HideES_Extract_GTCC1</vt:lpstr>
      <vt:lpstr>HideES_Extract_GTCC2</vt:lpstr>
      <vt:lpstr>HideES_Extract_ST1</vt:lpstr>
      <vt:lpstr>HideES_Extract_ST2</vt:lpstr>
      <vt:lpstr>HideES_Fuel1</vt:lpstr>
      <vt:lpstr>HideES_Fuel1_all</vt:lpstr>
      <vt:lpstr>HideES_Fuel1P_all</vt:lpstr>
      <vt:lpstr>HideES_Fuel2</vt:lpstr>
      <vt:lpstr>HideES_Fuel2_all</vt:lpstr>
      <vt:lpstr>HideES_Fuel2P_all</vt:lpstr>
      <vt:lpstr>HideES_Fuel3P_all</vt:lpstr>
      <vt:lpstr>HideES_FuelC</vt:lpstr>
      <vt:lpstr>HideES_fuelCalcM</vt:lpstr>
      <vt:lpstr>HideES_fuelCalcP</vt:lpstr>
      <vt:lpstr>HideES_Fuelcell</vt:lpstr>
      <vt:lpstr>HideES_Fuelcell1</vt:lpstr>
      <vt:lpstr>HideES_Fuelcell2</vt:lpstr>
      <vt:lpstr>HideES_FuelP2</vt:lpstr>
      <vt:lpstr>HideES_FuelS1</vt:lpstr>
      <vt:lpstr>HideES_FuelS2</vt:lpstr>
      <vt:lpstr>HideES_fuelSelect</vt:lpstr>
      <vt:lpstr>HideES_FuelSP2</vt:lpstr>
      <vt:lpstr>HideES_Generic</vt:lpstr>
      <vt:lpstr>HideES_Geo</vt:lpstr>
      <vt:lpstr>HideES_Geo1</vt:lpstr>
      <vt:lpstr>HideES_Geo2</vt:lpstr>
      <vt:lpstr>HideES_Graph_3</vt:lpstr>
      <vt:lpstr>HideES_Graph_5</vt:lpstr>
      <vt:lpstr>HideES_Graph_6</vt:lpstr>
      <vt:lpstr>HideES_Graph_7</vt:lpstr>
      <vt:lpstr>HideES_GT</vt:lpstr>
      <vt:lpstr>HideES_GT1</vt:lpstr>
      <vt:lpstr>HideES_GT2</vt:lpstr>
      <vt:lpstr>HideES_GTCC</vt:lpstr>
      <vt:lpstr>HideES_GTCC1</vt:lpstr>
      <vt:lpstr>HideES_GTCC2</vt:lpstr>
      <vt:lpstr>HideES_Heat</vt:lpstr>
      <vt:lpstr>HideES_heat1</vt:lpstr>
      <vt:lpstr>HideES_heat11</vt:lpstr>
      <vt:lpstr>HideES_heat12</vt:lpstr>
      <vt:lpstr>HideES_heat2</vt:lpstr>
      <vt:lpstr>HideES_heat21</vt:lpstr>
      <vt:lpstr>HideES_heat22</vt:lpstr>
      <vt:lpstr>HideES_heatBase</vt:lpstr>
      <vt:lpstr>HideES_heatBaseAll</vt:lpstr>
      <vt:lpstr>HideES_HeatO1</vt:lpstr>
      <vt:lpstr>HideES_HeatO1_all</vt:lpstr>
      <vt:lpstr>HideES_HeatO1_SAH</vt:lpstr>
      <vt:lpstr>HideES_Hydro1</vt:lpstr>
      <vt:lpstr>HideES_Hydro1_F</vt:lpstr>
      <vt:lpstr>HideES_Hydro1_Q</vt:lpstr>
      <vt:lpstr>HideES_Hydro1QF</vt:lpstr>
      <vt:lpstr>HideES_Hydro2</vt:lpstr>
      <vt:lpstr>HideES_Mon1</vt:lpstr>
      <vt:lpstr>HideES_Mon2</vt:lpstr>
      <vt:lpstr>HideES_MonP2</vt:lpstr>
      <vt:lpstr>HideES_Ocean1</vt:lpstr>
      <vt:lpstr>HideES_Ocean2</vt:lpstr>
      <vt:lpstr>HideES_OS_CHP1</vt:lpstr>
      <vt:lpstr>HideES_OS_CHP2</vt:lpstr>
      <vt:lpstr>HideES_OS_GTCC_CHP1</vt:lpstr>
      <vt:lpstr>HideES_OS_GTCC_CHP2</vt:lpstr>
      <vt:lpstr>HideES_OS_GTCC_P1</vt:lpstr>
      <vt:lpstr>HideES_OS_GTCC_P2</vt:lpstr>
      <vt:lpstr>HideES_OS_P1</vt:lpstr>
      <vt:lpstr>HideES_OS_P2</vt:lpstr>
      <vt:lpstr>HideES_OS_ST_CHP1</vt:lpstr>
      <vt:lpstr>HideES_OS_ST_CHP2</vt:lpstr>
      <vt:lpstr>HideES_OS_ST_P1</vt:lpstr>
      <vt:lpstr>HideES_OS_ST_P2</vt:lpstr>
      <vt:lpstr>HideES_Other1</vt:lpstr>
      <vt:lpstr>HideES_Other2</vt:lpstr>
      <vt:lpstr>HideES_Per1</vt:lpstr>
      <vt:lpstr>HideES_Per2</vt:lpstr>
      <vt:lpstr>HideES_Photo_SolarData</vt:lpstr>
      <vt:lpstr>HideES_Photo1</vt:lpstr>
      <vt:lpstr>HideES_Photo2</vt:lpstr>
      <vt:lpstr>HideES_Power</vt:lpstr>
      <vt:lpstr>HideES_Power1</vt:lpstr>
      <vt:lpstr>HideES_Power2</vt:lpstr>
      <vt:lpstr>HideES_PV_DLC</vt:lpstr>
      <vt:lpstr>HideES_PV1_F</vt:lpstr>
      <vt:lpstr>HideES_PV1_Q</vt:lpstr>
      <vt:lpstr>HideES_PV1QF</vt:lpstr>
      <vt:lpstr>HideES_recip1</vt:lpstr>
      <vt:lpstr>HideES_recip2</vt:lpstr>
      <vt:lpstr>HideES_Steam1</vt:lpstr>
      <vt:lpstr>HideES_Steam2</vt:lpstr>
      <vt:lpstr>HideES_STP1</vt:lpstr>
      <vt:lpstr>HideES_STP2</vt:lpstr>
      <vt:lpstr>HideES_Syst1</vt:lpstr>
      <vt:lpstr>HideES_Syst2</vt:lpstr>
      <vt:lpstr>HideES_Tidal1</vt:lpstr>
      <vt:lpstr>HideES_Tidal2</vt:lpstr>
      <vt:lpstr>HideES_Wave1</vt:lpstr>
      <vt:lpstr>HideES_Wave2</vt:lpstr>
      <vt:lpstr>HideES_Wind_data</vt:lpstr>
      <vt:lpstr>HideES_Wind1</vt:lpstr>
      <vt:lpstr>HideES_Wind1_AWS</vt:lpstr>
      <vt:lpstr>HideES_Wind1_C</vt:lpstr>
      <vt:lpstr>HideES_Wind1_D1</vt:lpstr>
      <vt:lpstr>HideES_Wind1_D1F</vt:lpstr>
      <vt:lpstr>HideES_Wind1_ECD</vt:lpstr>
      <vt:lpstr>HideES_Wind1_F</vt:lpstr>
      <vt:lpstr>HideES_Wind1_Q</vt:lpstr>
      <vt:lpstr>HideES_Wind1_S</vt:lpstr>
      <vt:lpstr>HideES_Wind1_temp</vt:lpstr>
      <vt:lpstr>HideES_Wind1QF</vt:lpstr>
      <vt:lpstr>HideES_Wind2</vt:lpstr>
      <vt:lpstr>HideGHG_All</vt:lpstr>
      <vt:lpstr>HideGHG_BaseLine</vt:lpstr>
      <vt:lpstr>HideGHG_custom</vt:lpstr>
      <vt:lpstr>HideGHG_custom_OG</vt:lpstr>
      <vt:lpstr>HideGHG_custom_OGEM</vt:lpstr>
      <vt:lpstr>HideGHG_elect</vt:lpstr>
      <vt:lpstr>HideGHG_Grid</vt:lpstr>
      <vt:lpstr>HideGHG_Standard</vt:lpstr>
      <vt:lpstr>HideGHG_Standard_OG</vt:lpstr>
      <vt:lpstr>HideGHG_Standard_OGEM</vt:lpstr>
      <vt:lpstr>HideGHG_Userdefined</vt:lpstr>
      <vt:lpstr>HideGHG_Userdefined_OG</vt:lpstr>
      <vt:lpstr>HideGHG_Userdefined_OGEM</vt:lpstr>
      <vt:lpstr>HideLN_all</vt:lpstr>
      <vt:lpstr>HideLN_Cool</vt:lpstr>
      <vt:lpstr>HideLN_Cool_all</vt:lpstr>
      <vt:lpstr>hideLN_Cool_Eall</vt:lpstr>
      <vt:lpstr>hideLN_Cool_MP_Edet</vt:lpstr>
      <vt:lpstr>hideLN_Cool_MP_Estd</vt:lpstr>
      <vt:lpstr>hideLN_Cool_SP_Edet</vt:lpstr>
      <vt:lpstr>hideLN_Cool_SP_Estd</vt:lpstr>
      <vt:lpstr>HideLN_CoolCM_All</vt:lpstr>
      <vt:lpstr>HideLN_CoolCM_DD</vt:lpstr>
      <vt:lpstr>HideLN_CoolCM_DI</vt:lpstr>
      <vt:lpstr>HideLN_CoolCM_FD</vt:lpstr>
      <vt:lpstr>HideLN_CoolCM_FI</vt:lpstr>
      <vt:lpstr>HideLN_CoolMP</vt:lpstr>
      <vt:lpstr>HideLN_CoolMS</vt:lpstr>
      <vt:lpstr>HideLN_CoolMSP</vt:lpstr>
      <vt:lpstr>HideLN_CoolSP</vt:lpstr>
      <vt:lpstr>HideLN_CoolSPZ</vt:lpstr>
      <vt:lpstr>HideLN_CoolSS</vt:lpstr>
      <vt:lpstr>HideLN_CoolSSP</vt:lpstr>
      <vt:lpstr>HideLN_CoolSSPZ</vt:lpstr>
      <vt:lpstr>HideLN_CoolSSZ</vt:lpstr>
      <vt:lpstr>HideLN_fuelC</vt:lpstr>
      <vt:lpstr>HideLN_Graph_1</vt:lpstr>
      <vt:lpstr>HideLN_Graph_2</vt:lpstr>
      <vt:lpstr>HideLN_Graph_3</vt:lpstr>
      <vt:lpstr>HideLN_Graph_4</vt:lpstr>
      <vt:lpstr>HideLN_Graph_5</vt:lpstr>
      <vt:lpstr>HideLN_Graph_6</vt:lpstr>
      <vt:lpstr>HideLN_Graph_7</vt:lpstr>
      <vt:lpstr>HideLN_Heat</vt:lpstr>
      <vt:lpstr>HideLN_Heat_all</vt:lpstr>
      <vt:lpstr>HideLN_Heat_Eall</vt:lpstr>
      <vt:lpstr>HideLN_Heat_MP_Edet</vt:lpstr>
      <vt:lpstr>HideLN_Heat_MP_Estd</vt:lpstr>
      <vt:lpstr>HideLN_Heat_SP_Edet</vt:lpstr>
      <vt:lpstr>HideLN_Heat_SP_EStd</vt:lpstr>
      <vt:lpstr>HideLN_HeatCM_all</vt:lpstr>
      <vt:lpstr>HideLN_HeatDD</vt:lpstr>
      <vt:lpstr>HideLN_HeatDI</vt:lpstr>
      <vt:lpstr>HideLN_HeatFD</vt:lpstr>
      <vt:lpstr>HideLN_HeatFI</vt:lpstr>
      <vt:lpstr>HideLN_HeatMP</vt:lpstr>
      <vt:lpstr>HideLN_HeatMS</vt:lpstr>
      <vt:lpstr>HideLN_HeatMSP</vt:lpstr>
      <vt:lpstr>HideLN_HeatSP</vt:lpstr>
      <vt:lpstr>HideLN_HeatSPZ</vt:lpstr>
      <vt:lpstr>HideLN_HeatSS</vt:lpstr>
      <vt:lpstr>HideLN_HeatSSP</vt:lpstr>
      <vt:lpstr>HideLN_HeatSSPZ</vt:lpstr>
      <vt:lpstr>HideLN_HeatSSZ</vt:lpstr>
      <vt:lpstr>HideLN_LC</vt:lpstr>
      <vt:lpstr>HideLN_LC_All</vt:lpstr>
      <vt:lpstr>HideLN_LC_CL</vt:lpstr>
      <vt:lpstr>HideLN_LC_CP</vt:lpstr>
      <vt:lpstr>HideLN_LC_HC</vt:lpstr>
      <vt:lpstr>HideLN_LC_HL</vt:lpstr>
      <vt:lpstr>HideLN_LC_HP</vt:lpstr>
      <vt:lpstr>HideLN_LC_P</vt:lpstr>
      <vt:lpstr>HideLN_LC_PC</vt:lpstr>
      <vt:lpstr>HideLN_LC_PGR</vt:lpstr>
      <vt:lpstr>HideLN_LC_PL</vt:lpstr>
      <vt:lpstr>HideLN_MonthlyCP</vt:lpstr>
      <vt:lpstr>HideLN_PCool1</vt:lpstr>
      <vt:lpstr>HideLN_PCool2</vt:lpstr>
      <vt:lpstr>HideLN_PCoolReturn</vt:lpstr>
      <vt:lpstr>HideLN_PHeat1</vt:lpstr>
      <vt:lpstr>HideLN_PHeat2</vt:lpstr>
      <vt:lpstr>HideLN_PHeatReturn</vt:lpstr>
      <vt:lpstr>HideLN_PLC</vt:lpstr>
      <vt:lpstr>HideLN_Power_all</vt:lpstr>
      <vt:lpstr>HideLN_Power_GT1</vt:lpstr>
      <vt:lpstr>HideLN_Power_GT2</vt:lpstr>
      <vt:lpstr>HideLN_Power_GT3</vt:lpstr>
      <vt:lpstr>HideLN_Power_GT4</vt:lpstr>
      <vt:lpstr>HideLN_Process</vt:lpstr>
      <vt:lpstr>HideLN_PT_heat</vt:lpstr>
      <vt:lpstr>HideS_all</vt:lpstr>
      <vt:lpstr>HideS_NPV</vt:lpstr>
      <vt:lpstr>HideS_risk</vt:lpstr>
      <vt:lpstr>HideS_sens</vt:lpstr>
      <vt:lpstr>HideS_SensParam</vt:lpstr>
      <vt:lpstr>HideT_11</vt:lpstr>
      <vt:lpstr>HideT_12</vt:lpstr>
      <vt:lpstr>HideT_13</vt:lpstr>
      <vt:lpstr>HideT_14</vt:lpstr>
      <vt:lpstr>HideT_15</vt:lpstr>
      <vt:lpstr>HideT_16</vt:lpstr>
      <vt:lpstr>HideT_all</vt:lpstr>
      <vt:lpstr>HideT_ColdClimate_Index</vt:lpstr>
      <vt:lpstr>HideT_Fuel</vt:lpstr>
      <vt:lpstr>HideT_FuelC</vt:lpstr>
      <vt:lpstr>HideT_FuelC2</vt:lpstr>
      <vt:lpstr>HideT_Gas</vt:lpstr>
      <vt:lpstr>HideT_GT</vt:lpstr>
      <vt:lpstr>HideT_Hydro_Canal</vt:lpstr>
      <vt:lpstr>HideT_Hydro_Canal_Index</vt:lpstr>
      <vt:lpstr>HideT_Hydro_Country</vt:lpstr>
      <vt:lpstr>HideT_Hydro_Country_1</vt:lpstr>
      <vt:lpstr>HideT_Hydro_Country_Index</vt:lpstr>
      <vt:lpstr>HideT_Hydro_Micro_Index</vt:lpstr>
      <vt:lpstr>HideT_Hydro_Open</vt:lpstr>
      <vt:lpstr>HideT_Hydro_Open_1</vt:lpstr>
      <vt:lpstr>HideT_Hydro_Penstock</vt:lpstr>
      <vt:lpstr>HideT_Hydro_Penstock_Index</vt:lpstr>
      <vt:lpstr>HideT_Hydro_Road</vt:lpstr>
      <vt:lpstr>HideT_Hydro_Road_Index</vt:lpstr>
      <vt:lpstr>HideT_Hydro_tunnel</vt:lpstr>
      <vt:lpstr>HideT_Hydro_tunnel_index</vt:lpstr>
      <vt:lpstr>HideT_Hydro_Tunnel_Index_1</vt:lpstr>
      <vt:lpstr>HideT_HydroMicro</vt:lpstr>
      <vt:lpstr>HideT_PLC</vt:lpstr>
      <vt:lpstr>HideT_Rate</vt:lpstr>
      <vt:lpstr>HideT_Solid</vt:lpstr>
      <vt:lpstr>HideTool_Code</vt:lpstr>
      <vt:lpstr>HideTool_GHX</vt:lpstr>
      <vt:lpstr>HideTool_GHX_index</vt:lpstr>
      <vt:lpstr>HLNCurrencyCells</vt:lpstr>
      <vt:lpstr>HubHeightWind1</vt:lpstr>
      <vt:lpstr>Hum_Jan</vt:lpstr>
      <vt:lpstr>HydroGaugeName</vt:lpstr>
      <vt:lpstr>HypCooling1</vt:lpstr>
      <vt:lpstr>HypCooling2</vt:lpstr>
      <vt:lpstr>HypHeat1</vt:lpstr>
      <vt:lpstr>HypHeat2</vt:lpstr>
      <vt:lpstr>HypHeat3</vt:lpstr>
      <vt:lpstr>HypHeat4</vt:lpstr>
      <vt:lpstr>HypHydro1</vt:lpstr>
      <vt:lpstr>HypHydro2</vt:lpstr>
      <vt:lpstr>HypPower1</vt:lpstr>
      <vt:lpstr>HypPower10</vt:lpstr>
      <vt:lpstr>HypPower11</vt:lpstr>
      <vt:lpstr>HypPower12</vt:lpstr>
      <vt:lpstr>HypPower13</vt:lpstr>
      <vt:lpstr>HypPower14</vt:lpstr>
      <vt:lpstr>HypPower15</vt:lpstr>
      <vt:lpstr>HypPower16</vt:lpstr>
      <vt:lpstr>HypPower17</vt:lpstr>
      <vt:lpstr>HypPower18</vt:lpstr>
      <vt:lpstr>HypPower19</vt:lpstr>
      <vt:lpstr>HypPower2</vt:lpstr>
      <vt:lpstr>HypPower20</vt:lpstr>
      <vt:lpstr>HypPower21</vt:lpstr>
      <vt:lpstr>HypPower22</vt:lpstr>
      <vt:lpstr>HypPower23</vt:lpstr>
      <vt:lpstr>HypPower24</vt:lpstr>
      <vt:lpstr>HypPower25</vt:lpstr>
      <vt:lpstr>HypPower26</vt:lpstr>
      <vt:lpstr>HypPower27</vt:lpstr>
      <vt:lpstr>HypPower28</vt:lpstr>
      <vt:lpstr>HypPower3</vt:lpstr>
      <vt:lpstr>HypPower4</vt:lpstr>
      <vt:lpstr>HypPower5</vt:lpstr>
      <vt:lpstr>HypPower6</vt:lpstr>
      <vt:lpstr>HypPower7</vt:lpstr>
      <vt:lpstr>HypPower8</vt:lpstr>
      <vt:lpstr>HypPower9</vt:lpstr>
      <vt:lpstr>HypPV1</vt:lpstr>
      <vt:lpstr>HypWind1</vt:lpstr>
      <vt:lpstr>'Análise Financeira'!Inf_R</vt:lpstr>
      <vt:lpstr>'Análise Financeira'!Init_costs</vt:lpstr>
      <vt:lpstr>Lang_Airsource</vt:lpstr>
      <vt:lpstr>Lang_Browse</vt:lpstr>
      <vt:lpstr>lang_Canada2004</vt:lpstr>
      <vt:lpstr>Lang_Cancel</vt:lpstr>
      <vt:lpstr>Lang_CaseStudies</vt:lpstr>
      <vt:lpstr>Lang_Centrifugal</vt:lpstr>
      <vt:lpstr>Lang_Compr</vt:lpstr>
      <vt:lpstr>Lang_Continent</vt:lpstr>
      <vt:lpstr>Lang_cost1</vt:lpstr>
      <vt:lpstr>Lang_cost2</vt:lpstr>
      <vt:lpstr>Lang_Cost3</vt:lpstr>
      <vt:lpstr>Lang_Cost4</vt:lpstr>
      <vt:lpstr>Lang_Country</vt:lpstr>
      <vt:lpstr>lang_cr_none</vt:lpstr>
      <vt:lpstr>Lang_Cur1</vt:lpstr>
      <vt:lpstr>Lang_Cur3</vt:lpstr>
      <vt:lpstr>Lang_Currency</vt:lpstr>
      <vt:lpstr>Lang_CurString</vt:lpstr>
      <vt:lpstr>Lang_data</vt:lpstr>
      <vt:lpstr>Lang_datatest</vt:lpstr>
      <vt:lpstr>Lang_DecCenter</vt:lpstr>
      <vt:lpstr>Lang_EM1</vt:lpstr>
      <vt:lpstr>Lang_EM2</vt:lpstr>
      <vt:lpstr>Lang_EM3</vt:lpstr>
      <vt:lpstr>Lang_EM4</vt:lpstr>
      <vt:lpstr>Lang_ES_Biosys</vt:lpstr>
      <vt:lpstr>Lang_ES_HeatPump</vt:lpstr>
      <vt:lpstr>Lang_ES_Photov</vt:lpstr>
      <vt:lpstr>Lang_ES_Wind</vt:lpstr>
      <vt:lpstr>Lang_eText</vt:lpstr>
      <vt:lpstr>Lang_EU</vt:lpstr>
      <vt:lpstr>Lang_FileLoc</vt:lpstr>
      <vt:lpstr>Lang_formula</vt:lpstr>
      <vt:lpstr>Lang_Forums</vt:lpstr>
      <vt:lpstr>Lang_fuel</vt:lpstr>
      <vt:lpstr>Lang_Furnace</vt:lpstr>
      <vt:lpstr>Lang_geothermal</vt:lpstr>
      <vt:lpstr>Lang_GoalSeek</vt:lpstr>
      <vt:lpstr>Lang_Groundsource</vt:lpstr>
      <vt:lpstr>Lang_HelpBtn</vt:lpstr>
      <vt:lpstr>Lang_HVU</vt:lpstr>
      <vt:lpstr>Lang_Market</vt:lpstr>
      <vt:lpstr>Lang_MenuName</vt:lpstr>
      <vt:lpstr>Lang_mon</vt:lpstr>
      <vt:lpstr>lang_no</vt:lpstr>
      <vt:lpstr>Lang_OnTheWeb</vt:lpstr>
      <vt:lpstr>Lang_Other</vt:lpstr>
      <vt:lpstr>Lang_ProductBtn</vt:lpstr>
      <vt:lpstr>Lang_Reciprocating</vt:lpstr>
      <vt:lpstr>Lang_RefrigSyst</vt:lpstr>
      <vt:lpstr>Lang_Screw</vt:lpstr>
      <vt:lpstr>Lang_Scroll</vt:lpstr>
      <vt:lpstr>Lang_SteamTurb</vt:lpstr>
      <vt:lpstr>Lang_Switch</vt:lpstr>
      <vt:lpstr>Lang_ThermoFluid</vt:lpstr>
      <vt:lpstr>Lang_ToolBarName</vt:lpstr>
      <vt:lpstr>Lang_TrainSup</vt:lpstr>
      <vt:lpstr>Lang_Unit</vt:lpstr>
      <vt:lpstr>Lang_WeatherBtn</vt:lpstr>
      <vt:lpstr>lang_yes</vt:lpstr>
      <vt:lpstr>Lang_yr</vt:lpstr>
      <vt:lpstr>Lang_ZoomIn</vt:lpstr>
      <vt:lpstr>Lang_ZoomOut</vt:lpstr>
      <vt:lpstr>LangIndex</vt:lpstr>
      <vt:lpstr>Latitude</vt:lpstr>
      <vt:lpstr>LatitudeUnit</vt:lpstr>
      <vt:lpstr>Link_CA_Start</vt:lpstr>
      <vt:lpstr>Link_EM_Start</vt:lpstr>
      <vt:lpstr>Link_ES_Start</vt:lpstr>
      <vt:lpstr>Link_FS_Start</vt:lpstr>
      <vt:lpstr>Link_GHG</vt:lpstr>
      <vt:lpstr>Link_GHG_Start</vt:lpstr>
      <vt:lpstr>Link_GHG2_Start</vt:lpstr>
      <vt:lpstr>Link_LN_Cool</vt:lpstr>
      <vt:lpstr>Link_LN_CoolP</vt:lpstr>
      <vt:lpstr>Link_LN_Heat</vt:lpstr>
      <vt:lpstr>Link_LN_HeatP</vt:lpstr>
      <vt:lpstr>Link_LN_start</vt:lpstr>
      <vt:lpstr>Link_M_Start</vt:lpstr>
      <vt:lpstr>Link_S_Start</vt:lpstr>
      <vt:lpstr>List_Translation</vt:lpstr>
      <vt:lpstr>LN_1</vt:lpstr>
      <vt:lpstr>LN_2</vt:lpstr>
      <vt:lpstr>LN_Antarctica</vt:lpstr>
      <vt:lpstr>LN_Asia</vt:lpstr>
      <vt:lpstr>LN_CapacityUnit</vt:lpstr>
      <vt:lpstr>LN_CDD</vt:lpstr>
      <vt:lpstr>LN_coolsystem</vt:lpstr>
      <vt:lpstr>LN_CostcellsC</vt:lpstr>
      <vt:lpstr>LN_CostcellsH</vt:lpstr>
      <vt:lpstr>LN_CostcellsP</vt:lpstr>
      <vt:lpstr>LN_DI</vt:lpstr>
      <vt:lpstr>LN_DN150</vt:lpstr>
      <vt:lpstr>LN_FD</vt:lpstr>
      <vt:lpstr>LN_Fuel_offgrid</vt:lpstr>
      <vt:lpstr>LN_FuelList</vt:lpstr>
      <vt:lpstr>LN_GridType</vt:lpstr>
      <vt:lpstr>LN_HDD</vt:lpstr>
      <vt:lpstr>LN_heatsystem</vt:lpstr>
      <vt:lpstr>LN_link</vt:lpstr>
      <vt:lpstr>LN_link2</vt:lpstr>
      <vt:lpstr>ln_PipesDropDown</vt:lpstr>
      <vt:lpstr>LN_power_check</vt:lpstr>
      <vt:lpstr>LN_SA</vt:lpstr>
      <vt:lpstr>LN_SD</vt:lpstr>
      <vt:lpstr>LN_SPPL</vt:lpstr>
      <vt:lpstr>LN_SWP</vt:lpstr>
      <vt:lpstr>LN_total_CDD</vt:lpstr>
      <vt:lpstr>LN_total_HDD</vt:lpstr>
      <vt:lpstr>LN_zero</vt:lpstr>
      <vt:lpstr>LogoPartners</vt:lpstr>
      <vt:lpstr>LogoRets</vt:lpstr>
      <vt:lpstr>Longitude</vt:lpstr>
      <vt:lpstr>LongitudeUnit</vt:lpstr>
      <vt:lpstr>M_ControlMethod</vt:lpstr>
      <vt:lpstr>M_Cost1</vt:lpstr>
      <vt:lpstr>M_Cost2</vt:lpstr>
      <vt:lpstr>M_Cost3</vt:lpstr>
      <vt:lpstr>M_Cost4</vt:lpstr>
      <vt:lpstr>M_Cost5</vt:lpstr>
      <vt:lpstr>M_Cost6</vt:lpstr>
      <vt:lpstr>M_CostA</vt:lpstr>
      <vt:lpstr>M_currency1</vt:lpstr>
      <vt:lpstr>M_currency2</vt:lpstr>
      <vt:lpstr>M_GHG1</vt:lpstr>
      <vt:lpstr>M_GHG2</vt:lpstr>
      <vt:lpstr>M_GHG3</vt:lpstr>
      <vt:lpstr>M_GHG4</vt:lpstr>
      <vt:lpstr>ManuCooling1</vt:lpstr>
      <vt:lpstr>ManuCooling2</vt:lpstr>
      <vt:lpstr>ManuHeat1</vt:lpstr>
      <vt:lpstr>ManuHeat2</vt:lpstr>
      <vt:lpstr>ManuHeat3</vt:lpstr>
      <vt:lpstr>ManuHeat4</vt:lpstr>
      <vt:lpstr>ManuHydro1</vt:lpstr>
      <vt:lpstr>ManuPower1</vt:lpstr>
      <vt:lpstr>ManuPower10</vt:lpstr>
      <vt:lpstr>ManuPower11</vt:lpstr>
      <vt:lpstr>ManuPower12</vt:lpstr>
      <vt:lpstr>ManuPower13</vt:lpstr>
      <vt:lpstr>ManuPower14</vt:lpstr>
      <vt:lpstr>ManuPower15</vt:lpstr>
      <vt:lpstr>ManuPower16</vt:lpstr>
      <vt:lpstr>ManuPower17</vt:lpstr>
      <vt:lpstr>ManuPower18</vt:lpstr>
      <vt:lpstr>ManuPower19</vt:lpstr>
      <vt:lpstr>ManuPower2</vt:lpstr>
      <vt:lpstr>ManuPower20</vt:lpstr>
      <vt:lpstr>ManuPower21</vt:lpstr>
      <vt:lpstr>ManuPower22</vt:lpstr>
      <vt:lpstr>ManuPower23</vt:lpstr>
      <vt:lpstr>ManuPower24</vt:lpstr>
      <vt:lpstr>ManuPower25</vt:lpstr>
      <vt:lpstr>ManuPower26</vt:lpstr>
      <vt:lpstr>ManuPower27</vt:lpstr>
      <vt:lpstr>ManuPower28</vt:lpstr>
      <vt:lpstr>ManuPower3</vt:lpstr>
      <vt:lpstr>ManuPower4</vt:lpstr>
      <vt:lpstr>ManuPower5</vt:lpstr>
      <vt:lpstr>ManuPower6</vt:lpstr>
      <vt:lpstr>ManuPower7</vt:lpstr>
      <vt:lpstr>ManuPower8</vt:lpstr>
      <vt:lpstr>ManuPower9</vt:lpstr>
      <vt:lpstr>ManuWind1</vt:lpstr>
      <vt:lpstr>MeanGroundTemp_Jan</vt:lpstr>
      <vt:lpstr>meanGroundTempUnit</vt:lpstr>
      <vt:lpstr>MinBatTemp</vt:lpstr>
      <vt:lpstr>ModEff</vt:lpstr>
      <vt:lpstr>ModEff1</vt:lpstr>
      <vt:lpstr>ModEff2</vt:lpstr>
      <vt:lpstr>ModEffIndexA</vt:lpstr>
      <vt:lpstr>ModelCooling1</vt:lpstr>
      <vt:lpstr>ModelCooling2</vt:lpstr>
      <vt:lpstr>ModelHeat1</vt:lpstr>
      <vt:lpstr>ModelHeat2</vt:lpstr>
      <vt:lpstr>ModelHeat3</vt:lpstr>
      <vt:lpstr>ModelHeat4</vt:lpstr>
      <vt:lpstr>ModelHydro1</vt:lpstr>
      <vt:lpstr>ModelPower1</vt:lpstr>
      <vt:lpstr>ModelPower10</vt:lpstr>
      <vt:lpstr>ModelPower11</vt:lpstr>
      <vt:lpstr>ModelPower12</vt:lpstr>
      <vt:lpstr>ModelPower13</vt:lpstr>
      <vt:lpstr>ModelPower14</vt:lpstr>
      <vt:lpstr>ModelPower15</vt:lpstr>
      <vt:lpstr>ModelPower16</vt:lpstr>
      <vt:lpstr>ModelPower17</vt:lpstr>
      <vt:lpstr>ModelPower18</vt:lpstr>
      <vt:lpstr>ModelPower19</vt:lpstr>
      <vt:lpstr>ModelPower2</vt:lpstr>
      <vt:lpstr>ModelPower20</vt:lpstr>
      <vt:lpstr>ModelPower21</vt:lpstr>
      <vt:lpstr>ModelPower22</vt:lpstr>
      <vt:lpstr>ModelPower23</vt:lpstr>
      <vt:lpstr>ModelPower24</vt:lpstr>
      <vt:lpstr>ModelPower25</vt:lpstr>
      <vt:lpstr>ModelPower26</vt:lpstr>
      <vt:lpstr>ModelPower27</vt:lpstr>
      <vt:lpstr>ModelPower28</vt:lpstr>
      <vt:lpstr>ModelPower3</vt:lpstr>
      <vt:lpstr>ModelPower4</vt:lpstr>
      <vt:lpstr>ModelPower5</vt:lpstr>
      <vt:lpstr>ModelPower6</vt:lpstr>
      <vt:lpstr>ModelPower7</vt:lpstr>
      <vt:lpstr>ModelPower8</vt:lpstr>
      <vt:lpstr>ModelPower9</vt:lpstr>
      <vt:lpstr>ModelWind1</vt:lpstr>
      <vt:lpstr>ModNOCT</vt:lpstr>
      <vt:lpstr>ModNOCTIndexA</vt:lpstr>
      <vt:lpstr>ModTempCoef</vt:lpstr>
      <vt:lpstr>ModTempCoefIndexA</vt:lpstr>
      <vt:lpstr>ModType</vt:lpstr>
      <vt:lpstr>ModTypeIndex</vt:lpstr>
      <vt:lpstr>Moncooldegreedaysunit</vt:lpstr>
      <vt:lpstr>MonHeatdegreedaysunit</vt:lpstr>
      <vt:lpstr>myValue</vt:lpstr>
      <vt:lpstr>NomPVPower</vt:lpstr>
      <vt:lpstr>NPV</vt:lpstr>
      <vt:lpstr>Offgrid</vt:lpstr>
      <vt:lpstr>OnlineManualEnglish</vt:lpstr>
      <vt:lpstr>OnlineManualFrench</vt:lpstr>
      <vt:lpstr>OnlineManualLanguage</vt:lpstr>
      <vt:lpstr>parameters</vt:lpstr>
      <vt:lpstr>ParamThresh</vt:lpstr>
      <vt:lpstr>pastedCountryID</vt:lpstr>
      <vt:lpstr>pastedProvinceID</vt:lpstr>
      <vt:lpstr>pastedStationID</vt:lpstr>
      <vt:lpstr>PD_Geothermal_power</vt:lpstr>
      <vt:lpstr>PD_Steam_turbine</vt:lpstr>
      <vt:lpstr>PDCaption</vt:lpstr>
      <vt:lpstr>PDCooling</vt:lpstr>
      <vt:lpstr>PDEmail_Button</vt:lpstr>
      <vt:lpstr>PDHeating</vt:lpstr>
      <vt:lpstr>PDLabel2</vt:lpstr>
      <vt:lpstr>PDLabel8</vt:lpstr>
      <vt:lpstr>PDLabelDetType</vt:lpstr>
      <vt:lpstr>PDLabelModel</vt:lpstr>
      <vt:lpstr>PDPage1</vt:lpstr>
      <vt:lpstr>PDPage2</vt:lpstr>
      <vt:lpstr>PDPower</vt:lpstr>
      <vt:lpstr>PDSelect_Manu</vt:lpstr>
      <vt:lpstr>PDSelect_Model</vt:lpstr>
      <vt:lpstr>PDUnit</vt:lpstr>
      <vt:lpstr>PDWeb_Button</vt:lpstr>
      <vt:lpstr>power_list</vt:lpstr>
      <vt:lpstr>PowerData</vt:lpstr>
      <vt:lpstr>PowerRange</vt:lpstr>
      <vt:lpstr>Proj_Tech</vt:lpstr>
      <vt:lpstr>project_type</vt:lpstr>
      <vt:lpstr>ProjectLife_EM</vt:lpstr>
      <vt:lpstr>ProjLife</vt:lpstr>
      <vt:lpstr>ProjLife_mem</vt:lpstr>
      <vt:lpstr>ProjLifeE</vt:lpstr>
      <vt:lpstr>PV_ManName</vt:lpstr>
      <vt:lpstr>PV_ModelName</vt:lpstr>
      <vt:lpstr>PV_Unit</vt:lpstr>
      <vt:lpstr>PVModule</vt:lpstr>
      <vt:lpstr>PVSystConf</vt:lpstr>
      <vt:lpstr>PVTracking</vt:lpstr>
      <vt:lpstr>Rated_Power</vt:lpstr>
      <vt:lpstr>Refrigerants</vt:lpstr>
      <vt:lpstr>RelHumidityUnit</vt:lpstr>
      <vt:lpstr>residual_flow</vt:lpstr>
      <vt:lpstr>Risk</vt:lpstr>
      <vt:lpstr>RiskButton</vt:lpstr>
      <vt:lpstr>RiskChoice</vt:lpstr>
      <vt:lpstr>RiskFinChanged</vt:lpstr>
      <vt:lpstr>RiskParam</vt:lpstr>
      <vt:lpstr>RiskRecalc</vt:lpstr>
      <vt:lpstr>ROA</vt:lpstr>
      <vt:lpstr>RotorDiamWind1</vt:lpstr>
      <vt:lpstr>RoundDigit</vt:lpstr>
      <vt:lpstr>RoundReturnVal</vt:lpstr>
      <vt:lpstr>RoundVal1</vt:lpstr>
      <vt:lpstr>S_DG4</vt:lpstr>
      <vt:lpstr>S_impact</vt:lpstr>
      <vt:lpstr>S_Param</vt:lpstr>
      <vt:lpstr>S_Param_DropDown</vt:lpstr>
      <vt:lpstr>S_Param_mem</vt:lpstr>
      <vt:lpstr>S_range</vt:lpstr>
      <vt:lpstr>S_range_mem</vt:lpstr>
      <vt:lpstr>S_Risk</vt:lpstr>
      <vt:lpstr>S_Risk1</vt:lpstr>
      <vt:lpstr>S_sensnum</vt:lpstr>
      <vt:lpstr>S_Table1</vt:lpstr>
      <vt:lpstr>S_Table1X</vt:lpstr>
      <vt:lpstr>S_Table1Y</vt:lpstr>
      <vt:lpstr>S_Table2</vt:lpstr>
      <vt:lpstr>S_Table2X</vt:lpstr>
      <vt:lpstr>S_Table2Y</vt:lpstr>
      <vt:lpstr>S_Table3</vt:lpstr>
      <vt:lpstr>S_Table3X</vt:lpstr>
      <vt:lpstr>S_Table3Y</vt:lpstr>
      <vt:lpstr>S_Type</vt:lpstr>
      <vt:lpstr>SAH_track</vt:lpstr>
      <vt:lpstr>SCFin</vt:lpstr>
      <vt:lpstr>SCZero</vt:lpstr>
      <vt:lpstr>SeeMap_Wind</vt:lpstr>
      <vt:lpstr>Sens</vt:lpstr>
      <vt:lpstr>Sens_area</vt:lpstr>
      <vt:lpstr>Sens_area_hide</vt:lpstr>
      <vt:lpstr>Sens_box1</vt:lpstr>
      <vt:lpstr>Sens_box2</vt:lpstr>
      <vt:lpstr>Sens_Checkbox</vt:lpstr>
      <vt:lpstr>Sens_error_IRR</vt:lpstr>
      <vt:lpstr>Sens_error_YTP</vt:lpstr>
      <vt:lpstr>Sens_Form1</vt:lpstr>
      <vt:lpstr>Sens_Form2</vt:lpstr>
      <vt:lpstr>Sens_Form2T1</vt:lpstr>
      <vt:lpstr>Sens_Form2T2</vt:lpstr>
      <vt:lpstr>Sens_Form2T3</vt:lpstr>
      <vt:lpstr>Sens_midbin</vt:lpstr>
      <vt:lpstr>Sens_RiskNum</vt:lpstr>
      <vt:lpstr>Sens_row</vt:lpstr>
      <vt:lpstr>Sens_SensNum</vt:lpstr>
      <vt:lpstr>SensButton</vt:lpstr>
      <vt:lpstr>SensFinChanged</vt:lpstr>
      <vt:lpstr>SensParam</vt:lpstr>
      <vt:lpstr>SensRange</vt:lpstr>
      <vt:lpstr>SensRecalc</vt:lpstr>
      <vt:lpstr>SensTable</vt:lpstr>
      <vt:lpstr>SensTable1X</vt:lpstr>
      <vt:lpstr>SensTable1Y</vt:lpstr>
      <vt:lpstr>SensTable2X</vt:lpstr>
      <vt:lpstr>SensTable2Y</vt:lpstr>
      <vt:lpstr>SensTable3X</vt:lpstr>
      <vt:lpstr>SensTable3Y</vt:lpstr>
      <vt:lpstr>Set_all</vt:lpstr>
      <vt:lpstr>Set_AT</vt:lpstr>
      <vt:lpstr>Set_C</vt:lpstr>
      <vt:lpstr>Set_EE</vt:lpstr>
      <vt:lpstr>Set_GridType</vt:lpstr>
      <vt:lpstr>Set_H</vt:lpstr>
      <vt:lpstr>Set_Level</vt:lpstr>
      <vt:lpstr>Set_linkEM</vt:lpstr>
      <vt:lpstr>Set_linkLN</vt:lpstr>
      <vt:lpstr>Set_LinkM</vt:lpstr>
      <vt:lpstr>Set_OpenClose</vt:lpstr>
      <vt:lpstr>Set_P</vt:lpstr>
      <vt:lpstr>Set_PT2</vt:lpstr>
      <vt:lpstr>Set_range</vt:lpstr>
      <vt:lpstr>Set_Settings</vt:lpstr>
      <vt:lpstr>Set_Settings_Hide</vt:lpstr>
      <vt:lpstr>Set_T1</vt:lpstr>
      <vt:lpstr>Set_T2</vt:lpstr>
      <vt:lpstr>Set_T3</vt:lpstr>
      <vt:lpstr>Set_weather</vt:lpstr>
      <vt:lpstr>Set_Weather_hide</vt:lpstr>
      <vt:lpstr>Sheet1Name</vt:lpstr>
      <vt:lpstr>Sheet2Name</vt:lpstr>
      <vt:lpstr>Sheet3Name</vt:lpstr>
      <vt:lpstr>SMIN</vt:lpstr>
      <vt:lpstr>Sort_CDD_1</vt:lpstr>
      <vt:lpstr>Sort_CDD_2</vt:lpstr>
      <vt:lpstr>Sort_Diff_Cool</vt:lpstr>
      <vt:lpstr>Sort_Diff_Heat</vt:lpstr>
      <vt:lpstr>Sort_HDD_1</vt:lpstr>
      <vt:lpstr>Sort_HDD_2</vt:lpstr>
      <vt:lpstr>Sortkey_CDD</vt:lpstr>
      <vt:lpstr>Sortkey_HDD</vt:lpstr>
      <vt:lpstr>Start_lang</vt:lpstr>
      <vt:lpstr>Start_link</vt:lpstr>
      <vt:lpstr>Start_lists</vt:lpstr>
      <vt:lpstr>Start_lists1</vt:lpstr>
      <vt:lpstr>Start_lists2</vt:lpstr>
      <vt:lpstr>Start_lists3</vt:lpstr>
      <vt:lpstr>Start_lists4</vt:lpstr>
      <vt:lpstr>Start_lists5</vt:lpstr>
      <vt:lpstr>Start_lists6</vt:lpstr>
      <vt:lpstr>StartDatabase</vt:lpstr>
      <vt:lpstr>SteamLossesF</vt:lpstr>
      <vt:lpstr>SteamP</vt:lpstr>
      <vt:lpstr>SugPVPower</vt:lpstr>
      <vt:lpstr>Sum_Lock1</vt:lpstr>
      <vt:lpstr>Sum_Lock2</vt:lpstr>
      <vt:lpstr>SWH_track</vt:lpstr>
      <vt:lpstr>SwpetAreaWind1</vt:lpstr>
      <vt:lpstr>T_bio</vt:lpstr>
      <vt:lpstr>T_biogaslist1</vt:lpstr>
      <vt:lpstr>T_biogaslist2</vt:lpstr>
      <vt:lpstr>T_biogassort</vt:lpstr>
      <vt:lpstr>T_BuildEnvType1</vt:lpstr>
      <vt:lpstr>T_BuildEnvType2</vt:lpstr>
      <vt:lpstr>T_BuildEnvType3</vt:lpstr>
      <vt:lpstr>T_BuildEnvType4</vt:lpstr>
      <vt:lpstr>T_BuildEnvType5</vt:lpstr>
      <vt:lpstr>T_BuildEnvType6</vt:lpstr>
      <vt:lpstr>T_Custom2_A</vt:lpstr>
      <vt:lpstr>T_ElectLoads1</vt:lpstr>
      <vt:lpstr>T_electrate</vt:lpstr>
      <vt:lpstr>T_electrate1</vt:lpstr>
      <vt:lpstr>T_electrate2</vt:lpstr>
      <vt:lpstr>T_Eload</vt:lpstr>
      <vt:lpstr>T_Eload2</vt:lpstr>
      <vt:lpstr>T_Eloadsort</vt:lpstr>
      <vt:lpstr>T_fossil</vt:lpstr>
      <vt:lpstr>T_LFG_B</vt:lpstr>
      <vt:lpstr>T_LFG_F</vt:lpstr>
      <vt:lpstr>T_LFG1</vt:lpstr>
      <vt:lpstr>T_LFG2</vt:lpstr>
      <vt:lpstr>T_Matlist1</vt:lpstr>
      <vt:lpstr>T_Matlist2</vt:lpstr>
      <vt:lpstr>T_Matlist3</vt:lpstr>
      <vt:lpstr>T_Matlist4</vt:lpstr>
      <vt:lpstr>T_Matlistsort</vt:lpstr>
      <vt:lpstr>T_Matlistsort2</vt:lpstr>
      <vt:lpstr>T_UDF</vt:lpstr>
      <vt:lpstr>T_UDF_1</vt:lpstr>
      <vt:lpstr>T_UDF_2</vt:lpstr>
      <vt:lpstr>T_UDF_all</vt:lpstr>
      <vt:lpstr>T_UDFGas</vt:lpstr>
      <vt:lpstr>T_UDFSolid</vt:lpstr>
      <vt:lpstr>T_vol</vt:lpstr>
      <vt:lpstr>T_waterpump</vt:lpstr>
      <vt:lpstr>T_waterpump1</vt:lpstr>
      <vt:lpstr>T_waterpump2</vt:lpstr>
      <vt:lpstr>T_weight</vt:lpstr>
      <vt:lpstr>T_windows</vt:lpstr>
      <vt:lpstr>TCFin</vt:lpstr>
      <vt:lpstr>TCZero</vt:lpstr>
      <vt:lpstr>'Modelo Energético '!Temp_coeff</vt:lpstr>
      <vt:lpstr>Test</vt:lpstr>
      <vt:lpstr>'Carga e Rede'!Títulos_de_Impressão</vt:lpstr>
      <vt:lpstr>Tools_CapaGSHP_Unit</vt:lpstr>
      <vt:lpstr>Tools_Checkbox</vt:lpstr>
      <vt:lpstr>Tools_currency1</vt:lpstr>
      <vt:lpstr>Tools_currency3</vt:lpstr>
      <vt:lpstr>Tools_currency4</vt:lpstr>
      <vt:lpstr>Tools_HL</vt:lpstr>
      <vt:lpstr>Tools_RadioButtons</vt:lpstr>
      <vt:lpstr>Tools_Start</vt:lpstr>
      <vt:lpstr>'Carga e Rede'!Tot_ht_en_demand</vt:lpstr>
      <vt:lpstr>Tot_peak_cl_load</vt:lpstr>
      <vt:lpstr>'Carga e Rede'!Tot_peak_ht_load</vt:lpstr>
      <vt:lpstr>TurbType</vt:lpstr>
      <vt:lpstr>Type</vt:lpstr>
      <vt:lpstr>TypePVPower</vt:lpstr>
      <vt:lpstr>Unit</vt:lpstr>
      <vt:lpstr>UnitCelcius</vt:lpstr>
      <vt:lpstr>UnitCelciusday</vt:lpstr>
      <vt:lpstr>UnitCooling1</vt:lpstr>
      <vt:lpstr>UnitCooling2</vt:lpstr>
      <vt:lpstr>UnitHeat1</vt:lpstr>
      <vt:lpstr>UnitHeat2</vt:lpstr>
      <vt:lpstr>UnitHeat3</vt:lpstr>
      <vt:lpstr>UnitHeat4</vt:lpstr>
      <vt:lpstr>UnitKPA</vt:lpstr>
      <vt:lpstr>UnitKWHm2d</vt:lpstr>
      <vt:lpstr>UnitMBAR</vt:lpstr>
      <vt:lpstr>UnitMeter</vt:lpstr>
      <vt:lpstr>Unitms</vt:lpstr>
      <vt:lpstr>UnitPower1</vt:lpstr>
      <vt:lpstr>UnitPower10</vt:lpstr>
      <vt:lpstr>UnitPower11</vt:lpstr>
      <vt:lpstr>UnitPower12</vt:lpstr>
      <vt:lpstr>UnitPower13</vt:lpstr>
      <vt:lpstr>UnitPower14</vt:lpstr>
      <vt:lpstr>UnitPower15</vt:lpstr>
      <vt:lpstr>UnitPower16</vt:lpstr>
      <vt:lpstr>UnitPower17</vt:lpstr>
      <vt:lpstr>UnitPower18</vt:lpstr>
      <vt:lpstr>UnitPower19</vt:lpstr>
      <vt:lpstr>UnitPower2</vt:lpstr>
      <vt:lpstr>UnitPower20</vt:lpstr>
      <vt:lpstr>UnitPower21</vt:lpstr>
      <vt:lpstr>UnitPower22</vt:lpstr>
      <vt:lpstr>UnitPower23</vt:lpstr>
      <vt:lpstr>UnitPower24</vt:lpstr>
      <vt:lpstr>UnitPower25</vt:lpstr>
      <vt:lpstr>UnitPower26</vt:lpstr>
      <vt:lpstr>UnitPower27</vt:lpstr>
      <vt:lpstr>UnitPower28</vt:lpstr>
      <vt:lpstr>UnitPower3</vt:lpstr>
      <vt:lpstr>UnitPower4</vt:lpstr>
      <vt:lpstr>UnitPower5</vt:lpstr>
      <vt:lpstr>UnitPower6</vt:lpstr>
      <vt:lpstr>UnitPower7</vt:lpstr>
      <vt:lpstr>UnitPower8</vt:lpstr>
      <vt:lpstr>UnitPower9</vt:lpstr>
      <vt:lpstr>unitTable</vt:lpstr>
      <vt:lpstr>UTZ</vt:lpstr>
      <vt:lpstr>Validation</vt:lpstr>
      <vt:lpstr>VarTab</vt:lpstr>
      <vt:lpstr>VarTab01</vt:lpstr>
      <vt:lpstr>VarTab02</vt:lpstr>
      <vt:lpstr>VarTab03</vt:lpstr>
      <vt:lpstr>VarTab04</vt:lpstr>
      <vt:lpstr>VarTab05</vt:lpstr>
      <vt:lpstr>VarTab06</vt:lpstr>
      <vt:lpstr>VarTab07</vt:lpstr>
      <vt:lpstr>VarTab08</vt:lpstr>
      <vt:lpstr>VarTab09</vt:lpstr>
      <vt:lpstr>VarTab10</vt:lpstr>
      <vt:lpstr>VarTab11</vt:lpstr>
      <vt:lpstr>VarTab12</vt:lpstr>
      <vt:lpstr>VarTab13</vt:lpstr>
      <vt:lpstr>WD_Source_Ground</vt:lpstr>
      <vt:lpstr>WeatherHDD_1</vt:lpstr>
      <vt:lpstr>WebTrList</vt:lpstr>
      <vt:lpstr>Win_11</vt:lpstr>
      <vt:lpstr>Win_12</vt:lpstr>
      <vt:lpstr>Win_13</vt:lpstr>
      <vt:lpstr>Win_21</vt:lpstr>
      <vt:lpstr>Win_22</vt:lpstr>
      <vt:lpstr>Win_23</vt:lpstr>
      <vt:lpstr>Win_BP</vt:lpstr>
      <vt:lpstr>Win_Start</vt:lpstr>
      <vt:lpstr>Wind_Num</vt:lpstr>
      <vt:lpstr>Wind_Power_Capcity</vt:lpstr>
      <vt:lpstr>WindAddr_Capacity</vt:lpstr>
      <vt:lpstr>WindAddr_Detail</vt:lpstr>
      <vt:lpstr>WindAddr_Manufacturer</vt:lpstr>
      <vt:lpstr>WindAddr_Model</vt:lpstr>
      <vt:lpstr>WindAddr_Num</vt:lpstr>
      <vt:lpstr>WindHeight</vt:lpstr>
      <vt:lpstr>WinPastedRow</vt:lpstr>
      <vt:lpstr>WRegion</vt:lpstr>
      <vt:lpstr>YearPos</vt:lpstr>
      <vt:lpstr>YesNo</vt:lpstr>
    </vt:vector>
  </TitlesOfParts>
  <Manager/>
  <Company>NRCan/CanmetENERGY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RETScreen® International</dc:title>
  <dc:subject>Version 4</dc:subject>
  <dc:creator>Tiago Pita</dc:creator>
  <cp:keywords/>
  <dc:description/>
  <cp:lastModifiedBy>Tiago Pita</cp:lastModifiedBy>
  <cp:lastPrinted>2026-03-05T17:11:28Z</cp:lastPrinted>
  <dcterms:created xsi:type="dcterms:W3CDTF">2005-10-29T00:16:30Z</dcterms:created>
  <dcterms:modified xsi:type="dcterms:W3CDTF">2026-03-05T17:31:58Z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stallVersion">
    <vt:lpwstr>RETScreen4 2012-06-01</vt:lpwstr>
  </property>
</Properties>
</file>